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hem\Desktop\szwater\Copula\福田区\"/>
    </mc:Choice>
  </mc:AlternateContent>
  <xr:revisionPtr revIDLastSave="0" documentId="13_ncr:1_{C110CAE4-E11B-4C04-8097-0F0B0FD26B6E}" xr6:coauthVersionLast="47" xr6:coauthVersionMax="47" xr10:uidLastSave="{00000000-0000-0000-0000-000000000000}"/>
  <bookViews>
    <workbookView xWindow="-108" yWindow="-108" windowWidth="23256" windowHeight="12576" activeTab="4" xr2:uid="{1D7F45E5-AF49-4E82-9063-B4C4A6CFE039}"/>
  </bookViews>
  <sheets>
    <sheet name="Sheet1" sheetId="1" r:id="rId1"/>
    <sheet name="ww20" sheetId="2" r:id="rId2"/>
    <sheet name="ww25" sheetId="3" r:id="rId3"/>
    <sheet name="w20" sheetId="4" r:id="rId4"/>
    <sheet name="w2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5475" i="2" l="1"/>
  <c r="A15474" i="2"/>
  <c r="A15473" i="2"/>
  <c r="A15472" i="2"/>
  <c r="A15471" i="2"/>
  <c r="A15470" i="2"/>
  <c r="A15469" i="2"/>
  <c r="A15468" i="2"/>
  <c r="A15467" i="2"/>
  <c r="A15466" i="2"/>
  <c r="A15465" i="2"/>
  <c r="A15464" i="2"/>
  <c r="A15463" i="2"/>
  <c r="A15462" i="2"/>
  <c r="A15461" i="2"/>
  <c r="A15460" i="2"/>
  <c r="A15459" i="2"/>
  <c r="A15458" i="2"/>
  <c r="A15457" i="2"/>
  <c r="A15456" i="2"/>
  <c r="A15455" i="2"/>
  <c r="A15454" i="2"/>
  <c r="A15453" i="2"/>
  <c r="A15452" i="2"/>
  <c r="A15451" i="2"/>
  <c r="A15450" i="2"/>
  <c r="A15449" i="2"/>
  <c r="A15448" i="2"/>
  <c r="A15447" i="2"/>
  <c r="A15446" i="2"/>
  <c r="A15445" i="2"/>
  <c r="A15444" i="2"/>
  <c r="A15443" i="2"/>
  <c r="A15442" i="2"/>
  <c r="A15441" i="2"/>
  <c r="A15440" i="2"/>
  <c r="A15439" i="2"/>
  <c r="A15438" i="2"/>
  <c r="A15437" i="2"/>
  <c r="A15436" i="2"/>
  <c r="A15435" i="2"/>
  <c r="A15434" i="2"/>
  <c r="A15433" i="2"/>
  <c r="A15432" i="2"/>
  <c r="A15431" i="2"/>
  <c r="A15430" i="2"/>
  <c r="A15429" i="2"/>
  <c r="A15428" i="2"/>
  <c r="A15427" i="2"/>
  <c r="A15426" i="2"/>
  <c r="A15425" i="2"/>
  <c r="A15424" i="2"/>
  <c r="A15423" i="2"/>
  <c r="A15422" i="2"/>
  <c r="A15421" i="2"/>
  <c r="A15420" i="2"/>
  <c r="A15419" i="2"/>
  <c r="A15418" i="2"/>
  <c r="A15417" i="2"/>
  <c r="A15416" i="2"/>
  <c r="A15415" i="2"/>
  <c r="A15414" i="2"/>
  <c r="A15413" i="2"/>
  <c r="A15412" i="2"/>
  <c r="A15411" i="2"/>
  <c r="A15410" i="2"/>
  <c r="A15409" i="2"/>
  <c r="A15408" i="2"/>
  <c r="A15407" i="2"/>
  <c r="A15406" i="2"/>
  <c r="A15405" i="2"/>
  <c r="A15404" i="2"/>
  <c r="A15403" i="2"/>
  <c r="A15402" i="2"/>
  <c r="A15401" i="2"/>
  <c r="A15400" i="2"/>
  <c r="A15399" i="2"/>
  <c r="A15398" i="2"/>
  <c r="A15397" i="2"/>
  <c r="A15396" i="2"/>
  <c r="A15395" i="2"/>
  <c r="A15394" i="2"/>
  <c r="A15393" i="2"/>
  <c r="A15392" i="2"/>
  <c r="A15391" i="2"/>
  <c r="A15390" i="2"/>
  <c r="A15389" i="2"/>
  <c r="A15388" i="2"/>
  <c r="A15387" i="2"/>
  <c r="A15386" i="2"/>
  <c r="A15385" i="2"/>
  <c r="A15384" i="2"/>
  <c r="A15383" i="2"/>
  <c r="A15382" i="2"/>
  <c r="A15381" i="2"/>
  <c r="A15380" i="2"/>
  <c r="A15379" i="2"/>
  <c r="A15378" i="2"/>
  <c r="A15377" i="2"/>
  <c r="A15376" i="2"/>
  <c r="A15375" i="2"/>
  <c r="A15374" i="2"/>
  <c r="A15373" i="2"/>
  <c r="A15372" i="2"/>
  <c r="A15371" i="2"/>
  <c r="A15370" i="2"/>
  <c r="A15369" i="2"/>
  <c r="A15368" i="2"/>
  <c r="A15367" i="2"/>
  <c r="A15366" i="2"/>
  <c r="A15365" i="2"/>
  <c r="A15364" i="2"/>
  <c r="A15363" i="2"/>
  <c r="A15362" i="2"/>
  <c r="A15361" i="2"/>
  <c r="A15360" i="2"/>
  <c r="A15359" i="2"/>
  <c r="A15358" i="2"/>
  <c r="A15357" i="2"/>
  <c r="A15356" i="2"/>
  <c r="A15355" i="2"/>
  <c r="A15354" i="2"/>
  <c r="A15353" i="2"/>
  <c r="A15352" i="2"/>
  <c r="A15351" i="2"/>
  <c r="A15350" i="2"/>
  <c r="A15349" i="2"/>
  <c r="A15348" i="2"/>
  <c r="A15347" i="2"/>
  <c r="A15346" i="2"/>
  <c r="A15345" i="2"/>
  <c r="A15344" i="2"/>
  <c r="A15343" i="2"/>
  <c r="A15342" i="2"/>
  <c r="A15341" i="2"/>
  <c r="A15340" i="2"/>
  <c r="A15339" i="2"/>
  <c r="A15338" i="2"/>
  <c r="A15337" i="2"/>
  <c r="A15336" i="2"/>
  <c r="A15335" i="2"/>
  <c r="A15334" i="2"/>
  <c r="A15333" i="2"/>
  <c r="A15332" i="2"/>
  <c r="A15331" i="2"/>
  <c r="A15330" i="2"/>
  <c r="A15329" i="2"/>
  <c r="A15328" i="2"/>
  <c r="A15327" i="2"/>
  <c r="A15326" i="2"/>
  <c r="A15325" i="2"/>
  <c r="A15324" i="2"/>
  <c r="A15323" i="2"/>
  <c r="A15322" i="2"/>
  <c r="A15321" i="2"/>
  <c r="A15320" i="2"/>
  <c r="A15319" i="2"/>
  <c r="A15318" i="2"/>
  <c r="A15317" i="2"/>
  <c r="A15316" i="2"/>
  <c r="A15315" i="2"/>
  <c r="A15314" i="2"/>
  <c r="A15313" i="2"/>
  <c r="A15312" i="2"/>
  <c r="A15311" i="2"/>
  <c r="A15310" i="2"/>
  <c r="A15309" i="2"/>
  <c r="A15308" i="2"/>
  <c r="A15307" i="2"/>
  <c r="A15306" i="2"/>
  <c r="A15305" i="2"/>
  <c r="A15304" i="2"/>
  <c r="A15303" i="2"/>
  <c r="A15302" i="2"/>
  <c r="A15301" i="2"/>
  <c r="A15300" i="2"/>
  <c r="A15299" i="2"/>
  <c r="A15298" i="2"/>
  <c r="A15297" i="2"/>
  <c r="A15296" i="2"/>
  <c r="A15295" i="2"/>
  <c r="A15294" i="2"/>
  <c r="A15293" i="2"/>
  <c r="A15292" i="2"/>
  <c r="A15291" i="2"/>
  <c r="A15290" i="2"/>
  <c r="A15289" i="2"/>
  <c r="A15288" i="2"/>
  <c r="A15287" i="2"/>
  <c r="A15286" i="2"/>
  <c r="A15285" i="2"/>
  <c r="A15284" i="2"/>
  <c r="A15283" i="2"/>
  <c r="A15282" i="2"/>
  <c r="A15281" i="2"/>
  <c r="A15280" i="2"/>
  <c r="A15279" i="2"/>
  <c r="A15278" i="2"/>
  <c r="A15277" i="2"/>
  <c r="A15276" i="2"/>
  <c r="A15275" i="2"/>
  <c r="A15274" i="2"/>
  <c r="A15273" i="2"/>
  <c r="A15272" i="2"/>
  <c r="A15271" i="2"/>
  <c r="A15270" i="2"/>
  <c r="A15269" i="2"/>
  <c r="A15268" i="2"/>
  <c r="A15267" i="2"/>
  <c r="A15266" i="2"/>
  <c r="A15265" i="2"/>
  <c r="A15264" i="2"/>
  <c r="A15263" i="2"/>
  <c r="A15262" i="2"/>
  <c r="A15261" i="2"/>
  <c r="A15260" i="2"/>
  <c r="A15259" i="2"/>
  <c r="A15258" i="2"/>
  <c r="A15257" i="2"/>
  <c r="A15256" i="2"/>
  <c r="A15255" i="2"/>
  <c r="A15254" i="2"/>
  <c r="A15253" i="2"/>
  <c r="A15252" i="2"/>
  <c r="A15251" i="2"/>
  <c r="A15250" i="2"/>
  <c r="A15249" i="2"/>
  <c r="A15248" i="2"/>
  <c r="A15247" i="2"/>
  <c r="A15246" i="2"/>
  <c r="A15245" i="2"/>
  <c r="A15244" i="2"/>
  <c r="A15243" i="2"/>
  <c r="A15242" i="2"/>
  <c r="A15241" i="2"/>
  <c r="A15240" i="2"/>
  <c r="A15239" i="2"/>
  <c r="A15238" i="2"/>
  <c r="A15237" i="2"/>
  <c r="A15236" i="2"/>
  <c r="A15235" i="2"/>
  <c r="A15234" i="2"/>
  <c r="A15233" i="2"/>
  <c r="A15232" i="2"/>
  <c r="A15231" i="2"/>
  <c r="A15230" i="2"/>
  <c r="A15229" i="2"/>
  <c r="A15228" i="2"/>
  <c r="A15227" i="2"/>
  <c r="A15226" i="2"/>
  <c r="A15225" i="2"/>
  <c r="A15224" i="2"/>
  <c r="A15223" i="2"/>
  <c r="A15222" i="2"/>
  <c r="A15221" i="2"/>
  <c r="A15220" i="2"/>
  <c r="A15219" i="2"/>
  <c r="A15218" i="2"/>
  <c r="A15217" i="2"/>
  <c r="A15216" i="2"/>
  <c r="A15215" i="2"/>
  <c r="A15214" i="2"/>
  <c r="A15213" i="2"/>
  <c r="A15212" i="2"/>
  <c r="A15211" i="2"/>
  <c r="A15210" i="2"/>
  <c r="A15209" i="2"/>
  <c r="A15208" i="2"/>
  <c r="A15207" i="2"/>
  <c r="A15206" i="2"/>
  <c r="A15205" i="2"/>
  <c r="A15204" i="2"/>
  <c r="A15203" i="2"/>
  <c r="A15202" i="2"/>
  <c r="A15201" i="2"/>
  <c r="A15200" i="2"/>
  <c r="A15199" i="2"/>
  <c r="A15198" i="2"/>
  <c r="A15197" i="2"/>
  <c r="A15196" i="2"/>
  <c r="A15195" i="2"/>
  <c r="A15194" i="2"/>
  <c r="A15193" i="2"/>
  <c r="A15192" i="2"/>
  <c r="A15191" i="2"/>
  <c r="A15190" i="2"/>
  <c r="A15189" i="2"/>
  <c r="A15188" i="2"/>
  <c r="A15187" i="2"/>
  <c r="A15186" i="2"/>
  <c r="A15185" i="2"/>
  <c r="A15184" i="2"/>
  <c r="A15183" i="2"/>
  <c r="A15182" i="2"/>
  <c r="A15181" i="2"/>
  <c r="A15180" i="2"/>
  <c r="A15179" i="2"/>
  <c r="A15178" i="2"/>
  <c r="A15177" i="2"/>
  <c r="A15176" i="2"/>
  <c r="A15175" i="2"/>
  <c r="A15174" i="2"/>
  <c r="A15173" i="2"/>
  <c r="A15172" i="2"/>
  <c r="A15171" i="2"/>
  <c r="A15170" i="2"/>
  <c r="A15169" i="2"/>
  <c r="A15168" i="2"/>
  <c r="A15167" i="2"/>
  <c r="A15166" i="2"/>
  <c r="A15165" i="2"/>
  <c r="A15164" i="2"/>
  <c r="A15163" i="2"/>
  <c r="A15162" i="2"/>
  <c r="A15161" i="2"/>
  <c r="A15160" i="2"/>
  <c r="A15159" i="2"/>
  <c r="A15158" i="2"/>
  <c r="A15157" i="2"/>
  <c r="A15156" i="2"/>
  <c r="A15155" i="2"/>
  <c r="A15154" i="2"/>
  <c r="A15153" i="2"/>
  <c r="A15152" i="2"/>
  <c r="A15151" i="2"/>
  <c r="A15150" i="2"/>
  <c r="A15149" i="2"/>
  <c r="A15148" i="2"/>
  <c r="A15147" i="2"/>
  <c r="A15146" i="2"/>
  <c r="A15145" i="2"/>
  <c r="A15144" i="2"/>
  <c r="A15143" i="2"/>
  <c r="A15142" i="2"/>
  <c r="A15141" i="2"/>
  <c r="A15140" i="2"/>
  <c r="A15139" i="2"/>
  <c r="A15138" i="2"/>
  <c r="A15137" i="2"/>
  <c r="A15136" i="2"/>
  <c r="A15135" i="2"/>
  <c r="A15134" i="2"/>
  <c r="A15133" i="2"/>
  <c r="A15132" i="2"/>
  <c r="A15131" i="2"/>
  <c r="A15130" i="2"/>
  <c r="A15129" i="2"/>
  <c r="A15128" i="2"/>
  <c r="A15127" i="2"/>
  <c r="A15126" i="2"/>
  <c r="A15125" i="2"/>
  <c r="A15124" i="2"/>
  <c r="A15123" i="2"/>
  <c r="A15122" i="2"/>
  <c r="A15121" i="2"/>
  <c r="A15120" i="2"/>
  <c r="A15119" i="2"/>
  <c r="A15118" i="2"/>
  <c r="A15117" i="2"/>
  <c r="A15116" i="2"/>
  <c r="A15115" i="2"/>
  <c r="A15114" i="2"/>
  <c r="A15113" i="2"/>
  <c r="A15112" i="2"/>
  <c r="A15111" i="2"/>
  <c r="A15110" i="2"/>
  <c r="A15109" i="2"/>
  <c r="A15108" i="2"/>
  <c r="A15107" i="2"/>
  <c r="A15106" i="2"/>
  <c r="A15105" i="2"/>
  <c r="A15104" i="2"/>
  <c r="A15103" i="2"/>
  <c r="A15102" i="2"/>
  <c r="A15101" i="2"/>
  <c r="A15100" i="2"/>
  <c r="A15099" i="2"/>
  <c r="A15098" i="2"/>
  <c r="A15097" i="2"/>
  <c r="A15096" i="2"/>
  <c r="A15095" i="2"/>
  <c r="A15094" i="2"/>
  <c r="A15093" i="2"/>
  <c r="A15092" i="2"/>
  <c r="A15091" i="2"/>
  <c r="A15090" i="2"/>
  <c r="A15089" i="2"/>
  <c r="A15088" i="2"/>
  <c r="A15087" i="2"/>
  <c r="A15086" i="2"/>
  <c r="A15085" i="2"/>
  <c r="A15084" i="2"/>
  <c r="A15083" i="2"/>
  <c r="A15082" i="2"/>
  <c r="A15081" i="2"/>
  <c r="A15080" i="2"/>
  <c r="A15079" i="2"/>
  <c r="A15078" i="2"/>
  <c r="A15077" i="2"/>
  <c r="A15076" i="2"/>
  <c r="A15075" i="2"/>
  <c r="A15074" i="2"/>
  <c r="A15073" i="2"/>
  <c r="A15072" i="2"/>
  <c r="A15071" i="2"/>
  <c r="A15070" i="2"/>
  <c r="A15069" i="2"/>
  <c r="A15068" i="2"/>
  <c r="A15067" i="2"/>
  <c r="A15066" i="2"/>
  <c r="A15065" i="2"/>
  <c r="A15064" i="2"/>
  <c r="A15063" i="2"/>
  <c r="A15062" i="2"/>
  <c r="A15061" i="2"/>
  <c r="A15060" i="2"/>
  <c r="A15059" i="2"/>
  <c r="A15058" i="2"/>
  <c r="A15057" i="2"/>
  <c r="A15056" i="2"/>
  <c r="A15055" i="2"/>
  <c r="A15054" i="2"/>
  <c r="A15053" i="2"/>
  <c r="A15052" i="2"/>
  <c r="A15051" i="2"/>
  <c r="A15050" i="2"/>
  <c r="A15049" i="2"/>
  <c r="A15048" i="2"/>
  <c r="A15047" i="2"/>
  <c r="A15046" i="2"/>
  <c r="A15045" i="2"/>
  <c r="A15044" i="2"/>
  <c r="A15043" i="2"/>
  <c r="A15042" i="2"/>
  <c r="A15041" i="2"/>
  <c r="A15040" i="2"/>
  <c r="A15039" i="2"/>
  <c r="A15038" i="2"/>
  <c r="A15037" i="2"/>
  <c r="A15036" i="2"/>
  <c r="A15035" i="2"/>
  <c r="A15034" i="2"/>
  <c r="A15033" i="2"/>
  <c r="A15032" i="2"/>
  <c r="A15031" i="2"/>
  <c r="A15030" i="2"/>
  <c r="A15029" i="2"/>
  <c r="A15028" i="2"/>
  <c r="A15027" i="2"/>
  <c r="A15026" i="2"/>
  <c r="A15025" i="2"/>
  <c r="A15024" i="2"/>
  <c r="A15023" i="2"/>
  <c r="A15022" i="2"/>
  <c r="A15021" i="2"/>
  <c r="A15020" i="2"/>
  <c r="A15019" i="2"/>
  <c r="A15018" i="2"/>
  <c r="A15017" i="2"/>
  <c r="A15016" i="2"/>
  <c r="A15015" i="2"/>
  <c r="A15014" i="2"/>
  <c r="A15013" i="2"/>
  <c r="A15012" i="2"/>
  <c r="A15011" i="2"/>
  <c r="A15010" i="2"/>
  <c r="A15009" i="2"/>
  <c r="A15008" i="2"/>
  <c r="A15007" i="2"/>
  <c r="A15006" i="2"/>
  <c r="A15005" i="2"/>
  <c r="A15004" i="2"/>
  <c r="A15003" i="2"/>
  <c r="A15002" i="2"/>
  <c r="A15001" i="2"/>
  <c r="A15000" i="2"/>
  <c r="A14999" i="2"/>
  <c r="A14998" i="2"/>
  <c r="A14997" i="2"/>
  <c r="A14996" i="2"/>
  <c r="A14995" i="2"/>
  <c r="A14994" i="2"/>
  <c r="A14993" i="2"/>
  <c r="A14992" i="2"/>
  <c r="A14991" i="2"/>
  <c r="A14990" i="2"/>
  <c r="A14989" i="2"/>
  <c r="A14988" i="2"/>
  <c r="A14987" i="2"/>
  <c r="A14986" i="2"/>
  <c r="A14985" i="2"/>
  <c r="A14984" i="2"/>
  <c r="A14983" i="2"/>
  <c r="A14982" i="2"/>
  <c r="A14981" i="2"/>
  <c r="A14980" i="2"/>
  <c r="A14979" i="2"/>
  <c r="A14978" i="2"/>
  <c r="A14977" i="2"/>
  <c r="A14976" i="2"/>
  <c r="A14975" i="2"/>
  <c r="A14974" i="2"/>
  <c r="A14973" i="2"/>
  <c r="A14972" i="2"/>
  <c r="A14971" i="2"/>
  <c r="A14970" i="2"/>
  <c r="A14969" i="2"/>
  <c r="A14968" i="2"/>
  <c r="A14967" i="2"/>
  <c r="A14966" i="2"/>
  <c r="A14965" i="2"/>
  <c r="A14964" i="2"/>
  <c r="A14963" i="2"/>
  <c r="A14962" i="2"/>
  <c r="A14961" i="2"/>
  <c r="A14960" i="2"/>
  <c r="A14959" i="2"/>
  <c r="A14958" i="2"/>
  <c r="A14957" i="2"/>
  <c r="A14956" i="2"/>
  <c r="A14955" i="2"/>
  <c r="A14954" i="2"/>
  <c r="A14953" i="2"/>
  <c r="A14952" i="2"/>
  <c r="A14951" i="2"/>
  <c r="A14950" i="2"/>
  <c r="A14949" i="2"/>
  <c r="A14948" i="2"/>
  <c r="A14947" i="2"/>
  <c r="A14946" i="2"/>
  <c r="A14945" i="2"/>
  <c r="A14944" i="2"/>
  <c r="A14943" i="2"/>
  <c r="A14942" i="2"/>
  <c r="A14941" i="2"/>
  <c r="A14940" i="2"/>
  <c r="A14939" i="2"/>
  <c r="A14938" i="2"/>
  <c r="A14937" i="2"/>
  <c r="A14936" i="2"/>
  <c r="A14935" i="2"/>
  <c r="A14934" i="2"/>
  <c r="A14933" i="2"/>
  <c r="A14932" i="2"/>
  <c r="A14931" i="2"/>
  <c r="A14930" i="2"/>
  <c r="A14929" i="2"/>
  <c r="A14928" i="2"/>
  <c r="A14927" i="2"/>
  <c r="A14926" i="2"/>
  <c r="A14925" i="2"/>
  <c r="A14924" i="2"/>
  <c r="A14923" i="2"/>
  <c r="A14922" i="2"/>
  <c r="A14921" i="2"/>
  <c r="A14920" i="2"/>
  <c r="A14919" i="2"/>
  <c r="A14918" i="2"/>
  <c r="A14917" i="2"/>
  <c r="A14916" i="2"/>
  <c r="A14915" i="2"/>
  <c r="A14914" i="2"/>
  <c r="A14913" i="2"/>
  <c r="A14912" i="2"/>
  <c r="A14911" i="2"/>
  <c r="A14910" i="2"/>
  <c r="A14909" i="2"/>
  <c r="A14908" i="2"/>
  <c r="A14907" i="2"/>
  <c r="A14906" i="2"/>
  <c r="A14905" i="2"/>
  <c r="A14904" i="2"/>
  <c r="A14903" i="2"/>
  <c r="A14902" i="2"/>
  <c r="A14901" i="2"/>
  <c r="A14900" i="2"/>
  <c r="A14899" i="2"/>
  <c r="A14898" i="2"/>
  <c r="A14897" i="2"/>
  <c r="A14896" i="2"/>
  <c r="A14895" i="2"/>
  <c r="A14894" i="2"/>
  <c r="A14893" i="2"/>
  <c r="A14892" i="2"/>
  <c r="A14891" i="2"/>
  <c r="A14890" i="2"/>
  <c r="A14889" i="2"/>
  <c r="A14888" i="2"/>
  <c r="A14887" i="2"/>
  <c r="A14886" i="2"/>
  <c r="A14885" i="2"/>
  <c r="A14884" i="2"/>
  <c r="A14883" i="2"/>
  <c r="A14882" i="2"/>
  <c r="A14881" i="2"/>
  <c r="A14880" i="2"/>
  <c r="A14879" i="2"/>
  <c r="A14878" i="2"/>
  <c r="A14877" i="2"/>
  <c r="A14876" i="2"/>
  <c r="A14875" i="2"/>
  <c r="A14874" i="2"/>
  <c r="A14873" i="2"/>
  <c r="A14872" i="2"/>
  <c r="A14871" i="2"/>
  <c r="A14870" i="2"/>
  <c r="A14869" i="2"/>
  <c r="A14868" i="2"/>
  <c r="A14867" i="2"/>
  <c r="A14866" i="2"/>
  <c r="A14865" i="2"/>
  <c r="A14864" i="2"/>
  <c r="A14863" i="2"/>
  <c r="A14862" i="2"/>
  <c r="A14861" i="2"/>
  <c r="A14860" i="2"/>
  <c r="A14859" i="2"/>
  <c r="A14858" i="2"/>
  <c r="A14857" i="2"/>
  <c r="A14856" i="2"/>
  <c r="A14855" i="2"/>
  <c r="A14854" i="2"/>
  <c r="A14853" i="2"/>
  <c r="A14852" i="2"/>
  <c r="A14851" i="2"/>
  <c r="A14850" i="2"/>
  <c r="A14849" i="2"/>
  <c r="A14848" i="2"/>
  <c r="A14847" i="2"/>
  <c r="A14846" i="2"/>
  <c r="A14845" i="2"/>
  <c r="A14844" i="2"/>
  <c r="A14843" i="2"/>
  <c r="A14842" i="2"/>
  <c r="A14841" i="2"/>
  <c r="A14840" i="2"/>
  <c r="A14839" i="2"/>
  <c r="A14838" i="2"/>
  <c r="A14837" i="2"/>
  <c r="A14836" i="2"/>
  <c r="A14835" i="2"/>
  <c r="A14834" i="2"/>
  <c r="A14833" i="2"/>
  <c r="A14832" i="2"/>
  <c r="A14831" i="2"/>
  <c r="A14830" i="2"/>
  <c r="A14829" i="2"/>
  <c r="A14828" i="2"/>
  <c r="A14827" i="2"/>
  <c r="A14826" i="2"/>
  <c r="A14825" i="2"/>
  <c r="A14824" i="2"/>
  <c r="A14823" i="2"/>
  <c r="A14822" i="2"/>
  <c r="A14821" i="2"/>
  <c r="A14820" i="2"/>
  <c r="A14819" i="2"/>
  <c r="A14818" i="2"/>
  <c r="A14817" i="2"/>
  <c r="A14816" i="2"/>
  <c r="A14815" i="2"/>
  <c r="A14814" i="2"/>
  <c r="A14813" i="2"/>
  <c r="A14812" i="2"/>
  <c r="A14811" i="2"/>
  <c r="A14810" i="2"/>
  <c r="A14809" i="2"/>
  <c r="A14808" i="2"/>
  <c r="A14807" i="2"/>
  <c r="A14806" i="2"/>
  <c r="A14805" i="2"/>
  <c r="A14804" i="2"/>
  <c r="A14803" i="2"/>
  <c r="A14802" i="2"/>
  <c r="A14801" i="2"/>
  <c r="A14800" i="2"/>
  <c r="A14799" i="2"/>
  <c r="A14798" i="2"/>
  <c r="A14797" i="2"/>
  <c r="A14796" i="2"/>
  <c r="A14795" i="2"/>
  <c r="A14794" i="2"/>
  <c r="A14793" i="2"/>
  <c r="A14792" i="2"/>
  <c r="A14791" i="2"/>
  <c r="A14790" i="2"/>
  <c r="A14789" i="2"/>
  <c r="A14788" i="2"/>
  <c r="A14787" i="2"/>
  <c r="A14786" i="2"/>
  <c r="A14785" i="2"/>
  <c r="A14784" i="2"/>
  <c r="A14783" i="2"/>
  <c r="A14782" i="2"/>
  <c r="A14781" i="2"/>
  <c r="A14780" i="2"/>
  <c r="A14779" i="2"/>
  <c r="A14778" i="2"/>
  <c r="A14777" i="2"/>
  <c r="A14776" i="2"/>
  <c r="A14775" i="2"/>
  <c r="A14774" i="2"/>
  <c r="A14773" i="2"/>
  <c r="A14772" i="2"/>
  <c r="A14771" i="2"/>
  <c r="A14770" i="2"/>
  <c r="A14769" i="2"/>
  <c r="A14768" i="2"/>
  <c r="A14767" i="2"/>
  <c r="A14766" i="2"/>
  <c r="A14765" i="2"/>
  <c r="A14764" i="2"/>
  <c r="A14763" i="2"/>
  <c r="A14762" i="2"/>
  <c r="A14761" i="2"/>
  <c r="A14760" i="2"/>
  <c r="A14759" i="2"/>
  <c r="A14758" i="2"/>
  <c r="A14757" i="2"/>
  <c r="A14756" i="2"/>
  <c r="A14755" i="2"/>
  <c r="A14754" i="2"/>
  <c r="A14753" i="2"/>
  <c r="A14752" i="2"/>
  <c r="A14751" i="2"/>
  <c r="A14750" i="2"/>
  <c r="A14749" i="2"/>
  <c r="A14748" i="2"/>
  <c r="A14747" i="2"/>
  <c r="A14746" i="2"/>
  <c r="A14745" i="2"/>
  <c r="A14744" i="2"/>
  <c r="A14743" i="2"/>
  <c r="A14742" i="2"/>
  <c r="A14741" i="2"/>
  <c r="A14740" i="2"/>
  <c r="A14739" i="2"/>
  <c r="A14738" i="2"/>
  <c r="A14737" i="2"/>
  <c r="A14736" i="2"/>
  <c r="A14735" i="2"/>
  <c r="A14734" i="2"/>
  <c r="A14733" i="2"/>
  <c r="A14732" i="2"/>
  <c r="A14731" i="2"/>
  <c r="A14730" i="2"/>
  <c r="A14729" i="2"/>
  <c r="A14728" i="2"/>
  <c r="A14727" i="2"/>
  <c r="A14726" i="2"/>
  <c r="A14725" i="2"/>
  <c r="A14724" i="2"/>
  <c r="A14723" i="2"/>
  <c r="A14722" i="2"/>
  <c r="A14721" i="2"/>
  <c r="A14720" i="2"/>
  <c r="A14719" i="2"/>
  <c r="A14718" i="2"/>
  <c r="A14717" i="2"/>
  <c r="A14716" i="2"/>
  <c r="A14715" i="2"/>
  <c r="A14714" i="2"/>
  <c r="A14713" i="2"/>
  <c r="A14712" i="2"/>
  <c r="A14711" i="2"/>
  <c r="A14710" i="2"/>
  <c r="A14709" i="2"/>
  <c r="A14708" i="2"/>
  <c r="A14707" i="2"/>
  <c r="A14706" i="2"/>
  <c r="A14705" i="2"/>
  <c r="A14704" i="2"/>
  <c r="A14703" i="2"/>
  <c r="A14702" i="2"/>
  <c r="A14701" i="2"/>
  <c r="A14700" i="2"/>
  <c r="A14699" i="2"/>
  <c r="A14698" i="2"/>
  <c r="A14697" i="2"/>
  <c r="A14696" i="2"/>
  <c r="A14695" i="2"/>
  <c r="A14694" i="2"/>
  <c r="A14693" i="2"/>
  <c r="A14692" i="2"/>
  <c r="A14691" i="2"/>
  <c r="A14690" i="2"/>
  <c r="A14689" i="2"/>
  <c r="A14688" i="2"/>
  <c r="A14687" i="2"/>
  <c r="A14686" i="2"/>
  <c r="A14685" i="2"/>
  <c r="A14684" i="2"/>
  <c r="A14683" i="2"/>
  <c r="A14682" i="2"/>
  <c r="A14681" i="2"/>
  <c r="A14680" i="2"/>
  <c r="A14679" i="2"/>
  <c r="A14678" i="2"/>
  <c r="A14677" i="2"/>
  <c r="A14676" i="2"/>
  <c r="A14675" i="2"/>
  <c r="A14674" i="2"/>
  <c r="A14673" i="2"/>
  <c r="A14672" i="2"/>
  <c r="A14671" i="2"/>
  <c r="A14670" i="2"/>
  <c r="A14669" i="2"/>
  <c r="A14668" i="2"/>
  <c r="A14667" i="2"/>
  <c r="A14666" i="2"/>
  <c r="A14665" i="2"/>
  <c r="A14664" i="2"/>
  <c r="A14663" i="2"/>
  <c r="A14662" i="2"/>
  <c r="A14661" i="2"/>
  <c r="A14660" i="2"/>
  <c r="A14659" i="2"/>
  <c r="A14658" i="2"/>
  <c r="A14657" i="2"/>
  <c r="A14656" i="2"/>
  <c r="A14655" i="2"/>
  <c r="A14654" i="2"/>
  <c r="A14653" i="2"/>
  <c r="A14652" i="2"/>
  <c r="A14651" i="2"/>
  <c r="A14650" i="2"/>
  <c r="A14649" i="2"/>
  <c r="A14648" i="2"/>
  <c r="A14647" i="2"/>
  <c r="A14646" i="2"/>
  <c r="A14645" i="2"/>
  <c r="A14644" i="2"/>
  <c r="A14643" i="2"/>
  <c r="A14642" i="2"/>
  <c r="A14641" i="2"/>
  <c r="A14640" i="2"/>
  <c r="A14639" i="2"/>
  <c r="A14638" i="2"/>
  <c r="A14637" i="2"/>
  <c r="A14636" i="2"/>
  <c r="A14635" i="2"/>
  <c r="A14634" i="2"/>
  <c r="A14633" i="2"/>
  <c r="A14632" i="2"/>
  <c r="A14631" i="2"/>
  <c r="A14630" i="2"/>
  <c r="A14629" i="2"/>
  <c r="A14628" i="2"/>
  <c r="A14627" i="2"/>
  <c r="A14626" i="2"/>
  <c r="A14625" i="2"/>
  <c r="A14624" i="2"/>
  <c r="A14623" i="2"/>
  <c r="A14622" i="2"/>
  <c r="A14621" i="2"/>
  <c r="A14620" i="2"/>
  <c r="A14619" i="2"/>
  <c r="A14618" i="2"/>
  <c r="A14617" i="2"/>
  <c r="A14616" i="2"/>
  <c r="A14615" i="2"/>
  <c r="A14614" i="2"/>
  <c r="A14613" i="2"/>
  <c r="A14612" i="2"/>
  <c r="A14611" i="2"/>
  <c r="A14610" i="2"/>
  <c r="A14609" i="2"/>
  <c r="A14608" i="2"/>
  <c r="A14607" i="2"/>
  <c r="A14606" i="2"/>
  <c r="A14605" i="2"/>
  <c r="A14604" i="2"/>
  <c r="A14603" i="2"/>
  <c r="A14602" i="2"/>
  <c r="A14601" i="2"/>
  <c r="A14600" i="2"/>
  <c r="A14599" i="2"/>
  <c r="A14598" i="2"/>
  <c r="A14597" i="2"/>
  <c r="A14596" i="2"/>
  <c r="A14595" i="2"/>
  <c r="A14594" i="2"/>
  <c r="A14593" i="2"/>
  <c r="A14592" i="2"/>
  <c r="A14591" i="2"/>
  <c r="A14590" i="2"/>
  <c r="A14589" i="2"/>
  <c r="A14588" i="2"/>
  <c r="A14587" i="2"/>
  <c r="A14586" i="2"/>
  <c r="A14585" i="2"/>
  <c r="A14584" i="2"/>
  <c r="A14583" i="2"/>
  <c r="A14582" i="2"/>
  <c r="A14581" i="2"/>
  <c r="A14580" i="2"/>
  <c r="A14579" i="2"/>
  <c r="A14578" i="2"/>
  <c r="A14577" i="2"/>
  <c r="A14576" i="2"/>
  <c r="A14575" i="2"/>
  <c r="A14574" i="2"/>
  <c r="A14573" i="2"/>
  <c r="A14572" i="2"/>
  <c r="A14571" i="2"/>
  <c r="A14570" i="2"/>
  <c r="A14569" i="2"/>
  <c r="A14568" i="2"/>
  <c r="A14567" i="2"/>
  <c r="A14566" i="2"/>
  <c r="A14565" i="2"/>
  <c r="A14564" i="2"/>
  <c r="A14563" i="2"/>
  <c r="A14562" i="2"/>
  <c r="A14561" i="2"/>
  <c r="A14560" i="2"/>
  <c r="A14559" i="2"/>
  <c r="A14558" i="2"/>
  <c r="A14557" i="2"/>
  <c r="A14556" i="2"/>
  <c r="A14555" i="2"/>
  <c r="A14554" i="2"/>
  <c r="A14553" i="2"/>
  <c r="A14552" i="2"/>
  <c r="A14551" i="2"/>
  <c r="A14550" i="2"/>
  <c r="A14549" i="2"/>
  <c r="A14548" i="2"/>
  <c r="A14547" i="2"/>
  <c r="A14546" i="2"/>
  <c r="A14545" i="2"/>
  <c r="A14544" i="2"/>
  <c r="A14543" i="2"/>
  <c r="A14542" i="2"/>
  <c r="A14541" i="2"/>
  <c r="A14540" i="2"/>
  <c r="A14539" i="2"/>
  <c r="A14538" i="2"/>
  <c r="A14537" i="2"/>
  <c r="A14536" i="2"/>
  <c r="A14535" i="2"/>
  <c r="A14534" i="2"/>
  <c r="A14533" i="2"/>
  <c r="A14532" i="2"/>
  <c r="A14531" i="2"/>
  <c r="A14530" i="2"/>
  <c r="A14529" i="2"/>
  <c r="A14528" i="2"/>
  <c r="A14527" i="2"/>
  <c r="A14526" i="2"/>
  <c r="A14525" i="2"/>
  <c r="A14524" i="2"/>
  <c r="A14523" i="2"/>
  <c r="A14522" i="2"/>
  <c r="A14521" i="2"/>
  <c r="A14520" i="2"/>
  <c r="A14519" i="2"/>
  <c r="A14518" i="2"/>
  <c r="A14517" i="2"/>
  <c r="A14516" i="2"/>
  <c r="A14515" i="2"/>
  <c r="A14514" i="2"/>
  <c r="A14513" i="2"/>
  <c r="A14512" i="2"/>
  <c r="A14511" i="2"/>
  <c r="A14510" i="2"/>
  <c r="A14509" i="2"/>
  <c r="A14508" i="2"/>
  <c r="A14507" i="2"/>
  <c r="A14506" i="2"/>
  <c r="A14505" i="2"/>
  <c r="A14504" i="2"/>
  <c r="A14503" i="2"/>
  <c r="A14502" i="2"/>
  <c r="A14501" i="2"/>
  <c r="A14500" i="2"/>
  <c r="A14499" i="2"/>
  <c r="A14498" i="2"/>
  <c r="A14497" i="2"/>
  <c r="A14496" i="2"/>
  <c r="A14495" i="2"/>
  <c r="A14494" i="2"/>
  <c r="A14493" i="2"/>
  <c r="A14492" i="2"/>
  <c r="A14491" i="2"/>
  <c r="A14490" i="2"/>
  <c r="A14489" i="2"/>
  <c r="A14488" i="2"/>
  <c r="A14487" i="2"/>
  <c r="A14486" i="2"/>
  <c r="A14485" i="2"/>
  <c r="A14484" i="2"/>
  <c r="A14483" i="2"/>
  <c r="A14482" i="2"/>
  <c r="A14481" i="2"/>
  <c r="A14480" i="2"/>
  <c r="A14479" i="2"/>
  <c r="A14478" i="2"/>
  <c r="A14477" i="2"/>
  <c r="A14476" i="2"/>
  <c r="A14475" i="2"/>
  <c r="A14474" i="2"/>
  <c r="A14473" i="2"/>
  <c r="A14472" i="2"/>
  <c r="A14471" i="2"/>
  <c r="A14470" i="2"/>
  <c r="A14469" i="2"/>
  <c r="A14468" i="2"/>
  <c r="A14467" i="2"/>
  <c r="A14466" i="2"/>
  <c r="A14465" i="2"/>
  <c r="A14464" i="2"/>
  <c r="A14463" i="2"/>
  <c r="A14462" i="2"/>
  <c r="A14461" i="2"/>
  <c r="A14460" i="2"/>
  <c r="A14459" i="2"/>
  <c r="A14458" i="2"/>
  <c r="A14457" i="2"/>
  <c r="A14456" i="2"/>
  <c r="A14455" i="2"/>
  <c r="A14454" i="2"/>
  <c r="A14453" i="2"/>
  <c r="A14452" i="2"/>
  <c r="A14451" i="2"/>
  <c r="A14450" i="2"/>
  <c r="A14449" i="2"/>
  <c r="A14448" i="2"/>
  <c r="A14447" i="2"/>
  <c r="A14446" i="2"/>
  <c r="A14445" i="2"/>
  <c r="A14444" i="2"/>
  <c r="A14443" i="2"/>
  <c r="A14442" i="2"/>
  <c r="A14441" i="2"/>
  <c r="A14440" i="2"/>
  <c r="A14439" i="2"/>
  <c r="A14438" i="2"/>
  <c r="A14437" i="2"/>
  <c r="A14436" i="2"/>
  <c r="A14435" i="2"/>
  <c r="A14434" i="2"/>
  <c r="A14433" i="2"/>
  <c r="A14432" i="2"/>
  <c r="A14431" i="2"/>
  <c r="A14430" i="2"/>
  <c r="A14429" i="2"/>
  <c r="A14428" i="2"/>
  <c r="A14427" i="2"/>
  <c r="A14426" i="2"/>
  <c r="A14425" i="2"/>
  <c r="A14424" i="2"/>
  <c r="A14423" i="2"/>
  <c r="A14422" i="2"/>
  <c r="A14421" i="2"/>
  <c r="A14420" i="2"/>
  <c r="A14419" i="2"/>
  <c r="A14418" i="2"/>
  <c r="A14417" i="2"/>
  <c r="A14416" i="2"/>
  <c r="A14415" i="2"/>
  <c r="A14414" i="2"/>
  <c r="A14413" i="2"/>
  <c r="A14412" i="2"/>
  <c r="A14411" i="2"/>
  <c r="A14410" i="2"/>
  <c r="A14409" i="2"/>
  <c r="A14408" i="2"/>
  <c r="A14407" i="2"/>
  <c r="A14406" i="2"/>
  <c r="A14405" i="2"/>
  <c r="A14404" i="2"/>
  <c r="A14403" i="2"/>
  <c r="A14402" i="2"/>
  <c r="A14401" i="2"/>
  <c r="A14400" i="2"/>
  <c r="A14399" i="2"/>
  <c r="A14398" i="2"/>
  <c r="A14397" i="2"/>
  <c r="A14396" i="2"/>
  <c r="A14395" i="2"/>
  <c r="A14394" i="2"/>
  <c r="A14393" i="2"/>
  <c r="A14392" i="2"/>
  <c r="A14391" i="2"/>
  <c r="A14390" i="2"/>
  <c r="A14389" i="2"/>
  <c r="A14388" i="2"/>
  <c r="A14387" i="2"/>
  <c r="A14386" i="2"/>
  <c r="A14385" i="2"/>
  <c r="A14384" i="2"/>
  <c r="A14383" i="2"/>
  <c r="A14382" i="2"/>
  <c r="A14381" i="2"/>
  <c r="A14380" i="2"/>
  <c r="A14379" i="2"/>
  <c r="A14378" i="2"/>
  <c r="A14377" i="2"/>
  <c r="A14376" i="2"/>
  <c r="A14375" i="2"/>
  <c r="A14374" i="2"/>
  <c r="A14373" i="2"/>
  <c r="A14372" i="2"/>
  <c r="A14371" i="2"/>
  <c r="A14370" i="2"/>
  <c r="A14369" i="2"/>
  <c r="A14368" i="2"/>
  <c r="A14367" i="2"/>
  <c r="A14366" i="2"/>
  <c r="A14365" i="2"/>
  <c r="A14364" i="2"/>
  <c r="A14363" i="2"/>
  <c r="A14362" i="2"/>
  <c r="A14361" i="2"/>
  <c r="A14360" i="2"/>
  <c r="A14359" i="2"/>
  <c r="A14358" i="2"/>
  <c r="A14357" i="2"/>
  <c r="A14356" i="2"/>
  <c r="A14355" i="2"/>
  <c r="A14354" i="2"/>
  <c r="A14353" i="2"/>
  <c r="A14352" i="2"/>
  <c r="A14351" i="2"/>
  <c r="A14350" i="2"/>
  <c r="A14349" i="2"/>
  <c r="A14348" i="2"/>
  <c r="A14347" i="2"/>
  <c r="A14346" i="2"/>
  <c r="A14345" i="2"/>
  <c r="A14344" i="2"/>
  <c r="A14343" i="2"/>
  <c r="A14342" i="2"/>
  <c r="A14341" i="2"/>
  <c r="A14340" i="2"/>
  <c r="A14339" i="2"/>
  <c r="A14338" i="2"/>
  <c r="A14337" i="2"/>
  <c r="A14336" i="2"/>
  <c r="A14335" i="2"/>
  <c r="A14334" i="2"/>
  <c r="A14333" i="2"/>
  <c r="A14332" i="2"/>
  <c r="A14331" i="2"/>
  <c r="A14330" i="2"/>
  <c r="A14329" i="2"/>
  <c r="A14328" i="2"/>
  <c r="A14327" i="2"/>
  <c r="A14326" i="2"/>
  <c r="A14325" i="2"/>
  <c r="A14324" i="2"/>
  <c r="A14323" i="2"/>
  <c r="A14322" i="2"/>
  <c r="A14321" i="2"/>
  <c r="A14320" i="2"/>
  <c r="A14319" i="2"/>
  <c r="A14318" i="2"/>
  <c r="A14317" i="2"/>
  <c r="A14316" i="2"/>
  <c r="A14315" i="2"/>
  <c r="A14314" i="2"/>
  <c r="A14313" i="2"/>
  <c r="A14312" i="2"/>
  <c r="A14311" i="2"/>
  <c r="A14310" i="2"/>
  <c r="A14309" i="2"/>
  <c r="A14308" i="2"/>
  <c r="A14307" i="2"/>
  <c r="A14306" i="2"/>
  <c r="A14305" i="2"/>
  <c r="A14304" i="2"/>
  <c r="A14303" i="2"/>
  <c r="A14302" i="2"/>
  <c r="A14301" i="2"/>
  <c r="A14300" i="2"/>
  <c r="A14299" i="2"/>
  <c r="A14298" i="2"/>
  <c r="A14297" i="2"/>
  <c r="A14296" i="2"/>
  <c r="A14295" i="2"/>
  <c r="A14294" i="2"/>
  <c r="A14293" i="2"/>
  <c r="A14292" i="2"/>
  <c r="A14291" i="2"/>
  <c r="A14290" i="2"/>
  <c r="A14289" i="2"/>
  <c r="A14288" i="2"/>
  <c r="A14287" i="2"/>
  <c r="A14286" i="2"/>
  <c r="A14285" i="2"/>
  <c r="A14284" i="2"/>
  <c r="A14283" i="2"/>
  <c r="A14282" i="2"/>
  <c r="A14281" i="2"/>
  <c r="A14280" i="2"/>
  <c r="A14279" i="2"/>
  <c r="A14278" i="2"/>
  <c r="A14277" i="2"/>
  <c r="A14276" i="2"/>
  <c r="A14275" i="2"/>
  <c r="A14274" i="2"/>
  <c r="A14273" i="2"/>
  <c r="A14272" i="2"/>
  <c r="A14271" i="2"/>
  <c r="A14270" i="2"/>
  <c r="A14269" i="2"/>
  <c r="A14268" i="2"/>
  <c r="A14267" i="2"/>
  <c r="A14266" i="2"/>
  <c r="A14265" i="2"/>
  <c r="A14264" i="2"/>
  <c r="A14263" i="2"/>
  <c r="A14262" i="2"/>
  <c r="A14261" i="2"/>
  <c r="A14260" i="2"/>
  <c r="A14259" i="2"/>
  <c r="A14258" i="2"/>
  <c r="A14257" i="2"/>
  <c r="A14256" i="2"/>
  <c r="A14255" i="2"/>
  <c r="A14254" i="2"/>
  <c r="A14253" i="2"/>
  <c r="A14252" i="2"/>
  <c r="A14251" i="2"/>
  <c r="A14250" i="2"/>
  <c r="A14249" i="2"/>
  <c r="A14248" i="2"/>
  <c r="A14247" i="2"/>
  <c r="A14246" i="2"/>
  <c r="A14245" i="2"/>
  <c r="A14244" i="2"/>
  <c r="A14243" i="2"/>
  <c r="A14242" i="2"/>
  <c r="A14241" i="2"/>
  <c r="A14240" i="2"/>
  <c r="A14239" i="2"/>
  <c r="A14238" i="2"/>
  <c r="A14237" i="2"/>
  <c r="A14236" i="2"/>
  <c r="A14235" i="2"/>
  <c r="A14234" i="2"/>
  <c r="A14233" i="2"/>
  <c r="A14232" i="2"/>
  <c r="A14231" i="2"/>
  <c r="A14230" i="2"/>
  <c r="A14229" i="2"/>
  <c r="A14228" i="2"/>
  <c r="A14227" i="2"/>
  <c r="A14226" i="2"/>
  <c r="A14225" i="2"/>
  <c r="A14224" i="2"/>
  <c r="A14223" i="2"/>
  <c r="A14222" i="2"/>
  <c r="A14221" i="2"/>
  <c r="A14220" i="2"/>
  <c r="A14219" i="2"/>
  <c r="A14218" i="2"/>
  <c r="A14217" i="2"/>
  <c r="A14216" i="2"/>
  <c r="A14215" i="2"/>
  <c r="A14214" i="2"/>
  <c r="A14213" i="2"/>
  <c r="A14212" i="2"/>
  <c r="A14211" i="2"/>
  <c r="A14210" i="2"/>
  <c r="A14209" i="2"/>
  <c r="A14208" i="2"/>
  <c r="A14207" i="2"/>
  <c r="A14206" i="2"/>
  <c r="A14205" i="2"/>
  <c r="A14204" i="2"/>
  <c r="A14203" i="2"/>
  <c r="A14202" i="2"/>
  <c r="A14201" i="2"/>
  <c r="A14200" i="2"/>
  <c r="A14199" i="2"/>
  <c r="A14198" i="2"/>
  <c r="A14197" i="2"/>
  <c r="A14196" i="2"/>
  <c r="A14195" i="2"/>
  <c r="A14194" i="2"/>
  <c r="A14193" i="2"/>
  <c r="A14192" i="2"/>
  <c r="A14191" i="2"/>
  <c r="A14190" i="2"/>
  <c r="A14189" i="2"/>
  <c r="A14188" i="2"/>
  <c r="A14187" i="2"/>
  <c r="A14186" i="2"/>
  <c r="A14185" i="2"/>
  <c r="A14184" i="2"/>
  <c r="A14183" i="2"/>
  <c r="A14182" i="2"/>
  <c r="A14181" i="2"/>
  <c r="A14180" i="2"/>
  <c r="A14179" i="2"/>
  <c r="A14178" i="2"/>
  <c r="A14177" i="2"/>
  <c r="A14176" i="2"/>
  <c r="A14175" i="2"/>
  <c r="A14174" i="2"/>
  <c r="A14173" i="2"/>
  <c r="A14172" i="2"/>
  <c r="A14171" i="2"/>
  <c r="A14170" i="2"/>
  <c r="A14169" i="2"/>
  <c r="A14168" i="2"/>
  <c r="A14167" i="2"/>
  <c r="A14166" i="2"/>
  <c r="A14165" i="2"/>
  <c r="A14164" i="2"/>
  <c r="A14163" i="2"/>
  <c r="A14162" i="2"/>
  <c r="A14161" i="2"/>
  <c r="A14160" i="2"/>
  <c r="A14159" i="2"/>
  <c r="A14158" i="2"/>
  <c r="A14157" i="2"/>
  <c r="A14156" i="2"/>
  <c r="A14155" i="2"/>
  <c r="A14154" i="2"/>
  <c r="A14153" i="2"/>
  <c r="A14152" i="2"/>
  <c r="A14151" i="2"/>
  <c r="A14150" i="2"/>
  <c r="A14149" i="2"/>
  <c r="A14148" i="2"/>
  <c r="A14147" i="2"/>
  <c r="A14146" i="2"/>
  <c r="A14145" i="2"/>
  <c r="A14144" i="2"/>
  <c r="A14143" i="2"/>
  <c r="A14142" i="2"/>
  <c r="A14141" i="2"/>
  <c r="A14140" i="2"/>
  <c r="A14139" i="2"/>
  <c r="A14138" i="2"/>
  <c r="A14137" i="2"/>
  <c r="A14136" i="2"/>
  <c r="A14135" i="2"/>
  <c r="A14134" i="2"/>
  <c r="A14133" i="2"/>
  <c r="A14132" i="2"/>
  <c r="A14131" i="2"/>
  <c r="A14130" i="2"/>
  <c r="A14129" i="2"/>
  <c r="A14128" i="2"/>
  <c r="A14127" i="2"/>
  <c r="A14126" i="2"/>
  <c r="A14125" i="2"/>
  <c r="A14124" i="2"/>
  <c r="A14123" i="2"/>
  <c r="A14122" i="2"/>
  <c r="A14121" i="2"/>
  <c r="A14120" i="2"/>
  <c r="A14119" i="2"/>
  <c r="A14118" i="2"/>
  <c r="A14117" i="2"/>
  <c r="A14116" i="2"/>
  <c r="A14115" i="2"/>
  <c r="A14114" i="2"/>
  <c r="A14113" i="2"/>
  <c r="A14112" i="2"/>
  <c r="A14111" i="2"/>
  <c r="A14110" i="2"/>
  <c r="A14109" i="2"/>
  <c r="A14108" i="2"/>
  <c r="A14107" i="2"/>
  <c r="A14106" i="2"/>
  <c r="A14105" i="2"/>
  <c r="A14104" i="2"/>
  <c r="A14103" i="2"/>
  <c r="A14102" i="2"/>
  <c r="A14101" i="2"/>
  <c r="A14100" i="2"/>
  <c r="A14099" i="2"/>
  <c r="A14098" i="2"/>
  <c r="A14097" i="2"/>
  <c r="A14096" i="2"/>
  <c r="A14095" i="2"/>
  <c r="A14094" i="2"/>
  <c r="A14093" i="2"/>
  <c r="A14092" i="2"/>
  <c r="A14091" i="2"/>
  <c r="A14090" i="2"/>
  <c r="A14089" i="2"/>
  <c r="A14088" i="2"/>
  <c r="A14087" i="2"/>
  <c r="A14086" i="2"/>
  <c r="A14085" i="2"/>
  <c r="A14084" i="2"/>
  <c r="A14083" i="2"/>
  <c r="A14082" i="2"/>
  <c r="A14081" i="2"/>
  <c r="A14080" i="2"/>
  <c r="A14079" i="2"/>
  <c r="A14078" i="2"/>
  <c r="A14077" i="2"/>
  <c r="A14076" i="2"/>
  <c r="A14075" i="2"/>
  <c r="A14074" i="2"/>
  <c r="A14073" i="2"/>
  <c r="A14072" i="2"/>
  <c r="A14071" i="2"/>
  <c r="A14070" i="2"/>
  <c r="A14069" i="2"/>
  <c r="A14068" i="2"/>
  <c r="A14067" i="2"/>
  <c r="A14066" i="2"/>
  <c r="A14065" i="2"/>
  <c r="A14064" i="2"/>
  <c r="A14063" i="2"/>
  <c r="A14062" i="2"/>
  <c r="A14061" i="2"/>
  <c r="A14060" i="2"/>
  <c r="A14059" i="2"/>
  <c r="A14058" i="2"/>
  <c r="A14057" i="2"/>
  <c r="A14056" i="2"/>
  <c r="A14055" i="2"/>
  <c r="A14054" i="2"/>
  <c r="A14053" i="2"/>
  <c r="A14052" i="2"/>
  <c r="A14051" i="2"/>
  <c r="A14050" i="2"/>
  <c r="A14049" i="2"/>
  <c r="A14048" i="2"/>
  <c r="A14047" i="2"/>
  <c r="A14046" i="2"/>
  <c r="A14045" i="2"/>
  <c r="A14044" i="2"/>
  <c r="A14043" i="2"/>
  <c r="A14042" i="2"/>
  <c r="A14041" i="2"/>
  <c r="A14040" i="2"/>
  <c r="A14039" i="2"/>
  <c r="A14038" i="2"/>
  <c r="A14037" i="2"/>
  <c r="A14036" i="2"/>
  <c r="A14035" i="2"/>
  <c r="A14034" i="2"/>
  <c r="A14033" i="2"/>
  <c r="A14032" i="2"/>
  <c r="A14031" i="2"/>
  <c r="A14030" i="2"/>
  <c r="A14029" i="2"/>
  <c r="A14028" i="2"/>
  <c r="A14027" i="2"/>
  <c r="A14026" i="2"/>
  <c r="A14025" i="2"/>
  <c r="A14024" i="2"/>
  <c r="A14023" i="2"/>
  <c r="A14022" i="2"/>
  <c r="A14021" i="2"/>
  <c r="A14020" i="2"/>
  <c r="A14019" i="2"/>
  <c r="A14018" i="2"/>
  <c r="A14017" i="2"/>
  <c r="A14016" i="2"/>
  <c r="A14015" i="2"/>
  <c r="A14014" i="2"/>
  <c r="A14013" i="2"/>
  <c r="A14012" i="2"/>
  <c r="A14011" i="2"/>
  <c r="A14010" i="2"/>
  <c r="A14009" i="2"/>
  <c r="A14008" i="2"/>
  <c r="A14007" i="2"/>
  <c r="A14006" i="2"/>
  <c r="A14005" i="2"/>
  <c r="A14004" i="2"/>
  <c r="A14003" i="2"/>
  <c r="A14002" i="2"/>
  <c r="A14001" i="2"/>
  <c r="A14000" i="2"/>
  <c r="A13999" i="2"/>
  <c r="A13998" i="2"/>
  <c r="A13997" i="2"/>
  <c r="A13996" i="2"/>
  <c r="A13995" i="2"/>
  <c r="A13994" i="2"/>
  <c r="A13993" i="2"/>
  <c r="A13992" i="2"/>
  <c r="A13991" i="2"/>
  <c r="A13990" i="2"/>
  <c r="A13989" i="2"/>
  <c r="A13988" i="2"/>
  <c r="A13987" i="2"/>
  <c r="A13986" i="2"/>
  <c r="A13985" i="2"/>
  <c r="A13984" i="2"/>
  <c r="A13983" i="2"/>
  <c r="A13982" i="2"/>
  <c r="A13981" i="2"/>
  <c r="A13980" i="2"/>
  <c r="A13979" i="2"/>
  <c r="A13978" i="2"/>
  <c r="A13977" i="2"/>
  <c r="A13976" i="2"/>
  <c r="A13975" i="2"/>
  <c r="A13974" i="2"/>
  <c r="A13973" i="2"/>
  <c r="A13972" i="2"/>
  <c r="A13971" i="2"/>
  <c r="A13970" i="2"/>
  <c r="A13969" i="2"/>
  <c r="A13968" i="2"/>
  <c r="A13967" i="2"/>
  <c r="A13966" i="2"/>
  <c r="A13965" i="2"/>
  <c r="A13964" i="2"/>
  <c r="A13963" i="2"/>
  <c r="A13962" i="2"/>
  <c r="A13961" i="2"/>
  <c r="A13960" i="2"/>
  <c r="A13959" i="2"/>
  <c r="A13958" i="2"/>
  <c r="A13957" i="2"/>
  <c r="A13956" i="2"/>
  <c r="A13955" i="2"/>
  <c r="A13954" i="2"/>
  <c r="A13953" i="2"/>
  <c r="A13952" i="2"/>
  <c r="A13951" i="2"/>
  <c r="A13950" i="2"/>
  <c r="A13949" i="2"/>
  <c r="A13948" i="2"/>
  <c r="A13947" i="2"/>
  <c r="A13946" i="2"/>
  <c r="A13945" i="2"/>
  <c r="A13944" i="2"/>
  <c r="A13943" i="2"/>
  <c r="A13942" i="2"/>
  <c r="A13941" i="2"/>
  <c r="A13940" i="2"/>
  <c r="A13939" i="2"/>
  <c r="A13938" i="2"/>
  <c r="A13937" i="2"/>
  <c r="A13936" i="2"/>
  <c r="A13935" i="2"/>
  <c r="A13934" i="2"/>
  <c r="A13933" i="2"/>
  <c r="A13932" i="2"/>
  <c r="A13931" i="2"/>
  <c r="A13930" i="2"/>
  <c r="A13929" i="2"/>
  <c r="A13928" i="2"/>
  <c r="A13927" i="2"/>
  <c r="A13926" i="2"/>
  <c r="A13925" i="2"/>
  <c r="A13924" i="2"/>
  <c r="A13923" i="2"/>
  <c r="A13922" i="2"/>
  <c r="A13921" i="2"/>
  <c r="A13920" i="2"/>
  <c r="A13919" i="2"/>
  <c r="A13918" i="2"/>
  <c r="A13917" i="2"/>
  <c r="A13916" i="2"/>
  <c r="A13915" i="2"/>
  <c r="A13914" i="2"/>
  <c r="A13913" i="2"/>
  <c r="A13912" i="2"/>
  <c r="A13911" i="2"/>
  <c r="A13910" i="2"/>
  <c r="A13909" i="2"/>
  <c r="A13908" i="2"/>
  <c r="A13907" i="2"/>
  <c r="A13906" i="2"/>
  <c r="A13905" i="2"/>
  <c r="A13904" i="2"/>
  <c r="A13903" i="2"/>
  <c r="A13902" i="2"/>
  <c r="A13901" i="2"/>
  <c r="A13900" i="2"/>
  <c r="A13899" i="2"/>
  <c r="A13898" i="2"/>
  <c r="A13897" i="2"/>
  <c r="A13896" i="2"/>
  <c r="A13895" i="2"/>
  <c r="A13894" i="2"/>
  <c r="A13893" i="2"/>
  <c r="A13892" i="2"/>
  <c r="A13891" i="2"/>
  <c r="A13890" i="2"/>
  <c r="A13889" i="2"/>
  <c r="A13888" i="2"/>
  <c r="A13887" i="2"/>
  <c r="A13886" i="2"/>
  <c r="A13885" i="2"/>
  <c r="A13884" i="2"/>
  <c r="A13883" i="2"/>
  <c r="A13882" i="2"/>
  <c r="A13881" i="2"/>
  <c r="A13880" i="2"/>
  <c r="A13879" i="2"/>
  <c r="A13878" i="2"/>
  <c r="A13877" i="2"/>
  <c r="A13876" i="2"/>
  <c r="A13875" i="2"/>
  <c r="A13874" i="2"/>
  <c r="A13873" i="2"/>
  <c r="A13872" i="2"/>
  <c r="A13871" i="2"/>
  <c r="A13870" i="2"/>
  <c r="A13869" i="2"/>
  <c r="A13868" i="2"/>
  <c r="A13867" i="2"/>
  <c r="A13866" i="2"/>
  <c r="A13865" i="2"/>
  <c r="A13864" i="2"/>
  <c r="A13863" i="2"/>
  <c r="A13862" i="2"/>
  <c r="A13861" i="2"/>
  <c r="A13860" i="2"/>
  <c r="A13859" i="2"/>
  <c r="A13858" i="2"/>
  <c r="A13857" i="2"/>
  <c r="A13856" i="2"/>
  <c r="A13855" i="2"/>
  <c r="A13854" i="2"/>
  <c r="A13853" i="2"/>
  <c r="A13852" i="2"/>
  <c r="A13851" i="2"/>
  <c r="A13850" i="2"/>
  <c r="A13849" i="2"/>
  <c r="A13848" i="2"/>
  <c r="A13847" i="2"/>
  <c r="A13846" i="2"/>
  <c r="A13845" i="2"/>
  <c r="A13844" i="2"/>
  <c r="A13843" i="2"/>
  <c r="A13842" i="2"/>
  <c r="A13841" i="2"/>
  <c r="A13840" i="2"/>
  <c r="A13839" i="2"/>
  <c r="A13838" i="2"/>
  <c r="A13837" i="2"/>
  <c r="A13836" i="2"/>
  <c r="A13835" i="2"/>
  <c r="A13834" i="2"/>
  <c r="A13833" i="2"/>
  <c r="A13832" i="2"/>
  <c r="A13831" i="2"/>
  <c r="A13830" i="2"/>
  <c r="A13829" i="2"/>
  <c r="A13828" i="2"/>
  <c r="A13827" i="2"/>
  <c r="A13826" i="2"/>
  <c r="A13825" i="2"/>
  <c r="A13824" i="2"/>
  <c r="A13823" i="2"/>
  <c r="A13822" i="2"/>
  <c r="A13821" i="2"/>
  <c r="A13820" i="2"/>
  <c r="A13819" i="2"/>
  <c r="A13818" i="2"/>
  <c r="A13817" i="2"/>
  <c r="A13816" i="2"/>
  <c r="A13815" i="2"/>
  <c r="A13814" i="2"/>
  <c r="A13813" i="2"/>
  <c r="A13812" i="2"/>
  <c r="A13811" i="2"/>
  <c r="A13810" i="2"/>
  <c r="A13809" i="2"/>
  <c r="A13808" i="2"/>
  <c r="A13807" i="2"/>
  <c r="A13806" i="2"/>
  <c r="A13805" i="2"/>
  <c r="A13804" i="2"/>
  <c r="A13803" i="2"/>
  <c r="A13802" i="2"/>
  <c r="A13801" i="2"/>
  <c r="A13800" i="2"/>
  <c r="A13799" i="2"/>
  <c r="A13798" i="2"/>
  <c r="A13797" i="2"/>
  <c r="A13796" i="2"/>
  <c r="A13795" i="2"/>
  <c r="A13794" i="2"/>
  <c r="A13793" i="2"/>
  <c r="A13792" i="2"/>
  <c r="A13791" i="2"/>
  <c r="A13790" i="2"/>
  <c r="A13789" i="2"/>
  <c r="A13788" i="2"/>
  <c r="A13787" i="2"/>
  <c r="A13786" i="2"/>
  <c r="A13785" i="2"/>
  <c r="A13784" i="2"/>
  <c r="A13783" i="2"/>
  <c r="A13782" i="2"/>
  <c r="A13781" i="2"/>
  <c r="A13780" i="2"/>
  <c r="A13779" i="2"/>
  <c r="A13778" i="2"/>
  <c r="A13777" i="2"/>
  <c r="A13776" i="2"/>
  <c r="A13775" i="2"/>
  <c r="A13774" i="2"/>
  <c r="A13773" i="2"/>
  <c r="A13772" i="2"/>
  <c r="A13771" i="2"/>
  <c r="A13770" i="2"/>
  <c r="A13769" i="2"/>
  <c r="A13768" i="2"/>
  <c r="A13767" i="2"/>
  <c r="A13766" i="2"/>
  <c r="A13765" i="2"/>
  <c r="A13764" i="2"/>
  <c r="A13763" i="2"/>
  <c r="A13762" i="2"/>
  <c r="A13761" i="2"/>
  <c r="A13760" i="2"/>
  <c r="A13759" i="2"/>
  <c r="A13758" i="2"/>
  <c r="A13757" i="2"/>
  <c r="A13756" i="2"/>
  <c r="A13755" i="2"/>
  <c r="A13754" i="2"/>
  <c r="A13753" i="2"/>
  <c r="A13752" i="2"/>
  <c r="A13751" i="2"/>
  <c r="A13750" i="2"/>
  <c r="A13749" i="2"/>
  <c r="A13748" i="2"/>
  <c r="A13747" i="2"/>
  <c r="A13746" i="2"/>
  <c r="A13745" i="2"/>
  <c r="A13744" i="2"/>
  <c r="A13743" i="2"/>
  <c r="A13742" i="2"/>
  <c r="A13741" i="2"/>
  <c r="A13740" i="2"/>
  <c r="A13739" i="2"/>
  <c r="A13738" i="2"/>
  <c r="A13737" i="2"/>
  <c r="A13736" i="2"/>
  <c r="A13735" i="2"/>
  <c r="A13734" i="2"/>
  <c r="A13733" i="2"/>
  <c r="A13732" i="2"/>
  <c r="A13731" i="2"/>
  <c r="A13730" i="2"/>
  <c r="A13729" i="2"/>
  <c r="A13728" i="2"/>
  <c r="A13727" i="2"/>
  <c r="A13726" i="2"/>
  <c r="A13725" i="2"/>
  <c r="A13724" i="2"/>
  <c r="A13723" i="2"/>
  <c r="A13722" i="2"/>
  <c r="A13721" i="2"/>
  <c r="A13720" i="2"/>
  <c r="A13719" i="2"/>
  <c r="A13718" i="2"/>
  <c r="A13717" i="2"/>
  <c r="A13716" i="2"/>
  <c r="A13715" i="2"/>
  <c r="A13714" i="2"/>
  <c r="A13713" i="2"/>
  <c r="A13712" i="2"/>
  <c r="A13711" i="2"/>
  <c r="A13710" i="2"/>
  <c r="A13709" i="2"/>
  <c r="A13708" i="2"/>
  <c r="A13707" i="2"/>
  <c r="A13706" i="2"/>
  <c r="A13705" i="2"/>
  <c r="A13704" i="2"/>
  <c r="A13703" i="2"/>
  <c r="A13702" i="2"/>
  <c r="A13701" i="2"/>
  <c r="A13700" i="2"/>
  <c r="A13699" i="2"/>
  <c r="A13698" i="2"/>
  <c r="A13697" i="2"/>
  <c r="A13696" i="2"/>
  <c r="A13695" i="2"/>
  <c r="A13694" i="2"/>
  <c r="A13693" i="2"/>
  <c r="A13692" i="2"/>
  <c r="A13691" i="2"/>
  <c r="A13690" i="2"/>
  <c r="A13689" i="2"/>
  <c r="A13688" i="2"/>
  <c r="A13687" i="2"/>
  <c r="A13686" i="2"/>
  <c r="A13685" i="2"/>
  <c r="A13684" i="2"/>
  <c r="A13683" i="2"/>
  <c r="A13682" i="2"/>
  <c r="A13681" i="2"/>
  <c r="A13680" i="2"/>
  <c r="A13679" i="2"/>
  <c r="A13678" i="2"/>
  <c r="A13677" i="2"/>
  <c r="A13676" i="2"/>
  <c r="A13675" i="2"/>
  <c r="A13674" i="2"/>
  <c r="A13673" i="2"/>
  <c r="A13672" i="2"/>
  <c r="A13671" i="2"/>
  <c r="A13670" i="2"/>
  <c r="A13669" i="2"/>
  <c r="A13668" i="2"/>
  <c r="A13667" i="2"/>
  <c r="A13666" i="2"/>
  <c r="A13665" i="2"/>
  <c r="A13664" i="2"/>
  <c r="A13663" i="2"/>
  <c r="A13662" i="2"/>
  <c r="A13661" i="2"/>
  <c r="A13660" i="2"/>
  <c r="A13659" i="2"/>
  <c r="A13658" i="2"/>
  <c r="A13657" i="2"/>
  <c r="A13656" i="2"/>
  <c r="A13655" i="2"/>
  <c r="A13654" i="2"/>
  <c r="A13653" i="2"/>
  <c r="A13652" i="2"/>
  <c r="A13651" i="2"/>
  <c r="A13650" i="2"/>
  <c r="A13649" i="2"/>
  <c r="A13648" i="2"/>
  <c r="A13647" i="2"/>
  <c r="A13646" i="2"/>
  <c r="A13645" i="2"/>
  <c r="A13644" i="2"/>
  <c r="A13643" i="2"/>
  <c r="A13642" i="2"/>
  <c r="A13641" i="2"/>
  <c r="A13640" i="2"/>
  <c r="A13639" i="2"/>
  <c r="A13638" i="2"/>
  <c r="A13637" i="2"/>
  <c r="A13636" i="2"/>
  <c r="A13635" i="2"/>
  <c r="A13634" i="2"/>
  <c r="A13633" i="2"/>
  <c r="A13632" i="2"/>
  <c r="A13631" i="2"/>
  <c r="A13630" i="2"/>
  <c r="A13629" i="2"/>
  <c r="A13628" i="2"/>
  <c r="A13627" i="2"/>
  <c r="A13626" i="2"/>
  <c r="A13625" i="2"/>
  <c r="A13624" i="2"/>
  <c r="A13623" i="2"/>
  <c r="A13622" i="2"/>
  <c r="A13621" i="2"/>
  <c r="A13620" i="2"/>
  <c r="A13619" i="2"/>
  <c r="A13618" i="2"/>
  <c r="A13617" i="2"/>
  <c r="A13616" i="2"/>
  <c r="A13615" i="2"/>
  <c r="A13614" i="2"/>
  <c r="A13613" i="2"/>
  <c r="A13612" i="2"/>
  <c r="A13611" i="2"/>
  <c r="A13610" i="2"/>
  <c r="A13609" i="2"/>
  <c r="A13608" i="2"/>
  <c r="A13607" i="2"/>
  <c r="A13606" i="2"/>
  <c r="A13605" i="2"/>
  <c r="A13604" i="2"/>
  <c r="A13603" i="2"/>
  <c r="A13602" i="2"/>
  <c r="A13601" i="2"/>
  <c r="A13600" i="2"/>
  <c r="A13599" i="2"/>
  <c r="A13598" i="2"/>
  <c r="A13597" i="2"/>
  <c r="A13596" i="2"/>
  <c r="A13595" i="2"/>
  <c r="A13594" i="2"/>
  <c r="A13593" i="2"/>
  <c r="A13592" i="2"/>
  <c r="A13591" i="2"/>
  <c r="A13590" i="2"/>
  <c r="A13589" i="2"/>
  <c r="A13588" i="2"/>
  <c r="A13587" i="2"/>
  <c r="A13586" i="2"/>
  <c r="A13585" i="2"/>
  <c r="A13584" i="2"/>
  <c r="A13583" i="2"/>
  <c r="A13582" i="2"/>
  <c r="A13581" i="2"/>
  <c r="A13580" i="2"/>
  <c r="A13579" i="2"/>
  <c r="A13578" i="2"/>
  <c r="A13577" i="2"/>
  <c r="A13576" i="2"/>
  <c r="A13575" i="2"/>
  <c r="A13574" i="2"/>
  <c r="A13573" i="2"/>
  <c r="A13572" i="2"/>
  <c r="A13571" i="2"/>
  <c r="A13570" i="2"/>
  <c r="A13569" i="2"/>
  <c r="A13568" i="2"/>
  <c r="A13567" i="2"/>
  <c r="A13566" i="2"/>
  <c r="A13565" i="2"/>
  <c r="A13564" i="2"/>
  <c r="A13563" i="2"/>
  <c r="A13562" i="2"/>
  <c r="A13561" i="2"/>
  <c r="A13560" i="2"/>
  <c r="A13559" i="2"/>
  <c r="A13558" i="2"/>
  <c r="A13557" i="2"/>
  <c r="A13556" i="2"/>
  <c r="A13555" i="2"/>
  <c r="A13554" i="2"/>
  <c r="A13553" i="2"/>
  <c r="A13552" i="2"/>
  <c r="A13551" i="2"/>
  <c r="A13550" i="2"/>
  <c r="A13549" i="2"/>
  <c r="A13548" i="2"/>
  <c r="A13547" i="2"/>
  <c r="A13546" i="2"/>
  <c r="A13545" i="2"/>
  <c r="A13544" i="2"/>
  <c r="A13543" i="2"/>
  <c r="A13542" i="2"/>
  <c r="A13541" i="2"/>
  <c r="A13540" i="2"/>
  <c r="A13539" i="2"/>
  <c r="A13538" i="2"/>
  <c r="A13537" i="2"/>
  <c r="A13536" i="2"/>
  <c r="A13535" i="2"/>
  <c r="A13534" i="2"/>
  <c r="A13533" i="2"/>
  <c r="A13532" i="2"/>
  <c r="A13531" i="2"/>
  <c r="A13530" i="2"/>
  <c r="A13529" i="2"/>
  <c r="A13528" i="2"/>
  <c r="A13527" i="2"/>
  <c r="A13526" i="2"/>
  <c r="A13525" i="2"/>
  <c r="A13524" i="2"/>
  <c r="A13523" i="2"/>
  <c r="A13522" i="2"/>
  <c r="A13521" i="2"/>
  <c r="A13520" i="2"/>
  <c r="A13519" i="2"/>
  <c r="A13518" i="2"/>
  <c r="A13517" i="2"/>
  <c r="A13516" i="2"/>
  <c r="A13515" i="2"/>
  <c r="A13514" i="2"/>
  <c r="A13513" i="2"/>
  <c r="A13512" i="2"/>
  <c r="A13511" i="2"/>
  <c r="A13510" i="2"/>
  <c r="A13509" i="2"/>
  <c r="A13508" i="2"/>
  <c r="A13507" i="2"/>
  <c r="A13506" i="2"/>
  <c r="A13505" i="2"/>
  <c r="A13504" i="2"/>
  <c r="A13503" i="2"/>
  <c r="A13502" i="2"/>
  <c r="A13501" i="2"/>
  <c r="A13500" i="2"/>
  <c r="A13499" i="2"/>
  <c r="A13498" i="2"/>
  <c r="A13497" i="2"/>
  <c r="A13496" i="2"/>
  <c r="A13495" i="2"/>
  <c r="A13494" i="2"/>
  <c r="A13493" i="2"/>
  <c r="A13492" i="2"/>
  <c r="A13491" i="2"/>
  <c r="A13490" i="2"/>
  <c r="A13489" i="2"/>
  <c r="A13488" i="2"/>
  <c r="A13487" i="2"/>
  <c r="A13486" i="2"/>
  <c r="A13485" i="2"/>
  <c r="A13484" i="2"/>
  <c r="A13483" i="2"/>
  <c r="A13482" i="2"/>
  <c r="A13481" i="2"/>
  <c r="A13480" i="2"/>
  <c r="A13479" i="2"/>
  <c r="A13478" i="2"/>
  <c r="A13477" i="2"/>
  <c r="A13476" i="2"/>
  <c r="A13475" i="2"/>
  <c r="A13474" i="2"/>
  <c r="A13473" i="2"/>
  <c r="A13472" i="2"/>
  <c r="A13471" i="2"/>
  <c r="A13470" i="2"/>
  <c r="A13469" i="2"/>
  <c r="A13468" i="2"/>
  <c r="A13467" i="2"/>
  <c r="A13466" i="2"/>
  <c r="A13465" i="2"/>
  <c r="A13464" i="2"/>
  <c r="A13463" i="2"/>
  <c r="A13462" i="2"/>
  <c r="A13461" i="2"/>
  <c r="A13460" i="2"/>
  <c r="A13459" i="2"/>
  <c r="A13458" i="2"/>
  <c r="A13457" i="2"/>
  <c r="A13456" i="2"/>
  <c r="A13455" i="2"/>
  <c r="A13454" i="2"/>
  <c r="A13453" i="2"/>
  <c r="A13452" i="2"/>
  <c r="A13451" i="2"/>
  <c r="A13450" i="2"/>
  <c r="A13449" i="2"/>
  <c r="A13448" i="2"/>
  <c r="A13447" i="2"/>
  <c r="A13446" i="2"/>
  <c r="A13445" i="2"/>
  <c r="A13444" i="2"/>
  <c r="A13443" i="2"/>
  <c r="A13442" i="2"/>
  <c r="A13441" i="2"/>
  <c r="A13440" i="2"/>
  <c r="A13439" i="2"/>
  <c r="A13438" i="2"/>
  <c r="A13437" i="2"/>
  <c r="A13436" i="2"/>
  <c r="A13435" i="2"/>
  <c r="A13434" i="2"/>
  <c r="A13433" i="2"/>
  <c r="A13432" i="2"/>
  <c r="A13431" i="2"/>
  <c r="A13430" i="2"/>
  <c r="A13429" i="2"/>
  <c r="A13428" i="2"/>
  <c r="A13427" i="2"/>
  <c r="A13426" i="2"/>
  <c r="A13425" i="2"/>
  <c r="A13424" i="2"/>
  <c r="A13423" i="2"/>
  <c r="A13422" i="2"/>
  <c r="A13421" i="2"/>
  <c r="A13420" i="2"/>
  <c r="A13419" i="2"/>
  <c r="A13418" i="2"/>
  <c r="A13417" i="2"/>
  <c r="A13416" i="2"/>
  <c r="A13415" i="2"/>
  <c r="A13414" i="2"/>
  <c r="A13413" i="2"/>
  <c r="A13412" i="2"/>
  <c r="A13411" i="2"/>
  <c r="A13410" i="2"/>
  <c r="A13409" i="2"/>
  <c r="A13408" i="2"/>
  <c r="A13407" i="2"/>
  <c r="A13406" i="2"/>
  <c r="A13405" i="2"/>
  <c r="A13404" i="2"/>
  <c r="A13403" i="2"/>
  <c r="A13402" i="2"/>
  <c r="A13401" i="2"/>
  <c r="A13400" i="2"/>
  <c r="A13399" i="2"/>
  <c r="A13398" i="2"/>
  <c r="A13397" i="2"/>
  <c r="A13396" i="2"/>
  <c r="A13395" i="2"/>
  <c r="A13394" i="2"/>
  <c r="A13393" i="2"/>
  <c r="A13392" i="2"/>
  <c r="A13391" i="2"/>
  <c r="A13390" i="2"/>
  <c r="A13389" i="2"/>
  <c r="A13388" i="2"/>
  <c r="A13387" i="2"/>
  <c r="A13386" i="2"/>
  <c r="A13385" i="2"/>
  <c r="A13384" i="2"/>
  <c r="A13383" i="2"/>
  <c r="A13382" i="2"/>
  <c r="A13381" i="2"/>
  <c r="A13380" i="2"/>
  <c r="A13379" i="2"/>
  <c r="A13378" i="2"/>
  <c r="A13377" i="2"/>
  <c r="A13376" i="2"/>
  <c r="A13375" i="2"/>
  <c r="A13374" i="2"/>
  <c r="A13373" i="2"/>
  <c r="A13372" i="2"/>
  <c r="A13371" i="2"/>
  <c r="A13370" i="2"/>
  <c r="A13369" i="2"/>
  <c r="A13368" i="2"/>
  <c r="A13367" i="2"/>
  <c r="A13366" i="2"/>
  <c r="A13365" i="2"/>
  <c r="A13364" i="2"/>
  <c r="A13363" i="2"/>
  <c r="A13362" i="2"/>
  <c r="A13361" i="2"/>
  <c r="A13360" i="2"/>
  <c r="A13359" i="2"/>
  <c r="A13358" i="2"/>
  <c r="A13357" i="2"/>
  <c r="A13356" i="2"/>
  <c r="A13355" i="2"/>
  <c r="A13354" i="2"/>
  <c r="A13353" i="2"/>
  <c r="A13352" i="2"/>
  <c r="A13351" i="2"/>
  <c r="A13350" i="2"/>
  <c r="A13349" i="2"/>
  <c r="A13348" i="2"/>
  <c r="A13347" i="2"/>
  <c r="A13346" i="2"/>
  <c r="A13345" i="2"/>
  <c r="A13344" i="2"/>
  <c r="A13343" i="2"/>
  <c r="A13342" i="2"/>
  <c r="A13341" i="2"/>
  <c r="A13340" i="2"/>
  <c r="A13339" i="2"/>
  <c r="A13338" i="2"/>
  <c r="A13337" i="2"/>
  <c r="A13336" i="2"/>
  <c r="A13335" i="2"/>
  <c r="A13334" i="2"/>
  <c r="A13333" i="2"/>
  <c r="A13332" i="2"/>
  <c r="A13331" i="2"/>
  <c r="A13330" i="2"/>
  <c r="A13329" i="2"/>
  <c r="A13328" i="2"/>
  <c r="A13327" i="2"/>
  <c r="A13326" i="2"/>
  <c r="A13325" i="2"/>
  <c r="A13324" i="2"/>
  <c r="A13323" i="2"/>
  <c r="A13322" i="2"/>
  <c r="A13321" i="2"/>
  <c r="A13320" i="2"/>
  <c r="A13319" i="2"/>
  <c r="A13318" i="2"/>
  <c r="A13317" i="2"/>
  <c r="A13316" i="2"/>
  <c r="A13315" i="2"/>
  <c r="A13314" i="2"/>
  <c r="A13313" i="2"/>
  <c r="A13312" i="2"/>
  <c r="A13311" i="2"/>
  <c r="A13310" i="2"/>
  <c r="A13309" i="2"/>
  <c r="A13308" i="2"/>
  <c r="A13307" i="2"/>
  <c r="A13306" i="2"/>
  <c r="A13305" i="2"/>
  <c r="A13304" i="2"/>
  <c r="A13303" i="2"/>
  <c r="A13302" i="2"/>
  <c r="A13301" i="2"/>
  <c r="A13300" i="2"/>
  <c r="A13299" i="2"/>
  <c r="A13298" i="2"/>
  <c r="A13297" i="2"/>
  <c r="A13296" i="2"/>
  <c r="A13295" i="2"/>
  <c r="A13294" i="2"/>
  <c r="A13293" i="2"/>
  <c r="A13292" i="2"/>
  <c r="A13291" i="2"/>
  <c r="A13290" i="2"/>
  <c r="A13289" i="2"/>
  <c r="A13288" i="2"/>
  <c r="A13287" i="2"/>
  <c r="A13286" i="2"/>
  <c r="A13285" i="2"/>
  <c r="A13284" i="2"/>
  <c r="A13283" i="2"/>
  <c r="A13282" i="2"/>
  <c r="A13281" i="2"/>
  <c r="A13280" i="2"/>
  <c r="A13279" i="2"/>
  <c r="A13278" i="2"/>
  <c r="A13277" i="2"/>
  <c r="A13276" i="2"/>
  <c r="A13275" i="2"/>
  <c r="A13274" i="2"/>
  <c r="A13273" i="2"/>
  <c r="A13272" i="2"/>
  <c r="A13271" i="2"/>
  <c r="A13270" i="2"/>
  <c r="A13269" i="2"/>
  <c r="A13268" i="2"/>
  <c r="A13267" i="2"/>
  <c r="A13266" i="2"/>
  <c r="A13265" i="2"/>
  <c r="A13264" i="2"/>
  <c r="A13263" i="2"/>
  <c r="A13262" i="2"/>
  <c r="A13261" i="2"/>
  <c r="A13260" i="2"/>
  <c r="A13259" i="2"/>
  <c r="A13258" i="2"/>
  <c r="A13257" i="2"/>
  <c r="A13256" i="2"/>
  <c r="A13255" i="2"/>
  <c r="A13254" i="2"/>
  <c r="A13253" i="2"/>
  <c r="A13252" i="2"/>
  <c r="A13251" i="2"/>
  <c r="A13250" i="2"/>
  <c r="A13249" i="2"/>
  <c r="A13248" i="2"/>
  <c r="A13247" i="2"/>
  <c r="A13246" i="2"/>
  <c r="A13245" i="2"/>
  <c r="A13244" i="2"/>
  <c r="A13243" i="2"/>
  <c r="A13242" i="2"/>
  <c r="A13241" i="2"/>
  <c r="A13240" i="2"/>
  <c r="A13239" i="2"/>
  <c r="A13238" i="2"/>
  <c r="A13237" i="2"/>
  <c r="A13236" i="2"/>
  <c r="A13235" i="2"/>
  <c r="A13234" i="2"/>
  <c r="A13233" i="2"/>
  <c r="A13232" i="2"/>
  <c r="A13231" i="2"/>
  <c r="A13230" i="2"/>
  <c r="A13229" i="2"/>
  <c r="A13228" i="2"/>
  <c r="A13227" i="2"/>
  <c r="A13226" i="2"/>
  <c r="A13225" i="2"/>
  <c r="A13224" i="2"/>
  <c r="A13223" i="2"/>
  <c r="A13222" i="2"/>
  <c r="A13221" i="2"/>
  <c r="A13220" i="2"/>
  <c r="A13219" i="2"/>
  <c r="A13218" i="2"/>
  <c r="A13217" i="2"/>
  <c r="A13216" i="2"/>
  <c r="A13215" i="2"/>
  <c r="A13214" i="2"/>
  <c r="A13213" i="2"/>
  <c r="A13212" i="2"/>
  <c r="A13211" i="2"/>
  <c r="A13210" i="2"/>
  <c r="A13209" i="2"/>
  <c r="A13208" i="2"/>
  <c r="A13207" i="2"/>
  <c r="A13206" i="2"/>
  <c r="A13205" i="2"/>
  <c r="A13204" i="2"/>
  <c r="A13203" i="2"/>
  <c r="A13202" i="2"/>
  <c r="A13201" i="2"/>
  <c r="A13200" i="2"/>
  <c r="A13199" i="2"/>
  <c r="A13198" i="2"/>
  <c r="A13197" i="2"/>
  <c r="A13196" i="2"/>
  <c r="A13195" i="2"/>
  <c r="A13194" i="2"/>
  <c r="A13193" i="2"/>
  <c r="A13192" i="2"/>
  <c r="A13191" i="2"/>
  <c r="A13190" i="2"/>
  <c r="A13189" i="2"/>
  <c r="A13188" i="2"/>
  <c r="A13187" i="2"/>
  <c r="A13186" i="2"/>
  <c r="A13185" i="2"/>
  <c r="A13184" i="2"/>
  <c r="A13183" i="2"/>
  <c r="A13182" i="2"/>
  <c r="A13181" i="2"/>
  <c r="A13180" i="2"/>
  <c r="A13179" i="2"/>
  <c r="A13178" i="2"/>
  <c r="A13177" i="2"/>
  <c r="A13176" i="2"/>
  <c r="A13175" i="2"/>
  <c r="A13174" i="2"/>
  <c r="A13173" i="2"/>
  <c r="A13172" i="2"/>
  <c r="A13171" i="2"/>
  <c r="A13170" i="2"/>
  <c r="A13169" i="2"/>
  <c r="A13168" i="2"/>
  <c r="A13167" i="2"/>
  <c r="A13166" i="2"/>
  <c r="A13165" i="2"/>
  <c r="A13164" i="2"/>
  <c r="A13163" i="2"/>
  <c r="A13162" i="2"/>
  <c r="A13161" i="2"/>
  <c r="A13160" i="2"/>
  <c r="A13159" i="2"/>
  <c r="A13158" i="2"/>
  <c r="A13157" i="2"/>
  <c r="A13156" i="2"/>
  <c r="A13155" i="2"/>
  <c r="A13154" i="2"/>
  <c r="A13153" i="2"/>
  <c r="A13152" i="2"/>
  <c r="A13151" i="2"/>
  <c r="A13150" i="2"/>
  <c r="A13149" i="2"/>
  <c r="A13148" i="2"/>
  <c r="A13147" i="2"/>
  <c r="A13146" i="2"/>
  <c r="A13145" i="2"/>
  <c r="A13144" i="2"/>
  <c r="A13143" i="2"/>
  <c r="A13142" i="2"/>
  <c r="A13141" i="2"/>
  <c r="A13140" i="2"/>
  <c r="A13139" i="2"/>
  <c r="A13138" i="2"/>
  <c r="A13137" i="2"/>
  <c r="A13136" i="2"/>
  <c r="A13135" i="2"/>
  <c r="A13134" i="2"/>
  <c r="A13133" i="2"/>
  <c r="A13132" i="2"/>
  <c r="A13131" i="2"/>
  <c r="A13130" i="2"/>
  <c r="A13129" i="2"/>
  <c r="A13128" i="2"/>
  <c r="A13127" i="2"/>
  <c r="A13126" i="2"/>
  <c r="A13125" i="2"/>
  <c r="A13124" i="2"/>
  <c r="A13123" i="2"/>
  <c r="A13122" i="2"/>
  <c r="A13121" i="2"/>
  <c r="A13120" i="2"/>
  <c r="A13119" i="2"/>
  <c r="A13118" i="2"/>
  <c r="A13117" i="2"/>
  <c r="A13116" i="2"/>
  <c r="A13115" i="2"/>
  <c r="A13114" i="2"/>
  <c r="A13113" i="2"/>
  <c r="A13112" i="2"/>
  <c r="A13111" i="2"/>
  <c r="A13110" i="2"/>
  <c r="A13109" i="2"/>
  <c r="A13108" i="2"/>
  <c r="A13107" i="2"/>
  <c r="A13106" i="2"/>
  <c r="A13105" i="2"/>
  <c r="A13104" i="2"/>
  <c r="A13103" i="2"/>
  <c r="A13102" i="2"/>
  <c r="A13101" i="2"/>
  <c r="A13100" i="2"/>
  <c r="A13099" i="2"/>
  <c r="A13098" i="2"/>
  <c r="A13097" i="2"/>
  <c r="A13096" i="2"/>
  <c r="A13095" i="2"/>
  <c r="A13094" i="2"/>
  <c r="A13093" i="2"/>
  <c r="A13092" i="2"/>
  <c r="A13091" i="2"/>
  <c r="A13090" i="2"/>
  <c r="A13089" i="2"/>
  <c r="A13088" i="2"/>
  <c r="A13087" i="2"/>
  <c r="A13086" i="2"/>
  <c r="A13085" i="2"/>
  <c r="A13084" i="2"/>
  <c r="A13083" i="2"/>
  <c r="A13082" i="2"/>
  <c r="A13081" i="2"/>
  <c r="A13080" i="2"/>
  <c r="A13079" i="2"/>
  <c r="A13078" i="2"/>
  <c r="A13077" i="2"/>
  <c r="A13076" i="2"/>
  <c r="A13075" i="2"/>
  <c r="A13074" i="2"/>
  <c r="A13073" i="2"/>
  <c r="A13072" i="2"/>
  <c r="A13071" i="2"/>
  <c r="A13070" i="2"/>
  <c r="A13069" i="2"/>
  <c r="A13068" i="2"/>
  <c r="A13067" i="2"/>
  <c r="A13066" i="2"/>
  <c r="A13065" i="2"/>
  <c r="A13064" i="2"/>
  <c r="A13063" i="2"/>
  <c r="A13062" i="2"/>
  <c r="A13061" i="2"/>
  <c r="A13060" i="2"/>
  <c r="A13059" i="2"/>
  <c r="A13058" i="2"/>
  <c r="A13057" i="2"/>
  <c r="A13056" i="2"/>
  <c r="A13055" i="2"/>
  <c r="A13054" i="2"/>
  <c r="A13053" i="2"/>
  <c r="A13052" i="2"/>
  <c r="A13051" i="2"/>
  <c r="A13050" i="2"/>
  <c r="A13049" i="2"/>
  <c r="A13048" i="2"/>
  <c r="A13047" i="2"/>
  <c r="A13046" i="2"/>
  <c r="A13045" i="2"/>
  <c r="A13044" i="2"/>
  <c r="A13043" i="2"/>
  <c r="A13042" i="2"/>
  <c r="A13041" i="2"/>
  <c r="A13040" i="2"/>
  <c r="A13039" i="2"/>
  <c r="A13038" i="2"/>
  <c r="A13037" i="2"/>
  <c r="A13036" i="2"/>
  <c r="A13035" i="2"/>
  <c r="A13034" i="2"/>
  <c r="A13033" i="2"/>
  <c r="A13032" i="2"/>
  <c r="A13031" i="2"/>
  <c r="A13030" i="2"/>
  <c r="A13029" i="2"/>
  <c r="A13028" i="2"/>
  <c r="A13027" i="2"/>
  <c r="A13026" i="2"/>
  <c r="A13025" i="2"/>
  <c r="A13024" i="2"/>
  <c r="A13023" i="2"/>
  <c r="A13022" i="2"/>
  <c r="A13021" i="2"/>
  <c r="A13020" i="2"/>
  <c r="A13019" i="2"/>
  <c r="A13018" i="2"/>
  <c r="A13017" i="2"/>
  <c r="A13016" i="2"/>
  <c r="A13015" i="2"/>
  <c r="A13014" i="2"/>
  <c r="A13013" i="2"/>
  <c r="A13012" i="2"/>
  <c r="A13011" i="2"/>
  <c r="A13010" i="2"/>
  <c r="A13009" i="2"/>
  <c r="A13008" i="2"/>
  <c r="A13007" i="2"/>
  <c r="A13006" i="2"/>
  <c r="A13005" i="2"/>
  <c r="A13004" i="2"/>
  <c r="A13003" i="2"/>
  <c r="A13002" i="2"/>
  <c r="A13001" i="2"/>
  <c r="A13000" i="2"/>
  <c r="A12999" i="2"/>
  <c r="A12998" i="2"/>
  <c r="A12997" i="2"/>
  <c r="A12996" i="2"/>
  <c r="A12995" i="2"/>
  <c r="A12994" i="2"/>
  <c r="A12993" i="2"/>
  <c r="A12992" i="2"/>
  <c r="A12991" i="2"/>
  <c r="A12990" i="2"/>
  <c r="A12989" i="2"/>
  <c r="A12988" i="2"/>
  <c r="A12987" i="2"/>
  <c r="A12986" i="2"/>
  <c r="A12985" i="2"/>
  <c r="A12984" i="2"/>
  <c r="A12983" i="2"/>
  <c r="A12982" i="2"/>
  <c r="A12981" i="2"/>
  <c r="A12980" i="2"/>
  <c r="A12979" i="2"/>
  <c r="A12978" i="2"/>
  <c r="A12977" i="2"/>
  <c r="A12976" i="2"/>
  <c r="A12975" i="2"/>
  <c r="A12974" i="2"/>
  <c r="A12973" i="2"/>
  <c r="A12972" i="2"/>
  <c r="A12971" i="2"/>
  <c r="A12970" i="2"/>
  <c r="A12969" i="2"/>
  <c r="A12968" i="2"/>
  <c r="A12967" i="2"/>
  <c r="A12966" i="2"/>
  <c r="A12965" i="2"/>
  <c r="A12964" i="2"/>
  <c r="A12963" i="2"/>
  <c r="A12962" i="2"/>
  <c r="A12961" i="2"/>
  <c r="A12960" i="2"/>
  <c r="A12959" i="2"/>
  <c r="A12958" i="2"/>
  <c r="A12957" i="2"/>
  <c r="A12956" i="2"/>
  <c r="A12955" i="2"/>
  <c r="A12954" i="2"/>
  <c r="A12953" i="2"/>
  <c r="A12952" i="2"/>
  <c r="A12951" i="2"/>
  <c r="A12950" i="2"/>
  <c r="A12949" i="2"/>
  <c r="A12948" i="2"/>
  <c r="A12947" i="2"/>
  <c r="A12946" i="2"/>
  <c r="A12945" i="2"/>
  <c r="A12944" i="2"/>
  <c r="A12943" i="2"/>
  <c r="A12942" i="2"/>
  <c r="A12941" i="2"/>
  <c r="A12940" i="2"/>
  <c r="A12939" i="2"/>
  <c r="A12938" i="2"/>
  <c r="A12937" i="2"/>
  <c r="A12936" i="2"/>
  <c r="A12935" i="2"/>
  <c r="A12934" i="2"/>
  <c r="A12933" i="2"/>
  <c r="A12932" i="2"/>
  <c r="A12931" i="2"/>
  <c r="A12930" i="2"/>
  <c r="A12929" i="2"/>
  <c r="A12928" i="2"/>
  <c r="A12927" i="2"/>
  <c r="A12926" i="2"/>
  <c r="A12925" i="2"/>
  <c r="A12924" i="2"/>
  <c r="A12923" i="2"/>
  <c r="A12922" i="2"/>
  <c r="A12921" i="2"/>
  <c r="A12920" i="2"/>
  <c r="A12919" i="2"/>
  <c r="A12918" i="2"/>
  <c r="A12917" i="2"/>
  <c r="A12916" i="2"/>
  <c r="A12915" i="2"/>
  <c r="A12914" i="2"/>
  <c r="A12913" i="2"/>
  <c r="A12912" i="2"/>
  <c r="A12911" i="2"/>
  <c r="A12910" i="2"/>
  <c r="A12909" i="2"/>
  <c r="A12908" i="2"/>
  <c r="A12907" i="2"/>
  <c r="A12906" i="2"/>
  <c r="A12905" i="2"/>
  <c r="A12904" i="2"/>
  <c r="A12903" i="2"/>
  <c r="A12902" i="2"/>
  <c r="A12901" i="2"/>
  <c r="A12900" i="2"/>
  <c r="A12899" i="2"/>
  <c r="A12898" i="2"/>
  <c r="A12897" i="2"/>
  <c r="A12896" i="2"/>
  <c r="A12895" i="2"/>
  <c r="A12894" i="2"/>
  <c r="A12893" i="2"/>
  <c r="A12892" i="2"/>
  <c r="A12891" i="2"/>
  <c r="A12890" i="2"/>
  <c r="A12889" i="2"/>
  <c r="A12888" i="2"/>
  <c r="A12887" i="2"/>
  <c r="A12886" i="2"/>
  <c r="A12885" i="2"/>
  <c r="A12884" i="2"/>
  <c r="A12883" i="2"/>
  <c r="A12882" i="2"/>
  <c r="A12881" i="2"/>
  <c r="A12880" i="2"/>
  <c r="A12879" i="2"/>
  <c r="A12878" i="2"/>
  <c r="A12877" i="2"/>
  <c r="A12876" i="2"/>
  <c r="A12875" i="2"/>
  <c r="A12874" i="2"/>
  <c r="A12873" i="2"/>
  <c r="A12872" i="2"/>
  <c r="A12871" i="2"/>
  <c r="A12870" i="2"/>
  <c r="A12869" i="2"/>
  <c r="A12868" i="2"/>
  <c r="A12867" i="2"/>
  <c r="A12866" i="2"/>
  <c r="A12865" i="2"/>
  <c r="A12864" i="2"/>
  <c r="A12863" i="2"/>
  <c r="A12862" i="2"/>
  <c r="A12861" i="2"/>
  <c r="A12860" i="2"/>
  <c r="A12859" i="2"/>
  <c r="A12858" i="2"/>
  <c r="A12857" i="2"/>
  <c r="A12856" i="2"/>
  <c r="A12855" i="2"/>
  <c r="A12854" i="2"/>
  <c r="A12853" i="2"/>
  <c r="A12852" i="2"/>
  <c r="A12851" i="2"/>
  <c r="A12850" i="2"/>
  <c r="A12849" i="2"/>
  <c r="A12848" i="2"/>
  <c r="A12847" i="2"/>
  <c r="A12846" i="2"/>
  <c r="A12845" i="2"/>
  <c r="A12844" i="2"/>
  <c r="A12843" i="2"/>
  <c r="A12842" i="2"/>
  <c r="A12841" i="2"/>
  <c r="A12840" i="2"/>
  <c r="A12839" i="2"/>
  <c r="A12838" i="2"/>
  <c r="A12837" i="2"/>
  <c r="A12836" i="2"/>
  <c r="A12835" i="2"/>
  <c r="A12834" i="2"/>
  <c r="A12833" i="2"/>
  <c r="A12832" i="2"/>
  <c r="A12831" i="2"/>
  <c r="A12830" i="2"/>
  <c r="A12829" i="2"/>
  <c r="A12828" i="2"/>
  <c r="A12827" i="2"/>
  <c r="A12826" i="2"/>
  <c r="A12825" i="2"/>
  <c r="A12824" i="2"/>
  <c r="A12823" i="2"/>
  <c r="A12822" i="2"/>
  <c r="A12821" i="2"/>
  <c r="A12820" i="2"/>
  <c r="A12819" i="2"/>
  <c r="A12818" i="2"/>
  <c r="A12817" i="2"/>
  <c r="A12816" i="2"/>
  <c r="A12815" i="2"/>
  <c r="A12814" i="2"/>
  <c r="A12813" i="2"/>
  <c r="A12812" i="2"/>
  <c r="A12811" i="2"/>
  <c r="A12810" i="2"/>
  <c r="A12809" i="2"/>
  <c r="A12808" i="2"/>
  <c r="A12807" i="2"/>
  <c r="A12806" i="2"/>
  <c r="A12805" i="2"/>
  <c r="A12804" i="2"/>
  <c r="A12803" i="2"/>
  <c r="A12802" i="2"/>
  <c r="A12801" i="2"/>
  <c r="A12800" i="2"/>
  <c r="A12799" i="2"/>
  <c r="A12798" i="2"/>
  <c r="A12797" i="2"/>
  <c r="A12796" i="2"/>
  <c r="A12795" i="2"/>
  <c r="A12794" i="2"/>
  <c r="A12793" i="2"/>
  <c r="A12792" i="2"/>
  <c r="A12791" i="2"/>
  <c r="A12790" i="2"/>
  <c r="A12789" i="2"/>
  <c r="A12788" i="2"/>
  <c r="A12787" i="2"/>
  <c r="A12786" i="2"/>
  <c r="A12785" i="2"/>
  <c r="A12784" i="2"/>
  <c r="A12783" i="2"/>
  <c r="A12782" i="2"/>
  <c r="A12781" i="2"/>
  <c r="A12780" i="2"/>
  <c r="A12779" i="2"/>
  <c r="A12778" i="2"/>
  <c r="A12777" i="2"/>
  <c r="A12776" i="2"/>
  <c r="A12775" i="2"/>
  <c r="A12774" i="2"/>
  <c r="A12773" i="2"/>
  <c r="A12772" i="2"/>
  <c r="A12771" i="2"/>
  <c r="A12770" i="2"/>
  <c r="A12769" i="2"/>
  <c r="A12768" i="2"/>
  <c r="A12767" i="2"/>
  <c r="A12766" i="2"/>
  <c r="A12765" i="2"/>
  <c r="A12764" i="2"/>
  <c r="A12763" i="2"/>
  <c r="A12762" i="2"/>
  <c r="A12761" i="2"/>
  <c r="A12760" i="2"/>
  <c r="A12759" i="2"/>
  <c r="A12758" i="2"/>
  <c r="A12757" i="2"/>
  <c r="A12756" i="2"/>
  <c r="A12755" i="2"/>
  <c r="A12754" i="2"/>
  <c r="A12753" i="2"/>
  <c r="A12752" i="2"/>
  <c r="A12751" i="2"/>
  <c r="A12750" i="2"/>
  <c r="A12749" i="2"/>
  <c r="A12748" i="2"/>
  <c r="A12747" i="2"/>
  <c r="A12746" i="2"/>
  <c r="A12745" i="2"/>
  <c r="A12744" i="2"/>
  <c r="A12743" i="2"/>
  <c r="A12742" i="2"/>
  <c r="A12741" i="2"/>
  <c r="A12740" i="2"/>
  <c r="A12739" i="2"/>
  <c r="A12738" i="2"/>
  <c r="A12737" i="2"/>
  <c r="A12736" i="2"/>
  <c r="A12735" i="2"/>
  <c r="A12734" i="2"/>
  <c r="A12733" i="2"/>
  <c r="A12732" i="2"/>
  <c r="A12731" i="2"/>
  <c r="A12730" i="2"/>
  <c r="A12729" i="2"/>
  <c r="A12728" i="2"/>
  <c r="A12727" i="2"/>
  <c r="A12726" i="2"/>
  <c r="A12725" i="2"/>
  <c r="A12724" i="2"/>
  <c r="A12723" i="2"/>
  <c r="A12722" i="2"/>
  <c r="A12721" i="2"/>
  <c r="A12720" i="2"/>
  <c r="A12719" i="2"/>
  <c r="A12718" i="2"/>
  <c r="A12717" i="2"/>
  <c r="A12716" i="2"/>
  <c r="A12715" i="2"/>
  <c r="A12714" i="2"/>
  <c r="A12713" i="2"/>
  <c r="A12712" i="2"/>
  <c r="A12711" i="2"/>
  <c r="A12710" i="2"/>
  <c r="A12709" i="2"/>
  <c r="A12708" i="2"/>
  <c r="A12707" i="2"/>
  <c r="A12706" i="2"/>
  <c r="A12705" i="2"/>
  <c r="A12704" i="2"/>
  <c r="A12703" i="2"/>
  <c r="A12702" i="2"/>
  <c r="A12701" i="2"/>
  <c r="A12700" i="2"/>
  <c r="A12699" i="2"/>
  <c r="A12698" i="2"/>
  <c r="A12697" i="2"/>
  <c r="A12696" i="2"/>
  <c r="A12695" i="2"/>
  <c r="A12694" i="2"/>
  <c r="A12693" i="2"/>
  <c r="A12692" i="2"/>
  <c r="A12691" i="2"/>
  <c r="A12690" i="2"/>
  <c r="A12689" i="2"/>
  <c r="A12688" i="2"/>
  <c r="A12687" i="2"/>
  <c r="A12686" i="2"/>
  <c r="A12685" i="2"/>
  <c r="A12684" i="2"/>
  <c r="A12683" i="2"/>
  <c r="A12682" i="2"/>
  <c r="A12681" i="2"/>
  <c r="A12680" i="2"/>
  <c r="A12679" i="2"/>
  <c r="A12678" i="2"/>
  <c r="A12677" i="2"/>
  <c r="A12676" i="2"/>
  <c r="A12675" i="2"/>
  <c r="A12674" i="2"/>
  <c r="A12673" i="2"/>
  <c r="A12672" i="2"/>
  <c r="A12671" i="2"/>
  <c r="A12670" i="2"/>
  <c r="A12669" i="2"/>
  <c r="A12668" i="2"/>
  <c r="A12667" i="2"/>
  <c r="A12666" i="2"/>
  <c r="A12665" i="2"/>
  <c r="A12664" i="2"/>
  <c r="A12663" i="2"/>
  <c r="A12662" i="2"/>
  <c r="A12661" i="2"/>
  <c r="A12660" i="2"/>
  <c r="A12659" i="2"/>
  <c r="A12658" i="2"/>
  <c r="A12657" i="2"/>
  <c r="A12656" i="2"/>
  <c r="A12655" i="2"/>
  <c r="A12654" i="2"/>
  <c r="A12653" i="2"/>
  <c r="A12652" i="2"/>
  <c r="A12651" i="2"/>
  <c r="A12650" i="2"/>
  <c r="A12649" i="2"/>
  <c r="A12648" i="2"/>
  <c r="A12647" i="2"/>
  <c r="A12646" i="2"/>
  <c r="A12645" i="2"/>
  <c r="A12644" i="2"/>
  <c r="A12643" i="2"/>
  <c r="A12642" i="2"/>
  <c r="A12641" i="2"/>
  <c r="A12640" i="2"/>
  <c r="A12639" i="2"/>
  <c r="A12638" i="2"/>
  <c r="A12637" i="2"/>
  <c r="A12636" i="2"/>
  <c r="A12635" i="2"/>
  <c r="A12634" i="2"/>
  <c r="A12633" i="2"/>
  <c r="A12632" i="2"/>
  <c r="A12631" i="2"/>
  <c r="A12630" i="2"/>
  <c r="A12629" i="2"/>
  <c r="A12628" i="2"/>
  <c r="A12627" i="2"/>
  <c r="A12626" i="2"/>
  <c r="A12625" i="2"/>
  <c r="A12624" i="2"/>
  <c r="A12623" i="2"/>
  <c r="A12622" i="2"/>
  <c r="A12621" i="2"/>
  <c r="A12620" i="2"/>
  <c r="A12619" i="2"/>
  <c r="A12618" i="2"/>
  <c r="A12617" i="2"/>
  <c r="A12616" i="2"/>
  <c r="A12615" i="2"/>
  <c r="A12614" i="2"/>
  <c r="A12613" i="2"/>
  <c r="A12612" i="2"/>
  <c r="A12611" i="2"/>
  <c r="A12610" i="2"/>
  <c r="A12609" i="2"/>
  <c r="A12608" i="2"/>
  <c r="A12607" i="2"/>
  <c r="A12606" i="2"/>
  <c r="A12605" i="2"/>
  <c r="A12604" i="2"/>
  <c r="A12603" i="2"/>
  <c r="A12602" i="2"/>
  <c r="A12601" i="2"/>
  <c r="A12600" i="2"/>
  <c r="A12599" i="2"/>
  <c r="A12598" i="2"/>
  <c r="A12597" i="2"/>
  <c r="A12596" i="2"/>
  <c r="A12595" i="2"/>
  <c r="A12594" i="2"/>
  <c r="A12593" i="2"/>
  <c r="A12592" i="2"/>
  <c r="A12591" i="2"/>
  <c r="A12590" i="2"/>
  <c r="A12589" i="2"/>
  <c r="A12588" i="2"/>
  <c r="A12587" i="2"/>
  <c r="A12586" i="2"/>
  <c r="A12585" i="2"/>
  <c r="A12584" i="2"/>
  <c r="A12583" i="2"/>
  <c r="A12582" i="2"/>
  <c r="A12581" i="2"/>
  <c r="A12580" i="2"/>
  <c r="A12579" i="2"/>
  <c r="A12578" i="2"/>
  <c r="A12577" i="2"/>
  <c r="A12576" i="2"/>
  <c r="A12575" i="2"/>
  <c r="A12574" i="2"/>
  <c r="A12573" i="2"/>
  <c r="A12572" i="2"/>
  <c r="A12571" i="2"/>
  <c r="A12570" i="2"/>
  <c r="A12569" i="2"/>
  <c r="A12568" i="2"/>
  <c r="A12567" i="2"/>
  <c r="A12566" i="2"/>
  <c r="A12565" i="2"/>
  <c r="A12564" i="2"/>
  <c r="A12563" i="2"/>
  <c r="A12562" i="2"/>
  <c r="A12561" i="2"/>
  <c r="A12560" i="2"/>
  <c r="A12559" i="2"/>
  <c r="A12558" i="2"/>
  <c r="A12557" i="2"/>
  <c r="A12556" i="2"/>
  <c r="A12555" i="2"/>
  <c r="A12554" i="2"/>
  <c r="A12553" i="2"/>
  <c r="A12552" i="2"/>
  <c r="A12551" i="2"/>
  <c r="A12550" i="2"/>
  <c r="A12549" i="2"/>
  <c r="A12548" i="2"/>
  <c r="A12547" i="2"/>
  <c r="A12546" i="2"/>
  <c r="A12545" i="2"/>
  <c r="A12544" i="2"/>
  <c r="A12543" i="2"/>
  <c r="A12542" i="2"/>
  <c r="A12541" i="2"/>
  <c r="A12540" i="2"/>
  <c r="A12539" i="2"/>
  <c r="A12538" i="2"/>
  <c r="A12537" i="2"/>
  <c r="A12536" i="2"/>
  <c r="A12535" i="2"/>
  <c r="A12534" i="2"/>
  <c r="A12533" i="2"/>
  <c r="A12532" i="2"/>
  <c r="A12531" i="2"/>
  <c r="A12530" i="2"/>
  <c r="A12529" i="2"/>
  <c r="A12528" i="2"/>
  <c r="A12527" i="2"/>
  <c r="A12526" i="2"/>
  <c r="A12525" i="2"/>
  <c r="A12524" i="2"/>
  <c r="A12523" i="2"/>
  <c r="A12522" i="2"/>
  <c r="A12521" i="2"/>
  <c r="A12520" i="2"/>
  <c r="A12519" i="2"/>
  <c r="A12518" i="2"/>
  <c r="A12517" i="2"/>
  <c r="A12516" i="2"/>
  <c r="A12515" i="2"/>
  <c r="A12514" i="2"/>
  <c r="A12513" i="2"/>
  <c r="A12512" i="2"/>
  <c r="A12511" i="2"/>
  <c r="A12510" i="2"/>
  <c r="A12509" i="2"/>
  <c r="A12508" i="2"/>
  <c r="A12507" i="2"/>
  <c r="A12506" i="2"/>
  <c r="A12505" i="2"/>
  <c r="A12504" i="2"/>
  <c r="A12503" i="2"/>
  <c r="A12502" i="2"/>
  <c r="A12501" i="2"/>
  <c r="A12500" i="2"/>
  <c r="A12499" i="2"/>
  <c r="A12498" i="2"/>
  <c r="A12497" i="2"/>
  <c r="A12496" i="2"/>
  <c r="A12495" i="2"/>
  <c r="A12494" i="2"/>
  <c r="A12493" i="2"/>
  <c r="A12492" i="2"/>
  <c r="A12491" i="2"/>
  <c r="A12490" i="2"/>
  <c r="A12489" i="2"/>
  <c r="A12488" i="2"/>
  <c r="A12487" i="2"/>
  <c r="A12486" i="2"/>
  <c r="A12485" i="2"/>
  <c r="A12484" i="2"/>
  <c r="A12483" i="2"/>
  <c r="A12482" i="2"/>
  <c r="A12481" i="2"/>
  <c r="A12480" i="2"/>
  <c r="A12479" i="2"/>
  <c r="A12478" i="2"/>
  <c r="A12477" i="2"/>
  <c r="A12476" i="2"/>
  <c r="A12475" i="2"/>
  <c r="A12474" i="2"/>
  <c r="A12473" i="2"/>
  <c r="A12472" i="2"/>
  <c r="A12471" i="2"/>
  <c r="A12470" i="2"/>
  <c r="A12469" i="2"/>
  <c r="A12468" i="2"/>
  <c r="A12467" i="2"/>
  <c r="A12466" i="2"/>
  <c r="A12465" i="2"/>
  <c r="A12464" i="2"/>
  <c r="A12463" i="2"/>
  <c r="A12462" i="2"/>
  <c r="A12461" i="2"/>
  <c r="A12460" i="2"/>
  <c r="A12459" i="2"/>
  <c r="A12458" i="2"/>
  <c r="A12457" i="2"/>
  <c r="A12456" i="2"/>
  <c r="A12455" i="2"/>
  <c r="A12454" i="2"/>
  <c r="A12453" i="2"/>
  <c r="A12452" i="2"/>
  <c r="A12451" i="2"/>
  <c r="A12450" i="2"/>
  <c r="A12449" i="2"/>
  <c r="A12448" i="2"/>
  <c r="A12447" i="2"/>
  <c r="A12446" i="2"/>
  <c r="A12445" i="2"/>
  <c r="A12444" i="2"/>
  <c r="A12443" i="2"/>
  <c r="A12442" i="2"/>
  <c r="A12441" i="2"/>
  <c r="A12440" i="2"/>
  <c r="A12439" i="2"/>
  <c r="A12438" i="2"/>
  <c r="A12437" i="2"/>
  <c r="A12436" i="2"/>
  <c r="A12435" i="2"/>
  <c r="A12434" i="2"/>
  <c r="A12433" i="2"/>
  <c r="A12432" i="2"/>
  <c r="A12431" i="2"/>
  <c r="A12430" i="2"/>
  <c r="A12429" i="2"/>
  <c r="A12428" i="2"/>
  <c r="A12427" i="2"/>
  <c r="A12426" i="2"/>
  <c r="A12425" i="2"/>
  <c r="A12424" i="2"/>
  <c r="A12423" i="2"/>
  <c r="A12422" i="2"/>
  <c r="A12421" i="2"/>
  <c r="A12420" i="2"/>
  <c r="A12419" i="2"/>
  <c r="A12418" i="2"/>
  <c r="A12417" i="2"/>
  <c r="A12416" i="2"/>
  <c r="A12415" i="2"/>
  <c r="A12414" i="2"/>
  <c r="A12413" i="2"/>
  <c r="A12412" i="2"/>
  <c r="A12411" i="2"/>
  <c r="A12410" i="2"/>
  <c r="A12409" i="2"/>
  <c r="A12408" i="2"/>
  <c r="A12407" i="2"/>
  <c r="A12406" i="2"/>
  <c r="A12405" i="2"/>
  <c r="A12404" i="2"/>
  <c r="A12403" i="2"/>
  <c r="A12402" i="2"/>
  <c r="A12401" i="2"/>
  <c r="A12400" i="2"/>
  <c r="A12399" i="2"/>
  <c r="A12398" i="2"/>
  <c r="A12397" i="2"/>
  <c r="A12396" i="2"/>
  <c r="A12395" i="2"/>
  <c r="A12394" i="2"/>
  <c r="A12393" i="2"/>
  <c r="A12392" i="2"/>
  <c r="A12391" i="2"/>
  <c r="A12390" i="2"/>
  <c r="A12389" i="2"/>
  <c r="A12388" i="2"/>
  <c r="A12387" i="2"/>
  <c r="A12386" i="2"/>
  <c r="A12385" i="2"/>
  <c r="A12384" i="2"/>
  <c r="A12383" i="2"/>
  <c r="A12382" i="2"/>
  <c r="A12381" i="2"/>
  <c r="A12380" i="2"/>
  <c r="A12379" i="2"/>
  <c r="A12378" i="2"/>
  <c r="A12377" i="2"/>
  <c r="A12376" i="2"/>
  <c r="A12375" i="2"/>
  <c r="A12374" i="2"/>
  <c r="A12373" i="2"/>
  <c r="A12372" i="2"/>
  <c r="A12371" i="2"/>
  <c r="A12370" i="2"/>
  <c r="A12369" i="2"/>
  <c r="A12368" i="2"/>
  <c r="A12367" i="2"/>
  <c r="A12366" i="2"/>
  <c r="A12365" i="2"/>
  <c r="A12364" i="2"/>
  <c r="A12363" i="2"/>
  <c r="A12362" i="2"/>
  <c r="A12361" i="2"/>
  <c r="A12360" i="2"/>
  <c r="A12359" i="2"/>
  <c r="A12358" i="2"/>
  <c r="A12357" i="2"/>
  <c r="A12356" i="2"/>
  <c r="A12355" i="2"/>
  <c r="A12354" i="2"/>
  <c r="A12353" i="2"/>
  <c r="A12352" i="2"/>
  <c r="A12351" i="2"/>
  <c r="A12350" i="2"/>
  <c r="A12349" i="2"/>
  <c r="A12348" i="2"/>
  <c r="A12347" i="2"/>
  <c r="A12346" i="2"/>
  <c r="A12345" i="2"/>
  <c r="A12344" i="2"/>
  <c r="A12343" i="2"/>
  <c r="A12342" i="2"/>
  <c r="A12341" i="2"/>
  <c r="A12340" i="2"/>
  <c r="A12339" i="2"/>
  <c r="A12338" i="2"/>
  <c r="A12337" i="2"/>
  <c r="A12336" i="2"/>
  <c r="A12335" i="2"/>
  <c r="A12334" i="2"/>
  <c r="A12333" i="2"/>
  <c r="A12332" i="2"/>
  <c r="A12331" i="2"/>
  <c r="A12330" i="2"/>
  <c r="A12329" i="2"/>
  <c r="A12328" i="2"/>
  <c r="A12327" i="2"/>
  <c r="A12326" i="2"/>
  <c r="A12325" i="2"/>
  <c r="A12324" i="2"/>
  <c r="A12323" i="2"/>
  <c r="A12322" i="2"/>
  <c r="A12321" i="2"/>
  <c r="A12320" i="2"/>
  <c r="A12319" i="2"/>
  <c r="A12318" i="2"/>
  <c r="A12317" i="2"/>
  <c r="A12316" i="2"/>
  <c r="A12315" i="2"/>
  <c r="A12314" i="2"/>
  <c r="A12313" i="2"/>
  <c r="A12312" i="2"/>
  <c r="A12311" i="2"/>
  <c r="A12310" i="2"/>
  <c r="A12309" i="2"/>
  <c r="A12308" i="2"/>
  <c r="A12307" i="2"/>
  <c r="A12306" i="2"/>
  <c r="A12305" i="2"/>
  <c r="A12304" i="2"/>
  <c r="A12303" i="2"/>
  <c r="A12302" i="2"/>
  <c r="A12301" i="2"/>
  <c r="A12300" i="2"/>
  <c r="A12299" i="2"/>
  <c r="A12298" i="2"/>
  <c r="A12297" i="2"/>
  <c r="A12296" i="2"/>
  <c r="A12295" i="2"/>
  <c r="A12294" i="2"/>
  <c r="A12293" i="2"/>
  <c r="A12292" i="2"/>
  <c r="A12291" i="2"/>
  <c r="A12290" i="2"/>
  <c r="A12289" i="2"/>
  <c r="A12288" i="2"/>
  <c r="A12287" i="2"/>
  <c r="A12286" i="2"/>
  <c r="A12285" i="2"/>
  <c r="A12284" i="2"/>
  <c r="A12283" i="2"/>
  <c r="A12282" i="2"/>
  <c r="A12281" i="2"/>
  <c r="A12280" i="2"/>
  <c r="A12279" i="2"/>
  <c r="A12278" i="2"/>
  <c r="A12277" i="2"/>
  <c r="A12276" i="2"/>
  <c r="A12275" i="2"/>
  <c r="A12274" i="2"/>
  <c r="A12273" i="2"/>
  <c r="A12272" i="2"/>
  <c r="A12271" i="2"/>
  <c r="A12270" i="2"/>
  <c r="A12269" i="2"/>
  <c r="A12268" i="2"/>
  <c r="A12267" i="2"/>
  <c r="A12266" i="2"/>
  <c r="A12265" i="2"/>
  <c r="A12264" i="2"/>
  <c r="A12263" i="2"/>
  <c r="A12262" i="2"/>
  <c r="A12261" i="2"/>
  <c r="A12260" i="2"/>
  <c r="A12259" i="2"/>
  <c r="A12258" i="2"/>
  <c r="A12257" i="2"/>
  <c r="A12256" i="2"/>
  <c r="A12255" i="2"/>
  <c r="A12254" i="2"/>
  <c r="A12253" i="2"/>
  <c r="A12252" i="2"/>
  <c r="A12251" i="2"/>
  <c r="A12250" i="2"/>
  <c r="A12249" i="2"/>
  <c r="A12248" i="2"/>
  <c r="A12247" i="2"/>
  <c r="A12246" i="2"/>
  <c r="A12245" i="2"/>
  <c r="A12244" i="2"/>
  <c r="A12243" i="2"/>
  <c r="A12242" i="2"/>
  <c r="A12241" i="2"/>
  <c r="A12240" i="2"/>
  <c r="A12239" i="2"/>
  <c r="A12238" i="2"/>
  <c r="A12237" i="2"/>
  <c r="A12236" i="2"/>
  <c r="A12235" i="2"/>
  <c r="A12234" i="2"/>
  <c r="A12233" i="2"/>
  <c r="A12232" i="2"/>
  <c r="A12231" i="2"/>
  <c r="A12230" i="2"/>
  <c r="A12229" i="2"/>
  <c r="A12228" i="2"/>
  <c r="A12227" i="2"/>
  <c r="A12226" i="2"/>
  <c r="A12225" i="2"/>
  <c r="A12224" i="2"/>
  <c r="A12223" i="2"/>
  <c r="A12222" i="2"/>
  <c r="A12221" i="2"/>
  <c r="A12220" i="2"/>
  <c r="A12219" i="2"/>
  <c r="A12218" i="2"/>
  <c r="A12217" i="2"/>
  <c r="A12216" i="2"/>
  <c r="A12215" i="2"/>
  <c r="A12214" i="2"/>
  <c r="A12213" i="2"/>
  <c r="A12212" i="2"/>
  <c r="A12211" i="2"/>
  <c r="A12210" i="2"/>
  <c r="A12209" i="2"/>
  <c r="A12208" i="2"/>
  <c r="A12207" i="2"/>
  <c r="A12206" i="2"/>
  <c r="A12205" i="2"/>
  <c r="A12204" i="2"/>
  <c r="A12203" i="2"/>
  <c r="A12202" i="2"/>
  <c r="A12201" i="2"/>
  <c r="A12200" i="2"/>
  <c r="A12199" i="2"/>
  <c r="A12198" i="2"/>
  <c r="A12197" i="2"/>
  <c r="A12196" i="2"/>
  <c r="A12195" i="2"/>
  <c r="A12194" i="2"/>
  <c r="A12193" i="2"/>
  <c r="A12192" i="2"/>
  <c r="A12191" i="2"/>
  <c r="A12190" i="2"/>
  <c r="A12189" i="2"/>
  <c r="A12188" i="2"/>
  <c r="A12187" i="2"/>
  <c r="A12186" i="2"/>
  <c r="A12185" i="2"/>
  <c r="A12184" i="2"/>
  <c r="A12183" i="2"/>
  <c r="A12182" i="2"/>
  <c r="A12181" i="2"/>
  <c r="A12180" i="2"/>
  <c r="A12179" i="2"/>
  <c r="A12178" i="2"/>
  <c r="A12177" i="2"/>
  <c r="A12176" i="2"/>
  <c r="A12175" i="2"/>
  <c r="A12174" i="2"/>
  <c r="A12173" i="2"/>
  <c r="A12172" i="2"/>
  <c r="A12171" i="2"/>
  <c r="A12170" i="2"/>
  <c r="A12169" i="2"/>
  <c r="A12168" i="2"/>
  <c r="A12167" i="2"/>
  <c r="A12166" i="2"/>
  <c r="A12165" i="2"/>
  <c r="A12164" i="2"/>
  <c r="A12163" i="2"/>
  <c r="A12162" i="2"/>
  <c r="A12161" i="2"/>
  <c r="A12160" i="2"/>
  <c r="A12159" i="2"/>
  <c r="A12158" i="2"/>
  <c r="A12157" i="2"/>
  <c r="A12156" i="2"/>
  <c r="A12155" i="2"/>
  <c r="A12154" i="2"/>
  <c r="A12153" i="2"/>
  <c r="A12152" i="2"/>
  <c r="A12151" i="2"/>
  <c r="A12150" i="2"/>
  <c r="A12149" i="2"/>
  <c r="A12148" i="2"/>
  <c r="A12147" i="2"/>
  <c r="A12146" i="2"/>
  <c r="A12145" i="2"/>
  <c r="A12144" i="2"/>
  <c r="A12143" i="2"/>
  <c r="A12142" i="2"/>
  <c r="A12141" i="2"/>
  <c r="A12140" i="2"/>
  <c r="A12139" i="2"/>
  <c r="A12138" i="2"/>
  <c r="A12137" i="2"/>
  <c r="A12136" i="2"/>
  <c r="A12135" i="2"/>
  <c r="A12134" i="2"/>
  <c r="A12133" i="2"/>
  <c r="A12132" i="2"/>
  <c r="A12131" i="2"/>
  <c r="A12130" i="2"/>
  <c r="A12129" i="2"/>
  <c r="A12128" i="2"/>
  <c r="A12127" i="2"/>
  <c r="A12126" i="2"/>
  <c r="A12125" i="2"/>
  <c r="A12124" i="2"/>
  <c r="A12123" i="2"/>
  <c r="A12122" i="2"/>
  <c r="A12121" i="2"/>
  <c r="A12120" i="2"/>
  <c r="A12119" i="2"/>
  <c r="A12118" i="2"/>
  <c r="A12117" i="2"/>
  <c r="A12116" i="2"/>
  <c r="A12115" i="2"/>
  <c r="A12114" i="2"/>
  <c r="A12113" i="2"/>
  <c r="A12112" i="2"/>
  <c r="A12111" i="2"/>
  <c r="A12110" i="2"/>
  <c r="A12109" i="2"/>
  <c r="A12108" i="2"/>
  <c r="A12107" i="2"/>
  <c r="A12106" i="2"/>
  <c r="A12105" i="2"/>
  <c r="A12104" i="2"/>
  <c r="A12103" i="2"/>
  <c r="A12102" i="2"/>
  <c r="A12101" i="2"/>
  <c r="A12100" i="2"/>
  <c r="A12099" i="2"/>
  <c r="A12098" i="2"/>
  <c r="A12097" i="2"/>
  <c r="A12096" i="2"/>
  <c r="A12095" i="2"/>
  <c r="A12094" i="2"/>
  <c r="A12093" i="2"/>
  <c r="A12092" i="2"/>
  <c r="A12091" i="2"/>
  <c r="A12090" i="2"/>
  <c r="A12089" i="2"/>
  <c r="A12088" i="2"/>
  <c r="A12087" i="2"/>
  <c r="A12086" i="2"/>
  <c r="A12085" i="2"/>
  <c r="A12084" i="2"/>
  <c r="A12083" i="2"/>
  <c r="A12082" i="2"/>
  <c r="A12081" i="2"/>
  <c r="A12080" i="2"/>
  <c r="A12079" i="2"/>
  <c r="A12078" i="2"/>
  <c r="A12077" i="2"/>
  <c r="A12076" i="2"/>
  <c r="A12075" i="2"/>
  <c r="A12074" i="2"/>
  <c r="A12073" i="2"/>
  <c r="A12072" i="2"/>
  <c r="A12071" i="2"/>
  <c r="A12070" i="2"/>
  <c r="A12069" i="2"/>
  <c r="A12068" i="2"/>
  <c r="A12067" i="2"/>
  <c r="A12066" i="2"/>
  <c r="A12065" i="2"/>
  <c r="A12064" i="2"/>
  <c r="A12063" i="2"/>
  <c r="A12062" i="2"/>
  <c r="A12061" i="2"/>
  <c r="A12060" i="2"/>
  <c r="A12059" i="2"/>
  <c r="A12058" i="2"/>
  <c r="A12057" i="2"/>
  <c r="A12056" i="2"/>
  <c r="A12055" i="2"/>
  <c r="A12054" i="2"/>
  <c r="A12053" i="2"/>
  <c r="A12052" i="2"/>
  <c r="A12051" i="2"/>
  <c r="A12050" i="2"/>
  <c r="A12049" i="2"/>
  <c r="A12048" i="2"/>
  <c r="A12047" i="2"/>
  <c r="A12046" i="2"/>
  <c r="A12045" i="2"/>
  <c r="A12044" i="2"/>
  <c r="A12043" i="2"/>
  <c r="A12042" i="2"/>
  <c r="A12041" i="2"/>
  <c r="A12040" i="2"/>
  <c r="A12039" i="2"/>
  <c r="A12038" i="2"/>
  <c r="A12037" i="2"/>
  <c r="A12036" i="2"/>
  <c r="A12035" i="2"/>
  <c r="A12034" i="2"/>
  <c r="A12033" i="2"/>
  <c r="A12032" i="2"/>
  <c r="A12031" i="2"/>
  <c r="A12030" i="2"/>
  <c r="A12029" i="2"/>
  <c r="A12028" i="2"/>
  <c r="A12027" i="2"/>
  <c r="A12026" i="2"/>
  <c r="A12025" i="2"/>
  <c r="A12024" i="2"/>
  <c r="A12023" i="2"/>
  <c r="A12022" i="2"/>
  <c r="A12021" i="2"/>
  <c r="A12020" i="2"/>
  <c r="A12019" i="2"/>
  <c r="A12018" i="2"/>
  <c r="A12017" i="2"/>
  <c r="A12016" i="2"/>
  <c r="A12015" i="2"/>
  <c r="A12014" i="2"/>
  <c r="A12013" i="2"/>
  <c r="A12012" i="2"/>
  <c r="A12011" i="2"/>
  <c r="A12010" i="2"/>
  <c r="A12009" i="2"/>
  <c r="A12008" i="2"/>
  <c r="A12007" i="2"/>
  <c r="A12006" i="2"/>
  <c r="A12005" i="2"/>
  <c r="A12004" i="2"/>
  <c r="A12003" i="2"/>
  <c r="A12002" i="2"/>
  <c r="A12001" i="2"/>
  <c r="A12000" i="2"/>
  <c r="A11999" i="2"/>
  <c r="A11998" i="2"/>
  <c r="A11997" i="2"/>
  <c r="A11996" i="2"/>
  <c r="A11995" i="2"/>
  <c r="A11994" i="2"/>
  <c r="A11993" i="2"/>
  <c r="A11992" i="2"/>
  <c r="A11991" i="2"/>
  <c r="A11990" i="2"/>
  <c r="A11989" i="2"/>
  <c r="A11988" i="2"/>
  <c r="A11987" i="2"/>
  <c r="A11986" i="2"/>
  <c r="A11985" i="2"/>
  <c r="A11984" i="2"/>
  <c r="A11983" i="2"/>
  <c r="A11982" i="2"/>
  <c r="A11981" i="2"/>
  <c r="A11980" i="2"/>
  <c r="A11979" i="2"/>
  <c r="A11978" i="2"/>
  <c r="A11977" i="2"/>
  <c r="A11976" i="2"/>
  <c r="A11975" i="2"/>
  <c r="A11974" i="2"/>
  <c r="A11973" i="2"/>
  <c r="A11972" i="2"/>
  <c r="A11971" i="2"/>
  <c r="A11970" i="2"/>
  <c r="A11969" i="2"/>
  <c r="A11968" i="2"/>
  <c r="A11967" i="2"/>
  <c r="A11966" i="2"/>
  <c r="A11965" i="2"/>
  <c r="A11964" i="2"/>
  <c r="A11963" i="2"/>
  <c r="A11962" i="2"/>
  <c r="A11961" i="2"/>
  <c r="A11960" i="2"/>
  <c r="A11959" i="2"/>
  <c r="A11958" i="2"/>
  <c r="A11957" i="2"/>
  <c r="A11956" i="2"/>
  <c r="A11955" i="2"/>
  <c r="A11954" i="2"/>
  <c r="A11953" i="2"/>
  <c r="A11952" i="2"/>
  <c r="A11951" i="2"/>
  <c r="A11950" i="2"/>
  <c r="A11949" i="2"/>
  <c r="A11948" i="2"/>
  <c r="A11947" i="2"/>
  <c r="A11946" i="2"/>
  <c r="A11945" i="2"/>
  <c r="A11944" i="2"/>
  <c r="A11943" i="2"/>
  <c r="A11942" i="2"/>
  <c r="A11941" i="2"/>
  <c r="A11940" i="2"/>
  <c r="A11939" i="2"/>
  <c r="A11938" i="2"/>
  <c r="A11937" i="2"/>
  <c r="A11936" i="2"/>
  <c r="A11935" i="2"/>
  <c r="A11934" i="2"/>
  <c r="A11933" i="2"/>
  <c r="A11932" i="2"/>
  <c r="A11931" i="2"/>
  <c r="A11930" i="2"/>
  <c r="A11929" i="2"/>
  <c r="A11928" i="2"/>
  <c r="A11927" i="2"/>
  <c r="A11926" i="2"/>
  <c r="A11925" i="2"/>
  <c r="A11924" i="2"/>
  <c r="A11923" i="2"/>
  <c r="A11922" i="2"/>
  <c r="A11921" i="2"/>
  <c r="A11920" i="2"/>
  <c r="A11919" i="2"/>
  <c r="A11918" i="2"/>
  <c r="A11917" i="2"/>
  <c r="A11916" i="2"/>
  <c r="A11915" i="2"/>
  <c r="A11914" i="2"/>
  <c r="A11913" i="2"/>
  <c r="A11912" i="2"/>
  <c r="A11911" i="2"/>
  <c r="A11910" i="2"/>
  <c r="A11909" i="2"/>
  <c r="A11908" i="2"/>
  <c r="A11907" i="2"/>
  <c r="A11906" i="2"/>
  <c r="A11905" i="2"/>
  <c r="A11904" i="2"/>
  <c r="A11903" i="2"/>
  <c r="A11902" i="2"/>
  <c r="A11901" i="2"/>
  <c r="A11900" i="2"/>
  <c r="A11899" i="2"/>
  <c r="A11898" i="2"/>
  <c r="A11897" i="2"/>
  <c r="A11896" i="2"/>
  <c r="A11895" i="2"/>
  <c r="A11894" i="2"/>
  <c r="A11893" i="2"/>
  <c r="A11892" i="2"/>
  <c r="A11891" i="2"/>
  <c r="A11890" i="2"/>
  <c r="A11889" i="2"/>
  <c r="A11888" i="2"/>
  <c r="A11887" i="2"/>
  <c r="A11886" i="2"/>
  <c r="A11885" i="2"/>
  <c r="A11884" i="2"/>
  <c r="A11883" i="2"/>
  <c r="A11882" i="2"/>
  <c r="A11881" i="2"/>
  <c r="A11880" i="2"/>
  <c r="A11879" i="2"/>
  <c r="A11878" i="2"/>
  <c r="A11877" i="2"/>
  <c r="A11876" i="2"/>
  <c r="A11875" i="2"/>
  <c r="A11874" i="2"/>
  <c r="A11873" i="2"/>
  <c r="A11872" i="2"/>
  <c r="A11871" i="2"/>
  <c r="A11870" i="2"/>
  <c r="A11869" i="2"/>
  <c r="A11868" i="2"/>
  <c r="A11867" i="2"/>
  <c r="A11866" i="2"/>
  <c r="A11865" i="2"/>
  <c r="A11864" i="2"/>
  <c r="A11863" i="2"/>
  <c r="A11862" i="2"/>
  <c r="A11861" i="2"/>
  <c r="A11860" i="2"/>
  <c r="A11859" i="2"/>
  <c r="A11858" i="2"/>
  <c r="A11857" i="2"/>
  <c r="A11856" i="2"/>
  <c r="A11855" i="2"/>
  <c r="A11854" i="2"/>
  <c r="A11853" i="2"/>
  <c r="A11852" i="2"/>
  <c r="A11851" i="2"/>
  <c r="A11850" i="2"/>
  <c r="A11849" i="2"/>
  <c r="A11848" i="2"/>
  <c r="A11847" i="2"/>
  <c r="A11846" i="2"/>
  <c r="A11845" i="2"/>
  <c r="A11844" i="2"/>
  <c r="A11843" i="2"/>
  <c r="A11842" i="2"/>
  <c r="A11841" i="2"/>
  <c r="A11840" i="2"/>
  <c r="A11839" i="2"/>
  <c r="A11838" i="2"/>
  <c r="A11837" i="2"/>
  <c r="A11836" i="2"/>
  <c r="A11835" i="2"/>
  <c r="A11834" i="2"/>
  <c r="A11833" i="2"/>
  <c r="A11832" i="2"/>
  <c r="A11831" i="2"/>
  <c r="A11830" i="2"/>
  <c r="A11829" i="2"/>
  <c r="A11828" i="2"/>
  <c r="A11827" i="2"/>
  <c r="A11826" i="2"/>
  <c r="A11825" i="2"/>
  <c r="A11824" i="2"/>
  <c r="A11823" i="2"/>
  <c r="A11822" i="2"/>
  <c r="A11821" i="2"/>
  <c r="A11820" i="2"/>
  <c r="A11819" i="2"/>
  <c r="A11818" i="2"/>
  <c r="A11817" i="2"/>
  <c r="A11816" i="2"/>
  <c r="A11815" i="2"/>
  <c r="A11814" i="2"/>
  <c r="A11813" i="2"/>
  <c r="A11812" i="2"/>
  <c r="A11811" i="2"/>
  <c r="A11810" i="2"/>
  <c r="A11809" i="2"/>
  <c r="A11808" i="2"/>
  <c r="A11807" i="2"/>
  <c r="A11806" i="2"/>
  <c r="A11805" i="2"/>
  <c r="A11804" i="2"/>
  <c r="A11803" i="2"/>
  <c r="A11802" i="2"/>
  <c r="A11801" i="2"/>
  <c r="A11800" i="2"/>
  <c r="A11799" i="2"/>
  <c r="A11798" i="2"/>
  <c r="A11797" i="2"/>
  <c r="A11796" i="2"/>
  <c r="A11795" i="2"/>
  <c r="A11794" i="2"/>
  <c r="A11793" i="2"/>
  <c r="A11792" i="2"/>
  <c r="A11791" i="2"/>
  <c r="A11790" i="2"/>
  <c r="A11789" i="2"/>
  <c r="A11788" i="2"/>
  <c r="A11787" i="2"/>
  <c r="A11786" i="2"/>
  <c r="A11785" i="2"/>
  <c r="A11784" i="2"/>
  <c r="A11783" i="2"/>
  <c r="A11782" i="2"/>
  <c r="A11781" i="2"/>
  <c r="A11780" i="2"/>
  <c r="A11779" i="2"/>
  <c r="A11778" i="2"/>
  <c r="A11777" i="2"/>
  <c r="A11776" i="2"/>
  <c r="A11775" i="2"/>
  <c r="A11774" i="2"/>
  <c r="A11773" i="2"/>
  <c r="A11772" i="2"/>
  <c r="A11771" i="2"/>
  <c r="A11770" i="2"/>
  <c r="A11769" i="2"/>
  <c r="A11768" i="2"/>
  <c r="A11767" i="2"/>
  <c r="A11766" i="2"/>
  <c r="A11765" i="2"/>
  <c r="A11764" i="2"/>
  <c r="A11763" i="2"/>
  <c r="A11762" i="2"/>
  <c r="A11761" i="2"/>
  <c r="A11760" i="2"/>
  <c r="A11759" i="2"/>
  <c r="A11758" i="2"/>
  <c r="A11757" i="2"/>
  <c r="A11756" i="2"/>
  <c r="A11755" i="2"/>
  <c r="A11754" i="2"/>
  <c r="A11753" i="2"/>
  <c r="A11752" i="2"/>
  <c r="A11751" i="2"/>
  <c r="A11750" i="2"/>
  <c r="A11749" i="2"/>
  <c r="A11748" i="2"/>
  <c r="A11747" i="2"/>
  <c r="A11746" i="2"/>
  <c r="A11745" i="2"/>
  <c r="A11744" i="2"/>
  <c r="A11743" i="2"/>
  <c r="A11742" i="2"/>
  <c r="A11741" i="2"/>
  <c r="A11740" i="2"/>
  <c r="A11739" i="2"/>
  <c r="A11738" i="2"/>
  <c r="A11737" i="2"/>
  <c r="A11736" i="2"/>
  <c r="A11735" i="2"/>
  <c r="A11734" i="2"/>
  <c r="A11733" i="2"/>
  <c r="A11732" i="2"/>
  <c r="A11731" i="2"/>
  <c r="A11730" i="2"/>
  <c r="A11729" i="2"/>
  <c r="A11728" i="2"/>
  <c r="A11727" i="2"/>
  <c r="A11726" i="2"/>
  <c r="A11725" i="2"/>
  <c r="A11724" i="2"/>
  <c r="A11723" i="2"/>
  <c r="A11722" i="2"/>
  <c r="A11721" i="2"/>
  <c r="A11720" i="2"/>
  <c r="A11719" i="2"/>
  <c r="A11718" i="2"/>
  <c r="A11717" i="2"/>
  <c r="A11716" i="2"/>
  <c r="A11715" i="2"/>
  <c r="A11714" i="2"/>
  <c r="A11713" i="2"/>
  <c r="A11712" i="2"/>
  <c r="A11711" i="2"/>
  <c r="A11710" i="2"/>
  <c r="A11709" i="2"/>
  <c r="A11708" i="2"/>
  <c r="A11707" i="2"/>
  <c r="A11706" i="2"/>
  <c r="A11705" i="2"/>
  <c r="A11704" i="2"/>
  <c r="A11703" i="2"/>
  <c r="A11702" i="2"/>
  <c r="A11701" i="2"/>
  <c r="A11700" i="2"/>
  <c r="A11699" i="2"/>
  <c r="A11698" i="2"/>
  <c r="A11697" i="2"/>
  <c r="A11696" i="2"/>
  <c r="A11695" i="2"/>
  <c r="A11694" i="2"/>
  <c r="A11693" i="2"/>
  <c r="A11692" i="2"/>
  <c r="A11691" i="2"/>
  <c r="A11690" i="2"/>
  <c r="A11689" i="2"/>
  <c r="A11688" i="2"/>
  <c r="A11687" i="2"/>
  <c r="A11686" i="2"/>
  <c r="A11685" i="2"/>
  <c r="A11684" i="2"/>
  <c r="A11683" i="2"/>
  <c r="A11682" i="2"/>
  <c r="A11681" i="2"/>
  <c r="A11680" i="2"/>
  <c r="A11679" i="2"/>
  <c r="A11678" i="2"/>
  <c r="A11677" i="2"/>
  <c r="A11676" i="2"/>
  <c r="A11675" i="2"/>
  <c r="A11674" i="2"/>
  <c r="A11673" i="2"/>
  <c r="A11672" i="2"/>
  <c r="A11671" i="2"/>
  <c r="A11670" i="2"/>
  <c r="A11669" i="2"/>
  <c r="A11668" i="2"/>
  <c r="A11667" i="2"/>
  <c r="A11666" i="2"/>
  <c r="A11665" i="2"/>
  <c r="A11664" i="2"/>
  <c r="A11663" i="2"/>
  <c r="A11662" i="2"/>
  <c r="A11661" i="2"/>
  <c r="A11660" i="2"/>
  <c r="A11659" i="2"/>
  <c r="A11658" i="2"/>
  <c r="A11657" i="2"/>
  <c r="A11656" i="2"/>
  <c r="A11655" i="2"/>
  <c r="A11654" i="2"/>
  <c r="A11653" i="2"/>
  <c r="A11652" i="2"/>
  <c r="A11651" i="2"/>
  <c r="A11650" i="2"/>
  <c r="A11649" i="2"/>
  <c r="A11648" i="2"/>
  <c r="A11647" i="2"/>
  <c r="A11646" i="2"/>
  <c r="A11645" i="2"/>
  <c r="A11644" i="2"/>
  <c r="A11643" i="2"/>
  <c r="A11642" i="2"/>
  <c r="A11641" i="2"/>
  <c r="A11640" i="2"/>
  <c r="A11639" i="2"/>
  <c r="A11638" i="2"/>
  <c r="A11637" i="2"/>
  <c r="A11636" i="2"/>
  <c r="A11635" i="2"/>
  <c r="A11634" i="2"/>
  <c r="A11633" i="2"/>
  <c r="A11632" i="2"/>
  <c r="A11631" i="2"/>
  <c r="A11630" i="2"/>
  <c r="A11629" i="2"/>
  <c r="A11628" i="2"/>
  <c r="A11627" i="2"/>
  <c r="A11626" i="2"/>
  <c r="A11625" i="2"/>
  <c r="A11624" i="2"/>
  <c r="A11623" i="2"/>
  <c r="A11622" i="2"/>
  <c r="A11621" i="2"/>
  <c r="A11620" i="2"/>
  <c r="A11619" i="2"/>
  <c r="A11618" i="2"/>
  <c r="A11617" i="2"/>
  <c r="A11616" i="2"/>
  <c r="A11615" i="2"/>
  <c r="A11614" i="2"/>
  <c r="A11613" i="2"/>
  <c r="A11612" i="2"/>
  <c r="A11611" i="2"/>
  <c r="A11610" i="2"/>
  <c r="A11609" i="2"/>
  <c r="A11608" i="2"/>
  <c r="A11607" i="2"/>
  <c r="A11606" i="2"/>
  <c r="A11605" i="2"/>
  <c r="A11604" i="2"/>
  <c r="A11603" i="2"/>
  <c r="A11602" i="2"/>
  <c r="A11601" i="2"/>
  <c r="A11600" i="2"/>
  <c r="A11599" i="2"/>
  <c r="A11598" i="2"/>
  <c r="A11597" i="2"/>
  <c r="A11596" i="2"/>
  <c r="A11595" i="2"/>
  <c r="A11594" i="2"/>
  <c r="A11593" i="2"/>
  <c r="A11592" i="2"/>
  <c r="A11591" i="2"/>
  <c r="A11590" i="2"/>
  <c r="A11589" i="2"/>
  <c r="A11588" i="2"/>
  <c r="A11587" i="2"/>
  <c r="A11586" i="2"/>
  <c r="A11585" i="2"/>
  <c r="A11584" i="2"/>
  <c r="A11583" i="2"/>
  <c r="A11582" i="2"/>
  <c r="A11581" i="2"/>
  <c r="A11580" i="2"/>
  <c r="A11579" i="2"/>
  <c r="A11578" i="2"/>
  <c r="A11577" i="2"/>
  <c r="A11576" i="2"/>
  <c r="A11575" i="2"/>
  <c r="A11574" i="2"/>
  <c r="A11573" i="2"/>
  <c r="A11572" i="2"/>
  <c r="A11571" i="2"/>
  <c r="A11570" i="2"/>
  <c r="A11569" i="2"/>
  <c r="A11568" i="2"/>
  <c r="A11567" i="2"/>
  <c r="A11566" i="2"/>
  <c r="A11565" i="2"/>
  <c r="A11564" i="2"/>
  <c r="A11563" i="2"/>
  <c r="A11562" i="2"/>
  <c r="A11561" i="2"/>
  <c r="A11560" i="2"/>
  <c r="A11559" i="2"/>
  <c r="A11558" i="2"/>
  <c r="A11557" i="2"/>
  <c r="A11556" i="2"/>
  <c r="A11555" i="2"/>
  <c r="A11554" i="2"/>
  <c r="A11553" i="2"/>
  <c r="A11552" i="2"/>
  <c r="A11551" i="2"/>
  <c r="A11550" i="2"/>
  <c r="A11549" i="2"/>
  <c r="A11548" i="2"/>
  <c r="A11547" i="2"/>
  <c r="A11546" i="2"/>
  <c r="A11545" i="2"/>
  <c r="A11544" i="2"/>
  <c r="A11543" i="2"/>
  <c r="A11542" i="2"/>
  <c r="A11541" i="2"/>
  <c r="A11540" i="2"/>
  <c r="A11539" i="2"/>
  <c r="A11538" i="2"/>
  <c r="A11537" i="2"/>
  <c r="A11536" i="2"/>
  <c r="A11535" i="2"/>
  <c r="A11534" i="2"/>
  <c r="A11533" i="2"/>
  <c r="A11532" i="2"/>
  <c r="A11531" i="2"/>
  <c r="A11530" i="2"/>
  <c r="A11529" i="2"/>
  <c r="A11528" i="2"/>
  <c r="A11527" i="2"/>
  <c r="A11526" i="2"/>
  <c r="A11525" i="2"/>
  <c r="A11524" i="2"/>
  <c r="A11523" i="2"/>
  <c r="A11522" i="2"/>
  <c r="A11521" i="2"/>
  <c r="A11520" i="2"/>
  <c r="A11519" i="2"/>
  <c r="A11518" i="2"/>
  <c r="A11517" i="2"/>
  <c r="A11516" i="2"/>
  <c r="A11515" i="2"/>
  <c r="A11514" i="2"/>
  <c r="A11513" i="2"/>
  <c r="A11512" i="2"/>
  <c r="A11511" i="2"/>
  <c r="A11510" i="2"/>
  <c r="A11509" i="2"/>
  <c r="A11508" i="2"/>
  <c r="A11507" i="2"/>
  <c r="A11506" i="2"/>
  <c r="A11505" i="2"/>
  <c r="A11504" i="2"/>
  <c r="A11503" i="2"/>
  <c r="A11502" i="2"/>
  <c r="A11501" i="2"/>
  <c r="A11500" i="2"/>
  <c r="A11499" i="2"/>
  <c r="A11498" i="2"/>
  <c r="A11497" i="2"/>
  <c r="A11496" i="2"/>
  <c r="A11495" i="2"/>
  <c r="A11494" i="2"/>
  <c r="A11493" i="2"/>
  <c r="A11492" i="2"/>
  <c r="A11491" i="2"/>
  <c r="A11490" i="2"/>
  <c r="A11489" i="2"/>
  <c r="A11488" i="2"/>
  <c r="A11487" i="2"/>
  <c r="A11486" i="2"/>
  <c r="A11485" i="2"/>
  <c r="A11484" i="2"/>
  <c r="A11483" i="2"/>
  <c r="A11482" i="2"/>
  <c r="A11481" i="2"/>
  <c r="A11480" i="2"/>
  <c r="A11479" i="2"/>
  <c r="A11478" i="2"/>
  <c r="A11477" i="2"/>
  <c r="A11476" i="2"/>
  <c r="A11475" i="2"/>
  <c r="A11474" i="2"/>
  <c r="A11473" i="2"/>
  <c r="A11472" i="2"/>
  <c r="A11471" i="2"/>
  <c r="A11470" i="2"/>
  <c r="A11469" i="2"/>
  <c r="A11468" i="2"/>
  <c r="A11467" i="2"/>
  <c r="A11466" i="2"/>
  <c r="A11465" i="2"/>
  <c r="A11464" i="2"/>
  <c r="A11463" i="2"/>
  <c r="A11462" i="2"/>
  <c r="A11461" i="2"/>
  <c r="A11460" i="2"/>
  <c r="A11459" i="2"/>
  <c r="A11458" i="2"/>
  <c r="A11457" i="2"/>
  <c r="A11456" i="2"/>
  <c r="A11455" i="2"/>
  <c r="A11454" i="2"/>
  <c r="A11453" i="2"/>
  <c r="A11452" i="2"/>
  <c r="A11451" i="2"/>
  <c r="A11450" i="2"/>
  <c r="A11449" i="2"/>
  <c r="A11448" i="2"/>
  <c r="A11447" i="2"/>
  <c r="A11446" i="2"/>
  <c r="A11445" i="2"/>
  <c r="A11444" i="2"/>
  <c r="A11443" i="2"/>
  <c r="A11442" i="2"/>
  <c r="A11441" i="2"/>
  <c r="A11440" i="2"/>
  <c r="A11439" i="2"/>
  <c r="A11438" i="2"/>
  <c r="A11437" i="2"/>
  <c r="A11436" i="2"/>
  <c r="A11435" i="2"/>
  <c r="A11434" i="2"/>
  <c r="A11433" i="2"/>
  <c r="A11432" i="2"/>
  <c r="A11431" i="2"/>
  <c r="A11430" i="2"/>
  <c r="A11429" i="2"/>
  <c r="A11428" i="2"/>
  <c r="A11427" i="2"/>
  <c r="A11426" i="2"/>
  <c r="A11425" i="2"/>
  <c r="A11424" i="2"/>
  <c r="A11423" i="2"/>
  <c r="A11422" i="2"/>
  <c r="A11421" i="2"/>
  <c r="A11420" i="2"/>
  <c r="A11419" i="2"/>
  <c r="A11418" i="2"/>
  <c r="A11417" i="2"/>
  <c r="A11416" i="2"/>
  <c r="A11415" i="2"/>
  <c r="A11414" i="2"/>
  <c r="A11413" i="2"/>
  <c r="A11412" i="2"/>
  <c r="A11411" i="2"/>
  <c r="A11410" i="2"/>
  <c r="A11409" i="2"/>
  <c r="A11408" i="2"/>
  <c r="A11407" i="2"/>
  <c r="A11406" i="2"/>
  <c r="A11405" i="2"/>
  <c r="A11404" i="2"/>
  <c r="A11403" i="2"/>
  <c r="A11402" i="2"/>
  <c r="A11401" i="2"/>
  <c r="A11400" i="2"/>
  <c r="A11399" i="2"/>
  <c r="A11398" i="2"/>
  <c r="A11397" i="2"/>
  <c r="A11396" i="2"/>
  <c r="A11395" i="2"/>
  <c r="A11394" i="2"/>
  <c r="A11393" i="2"/>
  <c r="A11392" i="2"/>
  <c r="A11391" i="2"/>
  <c r="A11390" i="2"/>
  <c r="A11389" i="2"/>
  <c r="A11388" i="2"/>
  <c r="A11387" i="2"/>
  <c r="A11386" i="2"/>
  <c r="A11385" i="2"/>
  <c r="A11384" i="2"/>
  <c r="A11383" i="2"/>
  <c r="A11382" i="2"/>
  <c r="A11381" i="2"/>
  <c r="A11380" i="2"/>
  <c r="A11379" i="2"/>
  <c r="A11378" i="2"/>
  <c r="A11377" i="2"/>
  <c r="A11376" i="2"/>
  <c r="A11375" i="2"/>
  <c r="A11374" i="2"/>
  <c r="A11373" i="2"/>
  <c r="A11372" i="2"/>
  <c r="A11371" i="2"/>
  <c r="A11370" i="2"/>
  <c r="A11369" i="2"/>
  <c r="A11368" i="2"/>
  <c r="A11367" i="2"/>
  <c r="A11366" i="2"/>
  <c r="A11365" i="2"/>
  <c r="A11364" i="2"/>
  <c r="A11363" i="2"/>
  <c r="A11362" i="2"/>
  <c r="A11361" i="2"/>
  <c r="A11360" i="2"/>
  <c r="A11359" i="2"/>
  <c r="A11358" i="2"/>
  <c r="A11357" i="2"/>
  <c r="A11356" i="2"/>
  <c r="A11355" i="2"/>
  <c r="A11354" i="2"/>
  <c r="A11353" i="2"/>
  <c r="A11352" i="2"/>
  <c r="A11351" i="2"/>
  <c r="A11350" i="2"/>
  <c r="A11349" i="2"/>
  <c r="A11348" i="2"/>
  <c r="A11347" i="2"/>
  <c r="A11346" i="2"/>
  <c r="A11345" i="2"/>
  <c r="A11344" i="2"/>
  <c r="A11343" i="2"/>
  <c r="A11342" i="2"/>
  <c r="A11341" i="2"/>
  <c r="A11340" i="2"/>
  <c r="A11339" i="2"/>
  <c r="A11338" i="2"/>
  <c r="A11337" i="2"/>
  <c r="A11336" i="2"/>
  <c r="A11335" i="2"/>
  <c r="A11334" i="2"/>
  <c r="A11333" i="2"/>
  <c r="A11332" i="2"/>
  <c r="A11331" i="2"/>
  <c r="A11330" i="2"/>
  <c r="A11329" i="2"/>
  <c r="A11328" i="2"/>
  <c r="A11327" i="2"/>
  <c r="A11326" i="2"/>
  <c r="A11325" i="2"/>
  <c r="A11324" i="2"/>
  <c r="A11323" i="2"/>
  <c r="A11322" i="2"/>
  <c r="A11321" i="2"/>
  <c r="A11320" i="2"/>
  <c r="A11319" i="2"/>
  <c r="A11318" i="2"/>
  <c r="A11317" i="2"/>
  <c r="A11316" i="2"/>
  <c r="A11315" i="2"/>
  <c r="A11314" i="2"/>
  <c r="A11313" i="2"/>
  <c r="A11312" i="2"/>
  <c r="A11311" i="2"/>
  <c r="A11310" i="2"/>
  <c r="A11309" i="2"/>
  <c r="A11308" i="2"/>
  <c r="A11307" i="2"/>
  <c r="A11306" i="2"/>
  <c r="A11305" i="2"/>
  <c r="A11304" i="2"/>
  <c r="A11303" i="2"/>
  <c r="A11302" i="2"/>
  <c r="A11301" i="2"/>
  <c r="A11300" i="2"/>
  <c r="A11299" i="2"/>
  <c r="A11298" i="2"/>
  <c r="A11297" i="2"/>
  <c r="A11296" i="2"/>
  <c r="A11295" i="2"/>
  <c r="A11294" i="2"/>
  <c r="A11293" i="2"/>
  <c r="A11292" i="2"/>
  <c r="A11291" i="2"/>
  <c r="A11290" i="2"/>
  <c r="A11289" i="2"/>
  <c r="A11288" i="2"/>
  <c r="A11287" i="2"/>
  <c r="A11286" i="2"/>
  <c r="A11285" i="2"/>
  <c r="A11284" i="2"/>
  <c r="A11283" i="2"/>
  <c r="A11282" i="2"/>
  <c r="A11281" i="2"/>
  <c r="A11280" i="2"/>
  <c r="A11279" i="2"/>
  <c r="A11278" i="2"/>
  <c r="A11277" i="2"/>
  <c r="A11276" i="2"/>
  <c r="A11275" i="2"/>
  <c r="A11274" i="2"/>
  <c r="A11273" i="2"/>
  <c r="A11272" i="2"/>
  <c r="A11271" i="2"/>
  <c r="A11270" i="2"/>
  <c r="A11269" i="2"/>
  <c r="A11268" i="2"/>
  <c r="A11267" i="2"/>
  <c r="A11266" i="2"/>
  <c r="A11265" i="2"/>
  <c r="A11264" i="2"/>
  <c r="A11263" i="2"/>
  <c r="A11262" i="2"/>
  <c r="A11261" i="2"/>
  <c r="A11260" i="2"/>
  <c r="A11259" i="2"/>
  <c r="A11258" i="2"/>
  <c r="A11257" i="2"/>
  <c r="A11256" i="2"/>
  <c r="A11255" i="2"/>
  <c r="A11254" i="2"/>
  <c r="A11253" i="2"/>
  <c r="A11252" i="2"/>
  <c r="A11251" i="2"/>
  <c r="A11250" i="2"/>
  <c r="A11249" i="2"/>
  <c r="A11248" i="2"/>
  <c r="A11247" i="2"/>
  <c r="A11246" i="2"/>
  <c r="A11245" i="2"/>
  <c r="A11244" i="2"/>
  <c r="A11243" i="2"/>
  <c r="A11242" i="2"/>
  <c r="A11241" i="2"/>
  <c r="A11240" i="2"/>
  <c r="A11239" i="2"/>
  <c r="A11238" i="2"/>
  <c r="A11237" i="2"/>
  <c r="A11236" i="2"/>
  <c r="A11235" i="2"/>
  <c r="A11234" i="2"/>
  <c r="A11233" i="2"/>
  <c r="A11232" i="2"/>
  <c r="A11231" i="2"/>
  <c r="A11230" i="2"/>
  <c r="A11229" i="2"/>
  <c r="A11228" i="2"/>
  <c r="A11227" i="2"/>
  <c r="A11226" i="2"/>
  <c r="A11225" i="2"/>
  <c r="A11224" i="2"/>
  <c r="A11223" i="2"/>
  <c r="A11222" i="2"/>
  <c r="A11221" i="2"/>
  <c r="A11220" i="2"/>
  <c r="A11219" i="2"/>
  <c r="A11218" i="2"/>
  <c r="A11217" i="2"/>
  <c r="A11216" i="2"/>
  <c r="A11215" i="2"/>
  <c r="A11214" i="2"/>
  <c r="A11213" i="2"/>
  <c r="A11212" i="2"/>
  <c r="A11211" i="2"/>
  <c r="A11210" i="2"/>
  <c r="A11209" i="2"/>
  <c r="A11208" i="2"/>
  <c r="A11207" i="2"/>
  <c r="A11206" i="2"/>
  <c r="A11205" i="2"/>
  <c r="A11204" i="2"/>
  <c r="A11203" i="2"/>
  <c r="A11202" i="2"/>
  <c r="A11201" i="2"/>
  <c r="A11200" i="2"/>
  <c r="A11199" i="2"/>
  <c r="A11198" i="2"/>
  <c r="A11197" i="2"/>
  <c r="A11196" i="2"/>
  <c r="A11195" i="2"/>
  <c r="A11194" i="2"/>
  <c r="A11193" i="2"/>
  <c r="A11192" i="2"/>
  <c r="A11191" i="2"/>
  <c r="A11190" i="2"/>
  <c r="A11189" i="2"/>
  <c r="A11188" i="2"/>
  <c r="A11187" i="2"/>
  <c r="A11186" i="2"/>
  <c r="A11185" i="2"/>
  <c r="A11184" i="2"/>
  <c r="A11183" i="2"/>
  <c r="A11182" i="2"/>
  <c r="A11181" i="2"/>
  <c r="A11180" i="2"/>
  <c r="A11179" i="2"/>
  <c r="A11178" i="2"/>
  <c r="A11177" i="2"/>
  <c r="A11176" i="2"/>
  <c r="A11175" i="2"/>
  <c r="A11174" i="2"/>
  <c r="A11173" i="2"/>
  <c r="A11172" i="2"/>
  <c r="A11171" i="2"/>
  <c r="A11170" i="2"/>
  <c r="A11169" i="2"/>
  <c r="A11168" i="2"/>
  <c r="A11167" i="2"/>
  <c r="A11166" i="2"/>
  <c r="A11165" i="2"/>
  <c r="A11164" i="2"/>
  <c r="A11163" i="2"/>
  <c r="A11162" i="2"/>
  <c r="A11161" i="2"/>
  <c r="A11160" i="2"/>
  <c r="A11159" i="2"/>
  <c r="A11158" i="2"/>
  <c r="A11157" i="2"/>
  <c r="A11156" i="2"/>
  <c r="A11155" i="2"/>
  <c r="A11154" i="2"/>
  <c r="A11153" i="2"/>
  <c r="A11152" i="2"/>
  <c r="A11151" i="2"/>
  <c r="A11150" i="2"/>
  <c r="A11149" i="2"/>
  <c r="A11148" i="2"/>
  <c r="A11147" i="2"/>
  <c r="A11146" i="2"/>
  <c r="A11145" i="2"/>
  <c r="A11144" i="2"/>
  <c r="A11143" i="2"/>
  <c r="A11142" i="2"/>
  <c r="A11141" i="2"/>
  <c r="A11140" i="2"/>
  <c r="A11139" i="2"/>
  <c r="A11138" i="2"/>
  <c r="A11137" i="2"/>
  <c r="A11136" i="2"/>
  <c r="A11135" i="2"/>
  <c r="A11134" i="2"/>
  <c r="A11133" i="2"/>
  <c r="A11132" i="2"/>
  <c r="A11131" i="2"/>
  <c r="A11130" i="2"/>
  <c r="A11129" i="2"/>
  <c r="A11128" i="2"/>
  <c r="A11127" i="2"/>
  <c r="A11126" i="2"/>
  <c r="A11125" i="2"/>
  <c r="A11124" i="2"/>
  <c r="A11123" i="2"/>
  <c r="A11122" i="2"/>
  <c r="A11121" i="2"/>
  <c r="A11120" i="2"/>
  <c r="A11119" i="2"/>
  <c r="A11118" i="2"/>
  <c r="A11117" i="2"/>
  <c r="A11116" i="2"/>
  <c r="A11115" i="2"/>
  <c r="A11114" i="2"/>
  <c r="A11113" i="2"/>
  <c r="A11112" i="2"/>
  <c r="A11111" i="2"/>
  <c r="A11110" i="2"/>
  <c r="A11109" i="2"/>
  <c r="A11108" i="2"/>
  <c r="A11107" i="2"/>
  <c r="A11106" i="2"/>
  <c r="A11105" i="2"/>
  <c r="A11104" i="2"/>
  <c r="A11103" i="2"/>
  <c r="A11102" i="2"/>
  <c r="A11101" i="2"/>
  <c r="A11100" i="2"/>
  <c r="A11099" i="2"/>
  <c r="A11098" i="2"/>
  <c r="A11097" i="2"/>
  <c r="A11096" i="2"/>
  <c r="A11095" i="2"/>
  <c r="A11094" i="2"/>
  <c r="A11093" i="2"/>
  <c r="A11092" i="2"/>
  <c r="A11091" i="2"/>
  <c r="A11090" i="2"/>
  <c r="A11089" i="2"/>
  <c r="A11088" i="2"/>
  <c r="A11087" i="2"/>
  <c r="A11086" i="2"/>
  <c r="A11085" i="2"/>
  <c r="A11084" i="2"/>
  <c r="A11083" i="2"/>
  <c r="A11082" i="2"/>
  <c r="A11081" i="2"/>
  <c r="A11080" i="2"/>
  <c r="A11079" i="2"/>
  <c r="A11078" i="2"/>
  <c r="A11077" i="2"/>
  <c r="A11076" i="2"/>
  <c r="A11075" i="2"/>
  <c r="A11074" i="2"/>
  <c r="A11073" i="2"/>
  <c r="A11072" i="2"/>
  <c r="A11071" i="2"/>
  <c r="A11070" i="2"/>
  <c r="A11069" i="2"/>
  <c r="A11068" i="2"/>
  <c r="A11067" i="2"/>
  <c r="A11066" i="2"/>
  <c r="A11065" i="2"/>
  <c r="A11064" i="2"/>
  <c r="A11063" i="2"/>
  <c r="A11062" i="2"/>
  <c r="A11061" i="2"/>
  <c r="A11060" i="2"/>
  <c r="A11059" i="2"/>
  <c r="A11058" i="2"/>
  <c r="A11057" i="2"/>
  <c r="A11056" i="2"/>
  <c r="A11055" i="2"/>
  <c r="A11054" i="2"/>
  <c r="A11053" i="2"/>
  <c r="A11052" i="2"/>
  <c r="A11051" i="2"/>
  <c r="A11050" i="2"/>
  <c r="A11049" i="2"/>
  <c r="A11048" i="2"/>
  <c r="A11047" i="2"/>
  <c r="A11046" i="2"/>
  <c r="A11045" i="2"/>
  <c r="A11044" i="2"/>
  <c r="A11043" i="2"/>
  <c r="A11042" i="2"/>
  <c r="A11041" i="2"/>
  <c r="A11040" i="2"/>
  <c r="A11039" i="2"/>
  <c r="A11038" i="2"/>
  <c r="A11037" i="2"/>
  <c r="A11036" i="2"/>
  <c r="A11035" i="2"/>
  <c r="A11034" i="2"/>
  <c r="A11033" i="2"/>
  <c r="A11032" i="2"/>
  <c r="A11031" i="2"/>
  <c r="A11030" i="2"/>
  <c r="A11029" i="2"/>
  <c r="A11028" i="2"/>
  <c r="A11027" i="2"/>
  <c r="A11026" i="2"/>
  <c r="A11025" i="2"/>
  <c r="A11024" i="2"/>
  <c r="A11023" i="2"/>
  <c r="A11022" i="2"/>
  <c r="A11021" i="2"/>
  <c r="A11020" i="2"/>
  <c r="A11019" i="2"/>
  <c r="A11018" i="2"/>
  <c r="A11017" i="2"/>
  <c r="A11016" i="2"/>
  <c r="A11015" i="2"/>
  <c r="A11014" i="2"/>
  <c r="A11013" i="2"/>
  <c r="A11012" i="2"/>
  <c r="A11011" i="2"/>
  <c r="A11010" i="2"/>
  <c r="A11009" i="2"/>
  <c r="A11008" i="2"/>
  <c r="A11007" i="2"/>
  <c r="A11006" i="2"/>
  <c r="A11005" i="2"/>
  <c r="A11004" i="2"/>
  <c r="A11003" i="2"/>
  <c r="A11002" i="2"/>
  <c r="A11001" i="2"/>
  <c r="A11000" i="2"/>
  <c r="A10999" i="2"/>
  <c r="A10998" i="2"/>
  <c r="A10997" i="2"/>
  <c r="A10996" i="2"/>
  <c r="A10995" i="2"/>
  <c r="A10994" i="2"/>
  <c r="A10993" i="2"/>
  <c r="A10992" i="2"/>
  <c r="A10991" i="2"/>
  <c r="A10990" i="2"/>
  <c r="A10989" i="2"/>
  <c r="A10988" i="2"/>
  <c r="A10987" i="2"/>
  <c r="A10986" i="2"/>
  <c r="A10985" i="2"/>
  <c r="A10984" i="2"/>
  <c r="A10983" i="2"/>
  <c r="A10982" i="2"/>
  <c r="A10981" i="2"/>
  <c r="A10980" i="2"/>
  <c r="A10979" i="2"/>
  <c r="A10978" i="2"/>
  <c r="A10977" i="2"/>
  <c r="A10976" i="2"/>
  <c r="A10975" i="2"/>
  <c r="A10974" i="2"/>
  <c r="A10973" i="2"/>
  <c r="A10972" i="2"/>
  <c r="A10971" i="2"/>
  <c r="A10970" i="2"/>
  <c r="A10969" i="2"/>
  <c r="A10968" i="2"/>
  <c r="A10967" i="2"/>
  <c r="A10966" i="2"/>
  <c r="A10965" i="2"/>
  <c r="A10964" i="2"/>
  <c r="A10963" i="2"/>
  <c r="A10962" i="2"/>
  <c r="A10961" i="2"/>
  <c r="A10960" i="2"/>
  <c r="A10959" i="2"/>
  <c r="A10958" i="2"/>
  <c r="A10957" i="2"/>
  <c r="A10956" i="2"/>
  <c r="A10955" i="2"/>
  <c r="A10954" i="2"/>
  <c r="A10953" i="2"/>
  <c r="A10952" i="2"/>
  <c r="A10951" i="2"/>
  <c r="A10950" i="2"/>
  <c r="A10949" i="2"/>
  <c r="A10948" i="2"/>
  <c r="A10947" i="2"/>
  <c r="A10946" i="2"/>
  <c r="A10945" i="2"/>
  <c r="A10944" i="2"/>
  <c r="A10943" i="2"/>
  <c r="A10942" i="2"/>
  <c r="A10941" i="2"/>
  <c r="A10940" i="2"/>
  <c r="A10939" i="2"/>
  <c r="A10938" i="2"/>
  <c r="A10937" i="2"/>
  <c r="A10936" i="2"/>
  <c r="A10935" i="2"/>
  <c r="A10934" i="2"/>
  <c r="A10933" i="2"/>
  <c r="A10932" i="2"/>
  <c r="A10931" i="2"/>
  <c r="A10930" i="2"/>
  <c r="A10929" i="2"/>
  <c r="A10928" i="2"/>
  <c r="A10927" i="2"/>
  <c r="A10926" i="2"/>
  <c r="A10925" i="2"/>
  <c r="A10924" i="2"/>
  <c r="A10923" i="2"/>
  <c r="A10922" i="2"/>
  <c r="A10921" i="2"/>
  <c r="A10920" i="2"/>
  <c r="A10919" i="2"/>
  <c r="A10918" i="2"/>
  <c r="A10917" i="2"/>
  <c r="A10916" i="2"/>
  <c r="A10915" i="2"/>
  <c r="A10914" i="2"/>
  <c r="A10913" i="2"/>
  <c r="A10912" i="2"/>
  <c r="A10911" i="2"/>
  <c r="A10910" i="2"/>
  <c r="A10909" i="2"/>
  <c r="A10908" i="2"/>
  <c r="A10907" i="2"/>
  <c r="A10906" i="2"/>
  <c r="A10905" i="2"/>
  <c r="A10904" i="2"/>
  <c r="A10903" i="2"/>
  <c r="A10902" i="2"/>
  <c r="A10901" i="2"/>
  <c r="A10900" i="2"/>
  <c r="A10899" i="2"/>
  <c r="A10898" i="2"/>
  <c r="A10897" i="2"/>
  <c r="A10896" i="2"/>
  <c r="A10895" i="2"/>
  <c r="A10894" i="2"/>
  <c r="A10893" i="2"/>
  <c r="A10892" i="2"/>
  <c r="A10891" i="2"/>
  <c r="A10890" i="2"/>
  <c r="A10889" i="2"/>
  <c r="A10888" i="2"/>
  <c r="A10887" i="2"/>
  <c r="A10886" i="2"/>
  <c r="A10885" i="2"/>
  <c r="A10884" i="2"/>
  <c r="A10883" i="2"/>
  <c r="A10882" i="2"/>
  <c r="A10881" i="2"/>
  <c r="A10880" i="2"/>
  <c r="A10879" i="2"/>
  <c r="A10878" i="2"/>
  <c r="A10877" i="2"/>
  <c r="A10876" i="2"/>
  <c r="A10875" i="2"/>
  <c r="A10874" i="2"/>
  <c r="A10873" i="2"/>
  <c r="A10872" i="2"/>
  <c r="A10871" i="2"/>
  <c r="A10870" i="2"/>
  <c r="A10869" i="2"/>
  <c r="A10868" i="2"/>
  <c r="A10867" i="2"/>
  <c r="A10866" i="2"/>
  <c r="A10865" i="2"/>
  <c r="A10864" i="2"/>
  <c r="A10863" i="2"/>
  <c r="A10862" i="2"/>
  <c r="A10861" i="2"/>
  <c r="A10860" i="2"/>
  <c r="A10859" i="2"/>
  <c r="A10858" i="2"/>
  <c r="A10857" i="2"/>
  <c r="A10856" i="2"/>
  <c r="A10855" i="2"/>
  <c r="A10854" i="2"/>
  <c r="A10853" i="2"/>
  <c r="A10852" i="2"/>
  <c r="A10851" i="2"/>
  <c r="A10850" i="2"/>
  <c r="A10849" i="2"/>
  <c r="A10848" i="2"/>
  <c r="A10847" i="2"/>
  <c r="A10846" i="2"/>
  <c r="A10845" i="2"/>
  <c r="A10844" i="2"/>
  <c r="A10843" i="2"/>
  <c r="A10842" i="2"/>
  <c r="A10841" i="2"/>
  <c r="A10840" i="2"/>
  <c r="A10839" i="2"/>
  <c r="A10838" i="2"/>
  <c r="A10837" i="2"/>
  <c r="A10836" i="2"/>
  <c r="A10835" i="2"/>
  <c r="A10834" i="2"/>
  <c r="A10833" i="2"/>
  <c r="A10832" i="2"/>
  <c r="A10831" i="2"/>
  <c r="A10830" i="2"/>
  <c r="A10829" i="2"/>
  <c r="A10828" i="2"/>
  <c r="A10827" i="2"/>
  <c r="A10826" i="2"/>
  <c r="A10825" i="2"/>
  <c r="A10824" i="2"/>
  <c r="A10823" i="2"/>
  <c r="A10822" i="2"/>
  <c r="A10821" i="2"/>
  <c r="A10820" i="2"/>
  <c r="A10819" i="2"/>
  <c r="A10818" i="2"/>
  <c r="A10817" i="2"/>
  <c r="A10816" i="2"/>
  <c r="A10815" i="2"/>
  <c r="A10814" i="2"/>
  <c r="A10813" i="2"/>
  <c r="A10812" i="2"/>
  <c r="A10811" i="2"/>
  <c r="A10810" i="2"/>
  <c r="A10809" i="2"/>
  <c r="A10808" i="2"/>
  <c r="A10807" i="2"/>
  <c r="A10806" i="2"/>
  <c r="A10805" i="2"/>
  <c r="A10804" i="2"/>
  <c r="A10803" i="2"/>
  <c r="A10802" i="2"/>
  <c r="A10801" i="2"/>
  <c r="A10800" i="2"/>
  <c r="A10799" i="2"/>
  <c r="A10798" i="2"/>
  <c r="A10797" i="2"/>
  <c r="A10796" i="2"/>
  <c r="A10795" i="2"/>
  <c r="A10794" i="2"/>
  <c r="A10793" i="2"/>
  <c r="A10792" i="2"/>
  <c r="A10791" i="2"/>
  <c r="A10790" i="2"/>
  <c r="A10789" i="2"/>
  <c r="A10788" i="2"/>
  <c r="A10787" i="2"/>
  <c r="A10786" i="2"/>
  <c r="A10785" i="2"/>
  <c r="A10784" i="2"/>
  <c r="A10783" i="2"/>
  <c r="A10782" i="2"/>
  <c r="A10781" i="2"/>
  <c r="A10780" i="2"/>
  <c r="A10779" i="2"/>
  <c r="A10778" i="2"/>
  <c r="A10777" i="2"/>
  <c r="A10776" i="2"/>
  <c r="A10775" i="2"/>
  <c r="A10774" i="2"/>
  <c r="A10773" i="2"/>
  <c r="A10772" i="2"/>
  <c r="A10771" i="2"/>
  <c r="A10770" i="2"/>
  <c r="A10769" i="2"/>
  <c r="A10768" i="2"/>
  <c r="A10767" i="2"/>
  <c r="A10766" i="2"/>
  <c r="A10765" i="2"/>
  <c r="A10764" i="2"/>
  <c r="A10763" i="2"/>
  <c r="A10762" i="2"/>
  <c r="A10761" i="2"/>
  <c r="A10760" i="2"/>
  <c r="A10759" i="2"/>
  <c r="A10758" i="2"/>
  <c r="A10757" i="2"/>
  <c r="A10756" i="2"/>
  <c r="A10755" i="2"/>
  <c r="A10754" i="2"/>
  <c r="A10753" i="2"/>
  <c r="A10752" i="2"/>
  <c r="A10751" i="2"/>
  <c r="A10750" i="2"/>
  <c r="A10749" i="2"/>
  <c r="A10748" i="2"/>
  <c r="A10747" i="2"/>
  <c r="A10746" i="2"/>
  <c r="A10745" i="2"/>
  <c r="A10744" i="2"/>
  <c r="A10743" i="2"/>
  <c r="A10742" i="2"/>
  <c r="A10741" i="2"/>
  <c r="A10740" i="2"/>
  <c r="A10739" i="2"/>
  <c r="A10738" i="2"/>
  <c r="A10737" i="2"/>
  <c r="A10736" i="2"/>
  <c r="A10735" i="2"/>
  <c r="A10734" i="2"/>
  <c r="A10733" i="2"/>
  <c r="A10732" i="2"/>
  <c r="A10731" i="2"/>
  <c r="A10730" i="2"/>
  <c r="A10729" i="2"/>
  <c r="A10728" i="2"/>
  <c r="A10727" i="2"/>
  <c r="A10726" i="2"/>
  <c r="A10725" i="2"/>
  <c r="A10724" i="2"/>
  <c r="A10723" i="2"/>
  <c r="A10722" i="2"/>
  <c r="A10721" i="2"/>
  <c r="A10720" i="2"/>
  <c r="A10719" i="2"/>
  <c r="A10718" i="2"/>
  <c r="A10717" i="2"/>
  <c r="A10716" i="2"/>
  <c r="A10715" i="2"/>
  <c r="A10714" i="2"/>
  <c r="A10713" i="2"/>
  <c r="A10712" i="2"/>
  <c r="A10711" i="2"/>
  <c r="A10710" i="2"/>
  <c r="A10709" i="2"/>
  <c r="A10708" i="2"/>
  <c r="A10707" i="2"/>
  <c r="A10706" i="2"/>
  <c r="A10705" i="2"/>
  <c r="A10704" i="2"/>
  <c r="A10703" i="2"/>
  <c r="A10702" i="2"/>
  <c r="A10701" i="2"/>
  <c r="A10700" i="2"/>
  <c r="A10699" i="2"/>
  <c r="A10698" i="2"/>
  <c r="A10697" i="2"/>
  <c r="A10696" i="2"/>
  <c r="A10695" i="2"/>
  <c r="A10694" i="2"/>
  <c r="A10693" i="2"/>
  <c r="A10692" i="2"/>
  <c r="A10691" i="2"/>
  <c r="A10690" i="2"/>
  <c r="A10689" i="2"/>
  <c r="A10688" i="2"/>
  <c r="A10687" i="2"/>
  <c r="A10686" i="2"/>
  <c r="A10685" i="2"/>
  <c r="A10684" i="2"/>
  <c r="A10683" i="2"/>
  <c r="A10682" i="2"/>
  <c r="A10681" i="2"/>
  <c r="A10680" i="2"/>
  <c r="A10679" i="2"/>
  <c r="A10678" i="2"/>
  <c r="A10677" i="2"/>
  <c r="A10676" i="2"/>
  <c r="A10675" i="2"/>
  <c r="A10674" i="2"/>
  <c r="A10673" i="2"/>
  <c r="A10672" i="2"/>
  <c r="A10671" i="2"/>
  <c r="A10670" i="2"/>
  <c r="A10669" i="2"/>
  <c r="A10668" i="2"/>
  <c r="A10667" i="2"/>
  <c r="A10666" i="2"/>
  <c r="A10665" i="2"/>
  <c r="A10664" i="2"/>
  <c r="A10663" i="2"/>
  <c r="A10662" i="2"/>
  <c r="A10661" i="2"/>
  <c r="A10660" i="2"/>
  <c r="A10659" i="2"/>
  <c r="A10658" i="2"/>
  <c r="A10657" i="2"/>
  <c r="A10656" i="2"/>
  <c r="A10655" i="2"/>
  <c r="A10654" i="2"/>
  <c r="A10653" i="2"/>
  <c r="A10652" i="2"/>
  <c r="A10651" i="2"/>
  <c r="A10650" i="2"/>
  <c r="A10649" i="2"/>
  <c r="A10648" i="2"/>
  <c r="A10647" i="2"/>
  <c r="A10646" i="2"/>
  <c r="A10645" i="2"/>
  <c r="A10644" i="2"/>
  <c r="A10643" i="2"/>
  <c r="A10642" i="2"/>
  <c r="A10641" i="2"/>
  <c r="A10640" i="2"/>
  <c r="A10639" i="2"/>
  <c r="A10638" i="2"/>
  <c r="A10637" i="2"/>
  <c r="A10636" i="2"/>
  <c r="A10635" i="2"/>
  <c r="A10634" i="2"/>
  <c r="A10633" i="2"/>
  <c r="A10632" i="2"/>
  <c r="A10631" i="2"/>
  <c r="A10630" i="2"/>
  <c r="A10629" i="2"/>
  <c r="A10628" i="2"/>
  <c r="A10627" i="2"/>
  <c r="A10626" i="2"/>
  <c r="A10625" i="2"/>
  <c r="A10624" i="2"/>
  <c r="A10623" i="2"/>
  <c r="A10622" i="2"/>
  <c r="A10621" i="2"/>
  <c r="A10620" i="2"/>
  <c r="A10619" i="2"/>
  <c r="A10618" i="2"/>
  <c r="A10617" i="2"/>
  <c r="A10616" i="2"/>
  <c r="A10615" i="2"/>
  <c r="A10614" i="2"/>
  <c r="A10613" i="2"/>
  <c r="A10612" i="2"/>
  <c r="A10611" i="2"/>
  <c r="A10610" i="2"/>
  <c r="A10609" i="2"/>
  <c r="A10608" i="2"/>
  <c r="A10607" i="2"/>
  <c r="A10606" i="2"/>
  <c r="A10605" i="2"/>
  <c r="A10604" i="2"/>
  <c r="A10603" i="2"/>
  <c r="A10602" i="2"/>
  <c r="A10601" i="2"/>
  <c r="A10600" i="2"/>
  <c r="A10599" i="2"/>
  <c r="A10598" i="2"/>
  <c r="A10597" i="2"/>
  <c r="A10596" i="2"/>
  <c r="A10595" i="2"/>
  <c r="A10594" i="2"/>
  <c r="A10593" i="2"/>
  <c r="A10592" i="2"/>
  <c r="A10591" i="2"/>
  <c r="A10590" i="2"/>
  <c r="A10589" i="2"/>
  <c r="A10588" i="2"/>
  <c r="A10587" i="2"/>
  <c r="A10586" i="2"/>
  <c r="A10585" i="2"/>
  <c r="A10584" i="2"/>
  <c r="A10583" i="2"/>
  <c r="A10582" i="2"/>
  <c r="A10581" i="2"/>
  <c r="A10580" i="2"/>
  <c r="A10579" i="2"/>
  <c r="A10578" i="2"/>
  <c r="A10577" i="2"/>
  <c r="A10576" i="2"/>
  <c r="A10575" i="2"/>
  <c r="A10574" i="2"/>
  <c r="A10573" i="2"/>
  <c r="A10572" i="2"/>
  <c r="A10571" i="2"/>
  <c r="A10570" i="2"/>
  <c r="A10569" i="2"/>
  <c r="A10568" i="2"/>
  <c r="A10567" i="2"/>
  <c r="A10566" i="2"/>
  <c r="A10565" i="2"/>
  <c r="A10564" i="2"/>
  <c r="A10563" i="2"/>
  <c r="A10562" i="2"/>
  <c r="A10561" i="2"/>
  <c r="A10560" i="2"/>
  <c r="A10559" i="2"/>
  <c r="A10558" i="2"/>
  <c r="A10557" i="2"/>
  <c r="A10556" i="2"/>
  <c r="A10555" i="2"/>
  <c r="A10554" i="2"/>
  <c r="A10553" i="2"/>
  <c r="A10552" i="2"/>
  <c r="A10551" i="2"/>
  <c r="A10550" i="2"/>
  <c r="A10549" i="2"/>
  <c r="A10548" i="2"/>
  <c r="A10547" i="2"/>
  <c r="A10546" i="2"/>
  <c r="A10545" i="2"/>
  <c r="A10544" i="2"/>
  <c r="A10543" i="2"/>
  <c r="A10542" i="2"/>
  <c r="A10541" i="2"/>
  <c r="A10540" i="2"/>
  <c r="A10539" i="2"/>
  <c r="A10538" i="2"/>
  <c r="A10537" i="2"/>
  <c r="A10536" i="2"/>
  <c r="A10535" i="2"/>
  <c r="A10534" i="2"/>
  <c r="A10533" i="2"/>
  <c r="A10532" i="2"/>
  <c r="A10531" i="2"/>
  <c r="A10530" i="2"/>
  <c r="A10529" i="2"/>
  <c r="A10528" i="2"/>
  <c r="A10527" i="2"/>
  <c r="A10526" i="2"/>
  <c r="A10525" i="2"/>
  <c r="A10524" i="2"/>
  <c r="A10523" i="2"/>
  <c r="A10522" i="2"/>
  <c r="A10521" i="2"/>
  <c r="A10520" i="2"/>
  <c r="A10519" i="2"/>
  <c r="A10518" i="2"/>
  <c r="A10517" i="2"/>
  <c r="A10516" i="2"/>
  <c r="A10515" i="2"/>
  <c r="A10514" i="2"/>
  <c r="A10513" i="2"/>
  <c r="A10512" i="2"/>
  <c r="A10511" i="2"/>
  <c r="A10510" i="2"/>
  <c r="A10509" i="2"/>
  <c r="A10508" i="2"/>
  <c r="A10507" i="2"/>
  <c r="A10506" i="2"/>
  <c r="A10505" i="2"/>
  <c r="A10504" i="2"/>
  <c r="A10503" i="2"/>
  <c r="A10502" i="2"/>
  <c r="A10501" i="2"/>
  <c r="A10500" i="2"/>
  <c r="A10499" i="2"/>
  <c r="A10498" i="2"/>
  <c r="A10497" i="2"/>
  <c r="A10496" i="2"/>
  <c r="A10495" i="2"/>
  <c r="A10494" i="2"/>
  <c r="A10493" i="2"/>
  <c r="A10492" i="2"/>
  <c r="A10491" i="2"/>
  <c r="A10490" i="2"/>
  <c r="A10489" i="2"/>
  <c r="A10488" i="2"/>
  <c r="A10487" i="2"/>
  <c r="A10486" i="2"/>
  <c r="A10485" i="2"/>
  <c r="A10484" i="2"/>
  <c r="A10483" i="2"/>
  <c r="A10482" i="2"/>
  <c r="A10481" i="2"/>
  <c r="A10480" i="2"/>
  <c r="A10479" i="2"/>
  <c r="A10478" i="2"/>
  <c r="A10477" i="2"/>
  <c r="A10476" i="2"/>
  <c r="A10475" i="2"/>
  <c r="A10474" i="2"/>
  <c r="A10473" i="2"/>
  <c r="A10472" i="2"/>
  <c r="A10471" i="2"/>
  <c r="A10470" i="2"/>
  <c r="A10469" i="2"/>
  <c r="A10468" i="2"/>
  <c r="A10467" i="2"/>
  <c r="A10466" i="2"/>
  <c r="A10465" i="2"/>
  <c r="A10464" i="2"/>
  <c r="A10463" i="2"/>
  <c r="A10462" i="2"/>
  <c r="A10461" i="2"/>
  <c r="A10460" i="2"/>
  <c r="A10459" i="2"/>
  <c r="A10458" i="2"/>
  <c r="A10457" i="2"/>
  <c r="A10456" i="2"/>
  <c r="A10455" i="2"/>
  <c r="A10454" i="2"/>
  <c r="A10453" i="2"/>
  <c r="A10452" i="2"/>
  <c r="A10451" i="2"/>
  <c r="A10450" i="2"/>
  <c r="A10449" i="2"/>
  <c r="A10448" i="2"/>
  <c r="A10447" i="2"/>
  <c r="A10446" i="2"/>
  <c r="A10445" i="2"/>
  <c r="A10444" i="2"/>
  <c r="A10443" i="2"/>
  <c r="A10442" i="2"/>
  <c r="A10441" i="2"/>
  <c r="A10440" i="2"/>
  <c r="A10439" i="2"/>
  <c r="A10438" i="2"/>
  <c r="A10437" i="2"/>
  <c r="A10436" i="2"/>
  <c r="A10435" i="2"/>
  <c r="A10434" i="2"/>
  <c r="A10433" i="2"/>
  <c r="A10432" i="2"/>
  <c r="A10431" i="2"/>
  <c r="A10430" i="2"/>
  <c r="A10429" i="2"/>
  <c r="A10428" i="2"/>
  <c r="A10427" i="2"/>
  <c r="A10426" i="2"/>
  <c r="A10425" i="2"/>
  <c r="A10424" i="2"/>
  <c r="A10423" i="2"/>
  <c r="A10422" i="2"/>
  <c r="A10421" i="2"/>
  <c r="A10420" i="2"/>
  <c r="A10419" i="2"/>
  <c r="A10418" i="2"/>
  <c r="A10417" i="2"/>
  <c r="A10416" i="2"/>
  <c r="A10415" i="2"/>
  <c r="A10414" i="2"/>
  <c r="A10413" i="2"/>
  <c r="A10412" i="2"/>
  <c r="A10411" i="2"/>
  <c r="A10410" i="2"/>
  <c r="A10409" i="2"/>
  <c r="A10408" i="2"/>
  <c r="A10407" i="2"/>
  <c r="A10406" i="2"/>
  <c r="A10405" i="2"/>
  <c r="A10404" i="2"/>
  <c r="A10403" i="2"/>
  <c r="A10402" i="2"/>
  <c r="A10401" i="2"/>
  <c r="A10400" i="2"/>
  <c r="A10399" i="2"/>
  <c r="A10398" i="2"/>
  <c r="A10397" i="2"/>
  <c r="A10396" i="2"/>
  <c r="A10395" i="2"/>
  <c r="A10394" i="2"/>
  <c r="A10393" i="2"/>
  <c r="A10392" i="2"/>
  <c r="A10391" i="2"/>
  <c r="A10390" i="2"/>
  <c r="A10389" i="2"/>
  <c r="A10388" i="2"/>
  <c r="A10387" i="2"/>
  <c r="A10386" i="2"/>
  <c r="A10385" i="2"/>
  <c r="A10384" i="2"/>
  <c r="A10383" i="2"/>
  <c r="A10382" i="2"/>
  <c r="A10381" i="2"/>
  <c r="A10380" i="2"/>
  <c r="A10379" i="2"/>
  <c r="A10378" i="2"/>
  <c r="A10377" i="2"/>
  <c r="A10376" i="2"/>
  <c r="A10375" i="2"/>
  <c r="A10374" i="2"/>
  <c r="A10373" i="2"/>
  <c r="A10372" i="2"/>
  <c r="A10371" i="2"/>
  <c r="A10370" i="2"/>
  <c r="A10369" i="2"/>
  <c r="A10368" i="2"/>
  <c r="A10367" i="2"/>
  <c r="A10366" i="2"/>
  <c r="A10365" i="2"/>
  <c r="A10364" i="2"/>
  <c r="A10363" i="2"/>
  <c r="A10362" i="2"/>
  <c r="A10361" i="2"/>
  <c r="A10360" i="2"/>
  <c r="A10359" i="2"/>
  <c r="A10358" i="2"/>
  <c r="A10357" i="2"/>
  <c r="A10356" i="2"/>
  <c r="A10355" i="2"/>
  <c r="A10354" i="2"/>
  <c r="A10353" i="2"/>
  <c r="A10352" i="2"/>
  <c r="A10351" i="2"/>
  <c r="A10350" i="2"/>
  <c r="A10349" i="2"/>
  <c r="A10348" i="2"/>
  <c r="A10347" i="2"/>
  <c r="A10346" i="2"/>
  <c r="A10345" i="2"/>
  <c r="A10344" i="2"/>
  <c r="A10343" i="2"/>
  <c r="A10342" i="2"/>
  <c r="A10341" i="2"/>
  <c r="A10340" i="2"/>
  <c r="A10339" i="2"/>
  <c r="A10338" i="2"/>
  <c r="A10337" i="2"/>
  <c r="A10336" i="2"/>
  <c r="A10335" i="2"/>
  <c r="A10334" i="2"/>
  <c r="A10333" i="2"/>
  <c r="A10332" i="2"/>
  <c r="A10331" i="2"/>
  <c r="A10330" i="2"/>
  <c r="A10329" i="2"/>
  <c r="A10328" i="2"/>
  <c r="A10327" i="2"/>
  <c r="A10326" i="2"/>
  <c r="A10325" i="2"/>
  <c r="A10324" i="2"/>
  <c r="A10323" i="2"/>
  <c r="A10322" i="2"/>
  <c r="A10321" i="2"/>
  <c r="A10320" i="2"/>
  <c r="A10319" i="2"/>
  <c r="A10318" i="2"/>
  <c r="A10317" i="2"/>
  <c r="A10316" i="2"/>
  <c r="A10315" i="2"/>
  <c r="A10314" i="2"/>
  <c r="A10313" i="2"/>
  <c r="A10312" i="2"/>
  <c r="A10311" i="2"/>
  <c r="A10310" i="2"/>
  <c r="A10309" i="2"/>
  <c r="A10308" i="2"/>
  <c r="A10307" i="2"/>
  <c r="A10306" i="2"/>
  <c r="A10305" i="2"/>
  <c r="A10304" i="2"/>
  <c r="A10303" i="2"/>
  <c r="A10302" i="2"/>
  <c r="A10301" i="2"/>
  <c r="A10300" i="2"/>
  <c r="A10299" i="2"/>
  <c r="A10298" i="2"/>
  <c r="A10297" i="2"/>
  <c r="A10296" i="2"/>
  <c r="A10295" i="2"/>
  <c r="A10294" i="2"/>
  <c r="A10293" i="2"/>
  <c r="A10292" i="2"/>
  <c r="A10291" i="2"/>
  <c r="A10290" i="2"/>
  <c r="A10289" i="2"/>
  <c r="A10288" i="2"/>
  <c r="A10287" i="2"/>
  <c r="A10286" i="2"/>
  <c r="A10285" i="2"/>
  <c r="A10284" i="2"/>
  <c r="A10283" i="2"/>
  <c r="A10282" i="2"/>
  <c r="A10281" i="2"/>
  <c r="A10280" i="2"/>
  <c r="A10279" i="2"/>
  <c r="A10278" i="2"/>
  <c r="A10277" i="2"/>
  <c r="A10276" i="2"/>
  <c r="A10275" i="2"/>
  <c r="A10274" i="2"/>
  <c r="A10273" i="2"/>
  <c r="A10272" i="2"/>
  <c r="A10271" i="2"/>
  <c r="A10270" i="2"/>
  <c r="A10269" i="2"/>
  <c r="A10268" i="2"/>
  <c r="A10267" i="2"/>
  <c r="A10266" i="2"/>
  <c r="A10265" i="2"/>
  <c r="A10264" i="2"/>
  <c r="A10263" i="2"/>
  <c r="A10262" i="2"/>
  <c r="A10261" i="2"/>
  <c r="A10260" i="2"/>
  <c r="A10259" i="2"/>
  <c r="A10258" i="2"/>
  <c r="A10257" i="2"/>
  <c r="A10256" i="2"/>
  <c r="A10255" i="2"/>
  <c r="A10254" i="2"/>
  <c r="A10253" i="2"/>
  <c r="A10252" i="2"/>
  <c r="A10251" i="2"/>
  <c r="A10250" i="2"/>
  <c r="A10249" i="2"/>
  <c r="A10248" i="2"/>
  <c r="A10247" i="2"/>
  <c r="A10246" i="2"/>
  <c r="A10245" i="2"/>
  <c r="A10244" i="2"/>
  <c r="A10243" i="2"/>
  <c r="A10242" i="2"/>
  <c r="A10241" i="2"/>
  <c r="A10240" i="2"/>
  <c r="A10239" i="2"/>
  <c r="A10238" i="2"/>
  <c r="A10237" i="2"/>
  <c r="A10236" i="2"/>
  <c r="A10235" i="2"/>
  <c r="A10234" i="2"/>
  <c r="A10233" i="2"/>
  <c r="A10232" i="2"/>
  <c r="A10231" i="2"/>
  <c r="A10230" i="2"/>
  <c r="A10229" i="2"/>
  <c r="A10228" i="2"/>
  <c r="A10227" i="2"/>
  <c r="A10226" i="2"/>
  <c r="A10225" i="2"/>
  <c r="A10224" i="2"/>
  <c r="A10223" i="2"/>
  <c r="A10222" i="2"/>
  <c r="A10221" i="2"/>
  <c r="A10220" i="2"/>
  <c r="A10219" i="2"/>
  <c r="A10218" i="2"/>
  <c r="A10217" i="2"/>
  <c r="A10216" i="2"/>
  <c r="A10215" i="2"/>
  <c r="A10214" i="2"/>
  <c r="A10213" i="2"/>
  <c r="A10212" i="2"/>
  <c r="A10211" i="2"/>
  <c r="A10210" i="2"/>
  <c r="A10209" i="2"/>
  <c r="A10208" i="2"/>
  <c r="A10207" i="2"/>
  <c r="A10206" i="2"/>
  <c r="A10205" i="2"/>
  <c r="A10204" i="2"/>
  <c r="A10203" i="2"/>
  <c r="A10202" i="2"/>
  <c r="A10201" i="2"/>
  <c r="A10200" i="2"/>
  <c r="A10199" i="2"/>
  <c r="A10198" i="2"/>
  <c r="A10197" i="2"/>
  <c r="A10196" i="2"/>
  <c r="A10195" i="2"/>
  <c r="A10194" i="2"/>
  <c r="A10193" i="2"/>
  <c r="A10192" i="2"/>
  <c r="A10191" i="2"/>
  <c r="A10190" i="2"/>
  <c r="A10189" i="2"/>
  <c r="A10188" i="2"/>
  <c r="A10187" i="2"/>
  <c r="A10186" i="2"/>
  <c r="A10185" i="2"/>
  <c r="A10184" i="2"/>
  <c r="A10183" i="2"/>
  <c r="A10182" i="2"/>
  <c r="A10181" i="2"/>
  <c r="A10180" i="2"/>
  <c r="A10179" i="2"/>
  <c r="A10178" i="2"/>
  <c r="A10177" i="2"/>
  <c r="A10176" i="2"/>
  <c r="A10175" i="2"/>
  <c r="A10174" i="2"/>
  <c r="A10173" i="2"/>
  <c r="A10172" i="2"/>
  <c r="A10171" i="2"/>
  <c r="A10170" i="2"/>
  <c r="A10169" i="2"/>
  <c r="A10168" i="2"/>
  <c r="A10167" i="2"/>
  <c r="A10166" i="2"/>
  <c r="A10165" i="2"/>
  <c r="A10164" i="2"/>
  <c r="A10163" i="2"/>
  <c r="A10162" i="2"/>
  <c r="A10161" i="2"/>
  <c r="A10160" i="2"/>
  <c r="A10159" i="2"/>
  <c r="A10158" i="2"/>
  <c r="A10157" i="2"/>
  <c r="A10156" i="2"/>
  <c r="A10155" i="2"/>
  <c r="A10154" i="2"/>
  <c r="A10153" i="2"/>
  <c r="A10152" i="2"/>
  <c r="A10151" i="2"/>
  <c r="A10150" i="2"/>
  <c r="A10149" i="2"/>
  <c r="A10148" i="2"/>
  <c r="A10147" i="2"/>
  <c r="A10146" i="2"/>
  <c r="A10145" i="2"/>
  <c r="A10144" i="2"/>
  <c r="A10143" i="2"/>
  <c r="A10142" i="2"/>
  <c r="A10141" i="2"/>
  <c r="A10140" i="2"/>
  <c r="A10139" i="2"/>
  <c r="A10138" i="2"/>
  <c r="A10137" i="2"/>
  <c r="A10136" i="2"/>
  <c r="A10135" i="2"/>
  <c r="A10134" i="2"/>
  <c r="A10133" i="2"/>
  <c r="A10132" i="2"/>
  <c r="A10131" i="2"/>
  <c r="A10130" i="2"/>
  <c r="A10129" i="2"/>
  <c r="A10128" i="2"/>
  <c r="A10127" i="2"/>
  <c r="A10126" i="2"/>
  <c r="A10125" i="2"/>
  <c r="A10124" i="2"/>
  <c r="A10123" i="2"/>
  <c r="A10122" i="2"/>
  <c r="A10121" i="2"/>
  <c r="A10120" i="2"/>
  <c r="A10119" i="2"/>
  <c r="A10118" i="2"/>
  <c r="A10117" i="2"/>
  <c r="A10116" i="2"/>
  <c r="A10115" i="2"/>
  <c r="A10114" i="2"/>
  <c r="A10113" i="2"/>
  <c r="A10112" i="2"/>
  <c r="A10111" i="2"/>
  <c r="A10110" i="2"/>
  <c r="A10109" i="2"/>
  <c r="A10108" i="2"/>
  <c r="A10107" i="2"/>
  <c r="A10106" i="2"/>
  <c r="A10105" i="2"/>
  <c r="A10104" i="2"/>
  <c r="A10103" i="2"/>
  <c r="A10102" i="2"/>
  <c r="A10101" i="2"/>
  <c r="A10100" i="2"/>
  <c r="A10099" i="2"/>
  <c r="A10098" i="2"/>
  <c r="A10097" i="2"/>
  <c r="A10096" i="2"/>
  <c r="A10095" i="2"/>
  <c r="A10094" i="2"/>
  <c r="A10093" i="2"/>
  <c r="A10092" i="2"/>
  <c r="A10091" i="2"/>
  <c r="A10090" i="2"/>
  <c r="A10089" i="2"/>
  <c r="A10088" i="2"/>
  <c r="A10087" i="2"/>
  <c r="A10086" i="2"/>
  <c r="A10085" i="2"/>
  <c r="A10084" i="2"/>
  <c r="A10083" i="2"/>
  <c r="A10082" i="2"/>
  <c r="A10081" i="2"/>
  <c r="A10080" i="2"/>
  <c r="A10079" i="2"/>
  <c r="A10078" i="2"/>
  <c r="A10077" i="2"/>
  <c r="A10076" i="2"/>
  <c r="A10075" i="2"/>
  <c r="A10074" i="2"/>
  <c r="A10073" i="2"/>
  <c r="A10072" i="2"/>
  <c r="A10071" i="2"/>
  <c r="A10070" i="2"/>
  <c r="A10069" i="2"/>
  <c r="A10068" i="2"/>
  <c r="A10067" i="2"/>
  <c r="A10066" i="2"/>
  <c r="A10065" i="2"/>
  <c r="A10064" i="2"/>
  <c r="A10063" i="2"/>
  <c r="A10062" i="2"/>
  <c r="A10061" i="2"/>
  <c r="A10060" i="2"/>
  <c r="A10059" i="2"/>
  <c r="A10058" i="2"/>
  <c r="A10057" i="2"/>
  <c r="A10056" i="2"/>
  <c r="A10055" i="2"/>
  <c r="A10054" i="2"/>
  <c r="A10053" i="2"/>
  <c r="A10052" i="2"/>
  <c r="A10051" i="2"/>
  <c r="A10050" i="2"/>
  <c r="A10049" i="2"/>
  <c r="A10048" i="2"/>
  <c r="A10047" i="2"/>
  <c r="A10046" i="2"/>
  <c r="A10045" i="2"/>
  <c r="A10044" i="2"/>
  <c r="A10043" i="2"/>
  <c r="A10042" i="2"/>
  <c r="A10041" i="2"/>
  <c r="A10040" i="2"/>
  <c r="A10039" i="2"/>
  <c r="A10038" i="2"/>
  <c r="A10037" i="2"/>
  <c r="A10036" i="2"/>
  <c r="A10035" i="2"/>
  <c r="A10034" i="2"/>
  <c r="A10033" i="2"/>
  <c r="A10032" i="2"/>
  <c r="A10031" i="2"/>
  <c r="A10030" i="2"/>
  <c r="A10029" i="2"/>
  <c r="A10028" i="2"/>
  <c r="A10027" i="2"/>
  <c r="A10026" i="2"/>
  <c r="A10025" i="2"/>
  <c r="A10024" i="2"/>
  <c r="A10023" i="2"/>
  <c r="A10022" i="2"/>
  <c r="A10021" i="2"/>
  <c r="A10020" i="2"/>
  <c r="A10019" i="2"/>
  <c r="A10018" i="2"/>
  <c r="A10017" i="2"/>
  <c r="A10016" i="2"/>
  <c r="A10015" i="2"/>
  <c r="A10014" i="2"/>
  <c r="A10013" i="2"/>
  <c r="A10012" i="2"/>
  <c r="A10011" i="2"/>
  <c r="A10010" i="2"/>
  <c r="A10009" i="2"/>
  <c r="A10008" i="2"/>
  <c r="A10007" i="2"/>
  <c r="A10006" i="2"/>
  <c r="A10005" i="2"/>
  <c r="A10004" i="2"/>
  <c r="A10003" i="2"/>
  <c r="A10002" i="2"/>
  <c r="A10001" i="2"/>
  <c r="A10000" i="2"/>
  <c r="A9999" i="2"/>
  <c r="A9998" i="2"/>
  <c r="A9997" i="2"/>
  <c r="A9996" i="2"/>
  <c r="A9995" i="2"/>
  <c r="A9994" i="2"/>
  <c r="A9993" i="2"/>
  <c r="A9992" i="2"/>
  <c r="A9991" i="2"/>
  <c r="A9990" i="2"/>
  <c r="A9989" i="2"/>
  <c r="A9988" i="2"/>
  <c r="A9987" i="2"/>
  <c r="A9986" i="2"/>
  <c r="A9985" i="2"/>
  <c r="A9984" i="2"/>
  <c r="A9983" i="2"/>
  <c r="A9982" i="2"/>
  <c r="A9981" i="2"/>
  <c r="A9980" i="2"/>
  <c r="A9979" i="2"/>
  <c r="A9978" i="2"/>
  <c r="A9977" i="2"/>
  <c r="A9976" i="2"/>
  <c r="A9975" i="2"/>
  <c r="A9974" i="2"/>
  <c r="A9973" i="2"/>
  <c r="A9972" i="2"/>
  <c r="A9971" i="2"/>
  <c r="A9970" i="2"/>
  <c r="A9969" i="2"/>
  <c r="A9968" i="2"/>
  <c r="A9967" i="2"/>
  <c r="A9966" i="2"/>
  <c r="A9965" i="2"/>
  <c r="A9964" i="2"/>
  <c r="A9963" i="2"/>
  <c r="A9962" i="2"/>
  <c r="A9961" i="2"/>
  <c r="A9960" i="2"/>
  <c r="A9959" i="2"/>
  <c r="A9958" i="2"/>
  <c r="A9957" i="2"/>
  <c r="A9956" i="2"/>
  <c r="A9955" i="2"/>
  <c r="A9954" i="2"/>
  <c r="A9953" i="2"/>
  <c r="A9952" i="2"/>
  <c r="A9951" i="2"/>
  <c r="A9950" i="2"/>
  <c r="A9949" i="2"/>
  <c r="A9948" i="2"/>
  <c r="A9947" i="2"/>
  <c r="A9946" i="2"/>
  <c r="A9945" i="2"/>
  <c r="A9944" i="2"/>
  <c r="A9943" i="2"/>
  <c r="A9942" i="2"/>
  <c r="A9941" i="2"/>
  <c r="A9940" i="2"/>
  <c r="A9939" i="2"/>
  <c r="A9938" i="2"/>
  <c r="A9937" i="2"/>
  <c r="A9936" i="2"/>
  <c r="A9935" i="2"/>
  <c r="A9934" i="2"/>
  <c r="A9933" i="2"/>
  <c r="A9932" i="2"/>
  <c r="A9931" i="2"/>
  <c r="A9930" i="2"/>
  <c r="A9929" i="2"/>
  <c r="A9928" i="2"/>
  <c r="A9927" i="2"/>
  <c r="A9926" i="2"/>
  <c r="A9925" i="2"/>
  <c r="A9924" i="2"/>
  <c r="A9923" i="2"/>
  <c r="A9922" i="2"/>
  <c r="A9921" i="2"/>
  <c r="A9920" i="2"/>
  <c r="A9919" i="2"/>
  <c r="A9918" i="2"/>
  <c r="A9917" i="2"/>
  <c r="A9916" i="2"/>
  <c r="A9915" i="2"/>
  <c r="A9914" i="2"/>
  <c r="A9913" i="2"/>
  <c r="A9912" i="2"/>
  <c r="A9911" i="2"/>
  <c r="A9910" i="2"/>
  <c r="A9909" i="2"/>
  <c r="A9908" i="2"/>
  <c r="A9907" i="2"/>
  <c r="A9906" i="2"/>
  <c r="A9905" i="2"/>
  <c r="A9904" i="2"/>
  <c r="A9903" i="2"/>
  <c r="A9902" i="2"/>
  <c r="A9901" i="2"/>
  <c r="A9900" i="2"/>
  <c r="A9899" i="2"/>
  <c r="A9898" i="2"/>
  <c r="A9897" i="2"/>
  <c r="A9896" i="2"/>
  <c r="A9895" i="2"/>
  <c r="A9894" i="2"/>
  <c r="A9893" i="2"/>
  <c r="A9892" i="2"/>
  <c r="A9891" i="2"/>
  <c r="A9890" i="2"/>
  <c r="A9889" i="2"/>
  <c r="A9888" i="2"/>
  <c r="A9887" i="2"/>
  <c r="A9886" i="2"/>
  <c r="A9885" i="2"/>
  <c r="A9884" i="2"/>
  <c r="A9883" i="2"/>
  <c r="A9882" i="2"/>
  <c r="A9881" i="2"/>
  <c r="A9880" i="2"/>
  <c r="A9879" i="2"/>
  <c r="A9878" i="2"/>
  <c r="A9877" i="2"/>
  <c r="A9876" i="2"/>
  <c r="A9875" i="2"/>
  <c r="A9874" i="2"/>
  <c r="A9873" i="2"/>
  <c r="A9872" i="2"/>
  <c r="A9871" i="2"/>
  <c r="A9870" i="2"/>
  <c r="A9869" i="2"/>
  <c r="A9868" i="2"/>
  <c r="A9867" i="2"/>
  <c r="A9866" i="2"/>
  <c r="A9865" i="2"/>
  <c r="A9864" i="2"/>
  <c r="A9863" i="2"/>
  <c r="A9862" i="2"/>
  <c r="A9861" i="2"/>
  <c r="A9860" i="2"/>
  <c r="A9859" i="2"/>
  <c r="A9858" i="2"/>
  <c r="A9857" i="2"/>
  <c r="A9856" i="2"/>
  <c r="A9855" i="2"/>
  <c r="A9854" i="2"/>
  <c r="A9853" i="2"/>
  <c r="A9852" i="2"/>
  <c r="A9851" i="2"/>
  <c r="A9850" i="2"/>
  <c r="A9849" i="2"/>
  <c r="A9848" i="2"/>
  <c r="A9847" i="2"/>
  <c r="A9846" i="2"/>
  <c r="A9845" i="2"/>
  <c r="A9844" i="2"/>
  <c r="A9843" i="2"/>
  <c r="A9842" i="2"/>
  <c r="A9841" i="2"/>
  <c r="A9840" i="2"/>
  <c r="A9839" i="2"/>
  <c r="A9838" i="2"/>
  <c r="A9837" i="2"/>
  <c r="A9836" i="2"/>
  <c r="A9835" i="2"/>
  <c r="A9834" i="2"/>
  <c r="A9833" i="2"/>
  <c r="A9832" i="2"/>
  <c r="A9831" i="2"/>
  <c r="A9830" i="2"/>
  <c r="A9829" i="2"/>
  <c r="A9828" i="2"/>
  <c r="A9827" i="2"/>
  <c r="A9826" i="2"/>
  <c r="A9825" i="2"/>
  <c r="A9824" i="2"/>
  <c r="A9823" i="2"/>
  <c r="A9822" i="2"/>
  <c r="A9821" i="2"/>
  <c r="A9820" i="2"/>
  <c r="A9819" i="2"/>
  <c r="A9818" i="2"/>
  <c r="A9817" i="2"/>
  <c r="A9816" i="2"/>
  <c r="A9815" i="2"/>
  <c r="A9814" i="2"/>
  <c r="A9813" i="2"/>
  <c r="A9812" i="2"/>
  <c r="A9811" i="2"/>
  <c r="A9810" i="2"/>
  <c r="A9809" i="2"/>
  <c r="A9808" i="2"/>
  <c r="A9807" i="2"/>
  <c r="A9806" i="2"/>
  <c r="A9805" i="2"/>
  <c r="A9804" i="2"/>
  <c r="A9803" i="2"/>
  <c r="A9802" i="2"/>
  <c r="A9801" i="2"/>
  <c r="A9800" i="2"/>
  <c r="A9799" i="2"/>
  <c r="A9798" i="2"/>
  <c r="A9797" i="2"/>
  <c r="A9796" i="2"/>
  <c r="A9795" i="2"/>
  <c r="A9794" i="2"/>
  <c r="A9793" i="2"/>
  <c r="A9792" i="2"/>
  <c r="A9791" i="2"/>
  <c r="A9790" i="2"/>
  <c r="A9789" i="2"/>
  <c r="A9788" i="2"/>
  <c r="A9787" i="2"/>
  <c r="A9786" i="2"/>
  <c r="A9785" i="2"/>
  <c r="A9784" i="2"/>
  <c r="A9783" i="2"/>
  <c r="A9782" i="2"/>
  <c r="A9781" i="2"/>
  <c r="A9780" i="2"/>
  <c r="A9779" i="2"/>
  <c r="A9778" i="2"/>
  <c r="A9777" i="2"/>
  <c r="A9776" i="2"/>
  <c r="A9775" i="2"/>
  <c r="A9774" i="2"/>
  <c r="A9773" i="2"/>
  <c r="A9772" i="2"/>
  <c r="A9771" i="2"/>
  <c r="A9770" i="2"/>
  <c r="A9769" i="2"/>
  <c r="A9768" i="2"/>
  <c r="A9767" i="2"/>
  <c r="A9766" i="2"/>
  <c r="A9765" i="2"/>
  <c r="A9764" i="2"/>
  <c r="A9763" i="2"/>
  <c r="A9762" i="2"/>
  <c r="A9761" i="2"/>
  <c r="A9760" i="2"/>
  <c r="A9759" i="2"/>
  <c r="A9758" i="2"/>
  <c r="A9757" i="2"/>
  <c r="A9756" i="2"/>
  <c r="A9755" i="2"/>
  <c r="A9754" i="2"/>
  <c r="A9753" i="2"/>
  <c r="A9752" i="2"/>
  <c r="A9751" i="2"/>
  <c r="A9750" i="2"/>
  <c r="A9749" i="2"/>
  <c r="A9748" i="2"/>
  <c r="A9747" i="2"/>
  <c r="A9746" i="2"/>
  <c r="A9745" i="2"/>
  <c r="A9744" i="2"/>
  <c r="A9743" i="2"/>
  <c r="A9742" i="2"/>
  <c r="A9741" i="2"/>
  <c r="A9740" i="2"/>
  <c r="A9739" i="2"/>
  <c r="A9738" i="2"/>
  <c r="A9737" i="2"/>
  <c r="A9736" i="2"/>
  <c r="A9735" i="2"/>
  <c r="A9734" i="2"/>
  <c r="A9733" i="2"/>
  <c r="A9732" i="2"/>
  <c r="A9731" i="2"/>
  <c r="A9730" i="2"/>
  <c r="A9729" i="2"/>
  <c r="A9728" i="2"/>
  <c r="A9727" i="2"/>
  <c r="A9726" i="2"/>
  <c r="A9725" i="2"/>
  <c r="A9724" i="2"/>
  <c r="A9723" i="2"/>
  <c r="A9722" i="2"/>
  <c r="A9721" i="2"/>
  <c r="A9720" i="2"/>
  <c r="A9719" i="2"/>
  <c r="A9718" i="2"/>
  <c r="A9717" i="2"/>
  <c r="A9716" i="2"/>
  <c r="A9715" i="2"/>
  <c r="A9714" i="2"/>
  <c r="A9713" i="2"/>
  <c r="A9712" i="2"/>
  <c r="A9711" i="2"/>
  <c r="A9710" i="2"/>
  <c r="A9709" i="2"/>
  <c r="A9708" i="2"/>
  <c r="A9707" i="2"/>
  <c r="A9706" i="2"/>
  <c r="A9705" i="2"/>
  <c r="A9704" i="2"/>
  <c r="A9703" i="2"/>
  <c r="A9702" i="2"/>
  <c r="A9701" i="2"/>
  <c r="A9700" i="2"/>
  <c r="A9699" i="2"/>
  <c r="A9698" i="2"/>
  <c r="A9697" i="2"/>
  <c r="A9696" i="2"/>
  <c r="A9695" i="2"/>
  <c r="A9694" i="2"/>
  <c r="A9693" i="2"/>
  <c r="A9692" i="2"/>
  <c r="A9691" i="2"/>
  <c r="A9690" i="2"/>
  <c r="A9689" i="2"/>
  <c r="A9688" i="2"/>
  <c r="A9687" i="2"/>
  <c r="A9686" i="2"/>
  <c r="A9685" i="2"/>
  <c r="A9684" i="2"/>
  <c r="A9683" i="2"/>
  <c r="A9682" i="2"/>
  <c r="A9681" i="2"/>
  <c r="A9680" i="2"/>
  <c r="A9679" i="2"/>
  <c r="A9678" i="2"/>
  <c r="A9677" i="2"/>
  <c r="A9676" i="2"/>
  <c r="A9675" i="2"/>
  <c r="A9674" i="2"/>
  <c r="A9673" i="2"/>
  <c r="A9672" i="2"/>
  <c r="A9671" i="2"/>
  <c r="A9670" i="2"/>
  <c r="A9669" i="2"/>
  <c r="A9668" i="2"/>
  <c r="A9667" i="2"/>
  <c r="A9666" i="2"/>
  <c r="A9665" i="2"/>
  <c r="A9664" i="2"/>
  <c r="A9663" i="2"/>
  <c r="A9662" i="2"/>
  <c r="A9661" i="2"/>
  <c r="A9660" i="2"/>
  <c r="A9659" i="2"/>
  <c r="A9658" i="2"/>
  <c r="A9657" i="2"/>
  <c r="A9656" i="2"/>
  <c r="A9655" i="2"/>
  <c r="A9654" i="2"/>
  <c r="A9653" i="2"/>
  <c r="A9652" i="2"/>
  <c r="A9651" i="2"/>
  <c r="A9650" i="2"/>
  <c r="A9649" i="2"/>
  <c r="A9648" i="2"/>
  <c r="A9647" i="2"/>
  <c r="A9646" i="2"/>
  <c r="A9645" i="2"/>
  <c r="A9644" i="2"/>
  <c r="A9643" i="2"/>
  <c r="A9642" i="2"/>
  <c r="A9641" i="2"/>
  <c r="A9640" i="2"/>
  <c r="A9639" i="2"/>
  <c r="A9638" i="2"/>
  <c r="A9637" i="2"/>
  <c r="A9636" i="2"/>
  <c r="A9635" i="2"/>
  <c r="A9634" i="2"/>
  <c r="A9633" i="2"/>
  <c r="A9632" i="2"/>
  <c r="A9631" i="2"/>
  <c r="A9630" i="2"/>
  <c r="A9629" i="2"/>
  <c r="A9628" i="2"/>
  <c r="A9627" i="2"/>
  <c r="A9626" i="2"/>
  <c r="A9625" i="2"/>
  <c r="A9624" i="2"/>
  <c r="A9623" i="2"/>
  <c r="A9622" i="2"/>
  <c r="A9621" i="2"/>
  <c r="A9620" i="2"/>
  <c r="A9619" i="2"/>
  <c r="A9618" i="2"/>
  <c r="A9617" i="2"/>
  <c r="A9616" i="2"/>
  <c r="A9615" i="2"/>
  <c r="A9614" i="2"/>
  <c r="A9613" i="2"/>
  <c r="A9612" i="2"/>
  <c r="A9611" i="2"/>
  <c r="A9610" i="2"/>
  <c r="A9609" i="2"/>
  <c r="A9608" i="2"/>
  <c r="A9607" i="2"/>
  <c r="A9606" i="2"/>
  <c r="A9605" i="2"/>
  <c r="A9604" i="2"/>
  <c r="A9603" i="2"/>
  <c r="A9602" i="2"/>
  <c r="A9601" i="2"/>
  <c r="A9600" i="2"/>
  <c r="A9599" i="2"/>
  <c r="A9598" i="2"/>
  <c r="A9597" i="2"/>
  <c r="A9596" i="2"/>
  <c r="A9595" i="2"/>
  <c r="A9594" i="2"/>
  <c r="A9593" i="2"/>
  <c r="A9592" i="2"/>
  <c r="A9591" i="2"/>
  <c r="A9590" i="2"/>
  <c r="A9589" i="2"/>
  <c r="A9588" i="2"/>
  <c r="A9587" i="2"/>
  <c r="A9586" i="2"/>
  <c r="A9585" i="2"/>
  <c r="A9584" i="2"/>
  <c r="A9583" i="2"/>
  <c r="A9582" i="2"/>
  <c r="A9581" i="2"/>
  <c r="A9580" i="2"/>
  <c r="A9579" i="2"/>
  <c r="A9578" i="2"/>
  <c r="A9577" i="2"/>
  <c r="A9576" i="2"/>
  <c r="A9575" i="2"/>
  <c r="A9574" i="2"/>
  <c r="A9573" i="2"/>
  <c r="A9572" i="2"/>
  <c r="A9571" i="2"/>
  <c r="A9570" i="2"/>
  <c r="A9569" i="2"/>
  <c r="A9568" i="2"/>
  <c r="A9567" i="2"/>
  <c r="A9566" i="2"/>
  <c r="A9565" i="2"/>
  <c r="A9564" i="2"/>
  <c r="A9563" i="2"/>
  <c r="A9562" i="2"/>
  <c r="A9561" i="2"/>
  <c r="A9560" i="2"/>
  <c r="A9559" i="2"/>
  <c r="A9558" i="2"/>
  <c r="A9557" i="2"/>
  <c r="A9556" i="2"/>
  <c r="A9555" i="2"/>
  <c r="A9554" i="2"/>
  <c r="A9553" i="2"/>
  <c r="A9552" i="2"/>
  <c r="A9551" i="2"/>
  <c r="A9550" i="2"/>
  <c r="A9549" i="2"/>
  <c r="A9548" i="2"/>
  <c r="A9547" i="2"/>
  <c r="A9546" i="2"/>
  <c r="A9545" i="2"/>
  <c r="A9544" i="2"/>
  <c r="A9543" i="2"/>
  <c r="A9542" i="2"/>
  <c r="A9541" i="2"/>
  <c r="A9540" i="2"/>
  <c r="A9539" i="2"/>
  <c r="A9538" i="2"/>
  <c r="A9537" i="2"/>
  <c r="A9536" i="2"/>
  <c r="A9535" i="2"/>
  <c r="A9534" i="2"/>
  <c r="A9533" i="2"/>
  <c r="A9532" i="2"/>
  <c r="A9531" i="2"/>
  <c r="A9530" i="2"/>
  <c r="A9529" i="2"/>
  <c r="A9528" i="2"/>
  <c r="A9527" i="2"/>
  <c r="A9526" i="2"/>
  <c r="A9525" i="2"/>
  <c r="A9524" i="2"/>
  <c r="A9523" i="2"/>
  <c r="A9522" i="2"/>
  <c r="A9521" i="2"/>
  <c r="A9520" i="2"/>
  <c r="A9519" i="2"/>
  <c r="A9518" i="2"/>
  <c r="A9517" i="2"/>
  <c r="A9516" i="2"/>
  <c r="A9515" i="2"/>
  <c r="A9514" i="2"/>
  <c r="A9513" i="2"/>
  <c r="A9512" i="2"/>
  <c r="A9511" i="2"/>
  <c r="A9510" i="2"/>
  <c r="A9509" i="2"/>
  <c r="A9508" i="2"/>
  <c r="A9507" i="2"/>
  <c r="A9506" i="2"/>
  <c r="A9505" i="2"/>
  <c r="A9504" i="2"/>
  <c r="A9503" i="2"/>
  <c r="A9502" i="2"/>
  <c r="A9501" i="2"/>
  <c r="A9500" i="2"/>
  <c r="A9499" i="2"/>
  <c r="A9498" i="2"/>
  <c r="A9497" i="2"/>
  <c r="A9496" i="2"/>
  <c r="A9495" i="2"/>
  <c r="A9494" i="2"/>
  <c r="A9493" i="2"/>
  <c r="A9492" i="2"/>
  <c r="A9491" i="2"/>
  <c r="A9490" i="2"/>
  <c r="A9489" i="2"/>
  <c r="A9488" i="2"/>
  <c r="A9487" i="2"/>
  <c r="A9486" i="2"/>
  <c r="A9485" i="2"/>
  <c r="A9484" i="2"/>
  <c r="A9483" i="2"/>
  <c r="A9482" i="2"/>
  <c r="A9481" i="2"/>
  <c r="A9480" i="2"/>
  <c r="A9479" i="2"/>
  <c r="A9478" i="2"/>
  <c r="A9477" i="2"/>
  <c r="A9476" i="2"/>
  <c r="A9475" i="2"/>
  <c r="A9474" i="2"/>
  <c r="A9473" i="2"/>
  <c r="A9472" i="2"/>
  <c r="A9471" i="2"/>
  <c r="A9470" i="2"/>
  <c r="A9469" i="2"/>
  <c r="A9468" i="2"/>
  <c r="A9467" i="2"/>
  <c r="A9466" i="2"/>
  <c r="A9465" i="2"/>
  <c r="A9464" i="2"/>
  <c r="A9463" i="2"/>
  <c r="A9462" i="2"/>
  <c r="A9461" i="2"/>
  <c r="A9460" i="2"/>
  <c r="A9459" i="2"/>
  <c r="A9458" i="2"/>
  <c r="A9457" i="2"/>
  <c r="A9456" i="2"/>
  <c r="A9455" i="2"/>
  <c r="A9454" i="2"/>
  <c r="A9453" i="2"/>
  <c r="A9452" i="2"/>
  <c r="A9451" i="2"/>
  <c r="A9450" i="2"/>
  <c r="A9449" i="2"/>
  <c r="A9448" i="2"/>
  <c r="A9447" i="2"/>
  <c r="A9446" i="2"/>
  <c r="A9445" i="2"/>
  <c r="A9444" i="2"/>
  <c r="A9443" i="2"/>
  <c r="A9442" i="2"/>
  <c r="A9441" i="2"/>
  <c r="A9440" i="2"/>
  <c r="A9439" i="2"/>
  <c r="A9438" i="2"/>
  <c r="A9437" i="2"/>
  <c r="A9436" i="2"/>
  <c r="A9435" i="2"/>
  <c r="A9434" i="2"/>
  <c r="A9433" i="2"/>
  <c r="A9432" i="2"/>
  <c r="A9431" i="2"/>
  <c r="A9430" i="2"/>
  <c r="A9429" i="2"/>
  <c r="A9428" i="2"/>
  <c r="A9427" i="2"/>
  <c r="A9426" i="2"/>
  <c r="A9425" i="2"/>
  <c r="A9424" i="2"/>
  <c r="A9423" i="2"/>
  <c r="A9422" i="2"/>
  <c r="A9421" i="2"/>
  <c r="A9420" i="2"/>
  <c r="A9419" i="2"/>
  <c r="A9418" i="2"/>
  <c r="A9417" i="2"/>
  <c r="A9416" i="2"/>
  <c r="A9415" i="2"/>
  <c r="A9414" i="2"/>
  <c r="A9413" i="2"/>
  <c r="A9412" i="2"/>
  <c r="A9411" i="2"/>
  <c r="A9410" i="2"/>
  <c r="A9409" i="2"/>
  <c r="A9408" i="2"/>
  <c r="A9407" i="2"/>
  <c r="A9406" i="2"/>
  <c r="A9405" i="2"/>
  <c r="A9404" i="2"/>
  <c r="A9403" i="2"/>
  <c r="A9402" i="2"/>
  <c r="A9401" i="2"/>
  <c r="A9400" i="2"/>
  <c r="A9399" i="2"/>
  <c r="A9398" i="2"/>
  <c r="A9397" i="2"/>
  <c r="A9396" i="2"/>
  <c r="A9395" i="2"/>
  <c r="A9394" i="2"/>
  <c r="A9393" i="2"/>
  <c r="A9392" i="2"/>
  <c r="A9391" i="2"/>
  <c r="A9390" i="2"/>
  <c r="A9389" i="2"/>
  <c r="A9388" i="2"/>
  <c r="A9387" i="2"/>
  <c r="A9386" i="2"/>
  <c r="A9385" i="2"/>
  <c r="A9384" i="2"/>
  <c r="A9383" i="2"/>
  <c r="A9382" i="2"/>
  <c r="A9381" i="2"/>
  <c r="A9380" i="2"/>
  <c r="A9379" i="2"/>
  <c r="A9378" i="2"/>
  <c r="A9377" i="2"/>
  <c r="A9376" i="2"/>
  <c r="A9375" i="2"/>
  <c r="A9374" i="2"/>
  <c r="A9373" i="2"/>
  <c r="A9372" i="2"/>
  <c r="A9371" i="2"/>
  <c r="A9370" i="2"/>
  <c r="A9369" i="2"/>
  <c r="A9368" i="2"/>
  <c r="A9367" i="2"/>
  <c r="A9366" i="2"/>
  <c r="A9365" i="2"/>
  <c r="A9364" i="2"/>
  <c r="A9363" i="2"/>
  <c r="A9362" i="2"/>
  <c r="A9361" i="2"/>
  <c r="A9360" i="2"/>
  <c r="A9359" i="2"/>
  <c r="A9358" i="2"/>
  <c r="A9357" i="2"/>
  <c r="A9356" i="2"/>
  <c r="A9355" i="2"/>
  <c r="A9354" i="2"/>
  <c r="A9353" i="2"/>
  <c r="A9352" i="2"/>
  <c r="A9351" i="2"/>
  <c r="A9350" i="2"/>
  <c r="A9349" i="2"/>
  <c r="A9348" i="2"/>
  <c r="A9347" i="2"/>
  <c r="A9346" i="2"/>
  <c r="A9345" i="2"/>
  <c r="A9344" i="2"/>
  <c r="A9343" i="2"/>
  <c r="A9342" i="2"/>
  <c r="A9341" i="2"/>
  <c r="A9340" i="2"/>
  <c r="A9339" i="2"/>
  <c r="A9338" i="2"/>
  <c r="A9337" i="2"/>
  <c r="A9336" i="2"/>
  <c r="A9335" i="2"/>
  <c r="A9334" i="2"/>
  <c r="A9333" i="2"/>
  <c r="A9332" i="2"/>
  <c r="A9331" i="2"/>
  <c r="A9330" i="2"/>
  <c r="A9329" i="2"/>
  <c r="A9328" i="2"/>
  <c r="A9327" i="2"/>
  <c r="A9326" i="2"/>
  <c r="A9325" i="2"/>
  <c r="A9324" i="2"/>
  <c r="A9323" i="2"/>
  <c r="A9322" i="2"/>
  <c r="A9321" i="2"/>
  <c r="A9320" i="2"/>
  <c r="A9319" i="2"/>
  <c r="A9318" i="2"/>
  <c r="A9317" i="2"/>
  <c r="A9316" i="2"/>
  <c r="A9315" i="2"/>
  <c r="A9314" i="2"/>
  <c r="A9313" i="2"/>
  <c r="A9312" i="2"/>
  <c r="A9311" i="2"/>
  <c r="A9310" i="2"/>
  <c r="A9309" i="2"/>
  <c r="A9308" i="2"/>
  <c r="A9307" i="2"/>
  <c r="A9306" i="2"/>
  <c r="A9305" i="2"/>
  <c r="A9304" i="2"/>
  <c r="A9303" i="2"/>
  <c r="A9302" i="2"/>
  <c r="A9301" i="2"/>
  <c r="A9300" i="2"/>
  <c r="A9299" i="2"/>
  <c r="A9298" i="2"/>
  <c r="A9297" i="2"/>
  <c r="A9296" i="2"/>
  <c r="A9295" i="2"/>
  <c r="A9294" i="2"/>
  <c r="A9293" i="2"/>
  <c r="A9292" i="2"/>
  <c r="A9291" i="2"/>
  <c r="A9290" i="2"/>
  <c r="A9289" i="2"/>
  <c r="A9288" i="2"/>
  <c r="A9287" i="2"/>
  <c r="A9286" i="2"/>
  <c r="A9285" i="2"/>
  <c r="A9284" i="2"/>
  <c r="A9283" i="2"/>
  <c r="A9282" i="2"/>
  <c r="A9281" i="2"/>
  <c r="A9280" i="2"/>
  <c r="A9279" i="2"/>
  <c r="A9278" i="2"/>
  <c r="A9277" i="2"/>
  <c r="A9276" i="2"/>
  <c r="A9275" i="2"/>
  <c r="A9274" i="2"/>
  <c r="A9273" i="2"/>
  <c r="A9272" i="2"/>
  <c r="A9271" i="2"/>
  <c r="A9270" i="2"/>
  <c r="A9269" i="2"/>
  <c r="A9268" i="2"/>
  <c r="A9267" i="2"/>
  <c r="A9266" i="2"/>
  <c r="A9265" i="2"/>
  <c r="A9264" i="2"/>
  <c r="A9263" i="2"/>
  <c r="A9262" i="2"/>
  <c r="A9261" i="2"/>
  <c r="A9260" i="2"/>
  <c r="A9259" i="2"/>
  <c r="A9258" i="2"/>
  <c r="A9257" i="2"/>
  <c r="A9256" i="2"/>
  <c r="A9255" i="2"/>
  <c r="A9254" i="2"/>
  <c r="A9253" i="2"/>
  <c r="A9252" i="2"/>
  <c r="A9251" i="2"/>
  <c r="A9250" i="2"/>
  <c r="A9249" i="2"/>
  <c r="A9248" i="2"/>
  <c r="A9247" i="2"/>
  <c r="A9246" i="2"/>
  <c r="A9245" i="2"/>
  <c r="A9244" i="2"/>
  <c r="A9243" i="2"/>
  <c r="A9242" i="2"/>
  <c r="A9241" i="2"/>
  <c r="A9240" i="2"/>
  <c r="A9239" i="2"/>
  <c r="A9238" i="2"/>
  <c r="A9237" i="2"/>
  <c r="A9236" i="2"/>
  <c r="A9235" i="2"/>
  <c r="A9234" i="2"/>
  <c r="A9233" i="2"/>
  <c r="A9232" i="2"/>
  <c r="A9231" i="2"/>
  <c r="A9230" i="2"/>
  <c r="A9229" i="2"/>
  <c r="A9228" i="2"/>
  <c r="A9227" i="2"/>
  <c r="A9226" i="2"/>
  <c r="A9225" i="2"/>
  <c r="A9224" i="2"/>
  <c r="A9223" i="2"/>
  <c r="A9222" i="2"/>
  <c r="A9221" i="2"/>
  <c r="A9220" i="2"/>
  <c r="A9219" i="2"/>
  <c r="A9218" i="2"/>
  <c r="A9217" i="2"/>
  <c r="A9216" i="2"/>
  <c r="A9215" i="2"/>
  <c r="A9214" i="2"/>
  <c r="A9213" i="2"/>
  <c r="A9212" i="2"/>
  <c r="A9211" i="2"/>
  <c r="A9210" i="2"/>
  <c r="A9209" i="2"/>
  <c r="A9208" i="2"/>
  <c r="A9207" i="2"/>
  <c r="A9206" i="2"/>
  <c r="A9205" i="2"/>
  <c r="A9204" i="2"/>
  <c r="A9203" i="2"/>
  <c r="A9202" i="2"/>
  <c r="A9201" i="2"/>
  <c r="A9200" i="2"/>
  <c r="A9199" i="2"/>
  <c r="A9198" i="2"/>
  <c r="A9197" i="2"/>
  <c r="A9196" i="2"/>
  <c r="A9195" i="2"/>
  <c r="A9194" i="2"/>
  <c r="A9193" i="2"/>
  <c r="A9192" i="2"/>
  <c r="A9191" i="2"/>
  <c r="A9190" i="2"/>
  <c r="A9189" i="2"/>
  <c r="A9188" i="2"/>
  <c r="A9187" i="2"/>
  <c r="A9186" i="2"/>
  <c r="A9185" i="2"/>
  <c r="A9184" i="2"/>
  <c r="A9183" i="2"/>
  <c r="A9182" i="2"/>
  <c r="A9181" i="2"/>
  <c r="A9180" i="2"/>
  <c r="A9179" i="2"/>
  <c r="A9178" i="2"/>
  <c r="A9177" i="2"/>
  <c r="A9176" i="2"/>
  <c r="A9175" i="2"/>
  <c r="A9174" i="2"/>
  <c r="A9173" i="2"/>
  <c r="A9172" i="2"/>
  <c r="A9171" i="2"/>
  <c r="A9170" i="2"/>
  <c r="A9169" i="2"/>
  <c r="A9168" i="2"/>
  <c r="A9167" i="2"/>
  <c r="A9166" i="2"/>
  <c r="A9165" i="2"/>
  <c r="A9164" i="2"/>
  <c r="A9163" i="2"/>
  <c r="A9162" i="2"/>
  <c r="A9161" i="2"/>
  <c r="A9160" i="2"/>
  <c r="A9159" i="2"/>
  <c r="A9158" i="2"/>
  <c r="A9157" i="2"/>
  <c r="A9156" i="2"/>
  <c r="A9155" i="2"/>
  <c r="A9154" i="2"/>
  <c r="A9153" i="2"/>
  <c r="A9152" i="2"/>
  <c r="A9151" i="2"/>
  <c r="A9150" i="2"/>
  <c r="A9149" i="2"/>
  <c r="A9148" i="2"/>
  <c r="A9147" i="2"/>
  <c r="A9146" i="2"/>
  <c r="A9145" i="2"/>
  <c r="A9144" i="2"/>
  <c r="A9143" i="2"/>
  <c r="A9142" i="2"/>
  <c r="A9141" i="2"/>
  <c r="A9140" i="2"/>
  <c r="A9139" i="2"/>
  <c r="A9138" i="2"/>
  <c r="A9137" i="2"/>
  <c r="A9136" i="2"/>
  <c r="A9135" i="2"/>
  <c r="A9134" i="2"/>
  <c r="A9133" i="2"/>
  <c r="A9132" i="2"/>
  <c r="A9131" i="2"/>
  <c r="A9130" i="2"/>
  <c r="A9129" i="2"/>
  <c r="A9128" i="2"/>
  <c r="A9127" i="2"/>
  <c r="A9126" i="2"/>
  <c r="A9125" i="2"/>
  <c r="A9124" i="2"/>
  <c r="A9123" i="2"/>
  <c r="A9122" i="2"/>
  <c r="A9121" i="2"/>
  <c r="A9120" i="2"/>
  <c r="A9119" i="2"/>
  <c r="A9118" i="2"/>
  <c r="A9117" i="2"/>
  <c r="A9116" i="2"/>
  <c r="A9115" i="2"/>
  <c r="A9114" i="2"/>
  <c r="A9113" i="2"/>
  <c r="A9112" i="2"/>
  <c r="A9111" i="2"/>
  <c r="A9110" i="2"/>
  <c r="A9109" i="2"/>
  <c r="A9108" i="2"/>
  <c r="A9107" i="2"/>
  <c r="A9106" i="2"/>
  <c r="A9105" i="2"/>
  <c r="A9104" i="2"/>
  <c r="A9103" i="2"/>
  <c r="A9102" i="2"/>
  <c r="A9101" i="2"/>
  <c r="A9100" i="2"/>
  <c r="A9099" i="2"/>
  <c r="A9098" i="2"/>
  <c r="A9097" i="2"/>
  <c r="A9096" i="2"/>
  <c r="A9095" i="2"/>
  <c r="A9094" i="2"/>
  <c r="A9093" i="2"/>
  <c r="A9092" i="2"/>
  <c r="A9091" i="2"/>
  <c r="A9090" i="2"/>
  <c r="A9089" i="2"/>
  <c r="A9088" i="2"/>
  <c r="A9087" i="2"/>
  <c r="A9086" i="2"/>
  <c r="A9085" i="2"/>
  <c r="A9084" i="2"/>
  <c r="A9083" i="2"/>
  <c r="A9082" i="2"/>
  <c r="A9081" i="2"/>
  <c r="A9080" i="2"/>
  <c r="A9079" i="2"/>
  <c r="A9078" i="2"/>
  <c r="A9077" i="2"/>
  <c r="A9076" i="2"/>
  <c r="A9075" i="2"/>
  <c r="A9074" i="2"/>
  <c r="A9073" i="2"/>
  <c r="A9072" i="2"/>
  <c r="A9071" i="2"/>
  <c r="A9070" i="2"/>
  <c r="A9069" i="2"/>
  <c r="A9068" i="2"/>
  <c r="A9067" i="2"/>
  <c r="A9066" i="2"/>
  <c r="A9065" i="2"/>
  <c r="A9064" i="2"/>
  <c r="A9063" i="2"/>
  <c r="A9062" i="2"/>
  <c r="A9061" i="2"/>
  <c r="A9060" i="2"/>
  <c r="A9059" i="2"/>
  <c r="A9058" i="2"/>
  <c r="A9057" i="2"/>
  <c r="A9056" i="2"/>
  <c r="A9055" i="2"/>
  <c r="A9054" i="2"/>
  <c r="A9053" i="2"/>
  <c r="A9052" i="2"/>
  <c r="A9051" i="2"/>
  <c r="A9050" i="2"/>
  <c r="A9049" i="2"/>
  <c r="A9048" i="2"/>
  <c r="A9047" i="2"/>
  <c r="A9046" i="2"/>
  <c r="A9045" i="2"/>
  <c r="A9044" i="2"/>
  <c r="A9043" i="2"/>
  <c r="A9042" i="2"/>
  <c r="A9041" i="2"/>
  <c r="A9040" i="2"/>
  <c r="A9039" i="2"/>
  <c r="A9038" i="2"/>
  <c r="A9037" i="2"/>
  <c r="A9036" i="2"/>
  <c r="A9035" i="2"/>
  <c r="A9034" i="2"/>
  <c r="A9033" i="2"/>
  <c r="A9032" i="2"/>
  <c r="A9031" i="2"/>
  <c r="A9030" i="2"/>
  <c r="A9029" i="2"/>
  <c r="A9028" i="2"/>
  <c r="A9027" i="2"/>
  <c r="A9026" i="2"/>
  <c r="A9025" i="2"/>
  <c r="A9024" i="2"/>
  <c r="A9023" i="2"/>
  <c r="A9022" i="2"/>
  <c r="A9021" i="2"/>
  <c r="A9020" i="2"/>
  <c r="A9019" i="2"/>
  <c r="A9018" i="2"/>
  <c r="A9017" i="2"/>
  <c r="A9016" i="2"/>
  <c r="A9015" i="2"/>
  <c r="A9014" i="2"/>
  <c r="A9013" i="2"/>
  <c r="A9012" i="2"/>
  <c r="A9011" i="2"/>
  <c r="A9010" i="2"/>
  <c r="A9009" i="2"/>
  <c r="A9008" i="2"/>
  <c r="A9007" i="2"/>
  <c r="A9006" i="2"/>
  <c r="A9005" i="2"/>
  <c r="A9004" i="2"/>
  <c r="A9003" i="2"/>
  <c r="A9002" i="2"/>
  <c r="A9001" i="2"/>
  <c r="A9000" i="2"/>
  <c r="A8999" i="2"/>
  <c r="A8998" i="2"/>
  <c r="A8997" i="2"/>
  <c r="A8996" i="2"/>
  <c r="A8995" i="2"/>
  <c r="A8994" i="2"/>
  <c r="A8993" i="2"/>
  <c r="A8992" i="2"/>
  <c r="A8991" i="2"/>
  <c r="A8990" i="2"/>
  <c r="A8989" i="2"/>
  <c r="A8988" i="2"/>
  <c r="A8987" i="2"/>
  <c r="A8986" i="2"/>
  <c r="A8985" i="2"/>
  <c r="A8984" i="2"/>
  <c r="A8983" i="2"/>
  <c r="A8982" i="2"/>
  <c r="A8981" i="2"/>
  <c r="A8980" i="2"/>
  <c r="A8979" i="2"/>
  <c r="A8978" i="2"/>
  <c r="A8977" i="2"/>
  <c r="A8976" i="2"/>
  <c r="A8975" i="2"/>
  <c r="A8974" i="2"/>
  <c r="A8973" i="2"/>
  <c r="A8972" i="2"/>
  <c r="A8971" i="2"/>
  <c r="A8970" i="2"/>
  <c r="A8969" i="2"/>
  <c r="A8968" i="2"/>
  <c r="A8967" i="2"/>
  <c r="A8966" i="2"/>
  <c r="A8965" i="2"/>
  <c r="A8964" i="2"/>
  <c r="A8963" i="2"/>
  <c r="A8962" i="2"/>
  <c r="A8961" i="2"/>
  <c r="A8960" i="2"/>
  <c r="A8959" i="2"/>
  <c r="A8958" i="2"/>
  <c r="A8957" i="2"/>
  <c r="A8956" i="2"/>
  <c r="A8955" i="2"/>
  <c r="A8954" i="2"/>
  <c r="A8953" i="2"/>
  <c r="A8952" i="2"/>
  <c r="A8951" i="2"/>
  <c r="A8950" i="2"/>
  <c r="A8949" i="2"/>
  <c r="A8948" i="2"/>
  <c r="A8947" i="2"/>
  <c r="A8946" i="2"/>
  <c r="A8945" i="2"/>
  <c r="A8944" i="2"/>
  <c r="A8943" i="2"/>
  <c r="A8942" i="2"/>
  <c r="A8941" i="2"/>
  <c r="A8940" i="2"/>
  <c r="A8939" i="2"/>
  <c r="A8938" i="2"/>
  <c r="A8937" i="2"/>
  <c r="A8936" i="2"/>
  <c r="A8935" i="2"/>
  <c r="A8934" i="2"/>
  <c r="A8933" i="2"/>
  <c r="A8932" i="2"/>
  <c r="A8931" i="2"/>
  <c r="A8930" i="2"/>
  <c r="A8929" i="2"/>
  <c r="A8928" i="2"/>
  <c r="A8927" i="2"/>
  <c r="A8926" i="2"/>
  <c r="A8925" i="2"/>
  <c r="A8924" i="2"/>
  <c r="A8923" i="2"/>
  <c r="A8922" i="2"/>
  <c r="A8921" i="2"/>
  <c r="A8920" i="2"/>
  <c r="A8919" i="2"/>
  <c r="A8918" i="2"/>
  <c r="A8917" i="2"/>
  <c r="A8916" i="2"/>
  <c r="A8915" i="2"/>
  <c r="A8914" i="2"/>
  <c r="A8913" i="2"/>
  <c r="A8912" i="2"/>
  <c r="A8911" i="2"/>
  <c r="A8910" i="2"/>
  <c r="A8909" i="2"/>
  <c r="A8908" i="2"/>
  <c r="A8907" i="2"/>
  <c r="A8906" i="2"/>
  <c r="A8905" i="2"/>
  <c r="A8904" i="2"/>
  <c r="A8903" i="2"/>
  <c r="A8902" i="2"/>
  <c r="A8901" i="2"/>
  <c r="A8900" i="2"/>
  <c r="A8899" i="2"/>
  <c r="A8898" i="2"/>
  <c r="A8897" i="2"/>
  <c r="A8896" i="2"/>
  <c r="A8895" i="2"/>
  <c r="A8894" i="2"/>
  <c r="A8893" i="2"/>
  <c r="A8892" i="2"/>
  <c r="A8891" i="2"/>
  <c r="A8890" i="2"/>
  <c r="A8889" i="2"/>
  <c r="A8888" i="2"/>
  <c r="A8887" i="2"/>
  <c r="A8886" i="2"/>
  <c r="A8885" i="2"/>
  <c r="A8884" i="2"/>
  <c r="A8883" i="2"/>
  <c r="A8882" i="2"/>
  <c r="A8881" i="2"/>
  <c r="A8880" i="2"/>
  <c r="A8879" i="2"/>
  <c r="A8878" i="2"/>
  <c r="A8877" i="2"/>
  <c r="A8876" i="2"/>
  <c r="A8875" i="2"/>
  <c r="A8874" i="2"/>
  <c r="A8873" i="2"/>
  <c r="A8872" i="2"/>
  <c r="A8871" i="2"/>
  <c r="A8870" i="2"/>
  <c r="A8869" i="2"/>
  <c r="A8868" i="2"/>
  <c r="A8867" i="2"/>
  <c r="A8866" i="2"/>
  <c r="A8865" i="2"/>
  <c r="A8864" i="2"/>
  <c r="A8863" i="2"/>
  <c r="A8862" i="2"/>
  <c r="A8861" i="2"/>
  <c r="A8860" i="2"/>
  <c r="A8859" i="2"/>
  <c r="A8858" i="2"/>
  <c r="A8857" i="2"/>
  <c r="A8856" i="2"/>
  <c r="A8855" i="2"/>
  <c r="A8854" i="2"/>
  <c r="A8853" i="2"/>
  <c r="A8852" i="2"/>
  <c r="A8851" i="2"/>
  <c r="A8850" i="2"/>
  <c r="A8849" i="2"/>
  <c r="A8848" i="2"/>
  <c r="A8847" i="2"/>
  <c r="A8846" i="2"/>
  <c r="A8845" i="2"/>
  <c r="A8844" i="2"/>
  <c r="A8843" i="2"/>
  <c r="A8842" i="2"/>
  <c r="A8841" i="2"/>
  <c r="A8840" i="2"/>
  <c r="A8839" i="2"/>
  <c r="A8838" i="2"/>
  <c r="A8837" i="2"/>
  <c r="A8836" i="2"/>
  <c r="A8835" i="2"/>
  <c r="A8834" i="2"/>
  <c r="A8833" i="2"/>
  <c r="A8832" i="2"/>
  <c r="A8831" i="2"/>
  <c r="A8830" i="2"/>
  <c r="A8829" i="2"/>
  <c r="A8828" i="2"/>
  <c r="A8827" i="2"/>
  <c r="A8826" i="2"/>
  <c r="A8825" i="2"/>
  <c r="A8824" i="2"/>
  <c r="A8823" i="2"/>
  <c r="A8822" i="2"/>
  <c r="A8821" i="2"/>
  <c r="A8820" i="2"/>
  <c r="A8819" i="2"/>
  <c r="A8818" i="2"/>
  <c r="A8817" i="2"/>
  <c r="A8816" i="2"/>
  <c r="A8815" i="2"/>
  <c r="A8814" i="2"/>
  <c r="A8813" i="2"/>
  <c r="A8812" i="2"/>
  <c r="A8811" i="2"/>
  <c r="A8810" i="2"/>
  <c r="A8809" i="2"/>
  <c r="A8808" i="2"/>
  <c r="A8807" i="2"/>
  <c r="A8806" i="2"/>
  <c r="A8805" i="2"/>
  <c r="A8804" i="2"/>
  <c r="A8803" i="2"/>
  <c r="A8802" i="2"/>
  <c r="A8801" i="2"/>
  <c r="A8800" i="2"/>
  <c r="A8799" i="2"/>
  <c r="A8798" i="2"/>
  <c r="A8797" i="2"/>
  <c r="A8796" i="2"/>
  <c r="A8795" i="2"/>
  <c r="A8794" i="2"/>
  <c r="A8793" i="2"/>
  <c r="A8792" i="2"/>
  <c r="A8791" i="2"/>
  <c r="A8790" i="2"/>
  <c r="A8789" i="2"/>
  <c r="A8788" i="2"/>
  <c r="A8787" i="2"/>
  <c r="A8786" i="2"/>
  <c r="A8785" i="2"/>
  <c r="A8784" i="2"/>
  <c r="A8783" i="2"/>
  <c r="A8782" i="2"/>
  <c r="A8781" i="2"/>
  <c r="A8780" i="2"/>
  <c r="A8779" i="2"/>
  <c r="A8778" i="2"/>
  <c r="A8777" i="2"/>
  <c r="A8776" i="2"/>
  <c r="A8775" i="2"/>
  <c r="A8774" i="2"/>
  <c r="A8773" i="2"/>
  <c r="A8772" i="2"/>
  <c r="A8771" i="2"/>
  <c r="A8770" i="2"/>
  <c r="A8769" i="2"/>
  <c r="A8768" i="2"/>
  <c r="A8767" i="2"/>
  <c r="A8766" i="2"/>
  <c r="A8765" i="2"/>
  <c r="A8764" i="2"/>
  <c r="A8763" i="2"/>
  <c r="A8762" i="2"/>
  <c r="A8761" i="2"/>
  <c r="A8760" i="2"/>
  <c r="A8759" i="2"/>
  <c r="A8758" i="2"/>
  <c r="A8757" i="2"/>
  <c r="A8756" i="2"/>
  <c r="A8755" i="2"/>
  <c r="A8754" i="2"/>
  <c r="A8753" i="2"/>
  <c r="A8752" i="2"/>
  <c r="A8751" i="2"/>
  <c r="A8750" i="2"/>
  <c r="A8749" i="2"/>
  <c r="A8748" i="2"/>
  <c r="A8747" i="2"/>
  <c r="A8746" i="2"/>
  <c r="A8745" i="2"/>
  <c r="A8744" i="2"/>
  <c r="A8743" i="2"/>
  <c r="A8742" i="2"/>
  <c r="A8741" i="2"/>
  <c r="A8740" i="2"/>
  <c r="A8739" i="2"/>
  <c r="A8738" i="2"/>
  <c r="A8737" i="2"/>
  <c r="A8736" i="2"/>
  <c r="A8735" i="2"/>
  <c r="A8734" i="2"/>
  <c r="A8733" i="2"/>
  <c r="A8732" i="2"/>
  <c r="A8731" i="2"/>
  <c r="A8730" i="2"/>
  <c r="A8729" i="2"/>
  <c r="A8728" i="2"/>
  <c r="A8727" i="2"/>
  <c r="A8726" i="2"/>
  <c r="A8725" i="2"/>
  <c r="A8724" i="2"/>
  <c r="A8723" i="2"/>
  <c r="A8722" i="2"/>
  <c r="A8721" i="2"/>
  <c r="A8720" i="2"/>
  <c r="A8719" i="2"/>
  <c r="A8718" i="2"/>
  <c r="A8717" i="2"/>
  <c r="A8716" i="2"/>
  <c r="A8715" i="2"/>
  <c r="A8714" i="2"/>
  <c r="A8713" i="2"/>
  <c r="A8712" i="2"/>
  <c r="A8711" i="2"/>
  <c r="A8710" i="2"/>
  <c r="A8709" i="2"/>
  <c r="A8708" i="2"/>
  <c r="A8707" i="2"/>
  <c r="A8706" i="2"/>
  <c r="A8705" i="2"/>
  <c r="A8704" i="2"/>
  <c r="A8703" i="2"/>
  <c r="A8702" i="2"/>
  <c r="A8701" i="2"/>
  <c r="A8700" i="2"/>
  <c r="A8699" i="2"/>
  <c r="A8698" i="2"/>
  <c r="A8697" i="2"/>
  <c r="A8696" i="2"/>
  <c r="A8695" i="2"/>
  <c r="A8694" i="2"/>
  <c r="A8693" i="2"/>
  <c r="A8692" i="2"/>
  <c r="A8691" i="2"/>
  <c r="A8690" i="2"/>
  <c r="A8689" i="2"/>
  <c r="A8688" i="2"/>
  <c r="A8687" i="2"/>
  <c r="A8686" i="2"/>
  <c r="A8685" i="2"/>
  <c r="A8684" i="2"/>
  <c r="A8683" i="2"/>
  <c r="A8682" i="2"/>
  <c r="A8681" i="2"/>
  <c r="A8680" i="2"/>
  <c r="A8679" i="2"/>
  <c r="A8678" i="2"/>
  <c r="A8677" i="2"/>
  <c r="A8676" i="2"/>
  <c r="A8675" i="2"/>
  <c r="A8674" i="2"/>
  <c r="A8673" i="2"/>
  <c r="A8672" i="2"/>
  <c r="A8671" i="2"/>
  <c r="A8670" i="2"/>
  <c r="A8669" i="2"/>
  <c r="A8668" i="2"/>
  <c r="A8667" i="2"/>
  <c r="A8666" i="2"/>
  <c r="A8665" i="2"/>
  <c r="A8664" i="2"/>
  <c r="A8663" i="2"/>
  <c r="A8662" i="2"/>
  <c r="A8661" i="2"/>
  <c r="A8660" i="2"/>
  <c r="A8659" i="2"/>
  <c r="A8658" i="2"/>
  <c r="A8657" i="2"/>
  <c r="A8656" i="2"/>
  <c r="A8655" i="2"/>
  <c r="A8654" i="2"/>
  <c r="A8653" i="2"/>
  <c r="A8652" i="2"/>
  <c r="A8651" i="2"/>
  <c r="A8650" i="2"/>
  <c r="A8649" i="2"/>
  <c r="A8648" i="2"/>
  <c r="A8647" i="2"/>
  <c r="A8646" i="2"/>
  <c r="A8645" i="2"/>
  <c r="A8644" i="2"/>
  <c r="A8643" i="2"/>
  <c r="A8642" i="2"/>
  <c r="A8641" i="2"/>
  <c r="A8640" i="2"/>
  <c r="A8639" i="2"/>
  <c r="A8638" i="2"/>
  <c r="A8637" i="2"/>
  <c r="A8636" i="2"/>
  <c r="A8635" i="2"/>
  <c r="A8634" i="2"/>
  <c r="A8633" i="2"/>
  <c r="A8632" i="2"/>
  <c r="A8631" i="2"/>
  <c r="A8630" i="2"/>
  <c r="A8629" i="2"/>
  <c r="A8628" i="2"/>
  <c r="A8627" i="2"/>
  <c r="A8626" i="2"/>
  <c r="A8625" i="2"/>
  <c r="A8624" i="2"/>
  <c r="A8623" i="2"/>
  <c r="A8622" i="2"/>
  <c r="A8621" i="2"/>
  <c r="A8620" i="2"/>
  <c r="A8619" i="2"/>
  <c r="A8618" i="2"/>
  <c r="A8617" i="2"/>
  <c r="A8616" i="2"/>
  <c r="A8615" i="2"/>
  <c r="A8614" i="2"/>
  <c r="A8613" i="2"/>
  <c r="A8612" i="2"/>
  <c r="A8611" i="2"/>
  <c r="A8610" i="2"/>
  <c r="A8609" i="2"/>
  <c r="A8608" i="2"/>
  <c r="A8607" i="2"/>
  <c r="A8606" i="2"/>
  <c r="A8605" i="2"/>
  <c r="A8604" i="2"/>
  <c r="A8603" i="2"/>
  <c r="A8602" i="2"/>
  <c r="A8601" i="2"/>
  <c r="A8600" i="2"/>
  <c r="A8599" i="2"/>
  <c r="A8598" i="2"/>
  <c r="A8597" i="2"/>
  <c r="A8596" i="2"/>
  <c r="A8595" i="2"/>
  <c r="A8594" i="2"/>
  <c r="A8593" i="2"/>
  <c r="A8592" i="2"/>
  <c r="A8591" i="2"/>
  <c r="A8590" i="2"/>
  <c r="A8589" i="2"/>
  <c r="A8588" i="2"/>
  <c r="A8587" i="2"/>
  <c r="A8586" i="2"/>
  <c r="A8585" i="2"/>
  <c r="A8584" i="2"/>
  <c r="A8583" i="2"/>
  <c r="A8582" i="2"/>
  <c r="A8581" i="2"/>
  <c r="A8580" i="2"/>
  <c r="A8579" i="2"/>
  <c r="A8578" i="2"/>
  <c r="A8577" i="2"/>
  <c r="A8576" i="2"/>
  <c r="A8575" i="2"/>
  <c r="A8574" i="2"/>
  <c r="A8573" i="2"/>
  <c r="A8572" i="2"/>
  <c r="A8571" i="2"/>
  <c r="A8570" i="2"/>
  <c r="A8569" i="2"/>
  <c r="A8568" i="2"/>
  <c r="A8567" i="2"/>
  <c r="A8566" i="2"/>
  <c r="A8565" i="2"/>
  <c r="A8564" i="2"/>
  <c r="A8563" i="2"/>
  <c r="A8562" i="2"/>
  <c r="A8561" i="2"/>
  <c r="A8560" i="2"/>
  <c r="A8559" i="2"/>
  <c r="A8558" i="2"/>
  <c r="A8557" i="2"/>
  <c r="A8556" i="2"/>
  <c r="A8555" i="2"/>
  <c r="A8554" i="2"/>
  <c r="A8553" i="2"/>
  <c r="A8552" i="2"/>
  <c r="A8551" i="2"/>
  <c r="A8550" i="2"/>
  <c r="A8549" i="2"/>
  <c r="A8548" i="2"/>
  <c r="A8547" i="2"/>
  <c r="A8546" i="2"/>
  <c r="A8545" i="2"/>
  <c r="A8544" i="2"/>
  <c r="A8543" i="2"/>
  <c r="A8542" i="2"/>
  <c r="A8541" i="2"/>
  <c r="A8540" i="2"/>
  <c r="A8539" i="2"/>
  <c r="A8538" i="2"/>
  <c r="A8537" i="2"/>
  <c r="A8536" i="2"/>
  <c r="A8535" i="2"/>
  <c r="A8534" i="2"/>
  <c r="A8533" i="2"/>
  <c r="A8532" i="2"/>
  <c r="A8531" i="2"/>
  <c r="A8530" i="2"/>
  <c r="A8529" i="2"/>
  <c r="A8528" i="2"/>
  <c r="A8527" i="2"/>
  <c r="A8526" i="2"/>
  <c r="A8525" i="2"/>
  <c r="A8524" i="2"/>
  <c r="A8523" i="2"/>
  <c r="A8522" i="2"/>
  <c r="A8521" i="2"/>
  <c r="A8520" i="2"/>
  <c r="A8519" i="2"/>
  <c r="A8518" i="2"/>
  <c r="A8517" i="2"/>
  <c r="A8516" i="2"/>
  <c r="A8515" i="2"/>
  <c r="A8514" i="2"/>
  <c r="A8513" i="2"/>
  <c r="A8512" i="2"/>
  <c r="A8511" i="2"/>
  <c r="A8510" i="2"/>
  <c r="A8509" i="2"/>
  <c r="A8508" i="2"/>
  <c r="A8507" i="2"/>
  <c r="A8506" i="2"/>
  <c r="A8505" i="2"/>
  <c r="A8504" i="2"/>
  <c r="A8503" i="2"/>
  <c r="A8502" i="2"/>
  <c r="A8501" i="2"/>
  <c r="A8500" i="2"/>
  <c r="A8499" i="2"/>
  <c r="A8498" i="2"/>
  <c r="A8497" i="2"/>
  <c r="A8496" i="2"/>
  <c r="A8495" i="2"/>
  <c r="A8494" i="2"/>
  <c r="A8493" i="2"/>
  <c r="A8492" i="2"/>
  <c r="A8491" i="2"/>
  <c r="A8490" i="2"/>
  <c r="A8489" i="2"/>
  <c r="A8488" i="2"/>
  <c r="A8487" i="2"/>
  <c r="A8486" i="2"/>
  <c r="A8485" i="2"/>
  <c r="A8484" i="2"/>
  <c r="A8483" i="2"/>
  <c r="A8482" i="2"/>
  <c r="A8481" i="2"/>
  <c r="A8480" i="2"/>
  <c r="A8479" i="2"/>
  <c r="A8478" i="2"/>
  <c r="A8477" i="2"/>
  <c r="A8476" i="2"/>
  <c r="A8475" i="2"/>
  <c r="A8474" i="2"/>
  <c r="A8473" i="2"/>
  <c r="A8472" i="2"/>
  <c r="A8471" i="2"/>
  <c r="A8470" i="2"/>
  <c r="A8469" i="2"/>
  <c r="A8468" i="2"/>
  <c r="A8467" i="2"/>
  <c r="A8466" i="2"/>
  <c r="A8465" i="2"/>
  <c r="A8464" i="2"/>
  <c r="A8463" i="2"/>
  <c r="A8462" i="2"/>
  <c r="A8461" i="2"/>
  <c r="A8460" i="2"/>
  <c r="A8459" i="2"/>
  <c r="A8458" i="2"/>
  <c r="A8457" i="2"/>
  <c r="A8456" i="2"/>
  <c r="A8455" i="2"/>
  <c r="A8454" i="2"/>
  <c r="A8453" i="2"/>
  <c r="A8452" i="2"/>
  <c r="A8451" i="2"/>
  <c r="A8450" i="2"/>
  <c r="A8449" i="2"/>
  <c r="A8448" i="2"/>
  <c r="A8447" i="2"/>
  <c r="A8446" i="2"/>
  <c r="A8445" i="2"/>
  <c r="A8444" i="2"/>
  <c r="A8443" i="2"/>
  <c r="A8442" i="2"/>
  <c r="A8441" i="2"/>
  <c r="A8440" i="2"/>
  <c r="A8439" i="2"/>
  <c r="A8438" i="2"/>
  <c r="A8437" i="2"/>
  <c r="A8436" i="2"/>
  <c r="A8435" i="2"/>
  <c r="A8434" i="2"/>
  <c r="A8433" i="2"/>
  <c r="A8432" i="2"/>
  <c r="A8431" i="2"/>
  <c r="A8430" i="2"/>
  <c r="A8429" i="2"/>
  <c r="A8428" i="2"/>
  <c r="A8427" i="2"/>
  <c r="A8426" i="2"/>
  <c r="A8425" i="2"/>
  <c r="A8424" i="2"/>
  <c r="A8423" i="2"/>
  <c r="A8422" i="2"/>
  <c r="A8421" i="2"/>
  <c r="A8420" i="2"/>
  <c r="A8419" i="2"/>
  <c r="A8418" i="2"/>
  <c r="A8417" i="2"/>
  <c r="A8416" i="2"/>
  <c r="A8415" i="2"/>
  <c r="A8414" i="2"/>
  <c r="A8413" i="2"/>
  <c r="A8412" i="2"/>
  <c r="A8411" i="2"/>
  <c r="A8410" i="2"/>
  <c r="A8409" i="2"/>
  <c r="A8408" i="2"/>
  <c r="A8407" i="2"/>
  <c r="A8406" i="2"/>
  <c r="A8405" i="2"/>
  <c r="A8404" i="2"/>
  <c r="A8403" i="2"/>
  <c r="A8402" i="2"/>
  <c r="A8401" i="2"/>
  <c r="A8400" i="2"/>
  <c r="A8399" i="2"/>
  <c r="A8398" i="2"/>
  <c r="A8397" i="2"/>
  <c r="A8396" i="2"/>
  <c r="A8395" i="2"/>
  <c r="A8394" i="2"/>
  <c r="A8393" i="2"/>
  <c r="A8392" i="2"/>
  <c r="A8391" i="2"/>
  <c r="A8390" i="2"/>
  <c r="A8389" i="2"/>
  <c r="A8388" i="2"/>
  <c r="A8387" i="2"/>
  <c r="A8386" i="2"/>
  <c r="A8385" i="2"/>
  <c r="A8384" i="2"/>
  <c r="A8383" i="2"/>
  <c r="A8382" i="2"/>
  <c r="A8381" i="2"/>
  <c r="A8380" i="2"/>
  <c r="A8379" i="2"/>
  <c r="A8378" i="2"/>
  <c r="A8377" i="2"/>
  <c r="A8376" i="2"/>
  <c r="A8375" i="2"/>
  <c r="A8374" i="2"/>
  <c r="A8373" i="2"/>
  <c r="A8372" i="2"/>
  <c r="A8371" i="2"/>
  <c r="A8370" i="2"/>
  <c r="A8369" i="2"/>
  <c r="A8368" i="2"/>
  <c r="A8367" i="2"/>
  <c r="A8366" i="2"/>
  <c r="A8365" i="2"/>
  <c r="A8364" i="2"/>
  <c r="A8363" i="2"/>
  <c r="A8362" i="2"/>
  <c r="A8361" i="2"/>
  <c r="A8360" i="2"/>
  <c r="A8359" i="2"/>
  <c r="A8358" i="2"/>
  <c r="A8357" i="2"/>
  <c r="A8356" i="2"/>
  <c r="A8355" i="2"/>
  <c r="A8354" i="2"/>
  <c r="A8353" i="2"/>
  <c r="A8352" i="2"/>
  <c r="A8351" i="2"/>
  <c r="A8350" i="2"/>
  <c r="A8349" i="2"/>
  <c r="A8348" i="2"/>
  <c r="A8347" i="2"/>
  <c r="A8346" i="2"/>
  <c r="A8345" i="2"/>
  <c r="A8344" i="2"/>
  <c r="A8343" i="2"/>
  <c r="A8342" i="2"/>
  <c r="A8341" i="2"/>
  <c r="A8340" i="2"/>
  <c r="A8339" i="2"/>
  <c r="A8338" i="2"/>
  <c r="A8337" i="2"/>
  <c r="A8336" i="2"/>
  <c r="A8335" i="2"/>
  <c r="A8334" i="2"/>
  <c r="A8333" i="2"/>
  <c r="A8332" i="2"/>
  <c r="A8331" i="2"/>
  <c r="A8330" i="2"/>
  <c r="A8329" i="2"/>
  <c r="A8328" i="2"/>
  <c r="A8327" i="2"/>
  <c r="A8326" i="2"/>
  <c r="A8325" i="2"/>
  <c r="A8324" i="2"/>
  <c r="A8323" i="2"/>
  <c r="A8322" i="2"/>
  <c r="A8321" i="2"/>
  <c r="A8320" i="2"/>
  <c r="A8319" i="2"/>
  <c r="A8318" i="2"/>
  <c r="A8317" i="2"/>
  <c r="A8316" i="2"/>
  <c r="A8315" i="2"/>
  <c r="A8314" i="2"/>
  <c r="A8313" i="2"/>
  <c r="A8312" i="2"/>
  <c r="A8311" i="2"/>
  <c r="A8310" i="2"/>
  <c r="A8309" i="2"/>
  <c r="A8308" i="2"/>
  <c r="A8307" i="2"/>
  <c r="A8306" i="2"/>
  <c r="A8305" i="2"/>
  <c r="A8304" i="2"/>
  <c r="A8303" i="2"/>
  <c r="A8302" i="2"/>
  <c r="A8301" i="2"/>
  <c r="A8300" i="2"/>
  <c r="A8299" i="2"/>
  <c r="A8298" i="2"/>
  <c r="A8297" i="2"/>
  <c r="A8296" i="2"/>
  <c r="A8295" i="2"/>
  <c r="A8294" i="2"/>
  <c r="A8293" i="2"/>
  <c r="A8292" i="2"/>
  <c r="A8291" i="2"/>
  <c r="A8290" i="2"/>
  <c r="A8289" i="2"/>
  <c r="A8288" i="2"/>
  <c r="A8287" i="2"/>
  <c r="A8286" i="2"/>
  <c r="A8285" i="2"/>
  <c r="A8284" i="2"/>
  <c r="A8283" i="2"/>
  <c r="A8282" i="2"/>
  <c r="A8281" i="2"/>
  <c r="A8280" i="2"/>
  <c r="A8279" i="2"/>
  <c r="A8278" i="2"/>
  <c r="A8277" i="2"/>
  <c r="A8276" i="2"/>
  <c r="A8275" i="2"/>
  <c r="A8274" i="2"/>
  <c r="A8273" i="2"/>
  <c r="A8272" i="2"/>
  <c r="A8271" i="2"/>
  <c r="A8270" i="2"/>
  <c r="A8269" i="2"/>
  <c r="A8268" i="2"/>
  <c r="A8267" i="2"/>
  <c r="A8266" i="2"/>
  <c r="A8265" i="2"/>
  <c r="A8264" i="2"/>
  <c r="A8263" i="2"/>
  <c r="A8262" i="2"/>
  <c r="A8261" i="2"/>
  <c r="A8260" i="2"/>
  <c r="A8259" i="2"/>
  <c r="A8258" i="2"/>
  <c r="A8257" i="2"/>
  <c r="A8256" i="2"/>
  <c r="A8255" i="2"/>
  <c r="A8254" i="2"/>
  <c r="A8253" i="2"/>
  <c r="A8252" i="2"/>
  <c r="A8251" i="2"/>
  <c r="A8250" i="2"/>
  <c r="A8249" i="2"/>
  <c r="A8248" i="2"/>
  <c r="A8247" i="2"/>
  <c r="A8246" i="2"/>
  <c r="A8245" i="2"/>
  <c r="A8244" i="2"/>
  <c r="A8243" i="2"/>
  <c r="A8242" i="2"/>
  <c r="A8241" i="2"/>
  <c r="A8240" i="2"/>
  <c r="A8239" i="2"/>
  <c r="A8238" i="2"/>
  <c r="A8237" i="2"/>
  <c r="A8236" i="2"/>
  <c r="A8235" i="2"/>
  <c r="A8234" i="2"/>
  <c r="A8233" i="2"/>
  <c r="A8232" i="2"/>
  <c r="A8231" i="2"/>
  <c r="A8230" i="2"/>
  <c r="A8229" i="2"/>
  <c r="A8228" i="2"/>
  <c r="A8227" i="2"/>
  <c r="A8226" i="2"/>
  <c r="A8225" i="2"/>
  <c r="A8224" i="2"/>
  <c r="A8223" i="2"/>
  <c r="A8222" i="2"/>
  <c r="A8221" i="2"/>
  <c r="A8220" i="2"/>
  <c r="A8219" i="2"/>
  <c r="A8218" i="2"/>
  <c r="A8217" i="2"/>
  <c r="A8216" i="2"/>
  <c r="A8215" i="2"/>
  <c r="A8214" i="2"/>
  <c r="A8213" i="2"/>
  <c r="A8212" i="2"/>
  <c r="A8211" i="2"/>
  <c r="A8210" i="2"/>
  <c r="A8209" i="2"/>
  <c r="A8208" i="2"/>
  <c r="A8207" i="2"/>
  <c r="A8206" i="2"/>
  <c r="A8205" i="2"/>
  <c r="A8204" i="2"/>
  <c r="A8203" i="2"/>
  <c r="A8202" i="2"/>
  <c r="A8201" i="2"/>
  <c r="A8200" i="2"/>
  <c r="A8199" i="2"/>
  <c r="A8198" i="2"/>
  <c r="A8197" i="2"/>
  <c r="A8196" i="2"/>
  <c r="A8195" i="2"/>
  <c r="A8194" i="2"/>
  <c r="A8193" i="2"/>
  <c r="A8192" i="2"/>
  <c r="A8191" i="2"/>
  <c r="A8190" i="2"/>
  <c r="A8189" i="2"/>
  <c r="A8188" i="2"/>
  <c r="A8187" i="2"/>
  <c r="A8186" i="2"/>
  <c r="A8185" i="2"/>
  <c r="A8184" i="2"/>
  <c r="A8183" i="2"/>
  <c r="A8182" i="2"/>
  <c r="A8181" i="2"/>
  <c r="A8180" i="2"/>
  <c r="A8179" i="2"/>
  <c r="A8178" i="2"/>
  <c r="A8177" i="2"/>
  <c r="A8176" i="2"/>
  <c r="A8175" i="2"/>
  <c r="A8174" i="2"/>
  <c r="A8173" i="2"/>
  <c r="A8172" i="2"/>
  <c r="A8171" i="2"/>
  <c r="A8170" i="2"/>
  <c r="A8169" i="2"/>
  <c r="A8168" i="2"/>
  <c r="A8167" i="2"/>
  <c r="A8166" i="2"/>
  <c r="A8165" i="2"/>
  <c r="A8164" i="2"/>
  <c r="A8163" i="2"/>
  <c r="A8162" i="2"/>
  <c r="A8161" i="2"/>
  <c r="A8160" i="2"/>
  <c r="A8159" i="2"/>
  <c r="A8158" i="2"/>
  <c r="A8157" i="2"/>
  <c r="A8156" i="2"/>
  <c r="A8155" i="2"/>
  <c r="A8154" i="2"/>
  <c r="A8153" i="2"/>
  <c r="A8152" i="2"/>
  <c r="A8151" i="2"/>
  <c r="A8150" i="2"/>
  <c r="A8149" i="2"/>
  <c r="A8148" i="2"/>
  <c r="A8147" i="2"/>
  <c r="A8146" i="2"/>
  <c r="A8145" i="2"/>
  <c r="A8144" i="2"/>
  <c r="A8143" i="2"/>
  <c r="A8142" i="2"/>
  <c r="A8141" i="2"/>
  <c r="A8140" i="2"/>
  <c r="A8139" i="2"/>
  <c r="A8138" i="2"/>
  <c r="A8137" i="2"/>
  <c r="A8136" i="2"/>
  <c r="A8135" i="2"/>
  <c r="A8134" i="2"/>
  <c r="A8133" i="2"/>
  <c r="A8132" i="2"/>
  <c r="A8131" i="2"/>
  <c r="A8130" i="2"/>
  <c r="A8129" i="2"/>
  <c r="A8128" i="2"/>
  <c r="A8127" i="2"/>
  <c r="A8126" i="2"/>
  <c r="A8125" i="2"/>
  <c r="A8124" i="2"/>
  <c r="A8123" i="2"/>
  <c r="A8122" i="2"/>
  <c r="A8121" i="2"/>
  <c r="A8120" i="2"/>
  <c r="A8119" i="2"/>
  <c r="A8118" i="2"/>
  <c r="A8117" i="2"/>
  <c r="A8116" i="2"/>
  <c r="A8115" i="2"/>
  <c r="A8114" i="2"/>
  <c r="A8113" i="2"/>
  <c r="A8112" i="2"/>
  <c r="A8111" i="2"/>
  <c r="A8110" i="2"/>
  <c r="A8109" i="2"/>
  <c r="A8108" i="2"/>
  <c r="A8107" i="2"/>
  <c r="A8106" i="2"/>
  <c r="A8105" i="2"/>
  <c r="A8104" i="2"/>
  <c r="A8103" i="2"/>
  <c r="A8102" i="2"/>
  <c r="A8101" i="2"/>
  <c r="A8100" i="2"/>
  <c r="A8099" i="2"/>
  <c r="A8098" i="2"/>
  <c r="A8097" i="2"/>
  <c r="A8096" i="2"/>
  <c r="A8095" i="2"/>
  <c r="A8094" i="2"/>
  <c r="A8093" i="2"/>
  <c r="A8092" i="2"/>
  <c r="A8091" i="2"/>
  <c r="A8090" i="2"/>
  <c r="A8089" i="2"/>
  <c r="A8088" i="2"/>
  <c r="A8087" i="2"/>
  <c r="A8086" i="2"/>
  <c r="A8085" i="2"/>
  <c r="A8084" i="2"/>
  <c r="A8083" i="2"/>
  <c r="A8082" i="2"/>
  <c r="A8081" i="2"/>
  <c r="A8080" i="2"/>
  <c r="A8079" i="2"/>
  <c r="A8078" i="2"/>
  <c r="A8077" i="2"/>
  <c r="A8076" i="2"/>
  <c r="A8075" i="2"/>
  <c r="A8074" i="2"/>
  <c r="A8073" i="2"/>
  <c r="A8072" i="2"/>
  <c r="A8071" i="2"/>
  <c r="A8070" i="2"/>
  <c r="A8069" i="2"/>
  <c r="A8068" i="2"/>
  <c r="A8067" i="2"/>
  <c r="A8066" i="2"/>
  <c r="A8065" i="2"/>
  <c r="A8064" i="2"/>
  <c r="A8063" i="2"/>
  <c r="A8062" i="2"/>
  <c r="A8061" i="2"/>
  <c r="A8060" i="2"/>
  <c r="A8059" i="2"/>
  <c r="A8058" i="2"/>
  <c r="A8057" i="2"/>
  <c r="A8056" i="2"/>
  <c r="A8055" i="2"/>
  <c r="A8054" i="2"/>
  <c r="A8053" i="2"/>
  <c r="A8052" i="2"/>
  <c r="A8051" i="2"/>
  <c r="A8050" i="2"/>
  <c r="A8049" i="2"/>
  <c r="A8048" i="2"/>
  <c r="A8047" i="2"/>
  <c r="A8046" i="2"/>
  <c r="A8045" i="2"/>
  <c r="A8044" i="2"/>
  <c r="A8043" i="2"/>
  <c r="A8042" i="2"/>
  <c r="A8041" i="2"/>
  <c r="A8040" i="2"/>
  <c r="A8039" i="2"/>
  <c r="A8038" i="2"/>
  <c r="A8037" i="2"/>
  <c r="A8036" i="2"/>
  <c r="A8035" i="2"/>
  <c r="A8034" i="2"/>
  <c r="A8033" i="2"/>
  <c r="A8032" i="2"/>
  <c r="A8031" i="2"/>
  <c r="A8030" i="2"/>
  <c r="A8029" i="2"/>
  <c r="A8028" i="2"/>
  <c r="A8027" i="2"/>
  <c r="A8026" i="2"/>
  <c r="A8025" i="2"/>
  <c r="A8024" i="2"/>
  <c r="A8023" i="2"/>
  <c r="A8022" i="2"/>
  <c r="A8021" i="2"/>
  <c r="A8020" i="2"/>
  <c r="A8019" i="2"/>
  <c r="A8018" i="2"/>
  <c r="A8017" i="2"/>
  <c r="A8016" i="2"/>
  <c r="A8015" i="2"/>
  <c r="A8014" i="2"/>
  <c r="A8013" i="2"/>
  <c r="A8012" i="2"/>
  <c r="A8011" i="2"/>
  <c r="A8010" i="2"/>
  <c r="A8009" i="2"/>
  <c r="A8008" i="2"/>
  <c r="A8007" i="2"/>
  <c r="A8006" i="2"/>
  <c r="A8005" i="2"/>
  <c r="A8004" i="2"/>
  <c r="A8003" i="2"/>
  <c r="A8002" i="2"/>
  <c r="A8001" i="2"/>
  <c r="A8000" i="2"/>
  <c r="A7999" i="2"/>
  <c r="A7998" i="2"/>
  <c r="A7997" i="2"/>
  <c r="A7996" i="2"/>
  <c r="A7995" i="2"/>
  <c r="A7994" i="2"/>
  <c r="A7993" i="2"/>
  <c r="A7992" i="2"/>
  <c r="A7991" i="2"/>
  <c r="A7990" i="2"/>
  <c r="A7989" i="2"/>
  <c r="A7988" i="2"/>
  <c r="A7987" i="2"/>
  <c r="A7986" i="2"/>
  <c r="A7985" i="2"/>
  <c r="A7984" i="2"/>
  <c r="A7983" i="2"/>
  <c r="A7982" i="2"/>
  <c r="A7981" i="2"/>
  <c r="A7980" i="2"/>
  <c r="A7979" i="2"/>
  <c r="A7978" i="2"/>
  <c r="A7977" i="2"/>
  <c r="A7976" i="2"/>
  <c r="A7975" i="2"/>
  <c r="A7974" i="2"/>
  <c r="A7973" i="2"/>
  <c r="A7972" i="2"/>
  <c r="A7971" i="2"/>
  <c r="A7970" i="2"/>
  <c r="A7969" i="2"/>
  <c r="A7968" i="2"/>
  <c r="A7967" i="2"/>
  <c r="A7966" i="2"/>
  <c r="A7965" i="2"/>
  <c r="A7964" i="2"/>
  <c r="A7963" i="2"/>
  <c r="A7962" i="2"/>
  <c r="A7961" i="2"/>
  <c r="A7960" i="2"/>
  <c r="A7959" i="2"/>
  <c r="A7958" i="2"/>
  <c r="A7957" i="2"/>
  <c r="A7956" i="2"/>
  <c r="A7955" i="2"/>
  <c r="A7954" i="2"/>
  <c r="A7953" i="2"/>
  <c r="A7952" i="2"/>
  <c r="A7951" i="2"/>
  <c r="A7950" i="2"/>
  <c r="A7949" i="2"/>
  <c r="A7948" i="2"/>
  <c r="A7947" i="2"/>
  <c r="A7946" i="2"/>
  <c r="A7945" i="2"/>
  <c r="A7944" i="2"/>
  <c r="A7943" i="2"/>
  <c r="A7942" i="2"/>
  <c r="A7941" i="2"/>
  <c r="A7940" i="2"/>
  <c r="A7939" i="2"/>
  <c r="A7938" i="2"/>
  <c r="A7937" i="2"/>
  <c r="A7936" i="2"/>
  <c r="A7935" i="2"/>
  <c r="A7934" i="2"/>
  <c r="A7933" i="2"/>
  <c r="A7932" i="2"/>
  <c r="A7931" i="2"/>
  <c r="A7930" i="2"/>
  <c r="A7929" i="2"/>
  <c r="A7928" i="2"/>
  <c r="A7927" i="2"/>
  <c r="A7926" i="2"/>
  <c r="A7925" i="2"/>
  <c r="A7924" i="2"/>
  <c r="A7923" i="2"/>
  <c r="A7922" i="2"/>
  <c r="A7921" i="2"/>
  <c r="A7920" i="2"/>
  <c r="A7919" i="2"/>
  <c r="A7918" i="2"/>
  <c r="A7917" i="2"/>
  <c r="A7916" i="2"/>
  <c r="A7915" i="2"/>
  <c r="A7914" i="2"/>
  <c r="A7913" i="2"/>
  <c r="A7912" i="2"/>
  <c r="A7911" i="2"/>
  <c r="A7910" i="2"/>
  <c r="A7909" i="2"/>
  <c r="A7908" i="2"/>
  <c r="A7907" i="2"/>
  <c r="A7906" i="2"/>
  <c r="A7905" i="2"/>
  <c r="A7904" i="2"/>
  <c r="A7903" i="2"/>
  <c r="A7902" i="2"/>
  <c r="A7901" i="2"/>
  <c r="A7900" i="2"/>
  <c r="A7899" i="2"/>
  <c r="A7898" i="2"/>
  <c r="A7897" i="2"/>
  <c r="A7896" i="2"/>
  <c r="A7895" i="2"/>
  <c r="A7894" i="2"/>
  <c r="A7893" i="2"/>
  <c r="A7892" i="2"/>
  <c r="A7891" i="2"/>
  <c r="A7890" i="2"/>
  <c r="A7889" i="2"/>
  <c r="A7888" i="2"/>
  <c r="A7887" i="2"/>
  <c r="A7886" i="2"/>
  <c r="A7885" i="2"/>
  <c r="A7884" i="2"/>
  <c r="A7883" i="2"/>
  <c r="A7882" i="2"/>
  <c r="A7881" i="2"/>
  <c r="A7880" i="2"/>
  <c r="A7879" i="2"/>
  <c r="A7878" i="2"/>
  <c r="A7877" i="2"/>
  <c r="A7876" i="2"/>
  <c r="A7875" i="2"/>
  <c r="A7874" i="2"/>
  <c r="A7873" i="2"/>
  <c r="A7872" i="2"/>
  <c r="A7871" i="2"/>
  <c r="A7870" i="2"/>
  <c r="A7869" i="2"/>
  <c r="A7868" i="2"/>
  <c r="A7867" i="2"/>
  <c r="A7866" i="2"/>
  <c r="A7865" i="2"/>
  <c r="A7864" i="2"/>
  <c r="A7863" i="2"/>
  <c r="A7862" i="2"/>
  <c r="A7861" i="2"/>
  <c r="A7860" i="2"/>
  <c r="A7859" i="2"/>
  <c r="A7858" i="2"/>
  <c r="A7857" i="2"/>
  <c r="A7856" i="2"/>
  <c r="A7855" i="2"/>
  <c r="A7854" i="2"/>
  <c r="A7853" i="2"/>
  <c r="A7852" i="2"/>
  <c r="A7851" i="2"/>
  <c r="A7850" i="2"/>
  <c r="A7849" i="2"/>
  <c r="A7848" i="2"/>
  <c r="A7847" i="2"/>
  <c r="A7846" i="2"/>
  <c r="A7845" i="2"/>
  <c r="A7844" i="2"/>
  <c r="A7843" i="2"/>
  <c r="A7842" i="2"/>
  <c r="A7841" i="2"/>
  <c r="A7840" i="2"/>
  <c r="A7839" i="2"/>
  <c r="A7838" i="2"/>
  <c r="A7837" i="2"/>
  <c r="A7836" i="2"/>
  <c r="A7835" i="2"/>
  <c r="A7834" i="2"/>
  <c r="A7833" i="2"/>
  <c r="A7832" i="2"/>
  <c r="A7831" i="2"/>
  <c r="A7830" i="2"/>
  <c r="A7829" i="2"/>
  <c r="A7828" i="2"/>
  <c r="A7827" i="2"/>
  <c r="A7826" i="2"/>
  <c r="A7825" i="2"/>
  <c r="A7824" i="2"/>
  <c r="A7823" i="2"/>
  <c r="A7822" i="2"/>
  <c r="A7821" i="2"/>
  <c r="A7820" i="2"/>
  <c r="A7819" i="2"/>
  <c r="A7818" i="2"/>
  <c r="A7817" i="2"/>
  <c r="A7816" i="2"/>
  <c r="A7815" i="2"/>
  <c r="A7814" i="2"/>
  <c r="A7813" i="2"/>
  <c r="A7812" i="2"/>
  <c r="A7811" i="2"/>
  <c r="A7810" i="2"/>
  <c r="A7809" i="2"/>
  <c r="A7808" i="2"/>
  <c r="A7807" i="2"/>
  <c r="A7806" i="2"/>
  <c r="A7805" i="2"/>
  <c r="A7804" i="2"/>
  <c r="A7803" i="2"/>
  <c r="A7802" i="2"/>
  <c r="A7801" i="2"/>
  <c r="A7800" i="2"/>
  <c r="A7799" i="2"/>
  <c r="A7798" i="2"/>
  <c r="A7797" i="2"/>
  <c r="A7796" i="2"/>
  <c r="A7795" i="2"/>
  <c r="A7794" i="2"/>
  <c r="A7793" i="2"/>
  <c r="A7792" i="2"/>
  <c r="A7791" i="2"/>
  <c r="A7790" i="2"/>
  <c r="A7789" i="2"/>
  <c r="A7788" i="2"/>
  <c r="A7787" i="2"/>
  <c r="A7786" i="2"/>
  <c r="A7785" i="2"/>
  <c r="A7784" i="2"/>
  <c r="A7783" i="2"/>
  <c r="A7782" i="2"/>
  <c r="A7781" i="2"/>
  <c r="A7780" i="2"/>
  <c r="A7779" i="2"/>
  <c r="A7778" i="2"/>
  <c r="A7777" i="2"/>
  <c r="A7776" i="2"/>
  <c r="A7775" i="2"/>
  <c r="A7774" i="2"/>
  <c r="A7773" i="2"/>
  <c r="A7772" i="2"/>
  <c r="A7771" i="2"/>
  <c r="A7770" i="2"/>
  <c r="A7769" i="2"/>
  <c r="A7768" i="2"/>
  <c r="A7767" i="2"/>
  <c r="A7766" i="2"/>
  <c r="A7765" i="2"/>
  <c r="A7764" i="2"/>
  <c r="A7763" i="2"/>
  <c r="A7762" i="2"/>
  <c r="A7761" i="2"/>
  <c r="A7760" i="2"/>
  <c r="A7759" i="2"/>
  <c r="A7758" i="2"/>
  <c r="A7757" i="2"/>
  <c r="A7756" i="2"/>
  <c r="A7755" i="2"/>
  <c r="A7754" i="2"/>
  <c r="A7753" i="2"/>
  <c r="A7752" i="2"/>
  <c r="A7751" i="2"/>
  <c r="A7750" i="2"/>
  <c r="A7749" i="2"/>
  <c r="A7748" i="2"/>
  <c r="A7747" i="2"/>
  <c r="A7746" i="2"/>
  <c r="A7745" i="2"/>
  <c r="A7744" i="2"/>
  <c r="A7743" i="2"/>
  <c r="A7742" i="2"/>
  <c r="A7741" i="2"/>
  <c r="A7740" i="2"/>
  <c r="A7739" i="2"/>
  <c r="A7738" i="2"/>
  <c r="A7737" i="2"/>
  <c r="A7736" i="2"/>
  <c r="A7735" i="2"/>
  <c r="A7734" i="2"/>
  <c r="A7733" i="2"/>
  <c r="A7732" i="2"/>
  <c r="A7731" i="2"/>
  <c r="A7730" i="2"/>
  <c r="A7729" i="2"/>
  <c r="A7728" i="2"/>
  <c r="A7727" i="2"/>
  <c r="A7726" i="2"/>
  <c r="A7725" i="2"/>
  <c r="A7724" i="2"/>
  <c r="A7723" i="2"/>
  <c r="A7722" i="2"/>
  <c r="A7721" i="2"/>
  <c r="A7720" i="2"/>
  <c r="A7719" i="2"/>
  <c r="A7718" i="2"/>
  <c r="A7717" i="2"/>
  <c r="A7716" i="2"/>
  <c r="A7715" i="2"/>
  <c r="A7714" i="2"/>
  <c r="A7713" i="2"/>
  <c r="A7712" i="2"/>
  <c r="A7711" i="2"/>
  <c r="A7710" i="2"/>
  <c r="A7709" i="2"/>
  <c r="A7708" i="2"/>
  <c r="A7707" i="2"/>
  <c r="A7706" i="2"/>
  <c r="A7705" i="2"/>
  <c r="A7704" i="2"/>
  <c r="A7703" i="2"/>
  <c r="A7702" i="2"/>
  <c r="A7701" i="2"/>
  <c r="A7700" i="2"/>
  <c r="A7699" i="2"/>
  <c r="A7698" i="2"/>
  <c r="A7697" i="2"/>
  <c r="A7696" i="2"/>
  <c r="A7695" i="2"/>
  <c r="A7694" i="2"/>
  <c r="A7693" i="2"/>
  <c r="A7692" i="2"/>
  <c r="A7691" i="2"/>
  <c r="A7690" i="2"/>
  <c r="A7689" i="2"/>
  <c r="A7688" i="2"/>
  <c r="A7687" i="2"/>
  <c r="A7686" i="2"/>
  <c r="A7685" i="2"/>
  <c r="A7684" i="2"/>
  <c r="A7683" i="2"/>
  <c r="A7682" i="2"/>
  <c r="A7681" i="2"/>
  <c r="A7680" i="2"/>
  <c r="A7679" i="2"/>
  <c r="A7678" i="2"/>
  <c r="A7677" i="2"/>
  <c r="A7676" i="2"/>
  <c r="A7675" i="2"/>
  <c r="A7674" i="2"/>
  <c r="A7673" i="2"/>
  <c r="A7672" i="2"/>
  <c r="A7671" i="2"/>
  <c r="A7670" i="2"/>
  <c r="A7669" i="2"/>
  <c r="A7668" i="2"/>
  <c r="A7667" i="2"/>
  <c r="A7666" i="2"/>
  <c r="A7665" i="2"/>
  <c r="A7664" i="2"/>
  <c r="A7663" i="2"/>
  <c r="A7662" i="2"/>
  <c r="A7661" i="2"/>
  <c r="A7660" i="2"/>
  <c r="A7659" i="2"/>
  <c r="A7658" i="2"/>
  <c r="A7657" i="2"/>
  <c r="A7656" i="2"/>
  <c r="A7655" i="2"/>
  <c r="A7654" i="2"/>
  <c r="A7653" i="2"/>
  <c r="A7652" i="2"/>
  <c r="A7651" i="2"/>
  <c r="A7650" i="2"/>
  <c r="A7649" i="2"/>
  <c r="A7648" i="2"/>
  <c r="A7647" i="2"/>
  <c r="A7646" i="2"/>
  <c r="A7645" i="2"/>
  <c r="A7644" i="2"/>
  <c r="A7643" i="2"/>
  <c r="A7642" i="2"/>
  <c r="A7641" i="2"/>
  <c r="A7640" i="2"/>
  <c r="A7639" i="2"/>
  <c r="A7638" i="2"/>
  <c r="A7637" i="2"/>
  <c r="A7636" i="2"/>
  <c r="A7635" i="2"/>
  <c r="A7634" i="2"/>
  <c r="A7633" i="2"/>
  <c r="A7632" i="2"/>
  <c r="A7631" i="2"/>
  <c r="A7630" i="2"/>
  <c r="A7629" i="2"/>
  <c r="A7628" i="2"/>
  <c r="A7627" i="2"/>
  <c r="A7626" i="2"/>
  <c r="A7625" i="2"/>
  <c r="A7624" i="2"/>
  <c r="A7623" i="2"/>
  <c r="A7622" i="2"/>
  <c r="A7621" i="2"/>
  <c r="A7620" i="2"/>
  <c r="A7619" i="2"/>
  <c r="A7618" i="2"/>
  <c r="A7617" i="2"/>
  <c r="A7616" i="2"/>
  <c r="A7615" i="2"/>
  <c r="A7614" i="2"/>
  <c r="A7613" i="2"/>
  <c r="A7612" i="2"/>
  <c r="A7611" i="2"/>
  <c r="A7610" i="2"/>
  <c r="A7609" i="2"/>
  <c r="A7608" i="2"/>
  <c r="A7607" i="2"/>
  <c r="A7606" i="2"/>
  <c r="A7605" i="2"/>
  <c r="A7604" i="2"/>
  <c r="A7603" i="2"/>
  <c r="A7602" i="2"/>
  <c r="A7601" i="2"/>
  <c r="A7600" i="2"/>
  <c r="A7599" i="2"/>
  <c r="A7598" i="2"/>
  <c r="A7597" i="2"/>
  <c r="A7596" i="2"/>
  <c r="A7595" i="2"/>
  <c r="A7594" i="2"/>
  <c r="A7593" i="2"/>
  <c r="A7592" i="2"/>
  <c r="A7591" i="2"/>
  <c r="A7590" i="2"/>
  <c r="A7589" i="2"/>
  <c r="A7588" i="2"/>
  <c r="A7587" i="2"/>
  <c r="A7586" i="2"/>
  <c r="A7585" i="2"/>
  <c r="A7584" i="2"/>
  <c r="A7583" i="2"/>
  <c r="A7582" i="2"/>
  <c r="A7581" i="2"/>
  <c r="A7580" i="2"/>
  <c r="A7579" i="2"/>
  <c r="A7578" i="2"/>
  <c r="A7577" i="2"/>
  <c r="A7576" i="2"/>
  <c r="A7575" i="2"/>
  <c r="A7574" i="2"/>
  <c r="A7573" i="2"/>
  <c r="A7572" i="2"/>
  <c r="A7571" i="2"/>
  <c r="A7570" i="2"/>
  <c r="A7569" i="2"/>
  <c r="A7568" i="2"/>
  <c r="A7567" i="2"/>
  <c r="A7566" i="2"/>
  <c r="A7565" i="2"/>
  <c r="A7564" i="2"/>
  <c r="A7563" i="2"/>
  <c r="A7562" i="2"/>
  <c r="A7561" i="2"/>
  <c r="A7560" i="2"/>
  <c r="A7559" i="2"/>
  <c r="A7558" i="2"/>
  <c r="A7557" i="2"/>
  <c r="A7556" i="2"/>
  <c r="A7555" i="2"/>
  <c r="A7554" i="2"/>
  <c r="A7553" i="2"/>
  <c r="A7552" i="2"/>
  <c r="A7551" i="2"/>
  <c r="A7550" i="2"/>
  <c r="A7549" i="2"/>
  <c r="A7548" i="2"/>
  <c r="A7547" i="2"/>
  <c r="A7546" i="2"/>
  <c r="A7545" i="2"/>
  <c r="A7544" i="2"/>
  <c r="A7543" i="2"/>
  <c r="A7542" i="2"/>
  <c r="A7541" i="2"/>
  <c r="A7540" i="2"/>
  <c r="A7539" i="2"/>
  <c r="A7538" i="2"/>
  <c r="A7537" i="2"/>
  <c r="A7536" i="2"/>
  <c r="A7535" i="2"/>
  <c r="A7534" i="2"/>
  <c r="A7533" i="2"/>
  <c r="A7532" i="2"/>
  <c r="A7531" i="2"/>
  <c r="A7530" i="2"/>
  <c r="A7529" i="2"/>
  <c r="A7528" i="2"/>
  <c r="A7527" i="2"/>
  <c r="A7526" i="2"/>
  <c r="A7525" i="2"/>
  <c r="A7524" i="2"/>
  <c r="A7523" i="2"/>
  <c r="A7522" i="2"/>
  <c r="A7521" i="2"/>
  <c r="A7520" i="2"/>
  <c r="A7519" i="2"/>
  <c r="A7518" i="2"/>
  <c r="A7517" i="2"/>
  <c r="A7516" i="2"/>
  <c r="A7515" i="2"/>
  <c r="A7514" i="2"/>
  <c r="A7513" i="2"/>
  <c r="A7512" i="2"/>
  <c r="A7511" i="2"/>
  <c r="A7510" i="2"/>
  <c r="A7509" i="2"/>
  <c r="A7508" i="2"/>
  <c r="A7507" i="2"/>
  <c r="A7506" i="2"/>
  <c r="A7505" i="2"/>
  <c r="A7504" i="2"/>
  <c r="A7503" i="2"/>
  <c r="A7502" i="2"/>
  <c r="A7501" i="2"/>
  <c r="A7500" i="2"/>
  <c r="A7499" i="2"/>
  <c r="A7498" i="2"/>
  <c r="A7497" i="2"/>
  <c r="A7496" i="2"/>
  <c r="A7495" i="2"/>
  <c r="A7494" i="2"/>
  <c r="A7493" i="2"/>
  <c r="A7492" i="2"/>
  <c r="A7491" i="2"/>
  <c r="A7490" i="2"/>
  <c r="A7489" i="2"/>
  <c r="A7488" i="2"/>
  <c r="A7487" i="2"/>
  <c r="A7486" i="2"/>
  <c r="A7485" i="2"/>
  <c r="A7484" i="2"/>
  <c r="A7483" i="2"/>
  <c r="A7482" i="2"/>
  <c r="A7481" i="2"/>
  <c r="A7480" i="2"/>
  <c r="A7479" i="2"/>
  <c r="A7478" i="2"/>
  <c r="A7477" i="2"/>
  <c r="A7476" i="2"/>
  <c r="A7475" i="2"/>
  <c r="A7474" i="2"/>
  <c r="A7473" i="2"/>
  <c r="A7472" i="2"/>
  <c r="A7471" i="2"/>
  <c r="A7470" i="2"/>
  <c r="A7469" i="2"/>
  <c r="A7468" i="2"/>
  <c r="A7467" i="2"/>
  <c r="A7466" i="2"/>
  <c r="A7465" i="2"/>
  <c r="A7464" i="2"/>
  <c r="A7463" i="2"/>
  <c r="A7462" i="2"/>
  <c r="A7461" i="2"/>
  <c r="A7460" i="2"/>
  <c r="A7459" i="2"/>
  <c r="A7458" i="2"/>
  <c r="A7457" i="2"/>
  <c r="A7456" i="2"/>
  <c r="A7455" i="2"/>
  <c r="A7454" i="2"/>
  <c r="A7453" i="2"/>
  <c r="A7452" i="2"/>
  <c r="A7451" i="2"/>
  <c r="A7450" i="2"/>
  <c r="A7449" i="2"/>
  <c r="A7448" i="2"/>
  <c r="A7447" i="2"/>
  <c r="A7446" i="2"/>
  <c r="A7445" i="2"/>
  <c r="A7444" i="2"/>
  <c r="A7443" i="2"/>
  <c r="A7442" i="2"/>
  <c r="A7441" i="2"/>
  <c r="A7440" i="2"/>
  <c r="A7439" i="2"/>
  <c r="A7438" i="2"/>
  <c r="A7437" i="2"/>
  <c r="A7436" i="2"/>
  <c r="A7435" i="2"/>
  <c r="A7434" i="2"/>
  <c r="A7433" i="2"/>
  <c r="A7432" i="2"/>
  <c r="A7431" i="2"/>
  <c r="A7430" i="2"/>
  <c r="A7429" i="2"/>
  <c r="A7428" i="2"/>
  <c r="A7427" i="2"/>
  <c r="A7426" i="2"/>
  <c r="A7425" i="2"/>
  <c r="A7424" i="2"/>
  <c r="A7423" i="2"/>
  <c r="A7422" i="2"/>
  <c r="A7421" i="2"/>
  <c r="A7420" i="2"/>
  <c r="A7419" i="2"/>
  <c r="A7418" i="2"/>
  <c r="A7417" i="2"/>
  <c r="A7416" i="2"/>
  <c r="A7415" i="2"/>
  <c r="A7414" i="2"/>
  <c r="A7413" i="2"/>
  <c r="A7412" i="2"/>
  <c r="A7411" i="2"/>
  <c r="A7410" i="2"/>
  <c r="A7409" i="2"/>
  <c r="A7408" i="2"/>
  <c r="A7407" i="2"/>
  <c r="A7406" i="2"/>
  <c r="A7405" i="2"/>
  <c r="A7404" i="2"/>
  <c r="A7403" i="2"/>
  <c r="A7402" i="2"/>
  <c r="A7401" i="2"/>
  <c r="A7400" i="2"/>
  <c r="A7399" i="2"/>
  <c r="A7398" i="2"/>
  <c r="A7397" i="2"/>
  <c r="A7396" i="2"/>
  <c r="A7395" i="2"/>
  <c r="A7394" i="2"/>
  <c r="A7393" i="2"/>
  <c r="A7392" i="2"/>
  <c r="A7391" i="2"/>
  <c r="A7390" i="2"/>
  <c r="A7389" i="2"/>
  <c r="A7388" i="2"/>
  <c r="A7387" i="2"/>
  <c r="A7386" i="2"/>
  <c r="A7385" i="2"/>
  <c r="A7384" i="2"/>
  <c r="A7383" i="2"/>
  <c r="A7382" i="2"/>
  <c r="A7381" i="2"/>
  <c r="A7380" i="2"/>
  <c r="A7379" i="2"/>
  <c r="A7378" i="2"/>
  <c r="A7377" i="2"/>
  <c r="A7376" i="2"/>
  <c r="A7375" i="2"/>
  <c r="A7374" i="2"/>
  <c r="A7373" i="2"/>
  <c r="A7372" i="2"/>
  <c r="A7371" i="2"/>
  <c r="A7370" i="2"/>
  <c r="A7369" i="2"/>
  <c r="A7368" i="2"/>
  <c r="A7367" i="2"/>
  <c r="A7366" i="2"/>
  <c r="A7365" i="2"/>
  <c r="A7364" i="2"/>
  <c r="A7363" i="2"/>
  <c r="A7362" i="2"/>
  <c r="A7361" i="2"/>
  <c r="A7360" i="2"/>
  <c r="A7359" i="2"/>
  <c r="A7358" i="2"/>
  <c r="A7357" i="2"/>
  <c r="A7356" i="2"/>
  <c r="A7355" i="2"/>
  <c r="A7354" i="2"/>
  <c r="A7353" i="2"/>
  <c r="A7352" i="2"/>
  <c r="A7351" i="2"/>
  <c r="A7350" i="2"/>
  <c r="A7349" i="2"/>
  <c r="A7348" i="2"/>
  <c r="A7347" i="2"/>
  <c r="A7346" i="2"/>
  <c r="A7345" i="2"/>
  <c r="A7344" i="2"/>
  <c r="A7343" i="2"/>
  <c r="A7342" i="2"/>
  <c r="A7341" i="2"/>
  <c r="A7340" i="2"/>
  <c r="A7339" i="2"/>
  <c r="A7338" i="2"/>
  <c r="A7337" i="2"/>
  <c r="A7336" i="2"/>
  <c r="A7335" i="2"/>
  <c r="A7334" i="2"/>
  <c r="A7333" i="2"/>
  <c r="A7332" i="2"/>
  <c r="A7331" i="2"/>
  <c r="A7330" i="2"/>
  <c r="A7329" i="2"/>
  <c r="A7328" i="2"/>
  <c r="A7327" i="2"/>
  <c r="A7326" i="2"/>
  <c r="A7325" i="2"/>
  <c r="A7324" i="2"/>
  <c r="A7323" i="2"/>
  <c r="A7322" i="2"/>
  <c r="A7321" i="2"/>
  <c r="A7320" i="2"/>
  <c r="A7319" i="2"/>
  <c r="A7318" i="2"/>
  <c r="A7317" i="2"/>
  <c r="A7316" i="2"/>
  <c r="A7315" i="2"/>
  <c r="A7314" i="2"/>
  <c r="A7313" i="2"/>
  <c r="A7312" i="2"/>
  <c r="A7311" i="2"/>
  <c r="A7310" i="2"/>
  <c r="A7309" i="2"/>
  <c r="A7308" i="2"/>
  <c r="A7307" i="2"/>
  <c r="A7306" i="2"/>
  <c r="A7305" i="2"/>
  <c r="A7304" i="2"/>
  <c r="A7303" i="2"/>
  <c r="A7302" i="2"/>
  <c r="A7301" i="2"/>
  <c r="A7300" i="2"/>
  <c r="A7299" i="2"/>
  <c r="A7298" i="2"/>
  <c r="A7297" i="2"/>
  <c r="A7296" i="2"/>
  <c r="A7295" i="2"/>
  <c r="A7294" i="2"/>
  <c r="A7293" i="2"/>
  <c r="A7292" i="2"/>
  <c r="A7291" i="2"/>
  <c r="A7290" i="2"/>
  <c r="A7289" i="2"/>
  <c r="A7288" i="2"/>
  <c r="A7287" i="2"/>
  <c r="A7286" i="2"/>
  <c r="A7285" i="2"/>
  <c r="A7284" i="2"/>
  <c r="A7283" i="2"/>
  <c r="A7282" i="2"/>
  <c r="A7281" i="2"/>
  <c r="A7280" i="2"/>
  <c r="A7279" i="2"/>
  <c r="A7278" i="2"/>
  <c r="A7277" i="2"/>
  <c r="A7276" i="2"/>
  <c r="A7275" i="2"/>
  <c r="A7274" i="2"/>
  <c r="A7273" i="2"/>
  <c r="A7272" i="2"/>
  <c r="A7271" i="2"/>
  <c r="A7270" i="2"/>
  <c r="A7269" i="2"/>
  <c r="A7268" i="2"/>
  <c r="A7267" i="2"/>
  <c r="A7266" i="2"/>
  <c r="A7265" i="2"/>
  <c r="A7264" i="2"/>
  <c r="A7263" i="2"/>
  <c r="A7262" i="2"/>
  <c r="A7261" i="2"/>
  <c r="A7260" i="2"/>
  <c r="A7259" i="2"/>
  <c r="A7258" i="2"/>
  <c r="A7257" i="2"/>
  <c r="A7256" i="2"/>
  <c r="A7255" i="2"/>
  <c r="A7254" i="2"/>
  <c r="A7253" i="2"/>
  <c r="A7252" i="2"/>
  <c r="A7251" i="2"/>
  <c r="A7250" i="2"/>
  <c r="A7249" i="2"/>
  <c r="A7248" i="2"/>
  <c r="A7247" i="2"/>
  <c r="A7246" i="2"/>
  <c r="A7245" i="2"/>
  <c r="A7244" i="2"/>
  <c r="A7243" i="2"/>
  <c r="A7242" i="2"/>
  <c r="A7241" i="2"/>
  <c r="A7240" i="2"/>
  <c r="A7239" i="2"/>
  <c r="A7238" i="2"/>
  <c r="A7237" i="2"/>
  <c r="A7236" i="2"/>
  <c r="A7235" i="2"/>
  <c r="A7234" i="2"/>
  <c r="A7233" i="2"/>
  <c r="A7232" i="2"/>
  <c r="A7231" i="2"/>
  <c r="A7230" i="2"/>
  <c r="A7229" i="2"/>
  <c r="A7228" i="2"/>
  <c r="A7227" i="2"/>
  <c r="A7226" i="2"/>
  <c r="A7225" i="2"/>
  <c r="A7224" i="2"/>
  <c r="A7223" i="2"/>
  <c r="A7222" i="2"/>
  <c r="A7221" i="2"/>
  <c r="A7220" i="2"/>
  <c r="A7219" i="2"/>
  <c r="A7218" i="2"/>
  <c r="A7217" i="2"/>
  <c r="A7216" i="2"/>
  <c r="A7215" i="2"/>
  <c r="A7214" i="2"/>
  <c r="A7213" i="2"/>
  <c r="A7212" i="2"/>
  <c r="A7211" i="2"/>
  <c r="A7210" i="2"/>
  <c r="A7209" i="2"/>
  <c r="A7208" i="2"/>
  <c r="A7207" i="2"/>
  <c r="A7206" i="2"/>
  <c r="A7205" i="2"/>
  <c r="A7204" i="2"/>
  <c r="A7203" i="2"/>
  <c r="A7202" i="2"/>
  <c r="A7201" i="2"/>
  <c r="A7200" i="2"/>
  <c r="A7199" i="2"/>
  <c r="A7198" i="2"/>
  <c r="A7197" i="2"/>
  <c r="A7196" i="2"/>
  <c r="A7195" i="2"/>
  <c r="A7194" i="2"/>
  <c r="A7193" i="2"/>
  <c r="A7192" i="2"/>
  <c r="A7191" i="2"/>
  <c r="A7190" i="2"/>
  <c r="A7189" i="2"/>
  <c r="A7188" i="2"/>
  <c r="A7187" i="2"/>
  <c r="A7186" i="2"/>
  <c r="A7185" i="2"/>
  <c r="A7184" i="2"/>
  <c r="A7183" i="2"/>
  <c r="A7182" i="2"/>
  <c r="A7181" i="2"/>
  <c r="A7180" i="2"/>
  <c r="A7179" i="2"/>
  <c r="A7178" i="2"/>
  <c r="A7177" i="2"/>
  <c r="A7176" i="2"/>
  <c r="A7175" i="2"/>
  <c r="A7174" i="2"/>
  <c r="A7173" i="2"/>
  <c r="A7172" i="2"/>
  <c r="A7171" i="2"/>
  <c r="A7170" i="2"/>
  <c r="A7169" i="2"/>
  <c r="A7168" i="2"/>
  <c r="A7167" i="2"/>
  <c r="A7166" i="2"/>
  <c r="A7165" i="2"/>
  <c r="A7164" i="2"/>
  <c r="A7163" i="2"/>
  <c r="A7162" i="2"/>
  <c r="A7161" i="2"/>
  <c r="A7160" i="2"/>
  <c r="A7159" i="2"/>
  <c r="A7158" i="2"/>
  <c r="A7157" i="2"/>
  <c r="A7156" i="2"/>
  <c r="A7155" i="2"/>
  <c r="A7154" i="2"/>
  <c r="A7153" i="2"/>
  <c r="A7152" i="2"/>
  <c r="A7151" i="2"/>
  <c r="A7150" i="2"/>
  <c r="A7149" i="2"/>
  <c r="A7148" i="2"/>
  <c r="A7147" i="2"/>
  <c r="A7146" i="2"/>
  <c r="A7145" i="2"/>
  <c r="A7144" i="2"/>
  <c r="A7143" i="2"/>
  <c r="A7142" i="2"/>
  <c r="A7141" i="2"/>
  <c r="A7140" i="2"/>
  <c r="A7139" i="2"/>
  <c r="A7138" i="2"/>
  <c r="A7137" i="2"/>
  <c r="A7136" i="2"/>
  <c r="A7135" i="2"/>
  <c r="A7134" i="2"/>
  <c r="A7133" i="2"/>
  <c r="A7132" i="2"/>
  <c r="A7131" i="2"/>
  <c r="A7130" i="2"/>
  <c r="A7129" i="2"/>
  <c r="A7128" i="2"/>
  <c r="A7127" i="2"/>
  <c r="A7126" i="2"/>
  <c r="A7125" i="2"/>
  <c r="A7124" i="2"/>
  <c r="A7123" i="2"/>
  <c r="A7122" i="2"/>
  <c r="A7121" i="2"/>
  <c r="A7120" i="2"/>
  <c r="A7119" i="2"/>
  <c r="A7118" i="2"/>
  <c r="A7117" i="2"/>
  <c r="A7116" i="2"/>
  <c r="A7115" i="2"/>
  <c r="A7114" i="2"/>
  <c r="A7113" i="2"/>
  <c r="A7112" i="2"/>
  <c r="A7111" i="2"/>
  <c r="A7110" i="2"/>
  <c r="A7109" i="2"/>
  <c r="A7108" i="2"/>
  <c r="A7107" i="2"/>
  <c r="A7106" i="2"/>
  <c r="A7105" i="2"/>
  <c r="A7104" i="2"/>
  <c r="A7103" i="2"/>
  <c r="A7102" i="2"/>
  <c r="A7101" i="2"/>
  <c r="A7100" i="2"/>
  <c r="A7099" i="2"/>
  <c r="A7098" i="2"/>
  <c r="A7097" i="2"/>
  <c r="A7096" i="2"/>
  <c r="A7095" i="2"/>
  <c r="A7094" i="2"/>
  <c r="A7093" i="2"/>
  <c r="A7092" i="2"/>
  <c r="A7091" i="2"/>
  <c r="A7090" i="2"/>
  <c r="A7089" i="2"/>
  <c r="A7088" i="2"/>
  <c r="A7087" i="2"/>
  <c r="A7086" i="2"/>
  <c r="A7085" i="2"/>
  <c r="A7084" i="2"/>
  <c r="A7083" i="2"/>
  <c r="A7082" i="2"/>
  <c r="A7081" i="2"/>
  <c r="A7080" i="2"/>
  <c r="A7079" i="2"/>
  <c r="A7078" i="2"/>
  <c r="A7077" i="2"/>
  <c r="A7076" i="2"/>
  <c r="A7075" i="2"/>
  <c r="A7074" i="2"/>
  <c r="A7073" i="2"/>
  <c r="A7072" i="2"/>
  <c r="A7071" i="2"/>
  <c r="A7070" i="2"/>
  <c r="A7069" i="2"/>
  <c r="A7068" i="2"/>
  <c r="A7067" i="2"/>
  <c r="A7066" i="2"/>
  <c r="A7065" i="2"/>
  <c r="A7064" i="2"/>
  <c r="A7063" i="2"/>
  <c r="A7062" i="2"/>
  <c r="A7061" i="2"/>
  <c r="A7060" i="2"/>
  <c r="A7059" i="2"/>
  <c r="A7058" i="2"/>
  <c r="A7057" i="2"/>
  <c r="A7056" i="2"/>
  <c r="A7055" i="2"/>
  <c r="A7054" i="2"/>
  <c r="A7053" i="2"/>
  <c r="A7052" i="2"/>
  <c r="A7051" i="2"/>
  <c r="A7050" i="2"/>
  <c r="A7049" i="2"/>
  <c r="A7048" i="2"/>
  <c r="A7047" i="2"/>
  <c r="A7046" i="2"/>
  <c r="A7045" i="2"/>
  <c r="A7044" i="2"/>
  <c r="A7043" i="2"/>
  <c r="A7042" i="2"/>
  <c r="A7041" i="2"/>
  <c r="A7040" i="2"/>
  <c r="A7039" i="2"/>
  <c r="A7038" i="2"/>
  <c r="A7037" i="2"/>
  <c r="A7036" i="2"/>
  <c r="A7035" i="2"/>
  <c r="A7034" i="2"/>
  <c r="A7033" i="2"/>
  <c r="A7032" i="2"/>
  <c r="A7031" i="2"/>
  <c r="A7030" i="2"/>
  <c r="A7029" i="2"/>
  <c r="A7028" i="2"/>
  <c r="A7027" i="2"/>
  <c r="A7026" i="2"/>
  <c r="A7025" i="2"/>
  <c r="A7024" i="2"/>
  <c r="A7023" i="2"/>
  <c r="A7022" i="2"/>
  <c r="A7021" i="2"/>
  <c r="A7020" i="2"/>
  <c r="A7019" i="2"/>
  <c r="A7018" i="2"/>
  <c r="A7017" i="2"/>
  <c r="A7016" i="2"/>
  <c r="A7015" i="2"/>
  <c r="A7014" i="2"/>
  <c r="A7013" i="2"/>
  <c r="A7012" i="2"/>
  <c r="A7011" i="2"/>
  <c r="A7010" i="2"/>
  <c r="A7009" i="2"/>
  <c r="A7008" i="2"/>
  <c r="A7007" i="2"/>
  <c r="A7006" i="2"/>
  <c r="A7005" i="2"/>
  <c r="A7004" i="2"/>
  <c r="A7003" i="2"/>
  <c r="A7002" i="2"/>
  <c r="A7001" i="2"/>
  <c r="A7000" i="2"/>
  <c r="A6999" i="2"/>
  <c r="A6998" i="2"/>
  <c r="A6997" i="2"/>
  <c r="A6996" i="2"/>
  <c r="A6995" i="2"/>
  <c r="A6994" i="2"/>
  <c r="A6993" i="2"/>
  <c r="A6992" i="2"/>
  <c r="A6991" i="2"/>
  <c r="A6990" i="2"/>
  <c r="A6989" i="2"/>
  <c r="A6988" i="2"/>
  <c r="A6987" i="2"/>
  <c r="A6986" i="2"/>
  <c r="A6985" i="2"/>
  <c r="A6984" i="2"/>
  <c r="A6983" i="2"/>
  <c r="A6982" i="2"/>
  <c r="A6981" i="2"/>
  <c r="A6980" i="2"/>
  <c r="A6979" i="2"/>
  <c r="A6978" i="2"/>
  <c r="A6977" i="2"/>
  <c r="A6976" i="2"/>
  <c r="A6975" i="2"/>
  <c r="A6974" i="2"/>
  <c r="A6973" i="2"/>
  <c r="A6972" i="2"/>
  <c r="A6971" i="2"/>
  <c r="A6970" i="2"/>
  <c r="A6969" i="2"/>
  <c r="A6968" i="2"/>
  <c r="A6967" i="2"/>
  <c r="A6966" i="2"/>
  <c r="A6965" i="2"/>
  <c r="A6964" i="2"/>
  <c r="A6963" i="2"/>
  <c r="A6962" i="2"/>
  <c r="A6961" i="2"/>
  <c r="A6960" i="2"/>
  <c r="A6959" i="2"/>
  <c r="A6958" i="2"/>
  <c r="A6957" i="2"/>
  <c r="A6956" i="2"/>
  <c r="A6955" i="2"/>
  <c r="A6954" i="2"/>
  <c r="A6953" i="2"/>
  <c r="A6952" i="2"/>
  <c r="A6951" i="2"/>
  <c r="A6950" i="2"/>
  <c r="A6949" i="2"/>
  <c r="A6948" i="2"/>
  <c r="A6947" i="2"/>
  <c r="A6946" i="2"/>
  <c r="A6945" i="2"/>
  <c r="A6944" i="2"/>
  <c r="A6943" i="2"/>
  <c r="A6942" i="2"/>
  <c r="A6941" i="2"/>
  <c r="A6940" i="2"/>
  <c r="A6939" i="2"/>
  <c r="A6938" i="2"/>
  <c r="A6937" i="2"/>
  <c r="A6936" i="2"/>
  <c r="A6935" i="2"/>
  <c r="A6934" i="2"/>
  <c r="A6933" i="2"/>
  <c r="A6932" i="2"/>
  <c r="A6931" i="2"/>
  <c r="A6930" i="2"/>
  <c r="A6929" i="2"/>
  <c r="A6928" i="2"/>
  <c r="A6927" i="2"/>
  <c r="A6926" i="2"/>
  <c r="A6925" i="2"/>
  <c r="A6924" i="2"/>
  <c r="A6923" i="2"/>
  <c r="A6922" i="2"/>
  <c r="A6921" i="2"/>
  <c r="A6920" i="2"/>
  <c r="A6919" i="2"/>
  <c r="A6918" i="2"/>
  <c r="A6917" i="2"/>
  <c r="A6916" i="2"/>
  <c r="A6915" i="2"/>
  <c r="A6914" i="2"/>
  <c r="A6913" i="2"/>
  <c r="A6912" i="2"/>
  <c r="A6911" i="2"/>
  <c r="A6910" i="2"/>
  <c r="A6909" i="2"/>
  <c r="A6908" i="2"/>
  <c r="A6907" i="2"/>
  <c r="A6906" i="2"/>
  <c r="A6905" i="2"/>
  <c r="A6904" i="2"/>
  <c r="A6903" i="2"/>
  <c r="A6902" i="2"/>
  <c r="A6901" i="2"/>
  <c r="A6900" i="2"/>
  <c r="A6899" i="2"/>
  <c r="A6898" i="2"/>
  <c r="A6897" i="2"/>
  <c r="A6896" i="2"/>
  <c r="A6895" i="2"/>
  <c r="A6894" i="2"/>
  <c r="A6893" i="2"/>
  <c r="A6892" i="2"/>
  <c r="A6891" i="2"/>
  <c r="A6890" i="2"/>
  <c r="A6889" i="2"/>
  <c r="A6888" i="2"/>
  <c r="A6887" i="2"/>
  <c r="A6886" i="2"/>
  <c r="A6885" i="2"/>
  <c r="A6884" i="2"/>
  <c r="A6883" i="2"/>
  <c r="A6882" i="2"/>
  <c r="A6881" i="2"/>
  <c r="A6880" i="2"/>
  <c r="A6879" i="2"/>
  <c r="A6878" i="2"/>
  <c r="A6877" i="2"/>
  <c r="A6876" i="2"/>
  <c r="A6875" i="2"/>
  <c r="A6874" i="2"/>
  <c r="A6873" i="2"/>
  <c r="A6872" i="2"/>
  <c r="A6871" i="2"/>
  <c r="A6870" i="2"/>
  <c r="A6869" i="2"/>
  <c r="A6868" i="2"/>
  <c r="A6867" i="2"/>
  <c r="A6866" i="2"/>
  <c r="A6865" i="2"/>
  <c r="A6864" i="2"/>
  <c r="A6863" i="2"/>
  <c r="A6862" i="2"/>
  <c r="A6861" i="2"/>
  <c r="A6860" i="2"/>
  <c r="A6859" i="2"/>
  <c r="A6858" i="2"/>
  <c r="A6857" i="2"/>
  <c r="A6856" i="2"/>
  <c r="A6855" i="2"/>
  <c r="A6854" i="2"/>
  <c r="A6853" i="2"/>
  <c r="A6852" i="2"/>
  <c r="A6851" i="2"/>
  <c r="A6850" i="2"/>
  <c r="A6849" i="2"/>
  <c r="A6848" i="2"/>
  <c r="A6847" i="2"/>
  <c r="A6846" i="2"/>
  <c r="A6845" i="2"/>
  <c r="A6844" i="2"/>
  <c r="A6843" i="2"/>
  <c r="A6842" i="2"/>
  <c r="A6841" i="2"/>
  <c r="A6840" i="2"/>
  <c r="A6839" i="2"/>
  <c r="A6838" i="2"/>
  <c r="A6837" i="2"/>
  <c r="A6836" i="2"/>
  <c r="A6835" i="2"/>
  <c r="A6834" i="2"/>
  <c r="A6833" i="2"/>
  <c r="A6832" i="2"/>
  <c r="A6831" i="2"/>
  <c r="A6830" i="2"/>
  <c r="A6829" i="2"/>
  <c r="A6828" i="2"/>
  <c r="A6827" i="2"/>
  <c r="A6826" i="2"/>
  <c r="A6825" i="2"/>
  <c r="A6824" i="2"/>
  <c r="A6823" i="2"/>
  <c r="A6822" i="2"/>
  <c r="A6821" i="2"/>
  <c r="A6820" i="2"/>
  <c r="A6819" i="2"/>
  <c r="A6818" i="2"/>
  <c r="A6817" i="2"/>
  <c r="A6816" i="2"/>
  <c r="A6815" i="2"/>
  <c r="A6814" i="2"/>
  <c r="A6813" i="2"/>
  <c r="A6812" i="2"/>
  <c r="A6811" i="2"/>
  <c r="A6810" i="2"/>
  <c r="A6809" i="2"/>
  <c r="A6808" i="2"/>
  <c r="A6807" i="2"/>
  <c r="A6806" i="2"/>
  <c r="A6805" i="2"/>
  <c r="A6804" i="2"/>
  <c r="A6803" i="2"/>
  <c r="A6802" i="2"/>
  <c r="A6801" i="2"/>
  <c r="A6800" i="2"/>
  <c r="A6799" i="2"/>
  <c r="A6798" i="2"/>
  <c r="A6797" i="2"/>
  <c r="A6796" i="2"/>
  <c r="A6795" i="2"/>
  <c r="A6794" i="2"/>
  <c r="A6793" i="2"/>
  <c r="A6792" i="2"/>
  <c r="A6791" i="2"/>
  <c r="A6790" i="2"/>
  <c r="A6789" i="2"/>
  <c r="A6788" i="2"/>
  <c r="A6787" i="2"/>
  <c r="A6786" i="2"/>
  <c r="A6785" i="2"/>
  <c r="A6784" i="2"/>
  <c r="A6783" i="2"/>
  <c r="A6782" i="2"/>
  <c r="A6781" i="2"/>
  <c r="A6780" i="2"/>
  <c r="A6779" i="2"/>
  <c r="A6778" i="2"/>
  <c r="A6777" i="2"/>
  <c r="A6776" i="2"/>
  <c r="A6775" i="2"/>
  <c r="A6774" i="2"/>
  <c r="A6773" i="2"/>
  <c r="A6772" i="2"/>
  <c r="A6771" i="2"/>
  <c r="A6770" i="2"/>
  <c r="A6769" i="2"/>
  <c r="A6768" i="2"/>
  <c r="A6767" i="2"/>
  <c r="A6766" i="2"/>
  <c r="A6765" i="2"/>
  <c r="A6764" i="2"/>
  <c r="A6763" i="2"/>
  <c r="A6762" i="2"/>
  <c r="A6761" i="2"/>
  <c r="A6760" i="2"/>
  <c r="A6759" i="2"/>
  <c r="A6758" i="2"/>
  <c r="A6757" i="2"/>
  <c r="A6756" i="2"/>
  <c r="A6755" i="2"/>
  <c r="A6754" i="2"/>
  <c r="A6753" i="2"/>
  <c r="A6752" i="2"/>
  <c r="A6751" i="2"/>
  <c r="A6750" i="2"/>
  <c r="A6749" i="2"/>
  <c r="A6748" i="2"/>
  <c r="A6747" i="2"/>
  <c r="A6746" i="2"/>
  <c r="A6745" i="2"/>
  <c r="A6744" i="2"/>
  <c r="A6743" i="2"/>
  <c r="A6742" i="2"/>
  <c r="A6741" i="2"/>
  <c r="A6740" i="2"/>
  <c r="A6739" i="2"/>
  <c r="A6738" i="2"/>
  <c r="A6737" i="2"/>
  <c r="A6736" i="2"/>
  <c r="A6735" i="2"/>
  <c r="A6734" i="2"/>
  <c r="A6733" i="2"/>
  <c r="A6732" i="2"/>
  <c r="A6731" i="2"/>
  <c r="A6730" i="2"/>
  <c r="A6729" i="2"/>
  <c r="A6728" i="2"/>
  <c r="A6727" i="2"/>
  <c r="A6726" i="2"/>
  <c r="A6725" i="2"/>
  <c r="A6724" i="2"/>
  <c r="A6723" i="2"/>
  <c r="A6722" i="2"/>
  <c r="A6721" i="2"/>
  <c r="A6720" i="2"/>
  <c r="A6719" i="2"/>
  <c r="A6718" i="2"/>
  <c r="A6717" i="2"/>
  <c r="A6716" i="2"/>
  <c r="A6715" i="2"/>
  <c r="A6714" i="2"/>
  <c r="A6713" i="2"/>
  <c r="A6712" i="2"/>
  <c r="A6711" i="2"/>
  <c r="A6710" i="2"/>
  <c r="A6709" i="2"/>
  <c r="A6708" i="2"/>
  <c r="A6707" i="2"/>
  <c r="A6706" i="2"/>
  <c r="A6705" i="2"/>
  <c r="A6704" i="2"/>
  <c r="A6703" i="2"/>
  <c r="A6702" i="2"/>
  <c r="A6701" i="2"/>
  <c r="A6700" i="2"/>
  <c r="A6699" i="2"/>
  <c r="A6698" i="2"/>
  <c r="A6697" i="2"/>
  <c r="A6696" i="2"/>
  <c r="A6695" i="2"/>
  <c r="A6694" i="2"/>
  <c r="A6693" i="2"/>
  <c r="A6692" i="2"/>
  <c r="A6691" i="2"/>
  <c r="A6690" i="2"/>
  <c r="A6689" i="2"/>
  <c r="A6688" i="2"/>
  <c r="A6687" i="2"/>
  <c r="A6686" i="2"/>
  <c r="A6685" i="2"/>
  <c r="A6684" i="2"/>
  <c r="A6683" i="2"/>
  <c r="A6682" i="2"/>
  <c r="A6681" i="2"/>
  <c r="A6680" i="2"/>
  <c r="A6679" i="2"/>
  <c r="A6678" i="2"/>
  <c r="A6677" i="2"/>
  <c r="A6676" i="2"/>
  <c r="A6675" i="2"/>
  <c r="A6674" i="2"/>
  <c r="A6673" i="2"/>
  <c r="A6672" i="2"/>
  <c r="A6671" i="2"/>
  <c r="A6670" i="2"/>
  <c r="A6669" i="2"/>
  <c r="A6668" i="2"/>
  <c r="A6667" i="2"/>
  <c r="A6666" i="2"/>
  <c r="A6665" i="2"/>
  <c r="A6664" i="2"/>
  <c r="A6663" i="2"/>
  <c r="A6662" i="2"/>
  <c r="A6661" i="2"/>
  <c r="A6660" i="2"/>
  <c r="A6659" i="2"/>
  <c r="A6658" i="2"/>
  <c r="A6657" i="2"/>
  <c r="A6656" i="2"/>
  <c r="A6655" i="2"/>
  <c r="A6654" i="2"/>
  <c r="A6653" i="2"/>
  <c r="A6652" i="2"/>
  <c r="A6651" i="2"/>
  <c r="A6650" i="2"/>
  <c r="A6649" i="2"/>
  <c r="A6648" i="2"/>
  <c r="A6647" i="2"/>
  <c r="A6646" i="2"/>
  <c r="A6645" i="2"/>
  <c r="A6644" i="2"/>
  <c r="A6643" i="2"/>
  <c r="A6642" i="2"/>
  <c r="A6641" i="2"/>
  <c r="A6640" i="2"/>
  <c r="A6639" i="2"/>
  <c r="A6638" i="2"/>
  <c r="A6637" i="2"/>
  <c r="A6636" i="2"/>
  <c r="A6635" i="2"/>
  <c r="A6634" i="2"/>
  <c r="A6633" i="2"/>
  <c r="A6632" i="2"/>
  <c r="A6631" i="2"/>
  <c r="A6630" i="2"/>
  <c r="A6629" i="2"/>
  <c r="A6628" i="2"/>
  <c r="A6627" i="2"/>
  <c r="A6626" i="2"/>
  <c r="A6625" i="2"/>
  <c r="A6624" i="2"/>
  <c r="A6623" i="2"/>
  <c r="A6622" i="2"/>
  <c r="A6621" i="2"/>
  <c r="A6620" i="2"/>
  <c r="A6619" i="2"/>
  <c r="A6618" i="2"/>
  <c r="A6617" i="2"/>
  <c r="A6616" i="2"/>
  <c r="A6615" i="2"/>
  <c r="A6614" i="2"/>
  <c r="A6613" i="2"/>
  <c r="A6612" i="2"/>
  <c r="A6611" i="2"/>
  <c r="A6610" i="2"/>
  <c r="A6609" i="2"/>
  <c r="A6608" i="2"/>
  <c r="A6607" i="2"/>
  <c r="A6606" i="2"/>
  <c r="A6605" i="2"/>
  <c r="A6604" i="2"/>
  <c r="A6603" i="2"/>
  <c r="A6602" i="2"/>
  <c r="A6601" i="2"/>
  <c r="A6600" i="2"/>
  <c r="A6599" i="2"/>
  <c r="A6598" i="2"/>
  <c r="A6597" i="2"/>
  <c r="A6596" i="2"/>
  <c r="A6595" i="2"/>
  <c r="A6594" i="2"/>
  <c r="A6593" i="2"/>
  <c r="A6592" i="2"/>
  <c r="A6591" i="2"/>
  <c r="A6590" i="2"/>
  <c r="A6589" i="2"/>
  <c r="A6588" i="2"/>
  <c r="A6587" i="2"/>
  <c r="A6586" i="2"/>
  <c r="A6585" i="2"/>
  <c r="A6584" i="2"/>
  <c r="A6583" i="2"/>
  <c r="A6582" i="2"/>
  <c r="A6581" i="2"/>
  <c r="A6580" i="2"/>
  <c r="A6579" i="2"/>
  <c r="A6578" i="2"/>
  <c r="A6577" i="2"/>
  <c r="A6576" i="2"/>
  <c r="A6575" i="2"/>
  <c r="A6574" i="2"/>
  <c r="A6573" i="2"/>
  <c r="A6572" i="2"/>
  <c r="A6571" i="2"/>
  <c r="A6570" i="2"/>
  <c r="A6569" i="2"/>
  <c r="A6568" i="2"/>
  <c r="A6567" i="2"/>
  <c r="A6566" i="2"/>
  <c r="A6565" i="2"/>
  <c r="A6564" i="2"/>
  <c r="A6563" i="2"/>
  <c r="A6562" i="2"/>
  <c r="A6561" i="2"/>
  <c r="A6560" i="2"/>
  <c r="A6559" i="2"/>
  <c r="A6558" i="2"/>
  <c r="A6557" i="2"/>
  <c r="A6556" i="2"/>
  <c r="A6555" i="2"/>
  <c r="A6554" i="2"/>
  <c r="A6553" i="2"/>
  <c r="A6552" i="2"/>
  <c r="A6551" i="2"/>
  <c r="A6550" i="2"/>
  <c r="A6549" i="2"/>
  <c r="A6548" i="2"/>
  <c r="A6547" i="2"/>
  <c r="A6546" i="2"/>
  <c r="A6545" i="2"/>
  <c r="A6544" i="2"/>
  <c r="A6543" i="2"/>
  <c r="A6542" i="2"/>
  <c r="A6541" i="2"/>
  <c r="A6540" i="2"/>
  <c r="A6539" i="2"/>
  <c r="A6538" i="2"/>
  <c r="A6537" i="2"/>
  <c r="A6536" i="2"/>
  <c r="A6535" i="2"/>
  <c r="A6534" i="2"/>
  <c r="A6533" i="2"/>
  <c r="A6532" i="2"/>
  <c r="A6531" i="2"/>
  <c r="A6530" i="2"/>
  <c r="A6529" i="2"/>
  <c r="A6528" i="2"/>
  <c r="A6527" i="2"/>
  <c r="A6526" i="2"/>
  <c r="A6525" i="2"/>
  <c r="A6524" i="2"/>
  <c r="A6523" i="2"/>
  <c r="A6522" i="2"/>
  <c r="A6521" i="2"/>
  <c r="A6520" i="2"/>
  <c r="A6519" i="2"/>
  <c r="A6518" i="2"/>
  <c r="A6517" i="2"/>
  <c r="A6516" i="2"/>
  <c r="A6515" i="2"/>
  <c r="A6514" i="2"/>
  <c r="A6513" i="2"/>
  <c r="A6512" i="2"/>
  <c r="A6511" i="2"/>
  <c r="A6510" i="2"/>
  <c r="A6509" i="2"/>
  <c r="A6508" i="2"/>
  <c r="A6507" i="2"/>
  <c r="A6506" i="2"/>
  <c r="A6505" i="2"/>
  <c r="A6504" i="2"/>
  <c r="A6503" i="2"/>
  <c r="A6502" i="2"/>
  <c r="A6501" i="2"/>
  <c r="A6500" i="2"/>
  <c r="A6499" i="2"/>
  <c r="A6498" i="2"/>
  <c r="A6497" i="2"/>
  <c r="A6496" i="2"/>
  <c r="A6495" i="2"/>
  <c r="A6494" i="2"/>
  <c r="A6493" i="2"/>
  <c r="A6492" i="2"/>
  <c r="A6491" i="2"/>
  <c r="A6490" i="2"/>
  <c r="A6489" i="2"/>
  <c r="A6488" i="2"/>
  <c r="A6487" i="2"/>
  <c r="A6486" i="2"/>
  <c r="A6485" i="2"/>
  <c r="A6484" i="2"/>
  <c r="A6483" i="2"/>
  <c r="A6482" i="2"/>
  <c r="A6481" i="2"/>
  <c r="A6480" i="2"/>
  <c r="A6479" i="2"/>
  <c r="A6478" i="2"/>
  <c r="A6477" i="2"/>
  <c r="A6476" i="2"/>
  <c r="A6475" i="2"/>
  <c r="A6474" i="2"/>
  <c r="A6473" i="2"/>
  <c r="A6472" i="2"/>
  <c r="A6471" i="2"/>
  <c r="A6470" i="2"/>
  <c r="A6469" i="2"/>
  <c r="A6468" i="2"/>
  <c r="A6467" i="2"/>
  <c r="A6466" i="2"/>
  <c r="A6465" i="2"/>
  <c r="A6464" i="2"/>
  <c r="A6463" i="2"/>
  <c r="A6462" i="2"/>
  <c r="A6461" i="2"/>
  <c r="A6460" i="2"/>
  <c r="A6459" i="2"/>
  <c r="A6458" i="2"/>
  <c r="A6457" i="2"/>
  <c r="A6456" i="2"/>
  <c r="A6455" i="2"/>
  <c r="A6454" i="2"/>
  <c r="A6453" i="2"/>
  <c r="A6452" i="2"/>
  <c r="A6451" i="2"/>
  <c r="A6450" i="2"/>
  <c r="A6449" i="2"/>
  <c r="A6448" i="2"/>
  <c r="A6447" i="2"/>
  <c r="A6446" i="2"/>
  <c r="A6445" i="2"/>
  <c r="A6444" i="2"/>
  <c r="A6443" i="2"/>
  <c r="A6442" i="2"/>
  <c r="A6441" i="2"/>
  <c r="A6440" i="2"/>
  <c r="A6439" i="2"/>
  <c r="A6438" i="2"/>
  <c r="A6437" i="2"/>
  <c r="A6436" i="2"/>
  <c r="A6435" i="2"/>
  <c r="A6434" i="2"/>
  <c r="A6433" i="2"/>
  <c r="A6432" i="2"/>
  <c r="A6431" i="2"/>
  <c r="A6430" i="2"/>
  <c r="A6429" i="2"/>
  <c r="A6428" i="2"/>
  <c r="A6427" i="2"/>
  <c r="A6426" i="2"/>
  <c r="A6425" i="2"/>
  <c r="A6424" i="2"/>
  <c r="A6423" i="2"/>
  <c r="A6422" i="2"/>
  <c r="A6421" i="2"/>
  <c r="A6420" i="2"/>
  <c r="A6419" i="2"/>
  <c r="A6418" i="2"/>
  <c r="A6417" i="2"/>
  <c r="A6416" i="2"/>
  <c r="A6415" i="2"/>
  <c r="A6414" i="2"/>
  <c r="A6413" i="2"/>
  <c r="A6412" i="2"/>
  <c r="A6411" i="2"/>
  <c r="A6410" i="2"/>
  <c r="A6409" i="2"/>
  <c r="A6408" i="2"/>
  <c r="A6407" i="2"/>
  <c r="A6406" i="2"/>
  <c r="A6405" i="2"/>
  <c r="A6404" i="2"/>
  <c r="A6403" i="2"/>
  <c r="A6402" i="2"/>
  <c r="A6401" i="2"/>
  <c r="A6400" i="2"/>
  <c r="A6399" i="2"/>
  <c r="A6398" i="2"/>
  <c r="A6397" i="2"/>
  <c r="A6396" i="2"/>
  <c r="A6395" i="2"/>
  <c r="A6394" i="2"/>
  <c r="A6393" i="2"/>
  <c r="A6392" i="2"/>
  <c r="A6391" i="2"/>
  <c r="A6390" i="2"/>
  <c r="A6389" i="2"/>
  <c r="A6388" i="2"/>
  <c r="A6387" i="2"/>
  <c r="A6386" i="2"/>
  <c r="A6385" i="2"/>
  <c r="A6384" i="2"/>
  <c r="A6383" i="2"/>
  <c r="A6382" i="2"/>
  <c r="A6381" i="2"/>
  <c r="A6380" i="2"/>
  <c r="A6379" i="2"/>
  <c r="A6378" i="2"/>
  <c r="A6377" i="2"/>
  <c r="A6376" i="2"/>
  <c r="A6375" i="2"/>
  <c r="A6374" i="2"/>
  <c r="A6373" i="2"/>
  <c r="A6372" i="2"/>
  <c r="A6371" i="2"/>
  <c r="A6370" i="2"/>
  <c r="A6369" i="2"/>
  <c r="A6368" i="2"/>
  <c r="A6367" i="2"/>
  <c r="A6366" i="2"/>
  <c r="A6365" i="2"/>
  <c r="A6364" i="2"/>
  <c r="A6363" i="2"/>
  <c r="A6362" i="2"/>
  <c r="A6361" i="2"/>
  <c r="A6360" i="2"/>
  <c r="A6359" i="2"/>
  <c r="A6358" i="2"/>
  <c r="A6357" i="2"/>
  <c r="A6356" i="2"/>
  <c r="A6355" i="2"/>
  <c r="A6354" i="2"/>
  <c r="A6353" i="2"/>
  <c r="A6352" i="2"/>
  <c r="A6351" i="2"/>
  <c r="A6350" i="2"/>
  <c r="A6349" i="2"/>
  <c r="A6348" i="2"/>
  <c r="A6347" i="2"/>
  <c r="A6346" i="2"/>
  <c r="A6345" i="2"/>
  <c r="A6344" i="2"/>
  <c r="A6343" i="2"/>
  <c r="A6342" i="2"/>
  <c r="A6341" i="2"/>
  <c r="A6340" i="2"/>
  <c r="A6339" i="2"/>
  <c r="A6338" i="2"/>
  <c r="A6337" i="2"/>
  <c r="A6336" i="2"/>
  <c r="A6335" i="2"/>
  <c r="A6334" i="2"/>
  <c r="A6333" i="2"/>
  <c r="A6332" i="2"/>
  <c r="A6331" i="2"/>
  <c r="A6330" i="2"/>
  <c r="A6329" i="2"/>
  <c r="A6328" i="2"/>
  <c r="A6327" i="2"/>
  <c r="A6326" i="2"/>
  <c r="A6325" i="2"/>
  <c r="A6324" i="2"/>
  <c r="A6323" i="2"/>
  <c r="A6322" i="2"/>
  <c r="A6321" i="2"/>
  <c r="A6320" i="2"/>
  <c r="A6319" i="2"/>
  <c r="A6318" i="2"/>
  <c r="A6317" i="2"/>
  <c r="A6316" i="2"/>
  <c r="A6315" i="2"/>
  <c r="A6314" i="2"/>
  <c r="A6313" i="2"/>
  <c r="A6312" i="2"/>
  <c r="A6311" i="2"/>
  <c r="A6310" i="2"/>
  <c r="A6309" i="2"/>
  <c r="A6308" i="2"/>
  <c r="A6307" i="2"/>
  <c r="A6306" i="2"/>
  <c r="A6305" i="2"/>
  <c r="A6304" i="2"/>
  <c r="A6303" i="2"/>
  <c r="A6302" i="2"/>
  <c r="A6301" i="2"/>
  <c r="A6300" i="2"/>
  <c r="A6299" i="2"/>
  <c r="A6298" i="2"/>
  <c r="A6297" i="2"/>
  <c r="A6296" i="2"/>
  <c r="A6295" i="2"/>
  <c r="A6294" i="2"/>
  <c r="A6293" i="2"/>
  <c r="A6292" i="2"/>
  <c r="A6291" i="2"/>
  <c r="A6290" i="2"/>
  <c r="A6289" i="2"/>
  <c r="A6288" i="2"/>
  <c r="A6287" i="2"/>
  <c r="A6286" i="2"/>
  <c r="A6285" i="2"/>
  <c r="A6284" i="2"/>
  <c r="A6283" i="2"/>
  <c r="A6282" i="2"/>
  <c r="A6281" i="2"/>
  <c r="A6280" i="2"/>
  <c r="A6279" i="2"/>
  <c r="A6278" i="2"/>
  <c r="A6277" i="2"/>
  <c r="A6276" i="2"/>
  <c r="A6275" i="2"/>
  <c r="A6274" i="2"/>
  <c r="A6273" i="2"/>
  <c r="A6272" i="2"/>
  <c r="A6271" i="2"/>
  <c r="A6270" i="2"/>
  <c r="A6269" i="2"/>
  <c r="A6268" i="2"/>
  <c r="A6267" i="2"/>
  <c r="A6266" i="2"/>
  <c r="A6265" i="2"/>
  <c r="A6264" i="2"/>
  <c r="A6263" i="2"/>
  <c r="A6262" i="2"/>
  <c r="A6261" i="2"/>
  <c r="A6260" i="2"/>
  <c r="A6259" i="2"/>
  <c r="A6258" i="2"/>
  <c r="A6257" i="2"/>
  <c r="A6256" i="2"/>
  <c r="A6255" i="2"/>
  <c r="A6254" i="2"/>
  <c r="A6253" i="2"/>
  <c r="A6252" i="2"/>
  <c r="A6251" i="2"/>
  <c r="A6250" i="2"/>
  <c r="A6249" i="2"/>
  <c r="A6248" i="2"/>
  <c r="A6247" i="2"/>
  <c r="A6246" i="2"/>
  <c r="A6245" i="2"/>
  <c r="A6244" i="2"/>
  <c r="A6243" i="2"/>
  <c r="A6242" i="2"/>
  <c r="A6241" i="2"/>
  <c r="A6240" i="2"/>
  <c r="A6239" i="2"/>
  <c r="A6238" i="2"/>
  <c r="A6237" i="2"/>
  <c r="A6236" i="2"/>
  <c r="A6235" i="2"/>
  <c r="A6234" i="2"/>
  <c r="A6233" i="2"/>
  <c r="A6232" i="2"/>
  <c r="A6231" i="2"/>
  <c r="A6230" i="2"/>
  <c r="A6229" i="2"/>
  <c r="A6228" i="2"/>
  <c r="A6227" i="2"/>
  <c r="A6226" i="2"/>
  <c r="A6225" i="2"/>
  <c r="A6224" i="2"/>
  <c r="A6223" i="2"/>
  <c r="A6222" i="2"/>
  <c r="A6221" i="2"/>
  <c r="A6220" i="2"/>
  <c r="A6219" i="2"/>
  <c r="A6218" i="2"/>
  <c r="A6217" i="2"/>
  <c r="A6216" i="2"/>
  <c r="A6215" i="2"/>
  <c r="A6214" i="2"/>
  <c r="A6213" i="2"/>
  <c r="A6212" i="2"/>
  <c r="A6211" i="2"/>
  <c r="A6210" i="2"/>
  <c r="A6209" i="2"/>
  <c r="A6208" i="2"/>
  <c r="A6207" i="2"/>
  <c r="A6206" i="2"/>
  <c r="A6205" i="2"/>
  <c r="A6204" i="2"/>
  <c r="A6203" i="2"/>
  <c r="A6202" i="2"/>
  <c r="A6201" i="2"/>
  <c r="A6200" i="2"/>
  <c r="A6199" i="2"/>
  <c r="A6198" i="2"/>
  <c r="A6197" i="2"/>
  <c r="A6196" i="2"/>
  <c r="A6195" i="2"/>
  <c r="A6194" i="2"/>
  <c r="A6193" i="2"/>
  <c r="A6192" i="2"/>
  <c r="A6191" i="2"/>
  <c r="A6190" i="2"/>
  <c r="A6189" i="2"/>
  <c r="A6188" i="2"/>
  <c r="A6187" i="2"/>
  <c r="A6186" i="2"/>
  <c r="A6185" i="2"/>
  <c r="A6184" i="2"/>
  <c r="A6183" i="2"/>
  <c r="A6182" i="2"/>
  <c r="A6181" i="2"/>
  <c r="A6180" i="2"/>
  <c r="A6179" i="2"/>
  <c r="A6178" i="2"/>
  <c r="A6177" i="2"/>
  <c r="A6176" i="2"/>
  <c r="A6175" i="2"/>
  <c r="A6174" i="2"/>
  <c r="A6173" i="2"/>
  <c r="A6172" i="2"/>
  <c r="A6171" i="2"/>
  <c r="A6170" i="2"/>
  <c r="A6169" i="2"/>
  <c r="A6168" i="2"/>
  <c r="A6167" i="2"/>
  <c r="A6166" i="2"/>
  <c r="A6165" i="2"/>
  <c r="A6164" i="2"/>
  <c r="A6163" i="2"/>
  <c r="A6162" i="2"/>
  <c r="A6161" i="2"/>
  <c r="A6160" i="2"/>
  <c r="A6159" i="2"/>
  <c r="A6158" i="2"/>
  <c r="A6157" i="2"/>
  <c r="A6156" i="2"/>
  <c r="A6155" i="2"/>
  <c r="A6154" i="2"/>
  <c r="A6153" i="2"/>
  <c r="A6152" i="2"/>
  <c r="A6151" i="2"/>
  <c r="A6150" i="2"/>
  <c r="A6149" i="2"/>
  <c r="A6148" i="2"/>
  <c r="A6147" i="2"/>
  <c r="A6146" i="2"/>
  <c r="A6145" i="2"/>
  <c r="A6144" i="2"/>
  <c r="A6143" i="2"/>
  <c r="A6142" i="2"/>
  <c r="A6141" i="2"/>
  <c r="A6140" i="2"/>
  <c r="A6139" i="2"/>
  <c r="A6138" i="2"/>
  <c r="A6137" i="2"/>
  <c r="A6136" i="2"/>
  <c r="A6135" i="2"/>
  <c r="A6134" i="2"/>
  <c r="A6133" i="2"/>
  <c r="A6132" i="2"/>
  <c r="A6131" i="2"/>
  <c r="A6130" i="2"/>
  <c r="A6129" i="2"/>
  <c r="A6128" i="2"/>
  <c r="A6127" i="2"/>
  <c r="A6126" i="2"/>
  <c r="A6125" i="2"/>
  <c r="A6124" i="2"/>
  <c r="A6123" i="2"/>
  <c r="A6122" i="2"/>
  <c r="A6121" i="2"/>
  <c r="A6120" i="2"/>
  <c r="A6119" i="2"/>
  <c r="A6118" i="2"/>
  <c r="A6117" i="2"/>
  <c r="A6116" i="2"/>
  <c r="A6115" i="2"/>
  <c r="A6114" i="2"/>
  <c r="A6113" i="2"/>
  <c r="A6112" i="2"/>
  <c r="A6111" i="2"/>
  <c r="A6110" i="2"/>
  <c r="A6109" i="2"/>
  <c r="A6108" i="2"/>
  <c r="A6107" i="2"/>
  <c r="A6106" i="2"/>
  <c r="A6105" i="2"/>
  <c r="A6104" i="2"/>
  <c r="A6103" i="2"/>
  <c r="A6102" i="2"/>
  <c r="A6101" i="2"/>
  <c r="A6100" i="2"/>
  <c r="A6099" i="2"/>
  <c r="A6098" i="2"/>
  <c r="A6097" i="2"/>
  <c r="A6096" i="2"/>
  <c r="A6095" i="2"/>
  <c r="A6094" i="2"/>
  <c r="A6093" i="2"/>
  <c r="A6092" i="2"/>
  <c r="A6091" i="2"/>
  <c r="A6090" i="2"/>
  <c r="A6089" i="2"/>
  <c r="A6088" i="2"/>
  <c r="A6087" i="2"/>
  <c r="A6086" i="2"/>
  <c r="A6085" i="2"/>
  <c r="A6084" i="2"/>
  <c r="A6083" i="2"/>
  <c r="A6082" i="2"/>
  <c r="A6081" i="2"/>
  <c r="A6080" i="2"/>
  <c r="A6079" i="2"/>
  <c r="A6078" i="2"/>
  <c r="A6077" i="2"/>
  <c r="A6076" i="2"/>
  <c r="A6075" i="2"/>
  <c r="A6074" i="2"/>
  <c r="A6073" i="2"/>
  <c r="A6072" i="2"/>
  <c r="A6071" i="2"/>
  <c r="A6070" i="2"/>
  <c r="A6069" i="2"/>
  <c r="A6068" i="2"/>
  <c r="A6067" i="2"/>
  <c r="A6066" i="2"/>
  <c r="A6065" i="2"/>
  <c r="A6064" i="2"/>
  <c r="A6063" i="2"/>
  <c r="A6062" i="2"/>
  <c r="A6061" i="2"/>
  <c r="A6060" i="2"/>
  <c r="A6059" i="2"/>
  <c r="A6058" i="2"/>
  <c r="A6057" i="2"/>
  <c r="A6056" i="2"/>
  <c r="A6055" i="2"/>
  <c r="A6054" i="2"/>
  <c r="A6053" i="2"/>
  <c r="A6052" i="2"/>
  <c r="A6051" i="2"/>
  <c r="A6050" i="2"/>
  <c r="A6049" i="2"/>
  <c r="A6048" i="2"/>
  <c r="A6047" i="2"/>
  <c r="A6046" i="2"/>
  <c r="A6045" i="2"/>
  <c r="A6044" i="2"/>
  <c r="A6043" i="2"/>
  <c r="A6042" i="2"/>
  <c r="A6041" i="2"/>
  <c r="A6040" i="2"/>
  <c r="A6039" i="2"/>
  <c r="A6038" i="2"/>
  <c r="A6037" i="2"/>
  <c r="A6036" i="2"/>
  <c r="A6035" i="2"/>
  <c r="A6034" i="2"/>
  <c r="A6033" i="2"/>
  <c r="A6032" i="2"/>
  <c r="A6031" i="2"/>
  <c r="A6030" i="2"/>
  <c r="A6029" i="2"/>
  <c r="A6028" i="2"/>
  <c r="A6027" i="2"/>
  <c r="A6026" i="2"/>
  <c r="A6025" i="2"/>
  <c r="A6024" i="2"/>
  <c r="A6023" i="2"/>
  <c r="A6022" i="2"/>
  <c r="A6021" i="2"/>
  <c r="A6020" i="2"/>
  <c r="A6019" i="2"/>
  <c r="A6018" i="2"/>
  <c r="A6017" i="2"/>
  <c r="A6016" i="2"/>
  <c r="A6015" i="2"/>
  <c r="A6014" i="2"/>
  <c r="A6013" i="2"/>
  <c r="A6012" i="2"/>
  <c r="A6011" i="2"/>
  <c r="A6010" i="2"/>
  <c r="A6009" i="2"/>
  <c r="A6008" i="2"/>
  <c r="A6007" i="2"/>
  <c r="A6006" i="2"/>
  <c r="A6005" i="2"/>
  <c r="A6004" i="2"/>
  <c r="A6003" i="2"/>
  <c r="A6002" i="2"/>
  <c r="A6001" i="2"/>
  <c r="A6000" i="2"/>
  <c r="A5999" i="2"/>
  <c r="A5998" i="2"/>
  <c r="A5997" i="2"/>
  <c r="A5996" i="2"/>
  <c r="A5995" i="2"/>
  <c r="A5994" i="2"/>
  <c r="A5993" i="2"/>
  <c r="A5992" i="2"/>
  <c r="A5991" i="2"/>
  <c r="A5990" i="2"/>
  <c r="A5989" i="2"/>
  <c r="A5988" i="2"/>
  <c r="A5987" i="2"/>
  <c r="A5986" i="2"/>
  <c r="A5985" i="2"/>
  <c r="A5984" i="2"/>
  <c r="A5983" i="2"/>
  <c r="A5982" i="2"/>
  <c r="A5981" i="2"/>
  <c r="A5980" i="2"/>
  <c r="A5979" i="2"/>
  <c r="A5978" i="2"/>
  <c r="A5977" i="2"/>
  <c r="A5976" i="2"/>
  <c r="A5975" i="2"/>
  <c r="A5974" i="2"/>
  <c r="A5973" i="2"/>
  <c r="A5972" i="2"/>
  <c r="A5971" i="2"/>
  <c r="A5970" i="2"/>
  <c r="A5969" i="2"/>
  <c r="A5968" i="2"/>
  <c r="A5967" i="2"/>
  <c r="A5966" i="2"/>
  <c r="A5965" i="2"/>
  <c r="A5964" i="2"/>
  <c r="A5963" i="2"/>
  <c r="A5962" i="2"/>
  <c r="A5961" i="2"/>
  <c r="A5960" i="2"/>
  <c r="A5959" i="2"/>
  <c r="A5958" i="2"/>
  <c r="A5957" i="2"/>
  <c r="A5956" i="2"/>
  <c r="A5955" i="2"/>
  <c r="A5954" i="2"/>
  <c r="A5953" i="2"/>
  <c r="A5952" i="2"/>
  <c r="A5951" i="2"/>
  <c r="A5950" i="2"/>
  <c r="A5949" i="2"/>
  <c r="A5948" i="2"/>
  <c r="A5947" i="2"/>
  <c r="A5946" i="2"/>
  <c r="A5945" i="2"/>
  <c r="A5944" i="2"/>
  <c r="A5943" i="2"/>
  <c r="A5942" i="2"/>
  <c r="A5941" i="2"/>
  <c r="A5940" i="2"/>
  <c r="A5939" i="2"/>
  <c r="A5938" i="2"/>
  <c r="A5937" i="2"/>
  <c r="A5936" i="2"/>
  <c r="A5935" i="2"/>
  <c r="A5934" i="2"/>
  <c r="A5933" i="2"/>
  <c r="A5932" i="2"/>
  <c r="A5931" i="2"/>
  <c r="A5930" i="2"/>
  <c r="A5929" i="2"/>
  <c r="A5928" i="2"/>
  <c r="A5927" i="2"/>
  <c r="A5926" i="2"/>
  <c r="A5925" i="2"/>
  <c r="A5924" i="2"/>
  <c r="A5923" i="2"/>
  <c r="A5922" i="2"/>
  <c r="A5921" i="2"/>
  <c r="A5920" i="2"/>
  <c r="A5919" i="2"/>
  <c r="A5918" i="2"/>
  <c r="A5917" i="2"/>
  <c r="A5916" i="2"/>
  <c r="A5915" i="2"/>
  <c r="A5914" i="2"/>
  <c r="A5913" i="2"/>
  <c r="A5912" i="2"/>
  <c r="A5911" i="2"/>
  <c r="A5910" i="2"/>
  <c r="A5909" i="2"/>
  <c r="A5908" i="2"/>
  <c r="A5907" i="2"/>
  <c r="A5906" i="2"/>
  <c r="A5905" i="2"/>
  <c r="A5904" i="2"/>
  <c r="A5903" i="2"/>
  <c r="A5902" i="2"/>
  <c r="A5901" i="2"/>
  <c r="A5900" i="2"/>
  <c r="A5899" i="2"/>
  <c r="A5898" i="2"/>
  <c r="A5897" i="2"/>
  <c r="A5896" i="2"/>
  <c r="A5895" i="2"/>
  <c r="A5894" i="2"/>
  <c r="A5893" i="2"/>
  <c r="A5892" i="2"/>
  <c r="A5891" i="2"/>
  <c r="A5890" i="2"/>
  <c r="A5889" i="2"/>
  <c r="A5888" i="2"/>
  <c r="A5887" i="2"/>
  <c r="A5886" i="2"/>
  <c r="A5885" i="2"/>
  <c r="A5884" i="2"/>
  <c r="A5883" i="2"/>
  <c r="A5882" i="2"/>
  <c r="A5881" i="2"/>
  <c r="A5880" i="2"/>
  <c r="A5879" i="2"/>
  <c r="A5878" i="2"/>
  <c r="A5877" i="2"/>
  <c r="A5876" i="2"/>
  <c r="A5875" i="2"/>
  <c r="A5874" i="2"/>
  <c r="A5873" i="2"/>
  <c r="A5872" i="2"/>
  <c r="A5871" i="2"/>
  <c r="A5870" i="2"/>
  <c r="A5869" i="2"/>
  <c r="A5868" i="2"/>
  <c r="A5867" i="2"/>
  <c r="A5866" i="2"/>
  <c r="A5865" i="2"/>
  <c r="A5864" i="2"/>
  <c r="A5863" i="2"/>
  <c r="A5862" i="2"/>
  <c r="A5861" i="2"/>
  <c r="A5860" i="2"/>
  <c r="A5859" i="2"/>
  <c r="A5858" i="2"/>
  <c r="A5857" i="2"/>
  <c r="A5856" i="2"/>
  <c r="A5855" i="2"/>
  <c r="A5854" i="2"/>
  <c r="A5853" i="2"/>
  <c r="A5852" i="2"/>
  <c r="A5851" i="2"/>
  <c r="A5850" i="2"/>
  <c r="A5849" i="2"/>
  <c r="A5848" i="2"/>
  <c r="A5847" i="2"/>
  <c r="A5846" i="2"/>
  <c r="A5845" i="2"/>
  <c r="A5844" i="2"/>
  <c r="A5843" i="2"/>
  <c r="A5842" i="2"/>
  <c r="A5841" i="2"/>
  <c r="A5840" i="2"/>
  <c r="A5839" i="2"/>
  <c r="A5838" i="2"/>
  <c r="A5837" i="2"/>
  <c r="A5836" i="2"/>
  <c r="A5835" i="2"/>
  <c r="A5834" i="2"/>
  <c r="A5833" i="2"/>
  <c r="A5832" i="2"/>
  <c r="A5831" i="2"/>
  <c r="A5830" i="2"/>
  <c r="A5829" i="2"/>
  <c r="A5828" i="2"/>
  <c r="A5827" i="2"/>
  <c r="A5826" i="2"/>
  <c r="A5825" i="2"/>
  <c r="A5824" i="2"/>
  <c r="A5823" i="2"/>
  <c r="A5822" i="2"/>
  <c r="A5821" i="2"/>
  <c r="A5820" i="2"/>
  <c r="A5819" i="2"/>
  <c r="A5818" i="2"/>
  <c r="A5817" i="2"/>
  <c r="A5816" i="2"/>
  <c r="A5815" i="2"/>
  <c r="A5814" i="2"/>
  <c r="A5813" i="2"/>
  <c r="A5812" i="2"/>
  <c r="A5811" i="2"/>
  <c r="A5810" i="2"/>
  <c r="A5809" i="2"/>
  <c r="A5808" i="2"/>
  <c r="A5807" i="2"/>
  <c r="A5806" i="2"/>
  <c r="A5805" i="2"/>
  <c r="A5804" i="2"/>
  <c r="A5803" i="2"/>
  <c r="A5802" i="2"/>
  <c r="A5801" i="2"/>
  <c r="A5800" i="2"/>
  <c r="A5799" i="2"/>
  <c r="A5798" i="2"/>
  <c r="A5797" i="2"/>
  <c r="A5796" i="2"/>
  <c r="A5795" i="2"/>
  <c r="A5794" i="2"/>
  <c r="A5793" i="2"/>
  <c r="A5792" i="2"/>
  <c r="A5791" i="2"/>
  <c r="A5790" i="2"/>
  <c r="A5789" i="2"/>
  <c r="A5788" i="2"/>
  <c r="A5787" i="2"/>
  <c r="A5786" i="2"/>
  <c r="A5785" i="2"/>
  <c r="A5784" i="2"/>
  <c r="A5783" i="2"/>
  <c r="A5782" i="2"/>
  <c r="A5781" i="2"/>
  <c r="A5780" i="2"/>
  <c r="A5779" i="2"/>
  <c r="A5778" i="2"/>
  <c r="A5777" i="2"/>
  <c r="A5776" i="2"/>
  <c r="A5775" i="2"/>
  <c r="A5774" i="2"/>
  <c r="A5773" i="2"/>
  <c r="A5772" i="2"/>
  <c r="A5771" i="2"/>
  <c r="A5770" i="2"/>
  <c r="A5769" i="2"/>
  <c r="A5768" i="2"/>
  <c r="A5767" i="2"/>
  <c r="A5766" i="2"/>
  <c r="A5765" i="2"/>
  <c r="A5764" i="2"/>
  <c r="A5763" i="2"/>
  <c r="A5762" i="2"/>
  <c r="A5761" i="2"/>
  <c r="A5760" i="2"/>
  <c r="A5759" i="2"/>
  <c r="A5758" i="2"/>
  <c r="A5757" i="2"/>
  <c r="A5756" i="2"/>
  <c r="A5755" i="2"/>
  <c r="A5754" i="2"/>
  <c r="A5753" i="2"/>
  <c r="A5752" i="2"/>
  <c r="A5751" i="2"/>
  <c r="A5750" i="2"/>
  <c r="A5749" i="2"/>
  <c r="A5748" i="2"/>
  <c r="A5747" i="2"/>
  <c r="A5746" i="2"/>
  <c r="A5745" i="2"/>
  <c r="A5744" i="2"/>
  <c r="A5743" i="2"/>
  <c r="A5742" i="2"/>
  <c r="A5741" i="2"/>
  <c r="A5740" i="2"/>
  <c r="A5739" i="2"/>
  <c r="A5738" i="2"/>
  <c r="A5737" i="2"/>
  <c r="A5736" i="2"/>
  <c r="A5735" i="2"/>
  <c r="A5734" i="2"/>
  <c r="A5733" i="2"/>
  <c r="A5732" i="2"/>
  <c r="A5731" i="2"/>
  <c r="A5730" i="2"/>
  <c r="A5729" i="2"/>
  <c r="A5728" i="2"/>
  <c r="A5727" i="2"/>
  <c r="A5726" i="2"/>
  <c r="A5725" i="2"/>
  <c r="A5724" i="2"/>
  <c r="A5723" i="2"/>
  <c r="A5722" i="2"/>
  <c r="A5721" i="2"/>
  <c r="A5720" i="2"/>
  <c r="A5719" i="2"/>
  <c r="A5718" i="2"/>
  <c r="A5717" i="2"/>
  <c r="A5716" i="2"/>
  <c r="A5715" i="2"/>
  <c r="A5714" i="2"/>
  <c r="A5713" i="2"/>
  <c r="A5712" i="2"/>
  <c r="A5711" i="2"/>
  <c r="A5710" i="2"/>
  <c r="A5709" i="2"/>
  <c r="A5708" i="2"/>
  <c r="A5707" i="2"/>
  <c r="A5706" i="2"/>
  <c r="A5705" i="2"/>
  <c r="A5704" i="2"/>
  <c r="A5703" i="2"/>
  <c r="A5702" i="2"/>
  <c r="A5701" i="2"/>
  <c r="A5700" i="2"/>
  <c r="A5699" i="2"/>
  <c r="A5698" i="2"/>
  <c r="A5697" i="2"/>
  <c r="A5696" i="2"/>
  <c r="A5695" i="2"/>
  <c r="A5694" i="2"/>
  <c r="A5693" i="2"/>
  <c r="A5692" i="2"/>
  <c r="A5691" i="2"/>
  <c r="A5690" i="2"/>
  <c r="A5689" i="2"/>
  <c r="A5688" i="2"/>
  <c r="A5687" i="2"/>
  <c r="A5686" i="2"/>
  <c r="A5685" i="2"/>
  <c r="A5684" i="2"/>
  <c r="A5683" i="2"/>
  <c r="A5682" i="2"/>
  <c r="A5681" i="2"/>
  <c r="A5680" i="2"/>
  <c r="A5679" i="2"/>
  <c r="A5678" i="2"/>
  <c r="A5677" i="2"/>
  <c r="A5676" i="2"/>
  <c r="A5675" i="2"/>
  <c r="A5674" i="2"/>
  <c r="A5673" i="2"/>
  <c r="A5672" i="2"/>
  <c r="A5671" i="2"/>
  <c r="A5670" i="2"/>
  <c r="A5669" i="2"/>
  <c r="A5668" i="2"/>
  <c r="A5667" i="2"/>
  <c r="A5666" i="2"/>
  <c r="A5665" i="2"/>
  <c r="A5664" i="2"/>
  <c r="A5663" i="2"/>
  <c r="A5662" i="2"/>
  <c r="A5661" i="2"/>
  <c r="A5660" i="2"/>
  <c r="A5659" i="2"/>
  <c r="A5658" i="2"/>
  <c r="A5657" i="2"/>
  <c r="A5656" i="2"/>
  <c r="A5655" i="2"/>
  <c r="A5654" i="2"/>
  <c r="A5653" i="2"/>
  <c r="A5652" i="2"/>
  <c r="A5651" i="2"/>
  <c r="A5650" i="2"/>
  <c r="A5649" i="2"/>
  <c r="A5648" i="2"/>
  <c r="A5647" i="2"/>
  <c r="A5646" i="2"/>
  <c r="A5645" i="2"/>
  <c r="A5644" i="2"/>
  <c r="A5643" i="2"/>
  <c r="A5642" i="2"/>
  <c r="A5641" i="2"/>
  <c r="A5640" i="2"/>
  <c r="A5639" i="2"/>
  <c r="A5638" i="2"/>
  <c r="A5637" i="2"/>
  <c r="A5636" i="2"/>
  <c r="A5635" i="2"/>
  <c r="A5634" i="2"/>
  <c r="A5633" i="2"/>
  <c r="A5632" i="2"/>
  <c r="A5631" i="2"/>
  <c r="A5630" i="2"/>
  <c r="A5629" i="2"/>
  <c r="A5628" i="2"/>
  <c r="A5627" i="2"/>
  <c r="A5626" i="2"/>
  <c r="A5625" i="2"/>
  <c r="A5624" i="2"/>
  <c r="A5623" i="2"/>
  <c r="A5622" i="2"/>
  <c r="A5621" i="2"/>
  <c r="A5620" i="2"/>
  <c r="A5619" i="2"/>
  <c r="A5618" i="2"/>
  <c r="A5617" i="2"/>
  <c r="A5616" i="2"/>
  <c r="A5615" i="2"/>
  <c r="A5614" i="2"/>
  <c r="A5613" i="2"/>
  <c r="A5612" i="2"/>
  <c r="A5611" i="2"/>
  <c r="A5610" i="2"/>
  <c r="A5609" i="2"/>
  <c r="A5608" i="2"/>
  <c r="A5607" i="2"/>
  <c r="A5606" i="2"/>
  <c r="A5605" i="2"/>
  <c r="A5604" i="2"/>
  <c r="A5603" i="2"/>
  <c r="A5602" i="2"/>
  <c r="A5601" i="2"/>
  <c r="A5600" i="2"/>
  <c r="A5599" i="2"/>
  <c r="A5598" i="2"/>
  <c r="A5597" i="2"/>
  <c r="A5596" i="2"/>
  <c r="A5595" i="2"/>
  <c r="A5594" i="2"/>
  <c r="A5593" i="2"/>
  <c r="A5592" i="2"/>
  <c r="A5591" i="2"/>
  <c r="A5590" i="2"/>
  <c r="A5589" i="2"/>
  <c r="A5588" i="2"/>
  <c r="A5587" i="2"/>
  <c r="A5586" i="2"/>
  <c r="A5585" i="2"/>
  <c r="A5584" i="2"/>
  <c r="A5583" i="2"/>
  <c r="A5582" i="2"/>
  <c r="A5581" i="2"/>
  <c r="A5580" i="2"/>
  <c r="A5579" i="2"/>
  <c r="A5578" i="2"/>
  <c r="A5577" i="2"/>
  <c r="A5576" i="2"/>
  <c r="A5575" i="2"/>
  <c r="A5574" i="2"/>
  <c r="A5573" i="2"/>
  <c r="A5572" i="2"/>
  <c r="A5571" i="2"/>
  <c r="A5570" i="2"/>
  <c r="A5569" i="2"/>
  <c r="A5568" i="2"/>
  <c r="A5567" i="2"/>
  <c r="A5566" i="2"/>
  <c r="A5565" i="2"/>
  <c r="A5564" i="2"/>
  <c r="A5563" i="2"/>
  <c r="A5562" i="2"/>
  <c r="A5561" i="2"/>
  <c r="A5560" i="2"/>
  <c r="A5559" i="2"/>
  <c r="A5558" i="2"/>
  <c r="A5557" i="2"/>
  <c r="A5556" i="2"/>
  <c r="A5555" i="2"/>
  <c r="A5554" i="2"/>
  <c r="A5553" i="2"/>
  <c r="A5552" i="2"/>
  <c r="A5551" i="2"/>
  <c r="A5550" i="2"/>
  <c r="A5549" i="2"/>
  <c r="A5548" i="2"/>
  <c r="A5547" i="2"/>
  <c r="A5546" i="2"/>
  <c r="A5545" i="2"/>
  <c r="A5544" i="2"/>
  <c r="A5543" i="2"/>
  <c r="A5542" i="2"/>
  <c r="A5541" i="2"/>
  <c r="A5540" i="2"/>
  <c r="A5539" i="2"/>
  <c r="A5538" i="2"/>
  <c r="A5537" i="2"/>
  <c r="A5536" i="2"/>
  <c r="A5535" i="2"/>
  <c r="A5534" i="2"/>
  <c r="A5533" i="2"/>
  <c r="A5532" i="2"/>
  <c r="A5531" i="2"/>
  <c r="A5530" i="2"/>
  <c r="A5529" i="2"/>
  <c r="A5528" i="2"/>
  <c r="A5527" i="2"/>
  <c r="A5526" i="2"/>
  <c r="A5525" i="2"/>
  <c r="A5524" i="2"/>
  <c r="A5523" i="2"/>
  <c r="A5522" i="2"/>
  <c r="A5521" i="2"/>
  <c r="A5520" i="2"/>
  <c r="A5519" i="2"/>
  <c r="A5518" i="2"/>
  <c r="A5517" i="2"/>
  <c r="A5516" i="2"/>
  <c r="A5515" i="2"/>
  <c r="A5514" i="2"/>
  <c r="A5513" i="2"/>
  <c r="A5512" i="2"/>
  <c r="A5511" i="2"/>
  <c r="A5510" i="2"/>
  <c r="A5509" i="2"/>
  <c r="A5508" i="2"/>
  <c r="A5507" i="2"/>
  <c r="A5506" i="2"/>
  <c r="A5505" i="2"/>
  <c r="A5504" i="2"/>
  <c r="A5503" i="2"/>
  <c r="A5502" i="2"/>
  <c r="A5501" i="2"/>
  <c r="A5500" i="2"/>
  <c r="A5499" i="2"/>
  <c r="A5498" i="2"/>
  <c r="A5497" i="2"/>
  <c r="A5496" i="2"/>
  <c r="A5495" i="2"/>
  <c r="A5494" i="2"/>
  <c r="A5493" i="2"/>
  <c r="A5492" i="2"/>
  <c r="A5491" i="2"/>
  <c r="A5490" i="2"/>
  <c r="A5489" i="2"/>
  <c r="A5488" i="2"/>
  <c r="A5487" i="2"/>
  <c r="A5486" i="2"/>
  <c r="A5485" i="2"/>
  <c r="A5484" i="2"/>
  <c r="A5483" i="2"/>
  <c r="A5482" i="2"/>
  <c r="A5481" i="2"/>
  <c r="A5480" i="2"/>
  <c r="A5479" i="2"/>
  <c r="A5478" i="2"/>
  <c r="A5477" i="2"/>
  <c r="A5476" i="2"/>
  <c r="A5475" i="2"/>
  <c r="A5474" i="2"/>
  <c r="A5473" i="2"/>
  <c r="A5472" i="2"/>
  <c r="A5471" i="2"/>
  <c r="A5470" i="2"/>
  <c r="A5469" i="2"/>
  <c r="A5468" i="2"/>
  <c r="A5467" i="2"/>
  <c r="A5466" i="2"/>
  <c r="A5465" i="2"/>
  <c r="A5464" i="2"/>
  <c r="A5463" i="2"/>
  <c r="A5462" i="2"/>
  <c r="A5461" i="2"/>
  <c r="A5460" i="2"/>
  <c r="A5459" i="2"/>
  <c r="A5458" i="2"/>
  <c r="A5457" i="2"/>
  <c r="A5456" i="2"/>
  <c r="A5455" i="2"/>
  <c r="A5454" i="2"/>
  <c r="A5453" i="2"/>
  <c r="A5452" i="2"/>
  <c r="A5451" i="2"/>
  <c r="A5450" i="2"/>
  <c r="A5449" i="2"/>
  <c r="A5448" i="2"/>
  <c r="A5447" i="2"/>
  <c r="A5446" i="2"/>
  <c r="A5445" i="2"/>
  <c r="A5444" i="2"/>
  <c r="A5443" i="2"/>
  <c r="A5442" i="2"/>
  <c r="A5441" i="2"/>
  <c r="A5440" i="2"/>
  <c r="A5439" i="2"/>
  <c r="A5438" i="2"/>
  <c r="A5437" i="2"/>
  <c r="A5436" i="2"/>
  <c r="A5435" i="2"/>
  <c r="A5434" i="2"/>
  <c r="A5433" i="2"/>
  <c r="A5432" i="2"/>
  <c r="A5431" i="2"/>
  <c r="A5430" i="2"/>
  <c r="A5429" i="2"/>
  <c r="A5428" i="2"/>
  <c r="A5427" i="2"/>
  <c r="A5426" i="2"/>
  <c r="A5425" i="2"/>
  <c r="A5424" i="2"/>
  <c r="A5423" i="2"/>
  <c r="A5422" i="2"/>
  <c r="A5421" i="2"/>
  <c r="A5420" i="2"/>
  <c r="A5419" i="2"/>
  <c r="A5418" i="2"/>
  <c r="A5417" i="2"/>
  <c r="A5416" i="2"/>
  <c r="A5415" i="2"/>
  <c r="A5414" i="2"/>
  <c r="A5413" i="2"/>
  <c r="A5412" i="2"/>
  <c r="A5411" i="2"/>
  <c r="A5410" i="2"/>
  <c r="A5409" i="2"/>
  <c r="A5408" i="2"/>
  <c r="A5407" i="2"/>
  <c r="A5406" i="2"/>
  <c r="A5405" i="2"/>
  <c r="A5404" i="2"/>
  <c r="A5403" i="2"/>
  <c r="A5402" i="2"/>
  <c r="A5401" i="2"/>
  <c r="A5400" i="2"/>
  <c r="A5399" i="2"/>
  <c r="A5398" i="2"/>
  <c r="A5397" i="2"/>
  <c r="A5396" i="2"/>
  <c r="A5395" i="2"/>
  <c r="A5394" i="2"/>
  <c r="A5393" i="2"/>
  <c r="A5392" i="2"/>
  <c r="A5391" i="2"/>
  <c r="A5390" i="2"/>
  <c r="A5389" i="2"/>
  <c r="A5388" i="2"/>
  <c r="A5387" i="2"/>
  <c r="A5386" i="2"/>
  <c r="A5385" i="2"/>
  <c r="A5384" i="2"/>
  <c r="A5383" i="2"/>
  <c r="A5382" i="2"/>
  <c r="A5381" i="2"/>
  <c r="A5380" i="2"/>
  <c r="A5379" i="2"/>
  <c r="A5378" i="2"/>
  <c r="A5377" i="2"/>
  <c r="A5376" i="2"/>
  <c r="A5375" i="2"/>
  <c r="A5374" i="2"/>
  <c r="A5373" i="2"/>
  <c r="A5372" i="2"/>
  <c r="A5371" i="2"/>
  <c r="A5370" i="2"/>
  <c r="A5369" i="2"/>
  <c r="A5368" i="2"/>
  <c r="A5367" i="2"/>
  <c r="A5366" i="2"/>
  <c r="A5365" i="2"/>
  <c r="A5364" i="2"/>
  <c r="A5363" i="2"/>
  <c r="A5362" i="2"/>
  <c r="A5361" i="2"/>
  <c r="A5360" i="2"/>
  <c r="A5359" i="2"/>
  <c r="A5358" i="2"/>
  <c r="A5357" i="2"/>
  <c r="A5356" i="2"/>
  <c r="A5355" i="2"/>
  <c r="A5354" i="2"/>
  <c r="A5353" i="2"/>
  <c r="A5352" i="2"/>
  <c r="A5351" i="2"/>
  <c r="A5350" i="2"/>
  <c r="A5349" i="2"/>
  <c r="A5348" i="2"/>
  <c r="A5347" i="2"/>
  <c r="A5346" i="2"/>
  <c r="A5345" i="2"/>
  <c r="A5344" i="2"/>
  <c r="A5343" i="2"/>
  <c r="A5342" i="2"/>
  <c r="A5341" i="2"/>
  <c r="A5340" i="2"/>
  <c r="A5339" i="2"/>
  <c r="A5338" i="2"/>
  <c r="A5337" i="2"/>
  <c r="A5336" i="2"/>
  <c r="A5335" i="2"/>
  <c r="A5334" i="2"/>
  <c r="A5333" i="2"/>
  <c r="A5332" i="2"/>
  <c r="A5331" i="2"/>
  <c r="A5330" i="2"/>
  <c r="A5329" i="2"/>
  <c r="A5328" i="2"/>
  <c r="A5327" i="2"/>
  <c r="A5326" i="2"/>
  <c r="A5325" i="2"/>
  <c r="A5324" i="2"/>
  <c r="A5323" i="2"/>
  <c r="A5322" i="2"/>
  <c r="A5321" i="2"/>
  <c r="A5320" i="2"/>
  <c r="A5319" i="2"/>
  <c r="A5318" i="2"/>
  <c r="A5317" i="2"/>
  <c r="A5316" i="2"/>
  <c r="A5315" i="2"/>
  <c r="A5314" i="2"/>
  <c r="A5313" i="2"/>
  <c r="A5312" i="2"/>
  <c r="A5311" i="2"/>
  <c r="A5310" i="2"/>
  <c r="A5309" i="2"/>
  <c r="A5308" i="2"/>
  <c r="A5307" i="2"/>
  <c r="A5306" i="2"/>
  <c r="A5305" i="2"/>
  <c r="A5304" i="2"/>
  <c r="A5303" i="2"/>
  <c r="A5302" i="2"/>
  <c r="A5301" i="2"/>
  <c r="A5300" i="2"/>
  <c r="A5299" i="2"/>
  <c r="A5298" i="2"/>
  <c r="A5297" i="2"/>
  <c r="A5296" i="2"/>
  <c r="A5295" i="2"/>
  <c r="A5294" i="2"/>
  <c r="A5293" i="2"/>
  <c r="A5292" i="2"/>
  <c r="A5291" i="2"/>
  <c r="A5290" i="2"/>
  <c r="A5289" i="2"/>
  <c r="A5288" i="2"/>
  <c r="A5287" i="2"/>
  <c r="A5286" i="2"/>
  <c r="A5285" i="2"/>
  <c r="A5284" i="2"/>
  <c r="A5283" i="2"/>
  <c r="A5282" i="2"/>
  <c r="A5281" i="2"/>
  <c r="A5280" i="2"/>
  <c r="A5279" i="2"/>
  <c r="A5278" i="2"/>
  <c r="A5277" i="2"/>
  <c r="A5276" i="2"/>
  <c r="A5275" i="2"/>
  <c r="A5274" i="2"/>
  <c r="A5273" i="2"/>
  <c r="A5272" i="2"/>
  <c r="A5271" i="2"/>
  <c r="A5270" i="2"/>
  <c r="A5269" i="2"/>
  <c r="A5268" i="2"/>
  <c r="A5267" i="2"/>
  <c r="A5266" i="2"/>
  <c r="A5265" i="2"/>
  <c r="A5264" i="2"/>
  <c r="A5263" i="2"/>
  <c r="A5262" i="2"/>
  <c r="A5261" i="2"/>
  <c r="A5260" i="2"/>
  <c r="A5259" i="2"/>
  <c r="A5258" i="2"/>
  <c r="A5257" i="2"/>
  <c r="A5256" i="2"/>
  <c r="A5255" i="2"/>
  <c r="A5254" i="2"/>
  <c r="A5253" i="2"/>
  <c r="A5252" i="2"/>
  <c r="A5251" i="2"/>
  <c r="A5250" i="2"/>
  <c r="A5249" i="2"/>
  <c r="A5248" i="2"/>
  <c r="A5247" i="2"/>
  <c r="A5246" i="2"/>
  <c r="A5245" i="2"/>
  <c r="A5244" i="2"/>
  <c r="A5243" i="2"/>
  <c r="A5242" i="2"/>
  <c r="A5241" i="2"/>
  <c r="A5240" i="2"/>
  <c r="A5239" i="2"/>
  <c r="A5238" i="2"/>
  <c r="A5237" i="2"/>
  <c r="A5236" i="2"/>
  <c r="A5235" i="2"/>
  <c r="A5234" i="2"/>
  <c r="A5233" i="2"/>
  <c r="A5232" i="2"/>
  <c r="A5231" i="2"/>
  <c r="A5230" i="2"/>
  <c r="A5229" i="2"/>
  <c r="A5228" i="2"/>
  <c r="A5227" i="2"/>
  <c r="A5226" i="2"/>
  <c r="A5225" i="2"/>
  <c r="A5224" i="2"/>
  <c r="A5223" i="2"/>
  <c r="A5222" i="2"/>
  <c r="A5221" i="2"/>
  <c r="A5220" i="2"/>
  <c r="A5219" i="2"/>
  <c r="A5218" i="2"/>
  <c r="A5217" i="2"/>
  <c r="A5216" i="2"/>
  <c r="A5215" i="2"/>
  <c r="A5214" i="2"/>
  <c r="A5213" i="2"/>
  <c r="A5212" i="2"/>
  <c r="A5211" i="2"/>
  <c r="A5210" i="2"/>
  <c r="A5209" i="2"/>
  <c r="A5208" i="2"/>
  <c r="A5207" i="2"/>
  <c r="A5206" i="2"/>
  <c r="A5205" i="2"/>
  <c r="A5204" i="2"/>
  <c r="A5203" i="2"/>
  <c r="A5202" i="2"/>
  <c r="A5201" i="2"/>
  <c r="A5200" i="2"/>
  <c r="A5199" i="2"/>
  <c r="A5198" i="2"/>
  <c r="A5197" i="2"/>
  <c r="A5196" i="2"/>
  <c r="A5195" i="2"/>
  <c r="A5194" i="2"/>
  <c r="A5193" i="2"/>
  <c r="A5192" i="2"/>
  <c r="A5191" i="2"/>
  <c r="A5190" i="2"/>
  <c r="A5189" i="2"/>
  <c r="A5188" i="2"/>
  <c r="A5187" i="2"/>
  <c r="A5186" i="2"/>
  <c r="A5185" i="2"/>
  <c r="A5184" i="2"/>
  <c r="A5183" i="2"/>
  <c r="A5182" i="2"/>
  <c r="A5181" i="2"/>
  <c r="A5180" i="2"/>
  <c r="A5179" i="2"/>
  <c r="A5178" i="2"/>
  <c r="A5177" i="2"/>
  <c r="A5176" i="2"/>
  <c r="A5175" i="2"/>
  <c r="A5174" i="2"/>
  <c r="A5173" i="2"/>
  <c r="A5172" i="2"/>
  <c r="A5171" i="2"/>
  <c r="A5170" i="2"/>
  <c r="A5169" i="2"/>
  <c r="A5168" i="2"/>
  <c r="A5167" i="2"/>
  <c r="A5166" i="2"/>
  <c r="A5165" i="2"/>
  <c r="A5164" i="2"/>
  <c r="A5163" i="2"/>
  <c r="A5162" i="2"/>
  <c r="A5161" i="2"/>
  <c r="A5160" i="2"/>
  <c r="A5159" i="2"/>
  <c r="A5158" i="2"/>
  <c r="A5157" i="2"/>
  <c r="A5156" i="2"/>
  <c r="A5155" i="2"/>
  <c r="A5154" i="2"/>
  <c r="A5153" i="2"/>
  <c r="A5152" i="2"/>
  <c r="A5151" i="2"/>
  <c r="A5150" i="2"/>
  <c r="A5149" i="2"/>
  <c r="A5148" i="2"/>
  <c r="A5147" i="2"/>
  <c r="A5146" i="2"/>
  <c r="A5145" i="2"/>
  <c r="A5144" i="2"/>
  <c r="A5143" i="2"/>
  <c r="A5142" i="2"/>
  <c r="A5141" i="2"/>
  <c r="A5140" i="2"/>
  <c r="A5139" i="2"/>
  <c r="A5138" i="2"/>
  <c r="A5137" i="2"/>
  <c r="A5136" i="2"/>
  <c r="A5135" i="2"/>
  <c r="A5134" i="2"/>
  <c r="A5133" i="2"/>
  <c r="A5132" i="2"/>
  <c r="A5131" i="2"/>
  <c r="A5130" i="2"/>
  <c r="A5129" i="2"/>
  <c r="A5128" i="2"/>
  <c r="A5127" i="2"/>
  <c r="A5126" i="2"/>
  <c r="A5125" i="2"/>
  <c r="A5124" i="2"/>
  <c r="A5123" i="2"/>
  <c r="A5122" i="2"/>
  <c r="A5121" i="2"/>
  <c r="A5120" i="2"/>
  <c r="A5119" i="2"/>
  <c r="A5118" i="2"/>
  <c r="A5117" i="2"/>
  <c r="A5116" i="2"/>
  <c r="A5115" i="2"/>
  <c r="A5114" i="2"/>
  <c r="A5113" i="2"/>
  <c r="A5112" i="2"/>
  <c r="A5111" i="2"/>
  <c r="A5110" i="2"/>
  <c r="A5109" i="2"/>
  <c r="A5108" i="2"/>
  <c r="A5107" i="2"/>
  <c r="A5106" i="2"/>
  <c r="A5105" i="2"/>
  <c r="A5104" i="2"/>
  <c r="A5103" i="2"/>
  <c r="A5102" i="2"/>
  <c r="A5101" i="2"/>
  <c r="A5100" i="2"/>
  <c r="A5099" i="2"/>
  <c r="A5098" i="2"/>
  <c r="A5097" i="2"/>
  <c r="A5096" i="2"/>
  <c r="A5095" i="2"/>
  <c r="A5094" i="2"/>
  <c r="A5093" i="2"/>
  <c r="A5092" i="2"/>
  <c r="A5091" i="2"/>
  <c r="A5090" i="2"/>
  <c r="A5089" i="2"/>
  <c r="A5088" i="2"/>
  <c r="A5087" i="2"/>
  <c r="A5086" i="2"/>
  <c r="A5085" i="2"/>
  <c r="A5084" i="2"/>
  <c r="A5083" i="2"/>
  <c r="A5082" i="2"/>
  <c r="A5081" i="2"/>
  <c r="A5080" i="2"/>
  <c r="A5079" i="2"/>
  <c r="A5078" i="2"/>
  <c r="A5077" i="2"/>
  <c r="A5076" i="2"/>
  <c r="A5075" i="2"/>
  <c r="A5074" i="2"/>
  <c r="A5073" i="2"/>
  <c r="A5072" i="2"/>
  <c r="A5071" i="2"/>
  <c r="A5070" i="2"/>
  <c r="A5069" i="2"/>
  <c r="A5068" i="2"/>
  <c r="A5067" i="2"/>
  <c r="A5066" i="2"/>
  <c r="A5065" i="2"/>
  <c r="A5064" i="2"/>
  <c r="A5063" i="2"/>
  <c r="A5062" i="2"/>
  <c r="A5061" i="2"/>
  <c r="A5060" i="2"/>
  <c r="A5059" i="2"/>
  <c r="A5058" i="2"/>
  <c r="A5057" i="2"/>
  <c r="A5056" i="2"/>
  <c r="A5055" i="2"/>
  <c r="A5054" i="2"/>
  <c r="A5053" i="2"/>
  <c r="A5052" i="2"/>
  <c r="A5051" i="2"/>
  <c r="A5050" i="2"/>
  <c r="A5049" i="2"/>
  <c r="A5048" i="2"/>
  <c r="A5047" i="2"/>
  <c r="A5046" i="2"/>
  <c r="A5045" i="2"/>
  <c r="A5044" i="2"/>
  <c r="A5043" i="2"/>
  <c r="A5042" i="2"/>
  <c r="A5041" i="2"/>
  <c r="A5040" i="2"/>
  <c r="A5039" i="2"/>
  <c r="A5038" i="2"/>
  <c r="A5037" i="2"/>
  <c r="A5036" i="2"/>
  <c r="A5035" i="2"/>
  <c r="A5034" i="2"/>
  <c r="A5033" i="2"/>
  <c r="A5032" i="2"/>
  <c r="A5031" i="2"/>
  <c r="A5030" i="2"/>
  <c r="A5029" i="2"/>
  <c r="A5028" i="2"/>
  <c r="A5027" i="2"/>
  <c r="A5026" i="2"/>
  <c r="A5025" i="2"/>
  <c r="A5024" i="2"/>
  <c r="A5023" i="2"/>
  <c r="A5022" i="2"/>
  <c r="A5021" i="2"/>
  <c r="A5020" i="2"/>
  <c r="A5019" i="2"/>
  <c r="A5018" i="2"/>
  <c r="A5017" i="2"/>
  <c r="A5016" i="2"/>
  <c r="A5015" i="2"/>
  <c r="A5014" i="2"/>
  <c r="A5013" i="2"/>
  <c r="A5012" i="2"/>
  <c r="A5011" i="2"/>
  <c r="A5010" i="2"/>
  <c r="A5009" i="2"/>
  <c r="A5008" i="2"/>
  <c r="A5007" i="2"/>
  <c r="A5006" i="2"/>
  <c r="A5005" i="2"/>
  <c r="A5004" i="2"/>
  <c r="A5003" i="2"/>
  <c r="A5002" i="2"/>
  <c r="A5001" i="2"/>
  <c r="A5000" i="2"/>
  <c r="A4999" i="2"/>
  <c r="A4998" i="2"/>
  <c r="A4997" i="2"/>
  <c r="A4996" i="2"/>
  <c r="A4995" i="2"/>
  <c r="A4994" i="2"/>
  <c r="A4993" i="2"/>
  <c r="A4992" i="2"/>
  <c r="A4991" i="2"/>
  <c r="A4990" i="2"/>
  <c r="A4989" i="2"/>
  <c r="A4988" i="2"/>
  <c r="A4987" i="2"/>
  <c r="A4986" i="2"/>
  <c r="A4985" i="2"/>
  <c r="A4984" i="2"/>
  <c r="A4983" i="2"/>
  <c r="A4982" i="2"/>
  <c r="A4981" i="2"/>
  <c r="A4980" i="2"/>
  <c r="A4979" i="2"/>
  <c r="A4978" i="2"/>
  <c r="A4977" i="2"/>
  <c r="A4976" i="2"/>
  <c r="A4975" i="2"/>
  <c r="A4974" i="2"/>
  <c r="A4973" i="2"/>
  <c r="A4972" i="2"/>
  <c r="A4971" i="2"/>
  <c r="A4970" i="2"/>
  <c r="A4969" i="2"/>
  <c r="A4968" i="2"/>
  <c r="A4967" i="2"/>
  <c r="A4966" i="2"/>
  <c r="A4965" i="2"/>
  <c r="A4964" i="2"/>
  <c r="A4963" i="2"/>
  <c r="A4962" i="2"/>
  <c r="A4961" i="2"/>
  <c r="A4960" i="2"/>
  <c r="A4959" i="2"/>
  <c r="A4958" i="2"/>
  <c r="A4957" i="2"/>
  <c r="A4956" i="2"/>
  <c r="A4955" i="2"/>
  <c r="A4954" i="2"/>
  <c r="A4953" i="2"/>
  <c r="A4952" i="2"/>
  <c r="A4951" i="2"/>
  <c r="A4950" i="2"/>
  <c r="A4949" i="2"/>
  <c r="A4948" i="2"/>
  <c r="A4947" i="2"/>
  <c r="A4946" i="2"/>
  <c r="A4945" i="2"/>
  <c r="A4944" i="2"/>
  <c r="A4943" i="2"/>
  <c r="A4942" i="2"/>
  <c r="A4941" i="2"/>
  <c r="A4940" i="2"/>
  <c r="A4939" i="2"/>
  <c r="A4938" i="2"/>
  <c r="A4937" i="2"/>
  <c r="A4936" i="2"/>
  <c r="A4935" i="2"/>
  <c r="A4934" i="2"/>
  <c r="A4933" i="2"/>
  <c r="A4932" i="2"/>
  <c r="A4931" i="2"/>
  <c r="A4930" i="2"/>
  <c r="A4929" i="2"/>
  <c r="A4928" i="2"/>
  <c r="A4927" i="2"/>
  <c r="A4926" i="2"/>
  <c r="A4925" i="2"/>
  <c r="A4924" i="2"/>
  <c r="A4923" i="2"/>
  <c r="A4922" i="2"/>
  <c r="A4921" i="2"/>
  <c r="A4920" i="2"/>
  <c r="A4919" i="2"/>
  <c r="A4918" i="2"/>
  <c r="A4917" i="2"/>
  <c r="A4916" i="2"/>
  <c r="A4915" i="2"/>
  <c r="A4914" i="2"/>
  <c r="A4913" i="2"/>
  <c r="A4912" i="2"/>
  <c r="A4911" i="2"/>
  <c r="A4910" i="2"/>
  <c r="A4909" i="2"/>
  <c r="A4908" i="2"/>
  <c r="A4907" i="2"/>
  <c r="A4906" i="2"/>
  <c r="A4905" i="2"/>
  <c r="A4904" i="2"/>
  <c r="A4903" i="2"/>
  <c r="A4902" i="2"/>
  <c r="A4901" i="2"/>
  <c r="A4900" i="2"/>
  <c r="A4899" i="2"/>
  <c r="A4898" i="2"/>
  <c r="A4897" i="2"/>
  <c r="A4896" i="2"/>
  <c r="A4895" i="2"/>
  <c r="A4894" i="2"/>
  <c r="A4893" i="2"/>
  <c r="A4892" i="2"/>
  <c r="A4891" i="2"/>
  <c r="A4890" i="2"/>
  <c r="A4889" i="2"/>
  <c r="A4888" i="2"/>
  <c r="A4887" i="2"/>
  <c r="A4886" i="2"/>
  <c r="A4885" i="2"/>
  <c r="A4884" i="2"/>
  <c r="A4883" i="2"/>
  <c r="A4882" i="2"/>
  <c r="A4881" i="2"/>
  <c r="A4880" i="2"/>
  <c r="A4879" i="2"/>
  <c r="A4878" i="2"/>
  <c r="A4877" i="2"/>
  <c r="A4876" i="2"/>
  <c r="A4875" i="2"/>
  <c r="A4874" i="2"/>
  <c r="A4873" i="2"/>
  <c r="A4872" i="2"/>
  <c r="A4871" i="2"/>
  <c r="A4870" i="2"/>
  <c r="A4869" i="2"/>
  <c r="A4868" i="2"/>
  <c r="A4867" i="2"/>
  <c r="A4866" i="2"/>
  <c r="A4865" i="2"/>
  <c r="A4864" i="2"/>
  <c r="A4863" i="2"/>
  <c r="A4862" i="2"/>
  <c r="A4861" i="2"/>
  <c r="A4860" i="2"/>
  <c r="A4859" i="2"/>
  <c r="A4858" i="2"/>
  <c r="A4857" i="2"/>
  <c r="A4856" i="2"/>
  <c r="A4855" i="2"/>
  <c r="A4854" i="2"/>
  <c r="A4853" i="2"/>
  <c r="A4852" i="2"/>
  <c r="A4851" i="2"/>
  <c r="A4850" i="2"/>
  <c r="A4849" i="2"/>
  <c r="A4848" i="2"/>
  <c r="A4847" i="2"/>
  <c r="A4846" i="2"/>
  <c r="A4845" i="2"/>
  <c r="A4844" i="2"/>
  <c r="A4843" i="2"/>
  <c r="A4842" i="2"/>
  <c r="A4841" i="2"/>
  <c r="A4840" i="2"/>
  <c r="A4839" i="2"/>
  <c r="A4838" i="2"/>
  <c r="A4837" i="2"/>
  <c r="A4836" i="2"/>
  <c r="A4835" i="2"/>
  <c r="A4834" i="2"/>
  <c r="A4833" i="2"/>
  <c r="A4832" i="2"/>
  <c r="A4831" i="2"/>
  <c r="A4830" i="2"/>
  <c r="A4829" i="2"/>
  <c r="A4828" i="2"/>
  <c r="A4827" i="2"/>
  <c r="A4826" i="2"/>
  <c r="A4825" i="2"/>
  <c r="A4824" i="2"/>
  <c r="A4823" i="2"/>
  <c r="A4822" i="2"/>
  <c r="A4821" i="2"/>
  <c r="A4820" i="2"/>
  <c r="A4819" i="2"/>
  <c r="A4818" i="2"/>
  <c r="A4817" i="2"/>
  <c r="A4816" i="2"/>
  <c r="A4815" i="2"/>
  <c r="A4814" i="2"/>
  <c r="A4813" i="2"/>
  <c r="A4812" i="2"/>
  <c r="A4811" i="2"/>
  <c r="A4810" i="2"/>
  <c r="A4809" i="2"/>
  <c r="A4808" i="2"/>
  <c r="A4807" i="2"/>
  <c r="A4806" i="2"/>
  <c r="A4805" i="2"/>
  <c r="A4804" i="2"/>
  <c r="A4803" i="2"/>
  <c r="A4802" i="2"/>
  <c r="A4801" i="2"/>
  <c r="A4800" i="2"/>
  <c r="A4799" i="2"/>
  <c r="A4798" i="2"/>
  <c r="A4797" i="2"/>
  <c r="A4796" i="2"/>
  <c r="A4795" i="2"/>
  <c r="A4794" i="2"/>
  <c r="A4793" i="2"/>
  <c r="A4792" i="2"/>
  <c r="A4791" i="2"/>
  <c r="A4790" i="2"/>
  <c r="A4789" i="2"/>
  <c r="A4788" i="2"/>
  <c r="A4787" i="2"/>
  <c r="A4786" i="2"/>
  <c r="A4785" i="2"/>
  <c r="A4784" i="2"/>
  <c r="A4783" i="2"/>
  <c r="A4782" i="2"/>
  <c r="A4781" i="2"/>
  <c r="A4780" i="2"/>
  <c r="A4779" i="2"/>
  <c r="A4778" i="2"/>
  <c r="A4777" i="2"/>
  <c r="A4776" i="2"/>
  <c r="A4775" i="2"/>
  <c r="A4774" i="2"/>
  <c r="A4773" i="2"/>
  <c r="A4772" i="2"/>
  <c r="A4771" i="2"/>
  <c r="A4770" i="2"/>
  <c r="A4769" i="2"/>
  <c r="A4768" i="2"/>
  <c r="A4767" i="2"/>
  <c r="A4766" i="2"/>
  <c r="A4765" i="2"/>
  <c r="A4764" i="2"/>
  <c r="A4763" i="2"/>
  <c r="A4762" i="2"/>
  <c r="A4761" i="2"/>
  <c r="A4760" i="2"/>
  <c r="A4759" i="2"/>
  <c r="A4758" i="2"/>
  <c r="A4757" i="2"/>
  <c r="A4756" i="2"/>
  <c r="A4755" i="2"/>
  <c r="A4754" i="2"/>
  <c r="A4753" i="2"/>
  <c r="A4752" i="2"/>
  <c r="A4751" i="2"/>
  <c r="A4750" i="2"/>
  <c r="A4749" i="2"/>
  <c r="A4748" i="2"/>
  <c r="A4747" i="2"/>
  <c r="A4746" i="2"/>
  <c r="A4745" i="2"/>
  <c r="A4744" i="2"/>
  <c r="A4743" i="2"/>
  <c r="A4742" i="2"/>
  <c r="A4741" i="2"/>
  <c r="A4740" i="2"/>
  <c r="A4739" i="2"/>
  <c r="A4738" i="2"/>
  <c r="A4737" i="2"/>
  <c r="A4736" i="2"/>
  <c r="A4735" i="2"/>
  <c r="A4734" i="2"/>
  <c r="A4733" i="2"/>
  <c r="A4732" i="2"/>
  <c r="A4731" i="2"/>
  <c r="A4730" i="2"/>
  <c r="A4729" i="2"/>
  <c r="A4728" i="2"/>
  <c r="A4727" i="2"/>
  <c r="A4726" i="2"/>
  <c r="A4725" i="2"/>
  <c r="A4724" i="2"/>
  <c r="A4723" i="2"/>
  <c r="A4722" i="2"/>
  <c r="A4721" i="2"/>
  <c r="A4720" i="2"/>
  <c r="A4719" i="2"/>
  <c r="A4718" i="2"/>
  <c r="A4717" i="2"/>
  <c r="A4716" i="2"/>
  <c r="A4715" i="2"/>
  <c r="A4714" i="2"/>
  <c r="A4713" i="2"/>
  <c r="A4712" i="2"/>
  <c r="A4711" i="2"/>
  <c r="A4710" i="2"/>
  <c r="A4709" i="2"/>
  <c r="A4708" i="2"/>
  <c r="A4707" i="2"/>
  <c r="A4706" i="2"/>
  <c r="A4705" i="2"/>
  <c r="A4704" i="2"/>
  <c r="A4703" i="2"/>
  <c r="A4702" i="2"/>
  <c r="A4701" i="2"/>
  <c r="A4700" i="2"/>
  <c r="A4699" i="2"/>
  <c r="A4698" i="2"/>
  <c r="A4697" i="2"/>
  <c r="A4696" i="2"/>
  <c r="A4695" i="2"/>
  <c r="A4694" i="2"/>
  <c r="A4693" i="2"/>
  <c r="A4692" i="2"/>
  <c r="A4691" i="2"/>
  <c r="A4690" i="2"/>
  <c r="A4689" i="2"/>
  <c r="A4688" i="2"/>
  <c r="A4687" i="2"/>
  <c r="A4686" i="2"/>
  <c r="A4685" i="2"/>
  <c r="A4684" i="2"/>
  <c r="A4683" i="2"/>
  <c r="A4682" i="2"/>
  <c r="A4681" i="2"/>
  <c r="A4680" i="2"/>
  <c r="A4679" i="2"/>
  <c r="A4678" i="2"/>
  <c r="A4677" i="2"/>
  <c r="A4676" i="2"/>
  <c r="A4675" i="2"/>
  <c r="A4674" i="2"/>
  <c r="A4673" i="2"/>
  <c r="A4672" i="2"/>
  <c r="A4671" i="2"/>
  <c r="A4670" i="2"/>
  <c r="A4669" i="2"/>
  <c r="A4668" i="2"/>
  <c r="A4667" i="2"/>
  <c r="A4666" i="2"/>
  <c r="A4665" i="2"/>
  <c r="A4664" i="2"/>
  <c r="A4663" i="2"/>
  <c r="A4662" i="2"/>
  <c r="A4661" i="2"/>
  <c r="A4660" i="2"/>
  <c r="A4659" i="2"/>
  <c r="A4658" i="2"/>
  <c r="A4657" i="2"/>
  <c r="A4656" i="2"/>
  <c r="A4655" i="2"/>
  <c r="A4654" i="2"/>
  <c r="A4653" i="2"/>
  <c r="A4652" i="2"/>
  <c r="A4651" i="2"/>
  <c r="A4650" i="2"/>
  <c r="A4649" i="2"/>
  <c r="A4648" i="2"/>
  <c r="A4647" i="2"/>
  <c r="A4646" i="2"/>
  <c r="A4645" i="2"/>
  <c r="A4644" i="2"/>
  <c r="A4643" i="2"/>
  <c r="A4642" i="2"/>
  <c r="A4641" i="2"/>
  <c r="A4640" i="2"/>
  <c r="A4639" i="2"/>
  <c r="A4638" i="2"/>
  <c r="A4637" i="2"/>
  <c r="A4636" i="2"/>
  <c r="A4635" i="2"/>
  <c r="A4634" i="2"/>
  <c r="A4633" i="2"/>
  <c r="A4632" i="2"/>
  <c r="A4631" i="2"/>
  <c r="A4630" i="2"/>
  <c r="A4629" i="2"/>
  <c r="A4628" i="2"/>
  <c r="A4627" i="2"/>
  <c r="A4626" i="2"/>
  <c r="A4625" i="2"/>
  <c r="A4624" i="2"/>
  <c r="A4623" i="2"/>
  <c r="A4622" i="2"/>
  <c r="A4621" i="2"/>
  <c r="A4620" i="2"/>
  <c r="A4619" i="2"/>
  <c r="A4618" i="2"/>
  <c r="A4617" i="2"/>
  <c r="A4616" i="2"/>
  <c r="A4615" i="2"/>
  <c r="A4614" i="2"/>
  <c r="A4613" i="2"/>
  <c r="A4612" i="2"/>
  <c r="A4611" i="2"/>
  <c r="A4610" i="2"/>
  <c r="A4609" i="2"/>
  <c r="A4608" i="2"/>
  <c r="A4607" i="2"/>
  <c r="A4606" i="2"/>
  <c r="A4605" i="2"/>
  <c r="A4604" i="2"/>
  <c r="A4603" i="2"/>
  <c r="A4602" i="2"/>
  <c r="A4601" i="2"/>
  <c r="A4600" i="2"/>
  <c r="A4599" i="2"/>
  <c r="A4598" i="2"/>
  <c r="A4597" i="2"/>
  <c r="A4596" i="2"/>
  <c r="A4595" i="2"/>
  <c r="A4594" i="2"/>
  <c r="A4593" i="2"/>
  <c r="A4592" i="2"/>
  <c r="A4591" i="2"/>
  <c r="A4590" i="2"/>
  <c r="A4589" i="2"/>
  <c r="A4588" i="2"/>
  <c r="A4587" i="2"/>
  <c r="A4586" i="2"/>
  <c r="A4585" i="2"/>
  <c r="A4584" i="2"/>
  <c r="A4583" i="2"/>
  <c r="A4582" i="2"/>
  <c r="A4581" i="2"/>
  <c r="A4580" i="2"/>
  <c r="A4579" i="2"/>
  <c r="A4578" i="2"/>
  <c r="A4577" i="2"/>
  <c r="A4576" i="2"/>
  <c r="A4575" i="2"/>
  <c r="A4574" i="2"/>
  <c r="A4573" i="2"/>
  <c r="A4572" i="2"/>
  <c r="A4571" i="2"/>
  <c r="A4570" i="2"/>
  <c r="A4569" i="2"/>
  <c r="A4568" i="2"/>
  <c r="A4567" i="2"/>
  <c r="A4566" i="2"/>
  <c r="A4565" i="2"/>
  <c r="A4564" i="2"/>
  <c r="A4563" i="2"/>
  <c r="A4562" i="2"/>
  <c r="A4561" i="2"/>
  <c r="A4560" i="2"/>
  <c r="A4559" i="2"/>
  <c r="A4558" i="2"/>
  <c r="A4557" i="2"/>
  <c r="A4556" i="2"/>
  <c r="A4555" i="2"/>
  <c r="A4554" i="2"/>
  <c r="A4553" i="2"/>
  <c r="A4552" i="2"/>
  <c r="A4551" i="2"/>
  <c r="A4550" i="2"/>
  <c r="A4549" i="2"/>
  <c r="A4548" i="2"/>
  <c r="A4547" i="2"/>
  <c r="A4546" i="2"/>
  <c r="A4545" i="2"/>
  <c r="A4544" i="2"/>
  <c r="A4543" i="2"/>
  <c r="A4542" i="2"/>
  <c r="A4541" i="2"/>
  <c r="A4540" i="2"/>
  <c r="A4539" i="2"/>
  <c r="A4538" i="2"/>
  <c r="A4537" i="2"/>
  <c r="A4536" i="2"/>
  <c r="A4535" i="2"/>
  <c r="A4534" i="2"/>
  <c r="A4533" i="2"/>
  <c r="A4532" i="2"/>
  <c r="A4531" i="2"/>
  <c r="A4530" i="2"/>
  <c r="A4529" i="2"/>
  <c r="A4528" i="2"/>
  <c r="A4527" i="2"/>
  <c r="A4526" i="2"/>
  <c r="A4525" i="2"/>
  <c r="A4524" i="2"/>
  <c r="A4523" i="2"/>
  <c r="A4522" i="2"/>
  <c r="A4521" i="2"/>
  <c r="A4520" i="2"/>
  <c r="A4519" i="2"/>
  <c r="A4518" i="2"/>
  <c r="A4517" i="2"/>
  <c r="A4516" i="2"/>
  <c r="A4515" i="2"/>
  <c r="A4514" i="2"/>
  <c r="A4513" i="2"/>
  <c r="A4512" i="2"/>
  <c r="A4511" i="2"/>
  <c r="A4510" i="2"/>
  <c r="A4509" i="2"/>
  <c r="A4508" i="2"/>
  <c r="A4507" i="2"/>
  <c r="A4506" i="2"/>
  <c r="A4505" i="2"/>
  <c r="A4504" i="2"/>
  <c r="A4503" i="2"/>
  <c r="A4502" i="2"/>
  <c r="A4501" i="2"/>
  <c r="A4500" i="2"/>
  <c r="A4499" i="2"/>
  <c r="A4498" i="2"/>
  <c r="A4497" i="2"/>
  <c r="A4496" i="2"/>
  <c r="A4495" i="2"/>
  <c r="A4494" i="2"/>
  <c r="A4493" i="2"/>
  <c r="A4492" i="2"/>
  <c r="A4491" i="2"/>
  <c r="A4490" i="2"/>
  <c r="A4489" i="2"/>
  <c r="A4488" i="2"/>
  <c r="A4487" i="2"/>
  <c r="A4486" i="2"/>
  <c r="A4485" i="2"/>
  <c r="A4484" i="2"/>
  <c r="A4483" i="2"/>
  <c r="A4482" i="2"/>
  <c r="A4481" i="2"/>
  <c r="A4480" i="2"/>
  <c r="A4479" i="2"/>
  <c r="A4478" i="2"/>
  <c r="A4477" i="2"/>
  <c r="A4476" i="2"/>
  <c r="A4475" i="2"/>
  <c r="A4474" i="2"/>
  <c r="A4473" i="2"/>
  <c r="A4472" i="2"/>
  <c r="A4471" i="2"/>
  <c r="A4470" i="2"/>
  <c r="A4469" i="2"/>
  <c r="A4468" i="2"/>
  <c r="A4467" i="2"/>
  <c r="A4466" i="2"/>
  <c r="A4465" i="2"/>
  <c r="A4464" i="2"/>
  <c r="A4463" i="2"/>
  <c r="A4462" i="2"/>
  <c r="A4461" i="2"/>
  <c r="A4460" i="2"/>
  <c r="A4459" i="2"/>
  <c r="A4458" i="2"/>
  <c r="A4457" i="2"/>
  <c r="A4456" i="2"/>
  <c r="A4455" i="2"/>
  <c r="A4454" i="2"/>
  <c r="A4453" i="2"/>
  <c r="A4452" i="2"/>
  <c r="A4451" i="2"/>
  <c r="A4450" i="2"/>
  <c r="A4449" i="2"/>
  <c r="A4448" i="2"/>
  <c r="A4447" i="2"/>
  <c r="A4446" i="2"/>
  <c r="A4445" i="2"/>
  <c r="A4444" i="2"/>
  <c r="A4443" i="2"/>
  <c r="A4442" i="2"/>
  <c r="A4441" i="2"/>
  <c r="A4440" i="2"/>
  <c r="A4439" i="2"/>
  <c r="A4438" i="2"/>
  <c r="A4437" i="2"/>
  <c r="A4436" i="2"/>
  <c r="A4435" i="2"/>
  <c r="A4434" i="2"/>
  <c r="A4433" i="2"/>
  <c r="A4432" i="2"/>
  <c r="A4431" i="2"/>
  <c r="A4430" i="2"/>
  <c r="A4429" i="2"/>
  <c r="A4428" i="2"/>
  <c r="A4427" i="2"/>
  <c r="A4426" i="2"/>
  <c r="A4425" i="2"/>
  <c r="A4424" i="2"/>
  <c r="A4423" i="2"/>
  <c r="A4422" i="2"/>
  <c r="A4421" i="2"/>
  <c r="A4420" i="2"/>
  <c r="A4419" i="2"/>
  <c r="A4418" i="2"/>
  <c r="A4417" i="2"/>
  <c r="A4416" i="2"/>
  <c r="A4415" i="2"/>
  <c r="A4414" i="2"/>
  <c r="A4413" i="2"/>
  <c r="A4412" i="2"/>
  <c r="A4411" i="2"/>
  <c r="A4410" i="2"/>
  <c r="A4409" i="2"/>
  <c r="A4408" i="2"/>
  <c r="A4407" i="2"/>
  <c r="A4406" i="2"/>
  <c r="A4405" i="2"/>
  <c r="A4404" i="2"/>
  <c r="A4403" i="2"/>
  <c r="A4402" i="2"/>
  <c r="A4401" i="2"/>
  <c r="A4400" i="2"/>
  <c r="A4399" i="2"/>
  <c r="A4398" i="2"/>
  <c r="A4397" i="2"/>
  <c r="A4396" i="2"/>
  <c r="A4395" i="2"/>
  <c r="A4394" i="2"/>
  <c r="A4393" i="2"/>
  <c r="A4392" i="2"/>
  <c r="A4391" i="2"/>
  <c r="A4390" i="2"/>
  <c r="A4389" i="2"/>
  <c r="A4388" i="2"/>
  <c r="A4387" i="2"/>
  <c r="A4386" i="2"/>
  <c r="A4385" i="2"/>
  <c r="A4384" i="2"/>
  <c r="A4383" i="2"/>
  <c r="A4382" i="2"/>
  <c r="A4381" i="2"/>
  <c r="A4380" i="2"/>
  <c r="A4379" i="2"/>
  <c r="A4378" i="2"/>
  <c r="A4377" i="2"/>
  <c r="A4376" i="2"/>
  <c r="A4375" i="2"/>
  <c r="A4374" i="2"/>
  <c r="A4373" i="2"/>
  <c r="A4372" i="2"/>
  <c r="A4371" i="2"/>
  <c r="A4370" i="2"/>
  <c r="A4369" i="2"/>
  <c r="A4368" i="2"/>
  <c r="A4367" i="2"/>
  <c r="A4366" i="2"/>
  <c r="A4365" i="2"/>
  <c r="A4364" i="2"/>
  <c r="A4363" i="2"/>
  <c r="A4362" i="2"/>
  <c r="A4361" i="2"/>
  <c r="A4360" i="2"/>
  <c r="A4359" i="2"/>
  <c r="A4358" i="2"/>
  <c r="A4357" i="2"/>
  <c r="A4356" i="2"/>
  <c r="A4355" i="2"/>
  <c r="A4354" i="2"/>
  <c r="A4353" i="2"/>
  <c r="A4352" i="2"/>
  <c r="A4351" i="2"/>
  <c r="A4350" i="2"/>
  <c r="A4349" i="2"/>
  <c r="A4348" i="2"/>
  <c r="A4347" i="2"/>
  <c r="A4346" i="2"/>
  <c r="A4345" i="2"/>
  <c r="A4344" i="2"/>
  <c r="A4343" i="2"/>
  <c r="A4342" i="2"/>
  <c r="A4341" i="2"/>
  <c r="A4340" i="2"/>
  <c r="A4339" i="2"/>
  <c r="A4338" i="2"/>
  <c r="A4337" i="2"/>
  <c r="A4336" i="2"/>
  <c r="A4335" i="2"/>
  <c r="A4334" i="2"/>
  <c r="A4333" i="2"/>
  <c r="A4332" i="2"/>
  <c r="A4331" i="2"/>
  <c r="A4330" i="2"/>
  <c r="A4329" i="2"/>
  <c r="A4328" i="2"/>
  <c r="A4327" i="2"/>
  <c r="A4326" i="2"/>
  <c r="A4325" i="2"/>
  <c r="A4324" i="2"/>
  <c r="A4323" i="2"/>
  <c r="A4322" i="2"/>
  <c r="A4321" i="2"/>
  <c r="A4320" i="2"/>
  <c r="A4319" i="2"/>
  <c r="A4318" i="2"/>
  <c r="A4317" i="2"/>
  <c r="A4316" i="2"/>
  <c r="A4315" i="2"/>
  <c r="A4314" i="2"/>
  <c r="A4313" i="2"/>
  <c r="A4312" i="2"/>
  <c r="A4311" i="2"/>
  <c r="A4310" i="2"/>
  <c r="A4309" i="2"/>
  <c r="A4308" i="2"/>
  <c r="A4307" i="2"/>
  <c r="A4306" i="2"/>
  <c r="A4305" i="2"/>
  <c r="A4304" i="2"/>
  <c r="A4303" i="2"/>
  <c r="A4302" i="2"/>
  <c r="A4301" i="2"/>
  <c r="A4300" i="2"/>
  <c r="A4299" i="2"/>
  <c r="A4298" i="2"/>
  <c r="A4297" i="2"/>
  <c r="A4296" i="2"/>
  <c r="A4295" i="2"/>
  <c r="A4294" i="2"/>
  <c r="A4293" i="2"/>
  <c r="A4292" i="2"/>
  <c r="A4291" i="2"/>
  <c r="A4290" i="2"/>
  <c r="A4289" i="2"/>
  <c r="A4288" i="2"/>
  <c r="A4287" i="2"/>
  <c r="A4286" i="2"/>
  <c r="A4285" i="2"/>
  <c r="A4284" i="2"/>
  <c r="A4283" i="2"/>
  <c r="A4282" i="2"/>
  <c r="A4281" i="2"/>
  <c r="A4280" i="2"/>
  <c r="A4279" i="2"/>
  <c r="A4278" i="2"/>
  <c r="A4277" i="2"/>
  <c r="A4276" i="2"/>
  <c r="A4275" i="2"/>
  <c r="A4274" i="2"/>
  <c r="A4273" i="2"/>
  <c r="A4272" i="2"/>
  <c r="A4271" i="2"/>
  <c r="A4270" i="2"/>
  <c r="A4269" i="2"/>
  <c r="A4268" i="2"/>
  <c r="A4267" i="2"/>
  <c r="A4266" i="2"/>
  <c r="A4265" i="2"/>
  <c r="A4264" i="2"/>
  <c r="A4263" i="2"/>
  <c r="A4262" i="2"/>
  <c r="A4261" i="2"/>
  <c r="A4260" i="2"/>
  <c r="A4259" i="2"/>
  <c r="A4258" i="2"/>
  <c r="A4257" i="2"/>
  <c r="A4256" i="2"/>
  <c r="A4255" i="2"/>
  <c r="A4254" i="2"/>
  <c r="A4253" i="2"/>
  <c r="A4252" i="2"/>
  <c r="A4251" i="2"/>
  <c r="A4250" i="2"/>
  <c r="A4249" i="2"/>
  <c r="A4248" i="2"/>
  <c r="A4247" i="2"/>
  <c r="A4246" i="2"/>
  <c r="A4245" i="2"/>
  <c r="A4244" i="2"/>
  <c r="A4243" i="2"/>
  <c r="A4242" i="2"/>
  <c r="A4241" i="2"/>
  <c r="A4240" i="2"/>
  <c r="A4239" i="2"/>
  <c r="A4238" i="2"/>
  <c r="A4237" i="2"/>
  <c r="A4236" i="2"/>
  <c r="A4235" i="2"/>
  <c r="A4234" i="2"/>
  <c r="A4233" i="2"/>
  <c r="A4232" i="2"/>
  <c r="A4231" i="2"/>
  <c r="A4230" i="2"/>
  <c r="A4229" i="2"/>
  <c r="A4228" i="2"/>
  <c r="A4227" i="2"/>
  <c r="A4226" i="2"/>
  <c r="A4225" i="2"/>
  <c r="A4224" i="2"/>
  <c r="A4223" i="2"/>
  <c r="A4222" i="2"/>
  <c r="A4221" i="2"/>
  <c r="A4220" i="2"/>
  <c r="A4219" i="2"/>
  <c r="A4218" i="2"/>
  <c r="A4217" i="2"/>
  <c r="A4216" i="2"/>
  <c r="A4215" i="2"/>
  <c r="A4214" i="2"/>
  <c r="A4213" i="2"/>
  <c r="A4212" i="2"/>
  <c r="A4211" i="2"/>
  <c r="A4210" i="2"/>
  <c r="A4209" i="2"/>
  <c r="A4208" i="2"/>
  <c r="A4207" i="2"/>
  <c r="A4206" i="2"/>
  <c r="A4205" i="2"/>
  <c r="A4204" i="2"/>
  <c r="A4203" i="2"/>
  <c r="A4202" i="2"/>
  <c r="A4201" i="2"/>
  <c r="A4200" i="2"/>
  <c r="A4199" i="2"/>
  <c r="A4198" i="2"/>
  <c r="A4197" i="2"/>
  <c r="A4196" i="2"/>
  <c r="A4195" i="2"/>
  <c r="A4194" i="2"/>
  <c r="A4193" i="2"/>
  <c r="A4192" i="2"/>
  <c r="A4191" i="2"/>
  <c r="A4190" i="2"/>
  <c r="A4189" i="2"/>
  <c r="A4188" i="2"/>
  <c r="A4187" i="2"/>
  <c r="A4186" i="2"/>
  <c r="A4185" i="2"/>
  <c r="A4184" i="2"/>
  <c r="A4183" i="2"/>
  <c r="A4182" i="2"/>
  <c r="A4181" i="2"/>
  <c r="A4180" i="2"/>
  <c r="A4179" i="2"/>
  <c r="A4178" i="2"/>
  <c r="A4177" i="2"/>
  <c r="A4176" i="2"/>
  <c r="A4175" i="2"/>
  <c r="A4174" i="2"/>
  <c r="A4173" i="2"/>
  <c r="A4172" i="2"/>
  <c r="A4171" i="2"/>
  <c r="A4170" i="2"/>
  <c r="A4169" i="2"/>
  <c r="A4168" i="2"/>
  <c r="A4167" i="2"/>
  <c r="A4166" i="2"/>
  <c r="A4165" i="2"/>
  <c r="A4164" i="2"/>
  <c r="A4163" i="2"/>
  <c r="A4162" i="2"/>
  <c r="A4161" i="2"/>
  <c r="A4160" i="2"/>
  <c r="A4159" i="2"/>
  <c r="A4158" i="2"/>
  <c r="A4157" i="2"/>
  <c r="A4156" i="2"/>
  <c r="A4155" i="2"/>
  <c r="A4154" i="2"/>
  <c r="A4153" i="2"/>
  <c r="A4152" i="2"/>
  <c r="A4151" i="2"/>
  <c r="A4150" i="2"/>
  <c r="A4149" i="2"/>
  <c r="A4148" i="2"/>
  <c r="A4147" i="2"/>
  <c r="A4146" i="2"/>
  <c r="A4145" i="2"/>
  <c r="A4144" i="2"/>
  <c r="A4143" i="2"/>
  <c r="A4142" i="2"/>
  <c r="A4141" i="2"/>
  <c r="A4140" i="2"/>
  <c r="A4139" i="2"/>
  <c r="A4138" i="2"/>
  <c r="A4137" i="2"/>
  <c r="A4136" i="2"/>
  <c r="A4135" i="2"/>
  <c r="A4134" i="2"/>
  <c r="A4133" i="2"/>
  <c r="A4132" i="2"/>
  <c r="A4131" i="2"/>
  <c r="A4130" i="2"/>
  <c r="A4129" i="2"/>
  <c r="A4128" i="2"/>
  <c r="A4127" i="2"/>
  <c r="A4126" i="2"/>
  <c r="A4125" i="2"/>
  <c r="A4124" i="2"/>
  <c r="A4123" i="2"/>
  <c r="A4122" i="2"/>
  <c r="A4121" i="2"/>
  <c r="A4120" i="2"/>
  <c r="A4119" i="2"/>
  <c r="A4118" i="2"/>
  <c r="A4117" i="2"/>
  <c r="A4116" i="2"/>
  <c r="A4115" i="2"/>
  <c r="A4114" i="2"/>
  <c r="A4113" i="2"/>
  <c r="A4112" i="2"/>
  <c r="A4111" i="2"/>
  <c r="A4110" i="2"/>
  <c r="A4109" i="2"/>
  <c r="A4108" i="2"/>
  <c r="A4107" i="2"/>
  <c r="A4106" i="2"/>
  <c r="A4105" i="2"/>
  <c r="A4104" i="2"/>
  <c r="A4103" i="2"/>
  <c r="A4102" i="2"/>
  <c r="A4101" i="2"/>
  <c r="A4100" i="2"/>
  <c r="A4099" i="2"/>
  <c r="A4098" i="2"/>
  <c r="A4097" i="2"/>
  <c r="A4096" i="2"/>
  <c r="A4095" i="2"/>
  <c r="A4094" i="2"/>
  <c r="A4093" i="2"/>
  <c r="A4092" i="2"/>
  <c r="A4091" i="2"/>
  <c r="A4090" i="2"/>
  <c r="A4089" i="2"/>
  <c r="A4088" i="2"/>
  <c r="A4087" i="2"/>
  <c r="A4086" i="2"/>
  <c r="A4085" i="2"/>
  <c r="A4084" i="2"/>
  <c r="A4083" i="2"/>
  <c r="A4082" i="2"/>
  <c r="A4081" i="2"/>
  <c r="A4080" i="2"/>
  <c r="A4079" i="2"/>
  <c r="A4078" i="2"/>
  <c r="A4077" i="2"/>
  <c r="A4076" i="2"/>
  <c r="A4075" i="2"/>
  <c r="A4074" i="2"/>
  <c r="A4073" i="2"/>
  <c r="A4072" i="2"/>
  <c r="A4071" i="2"/>
  <c r="A4070" i="2"/>
  <c r="A4069" i="2"/>
  <c r="A4068" i="2"/>
  <c r="A4067" i="2"/>
  <c r="A4066" i="2"/>
  <c r="A4065" i="2"/>
  <c r="A4064" i="2"/>
  <c r="A4063" i="2"/>
  <c r="A4062" i="2"/>
  <c r="A4061" i="2"/>
  <c r="A4060" i="2"/>
  <c r="A4059" i="2"/>
  <c r="A4058" i="2"/>
  <c r="A4057" i="2"/>
  <c r="A4056" i="2"/>
  <c r="A4055" i="2"/>
  <c r="A4054" i="2"/>
  <c r="A4053" i="2"/>
  <c r="A4052" i="2"/>
  <c r="A4051" i="2"/>
  <c r="A4050" i="2"/>
  <c r="A4049" i="2"/>
  <c r="A4048" i="2"/>
  <c r="A4047" i="2"/>
  <c r="A4046" i="2"/>
  <c r="A4045" i="2"/>
  <c r="A4044" i="2"/>
  <c r="A4043" i="2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A48" i="2"/>
  <c r="A47" i="2"/>
  <c r="A46" i="2"/>
  <c r="A45" i="2"/>
  <c r="A44" i="2"/>
  <c r="A43" i="2"/>
  <c r="A42" i="2"/>
  <c r="A41" i="2"/>
  <c r="A40" i="2"/>
  <c r="A39" i="2"/>
  <c r="A38" i="2"/>
  <c r="A37" i="2"/>
  <c r="A36" i="2"/>
  <c r="A35" i="2"/>
  <c r="A34" i="2"/>
  <c r="A33" i="2"/>
  <c r="A32" i="2"/>
  <c r="A31" i="2"/>
  <c r="A30" i="2"/>
  <c r="A29" i="2"/>
  <c r="A28" i="2"/>
  <c r="A27" i="2"/>
  <c r="A26" i="2"/>
  <c r="A25" i="2"/>
  <c r="A24" i="2"/>
  <c r="A23" i="2"/>
  <c r="A22" i="2"/>
  <c r="A21" i="2"/>
  <c r="A20" i="2"/>
  <c r="A19" i="2"/>
  <c r="A18" i="2"/>
  <c r="A17" i="2"/>
  <c r="A16" i="2"/>
  <c r="A15" i="2"/>
  <c r="A14" i="2"/>
  <c r="A13" i="2"/>
  <c r="A12" i="2"/>
  <c r="A11" i="2"/>
  <c r="A10" i="2"/>
  <c r="A9" i="2"/>
  <c r="A8" i="2"/>
  <c r="A7" i="2"/>
  <c r="A6" i="2"/>
  <c r="A5" i="2"/>
  <c r="A4" i="2"/>
  <c r="A3" i="2"/>
  <c r="A2" i="2"/>
  <c r="A1" i="2"/>
  <c r="A15308" i="4"/>
  <c r="A15307" i="4"/>
  <c r="A15306" i="4"/>
  <c r="A15305" i="4"/>
  <c r="A15304" i="4"/>
  <c r="A15303" i="4"/>
  <c r="A15302" i="4"/>
  <c r="A15301" i="4"/>
  <c r="A15300" i="4"/>
  <c r="A15299" i="4"/>
  <c r="A15298" i="4"/>
  <c r="A15297" i="4"/>
  <c r="A15296" i="4"/>
  <c r="A15295" i="4"/>
  <c r="A15294" i="4"/>
  <c r="A15293" i="4"/>
  <c r="A15292" i="4"/>
  <c r="A15291" i="4"/>
  <c r="A15290" i="4"/>
  <c r="A15289" i="4"/>
  <c r="A15288" i="4"/>
  <c r="A15287" i="4"/>
  <c r="A15286" i="4"/>
  <c r="A15285" i="4"/>
  <c r="A15284" i="4"/>
  <c r="A15283" i="4"/>
  <c r="A15282" i="4"/>
  <c r="A15281" i="4"/>
  <c r="A15280" i="4"/>
  <c r="A15279" i="4"/>
  <c r="A15278" i="4"/>
  <c r="A15277" i="4"/>
  <c r="A15276" i="4"/>
  <c r="A15275" i="4"/>
  <c r="A15274" i="4"/>
  <c r="A15273" i="4"/>
  <c r="A15272" i="4"/>
  <c r="A15271" i="4"/>
  <c r="A15270" i="4"/>
  <c r="A15269" i="4"/>
  <c r="A15268" i="4"/>
  <c r="A15267" i="4"/>
  <c r="A15266" i="4"/>
  <c r="A15265" i="4"/>
  <c r="A15264" i="4"/>
  <c r="A15263" i="4"/>
  <c r="A15262" i="4"/>
  <c r="A15261" i="4"/>
  <c r="A15260" i="4"/>
  <c r="A15259" i="4"/>
  <c r="A15258" i="4"/>
  <c r="A15257" i="4"/>
  <c r="A15256" i="4"/>
  <c r="A15255" i="4"/>
  <c r="A15254" i="4"/>
  <c r="A15253" i="4"/>
  <c r="A15252" i="4"/>
  <c r="A15251" i="4"/>
  <c r="A15250" i="4"/>
  <c r="A15249" i="4"/>
  <c r="A15248" i="4"/>
  <c r="A15247" i="4"/>
  <c r="A15246" i="4"/>
  <c r="A15245" i="4"/>
  <c r="A15244" i="4"/>
  <c r="A15243" i="4"/>
  <c r="A15242" i="4"/>
  <c r="A15241" i="4"/>
  <c r="A15240" i="4"/>
  <c r="A15239" i="4"/>
  <c r="A15238" i="4"/>
  <c r="A15237" i="4"/>
  <c r="A15236" i="4"/>
  <c r="A15235" i="4"/>
  <c r="A15234" i="4"/>
  <c r="A15233" i="4"/>
  <c r="A15232" i="4"/>
  <c r="A15231" i="4"/>
  <c r="A15230" i="4"/>
  <c r="A15229" i="4"/>
  <c r="A15228" i="4"/>
  <c r="A15227" i="4"/>
  <c r="A15226" i="4"/>
  <c r="A15225" i="4"/>
  <c r="A15224" i="4"/>
  <c r="A15223" i="4"/>
  <c r="A15222" i="4"/>
  <c r="A15221" i="4"/>
  <c r="A15220" i="4"/>
  <c r="A15219" i="4"/>
  <c r="A15218" i="4"/>
  <c r="A15217" i="4"/>
  <c r="A15216" i="4"/>
  <c r="A15215" i="4"/>
  <c r="A15214" i="4"/>
  <c r="A15213" i="4"/>
  <c r="A15212" i="4"/>
  <c r="A15211" i="4"/>
  <c r="A15210" i="4"/>
  <c r="A15209" i="4"/>
  <c r="A15208" i="4"/>
  <c r="A15207" i="4"/>
  <c r="A15206" i="4"/>
  <c r="A15205" i="4"/>
  <c r="A15204" i="4"/>
  <c r="A15203" i="4"/>
  <c r="A15202" i="4"/>
  <c r="A15201" i="4"/>
  <c r="A15200" i="4"/>
  <c r="A15199" i="4"/>
  <c r="A15198" i="4"/>
  <c r="A15197" i="4"/>
  <c r="A15196" i="4"/>
  <c r="A15195" i="4"/>
  <c r="A15194" i="4"/>
  <c r="A15193" i="4"/>
  <c r="A15192" i="4"/>
  <c r="A15191" i="4"/>
  <c r="A15190" i="4"/>
  <c r="A15189" i="4"/>
  <c r="A15188" i="4"/>
  <c r="A15187" i="4"/>
  <c r="A15186" i="4"/>
  <c r="A15185" i="4"/>
  <c r="A15184" i="4"/>
  <c r="A15183" i="4"/>
  <c r="A15182" i="4"/>
  <c r="A15181" i="4"/>
  <c r="A15180" i="4"/>
  <c r="A15179" i="4"/>
  <c r="A15178" i="4"/>
  <c r="A15177" i="4"/>
  <c r="A15176" i="4"/>
  <c r="A15175" i="4"/>
  <c r="A15174" i="4"/>
  <c r="A15173" i="4"/>
  <c r="A15172" i="4"/>
  <c r="A15171" i="4"/>
  <c r="A15170" i="4"/>
  <c r="A15169" i="4"/>
  <c r="A15168" i="4"/>
  <c r="A15167" i="4"/>
  <c r="A15166" i="4"/>
  <c r="A15165" i="4"/>
  <c r="A15164" i="4"/>
  <c r="A15163" i="4"/>
  <c r="A15162" i="4"/>
  <c r="A15161" i="4"/>
  <c r="A15160" i="4"/>
  <c r="A15159" i="4"/>
  <c r="A15158" i="4"/>
  <c r="A15157" i="4"/>
  <c r="A15156" i="4"/>
  <c r="A15155" i="4"/>
  <c r="A15154" i="4"/>
  <c r="A15153" i="4"/>
  <c r="A15152" i="4"/>
  <c r="A15151" i="4"/>
  <c r="A15150" i="4"/>
  <c r="A15149" i="4"/>
  <c r="A15148" i="4"/>
  <c r="A15147" i="4"/>
  <c r="A15146" i="4"/>
  <c r="A15145" i="4"/>
  <c r="A15144" i="4"/>
  <c r="A15143" i="4"/>
  <c r="A15142" i="4"/>
  <c r="A15141" i="4"/>
  <c r="A15140" i="4"/>
  <c r="A15139" i="4"/>
  <c r="A15138" i="4"/>
  <c r="A15137" i="4"/>
  <c r="A15136" i="4"/>
  <c r="A15135" i="4"/>
  <c r="A15134" i="4"/>
  <c r="A15133" i="4"/>
  <c r="A15132" i="4"/>
  <c r="A15131" i="4"/>
  <c r="A15130" i="4"/>
  <c r="A15129" i="4"/>
  <c r="A15128" i="4"/>
  <c r="A15127" i="4"/>
  <c r="A15126" i="4"/>
  <c r="A15125" i="4"/>
  <c r="A15124" i="4"/>
  <c r="A15123" i="4"/>
  <c r="A15122" i="4"/>
  <c r="A15121" i="4"/>
  <c r="A15120" i="4"/>
  <c r="A15119" i="4"/>
  <c r="A15118" i="4"/>
  <c r="A15117" i="4"/>
  <c r="A15116" i="4"/>
  <c r="A15115" i="4"/>
  <c r="A15114" i="4"/>
  <c r="A15113" i="4"/>
  <c r="A15112" i="4"/>
  <c r="A15111" i="4"/>
  <c r="A15110" i="4"/>
  <c r="A15109" i="4"/>
  <c r="A15108" i="4"/>
  <c r="A15107" i="4"/>
  <c r="A15106" i="4"/>
  <c r="A15105" i="4"/>
  <c r="A15104" i="4"/>
  <c r="A15103" i="4"/>
  <c r="A15102" i="4"/>
  <c r="A15101" i="4"/>
  <c r="A15100" i="4"/>
  <c r="A15099" i="4"/>
  <c r="A15098" i="4"/>
  <c r="A15097" i="4"/>
  <c r="A15096" i="4"/>
  <c r="A15095" i="4"/>
  <c r="A15094" i="4"/>
  <c r="A15093" i="4"/>
  <c r="A15092" i="4"/>
  <c r="A15091" i="4"/>
  <c r="A15090" i="4"/>
  <c r="A15089" i="4"/>
  <c r="A15088" i="4"/>
  <c r="A15087" i="4"/>
  <c r="A15086" i="4"/>
  <c r="A15085" i="4"/>
  <c r="A15084" i="4"/>
  <c r="A15083" i="4"/>
  <c r="A15082" i="4"/>
  <c r="A15081" i="4"/>
  <c r="A15080" i="4"/>
  <c r="A15079" i="4"/>
  <c r="A15078" i="4"/>
  <c r="A15077" i="4"/>
  <c r="A15076" i="4"/>
  <c r="A15075" i="4"/>
  <c r="A15074" i="4"/>
  <c r="A15073" i="4"/>
  <c r="A15072" i="4"/>
  <c r="A15071" i="4"/>
  <c r="A15070" i="4"/>
  <c r="A15069" i="4"/>
  <c r="A15068" i="4"/>
  <c r="A15067" i="4"/>
  <c r="A15066" i="4"/>
  <c r="A15065" i="4"/>
  <c r="A15064" i="4"/>
  <c r="A15063" i="4"/>
  <c r="A15062" i="4"/>
  <c r="A15061" i="4"/>
  <c r="A15060" i="4"/>
  <c r="A15059" i="4"/>
  <c r="A15058" i="4"/>
  <c r="A15057" i="4"/>
  <c r="A15056" i="4"/>
  <c r="A15055" i="4"/>
  <c r="A15054" i="4"/>
  <c r="A15053" i="4"/>
  <c r="A15052" i="4"/>
  <c r="A15051" i="4"/>
  <c r="A15050" i="4"/>
  <c r="A15049" i="4"/>
  <c r="A15048" i="4"/>
  <c r="A15047" i="4"/>
  <c r="A15046" i="4"/>
  <c r="A15045" i="4"/>
  <c r="A15044" i="4"/>
  <c r="A15043" i="4"/>
  <c r="A15042" i="4"/>
  <c r="A15041" i="4"/>
  <c r="A15040" i="4"/>
  <c r="A15039" i="4"/>
  <c r="A15038" i="4"/>
  <c r="A15037" i="4"/>
  <c r="A15036" i="4"/>
  <c r="A15035" i="4"/>
  <c r="A15034" i="4"/>
  <c r="A15033" i="4"/>
  <c r="A15032" i="4"/>
  <c r="A15031" i="4"/>
  <c r="A15030" i="4"/>
  <c r="A15029" i="4"/>
  <c r="A15028" i="4"/>
  <c r="A15027" i="4"/>
  <c r="A15026" i="4"/>
  <c r="A15025" i="4"/>
  <c r="A15024" i="4"/>
  <c r="A15023" i="4"/>
  <c r="A15022" i="4"/>
  <c r="A15021" i="4"/>
  <c r="A15020" i="4"/>
  <c r="A15019" i="4"/>
  <c r="A15018" i="4"/>
  <c r="A15017" i="4"/>
  <c r="A15016" i="4"/>
  <c r="A15015" i="4"/>
  <c r="A15014" i="4"/>
  <c r="A15013" i="4"/>
  <c r="A15012" i="4"/>
  <c r="A15011" i="4"/>
  <c r="A15010" i="4"/>
  <c r="A15009" i="4"/>
  <c r="A15008" i="4"/>
  <c r="A15007" i="4"/>
  <c r="A15006" i="4"/>
  <c r="A15005" i="4"/>
  <c r="A15004" i="4"/>
  <c r="A15003" i="4"/>
  <c r="A15002" i="4"/>
  <c r="A15001" i="4"/>
  <c r="A15000" i="4"/>
  <c r="A14999" i="4"/>
  <c r="A14998" i="4"/>
  <c r="A14997" i="4"/>
  <c r="A14996" i="4"/>
  <c r="A14995" i="4"/>
  <c r="A14994" i="4"/>
  <c r="A14993" i="4"/>
  <c r="A14992" i="4"/>
  <c r="A14991" i="4"/>
  <c r="A14990" i="4"/>
  <c r="A14989" i="4"/>
  <c r="A14988" i="4"/>
  <c r="A14987" i="4"/>
  <c r="A14986" i="4"/>
  <c r="A14985" i="4"/>
  <c r="A14984" i="4"/>
  <c r="A14983" i="4"/>
  <c r="A14982" i="4"/>
  <c r="A14981" i="4"/>
  <c r="A14980" i="4"/>
  <c r="A14979" i="4"/>
  <c r="A14978" i="4"/>
  <c r="A14977" i="4"/>
  <c r="A14976" i="4"/>
  <c r="A14975" i="4"/>
  <c r="A14974" i="4"/>
  <c r="A14973" i="4"/>
  <c r="A14972" i="4"/>
  <c r="A14971" i="4"/>
  <c r="A14970" i="4"/>
  <c r="A14969" i="4"/>
  <c r="A14968" i="4"/>
  <c r="A14967" i="4"/>
  <c r="A14966" i="4"/>
  <c r="A14965" i="4"/>
  <c r="A14964" i="4"/>
  <c r="A14963" i="4"/>
  <c r="A14962" i="4"/>
  <c r="A14961" i="4"/>
  <c r="A14960" i="4"/>
  <c r="A14959" i="4"/>
  <c r="A14958" i="4"/>
  <c r="A14957" i="4"/>
  <c r="A14956" i="4"/>
  <c r="A14955" i="4"/>
  <c r="A14954" i="4"/>
  <c r="A14953" i="4"/>
  <c r="A14952" i="4"/>
  <c r="A14951" i="4"/>
  <c r="A14950" i="4"/>
  <c r="A14949" i="4"/>
  <c r="A14948" i="4"/>
  <c r="A14947" i="4"/>
  <c r="A14946" i="4"/>
  <c r="A14945" i="4"/>
  <c r="A14944" i="4"/>
  <c r="A14943" i="4"/>
  <c r="A14942" i="4"/>
  <c r="A14941" i="4"/>
  <c r="A14940" i="4"/>
  <c r="A14939" i="4"/>
  <c r="A14938" i="4"/>
  <c r="A14937" i="4"/>
  <c r="A14936" i="4"/>
  <c r="A14935" i="4"/>
  <c r="A14934" i="4"/>
  <c r="A14933" i="4"/>
  <c r="A14932" i="4"/>
  <c r="A14931" i="4"/>
  <c r="A14930" i="4"/>
  <c r="A14929" i="4"/>
  <c r="A14928" i="4"/>
  <c r="A14927" i="4"/>
  <c r="A14926" i="4"/>
  <c r="A14925" i="4"/>
  <c r="A14924" i="4"/>
  <c r="A14923" i="4"/>
  <c r="A14922" i="4"/>
  <c r="A14921" i="4"/>
  <c r="A14920" i="4"/>
  <c r="A14919" i="4"/>
  <c r="A14918" i="4"/>
  <c r="A14917" i="4"/>
  <c r="A14916" i="4"/>
  <c r="A14915" i="4"/>
  <c r="A14914" i="4"/>
  <c r="A14913" i="4"/>
  <c r="A14912" i="4"/>
  <c r="A14911" i="4"/>
  <c r="A14910" i="4"/>
  <c r="A14909" i="4"/>
  <c r="A14908" i="4"/>
  <c r="A14907" i="4"/>
  <c r="A14906" i="4"/>
  <c r="A14905" i="4"/>
  <c r="A14904" i="4"/>
  <c r="A14903" i="4"/>
  <c r="A14902" i="4"/>
  <c r="A14901" i="4"/>
  <c r="A14900" i="4"/>
  <c r="A14899" i="4"/>
  <c r="A14898" i="4"/>
  <c r="A14897" i="4"/>
  <c r="A14896" i="4"/>
  <c r="A14895" i="4"/>
  <c r="A14894" i="4"/>
  <c r="A14893" i="4"/>
  <c r="A14892" i="4"/>
  <c r="A14891" i="4"/>
  <c r="A14890" i="4"/>
  <c r="A14889" i="4"/>
  <c r="A14888" i="4"/>
  <c r="A14887" i="4"/>
  <c r="A14886" i="4"/>
  <c r="A14885" i="4"/>
  <c r="A14884" i="4"/>
  <c r="A14883" i="4"/>
  <c r="A14882" i="4"/>
  <c r="A14881" i="4"/>
  <c r="A14880" i="4"/>
  <c r="A14879" i="4"/>
  <c r="A14878" i="4"/>
  <c r="A14877" i="4"/>
  <c r="A14876" i="4"/>
  <c r="A14875" i="4"/>
  <c r="A14874" i="4"/>
  <c r="A14873" i="4"/>
  <c r="A14872" i="4"/>
  <c r="A14871" i="4"/>
  <c r="A14870" i="4"/>
  <c r="A14869" i="4"/>
  <c r="A14868" i="4"/>
  <c r="A14867" i="4"/>
  <c r="A14866" i="4"/>
  <c r="A14865" i="4"/>
  <c r="A14864" i="4"/>
  <c r="A14863" i="4"/>
  <c r="A14862" i="4"/>
  <c r="A14861" i="4"/>
  <c r="A14860" i="4"/>
  <c r="A14859" i="4"/>
  <c r="A14858" i="4"/>
  <c r="A14857" i="4"/>
  <c r="A14856" i="4"/>
  <c r="A14855" i="4"/>
  <c r="A14854" i="4"/>
  <c r="A14853" i="4"/>
  <c r="A14852" i="4"/>
  <c r="A14851" i="4"/>
  <c r="A14850" i="4"/>
  <c r="A14849" i="4"/>
  <c r="A14848" i="4"/>
  <c r="A14847" i="4"/>
  <c r="A14846" i="4"/>
  <c r="A14845" i="4"/>
  <c r="A14844" i="4"/>
  <c r="A14843" i="4"/>
  <c r="A14842" i="4"/>
  <c r="A14841" i="4"/>
  <c r="A14840" i="4"/>
  <c r="A14839" i="4"/>
  <c r="A14838" i="4"/>
  <c r="A14837" i="4"/>
  <c r="A14836" i="4"/>
  <c r="A14835" i="4"/>
  <c r="A14834" i="4"/>
  <c r="A14833" i="4"/>
  <c r="A14832" i="4"/>
  <c r="A14831" i="4"/>
  <c r="A14830" i="4"/>
  <c r="A14829" i="4"/>
  <c r="A14828" i="4"/>
  <c r="A14827" i="4"/>
  <c r="A14826" i="4"/>
  <c r="A14825" i="4"/>
  <c r="A14824" i="4"/>
  <c r="A14823" i="4"/>
  <c r="A14822" i="4"/>
  <c r="A14821" i="4"/>
  <c r="A14820" i="4"/>
  <c r="A14819" i="4"/>
  <c r="A14818" i="4"/>
  <c r="A14817" i="4"/>
  <c r="A14816" i="4"/>
  <c r="A14815" i="4"/>
  <c r="A14814" i="4"/>
  <c r="A14813" i="4"/>
  <c r="A14812" i="4"/>
  <c r="A14811" i="4"/>
  <c r="A14810" i="4"/>
  <c r="A14809" i="4"/>
  <c r="A14808" i="4"/>
  <c r="A14807" i="4"/>
  <c r="A14806" i="4"/>
  <c r="A14805" i="4"/>
  <c r="A14804" i="4"/>
  <c r="A14803" i="4"/>
  <c r="A14802" i="4"/>
  <c r="A14801" i="4"/>
  <c r="A14800" i="4"/>
  <c r="A14799" i="4"/>
  <c r="A14798" i="4"/>
  <c r="A14797" i="4"/>
  <c r="A14796" i="4"/>
  <c r="A14795" i="4"/>
  <c r="A14794" i="4"/>
  <c r="A14793" i="4"/>
  <c r="A14792" i="4"/>
  <c r="A14791" i="4"/>
  <c r="A14790" i="4"/>
  <c r="A14789" i="4"/>
  <c r="A14788" i="4"/>
  <c r="A14787" i="4"/>
  <c r="A14786" i="4"/>
  <c r="A14785" i="4"/>
  <c r="A14784" i="4"/>
  <c r="A14783" i="4"/>
  <c r="A14782" i="4"/>
  <c r="A14781" i="4"/>
  <c r="A14780" i="4"/>
  <c r="A14779" i="4"/>
  <c r="A14778" i="4"/>
  <c r="A14777" i="4"/>
  <c r="A14776" i="4"/>
  <c r="A14775" i="4"/>
  <c r="A14774" i="4"/>
  <c r="A14773" i="4"/>
  <c r="A14772" i="4"/>
  <c r="A14771" i="4"/>
  <c r="A14770" i="4"/>
  <c r="A14769" i="4"/>
  <c r="A14768" i="4"/>
  <c r="A14767" i="4"/>
  <c r="A14766" i="4"/>
  <c r="A14765" i="4"/>
  <c r="A14764" i="4"/>
  <c r="A14763" i="4"/>
  <c r="A14762" i="4"/>
  <c r="A14761" i="4"/>
  <c r="A14760" i="4"/>
  <c r="A14759" i="4"/>
  <c r="A14758" i="4"/>
  <c r="A14757" i="4"/>
  <c r="A14756" i="4"/>
  <c r="A14755" i="4"/>
  <c r="A14754" i="4"/>
  <c r="A14753" i="4"/>
  <c r="A14752" i="4"/>
  <c r="A14751" i="4"/>
  <c r="A14750" i="4"/>
  <c r="A14749" i="4"/>
  <c r="A14748" i="4"/>
  <c r="A14747" i="4"/>
  <c r="A14746" i="4"/>
  <c r="A14745" i="4"/>
  <c r="A14744" i="4"/>
  <c r="A14743" i="4"/>
  <c r="A14742" i="4"/>
  <c r="A14741" i="4"/>
  <c r="A14740" i="4"/>
  <c r="A14739" i="4"/>
  <c r="A14738" i="4"/>
  <c r="A14737" i="4"/>
  <c r="A14736" i="4"/>
  <c r="A14735" i="4"/>
  <c r="A14734" i="4"/>
  <c r="A14733" i="4"/>
  <c r="A14732" i="4"/>
  <c r="A14731" i="4"/>
  <c r="A14730" i="4"/>
  <c r="A14729" i="4"/>
  <c r="A14728" i="4"/>
  <c r="A14727" i="4"/>
  <c r="A14726" i="4"/>
  <c r="A14725" i="4"/>
  <c r="A14724" i="4"/>
  <c r="A14723" i="4"/>
  <c r="A14722" i="4"/>
  <c r="A14721" i="4"/>
  <c r="A14720" i="4"/>
  <c r="A14719" i="4"/>
  <c r="A14718" i="4"/>
  <c r="A14717" i="4"/>
  <c r="A14716" i="4"/>
  <c r="A14715" i="4"/>
  <c r="A14714" i="4"/>
  <c r="A14713" i="4"/>
  <c r="A14712" i="4"/>
  <c r="A14711" i="4"/>
  <c r="A14710" i="4"/>
  <c r="A14709" i="4"/>
  <c r="A14708" i="4"/>
  <c r="A14707" i="4"/>
  <c r="A14706" i="4"/>
  <c r="A14705" i="4"/>
  <c r="A14704" i="4"/>
  <c r="A14703" i="4"/>
  <c r="A14702" i="4"/>
  <c r="A14701" i="4"/>
  <c r="A14700" i="4"/>
  <c r="A14699" i="4"/>
  <c r="A14698" i="4"/>
  <c r="A14697" i="4"/>
  <c r="A14696" i="4"/>
  <c r="A14695" i="4"/>
  <c r="A14694" i="4"/>
  <c r="A14693" i="4"/>
  <c r="A14692" i="4"/>
  <c r="A14691" i="4"/>
  <c r="A14690" i="4"/>
  <c r="A14689" i="4"/>
  <c r="A14688" i="4"/>
  <c r="A14687" i="4"/>
  <c r="A14686" i="4"/>
  <c r="A14685" i="4"/>
  <c r="A14684" i="4"/>
  <c r="A14683" i="4"/>
  <c r="A14682" i="4"/>
  <c r="A14681" i="4"/>
  <c r="A14680" i="4"/>
  <c r="A14679" i="4"/>
  <c r="A14678" i="4"/>
  <c r="A14677" i="4"/>
  <c r="A14676" i="4"/>
  <c r="A14675" i="4"/>
  <c r="A14674" i="4"/>
  <c r="A14673" i="4"/>
  <c r="A14672" i="4"/>
  <c r="A14671" i="4"/>
  <c r="A14670" i="4"/>
  <c r="A14669" i="4"/>
  <c r="A14668" i="4"/>
  <c r="A14667" i="4"/>
  <c r="A14666" i="4"/>
  <c r="A14665" i="4"/>
  <c r="A14664" i="4"/>
  <c r="A14663" i="4"/>
  <c r="A14662" i="4"/>
  <c r="A14661" i="4"/>
  <c r="A14660" i="4"/>
  <c r="A14659" i="4"/>
  <c r="A14658" i="4"/>
  <c r="A14657" i="4"/>
  <c r="A14656" i="4"/>
  <c r="A14655" i="4"/>
  <c r="A14654" i="4"/>
  <c r="A14653" i="4"/>
  <c r="A14652" i="4"/>
  <c r="A14651" i="4"/>
  <c r="A14650" i="4"/>
  <c r="A14649" i="4"/>
  <c r="A14648" i="4"/>
  <c r="A14647" i="4"/>
  <c r="A14646" i="4"/>
  <c r="A14645" i="4"/>
  <c r="A14644" i="4"/>
  <c r="A14643" i="4"/>
  <c r="A14642" i="4"/>
  <c r="A14641" i="4"/>
  <c r="A14640" i="4"/>
  <c r="A14639" i="4"/>
  <c r="A14638" i="4"/>
  <c r="A14637" i="4"/>
  <c r="A14636" i="4"/>
  <c r="A14635" i="4"/>
  <c r="A14634" i="4"/>
  <c r="A14633" i="4"/>
  <c r="A14632" i="4"/>
  <c r="A14631" i="4"/>
  <c r="A14630" i="4"/>
  <c r="A14629" i="4"/>
  <c r="A14628" i="4"/>
  <c r="A14627" i="4"/>
  <c r="A14626" i="4"/>
  <c r="A14625" i="4"/>
  <c r="A14624" i="4"/>
  <c r="A14623" i="4"/>
  <c r="A14622" i="4"/>
  <c r="A14621" i="4"/>
  <c r="A14620" i="4"/>
  <c r="A14619" i="4"/>
  <c r="A14618" i="4"/>
  <c r="A14617" i="4"/>
  <c r="A14616" i="4"/>
  <c r="A14615" i="4"/>
  <c r="A14614" i="4"/>
  <c r="A14613" i="4"/>
  <c r="A14612" i="4"/>
  <c r="A14611" i="4"/>
  <c r="A14610" i="4"/>
  <c r="A14609" i="4"/>
  <c r="A14608" i="4"/>
  <c r="A14607" i="4"/>
  <c r="A14606" i="4"/>
  <c r="A14605" i="4"/>
  <c r="A14604" i="4"/>
  <c r="A14603" i="4"/>
  <c r="A14602" i="4"/>
  <c r="A14601" i="4"/>
  <c r="A14600" i="4"/>
  <c r="A14599" i="4"/>
  <c r="A14598" i="4"/>
  <c r="A14597" i="4"/>
  <c r="A14596" i="4"/>
  <c r="A14595" i="4"/>
  <c r="A14594" i="4"/>
  <c r="A14593" i="4"/>
  <c r="A14592" i="4"/>
  <c r="A14591" i="4"/>
  <c r="A14590" i="4"/>
  <c r="A14589" i="4"/>
  <c r="A14588" i="4"/>
  <c r="A14587" i="4"/>
  <c r="A14586" i="4"/>
  <c r="A14585" i="4"/>
  <c r="A14584" i="4"/>
  <c r="A14583" i="4"/>
  <c r="A14582" i="4"/>
  <c r="A14581" i="4"/>
  <c r="A14580" i="4"/>
  <c r="A14579" i="4"/>
  <c r="A14578" i="4"/>
  <c r="A14577" i="4"/>
  <c r="A14576" i="4"/>
  <c r="A14575" i="4"/>
  <c r="A14574" i="4"/>
  <c r="A14573" i="4"/>
  <c r="A14572" i="4"/>
  <c r="A14571" i="4"/>
  <c r="A14570" i="4"/>
  <c r="A14569" i="4"/>
  <c r="A14568" i="4"/>
  <c r="A14567" i="4"/>
  <c r="A14566" i="4"/>
  <c r="A14565" i="4"/>
  <c r="A14564" i="4"/>
  <c r="A14563" i="4"/>
  <c r="A14562" i="4"/>
  <c r="A14561" i="4"/>
  <c r="A14560" i="4"/>
  <c r="A14559" i="4"/>
  <c r="A14558" i="4"/>
  <c r="A14557" i="4"/>
  <c r="A14556" i="4"/>
  <c r="A14555" i="4"/>
  <c r="A14554" i="4"/>
  <c r="A14553" i="4"/>
  <c r="A14552" i="4"/>
  <c r="A14551" i="4"/>
  <c r="A14550" i="4"/>
  <c r="A14549" i="4"/>
  <c r="A14548" i="4"/>
  <c r="A14547" i="4"/>
  <c r="A14546" i="4"/>
  <c r="A14545" i="4"/>
  <c r="A14544" i="4"/>
  <c r="A14543" i="4"/>
  <c r="A14542" i="4"/>
  <c r="A14541" i="4"/>
  <c r="A14540" i="4"/>
  <c r="A14539" i="4"/>
  <c r="A14538" i="4"/>
  <c r="A14537" i="4"/>
  <c r="A14536" i="4"/>
  <c r="A14535" i="4"/>
  <c r="A14534" i="4"/>
  <c r="A14533" i="4"/>
  <c r="A14532" i="4"/>
  <c r="A14531" i="4"/>
  <c r="A14530" i="4"/>
  <c r="A14529" i="4"/>
  <c r="A14528" i="4"/>
  <c r="A14527" i="4"/>
  <c r="A14526" i="4"/>
  <c r="A14525" i="4"/>
  <c r="A14524" i="4"/>
  <c r="A14523" i="4"/>
  <c r="A14522" i="4"/>
  <c r="A14521" i="4"/>
  <c r="A14520" i="4"/>
  <c r="A14519" i="4"/>
  <c r="A14518" i="4"/>
  <c r="A14517" i="4"/>
  <c r="A14516" i="4"/>
  <c r="A14515" i="4"/>
  <c r="A14514" i="4"/>
  <c r="A14513" i="4"/>
  <c r="A14512" i="4"/>
  <c r="A14511" i="4"/>
  <c r="A14510" i="4"/>
  <c r="A14509" i="4"/>
  <c r="A14508" i="4"/>
  <c r="A14507" i="4"/>
  <c r="A14506" i="4"/>
  <c r="A14505" i="4"/>
  <c r="A14504" i="4"/>
  <c r="A14503" i="4"/>
  <c r="A14502" i="4"/>
  <c r="A14501" i="4"/>
  <c r="A14500" i="4"/>
  <c r="A14499" i="4"/>
  <c r="A14498" i="4"/>
  <c r="A14497" i="4"/>
  <c r="A14496" i="4"/>
  <c r="A14495" i="4"/>
  <c r="A14494" i="4"/>
  <c r="A14493" i="4"/>
  <c r="A14492" i="4"/>
  <c r="A14491" i="4"/>
  <c r="A14490" i="4"/>
  <c r="A14489" i="4"/>
  <c r="A14488" i="4"/>
  <c r="A14487" i="4"/>
  <c r="A14486" i="4"/>
  <c r="A14485" i="4"/>
  <c r="A14484" i="4"/>
  <c r="A14483" i="4"/>
  <c r="A14482" i="4"/>
  <c r="A14481" i="4"/>
  <c r="A14480" i="4"/>
  <c r="A14479" i="4"/>
  <c r="A14478" i="4"/>
  <c r="A14477" i="4"/>
  <c r="A14476" i="4"/>
  <c r="A14475" i="4"/>
  <c r="A14474" i="4"/>
  <c r="A14473" i="4"/>
  <c r="A14472" i="4"/>
  <c r="A14471" i="4"/>
  <c r="A14470" i="4"/>
  <c r="A14469" i="4"/>
  <c r="A14468" i="4"/>
  <c r="A14467" i="4"/>
  <c r="A14466" i="4"/>
  <c r="A14465" i="4"/>
  <c r="A14464" i="4"/>
  <c r="A14463" i="4"/>
  <c r="A14462" i="4"/>
  <c r="A14461" i="4"/>
  <c r="A14460" i="4"/>
  <c r="A14459" i="4"/>
  <c r="A14458" i="4"/>
  <c r="A14457" i="4"/>
  <c r="A14456" i="4"/>
  <c r="A14455" i="4"/>
  <c r="A14454" i="4"/>
  <c r="A14453" i="4"/>
  <c r="A14452" i="4"/>
  <c r="A14451" i="4"/>
  <c r="A14450" i="4"/>
  <c r="A14449" i="4"/>
  <c r="A14448" i="4"/>
  <c r="A14447" i="4"/>
  <c r="A14446" i="4"/>
  <c r="A14445" i="4"/>
  <c r="A14444" i="4"/>
  <c r="A14443" i="4"/>
  <c r="A14442" i="4"/>
  <c r="A14441" i="4"/>
  <c r="A14440" i="4"/>
  <c r="A14439" i="4"/>
  <c r="A14438" i="4"/>
  <c r="A14437" i="4"/>
  <c r="A14436" i="4"/>
  <c r="A14435" i="4"/>
  <c r="A14434" i="4"/>
  <c r="A14433" i="4"/>
  <c r="A14432" i="4"/>
  <c r="A14431" i="4"/>
  <c r="A14430" i="4"/>
  <c r="A14429" i="4"/>
  <c r="A14428" i="4"/>
  <c r="A14427" i="4"/>
  <c r="A14426" i="4"/>
  <c r="A14425" i="4"/>
  <c r="A14424" i="4"/>
  <c r="A14423" i="4"/>
  <c r="A14422" i="4"/>
  <c r="A14421" i="4"/>
  <c r="A14420" i="4"/>
  <c r="A14419" i="4"/>
  <c r="A14418" i="4"/>
  <c r="A14417" i="4"/>
  <c r="A14416" i="4"/>
  <c r="A14415" i="4"/>
  <c r="A14414" i="4"/>
  <c r="A14413" i="4"/>
  <c r="A14412" i="4"/>
  <c r="A14411" i="4"/>
  <c r="A14410" i="4"/>
  <c r="A14409" i="4"/>
  <c r="A14408" i="4"/>
  <c r="A14407" i="4"/>
  <c r="A14406" i="4"/>
  <c r="A14405" i="4"/>
  <c r="A14404" i="4"/>
  <c r="A14403" i="4"/>
  <c r="A14402" i="4"/>
  <c r="A14401" i="4"/>
  <c r="A14400" i="4"/>
  <c r="A14399" i="4"/>
  <c r="A14398" i="4"/>
  <c r="A14397" i="4"/>
  <c r="A14396" i="4"/>
  <c r="A14395" i="4"/>
  <c r="A14394" i="4"/>
  <c r="A14393" i="4"/>
  <c r="A14392" i="4"/>
  <c r="A14391" i="4"/>
  <c r="A14390" i="4"/>
  <c r="A14389" i="4"/>
  <c r="A14388" i="4"/>
  <c r="A14387" i="4"/>
  <c r="A14386" i="4"/>
  <c r="A14385" i="4"/>
  <c r="A14384" i="4"/>
  <c r="A14383" i="4"/>
  <c r="A14382" i="4"/>
  <c r="A14381" i="4"/>
  <c r="A14380" i="4"/>
  <c r="A14379" i="4"/>
  <c r="A14378" i="4"/>
  <c r="A14377" i="4"/>
  <c r="A14376" i="4"/>
  <c r="A14375" i="4"/>
  <c r="A14374" i="4"/>
  <c r="A14373" i="4"/>
  <c r="A14372" i="4"/>
  <c r="A14371" i="4"/>
  <c r="A14370" i="4"/>
  <c r="A14369" i="4"/>
  <c r="A14368" i="4"/>
  <c r="A14367" i="4"/>
  <c r="A14366" i="4"/>
  <c r="A14365" i="4"/>
  <c r="A14364" i="4"/>
  <c r="A14363" i="4"/>
  <c r="A14362" i="4"/>
  <c r="A14361" i="4"/>
  <c r="A14360" i="4"/>
  <c r="A14359" i="4"/>
  <c r="A14358" i="4"/>
  <c r="A14357" i="4"/>
  <c r="A14356" i="4"/>
  <c r="A14355" i="4"/>
  <c r="A14354" i="4"/>
  <c r="A14353" i="4"/>
  <c r="A14352" i="4"/>
  <c r="A14351" i="4"/>
  <c r="A14350" i="4"/>
  <c r="A14349" i="4"/>
  <c r="A14348" i="4"/>
  <c r="A14347" i="4"/>
  <c r="A14346" i="4"/>
  <c r="A14345" i="4"/>
  <c r="A14344" i="4"/>
  <c r="A14343" i="4"/>
  <c r="A14342" i="4"/>
  <c r="A14341" i="4"/>
  <c r="A14340" i="4"/>
  <c r="A14339" i="4"/>
  <c r="A14338" i="4"/>
  <c r="A14337" i="4"/>
  <c r="A14336" i="4"/>
  <c r="A14335" i="4"/>
  <c r="A14334" i="4"/>
  <c r="A14333" i="4"/>
  <c r="A14332" i="4"/>
  <c r="A14331" i="4"/>
  <c r="A14330" i="4"/>
  <c r="A14329" i="4"/>
  <c r="A14328" i="4"/>
  <c r="A14327" i="4"/>
  <c r="A14326" i="4"/>
  <c r="A14325" i="4"/>
  <c r="A14324" i="4"/>
  <c r="A14323" i="4"/>
  <c r="A14322" i="4"/>
  <c r="A14321" i="4"/>
  <c r="A14320" i="4"/>
  <c r="A14319" i="4"/>
  <c r="A14318" i="4"/>
  <c r="A14317" i="4"/>
  <c r="A14316" i="4"/>
  <c r="A14315" i="4"/>
  <c r="A14314" i="4"/>
  <c r="A14313" i="4"/>
  <c r="A14312" i="4"/>
  <c r="A14311" i="4"/>
  <c r="A14310" i="4"/>
  <c r="A14309" i="4"/>
  <c r="A14308" i="4"/>
  <c r="A14307" i="4"/>
  <c r="A14306" i="4"/>
  <c r="A14305" i="4"/>
  <c r="A14304" i="4"/>
  <c r="A14303" i="4"/>
  <c r="A14302" i="4"/>
  <c r="A14301" i="4"/>
  <c r="A14300" i="4"/>
  <c r="A14299" i="4"/>
  <c r="A14298" i="4"/>
  <c r="A14297" i="4"/>
  <c r="A14296" i="4"/>
  <c r="A14295" i="4"/>
  <c r="A14294" i="4"/>
  <c r="A14293" i="4"/>
  <c r="A14292" i="4"/>
  <c r="A14291" i="4"/>
  <c r="A14290" i="4"/>
  <c r="A14289" i="4"/>
  <c r="A14288" i="4"/>
  <c r="A14287" i="4"/>
  <c r="A14286" i="4"/>
  <c r="A14285" i="4"/>
  <c r="A14284" i="4"/>
  <c r="A14283" i="4"/>
  <c r="A14282" i="4"/>
  <c r="A14281" i="4"/>
  <c r="A14280" i="4"/>
  <c r="A14279" i="4"/>
  <c r="A14278" i="4"/>
  <c r="A14277" i="4"/>
  <c r="A14276" i="4"/>
  <c r="A14275" i="4"/>
  <c r="A14274" i="4"/>
  <c r="A14273" i="4"/>
  <c r="A14272" i="4"/>
  <c r="A14271" i="4"/>
  <c r="A14270" i="4"/>
  <c r="A14269" i="4"/>
  <c r="A14268" i="4"/>
  <c r="A14267" i="4"/>
  <c r="A14266" i="4"/>
  <c r="A14265" i="4"/>
  <c r="A14264" i="4"/>
  <c r="A14263" i="4"/>
  <c r="A14262" i="4"/>
  <c r="A14261" i="4"/>
  <c r="A14260" i="4"/>
  <c r="A14259" i="4"/>
  <c r="A14258" i="4"/>
  <c r="A14257" i="4"/>
  <c r="A14256" i="4"/>
  <c r="A14255" i="4"/>
  <c r="A14254" i="4"/>
  <c r="A14253" i="4"/>
  <c r="A14252" i="4"/>
  <c r="A14251" i="4"/>
  <c r="A14250" i="4"/>
  <c r="A14249" i="4"/>
  <c r="A14248" i="4"/>
  <c r="A14247" i="4"/>
  <c r="A14246" i="4"/>
  <c r="A14245" i="4"/>
  <c r="A14244" i="4"/>
  <c r="A14243" i="4"/>
  <c r="A14242" i="4"/>
  <c r="A14241" i="4"/>
  <c r="A14240" i="4"/>
  <c r="A14239" i="4"/>
  <c r="A14238" i="4"/>
  <c r="A14237" i="4"/>
  <c r="A14236" i="4"/>
  <c r="A14235" i="4"/>
  <c r="A14234" i="4"/>
  <c r="A14233" i="4"/>
  <c r="A14232" i="4"/>
  <c r="A14231" i="4"/>
  <c r="A14230" i="4"/>
  <c r="A14229" i="4"/>
  <c r="A14228" i="4"/>
  <c r="A14227" i="4"/>
  <c r="A14226" i="4"/>
  <c r="A14225" i="4"/>
  <c r="A14224" i="4"/>
  <c r="A14223" i="4"/>
  <c r="A14222" i="4"/>
  <c r="A14221" i="4"/>
  <c r="A14220" i="4"/>
  <c r="A14219" i="4"/>
  <c r="A14218" i="4"/>
  <c r="A14217" i="4"/>
  <c r="A14216" i="4"/>
  <c r="A14215" i="4"/>
  <c r="A14214" i="4"/>
  <c r="A14213" i="4"/>
  <c r="A14212" i="4"/>
  <c r="A14211" i="4"/>
  <c r="A14210" i="4"/>
  <c r="A14209" i="4"/>
  <c r="A14208" i="4"/>
  <c r="A14207" i="4"/>
  <c r="A14206" i="4"/>
  <c r="A14205" i="4"/>
  <c r="A14204" i="4"/>
  <c r="A14203" i="4"/>
  <c r="A14202" i="4"/>
  <c r="A14201" i="4"/>
  <c r="A14200" i="4"/>
  <c r="A14199" i="4"/>
  <c r="A14198" i="4"/>
  <c r="A14197" i="4"/>
  <c r="A14196" i="4"/>
  <c r="A14195" i="4"/>
  <c r="A14194" i="4"/>
  <c r="A14193" i="4"/>
  <c r="A14192" i="4"/>
  <c r="A14191" i="4"/>
  <c r="A14190" i="4"/>
  <c r="A14189" i="4"/>
  <c r="A14188" i="4"/>
  <c r="A14187" i="4"/>
  <c r="A14186" i="4"/>
  <c r="A14185" i="4"/>
  <c r="A14184" i="4"/>
  <c r="A14183" i="4"/>
  <c r="A14182" i="4"/>
  <c r="A14181" i="4"/>
  <c r="A14180" i="4"/>
  <c r="A14179" i="4"/>
  <c r="A14178" i="4"/>
  <c r="A14177" i="4"/>
  <c r="A14176" i="4"/>
  <c r="A14175" i="4"/>
  <c r="A14174" i="4"/>
  <c r="A14173" i="4"/>
  <c r="A14172" i="4"/>
  <c r="A14171" i="4"/>
  <c r="A14170" i="4"/>
  <c r="A14169" i="4"/>
  <c r="A14168" i="4"/>
  <c r="A14167" i="4"/>
  <c r="A14166" i="4"/>
  <c r="A14165" i="4"/>
  <c r="A14164" i="4"/>
  <c r="A14163" i="4"/>
  <c r="A14162" i="4"/>
  <c r="A14161" i="4"/>
  <c r="A14160" i="4"/>
  <c r="A14159" i="4"/>
  <c r="A14158" i="4"/>
  <c r="A14157" i="4"/>
  <c r="A14156" i="4"/>
  <c r="A14155" i="4"/>
  <c r="A14154" i="4"/>
  <c r="A14153" i="4"/>
  <c r="A14152" i="4"/>
  <c r="A14151" i="4"/>
  <c r="A14150" i="4"/>
  <c r="A14149" i="4"/>
  <c r="A14148" i="4"/>
  <c r="A14147" i="4"/>
  <c r="A14146" i="4"/>
  <c r="A14145" i="4"/>
  <c r="A14144" i="4"/>
  <c r="A14143" i="4"/>
  <c r="A14142" i="4"/>
  <c r="A14141" i="4"/>
  <c r="A14140" i="4"/>
  <c r="A14139" i="4"/>
  <c r="A14138" i="4"/>
  <c r="A14137" i="4"/>
  <c r="A14136" i="4"/>
  <c r="A14135" i="4"/>
  <c r="A14134" i="4"/>
  <c r="A14133" i="4"/>
  <c r="A14132" i="4"/>
  <c r="A14131" i="4"/>
  <c r="A14130" i="4"/>
  <c r="A14129" i="4"/>
  <c r="A14128" i="4"/>
  <c r="A14127" i="4"/>
  <c r="A14126" i="4"/>
  <c r="A14125" i="4"/>
  <c r="A14124" i="4"/>
  <c r="A14123" i="4"/>
  <c r="A14122" i="4"/>
  <c r="A14121" i="4"/>
  <c r="A14120" i="4"/>
  <c r="A14119" i="4"/>
  <c r="A14118" i="4"/>
  <c r="A14117" i="4"/>
  <c r="A14116" i="4"/>
  <c r="A14115" i="4"/>
  <c r="A14114" i="4"/>
  <c r="A14113" i="4"/>
  <c r="A14112" i="4"/>
  <c r="A14111" i="4"/>
  <c r="A14110" i="4"/>
  <c r="A14109" i="4"/>
  <c r="A14108" i="4"/>
  <c r="A14107" i="4"/>
  <c r="A14106" i="4"/>
  <c r="A14105" i="4"/>
  <c r="A14104" i="4"/>
  <c r="A14103" i="4"/>
  <c r="A14102" i="4"/>
  <c r="A14101" i="4"/>
  <c r="A14100" i="4"/>
  <c r="A14099" i="4"/>
  <c r="A14098" i="4"/>
  <c r="A14097" i="4"/>
  <c r="A14096" i="4"/>
  <c r="A14095" i="4"/>
  <c r="A14094" i="4"/>
  <c r="A14093" i="4"/>
  <c r="A14092" i="4"/>
  <c r="A14091" i="4"/>
  <c r="A14090" i="4"/>
  <c r="A14089" i="4"/>
  <c r="A14088" i="4"/>
  <c r="A14087" i="4"/>
  <c r="A14086" i="4"/>
  <c r="A14085" i="4"/>
  <c r="A14084" i="4"/>
  <c r="A14083" i="4"/>
  <c r="A14082" i="4"/>
  <c r="A14081" i="4"/>
  <c r="A14080" i="4"/>
  <c r="A14079" i="4"/>
  <c r="A14078" i="4"/>
  <c r="A14077" i="4"/>
  <c r="A14076" i="4"/>
  <c r="A14075" i="4"/>
  <c r="A14074" i="4"/>
  <c r="A14073" i="4"/>
  <c r="A14072" i="4"/>
  <c r="A14071" i="4"/>
  <c r="A14070" i="4"/>
  <c r="A14069" i="4"/>
  <c r="A14068" i="4"/>
  <c r="A14067" i="4"/>
  <c r="A14066" i="4"/>
  <c r="A14065" i="4"/>
  <c r="A14064" i="4"/>
  <c r="A14063" i="4"/>
  <c r="A14062" i="4"/>
  <c r="A14061" i="4"/>
  <c r="A14060" i="4"/>
  <c r="A14059" i="4"/>
  <c r="A14058" i="4"/>
  <c r="A14057" i="4"/>
  <c r="A14056" i="4"/>
  <c r="A14055" i="4"/>
  <c r="A14054" i="4"/>
  <c r="A14053" i="4"/>
  <c r="A14052" i="4"/>
  <c r="A14051" i="4"/>
  <c r="A14050" i="4"/>
  <c r="A14049" i="4"/>
  <c r="A14048" i="4"/>
  <c r="A14047" i="4"/>
  <c r="A14046" i="4"/>
  <c r="A14045" i="4"/>
  <c r="A14044" i="4"/>
  <c r="A14043" i="4"/>
  <c r="A14042" i="4"/>
  <c r="A14041" i="4"/>
  <c r="A14040" i="4"/>
  <c r="A14039" i="4"/>
  <c r="A14038" i="4"/>
  <c r="A14037" i="4"/>
  <c r="A14036" i="4"/>
  <c r="A14035" i="4"/>
  <c r="A14034" i="4"/>
  <c r="A14033" i="4"/>
  <c r="A14032" i="4"/>
  <c r="A14031" i="4"/>
  <c r="A14030" i="4"/>
  <c r="A14029" i="4"/>
  <c r="A14028" i="4"/>
  <c r="A14027" i="4"/>
  <c r="A14026" i="4"/>
  <c r="A14025" i="4"/>
  <c r="A14024" i="4"/>
  <c r="A14023" i="4"/>
  <c r="A14022" i="4"/>
  <c r="A14021" i="4"/>
  <c r="A14020" i="4"/>
  <c r="A14019" i="4"/>
  <c r="A14018" i="4"/>
  <c r="A14017" i="4"/>
  <c r="A14016" i="4"/>
  <c r="A14015" i="4"/>
  <c r="A14014" i="4"/>
  <c r="A14013" i="4"/>
  <c r="A14012" i="4"/>
  <c r="A14011" i="4"/>
  <c r="A14010" i="4"/>
  <c r="A14009" i="4"/>
  <c r="A14008" i="4"/>
  <c r="A14007" i="4"/>
  <c r="A14006" i="4"/>
  <c r="A14005" i="4"/>
  <c r="A14004" i="4"/>
  <c r="A14003" i="4"/>
  <c r="A14002" i="4"/>
  <c r="A14001" i="4"/>
  <c r="A14000" i="4"/>
  <c r="A13999" i="4"/>
  <c r="A13998" i="4"/>
  <c r="A13997" i="4"/>
  <c r="A13996" i="4"/>
  <c r="A13995" i="4"/>
  <c r="A13994" i="4"/>
  <c r="A13993" i="4"/>
  <c r="A13992" i="4"/>
  <c r="A13991" i="4"/>
  <c r="A13990" i="4"/>
  <c r="A13989" i="4"/>
  <c r="A13988" i="4"/>
  <c r="A13987" i="4"/>
  <c r="A13986" i="4"/>
  <c r="A13985" i="4"/>
  <c r="A13984" i="4"/>
  <c r="A13983" i="4"/>
  <c r="A13982" i="4"/>
  <c r="A13981" i="4"/>
  <c r="A13980" i="4"/>
  <c r="A13979" i="4"/>
  <c r="A13978" i="4"/>
  <c r="A13977" i="4"/>
  <c r="A13976" i="4"/>
  <c r="A13975" i="4"/>
  <c r="A13974" i="4"/>
  <c r="A13973" i="4"/>
  <c r="A13972" i="4"/>
  <c r="A13971" i="4"/>
  <c r="A13970" i="4"/>
  <c r="A13969" i="4"/>
  <c r="A13968" i="4"/>
  <c r="A13967" i="4"/>
  <c r="A13966" i="4"/>
  <c r="A13965" i="4"/>
  <c r="A13964" i="4"/>
  <c r="A13963" i="4"/>
  <c r="A13962" i="4"/>
  <c r="A13961" i="4"/>
  <c r="A13960" i="4"/>
  <c r="A13959" i="4"/>
  <c r="A13958" i="4"/>
  <c r="A13957" i="4"/>
  <c r="A13956" i="4"/>
  <c r="A13955" i="4"/>
  <c r="A13954" i="4"/>
  <c r="A13953" i="4"/>
  <c r="A13952" i="4"/>
  <c r="A13951" i="4"/>
  <c r="A13950" i="4"/>
  <c r="A13949" i="4"/>
  <c r="A13948" i="4"/>
  <c r="A13947" i="4"/>
  <c r="A13946" i="4"/>
  <c r="A13945" i="4"/>
  <c r="A13944" i="4"/>
  <c r="A13943" i="4"/>
  <c r="A13942" i="4"/>
  <c r="A13941" i="4"/>
  <c r="A13940" i="4"/>
  <c r="A13939" i="4"/>
  <c r="A13938" i="4"/>
  <c r="A13937" i="4"/>
  <c r="A13936" i="4"/>
  <c r="A13935" i="4"/>
  <c r="A13934" i="4"/>
  <c r="A13933" i="4"/>
  <c r="A13932" i="4"/>
  <c r="A13931" i="4"/>
  <c r="A13930" i="4"/>
  <c r="A13929" i="4"/>
  <c r="A13928" i="4"/>
  <c r="A13927" i="4"/>
  <c r="A13926" i="4"/>
  <c r="A13925" i="4"/>
  <c r="A13924" i="4"/>
  <c r="A13923" i="4"/>
  <c r="A13922" i="4"/>
  <c r="A13921" i="4"/>
  <c r="A13920" i="4"/>
  <c r="A13919" i="4"/>
  <c r="A13918" i="4"/>
  <c r="A13917" i="4"/>
  <c r="A13916" i="4"/>
  <c r="A13915" i="4"/>
  <c r="A13914" i="4"/>
  <c r="A13913" i="4"/>
  <c r="A13912" i="4"/>
  <c r="A13911" i="4"/>
  <c r="A13910" i="4"/>
  <c r="A13909" i="4"/>
  <c r="A13908" i="4"/>
  <c r="A13907" i="4"/>
  <c r="A13906" i="4"/>
  <c r="A13905" i="4"/>
  <c r="A13904" i="4"/>
  <c r="A13903" i="4"/>
  <c r="A13902" i="4"/>
  <c r="A13901" i="4"/>
  <c r="A13900" i="4"/>
  <c r="A13899" i="4"/>
  <c r="A13898" i="4"/>
  <c r="A13897" i="4"/>
  <c r="A13896" i="4"/>
  <c r="A13895" i="4"/>
  <c r="A13894" i="4"/>
  <c r="A13893" i="4"/>
  <c r="A13892" i="4"/>
  <c r="A13891" i="4"/>
  <c r="A13890" i="4"/>
  <c r="A13889" i="4"/>
  <c r="A13888" i="4"/>
  <c r="A13887" i="4"/>
  <c r="A13886" i="4"/>
  <c r="A13885" i="4"/>
  <c r="A13884" i="4"/>
  <c r="A13883" i="4"/>
  <c r="A13882" i="4"/>
  <c r="A13881" i="4"/>
  <c r="A13880" i="4"/>
  <c r="A13879" i="4"/>
  <c r="A13878" i="4"/>
  <c r="A13877" i="4"/>
  <c r="A13876" i="4"/>
  <c r="A13875" i="4"/>
  <c r="A13874" i="4"/>
  <c r="A13873" i="4"/>
  <c r="A13872" i="4"/>
  <c r="A13871" i="4"/>
  <c r="A13870" i="4"/>
  <c r="A13869" i="4"/>
  <c r="A13868" i="4"/>
  <c r="A13867" i="4"/>
  <c r="A13866" i="4"/>
  <c r="A13865" i="4"/>
  <c r="A13864" i="4"/>
  <c r="A13863" i="4"/>
  <c r="A13862" i="4"/>
  <c r="A13861" i="4"/>
  <c r="A13860" i="4"/>
  <c r="A13859" i="4"/>
  <c r="A13858" i="4"/>
  <c r="A13857" i="4"/>
  <c r="A13856" i="4"/>
  <c r="A13855" i="4"/>
  <c r="A13854" i="4"/>
  <c r="A13853" i="4"/>
  <c r="A13852" i="4"/>
  <c r="A13851" i="4"/>
  <c r="A13850" i="4"/>
  <c r="A13849" i="4"/>
  <c r="A13848" i="4"/>
  <c r="A13847" i="4"/>
  <c r="A13846" i="4"/>
  <c r="A13845" i="4"/>
  <c r="A13844" i="4"/>
  <c r="A13843" i="4"/>
  <c r="A13842" i="4"/>
  <c r="A13841" i="4"/>
  <c r="A13840" i="4"/>
  <c r="A13839" i="4"/>
  <c r="A13838" i="4"/>
  <c r="A13837" i="4"/>
  <c r="A13836" i="4"/>
  <c r="A13835" i="4"/>
  <c r="A13834" i="4"/>
  <c r="A13833" i="4"/>
  <c r="A13832" i="4"/>
  <c r="A13831" i="4"/>
  <c r="A13830" i="4"/>
  <c r="A13829" i="4"/>
  <c r="A13828" i="4"/>
  <c r="A13827" i="4"/>
  <c r="A13826" i="4"/>
  <c r="A13825" i="4"/>
  <c r="A13824" i="4"/>
  <c r="A13823" i="4"/>
  <c r="A13822" i="4"/>
  <c r="A13821" i="4"/>
  <c r="A13820" i="4"/>
  <c r="A13819" i="4"/>
  <c r="A13818" i="4"/>
  <c r="A13817" i="4"/>
  <c r="A13816" i="4"/>
  <c r="A13815" i="4"/>
  <c r="A13814" i="4"/>
  <c r="A13813" i="4"/>
  <c r="A13812" i="4"/>
  <c r="A13811" i="4"/>
  <c r="A13810" i="4"/>
  <c r="A13809" i="4"/>
  <c r="A13808" i="4"/>
  <c r="A13807" i="4"/>
  <c r="A13806" i="4"/>
  <c r="A13805" i="4"/>
  <c r="A13804" i="4"/>
  <c r="A13803" i="4"/>
  <c r="A13802" i="4"/>
  <c r="A13801" i="4"/>
  <c r="A13800" i="4"/>
  <c r="A13799" i="4"/>
  <c r="A13798" i="4"/>
  <c r="A13797" i="4"/>
  <c r="A13796" i="4"/>
  <c r="A13795" i="4"/>
  <c r="A13794" i="4"/>
  <c r="A13793" i="4"/>
  <c r="A13792" i="4"/>
  <c r="A13791" i="4"/>
  <c r="A13790" i="4"/>
  <c r="A13789" i="4"/>
  <c r="A13788" i="4"/>
  <c r="A13787" i="4"/>
  <c r="A13786" i="4"/>
  <c r="A13785" i="4"/>
  <c r="A13784" i="4"/>
  <c r="A13783" i="4"/>
  <c r="A13782" i="4"/>
  <c r="A13781" i="4"/>
  <c r="A13780" i="4"/>
  <c r="A13779" i="4"/>
  <c r="A13778" i="4"/>
  <c r="A13777" i="4"/>
  <c r="A13776" i="4"/>
  <c r="A13775" i="4"/>
  <c r="A13774" i="4"/>
  <c r="A13773" i="4"/>
  <c r="A13772" i="4"/>
  <c r="A13771" i="4"/>
  <c r="A13770" i="4"/>
  <c r="A13769" i="4"/>
  <c r="A13768" i="4"/>
  <c r="A13767" i="4"/>
  <c r="A13766" i="4"/>
  <c r="A13765" i="4"/>
  <c r="A13764" i="4"/>
  <c r="A13763" i="4"/>
  <c r="A13762" i="4"/>
  <c r="A13761" i="4"/>
  <c r="A13760" i="4"/>
  <c r="A13759" i="4"/>
  <c r="A13758" i="4"/>
  <c r="A13757" i="4"/>
  <c r="A13756" i="4"/>
  <c r="A13755" i="4"/>
  <c r="A13754" i="4"/>
  <c r="A13753" i="4"/>
  <c r="A13752" i="4"/>
  <c r="A13751" i="4"/>
  <c r="A13750" i="4"/>
  <c r="A13749" i="4"/>
  <c r="A13748" i="4"/>
  <c r="A13747" i="4"/>
  <c r="A13746" i="4"/>
  <c r="A13745" i="4"/>
  <c r="A13744" i="4"/>
  <c r="A13743" i="4"/>
  <c r="A13742" i="4"/>
  <c r="A13741" i="4"/>
  <c r="A13740" i="4"/>
  <c r="A13739" i="4"/>
  <c r="A13738" i="4"/>
  <c r="A13737" i="4"/>
  <c r="A13736" i="4"/>
  <c r="A13735" i="4"/>
  <c r="A13734" i="4"/>
  <c r="A13733" i="4"/>
  <c r="A13732" i="4"/>
  <c r="A13731" i="4"/>
  <c r="A13730" i="4"/>
  <c r="A13729" i="4"/>
  <c r="A13728" i="4"/>
  <c r="A13727" i="4"/>
  <c r="A13726" i="4"/>
  <c r="A13725" i="4"/>
  <c r="A13724" i="4"/>
  <c r="A13723" i="4"/>
  <c r="A13722" i="4"/>
  <c r="A13721" i="4"/>
  <c r="A13720" i="4"/>
  <c r="A13719" i="4"/>
  <c r="A13718" i="4"/>
  <c r="A13717" i="4"/>
  <c r="A13716" i="4"/>
  <c r="A13715" i="4"/>
  <c r="A13714" i="4"/>
  <c r="A13713" i="4"/>
  <c r="A13712" i="4"/>
  <c r="A13711" i="4"/>
  <c r="A13710" i="4"/>
  <c r="A13709" i="4"/>
  <c r="A13708" i="4"/>
  <c r="A13707" i="4"/>
  <c r="A13706" i="4"/>
  <c r="A13705" i="4"/>
  <c r="A13704" i="4"/>
  <c r="A13703" i="4"/>
  <c r="A13702" i="4"/>
  <c r="A13701" i="4"/>
  <c r="A13700" i="4"/>
  <c r="A13699" i="4"/>
  <c r="A13698" i="4"/>
  <c r="A13697" i="4"/>
  <c r="A13696" i="4"/>
  <c r="A13695" i="4"/>
  <c r="A13694" i="4"/>
  <c r="A13693" i="4"/>
  <c r="A13692" i="4"/>
  <c r="A13691" i="4"/>
  <c r="A13690" i="4"/>
  <c r="A13689" i="4"/>
  <c r="A13688" i="4"/>
  <c r="A13687" i="4"/>
  <c r="A13686" i="4"/>
  <c r="A13685" i="4"/>
  <c r="A13684" i="4"/>
  <c r="A13683" i="4"/>
  <c r="A13682" i="4"/>
  <c r="A13681" i="4"/>
  <c r="A13680" i="4"/>
  <c r="A13679" i="4"/>
  <c r="A13678" i="4"/>
  <c r="A13677" i="4"/>
  <c r="A13676" i="4"/>
  <c r="A13675" i="4"/>
  <c r="A13674" i="4"/>
  <c r="A13673" i="4"/>
  <c r="A13672" i="4"/>
  <c r="A13671" i="4"/>
  <c r="A13670" i="4"/>
  <c r="A13669" i="4"/>
  <c r="A13668" i="4"/>
  <c r="A13667" i="4"/>
  <c r="A13666" i="4"/>
  <c r="A13665" i="4"/>
  <c r="A13664" i="4"/>
  <c r="A13663" i="4"/>
  <c r="A13662" i="4"/>
  <c r="A13661" i="4"/>
  <c r="A13660" i="4"/>
  <c r="A13659" i="4"/>
  <c r="A13658" i="4"/>
  <c r="A13657" i="4"/>
  <c r="A13656" i="4"/>
  <c r="A13655" i="4"/>
  <c r="A13654" i="4"/>
  <c r="A13653" i="4"/>
  <c r="A13652" i="4"/>
  <c r="A13651" i="4"/>
  <c r="A13650" i="4"/>
  <c r="A13649" i="4"/>
  <c r="A13648" i="4"/>
  <c r="A13647" i="4"/>
  <c r="A13646" i="4"/>
  <c r="A13645" i="4"/>
  <c r="A13644" i="4"/>
  <c r="A13643" i="4"/>
  <c r="A13642" i="4"/>
  <c r="A13641" i="4"/>
  <c r="A13640" i="4"/>
  <c r="A13639" i="4"/>
  <c r="A13638" i="4"/>
  <c r="A13637" i="4"/>
  <c r="A13636" i="4"/>
  <c r="A13635" i="4"/>
  <c r="A13634" i="4"/>
  <c r="A13633" i="4"/>
  <c r="A13632" i="4"/>
  <c r="A13631" i="4"/>
  <c r="A13630" i="4"/>
  <c r="A13629" i="4"/>
  <c r="A13628" i="4"/>
  <c r="A13627" i="4"/>
  <c r="A13626" i="4"/>
  <c r="A13625" i="4"/>
  <c r="A13624" i="4"/>
  <c r="A13623" i="4"/>
  <c r="A13622" i="4"/>
  <c r="A13621" i="4"/>
  <c r="A13620" i="4"/>
  <c r="A13619" i="4"/>
  <c r="A13618" i="4"/>
  <c r="A13617" i="4"/>
  <c r="A13616" i="4"/>
  <c r="A13615" i="4"/>
  <c r="A13614" i="4"/>
  <c r="A13613" i="4"/>
  <c r="A13612" i="4"/>
  <c r="A13611" i="4"/>
  <c r="A13610" i="4"/>
  <c r="A13609" i="4"/>
  <c r="A13608" i="4"/>
  <c r="A13607" i="4"/>
  <c r="A13606" i="4"/>
  <c r="A13605" i="4"/>
  <c r="A13604" i="4"/>
  <c r="A13603" i="4"/>
  <c r="A13602" i="4"/>
  <c r="A13601" i="4"/>
  <c r="A13600" i="4"/>
  <c r="A13599" i="4"/>
  <c r="A13598" i="4"/>
  <c r="A13597" i="4"/>
  <c r="A13596" i="4"/>
  <c r="A13595" i="4"/>
  <c r="A13594" i="4"/>
  <c r="A13593" i="4"/>
  <c r="A13592" i="4"/>
  <c r="A13591" i="4"/>
  <c r="A13590" i="4"/>
  <c r="A13589" i="4"/>
  <c r="A13588" i="4"/>
  <c r="A13587" i="4"/>
  <c r="A13586" i="4"/>
  <c r="A13585" i="4"/>
  <c r="A13584" i="4"/>
  <c r="A13583" i="4"/>
  <c r="A13582" i="4"/>
  <c r="A13581" i="4"/>
  <c r="A13580" i="4"/>
  <c r="A13579" i="4"/>
  <c r="A13578" i="4"/>
  <c r="A13577" i="4"/>
  <c r="A13576" i="4"/>
  <c r="A13575" i="4"/>
  <c r="A13574" i="4"/>
  <c r="A13573" i="4"/>
  <c r="A13572" i="4"/>
  <c r="A13571" i="4"/>
  <c r="A13570" i="4"/>
  <c r="A13569" i="4"/>
  <c r="A13568" i="4"/>
  <c r="A13567" i="4"/>
  <c r="A13566" i="4"/>
  <c r="A13565" i="4"/>
  <c r="A13564" i="4"/>
  <c r="A13563" i="4"/>
  <c r="A13562" i="4"/>
  <c r="A13561" i="4"/>
  <c r="A13560" i="4"/>
  <c r="A13559" i="4"/>
  <c r="A13558" i="4"/>
  <c r="A13557" i="4"/>
  <c r="A13556" i="4"/>
  <c r="A13555" i="4"/>
  <c r="A13554" i="4"/>
  <c r="A13553" i="4"/>
  <c r="A13552" i="4"/>
  <c r="A13551" i="4"/>
  <c r="A13550" i="4"/>
  <c r="A13549" i="4"/>
  <c r="A13548" i="4"/>
  <c r="A13547" i="4"/>
  <c r="A13546" i="4"/>
  <c r="A13545" i="4"/>
  <c r="A13544" i="4"/>
  <c r="A13543" i="4"/>
  <c r="A13542" i="4"/>
  <c r="A13541" i="4"/>
  <c r="A13540" i="4"/>
  <c r="A13539" i="4"/>
  <c r="A13538" i="4"/>
  <c r="A13537" i="4"/>
  <c r="A13536" i="4"/>
  <c r="A13535" i="4"/>
  <c r="A13534" i="4"/>
  <c r="A13533" i="4"/>
  <c r="A13532" i="4"/>
  <c r="A13531" i="4"/>
  <c r="A13530" i="4"/>
  <c r="A13529" i="4"/>
  <c r="A13528" i="4"/>
  <c r="A13527" i="4"/>
  <c r="A13526" i="4"/>
  <c r="A13525" i="4"/>
  <c r="A13524" i="4"/>
  <c r="A13523" i="4"/>
  <c r="A13522" i="4"/>
  <c r="A13521" i="4"/>
  <c r="A13520" i="4"/>
  <c r="A13519" i="4"/>
  <c r="A13518" i="4"/>
  <c r="A13517" i="4"/>
  <c r="A13516" i="4"/>
  <c r="A13515" i="4"/>
  <c r="A13514" i="4"/>
  <c r="A13513" i="4"/>
  <c r="A13512" i="4"/>
  <c r="A13511" i="4"/>
  <c r="A13510" i="4"/>
  <c r="A13509" i="4"/>
  <c r="A13508" i="4"/>
  <c r="A13507" i="4"/>
  <c r="A13506" i="4"/>
  <c r="A13505" i="4"/>
  <c r="A13504" i="4"/>
  <c r="A13503" i="4"/>
  <c r="A13502" i="4"/>
  <c r="A13501" i="4"/>
  <c r="A13500" i="4"/>
  <c r="A13499" i="4"/>
  <c r="A13498" i="4"/>
  <c r="A13497" i="4"/>
  <c r="A13496" i="4"/>
  <c r="A13495" i="4"/>
  <c r="A13494" i="4"/>
  <c r="A13493" i="4"/>
  <c r="A13492" i="4"/>
  <c r="A13491" i="4"/>
  <c r="A13490" i="4"/>
  <c r="A13489" i="4"/>
  <c r="A13488" i="4"/>
  <c r="A13487" i="4"/>
  <c r="A13486" i="4"/>
  <c r="A13485" i="4"/>
  <c r="A13484" i="4"/>
  <c r="A13483" i="4"/>
  <c r="A13482" i="4"/>
  <c r="A13481" i="4"/>
  <c r="A13480" i="4"/>
  <c r="A13479" i="4"/>
  <c r="A13478" i="4"/>
  <c r="A13477" i="4"/>
  <c r="A13476" i="4"/>
  <c r="A13475" i="4"/>
  <c r="A13474" i="4"/>
  <c r="A13473" i="4"/>
  <c r="A13472" i="4"/>
  <c r="A13471" i="4"/>
  <c r="A13470" i="4"/>
  <c r="A13469" i="4"/>
  <c r="A13468" i="4"/>
  <c r="A13467" i="4"/>
  <c r="A13466" i="4"/>
  <c r="A13465" i="4"/>
  <c r="A13464" i="4"/>
  <c r="A13463" i="4"/>
  <c r="A13462" i="4"/>
  <c r="A13461" i="4"/>
  <c r="A13460" i="4"/>
  <c r="A13459" i="4"/>
  <c r="A13458" i="4"/>
  <c r="A13457" i="4"/>
  <c r="A13456" i="4"/>
  <c r="A13455" i="4"/>
  <c r="A13454" i="4"/>
  <c r="A13453" i="4"/>
  <c r="A13452" i="4"/>
  <c r="A13451" i="4"/>
  <c r="A13450" i="4"/>
  <c r="A13449" i="4"/>
  <c r="A13448" i="4"/>
  <c r="A13447" i="4"/>
  <c r="A13446" i="4"/>
  <c r="A13445" i="4"/>
  <c r="A13444" i="4"/>
  <c r="A13443" i="4"/>
  <c r="A13442" i="4"/>
  <c r="A13441" i="4"/>
  <c r="A13440" i="4"/>
  <c r="A13439" i="4"/>
  <c r="A13438" i="4"/>
  <c r="A13437" i="4"/>
  <c r="A13436" i="4"/>
  <c r="A13435" i="4"/>
  <c r="A13434" i="4"/>
  <c r="A13433" i="4"/>
  <c r="A13432" i="4"/>
  <c r="A13431" i="4"/>
  <c r="A13430" i="4"/>
  <c r="A13429" i="4"/>
  <c r="A13428" i="4"/>
  <c r="A13427" i="4"/>
  <c r="A13426" i="4"/>
  <c r="A13425" i="4"/>
  <c r="A13424" i="4"/>
  <c r="A13423" i="4"/>
  <c r="A13422" i="4"/>
  <c r="A13421" i="4"/>
  <c r="A13420" i="4"/>
  <c r="A13419" i="4"/>
  <c r="A13418" i="4"/>
  <c r="A13417" i="4"/>
  <c r="A13416" i="4"/>
  <c r="A13415" i="4"/>
  <c r="A13414" i="4"/>
  <c r="A13413" i="4"/>
  <c r="A13412" i="4"/>
  <c r="A13411" i="4"/>
  <c r="A13410" i="4"/>
  <c r="A13409" i="4"/>
  <c r="A13408" i="4"/>
  <c r="A13407" i="4"/>
  <c r="A13406" i="4"/>
  <c r="A13405" i="4"/>
  <c r="A13404" i="4"/>
  <c r="A13403" i="4"/>
  <c r="A13402" i="4"/>
  <c r="A13401" i="4"/>
  <c r="A13400" i="4"/>
  <c r="A13399" i="4"/>
  <c r="A13398" i="4"/>
  <c r="A13397" i="4"/>
  <c r="A13396" i="4"/>
  <c r="A13395" i="4"/>
  <c r="A13394" i="4"/>
  <c r="A13393" i="4"/>
  <c r="A13392" i="4"/>
  <c r="A13391" i="4"/>
  <c r="A13390" i="4"/>
  <c r="A13389" i="4"/>
  <c r="A13388" i="4"/>
  <c r="A13387" i="4"/>
  <c r="A13386" i="4"/>
  <c r="A13385" i="4"/>
  <c r="A13384" i="4"/>
  <c r="A13383" i="4"/>
  <c r="A13382" i="4"/>
  <c r="A13381" i="4"/>
  <c r="A13380" i="4"/>
  <c r="A13379" i="4"/>
  <c r="A13378" i="4"/>
  <c r="A13377" i="4"/>
  <c r="A13376" i="4"/>
  <c r="A13375" i="4"/>
  <c r="A13374" i="4"/>
  <c r="A13373" i="4"/>
  <c r="A13372" i="4"/>
  <c r="A13371" i="4"/>
  <c r="A13370" i="4"/>
  <c r="A13369" i="4"/>
  <c r="A13368" i="4"/>
  <c r="A13367" i="4"/>
  <c r="A13366" i="4"/>
  <c r="A13365" i="4"/>
  <c r="A13364" i="4"/>
  <c r="A13363" i="4"/>
  <c r="A13362" i="4"/>
  <c r="A13361" i="4"/>
  <c r="A13360" i="4"/>
  <c r="A13359" i="4"/>
  <c r="A13358" i="4"/>
  <c r="A13357" i="4"/>
  <c r="A13356" i="4"/>
  <c r="A13355" i="4"/>
  <c r="A13354" i="4"/>
  <c r="A13353" i="4"/>
  <c r="A13352" i="4"/>
  <c r="A13351" i="4"/>
  <c r="A13350" i="4"/>
  <c r="A13349" i="4"/>
  <c r="A13348" i="4"/>
  <c r="A13347" i="4"/>
  <c r="A13346" i="4"/>
  <c r="A13345" i="4"/>
  <c r="A13344" i="4"/>
  <c r="A13343" i="4"/>
  <c r="A13342" i="4"/>
  <c r="A13341" i="4"/>
  <c r="A13340" i="4"/>
  <c r="A13339" i="4"/>
  <c r="A13338" i="4"/>
  <c r="A13337" i="4"/>
  <c r="A13336" i="4"/>
  <c r="A13335" i="4"/>
  <c r="A13334" i="4"/>
  <c r="A13333" i="4"/>
  <c r="A13332" i="4"/>
  <c r="A13331" i="4"/>
  <c r="A13330" i="4"/>
  <c r="A13329" i="4"/>
  <c r="A13328" i="4"/>
  <c r="A13327" i="4"/>
  <c r="A13326" i="4"/>
  <c r="A13325" i="4"/>
  <c r="A13324" i="4"/>
  <c r="A13323" i="4"/>
  <c r="A13322" i="4"/>
  <c r="A13321" i="4"/>
  <c r="A13320" i="4"/>
  <c r="A13319" i="4"/>
  <c r="A13318" i="4"/>
  <c r="A13317" i="4"/>
  <c r="A13316" i="4"/>
  <c r="A13315" i="4"/>
  <c r="A13314" i="4"/>
  <c r="A13313" i="4"/>
  <c r="A13312" i="4"/>
  <c r="A13311" i="4"/>
  <c r="A13310" i="4"/>
  <c r="A13309" i="4"/>
  <c r="A13308" i="4"/>
  <c r="A13307" i="4"/>
  <c r="A13306" i="4"/>
  <c r="A13305" i="4"/>
  <c r="A13304" i="4"/>
  <c r="A13303" i="4"/>
  <c r="A13302" i="4"/>
  <c r="A13301" i="4"/>
  <c r="A13300" i="4"/>
  <c r="A13299" i="4"/>
  <c r="A13298" i="4"/>
  <c r="A13297" i="4"/>
  <c r="A13296" i="4"/>
  <c r="A13295" i="4"/>
  <c r="A13294" i="4"/>
  <c r="A13293" i="4"/>
  <c r="A13292" i="4"/>
  <c r="A13291" i="4"/>
  <c r="A13290" i="4"/>
  <c r="A13289" i="4"/>
  <c r="A13288" i="4"/>
  <c r="A13287" i="4"/>
  <c r="A13286" i="4"/>
  <c r="A13285" i="4"/>
  <c r="A13284" i="4"/>
  <c r="A13283" i="4"/>
  <c r="A13282" i="4"/>
  <c r="A13281" i="4"/>
  <c r="A13280" i="4"/>
  <c r="A13279" i="4"/>
  <c r="A13278" i="4"/>
  <c r="A13277" i="4"/>
  <c r="A13276" i="4"/>
  <c r="A13275" i="4"/>
  <c r="A13274" i="4"/>
  <c r="A13273" i="4"/>
  <c r="A13272" i="4"/>
  <c r="A13271" i="4"/>
  <c r="A13270" i="4"/>
  <c r="A13269" i="4"/>
  <c r="A13268" i="4"/>
  <c r="A13267" i="4"/>
  <c r="A13266" i="4"/>
  <c r="A13265" i="4"/>
  <c r="A13264" i="4"/>
  <c r="A13263" i="4"/>
  <c r="A13262" i="4"/>
  <c r="A13261" i="4"/>
  <c r="A13260" i="4"/>
  <c r="A13259" i="4"/>
  <c r="A13258" i="4"/>
  <c r="A13257" i="4"/>
  <c r="A13256" i="4"/>
  <c r="A13255" i="4"/>
  <c r="A13254" i="4"/>
  <c r="A13253" i="4"/>
  <c r="A13252" i="4"/>
  <c r="A13251" i="4"/>
  <c r="A13250" i="4"/>
  <c r="A13249" i="4"/>
  <c r="A13248" i="4"/>
  <c r="A13247" i="4"/>
  <c r="A13246" i="4"/>
  <c r="A13245" i="4"/>
  <c r="A13244" i="4"/>
  <c r="A13243" i="4"/>
  <c r="A13242" i="4"/>
  <c r="A13241" i="4"/>
  <c r="A13240" i="4"/>
  <c r="A13239" i="4"/>
  <c r="A13238" i="4"/>
  <c r="A13237" i="4"/>
  <c r="A13236" i="4"/>
  <c r="A13235" i="4"/>
  <c r="A13234" i="4"/>
  <c r="A13233" i="4"/>
  <c r="A13232" i="4"/>
  <c r="A13231" i="4"/>
  <c r="A13230" i="4"/>
  <c r="A13229" i="4"/>
  <c r="A13228" i="4"/>
  <c r="A13227" i="4"/>
  <c r="A13226" i="4"/>
  <c r="A13225" i="4"/>
  <c r="A13224" i="4"/>
  <c r="A13223" i="4"/>
  <c r="A13222" i="4"/>
  <c r="A13221" i="4"/>
  <c r="A13220" i="4"/>
  <c r="A13219" i="4"/>
  <c r="A13218" i="4"/>
  <c r="A13217" i="4"/>
  <c r="A13216" i="4"/>
  <c r="A13215" i="4"/>
  <c r="A13214" i="4"/>
  <c r="A13213" i="4"/>
  <c r="A13212" i="4"/>
  <c r="A13211" i="4"/>
  <c r="A13210" i="4"/>
  <c r="A13209" i="4"/>
  <c r="A13208" i="4"/>
  <c r="A13207" i="4"/>
  <c r="A13206" i="4"/>
  <c r="A13205" i="4"/>
  <c r="A13204" i="4"/>
  <c r="A13203" i="4"/>
  <c r="A13202" i="4"/>
  <c r="A13201" i="4"/>
  <c r="A13200" i="4"/>
  <c r="A13199" i="4"/>
  <c r="A13198" i="4"/>
  <c r="A13197" i="4"/>
  <c r="A13196" i="4"/>
  <c r="A13195" i="4"/>
  <c r="A13194" i="4"/>
  <c r="A13193" i="4"/>
  <c r="A13192" i="4"/>
  <c r="A13191" i="4"/>
  <c r="A13190" i="4"/>
  <c r="A13189" i="4"/>
  <c r="A13188" i="4"/>
  <c r="A13187" i="4"/>
  <c r="A13186" i="4"/>
  <c r="A13185" i="4"/>
  <c r="A13184" i="4"/>
  <c r="A13183" i="4"/>
  <c r="A13182" i="4"/>
  <c r="A13181" i="4"/>
  <c r="A13180" i="4"/>
  <c r="A13179" i="4"/>
  <c r="A13178" i="4"/>
  <c r="A13177" i="4"/>
  <c r="A13176" i="4"/>
  <c r="A13175" i="4"/>
  <c r="A13174" i="4"/>
  <c r="A13173" i="4"/>
  <c r="A13172" i="4"/>
  <c r="A13171" i="4"/>
  <c r="A13170" i="4"/>
  <c r="A13169" i="4"/>
  <c r="A13168" i="4"/>
  <c r="A13167" i="4"/>
  <c r="A13166" i="4"/>
  <c r="A13165" i="4"/>
  <c r="A13164" i="4"/>
  <c r="A13163" i="4"/>
  <c r="A13162" i="4"/>
  <c r="A13161" i="4"/>
  <c r="A13160" i="4"/>
  <c r="A13159" i="4"/>
  <c r="A13158" i="4"/>
  <c r="A13157" i="4"/>
  <c r="A13156" i="4"/>
  <c r="A13155" i="4"/>
  <c r="A13154" i="4"/>
  <c r="A13153" i="4"/>
  <c r="A13152" i="4"/>
  <c r="A13151" i="4"/>
  <c r="A13150" i="4"/>
  <c r="A13149" i="4"/>
  <c r="A13148" i="4"/>
  <c r="A13147" i="4"/>
  <c r="A13146" i="4"/>
  <c r="A13145" i="4"/>
  <c r="A13144" i="4"/>
  <c r="A13143" i="4"/>
  <c r="A13142" i="4"/>
  <c r="A13141" i="4"/>
  <c r="A13140" i="4"/>
  <c r="A13139" i="4"/>
  <c r="A13138" i="4"/>
  <c r="A13137" i="4"/>
  <c r="A13136" i="4"/>
  <c r="A13135" i="4"/>
  <c r="A13134" i="4"/>
  <c r="A13133" i="4"/>
  <c r="A13132" i="4"/>
  <c r="A13131" i="4"/>
  <c r="A13130" i="4"/>
  <c r="A13129" i="4"/>
  <c r="A13128" i="4"/>
  <c r="A13127" i="4"/>
  <c r="A13126" i="4"/>
  <c r="A13125" i="4"/>
  <c r="A13124" i="4"/>
  <c r="A13123" i="4"/>
  <c r="A13122" i="4"/>
  <c r="A13121" i="4"/>
  <c r="A13120" i="4"/>
  <c r="A13119" i="4"/>
  <c r="A13118" i="4"/>
  <c r="A13117" i="4"/>
  <c r="A13116" i="4"/>
  <c r="A13115" i="4"/>
  <c r="A13114" i="4"/>
  <c r="A13113" i="4"/>
  <c r="A13112" i="4"/>
  <c r="A13111" i="4"/>
  <c r="A13110" i="4"/>
  <c r="A13109" i="4"/>
  <c r="A13108" i="4"/>
  <c r="A13107" i="4"/>
  <c r="A13106" i="4"/>
  <c r="A13105" i="4"/>
  <c r="A13104" i="4"/>
  <c r="A13103" i="4"/>
  <c r="A13102" i="4"/>
  <c r="A13101" i="4"/>
  <c r="A13100" i="4"/>
  <c r="A13099" i="4"/>
  <c r="A13098" i="4"/>
  <c r="A13097" i="4"/>
  <c r="A13096" i="4"/>
  <c r="A13095" i="4"/>
  <c r="A13094" i="4"/>
  <c r="A13093" i="4"/>
  <c r="A13092" i="4"/>
  <c r="A13091" i="4"/>
  <c r="A13090" i="4"/>
  <c r="A13089" i="4"/>
  <c r="A13088" i="4"/>
  <c r="A13087" i="4"/>
  <c r="A13086" i="4"/>
  <c r="A13085" i="4"/>
  <c r="A13084" i="4"/>
  <c r="A13083" i="4"/>
  <c r="A13082" i="4"/>
  <c r="A13081" i="4"/>
  <c r="A13080" i="4"/>
  <c r="A13079" i="4"/>
  <c r="A13078" i="4"/>
  <c r="A13077" i="4"/>
  <c r="A13076" i="4"/>
  <c r="A13075" i="4"/>
  <c r="A13074" i="4"/>
  <c r="A13073" i="4"/>
  <c r="A13072" i="4"/>
  <c r="A13071" i="4"/>
  <c r="A13070" i="4"/>
  <c r="A13069" i="4"/>
  <c r="A13068" i="4"/>
  <c r="A13067" i="4"/>
  <c r="A13066" i="4"/>
  <c r="A13065" i="4"/>
  <c r="A13064" i="4"/>
  <c r="A13063" i="4"/>
  <c r="A13062" i="4"/>
  <c r="A13061" i="4"/>
  <c r="A13060" i="4"/>
  <c r="A13059" i="4"/>
  <c r="A13058" i="4"/>
  <c r="A13057" i="4"/>
  <c r="A13056" i="4"/>
  <c r="A13055" i="4"/>
  <c r="A13054" i="4"/>
  <c r="A13053" i="4"/>
  <c r="A13052" i="4"/>
  <c r="A13051" i="4"/>
  <c r="A13050" i="4"/>
  <c r="A13049" i="4"/>
  <c r="A13048" i="4"/>
  <c r="A13047" i="4"/>
  <c r="A13046" i="4"/>
  <c r="A13045" i="4"/>
  <c r="A13044" i="4"/>
  <c r="A13043" i="4"/>
  <c r="A13042" i="4"/>
  <c r="A13041" i="4"/>
  <c r="A13040" i="4"/>
  <c r="A13039" i="4"/>
  <c r="A13038" i="4"/>
  <c r="A13037" i="4"/>
  <c r="A13036" i="4"/>
  <c r="A13035" i="4"/>
  <c r="A13034" i="4"/>
  <c r="A13033" i="4"/>
  <c r="A13032" i="4"/>
  <c r="A13031" i="4"/>
  <c r="A13030" i="4"/>
  <c r="A13029" i="4"/>
  <c r="A13028" i="4"/>
  <c r="A13027" i="4"/>
  <c r="A13026" i="4"/>
  <c r="A13025" i="4"/>
  <c r="A13024" i="4"/>
  <c r="A13023" i="4"/>
  <c r="A13022" i="4"/>
  <c r="A13021" i="4"/>
  <c r="A13020" i="4"/>
  <c r="A13019" i="4"/>
  <c r="A13018" i="4"/>
  <c r="A13017" i="4"/>
  <c r="A13016" i="4"/>
  <c r="A13015" i="4"/>
  <c r="A13014" i="4"/>
  <c r="A13013" i="4"/>
  <c r="A13012" i="4"/>
  <c r="A13011" i="4"/>
  <c r="A13010" i="4"/>
  <c r="A13009" i="4"/>
  <c r="A13008" i="4"/>
  <c r="A13007" i="4"/>
  <c r="A13006" i="4"/>
  <c r="A13005" i="4"/>
  <c r="A13004" i="4"/>
  <c r="A13003" i="4"/>
  <c r="A13002" i="4"/>
  <c r="A13001" i="4"/>
  <c r="A13000" i="4"/>
  <c r="A12999" i="4"/>
  <c r="A12998" i="4"/>
  <c r="A12997" i="4"/>
  <c r="A12996" i="4"/>
  <c r="A12995" i="4"/>
  <c r="A12994" i="4"/>
  <c r="A12993" i="4"/>
  <c r="A12992" i="4"/>
  <c r="A12991" i="4"/>
  <c r="A12990" i="4"/>
  <c r="A12989" i="4"/>
  <c r="A12988" i="4"/>
  <c r="A12987" i="4"/>
  <c r="A12986" i="4"/>
  <c r="A12985" i="4"/>
  <c r="A12984" i="4"/>
  <c r="A12983" i="4"/>
  <c r="A12982" i="4"/>
  <c r="A12981" i="4"/>
  <c r="A12980" i="4"/>
  <c r="A12979" i="4"/>
  <c r="A12978" i="4"/>
  <c r="A12977" i="4"/>
  <c r="A12976" i="4"/>
  <c r="A12975" i="4"/>
  <c r="A12974" i="4"/>
  <c r="A12973" i="4"/>
  <c r="A12972" i="4"/>
  <c r="A12971" i="4"/>
  <c r="A12970" i="4"/>
  <c r="A12969" i="4"/>
  <c r="A12968" i="4"/>
  <c r="A12967" i="4"/>
  <c r="A12966" i="4"/>
  <c r="A12965" i="4"/>
  <c r="A12964" i="4"/>
  <c r="A12963" i="4"/>
  <c r="A12962" i="4"/>
  <c r="A12961" i="4"/>
  <c r="A12960" i="4"/>
  <c r="A12959" i="4"/>
  <c r="A12958" i="4"/>
  <c r="A12957" i="4"/>
  <c r="A12956" i="4"/>
  <c r="A12955" i="4"/>
  <c r="A12954" i="4"/>
  <c r="A12953" i="4"/>
  <c r="A12952" i="4"/>
  <c r="A12951" i="4"/>
  <c r="A12950" i="4"/>
  <c r="A12949" i="4"/>
  <c r="A12948" i="4"/>
  <c r="A12947" i="4"/>
  <c r="A12946" i="4"/>
  <c r="A12945" i="4"/>
  <c r="A12944" i="4"/>
  <c r="A12943" i="4"/>
  <c r="A12942" i="4"/>
  <c r="A12941" i="4"/>
  <c r="A12940" i="4"/>
  <c r="A12939" i="4"/>
  <c r="A12938" i="4"/>
  <c r="A12937" i="4"/>
  <c r="A12936" i="4"/>
  <c r="A12935" i="4"/>
  <c r="A12934" i="4"/>
  <c r="A12933" i="4"/>
  <c r="A12932" i="4"/>
  <c r="A12931" i="4"/>
  <c r="A12930" i="4"/>
  <c r="A12929" i="4"/>
  <c r="A12928" i="4"/>
  <c r="A12927" i="4"/>
  <c r="A12926" i="4"/>
  <c r="A12925" i="4"/>
  <c r="A12924" i="4"/>
  <c r="A12923" i="4"/>
  <c r="A12922" i="4"/>
  <c r="A12921" i="4"/>
  <c r="A12920" i="4"/>
  <c r="A12919" i="4"/>
  <c r="A12918" i="4"/>
  <c r="A12917" i="4"/>
  <c r="A12916" i="4"/>
  <c r="A12915" i="4"/>
  <c r="A12914" i="4"/>
  <c r="A12913" i="4"/>
  <c r="A12912" i="4"/>
  <c r="A12911" i="4"/>
  <c r="A12910" i="4"/>
  <c r="A12909" i="4"/>
  <c r="A12908" i="4"/>
  <c r="A12907" i="4"/>
  <c r="A12906" i="4"/>
  <c r="A12905" i="4"/>
  <c r="A12904" i="4"/>
  <c r="A12903" i="4"/>
  <c r="A12902" i="4"/>
  <c r="A12901" i="4"/>
  <c r="A12900" i="4"/>
  <c r="A12899" i="4"/>
  <c r="A12898" i="4"/>
  <c r="A12897" i="4"/>
  <c r="A12896" i="4"/>
  <c r="A12895" i="4"/>
  <c r="A12894" i="4"/>
  <c r="A12893" i="4"/>
  <c r="A12892" i="4"/>
  <c r="A12891" i="4"/>
  <c r="A12890" i="4"/>
  <c r="A12889" i="4"/>
  <c r="A12888" i="4"/>
  <c r="A12887" i="4"/>
  <c r="A12886" i="4"/>
  <c r="A12885" i="4"/>
  <c r="A12884" i="4"/>
  <c r="A12883" i="4"/>
  <c r="A12882" i="4"/>
  <c r="A12881" i="4"/>
  <c r="A12880" i="4"/>
  <c r="A12879" i="4"/>
  <c r="A12878" i="4"/>
  <c r="A12877" i="4"/>
  <c r="A12876" i="4"/>
  <c r="A12875" i="4"/>
  <c r="A12874" i="4"/>
  <c r="A12873" i="4"/>
  <c r="A12872" i="4"/>
  <c r="A12871" i="4"/>
  <c r="A12870" i="4"/>
  <c r="A12869" i="4"/>
  <c r="A12868" i="4"/>
  <c r="A12867" i="4"/>
  <c r="A12866" i="4"/>
  <c r="A12865" i="4"/>
  <c r="A12864" i="4"/>
  <c r="A12863" i="4"/>
  <c r="A12862" i="4"/>
  <c r="A12861" i="4"/>
  <c r="A12860" i="4"/>
  <c r="A12859" i="4"/>
  <c r="A12858" i="4"/>
  <c r="A12857" i="4"/>
  <c r="A12856" i="4"/>
  <c r="A12855" i="4"/>
  <c r="A12854" i="4"/>
  <c r="A12853" i="4"/>
  <c r="A12852" i="4"/>
  <c r="A12851" i="4"/>
  <c r="A12850" i="4"/>
  <c r="A12849" i="4"/>
  <c r="A12848" i="4"/>
  <c r="A12847" i="4"/>
  <c r="A12846" i="4"/>
  <c r="A12845" i="4"/>
  <c r="A12844" i="4"/>
  <c r="A12843" i="4"/>
  <c r="A12842" i="4"/>
  <c r="A12841" i="4"/>
  <c r="A12840" i="4"/>
  <c r="A12839" i="4"/>
  <c r="A12838" i="4"/>
  <c r="A12837" i="4"/>
  <c r="A12836" i="4"/>
  <c r="A12835" i="4"/>
  <c r="A12834" i="4"/>
  <c r="A12833" i="4"/>
  <c r="A12832" i="4"/>
  <c r="A12831" i="4"/>
  <c r="A12830" i="4"/>
  <c r="A12829" i="4"/>
  <c r="A12828" i="4"/>
  <c r="A12827" i="4"/>
  <c r="A12826" i="4"/>
  <c r="A12825" i="4"/>
  <c r="A12824" i="4"/>
  <c r="A12823" i="4"/>
  <c r="A12822" i="4"/>
  <c r="A12821" i="4"/>
  <c r="A12820" i="4"/>
  <c r="A12819" i="4"/>
  <c r="A12818" i="4"/>
  <c r="A12817" i="4"/>
  <c r="A12816" i="4"/>
  <c r="A12815" i="4"/>
  <c r="A12814" i="4"/>
  <c r="A12813" i="4"/>
  <c r="A12812" i="4"/>
  <c r="A12811" i="4"/>
  <c r="A12810" i="4"/>
  <c r="A12809" i="4"/>
  <c r="A12808" i="4"/>
  <c r="A12807" i="4"/>
  <c r="A12806" i="4"/>
  <c r="A12805" i="4"/>
  <c r="A12804" i="4"/>
  <c r="A12803" i="4"/>
  <c r="A12802" i="4"/>
  <c r="A12801" i="4"/>
  <c r="A12800" i="4"/>
  <c r="A12799" i="4"/>
  <c r="A12798" i="4"/>
  <c r="A12797" i="4"/>
  <c r="A12796" i="4"/>
  <c r="A12795" i="4"/>
  <c r="A12794" i="4"/>
  <c r="A12793" i="4"/>
  <c r="A12792" i="4"/>
  <c r="A12791" i="4"/>
  <c r="A12790" i="4"/>
  <c r="A12789" i="4"/>
  <c r="A12788" i="4"/>
  <c r="A12787" i="4"/>
  <c r="A12786" i="4"/>
  <c r="A12785" i="4"/>
  <c r="A12784" i="4"/>
  <c r="A12783" i="4"/>
  <c r="A12782" i="4"/>
  <c r="A12781" i="4"/>
  <c r="A12780" i="4"/>
  <c r="A12779" i="4"/>
  <c r="A12778" i="4"/>
  <c r="A12777" i="4"/>
  <c r="A12776" i="4"/>
  <c r="A12775" i="4"/>
  <c r="A12774" i="4"/>
  <c r="A12773" i="4"/>
  <c r="A12772" i="4"/>
  <c r="A12771" i="4"/>
  <c r="A12770" i="4"/>
  <c r="A12769" i="4"/>
  <c r="A12768" i="4"/>
  <c r="A12767" i="4"/>
  <c r="A12766" i="4"/>
  <c r="A12765" i="4"/>
  <c r="A12764" i="4"/>
  <c r="A12763" i="4"/>
  <c r="A12762" i="4"/>
  <c r="A12761" i="4"/>
  <c r="A12760" i="4"/>
  <c r="A12759" i="4"/>
  <c r="A12758" i="4"/>
  <c r="A12757" i="4"/>
  <c r="A12756" i="4"/>
  <c r="A12755" i="4"/>
  <c r="A12754" i="4"/>
  <c r="A12753" i="4"/>
  <c r="A12752" i="4"/>
  <c r="A12751" i="4"/>
  <c r="A12750" i="4"/>
  <c r="A12749" i="4"/>
  <c r="A12748" i="4"/>
  <c r="A12747" i="4"/>
  <c r="A12746" i="4"/>
  <c r="A12745" i="4"/>
  <c r="A12744" i="4"/>
  <c r="A12743" i="4"/>
  <c r="A12742" i="4"/>
  <c r="A12741" i="4"/>
  <c r="A12740" i="4"/>
  <c r="A12739" i="4"/>
  <c r="A12738" i="4"/>
  <c r="A12737" i="4"/>
  <c r="A12736" i="4"/>
  <c r="A12735" i="4"/>
  <c r="A12734" i="4"/>
  <c r="A12733" i="4"/>
  <c r="A12732" i="4"/>
  <c r="A12731" i="4"/>
  <c r="A12730" i="4"/>
  <c r="A12729" i="4"/>
  <c r="A12728" i="4"/>
  <c r="A12727" i="4"/>
  <c r="A12726" i="4"/>
  <c r="A12725" i="4"/>
  <c r="A12724" i="4"/>
  <c r="A12723" i="4"/>
  <c r="A12722" i="4"/>
  <c r="A12721" i="4"/>
  <c r="A12720" i="4"/>
  <c r="A12719" i="4"/>
  <c r="A12718" i="4"/>
  <c r="A12717" i="4"/>
  <c r="A12716" i="4"/>
  <c r="A12715" i="4"/>
  <c r="A12714" i="4"/>
  <c r="A12713" i="4"/>
  <c r="A12712" i="4"/>
  <c r="A12711" i="4"/>
  <c r="A12710" i="4"/>
  <c r="A12709" i="4"/>
  <c r="A12708" i="4"/>
  <c r="A12707" i="4"/>
  <c r="A12706" i="4"/>
  <c r="A12705" i="4"/>
  <c r="A12704" i="4"/>
  <c r="A12703" i="4"/>
  <c r="A12702" i="4"/>
  <c r="A12701" i="4"/>
  <c r="A12700" i="4"/>
  <c r="A12699" i="4"/>
  <c r="A12698" i="4"/>
  <c r="A12697" i="4"/>
  <c r="A12696" i="4"/>
  <c r="A12695" i="4"/>
  <c r="A12694" i="4"/>
  <c r="A12693" i="4"/>
  <c r="A12692" i="4"/>
  <c r="A12691" i="4"/>
  <c r="A12690" i="4"/>
  <c r="A12689" i="4"/>
  <c r="A12688" i="4"/>
  <c r="A12687" i="4"/>
  <c r="A12686" i="4"/>
  <c r="A12685" i="4"/>
  <c r="A12684" i="4"/>
  <c r="A12683" i="4"/>
  <c r="A12682" i="4"/>
  <c r="A12681" i="4"/>
  <c r="A12680" i="4"/>
  <c r="A12679" i="4"/>
  <c r="A12678" i="4"/>
  <c r="A12677" i="4"/>
  <c r="A12676" i="4"/>
  <c r="A12675" i="4"/>
  <c r="A12674" i="4"/>
  <c r="A12673" i="4"/>
  <c r="A12672" i="4"/>
  <c r="A12671" i="4"/>
  <c r="A12670" i="4"/>
  <c r="A12669" i="4"/>
  <c r="A12668" i="4"/>
  <c r="A12667" i="4"/>
  <c r="A12666" i="4"/>
  <c r="A12665" i="4"/>
  <c r="A12664" i="4"/>
  <c r="A12663" i="4"/>
  <c r="A12662" i="4"/>
  <c r="A12661" i="4"/>
  <c r="A12660" i="4"/>
  <c r="A12659" i="4"/>
  <c r="A12658" i="4"/>
  <c r="A12657" i="4"/>
  <c r="A12656" i="4"/>
  <c r="A12655" i="4"/>
  <c r="A12654" i="4"/>
  <c r="A12653" i="4"/>
  <c r="A12652" i="4"/>
  <c r="A12651" i="4"/>
  <c r="A12650" i="4"/>
  <c r="A12649" i="4"/>
  <c r="A12648" i="4"/>
  <c r="A12647" i="4"/>
  <c r="A12646" i="4"/>
  <c r="A12645" i="4"/>
  <c r="A12644" i="4"/>
  <c r="A12643" i="4"/>
  <c r="A12642" i="4"/>
  <c r="A12641" i="4"/>
  <c r="A12640" i="4"/>
  <c r="A12639" i="4"/>
  <c r="A12638" i="4"/>
  <c r="A12637" i="4"/>
  <c r="A12636" i="4"/>
  <c r="A12635" i="4"/>
  <c r="A12634" i="4"/>
  <c r="A12633" i="4"/>
  <c r="A12632" i="4"/>
  <c r="A12631" i="4"/>
  <c r="A12630" i="4"/>
  <c r="A12629" i="4"/>
  <c r="A12628" i="4"/>
  <c r="A12627" i="4"/>
  <c r="A12626" i="4"/>
  <c r="A12625" i="4"/>
  <c r="A12624" i="4"/>
  <c r="A12623" i="4"/>
  <c r="A12622" i="4"/>
  <c r="A12621" i="4"/>
  <c r="A12620" i="4"/>
  <c r="A12619" i="4"/>
  <c r="A12618" i="4"/>
  <c r="A12617" i="4"/>
  <c r="A12616" i="4"/>
  <c r="A12615" i="4"/>
  <c r="A12614" i="4"/>
  <c r="A12613" i="4"/>
  <c r="A12612" i="4"/>
  <c r="A12611" i="4"/>
  <c r="A12610" i="4"/>
  <c r="A12609" i="4"/>
  <c r="A12608" i="4"/>
  <c r="A12607" i="4"/>
  <c r="A12606" i="4"/>
  <c r="A12605" i="4"/>
  <c r="A12604" i="4"/>
  <c r="A12603" i="4"/>
  <c r="A12602" i="4"/>
  <c r="A12601" i="4"/>
  <c r="A12600" i="4"/>
  <c r="A12599" i="4"/>
  <c r="A12598" i="4"/>
  <c r="A12597" i="4"/>
  <c r="A12596" i="4"/>
  <c r="A12595" i="4"/>
  <c r="A12594" i="4"/>
  <c r="A12593" i="4"/>
  <c r="A12592" i="4"/>
  <c r="A12591" i="4"/>
  <c r="A12590" i="4"/>
  <c r="A12589" i="4"/>
  <c r="A12588" i="4"/>
  <c r="A12587" i="4"/>
  <c r="A12586" i="4"/>
  <c r="A12585" i="4"/>
  <c r="A12584" i="4"/>
  <c r="A12583" i="4"/>
  <c r="A12582" i="4"/>
  <c r="A12581" i="4"/>
  <c r="A12580" i="4"/>
  <c r="A12579" i="4"/>
  <c r="A12578" i="4"/>
  <c r="A12577" i="4"/>
  <c r="A12576" i="4"/>
  <c r="A12575" i="4"/>
  <c r="A12574" i="4"/>
  <c r="A12573" i="4"/>
  <c r="A12572" i="4"/>
  <c r="A12571" i="4"/>
  <c r="A12570" i="4"/>
  <c r="A12569" i="4"/>
  <c r="A12568" i="4"/>
  <c r="A12567" i="4"/>
  <c r="A12566" i="4"/>
  <c r="A12565" i="4"/>
  <c r="A12564" i="4"/>
  <c r="A12563" i="4"/>
  <c r="A12562" i="4"/>
  <c r="A12561" i="4"/>
  <c r="A12560" i="4"/>
  <c r="A12559" i="4"/>
  <c r="A12558" i="4"/>
  <c r="A12557" i="4"/>
  <c r="A12556" i="4"/>
  <c r="A12555" i="4"/>
  <c r="A12554" i="4"/>
  <c r="A12553" i="4"/>
  <c r="A12552" i="4"/>
  <c r="A12551" i="4"/>
  <c r="A12550" i="4"/>
  <c r="A12549" i="4"/>
  <c r="A12548" i="4"/>
  <c r="A12547" i="4"/>
  <c r="A12546" i="4"/>
  <c r="A12545" i="4"/>
  <c r="A12544" i="4"/>
  <c r="A12543" i="4"/>
  <c r="A12542" i="4"/>
  <c r="A12541" i="4"/>
  <c r="A12540" i="4"/>
  <c r="A12539" i="4"/>
  <c r="A12538" i="4"/>
  <c r="A12537" i="4"/>
  <c r="A12536" i="4"/>
  <c r="A12535" i="4"/>
  <c r="A12534" i="4"/>
  <c r="A12533" i="4"/>
  <c r="A12532" i="4"/>
  <c r="A12531" i="4"/>
  <c r="A12530" i="4"/>
  <c r="A12529" i="4"/>
  <c r="A12528" i="4"/>
  <c r="A12527" i="4"/>
  <c r="A12526" i="4"/>
  <c r="A12525" i="4"/>
  <c r="A12524" i="4"/>
  <c r="A12523" i="4"/>
  <c r="A12522" i="4"/>
  <c r="A12521" i="4"/>
  <c r="A12520" i="4"/>
  <c r="A12519" i="4"/>
  <c r="A12518" i="4"/>
  <c r="A12517" i="4"/>
  <c r="A12516" i="4"/>
  <c r="A12515" i="4"/>
  <c r="A12514" i="4"/>
  <c r="A12513" i="4"/>
  <c r="A12512" i="4"/>
  <c r="A12511" i="4"/>
  <c r="A12510" i="4"/>
  <c r="A12509" i="4"/>
  <c r="A12508" i="4"/>
  <c r="A12507" i="4"/>
  <c r="A12506" i="4"/>
  <c r="A12505" i="4"/>
  <c r="A12504" i="4"/>
  <c r="A12503" i="4"/>
  <c r="A12502" i="4"/>
  <c r="A12501" i="4"/>
  <c r="A12500" i="4"/>
  <c r="A12499" i="4"/>
  <c r="A12498" i="4"/>
  <c r="A12497" i="4"/>
  <c r="A12496" i="4"/>
  <c r="A12495" i="4"/>
  <c r="A12494" i="4"/>
  <c r="A12493" i="4"/>
  <c r="A12492" i="4"/>
  <c r="A12491" i="4"/>
  <c r="A12490" i="4"/>
  <c r="A12489" i="4"/>
  <c r="A12488" i="4"/>
  <c r="A12487" i="4"/>
  <c r="A12486" i="4"/>
  <c r="A12485" i="4"/>
  <c r="A12484" i="4"/>
  <c r="A12483" i="4"/>
  <c r="A12482" i="4"/>
  <c r="A12481" i="4"/>
  <c r="A12480" i="4"/>
  <c r="A12479" i="4"/>
  <c r="A12478" i="4"/>
  <c r="A12477" i="4"/>
  <c r="A12476" i="4"/>
  <c r="A12475" i="4"/>
  <c r="A12474" i="4"/>
  <c r="A12473" i="4"/>
  <c r="A12472" i="4"/>
  <c r="A12471" i="4"/>
  <c r="A12470" i="4"/>
  <c r="A12469" i="4"/>
  <c r="A12468" i="4"/>
  <c r="A12467" i="4"/>
  <c r="A12466" i="4"/>
  <c r="A12465" i="4"/>
  <c r="A12464" i="4"/>
  <c r="A12463" i="4"/>
  <c r="A12462" i="4"/>
  <c r="A12461" i="4"/>
  <c r="A12460" i="4"/>
  <c r="A12459" i="4"/>
  <c r="A12458" i="4"/>
  <c r="A12457" i="4"/>
  <c r="A12456" i="4"/>
  <c r="A12455" i="4"/>
  <c r="A12454" i="4"/>
  <c r="A12453" i="4"/>
  <c r="A12452" i="4"/>
  <c r="A12451" i="4"/>
  <c r="A12450" i="4"/>
  <c r="A12449" i="4"/>
  <c r="A12448" i="4"/>
  <c r="A12447" i="4"/>
  <c r="A12446" i="4"/>
  <c r="A12445" i="4"/>
  <c r="A12444" i="4"/>
  <c r="A12443" i="4"/>
  <c r="A12442" i="4"/>
  <c r="A12441" i="4"/>
  <c r="A12440" i="4"/>
  <c r="A12439" i="4"/>
  <c r="A12438" i="4"/>
  <c r="A12437" i="4"/>
  <c r="A12436" i="4"/>
  <c r="A12435" i="4"/>
  <c r="A12434" i="4"/>
  <c r="A12433" i="4"/>
  <c r="A12432" i="4"/>
  <c r="A12431" i="4"/>
  <c r="A12430" i="4"/>
  <c r="A12429" i="4"/>
  <c r="A12428" i="4"/>
  <c r="A12427" i="4"/>
  <c r="A12426" i="4"/>
  <c r="A12425" i="4"/>
  <c r="A12424" i="4"/>
  <c r="A12423" i="4"/>
  <c r="A12422" i="4"/>
  <c r="A12421" i="4"/>
  <c r="A12420" i="4"/>
  <c r="A12419" i="4"/>
  <c r="A12418" i="4"/>
  <c r="A12417" i="4"/>
  <c r="A12416" i="4"/>
  <c r="A12415" i="4"/>
  <c r="A12414" i="4"/>
  <c r="A12413" i="4"/>
  <c r="A12412" i="4"/>
  <c r="A12411" i="4"/>
  <c r="A12410" i="4"/>
  <c r="A12409" i="4"/>
  <c r="A12408" i="4"/>
  <c r="A12407" i="4"/>
  <c r="A12406" i="4"/>
  <c r="A12405" i="4"/>
  <c r="A12404" i="4"/>
  <c r="A12403" i="4"/>
  <c r="A12402" i="4"/>
  <c r="A12401" i="4"/>
  <c r="A12400" i="4"/>
  <c r="A12399" i="4"/>
  <c r="A12398" i="4"/>
  <c r="A12397" i="4"/>
  <c r="A12396" i="4"/>
  <c r="A12395" i="4"/>
  <c r="A12394" i="4"/>
  <c r="A12393" i="4"/>
  <c r="A12392" i="4"/>
  <c r="A12391" i="4"/>
  <c r="A12390" i="4"/>
  <c r="A12389" i="4"/>
  <c r="A12388" i="4"/>
  <c r="A12387" i="4"/>
  <c r="A12386" i="4"/>
  <c r="A12385" i="4"/>
  <c r="A12384" i="4"/>
  <c r="A12383" i="4"/>
  <c r="A12382" i="4"/>
  <c r="A12381" i="4"/>
  <c r="A12380" i="4"/>
  <c r="A12379" i="4"/>
  <c r="A12378" i="4"/>
  <c r="A12377" i="4"/>
  <c r="A12376" i="4"/>
  <c r="A12375" i="4"/>
  <c r="A12374" i="4"/>
  <c r="A12373" i="4"/>
  <c r="A12372" i="4"/>
  <c r="A12371" i="4"/>
  <c r="A12370" i="4"/>
  <c r="A12369" i="4"/>
  <c r="A12368" i="4"/>
  <c r="A12367" i="4"/>
  <c r="A12366" i="4"/>
  <c r="A12365" i="4"/>
  <c r="A12364" i="4"/>
  <c r="A12363" i="4"/>
  <c r="A12362" i="4"/>
  <c r="A12361" i="4"/>
  <c r="A12360" i="4"/>
  <c r="A12359" i="4"/>
  <c r="A12358" i="4"/>
  <c r="A12357" i="4"/>
  <c r="A12356" i="4"/>
  <c r="A12355" i="4"/>
  <c r="A12354" i="4"/>
  <c r="A12353" i="4"/>
  <c r="A12352" i="4"/>
  <c r="A12351" i="4"/>
  <c r="A12350" i="4"/>
  <c r="A12349" i="4"/>
  <c r="A12348" i="4"/>
  <c r="A12347" i="4"/>
  <c r="A12346" i="4"/>
  <c r="A12345" i="4"/>
  <c r="A12344" i="4"/>
  <c r="A12343" i="4"/>
  <c r="A12342" i="4"/>
  <c r="A12341" i="4"/>
  <c r="A12340" i="4"/>
  <c r="A12339" i="4"/>
  <c r="A12338" i="4"/>
  <c r="A12337" i="4"/>
  <c r="A12336" i="4"/>
  <c r="A12335" i="4"/>
  <c r="A12334" i="4"/>
  <c r="A12333" i="4"/>
  <c r="A12332" i="4"/>
  <c r="A12331" i="4"/>
  <c r="A12330" i="4"/>
  <c r="A12329" i="4"/>
  <c r="A12328" i="4"/>
  <c r="A12327" i="4"/>
  <c r="A12326" i="4"/>
  <c r="A12325" i="4"/>
  <c r="A12324" i="4"/>
  <c r="A12323" i="4"/>
  <c r="A12322" i="4"/>
  <c r="A12321" i="4"/>
  <c r="A12320" i="4"/>
  <c r="A12319" i="4"/>
  <c r="A12318" i="4"/>
  <c r="A12317" i="4"/>
  <c r="A12316" i="4"/>
  <c r="A12315" i="4"/>
  <c r="A12314" i="4"/>
  <c r="A12313" i="4"/>
  <c r="A12312" i="4"/>
  <c r="A12311" i="4"/>
  <c r="A12310" i="4"/>
  <c r="A12309" i="4"/>
  <c r="A12308" i="4"/>
  <c r="A12307" i="4"/>
  <c r="A12306" i="4"/>
  <c r="A12305" i="4"/>
  <c r="A12304" i="4"/>
  <c r="A12303" i="4"/>
  <c r="A12302" i="4"/>
  <c r="A12301" i="4"/>
  <c r="A12300" i="4"/>
  <c r="A12299" i="4"/>
  <c r="A12298" i="4"/>
  <c r="A12297" i="4"/>
  <c r="A12296" i="4"/>
  <c r="A12295" i="4"/>
  <c r="A12294" i="4"/>
  <c r="A12293" i="4"/>
  <c r="A12292" i="4"/>
  <c r="A12291" i="4"/>
  <c r="A12290" i="4"/>
  <c r="A12289" i="4"/>
  <c r="A12288" i="4"/>
  <c r="A12287" i="4"/>
  <c r="A12286" i="4"/>
  <c r="A12285" i="4"/>
  <c r="A12284" i="4"/>
  <c r="A12283" i="4"/>
  <c r="A12282" i="4"/>
  <c r="A12281" i="4"/>
  <c r="A12280" i="4"/>
  <c r="A12279" i="4"/>
  <c r="A12278" i="4"/>
  <c r="A12277" i="4"/>
  <c r="A12276" i="4"/>
  <c r="A12275" i="4"/>
  <c r="A12274" i="4"/>
  <c r="A12273" i="4"/>
  <c r="A12272" i="4"/>
  <c r="A12271" i="4"/>
  <c r="A12270" i="4"/>
  <c r="A12269" i="4"/>
  <c r="A12268" i="4"/>
  <c r="A12267" i="4"/>
  <c r="A12266" i="4"/>
  <c r="A12265" i="4"/>
  <c r="A12264" i="4"/>
  <c r="A12263" i="4"/>
  <c r="A12262" i="4"/>
  <c r="A12261" i="4"/>
  <c r="A12260" i="4"/>
  <c r="A12259" i="4"/>
  <c r="A12258" i="4"/>
  <c r="A12257" i="4"/>
  <c r="A12256" i="4"/>
  <c r="A12255" i="4"/>
  <c r="A12254" i="4"/>
  <c r="A12253" i="4"/>
  <c r="A12252" i="4"/>
  <c r="A12251" i="4"/>
  <c r="A12250" i="4"/>
  <c r="A12249" i="4"/>
  <c r="A12248" i="4"/>
  <c r="A12247" i="4"/>
  <c r="A12246" i="4"/>
  <c r="A12245" i="4"/>
  <c r="A12244" i="4"/>
  <c r="A12243" i="4"/>
  <c r="A12242" i="4"/>
  <c r="A12241" i="4"/>
  <c r="A12240" i="4"/>
  <c r="A12239" i="4"/>
  <c r="A12238" i="4"/>
  <c r="A12237" i="4"/>
  <c r="A12236" i="4"/>
  <c r="A12235" i="4"/>
  <c r="A12234" i="4"/>
  <c r="A12233" i="4"/>
  <c r="A12232" i="4"/>
  <c r="A12231" i="4"/>
  <c r="A12230" i="4"/>
  <c r="A12229" i="4"/>
  <c r="A12228" i="4"/>
  <c r="A12227" i="4"/>
  <c r="A12226" i="4"/>
  <c r="A12225" i="4"/>
  <c r="A12224" i="4"/>
  <c r="A12223" i="4"/>
  <c r="A12222" i="4"/>
  <c r="A12221" i="4"/>
  <c r="A12220" i="4"/>
  <c r="A12219" i="4"/>
  <c r="A12218" i="4"/>
  <c r="A12217" i="4"/>
  <c r="A12216" i="4"/>
  <c r="A12215" i="4"/>
  <c r="A12214" i="4"/>
  <c r="A12213" i="4"/>
  <c r="A12212" i="4"/>
  <c r="A12211" i="4"/>
  <c r="A12210" i="4"/>
  <c r="A12209" i="4"/>
  <c r="A12208" i="4"/>
  <c r="A12207" i="4"/>
  <c r="A12206" i="4"/>
  <c r="A12205" i="4"/>
  <c r="A12204" i="4"/>
  <c r="A12203" i="4"/>
  <c r="A12202" i="4"/>
  <c r="A12201" i="4"/>
  <c r="A12200" i="4"/>
  <c r="A12199" i="4"/>
  <c r="A12198" i="4"/>
  <c r="A12197" i="4"/>
  <c r="A12196" i="4"/>
  <c r="A12195" i="4"/>
  <c r="A12194" i="4"/>
  <c r="A12193" i="4"/>
  <c r="A12192" i="4"/>
  <c r="A12191" i="4"/>
  <c r="A12190" i="4"/>
  <c r="A12189" i="4"/>
  <c r="A12188" i="4"/>
  <c r="A12187" i="4"/>
  <c r="A12186" i="4"/>
  <c r="A12185" i="4"/>
  <c r="A12184" i="4"/>
  <c r="A12183" i="4"/>
  <c r="A12182" i="4"/>
  <c r="A12181" i="4"/>
  <c r="A12180" i="4"/>
  <c r="A12179" i="4"/>
  <c r="A12178" i="4"/>
  <c r="A12177" i="4"/>
  <c r="A12176" i="4"/>
  <c r="A12175" i="4"/>
  <c r="A12174" i="4"/>
  <c r="A12173" i="4"/>
  <c r="A12172" i="4"/>
  <c r="A12171" i="4"/>
  <c r="A12170" i="4"/>
  <c r="A12169" i="4"/>
  <c r="A12168" i="4"/>
  <c r="A12167" i="4"/>
  <c r="A12166" i="4"/>
  <c r="A12165" i="4"/>
  <c r="A12164" i="4"/>
  <c r="A12163" i="4"/>
  <c r="A12162" i="4"/>
  <c r="A12161" i="4"/>
  <c r="A12160" i="4"/>
  <c r="A12159" i="4"/>
  <c r="A12158" i="4"/>
  <c r="A12157" i="4"/>
  <c r="A12156" i="4"/>
  <c r="A12155" i="4"/>
  <c r="A12154" i="4"/>
  <c r="A12153" i="4"/>
  <c r="A12152" i="4"/>
  <c r="A12151" i="4"/>
  <c r="A12150" i="4"/>
  <c r="A12149" i="4"/>
  <c r="A12148" i="4"/>
  <c r="A12147" i="4"/>
  <c r="A12146" i="4"/>
  <c r="A12145" i="4"/>
  <c r="A12144" i="4"/>
  <c r="A12143" i="4"/>
  <c r="A12142" i="4"/>
  <c r="A12141" i="4"/>
  <c r="A12140" i="4"/>
  <c r="A12139" i="4"/>
  <c r="A12138" i="4"/>
  <c r="A12137" i="4"/>
  <c r="A12136" i="4"/>
  <c r="A12135" i="4"/>
  <c r="A12134" i="4"/>
  <c r="A12133" i="4"/>
  <c r="A12132" i="4"/>
  <c r="A12131" i="4"/>
  <c r="A12130" i="4"/>
  <c r="A12129" i="4"/>
  <c r="A12128" i="4"/>
  <c r="A12127" i="4"/>
  <c r="A12126" i="4"/>
  <c r="A12125" i="4"/>
  <c r="A12124" i="4"/>
  <c r="A12123" i="4"/>
  <c r="A12122" i="4"/>
  <c r="A12121" i="4"/>
  <c r="A12120" i="4"/>
  <c r="A12119" i="4"/>
  <c r="A12118" i="4"/>
  <c r="A12117" i="4"/>
  <c r="A12116" i="4"/>
  <c r="A12115" i="4"/>
  <c r="A12114" i="4"/>
  <c r="A12113" i="4"/>
  <c r="A12112" i="4"/>
  <c r="A12111" i="4"/>
  <c r="A12110" i="4"/>
  <c r="A12109" i="4"/>
  <c r="A12108" i="4"/>
  <c r="A12107" i="4"/>
  <c r="A12106" i="4"/>
  <c r="A12105" i="4"/>
  <c r="A12104" i="4"/>
  <c r="A12103" i="4"/>
  <c r="A12102" i="4"/>
  <c r="A12101" i="4"/>
  <c r="A12100" i="4"/>
  <c r="A12099" i="4"/>
  <c r="A12098" i="4"/>
  <c r="A12097" i="4"/>
  <c r="A12096" i="4"/>
  <c r="A12095" i="4"/>
  <c r="A12094" i="4"/>
  <c r="A12093" i="4"/>
  <c r="A12092" i="4"/>
  <c r="A12091" i="4"/>
  <c r="A12090" i="4"/>
  <c r="A12089" i="4"/>
  <c r="A12088" i="4"/>
  <c r="A12087" i="4"/>
  <c r="A12086" i="4"/>
  <c r="A12085" i="4"/>
  <c r="A12084" i="4"/>
  <c r="A12083" i="4"/>
  <c r="A12082" i="4"/>
  <c r="A12081" i="4"/>
  <c r="A12080" i="4"/>
  <c r="A12079" i="4"/>
  <c r="A12078" i="4"/>
  <c r="A12077" i="4"/>
  <c r="A12076" i="4"/>
  <c r="A12075" i="4"/>
  <c r="A12074" i="4"/>
  <c r="A12073" i="4"/>
  <c r="A12072" i="4"/>
  <c r="A12071" i="4"/>
  <c r="A12070" i="4"/>
  <c r="A12069" i="4"/>
  <c r="A12068" i="4"/>
  <c r="A12067" i="4"/>
  <c r="A12066" i="4"/>
  <c r="A12065" i="4"/>
  <c r="A12064" i="4"/>
  <c r="A12063" i="4"/>
  <c r="A12062" i="4"/>
  <c r="A12061" i="4"/>
  <c r="A12060" i="4"/>
  <c r="A12059" i="4"/>
  <c r="A12058" i="4"/>
  <c r="A12057" i="4"/>
  <c r="A12056" i="4"/>
  <c r="A12055" i="4"/>
  <c r="A12054" i="4"/>
  <c r="A12053" i="4"/>
  <c r="A12052" i="4"/>
  <c r="A12051" i="4"/>
  <c r="A12050" i="4"/>
  <c r="A12049" i="4"/>
  <c r="A12048" i="4"/>
  <c r="A12047" i="4"/>
  <c r="A12046" i="4"/>
  <c r="A12045" i="4"/>
  <c r="A12044" i="4"/>
  <c r="A12043" i="4"/>
  <c r="A12042" i="4"/>
  <c r="A12041" i="4"/>
  <c r="A12040" i="4"/>
  <c r="A12039" i="4"/>
  <c r="A12038" i="4"/>
  <c r="A12037" i="4"/>
  <c r="A12036" i="4"/>
  <c r="A12035" i="4"/>
  <c r="A12034" i="4"/>
  <c r="A12033" i="4"/>
  <c r="A12032" i="4"/>
  <c r="A12031" i="4"/>
  <c r="A12030" i="4"/>
  <c r="A12029" i="4"/>
  <c r="A12028" i="4"/>
  <c r="A12027" i="4"/>
  <c r="A12026" i="4"/>
  <c r="A12025" i="4"/>
  <c r="A12024" i="4"/>
  <c r="A12023" i="4"/>
  <c r="A12022" i="4"/>
  <c r="A12021" i="4"/>
  <c r="A12020" i="4"/>
  <c r="A12019" i="4"/>
  <c r="A12018" i="4"/>
  <c r="A12017" i="4"/>
  <c r="A12016" i="4"/>
  <c r="A12015" i="4"/>
  <c r="A12014" i="4"/>
  <c r="A12013" i="4"/>
  <c r="A12012" i="4"/>
  <c r="A12011" i="4"/>
  <c r="A12010" i="4"/>
  <c r="A12009" i="4"/>
  <c r="A12008" i="4"/>
  <c r="A12007" i="4"/>
  <c r="A12006" i="4"/>
  <c r="A12005" i="4"/>
  <c r="A12004" i="4"/>
  <c r="A12003" i="4"/>
  <c r="A12002" i="4"/>
  <c r="A12001" i="4"/>
  <c r="A12000" i="4"/>
  <c r="A11999" i="4"/>
  <c r="A11998" i="4"/>
  <c r="A11997" i="4"/>
  <c r="A11996" i="4"/>
  <c r="A11995" i="4"/>
  <c r="A11994" i="4"/>
  <c r="A11993" i="4"/>
  <c r="A11992" i="4"/>
  <c r="A11991" i="4"/>
  <c r="A11990" i="4"/>
  <c r="A11989" i="4"/>
  <c r="A11988" i="4"/>
  <c r="A11987" i="4"/>
  <c r="A11986" i="4"/>
  <c r="A11985" i="4"/>
  <c r="A11984" i="4"/>
  <c r="A11983" i="4"/>
  <c r="A11982" i="4"/>
  <c r="A11981" i="4"/>
  <c r="A11980" i="4"/>
  <c r="A11979" i="4"/>
  <c r="A11978" i="4"/>
  <c r="A11977" i="4"/>
  <c r="A11976" i="4"/>
  <c r="A11975" i="4"/>
  <c r="A11974" i="4"/>
  <c r="A11973" i="4"/>
  <c r="A11972" i="4"/>
  <c r="A11971" i="4"/>
  <c r="A11970" i="4"/>
  <c r="A11969" i="4"/>
  <c r="A11968" i="4"/>
  <c r="A11967" i="4"/>
  <c r="A11966" i="4"/>
  <c r="A11965" i="4"/>
  <c r="A11964" i="4"/>
  <c r="A11963" i="4"/>
  <c r="A11962" i="4"/>
  <c r="A11961" i="4"/>
  <c r="A11960" i="4"/>
  <c r="A11959" i="4"/>
  <c r="A11958" i="4"/>
  <c r="A11957" i="4"/>
  <c r="A11956" i="4"/>
  <c r="A11955" i="4"/>
  <c r="A11954" i="4"/>
  <c r="A11953" i="4"/>
  <c r="A11952" i="4"/>
  <c r="A11951" i="4"/>
  <c r="A11950" i="4"/>
  <c r="A11949" i="4"/>
  <c r="A11948" i="4"/>
  <c r="A11947" i="4"/>
  <c r="A11946" i="4"/>
  <c r="A11945" i="4"/>
  <c r="A11944" i="4"/>
  <c r="A11943" i="4"/>
  <c r="A11942" i="4"/>
  <c r="A11941" i="4"/>
  <c r="A11940" i="4"/>
  <c r="A11939" i="4"/>
  <c r="A11938" i="4"/>
  <c r="A11937" i="4"/>
  <c r="A11936" i="4"/>
  <c r="A11935" i="4"/>
  <c r="A11934" i="4"/>
  <c r="A11933" i="4"/>
  <c r="A11932" i="4"/>
  <c r="A11931" i="4"/>
  <c r="A11930" i="4"/>
  <c r="A11929" i="4"/>
  <c r="A11928" i="4"/>
  <c r="A11927" i="4"/>
  <c r="A11926" i="4"/>
  <c r="A11925" i="4"/>
  <c r="A11924" i="4"/>
  <c r="A11923" i="4"/>
  <c r="A11922" i="4"/>
  <c r="A11921" i="4"/>
  <c r="A11920" i="4"/>
  <c r="A11919" i="4"/>
  <c r="A11918" i="4"/>
  <c r="A11917" i="4"/>
  <c r="A11916" i="4"/>
  <c r="A11915" i="4"/>
  <c r="A11914" i="4"/>
  <c r="A11913" i="4"/>
  <c r="A11912" i="4"/>
  <c r="A11911" i="4"/>
  <c r="A11910" i="4"/>
  <c r="A11909" i="4"/>
  <c r="A11908" i="4"/>
  <c r="A11907" i="4"/>
  <c r="A11906" i="4"/>
  <c r="A11905" i="4"/>
  <c r="A11904" i="4"/>
  <c r="A11903" i="4"/>
  <c r="A11902" i="4"/>
  <c r="A11901" i="4"/>
  <c r="A11900" i="4"/>
  <c r="A11899" i="4"/>
  <c r="A11898" i="4"/>
  <c r="A11897" i="4"/>
  <c r="A11896" i="4"/>
  <c r="A11895" i="4"/>
  <c r="A11894" i="4"/>
  <c r="A11893" i="4"/>
  <c r="A11892" i="4"/>
  <c r="A11891" i="4"/>
  <c r="A11890" i="4"/>
  <c r="A11889" i="4"/>
  <c r="A11888" i="4"/>
  <c r="A11887" i="4"/>
  <c r="A11886" i="4"/>
  <c r="A11885" i="4"/>
  <c r="A11884" i="4"/>
  <c r="A11883" i="4"/>
  <c r="A11882" i="4"/>
  <c r="A11881" i="4"/>
  <c r="A11880" i="4"/>
  <c r="A11879" i="4"/>
  <c r="A11878" i="4"/>
  <c r="A11877" i="4"/>
  <c r="A11876" i="4"/>
  <c r="A11875" i="4"/>
  <c r="A11874" i="4"/>
  <c r="A11873" i="4"/>
  <c r="A11872" i="4"/>
  <c r="A11871" i="4"/>
  <c r="A11870" i="4"/>
  <c r="A11869" i="4"/>
  <c r="A11868" i="4"/>
  <c r="A11867" i="4"/>
  <c r="A11866" i="4"/>
  <c r="A11865" i="4"/>
  <c r="A11864" i="4"/>
  <c r="A11863" i="4"/>
  <c r="A11862" i="4"/>
  <c r="A11861" i="4"/>
  <c r="A11860" i="4"/>
  <c r="A11859" i="4"/>
  <c r="A11858" i="4"/>
  <c r="A11857" i="4"/>
  <c r="A11856" i="4"/>
  <c r="A11855" i="4"/>
  <c r="A11854" i="4"/>
  <c r="A11853" i="4"/>
  <c r="A11852" i="4"/>
  <c r="A11851" i="4"/>
  <c r="A11850" i="4"/>
  <c r="A11849" i="4"/>
  <c r="A11848" i="4"/>
  <c r="A11847" i="4"/>
  <c r="A11846" i="4"/>
  <c r="A11845" i="4"/>
  <c r="A11844" i="4"/>
  <c r="A11843" i="4"/>
  <c r="A11842" i="4"/>
  <c r="A11841" i="4"/>
  <c r="A11840" i="4"/>
  <c r="A11839" i="4"/>
  <c r="A11838" i="4"/>
  <c r="A11837" i="4"/>
  <c r="A11836" i="4"/>
  <c r="A11835" i="4"/>
  <c r="A11834" i="4"/>
  <c r="A11833" i="4"/>
  <c r="A11832" i="4"/>
  <c r="A11831" i="4"/>
  <c r="A11830" i="4"/>
  <c r="A11829" i="4"/>
  <c r="A11828" i="4"/>
  <c r="A11827" i="4"/>
  <c r="A11826" i="4"/>
  <c r="A11825" i="4"/>
  <c r="A11824" i="4"/>
  <c r="A11823" i="4"/>
  <c r="A11822" i="4"/>
  <c r="A11821" i="4"/>
  <c r="A11820" i="4"/>
  <c r="A11819" i="4"/>
  <c r="A11818" i="4"/>
  <c r="A11817" i="4"/>
  <c r="A11816" i="4"/>
  <c r="A11815" i="4"/>
  <c r="A11814" i="4"/>
  <c r="A11813" i="4"/>
  <c r="A11812" i="4"/>
  <c r="A11811" i="4"/>
  <c r="A11810" i="4"/>
  <c r="A11809" i="4"/>
  <c r="A11808" i="4"/>
  <c r="A11807" i="4"/>
  <c r="A11806" i="4"/>
  <c r="A11805" i="4"/>
  <c r="A11804" i="4"/>
  <c r="A11803" i="4"/>
  <c r="A11802" i="4"/>
  <c r="A11801" i="4"/>
  <c r="A11800" i="4"/>
  <c r="A11799" i="4"/>
  <c r="A11798" i="4"/>
  <c r="A11797" i="4"/>
  <c r="A11796" i="4"/>
  <c r="A11795" i="4"/>
  <c r="A11794" i="4"/>
  <c r="A11793" i="4"/>
  <c r="A11792" i="4"/>
  <c r="A11791" i="4"/>
  <c r="A11790" i="4"/>
  <c r="A11789" i="4"/>
  <c r="A11788" i="4"/>
  <c r="A11787" i="4"/>
  <c r="A11786" i="4"/>
  <c r="A11785" i="4"/>
  <c r="A11784" i="4"/>
  <c r="A11783" i="4"/>
  <c r="A11782" i="4"/>
  <c r="A11781" i="4"/>
  <c r="A11780" i="4"/>
  <c r="A11779" i="4"/>
  <c r="A11778" i="4"/>
  <c r="A11777" i="4"/>
  <c r="A11776" i="4"/>
  <c r="A11775" i="4"/>
  <c r="A11774" i="4"/>
  <c r="A11773" i="4"/>
  <c r="A11772" i="4"/>
  <c r="A11771" i="4"/>
  <c r="A11770" i="4"/>
  <c r="A11769" i="4"/>
  <c r="A11768" i="4"/>
  <c r="A11767" i="4"/>
  <c r="A11766" i="4"/>
  <c r="A11765" i="4"/>
  <c r="A11764" i="4"/>
  <c r="A11763" i="4"/>
  <c r="A11762" i="4"/>
  <c r="A11761" i="4"/>
  <c r="A11760" i="4"/>
  <c r="A11759" i="4"/>
  <c r="A11758" i="4"/>
  <c r="A11757" i="4"/>
  <c r="A11756" i="4"/>
  <c r="A11755" i="4"/>
  <c r="A11754" i="4"/>
  <c r="A11753" i="4"/>
  <c r="A11752" i="4"/>
  <c r="A11751" i="4"/>
  <c r="A11750" i="4"/>
  <c r="A11749" i="4"/>
  <c r="A11748" i="4"/>
  <c r="A11747" i="4"/>
  <c r="A11746" i="4"/>
  <c r="A11745" i="4"/>
  <c r="A11744" i="4"/>
  <c r="A11743" i="4"/>
  <c r="A11742" i="4"/>
  <c r="A11741" i="4"/>
  <c r="A11740" i="4"/>
  <c r="A11739" i="4"/>
  <c r="A11738" i="4"/>
  <c r="A11737" i="4"/>
  <c r="A11736" i="4"/>
  <c r="A11735" i="4"/>
  <c r="A11734" i="4"/>
  <c r="A11733" i="4"/>
  <c r="A11732" i="4"/>
  <c r="A11731" i="4"/>
  <c r="A11730" i="4"/>
  <c r="A11729" i="4"/>
  <c r="A11728" i="4"/>
  <c r="A11727" i="4"/>
  <c r="A11726" i="4"/>
  <c r="A11725" i="4"/>
  <c r="A11724" i="4"/>
  <c r="A11723" i="4"/>
  <c r="A11722" i="4"/>
  <c r="A11721" i="4"/>
  <c r="A11720" i="4"/>
  <c r="A11719" i="4"/>
  <c r="A11718" i="4"/>
  <c r="A11717" i="4"/>
  <c r="A11716" i="4"/>
  <c r="A11715" i="4"/>
  <c r="A11714" i="4"/>
  <c r="A11713" i="4"/>
  <c r="A11712" i="4"/>
  <c r="A11711" i="4"/>
  <c r="A11710" i="4"/>
  <c r="A11709" i="4"/>
  <c r="A11708" i="4"/>
  <c r="A11707" i="4"/>
  <c r="A11706" i="4"/>
  <c r="A11705" i="4"/>
  <c r="A11704" i="4"/>
  <c r="A11703" i="4"/>
  <c r="A11702" i="4"/>
  <c r="A11701" i="4"/>
  <c r="A11700" i="4"/>
  <c r="A11699" i="4"/>
  <c r="A11698" i="4"/>
  <c r="A11697" i="4"/>
  <c r="A11696" i="4"/>
  <c r="A11695" i="4"/>
  <c r="A11694" i="4"/>
  <c r="A11693" i="4"/>
  <c r="A11692" i="4"/>
  <c r="A11691" i="4"/>
  <c r="A11690" i="4"/>
  <c r="A11689" i="4"/>
  <c r="A11688" i="4"/>
  <c r="A11687" i="4"/>
  <c r="A11686" i="4"/>
  <c r="A11685" i="4"/>
  <c r="A11684" i="4"/>
  <c r="A11683" i="4"/>
  <c r="A11682" i="4"/>
  <c r="A11681" i="4"/>
  <c r="A11680" i="4"/>
  <c r="A11679" i="4"/>
  <c r="A11678" i="4"/>
  <c r="A11677" i="4"/>
  <c r="A11676" i="4"/>
  <c r="A11675" i="4"/>
  <c r="A11674" i="4"/>
  <c r="A11673" i="4"/>
  <c r="A11672" i="4"/>
  <c r="A11671" i="4"/>
  <c r="A11670" i="4"/>
  <c r="A11669" i="4"/>
  <c r="A11668" i="4"/>
  <c r="A11667" i="4"/>
  <c r="A11666" i="4"/>
  <c r="A11665" i="4"/>
  <c r="A11664" i="4"/>
  <c r="A11663" i="4"/>
  <c r="A11662" i="4"/>
  <c r="A11661" i="4"/>
  <c r="A11660" i="4"/>
  <c r="A11659" i="4"/>
  <c r="A11658" i="4"/>
  <c r="A11657" i="4"/>
  <c r="A11656" i="4"/>
  <c r="A11655" i="4"/>
  <c r="A11654" i="4"/>
  <c r="A11653" i="4"/>
  <c r="A11652" i="4"/>
  <c r="A11651" i="4"/>
  <c r="A11650" i="4"/>
  <c r="A11649" i="4"/>
  <c r="A11648" i="4"/>
  <c r="A11647" i="4"/>
  <c r="A11646" i="4"/>
  <c r="A11645" i="4"/>
  <c r="A11644" i="4"/>
  <c r="A11643" i="4"/>
  <c r="A11642" i="4"/>
  <c r="A11641" i="4"/>
  <c r="A11640" i="4"/>
  <c r="A11639" i="4"/>
  <c r="A11638" i="4"/>
  <c r="A11637" i="4"/>
  <c r="A11636" i="4"/>
  <c r="A11635" i="4"/>
  <c r="A11634" i="4"/>
  <c r="A11633" i="4"/>
  <c r="A11632" i="4"/>
  <c r="A11631" i="4"/>
  <c r="A11630" i="4"/>
  <c r="A11629" i="4"/>
  <c r="A11628" i="4"/>
  <c r="A11627" i="4"/>
  <c r="A11626" i="4"/>
  <c r="A11625" i="4"/>
  <c r="A11624" i="4"/>
  <c r="A11623" i="4"/>
  <c r="A11622" i="4"/>
  <c r="A11621" i="4"/>
  <c r="A11620" i="4"/>
  <c r="A11619" i="4"/>
  <c r="A11618" i="4"/>
  <c r="A11617" i="4"/>
  <c r="A11616" i="4"/>
  <c r="A11615" i="4"/>
  <c r="A11614" i="4"/>
  <c r="A11613" i="4"/>
  <c r="A11612" i="4"/>
  <c r="A11611" i="4"/>
  <c r="A11610" i="4"/>
  <c r="A11609" i="4"/>
  <c r="A11608" i="4"/>
  <c r="A11607" i="4"/>
  <c r="A11606" i="4"/>
  <c r="A11605" i="4"/>
  <c r="A11604" i="4"/>
  <c r="A11603" i="4"/>
  <c r="A11602" i="4"/>
  <c r="A11601" i="4"/>
  <c r="A11600" i="4"/>
  <c r="A11599" i="4"/>
  <c r="A11598" i="4"/>
  <c r="A11597" i="4"/>
  <c r="A11596" i="4"/>
  <c r="A11595" i="4"/>
  <c r="A11594" i="4"/>
  <c r="A11593" i="4"/>
  <c r="A11592" i="4"/>
  <c r="A11591" i="4"/>
  <c r="A11590" i="4"/>
  <c r="A11589" i="4"/>
  <c r="A11588" i="4"/>
  <c r="A11587" i="4"/>
  <c r="A11586" i="4"/>
  <c r="A11585" i="4"/>
  <c r="A11584" i="4"/>
  <c r="A11583" i="4"/>
  <c r="A11582" i="4"/>
  <c r="A11581" i="4"/>
  <c r="A11580" i="4"/>
  <c r="A11579" i="4"/>
  <c r="A11578" i="4"/>
  <c r="A11577" i="4"/>
  <c r="A11576" i="4"/>
  <c r="A11575" i="4"/>
  <c r="A11574" i="4"/>
  <c r="A11573" i="4"/>
  <c r="A11572" i="4"/>
  <c r="A11571" i="4"/>
  <c r="A11570" i="4"/>
  <c r="A11569" i="4"/>
  <c r="A11568" i="4"/>
  <c r="A11567" i="4"/>
  <c r="A11566" i="4"/>
  <c r="A11565" i="4"/>
  <c r="A11564" i="4"/>
  <c r="A11563" i="4"/>
  <c r="A11562" i="4"/>
  <c r="A11561" i="4"/>
  <c r="A11560" i="4"/>
  <c r="A11559" i="4"/>
  <c r="A11558" i="4"/>
  <c r="A11557" i="4"/>
  <c r="A11556" i="4"/>
  <c r="A11555" i="4"/>
  <c r="A11554" i="4"/>
  <c r="A11553" i="4"/>
  <c r="A11552" i="4"/>
  <c r="A11551" i="4"/>
  <c r="A11550" i="4"/>
  <c r="A11549" i="4"/>
  <c r="A11548" i="4"/>
  <c r="A11547" i="4"/>
  <c r="A11546" i="4"/>
  <c r="A11545" i="4"/>
  <c r="A11544" i="4"/>
  <c r="A11543" i="4"/>
  <c r="A11542" i="4"/>
  <c r="A11541" i="4"/>
  <c r="A11540" i="4"/>
  <c r="A11539" i="4"/>
  <c r="A11538" i="4"/>
  <c r="A11537" i="4"/>
  <c r="A11536" i="4"/>
  <c r="A11535" i="4"/>
  <c r="A11534" i="4"/>
  <c r="A11533" i="4"/>
  <c r="A11532" i="4"/>
  <c r="A11531" i="4"/>
  <c r="A11530" i="4"/>
  <c r="A11529" i="4"/>
  <c r="A11528" i="4"/>
  <c r="A11527" i="4"/>
  <c r="A11526" i="4"/>
  <c r="A11525" i="4"/>
  <c r="A11524" i="4"/>
  <c r="A11523" i="4"/>
  <c r="A11522" i="4"/>
  <c r="A11521" i="4"/>
  <c r="A11520" i="4"/>
  <c r="A11519" i="4"/>
  <c r="A11518" i="4"/>
  <c r="A11517" i="4"/>
  <c r="A11516" i="4"/>
  <c r="A11515" i="4"/>
  <c r="A11514" i="4"/>
  <c r="A11513" i="4"/>
  <c r="A11512" i="4"/>
  <c r="A11511" i="4"/>
  <c r="A11510" i="4"/>
  <c r="A11509" i="4"/>
  <c r="A11508" i="4"/>
  <c r="A11507" i="4"/>
  <c r="A11506" i="4"/>
  <c r="A11505" i="4"/>
  <c r="A11504" i="4"/>
  <c r="A11503" i="4"/>
  <c r="A11502" i="4"/>
  <c r="A11501" i="4"/>
  <c r="A11500" i="4"/>
  <c r="A11499" i="4"/>
  <c r="A11498" i="4"/>
  <c r="A11497" i="4"/>
  <c r="A11496" i="4"/>
  <c r="A11495" i="4"/>
  <c r="A11494" i="4"/>
  <c r="A11493" i="4"/>
  <c r="A11492" i="4"/>
  <c r="A11491" i="4"/>
  <c r="A11490" i="4"/>
  <c r="A11489" i="4"/>
  <c r="A11488" i="4"/>
  <c r="A11487" i="4"/>
  <c r="A11486" i="4"/>
  <c r="A11485" i="4"/>
  <c r="A11484" i="4"/>
  <c r="A11483" i="4"/>
  <c r="A11482" i="4"/>
  <c r="A11481" i="4"/>
  <c r="A11480" i="4"/>
  <c r="A11479" i="4"/>
  <c r="A11478" i="4"/>
  <c r="A11477" i="4"/>
  <c r="A11476" i="4"/>
  <c r="A11475" i="4"/>
  <c r="A11474" i="4"/>
  <c r="A11473" i="4"/>
  <c r="A11472" i="4"/>
  <c r="A11471" i="4"/>
  <c r="A11470" i="4"/>
  <c r="A11469" i="4"/>
  <c r="A11468" i="4"/>
  <c r="A11467" i="4"/>
  <c r="A11466" i="4"/>
  <c r="A11465" i="4"/>
  <c r="A11464" i="4"/>
  <c r="A11463" i="4"/>
  <c r="A11462" i="4"/>
  <c r="A11461" i="4"/>
  <c r="A11460" i="4"/>
  <c r="A11459" i="4"/>
  <c r="A11458" i="4"/>
  <c r="A11457" i="4"/>
  <c r="A11456" i="4"/>
  <c r="A11455" i="4"/>
  <c r="A11454" i="4"/>
  <c r="A11453" i="4"/>
  <c r="A11452" i="4"/>
  <c r="A11451" i="4"/>
  <c r="A11450" i="4"/>
  <c r="A11449" i="4"/>
  <c r="A11448" i="4"/>
  <c r="A11447" i="4"/>
  <c r="A11446" i="4"/>
  <c r="A11445" i="4"/>
  <c r="A11444" i="4"/>
  <c r="A11443" i="4"/>
  <c r="A11442" i="4"/>
  <c r="A11441" i="4"/>
  <c r="A11440" i="4"/>
  <c r="A11439" i="4"/>
  <c r="A11438" i="4"/>
  <c r="A11437" i="4"/>
  <c r="A11436" i="4"/>
  <c r="A11435" i="4"/>
  <c r="A11434" i="4"/>
  <c r="A11433" i="4"/>
  <c r="A11432" i="4"/>
  <c r="A11431" i="4"/>
  <c r="A11430" i="4"/>
  <c r="A11429" i="4"/>
  <c r="A11428" i="4"/>
  <c r="A11427" i="4"/>
  <c r="A11426" i="4"/>
  <c r="A11425" i="4"/>
  <c r="A11424" i="4"/>
  <c r="A11423" i="4"/>
  <c r="A11422" i="4"/>
  <c r="A11421" i="4"/>
  <c r="A11420" i="4"/>
  <c r="A11419" i="4"/>
  <c r="A11418" i="4"/>
  <c r="A11417" i="4"/>
  <c r="A11416" i="4"/>
  <c r="A11415" i="4"/>
  <c r="A11414" i="4"/>
  <c r="A11413" i="4"/>
  <c r="A11412" i="4"/>
  <c r="A11411" i="4"/>
  <c r="A11410" i="4"/>
  <c r="A11409" i="4"/>
  <c r="A11408" i="4"/>
  <c r="A11407" i="4"/>
  <c r="A11406" i="4"/>
  <c r="A11405" i="4"/>
  <c r="A11404" i="4"/>
  <c r="A11403" i="4"/>
  <c r="A11402" i="4"/>
  <c r="A11401" i="4"/>
  <c r="A11400" i="4"/>
  <c r="A11399" i="4"/>
  <c r="A11398" i="4"/>
  <c r="A11397" i="4"/>
  <c r="A11396" i="4"/>
  <c r="A11395" i="4"/>
  <c r="A11394" i="4"/>
  <c r="A11393" i="4"/>
  <c r="A11392" i="4"/>
  <c r="A11391" i="4"/>
  <c r="A11390" i="4"/>
  <c r="A11389" i="4"/>
  <c r="A11388" i="4"/>
  <c r="A11387" i="4"/>
  <c r="A11386" i="4"/>
  <c r="A11385" i="4"/>
  <c r="A11384" i="4"/>
  <c r="A11383" i="4"/>
  <c r="A11382" i="4"/>
  <c r="A11381" i="4"/>
  <c r="A11380" i="4"/>
  <c r="A11379" i="4"/>
  <c r="A11378" i="4"/>
  <c r="A11377" i="4"/>
  <c r="A11376" i="4"/>
  <c r="A11375" i="4"/>
  <c r="A11374" i="4"/>
  <c r="A11373" i="4"/>
  <c r="A11372" i="4"/>
  <c r="A11371" i="4"/>
  <c r="A11370" i="4"/>
  <c r="A11369" i="4"/>
  <c r="A11368" i="4"/>
  <c r="A11367" i="4"/>
  <c r="A11366" i="4"/>
  <c r="A11365" i="4"/>
  <c r="A11364" i="4"/>
  <c r="A11363" i="4"/>
  <c r="A11362" i="4"/>
  <c r="A11361" i="4"/>
  <c r="A11360" i="4"/>
  <c r="A11359" i="4"/>
  <c r="A11358" i="4"/>
  <c r="A11357" i="4"/>
  <c r="A11356" i="4"/>
  <c r="A11355" i="4"/>
  <c r="A11354" i="4"/>
  <c r="A11353" i="4"/>
  <c r="A11352" i="4"/>
  <c r="A11351" i="4"/>
  <c r="A11350" i="4"/>
  <c r="A11349" i="4"/>
  <c r="A11348" i="4"/>
  <c r="A11347" i="4"/>
  <c r="A11346" i="4"/>
  <c r="A11345" i="4"/>
  <c r="A11344" i="4"/>
  <c r="A11343" i="4"/>
  <c r="A11342" i="4"/>
  <c r="A11341" i="4"/>
  <c r="A11340" i="4"/>
  <c r="A11339" i="4"/>
  <c r="A11338" i="4"/>
  <c r="A11337" i="4"/>
  <c r="A11336" i="4"/>
  <c r="A11335" i="4"/>
  <c r="A11334" i="4"/>
  <c r="A11333" i="4"/>
  <c r="A11332" i="4"/>
  <c r="A11331" i="4"/>
  <c r="A11330" i="4"/>
  <c r="A11329" i="4"/>
  <c r="A11328" i="4"/>
  <c r="A11327" i="4"/>
  <c r="A11326" i="4"/>
  <c r="A11325" i="4"/>
  <c r="A11324" i="4"/>
  <c r="A11323" i="4"/>
  <c r="A11322" i="4"/>
  <c r="A11321" i="4"/>
  <c r="A11320" i="4"/>
  <c r="A11319" i="4"/>
  <c r="A11318" i="4"/>
  <c r="A11317" i="4"/>
  <c r="A11316" i="4"/>
  <c r="A11315" i="4"/>
  <c r="A11314" i="4"/>
  <c r="A11313" i="4"/>
  <c r="A11312" i="4"/>
  <c r="A11311" i="4"/>
  <c r="A11310" i="4"/>
  <c r="A11309" i="4"/>
  <c r="A11308" i="4"/>
  <c r="A11307" i="4"/>
  <c r="A11306" i="4"/>
  <c r="A11305" i="4"/>
  <c r="A11304" i="4"/>
  <c r="A11303" i="4"/>
  <c r="A11302" i="4"/>
  <c r="A11301" i="4"/>
  <c r="A11300" i="4"/>
  <c r="A11299" i="4"/>
  <c r="A11298" i="4"/>
  <c r="A11297" i="4"/>
  <c r="A11296" i="4"/>
  <c r="A11295" i="4"/>
  <c r="A11294" i="4"/>
  <c r="A11293" i="4"/>
  <c r="A11292" i="4"/>
  <c r="A11291" i="4"/>
  <c r="A11290" i="4"/>
  <c r="A11289" i="4"/>
  <c r="A11288" i="4"/>
  <c r="A11287" i="4"/>
  <c r="A11286" i="4"/>
  <c r="A11285" i="4"/>
  <c r="A11284" i="4"/>
  <c r="A11283" i="4"/>
  <c r="A11282" i="4"/>
  <c r="A11281" i="4"/>
  <c r="A11280" i="4"/>
  <c r="A11279" i="4"/>
  <c r="A11278" i="4"/>
  <c r="A11277" i="4"/>
  <c r="A11276" i="4"/>
  <c r="A11275" i="4"/>
  <c r="A11274" i="4"/>
  <c r="A11273" i="4"/>
  <c r="A11272" i="4"/>
  <c r="A11271" i="4"/>
  <c r="A11270" i="4"/>
  <c r="A11269" i="4"/>
  <c r="A11268" i="4"/>
  <c r="A11267" i="4"/>
  <c r="A11266" i="4"/>
  <c r="A11265" i="4"/>
  <c r="A11264" i="4"/>
  <c r="A11263" i="4"/>
  <c r="A11262" i="4"/>
  <c r="A11261" i="4"/>
  <c r="A11260" i="4"/>
  <c r="A11259" i="4"/>
  <c r="A11258" i="4"/>
  <c r="A11257" i="4"/>
  <c r="A11256" i="4"/>
  <c r="A11255" i="4"/>
  <c r="A11254" i="4"/>
  <c r="A11253" i="4"/>
  <c r="A11252" i="4"/>
  <c r="A11251" i="4"/>
  <c r="A11250" i="4"/>
  <c r="A11249" i="4"/>
  <c r="A11248" i="4"/>
  <c r="A11247" i="4"/>
  <c r="A11246" i="4"/>
  <c r="A11245" i="4"/>
  <c r="A11244" i="4"/>
  <c r="A11243" i="4"/>
  <c r="A11242" i="4"/>
  <c r="A11241" i="4"/>
  <c r="A11240" i="4"/>
  <c r="A11239" i="4"/>
  <c r="A11238" i="4"/>
  <c r="A11237" i="4"/>
  <c r="A11236" i="4"/>
  <c r="A11235" i="4"/>
  <c r="A11234" i="4"/>
  <c r="A11233" i="4"/>
  <c r="A11232" i="4"/>
  <c r="A11231" i="4"/>
  <c r="A11230" i="4"/>
  <c r="A11229" i="4"/>
  <c r="A11228" i="4"/>
  <c r="A11227" i="4"/>
  <c r="A11226" i="4"/>
  <c r="A11225" i="4"/>
  <c r="A11224" i="4"/>
  <c r="A11223" i="4"/>
  <c r="A11222" i="4"/>
  <c r="A11221" i="4"/>
  <c r="A11220" i="4"/>
  <c r="A11219" i="4"/>
  <c r="A11218" i="4"/>
  <c r="A11217" i="4"/>
  <c r="A11216" i="4"/>
  <c r="A11215" i="4"/>
  <c r="A11214" i="4"/>
  <c r="A11213" i="4"/>
  <c r="A11212" i="4"/>
  <c r="A11211" i="4"/>
  <c r="A11210" i="4"/>
  <c r="A11209" i="4"/>
  <c r="A11208" i="4"/>
  <c r="A11207" i="4"/>
  <c r="A11206" i="4"/>
  <c r="A11205" i="4"/>
  <c r="A11204" i="4"/>
  <c r="A11203" i="4"/>
  <c r="A11202" i="4"/>
  <c r="A11201" i="4"/>
  <c r="A11200" i="4"/>
  <c r="A11199" i="4"/>
  <c r="A11198" i="4"/>
  <c r="A11197" i="4"/>
  <c r="A11196" i="4"/>
  <c r="A11195" i="4"/>
  <c r="A11194" i="4"/>
  <c r="A11193" i="4"/>
  <c r="A11192" i="4"/>
  <c r="A11191" i="4"/>
  <c r="A11190" i="4"/>
  <c r="A11189" i="4"/>
  <c r="A11188" i="4"/>
  <c r="A11187" i="4"/>
  <c r="A11186" i="4"/>
  <c r="A11185" i="4"/>
  <c r="A11184" i="4"/>
  <c r="A11183" i="4"/>
  <c r="A11182" i="4"/>
  <c r="A11181" i="4"/>
  <c r="A11180" i="4"/>
  <c r="A11179" i="4"/>
  <c r="A11178" i="4"/>
  <c r="A11177" i="4"/>
  <c r="A11176" i="4"/>
  <c r="A11175" i="4"/>
  <c r="A11174" i="4"/>
  <c r="A11173" i="4"/>
  <c r="A11172" i="4"/>
  <c r="A11171" i="4"/>
  <c r="A11170" i="4"/>
  <c r="A11169" i="4"/>
  <c r="A11168" i="4"/>
  <c r="A11167" i="4"/>
  <c r="A11166" i="4"/>
  <c r="A11165" i="4"/>
  <c r="A11164" i="4"/>
  <c r="A11163" i="4"/>
  <c r="A11162" i="4"/>
  <c r="A11161" i="4"/>
  <c r="A11160" i="4"/>
  <c r="A11159" i="4"/>
  <c r="A11158" i="4"/>
  <c r="A11157" i="4"/>
  <c r="A11156" i="4"/>
  <c r="A11155" i="4"/>
  <c r="A11154" i="4"/>
  <c r="A11153" i="4"/>
  <c r="A11152" i="4"/>
  <c r="A11151" i="4"/>
  <c r="A11150" i="4"/>
  <c r="A11149" i="4"/>
  <c r="A11148" i="4"/>
  <c r="A11147" i="4"/>
  <c r="A11146" i="4"/>
  <c r="A11145" i="4"/>
  <c r="A11144" i="4"/>
  <c r="A11143" i="4"/>
  <c r="A11142" i="4"/>
  <c r="A11141" i="4"/>
  <c r="A11140" i="4"/>
  <c r="A11139" i="4"/>
  <c r="A11138" i="4"/>
  <c r="A11137" i="4"/>
  <c r="A11136" i="4"/>
  <c r="A11135" i="4"/>
  <c r="A11134" i="4"/>
  <c r="A11133" i="4"/>
  <c r="A11132" i="4"/>
  <c r="A11131" i="4"/>
  <c r="A11130" i="4"/>
  <c r="A11129" i="4"/>
  <c r="A11128" i="4"/>
  <c r="A11127" i="4"/>
  <c r="A11126" i="4"/>
  <c r="A11125" i="4"/>
  <c r="A11124" i="4"/>
  <c r="A11123" i="4"/>
  <c r="A11122" i="4"/>
  <c r="A11121" i="4"/>
  <c r="A11120" i="4"/>
  <c r="A11119" i="4"/>
  <c r="A11118" i="4"/>
  <c r="A11117" i="4"/>
  <c r="A11116" i="4"/>
  <c r="A11115" i="4"/>
  <c r="A11114" i="4"/>
  <c r="A11113" i="4"/>
  <c r="A11112" i="4"/>
  <c r="A11111" i="4"/>
  <c r="A11110" i="4"/>
  <c r="A11109" i="4"/>
  <c r="A11108" i="4"/>
  <c r="A11107" i="4"/>
  <c r="A11106" i="4"/>
  <c r="A11105" i="4"/>
  <c r="A11104" i="4"/>
  <c r="A11103" i="4"/>
  <c r="A11102" i="4"/>
  <c r="A11101" i="4"/>
  <c r="A11100" i="4"/>
  <c r="A11099" i="4"/>
  <c r="A11098" i="4"/>
  <c r="A11097" i="4"/>
  <c r="A11096" i="4"/>
  <c r="A11095" i="4"/>
  <c r="A11094" i="4"/>
  <c r="A11093" i="4"/>
  <c r="A11092" i="4"/>
  <c r="A11091" i="4"/>
  <c r="A11090" i="4"/>
  <c r="A11089" i="4"/>
  <c r="A11088" i="4"/>
  <c r="A11087" i="4"/>
  <c r="A11086" i="4"/>
  <c r="A11085" i="4"/>
  <c r="A11084" i="4"/>
  <c r="A11083" i="4"/>
  <c r="A11082" i="4"/>
  <c r="A11081" i="4"/>
  <c r="A11080" i="4"/>
  <c r="A11079" i="4"/>
  <c r="A11078" i="4"/>
  <c r="A11077" i="4"/>
  <c r="A11076" i="4"/>
  <c r="A11075" i="4"/>
  <c r="A11074" i="4"/>
  <c r="A11073" i="4"/>
  <c r="A11072" i="4"/>
  <c r="A11071" i="4"/>
  <c r="A11070" i="4"/>
  <c r="A11069" i="4"/>
  <c r="A11068" i="4"/>
  <c r="A11067" i="4"/>
  <c r="A11066" i="4"/>
  <c r="A11065" i="4"/>
  <c r="A11064" i="4"/>
  <c r="A11063" i="4"/>
  <c r="A11062" i="4"/>
  <c r="A11061" i="4"/>
  <c r="A11060" i="4"/>
  <c r="A11059" i="4"/>
  <c r="A11058" i="4"/>
  <c r="A11057" i="4"/>
  <c r="A11056" i="4"/>
  <c r="A11055" i="4"/>
  <c r="A11054" i="4"/>
  <c r="A11053" i="4"/>
  <c r="A11052" i="4"/>
  <c r="A11051" i="4"/>
  <c r="A11050" i="4"/>
  <c r="A11049" i="4"/>
  <c r="A11048" i="4"/>
  <c r="A11047" i="4"/>
  <c r="A11046" i="4"/>
  <c r="A11045" i="4"/>
  <c r="A11044" i="4"/>
  <c r="A11043" i="4"/>
  <c r="A11042" i="4"/>
  <c r="A11041" i="4"/>
  <c r="A11040" i="4"/>
  <c r="A11039" i="4"/>
  <c r="A11038" i="4"/>
  <c r="A11037" i="4"/>
  <c r="A11036" i="4"/>
  <c r="A11035" i="4"/>
  <c r="A11034" i="4"/>
  <c r="A11033" i="4"/>
  <c r="A11032" i="4"/>
  <c r="A11031" i="4"/>
  <c r="A11030" i="4"/>
  <c r="A11029" i="4"/>
  <c r="A11028" i="4"/>
  <c r="A11027" i="4"/>
  <c r="A11026" i="4"/>
  <c r="A11025" i="4"/>
  <c r="A11024" i="4"/>
  <c r="A11023" i="4"/>
  <c r="A11022" i="4"/>
  <c r="A11021" i="4"/>
  <c r="A11020" i="4"/>
  <c r="A11019" i="4"/>
  <c r="A11018" i="4"/>
  <c r="A11017" i="4"/>
  <c r="A11016" i="4"/>
  <c r="A11015" i="4"/>
  <c r="A11014" i="4"/>
  <c r="A11013" i="4"/>
  <c r="A11012" i="4"/>
  <c r="A11011" i="4"/>
  <c r="A11010" i="4"/>
  <c r="A11009" i="4"/>
  <c r="A11008" i="4"/>
  <c r="A11007" i="4"/>
  <c r="A11006" i="4"/>
  <c r="A11005" i="4"/>
  <c r="A11004" i="4"/>
  <c r="A11003" i="4"/>
  <c r="A11002" i="4"/>
  <c r="A11001" i="4"/>
  <c r="A11000" i="4"/>
  <c r="A10999" i="4"/>
  <c r="A10998" i="4"/>
  <c r="A10997" i="4"/>
  <c r="A10996" i="4"/>
  <c r="A10995" i="4"/>
  <c r="A10994" i="4"/>
  <c r="A10993" i="4"/>
  <c r="A10992" i="4"/>
  <c r="A10991" i="4"/>
  <c r="A10990" i="4"/>
  <c r="A10989" i="4"/>
  <c r="A10988" i="4"/>
  <c r="A10987" i="4"/>
  <c r="A10986" i="4"/>
  <c r="A10985" i="4"/>
  <c r="A10984" i="4"/>
  <c r="A10983" i="4"/>
  <c r="A10982" i="4"/>
  <c r="A10981" i="4"/>
  <c r="A10980" i="4"/>
  <c r="A10979" i="4"/>
  <c r="A10978" i="4"/>
  <c r="A10977" i="4"/>
  <c r="A10976" i="4"/>
  <c r="A10975" i="4"/>
  <c r="A10974" i="4"/>
  <c r="A10973" i="4"/>
  <c r="A10972" i="4"/>
  <c r="A10971" i="4"/>
  <c r="A10970" i="4"/>
  <c r="A10969" i="4"/>
  <c r="A10968" i="4"/>
  <c r="A10967" i="4"/>
  <c r="A10966" i="4"/>
  <c r="A10965" i="4"/>
  <c r="A10964" i="4"/>
  <c r="A10963" i="4"/>
  <c r="A10962" i="4"/>
  <c r="A10961" i="4"/>
  <c r="A10960" i="4"/>
  <c r="A10959" i="4"/>
  <c r="A10958" i="4"/>
  <c r="A10957" i="4"/>
  <c r="A10956" i="4"/>
  <c r="A10955" i="4"/>
  <c r="A10954" i="4"/>
  <c r="A10953" i="4"/>
  <c r="A10952" i="4"/>
  <c r="A10951" i="4"/>
  <c r="A10950" i="4"/>
  <c r="A10949" i="4"/>
  <c r="A10948" i="4"/>
  <c r="A10947" i="4"/>
  <c r="A10946" i="4"/>
  <c r="A10945" i="4"/>
  <c r="A10944" i="4"/>
  <c r="A10943" i="4"/>
  <c r="A10942" i="4"/>
  <c r="A10941" i="4"/>
  <c r="A10940" i="4"/>
  <c r="A10939" i="4"/>
  <c r="A10938" i="4"/>
  <c r="A10937" i="4"/>
  <c r="A10936" i="4"/>
  <c r="A10935" i="4"/>
  <c r="A10934" i="4"/>
  <c r="A10933" i="4"/>
  <c r="A10932" i="4"/>
  <c r="A10931" i="4"/>
  <c r="A10930" i="4"/>
  <c r="A10929" i="4"/>
  <c r="A10928" i="4"/>
  <c r="A10927" i="4"/>
  <c r="A10926" i="4"/>
  <c r="A10925" i="4"/>
  <c r="A10924" i="4"/>
  <c r="A10923" i="4"/>
  <c r="A10922" i="4"/>
  <c r="A10921" i="4"/>
  <c r="A10920" i="4"/>
  <c r="A10919" i="4"/>
  <c r="A10918" i="4"/>
  <c r="A10917" i="4"/>
  <c r="A10916" i="4"/>
  <c r="A10915" i="4"/>
  <c r="A10914" i="4"/>
  <c r="A10913" i="4"/>
  <c r="A10912" i="4"/>
  <c r="A10911" i="4"/>
  <c r="A10910" i="4"/>
  <c r="A10909" i="4"/>
  <c r="A10908" i="4"/>
  <c r="A10907" i="4"/>
  <c r="A10906" i="4"/>
  <c r="A10905" i="4"/>
  <c r="A10904" i="4"/>
  <c r="A10903" i="4"/>
  <c r="A10902" i="4"/>
  <c r="A10901" i="4"/>
  <c r="A10900" i="4"/>
  <c r="A10899" i="4"/>
  <c r="A10898" i="4"/>
  <c r="A10897" i="4"/>
  <c r="A10896" i="4"/>
  <c r="A10895" i="4"/>
  <c r="A10894" i="4"/>
  <c r="A10893" i="4"/>
  <c r="A10892" i="4"/>
  <c r="A10891" i="4"/>
  <c r="A10890" i="4"/>
  <c r="A10889" i="4"/>
  <c r="A10888" i="4"/>
  <c r="A10887" i="4"/>
  <c r="A10886" i="4"/>
  <c r="A10885" i="4"/>
  <c r="A10884" i="4"/>
  <c r="A10883" i="4"/>
  <c r="A10882" i="4"/>
  <c r="A10881" i="4"/>
  <c r="A10880" i="4"/>
  <c r="A10879" i="4"/>
  <c r="A10878" i="4"/>
  <c r="A10877" i="4"/>
  <c r="A10876" i="4"/>
  <c r="A10875" i="4"/>
  <c r="A10874" i="4"/>
  <c r="A10873" i="4"/>
  <c r="A10872" i="4"/>
  <c r="A10871" i="4"/>
  <c r="A10870" i="4"/>
  <c r="A10869" i="4"/>
  <c r="A10868" i="4"/>
  <c r="A10867" i="4"/>
  <c r="A10866" i="4"/>
  <c r="A10865" i="4"/>
  <c r="A10864" i="4"/>
  <c r="A10863" i="4"/>
  <c r="A10862" i="4"/>
  <c r="A10861" i="4"/>
  <c r="A10860" i="4"/>
  <c r="A10859" i="4"/>
  <c r="A10858" i="4"/>
  <c r="A10857" i="4"/>
  <c r="A10856" i="4"/>
  <c r="A10855" i="4"/>
  <c r="A10854" i="4"/>
  <c r="A10853" i="4"/>
  <c r="A10852" i="4"/>
  <c r="A10851" i="4"/>
  <c r="A10850" i="4"/>
  <c r="A10849" i="4"/>
  <c r="A10848" i="4"/>
  <c r="A10847" i="4"/>
  <c r="A10846" i="4"/>
  <c r="A10845" i="4"/>
  <c r="A10844" i="4"/>
  <c r="A10843" i="4"/>
  <c r="A10842" i="4"/>
  <c r="A10841" i="4"/>
  <c r="A10840" i="4"/>
  <c r="A10839" i="4"/>
  <c r="A10838" i="4"/>
  <c r="A10837" i="4"/>
  <c r="A10836" i="4"/>
  <c r="A10835" i="4"/>
  <c r="A10834" i="4"/>
  <c r="A10833" i="4"/>
  <c r="A10832" i="4"/>
  <c r="A10831" i="4"/>
  <c r="A10830" i="4"/>
  <c r="A10829" i="4"/>
  <c r="A10828" i="4"/>
  <c r="A10827" i="4"/>
  <c r="A10826" i="4"/>
  <c r="A10825" i="4"/>
  <c r="A10824" i="4"/>
  <c r="A10823" i="4"/>
  <c r="A10822" i="4"/>
  <c r="A10821" i="4"/>
  <c r="A10820" i="4"/>
  <c r="A10819" i="4"/>
  <c r="A10818" i="4"/>
  <c r="A10817" i="4"/>
  <c r="A10816" i="4"/>
  <c r="A10815" i="4"/>
  <c r="A10814" i="4"/>
  <c r="A10813" i="4"/>
  <c r="A10812" i="4"/>
  <c r="A10811" i="4"/>
  <c r="A10810" i="4"/>
  <c r="A10809" i="4"/>
  <c r="A10808" i="4"/>
  <c r="A10807" i="4"/>
  <c r="A10806" i="4"/>
  <c r="A10805" i="4"/>
  <c r="A10804" i="4"/>
  <c r="A10803" i="4"/>
  <c r="A10802" i="4"/>
  <c r="A10801" i="4"/>
  <c r="A10800" i="4"/>
  <c r="A10799" i="4"/>
  <c r="A10798" i="4"/>
  <c r="A10797" i="4"/>
  <c r="A10796" i="4"/>
  <c r="A10795" i="4"/>
  <c r="A10794" i="4"/>
  <c r="A10793" i="4"/>
  <c r="A10792" i="4"/>
  <c r="A10791" i="4"/>
  <c r="A10790" i="4"/>
  <c r="A10789" i="4"/>
  <c r="A10788" i="4"/>
  <c r="A10787" i="4"/>
  <c r="A10786" i="4"/>
  <c r="A10785" i="4"/>
  <c r="A10784" i="4"/>
  <c r="A10783" i="4"/>
  <c r="A10782" i="4"/>
  <c r="A10781" i="4"/>
  <c r="A10780" i="4"/>
  <c r="A10779" i="4"/>
  <c r="A10778" i="4"/>
  <c r="A10777" i="4"/>
  <c r="A10776" i="4"/>
  <c r="A10775" i="4"/>
  <c r="A10774" i="4"/>
  <c r="A10773" i="4"/>
  <c r="A10772" i="4"/>
  <c r="A10771" i="4"/>
  <c r="A10770" i="4"/>
  <c r="A10769" i="4"/>
  <c r="A10768" i="4"/>
  <c r="A10767" i="4"/>
  <c r="A10766" i="4"/>
  <c r="A10765" i="4"/>
  <c r="A10764" i="4"/>
  <c r="A10763" i="4"/>
  <c r="A10762" i="4"/>
  <c r="A10761" i="4"/>
  <c r="A10760" i="4"/>
  <c r="A10759" i="4"/>
  <c r="A10758" i="4"/>
  <c r="A10757" i="4"/>
  <c r="A10756" i="4"/>
  <c r="A10755" i="4"/>
  <c r="A10754" i="4"/>
  <c r="A10753" i="4"/>
  <c r="A10752" i="4"/>
  <c r="A10751" i="4"/>
  <c r="A10750" i="4"/>
  <c r="A10749" i="4"/>
  <c r="A10748" i="4"/>
  <c r="A10747" i="4"/>
  <c r="A10746" i="4"/>
  <c r="A10745" i="4"/>
  <c r="A10744" i="4"/>
  <c r="A10743" i="4"/>
  <c r="A10742" i="4"/>
  <c r="A10741" i="4"/>
  <c r="A10740" i="4"/>
  <c r="A10739" i="4"/>
  <c r="A10738" i="4"/>
  <c r="A10737" i="4"/>
  <c r="A10736" i="4"/>
  <c r="A10735" i="4"/>
  <c r="A10734" i="4"/>
  <c r="A10733" i="4"/>
  <c r="A10732" i="4"/>
  <c r="A10731" i="4"/>
  <c r="A10730" i="4"/>
  <c r="A10729" i="4"/>
  <c r="A10728" i="4"/>
  <c r="A10727" i="4"/>
  <c r="A10726" i="4"/>
  <c r="A10725" i="4"/>
  <c r="A10724" i="4"/>
  <c r="A10723" i="4"/>
  <c r="A10722" i="4"/>
  <c r="A10721" i="4"/>
  <c r="A10720" i="4"/>
  <c r="A10719" i="4"/>
  <c r="A10718" i="4"/>
  <c r="A10717" i="4"/>
  <c r="A10716" i="4"/>
  <c r="A10715" i="4"/>
  <c r="A10714" i="4"/>
  <c r="A10713" i="4"/>
  <c r="A10712" i="4"/>
  <c r="A10711" i="4"/>
  <c r="A10710" i="4"/>
  <c r="A10709" i="4"/>
  <c r="A10708" i="4"/>
  <c r="A10707" i="4"/>
  <c r="A10706" i="4"/>
  <c r="A10705" i="4"/>
  <c r="A10704" i="4"/>
  <c r="A10703" i="4"/>
  <c r="A10702" i="4"/>
  <c r="A10701" i="4"/>
  <c r="A10700" i="4"/>
  <c r="A10699" i="4"/>
  <c r="A10698" i="4"/>
  <c r="A10697" i="4"/>
  <c r="A10696" i="4"/>
  <c r="A10695" i="4"/>
  <c r="A10694" i="4"/>
  <c r="A10693" i="4"/>
  <c r="A10692" i="4"/>
  <c r="A10691" i="4"/>
  <c r="A10690" i="4"/>
  <c r="A10689" i="4"/>
  <c r="A10688" i="4"/>
  <c r="A10687" i="4"/>
  <c r="A10686" i="4"/>
  <c r="A10685" i="4"/>
  <c r="A10684" i="4"/>
  <c r="A10683" i="4"/>
  <c r="A10682" i="4"/>
  <c r="A10681" i="4"/>
  <c r="A10680" i="4"/>
  <c r="A10679" i="4"/>
  <c r="A10678" i="4"/>
  <c r="A10677" i="4"/>
  <c r="A10676" i="4"/>
  <c r="A10675" i="4"/>
  <c r="A10674" i="4"/>
  <c r="A10673" i="4"/>
  <c r="A10672" i="4"/>
  <c r="A10671" i="4"/>
  <c r="A10670" i="4"/>
  <c r="A10669" i="4"/>
  <c r="A10668" i="4"/>
  <c r="A10667" i="4"/>
  <c r="A10666" i="4"/>
  <c r="A10665" i="4"/>
  <c r="A10664" i="4"/>
  <c r="A10663" i="4"/>
  <c r="A10662" i="4"/>
  <c r="A10661" i="4"/>
  <c r="A10660" i="4"/>
  <c r="A10659" i="4"/>
  <c r="A10658" i="4"/>
  <c r="A10657" i="4"/>
  <c r="A10656" i="4"/>
  <c r="A10655" i="4"/>
  <c r="A10654" i="4"/>
  <c r="A10653" i="4"/>
  <c r="A10652" i="4"/>
  <c r="A10651" i="4"/>
  <c r="A10650" i="4"/>
  <c r="A10649" i="4"/>
  <c r="A10648" i="4"/>
  <c r="A10647" i="4"/>
  <c r="A10646" i="4"/>
  <c r="A10645" i="4"/>
  <c r="A10644" i="4"/>
  <c r="A10643" i="4"/>
  <c r="A10642" i="4"/>
  <c r="A10641" i="4"/>
  <c r="A10640" i="4"/>
  <c r="A10639" i="4"/>
  <c r="A10638" i="4"/>
  <c r="A10637" i="4"/>
  <c r="A10636" i="4"/>
  <c r="A10635" i="4"/>
  <c r="A10634" i="4"/>
  <c r="A10633" i="4"/>
  <c r="A10632" i="4"/>
  <c r="A10631" i="4"/>
  <c r="A10630" i="4"/>
  <c r="A10629" i="4"/>
  <c r="A10628" i="4"/>
  <c r="A10627" i="4"/>
  <c r="A10626" i="4"/>
  <c r="A10625" i="4"/>
  <c r="A10624" i="4"/>
  <c r="A10623" i="4"/>
  <c r="A10622" i="4"/>
  <c r="A10621" i="4"/>
  <c r="A10620" i="4"/>
  <c r="A10619" i="4"/>
  <c r="A10618" i="4"/>
  <c r="A10617" i="4"/>
  <c r="A10616" i="4"/>
  <c r="A10615" i="4"/>
  <c r="A10614" i="4"/>
  <c r="A10613" i="4"/>
  <c r="A10612" i="4"/>
  <c r="A10611" i="4"/>
  <c r="A10610" i="4"/>
  <c r="A10609" i="4"/>
  <c r="A10608" i="4"/>
  <c r="A10607" i="4"/>
  <c r="A10606" i="4"/>
  <c r="A10605" i="4"/>
  <c r="A10604" i="4"/>
  <c r="A10603" i="4"/>
  <c r="A10602" i="4"/>
  <c r="A10601" i="4"/>
  <c r="A10600" i="4"/>
  <c r="A10599" i="4"/>
  <c r="A10598" i="4"/>
  <c r="A10597" i="4"/>
  <c r="A10596" i="4"/>
  <c r="A10595" i="4"/>
  <c r="A10594" i="4"/>
  <c r="A10593" i="4"/>
  <c r="A10592" i="4"/>
  <c r="A10591" i="4"/>
  <c r="A10590" i="4"/>
  <c r="A10589" i="4"/>
  <c r="A10588" i="4"/>
  <c r="A10587" i="4"/>
  <c r="A10586" i="4"/>
  <c r="A10585" i="4"/>
  <c r="A10584" i="4"/>
  <c r="A10583" i="4"/>
  <c r="A10582" i="4"/>
  <c r="A10581" i="4"/>
  <c r="A10580" i="4"/>
  <c r="A10579" i="4"/>
  <c r="A10578" i="4"/>
  <c r="A10577" i="4"/>
  <c r="A10576" i="4"/>
  <c r="A10575" i="4"/>
  <c r="A10574" i="4"/>
  <c r="A10573" i="4"/>
  <c r="A10572" i="4"/>
  <c r="A10571" i="4"/>
  <c r="A10570" i="4"/>
  <c r="A10569" i="4"/>
  <c r="A10568" i="4"/>
  <c r="A10567" i="4"/>
  <c r="A10566" i="4"/>
  <c r="A10565" i="4"/>
  <c r="A10564" i="4"/>
  <c r="A10563" i="4"/>
  <c r="A10562" i="4"/>
  <c r="A10561" i="4"/>
  <c r="A10560" i="4"/>
  <c r="A10559" i="4"/>
  <c r="A10558" i="4"/>
  <c r="A10557" i="4"/>
  <c r="A10556" i="4"/>
  <c r="A10555" i="4"/>
  <c r="A10554" i="4"/>
  <c r="A10553" i="4"/>
  <c r="A10552" i="4"/>
  <c r="A10551" i="4"/>
  <c r="A10550" i="4"/>
  <c r="A10549" i="4"/>
  <c r="A10548" i="4"/>
  <c r="A10547" i="4"/>
  <c r="A10546" i="4"/>
  <c r="A10545" i="4"/>
  <c r="A10544" i="4"/>
  <c r="A10543" i="4"/>
  <c r="A10542" i="4"/>
  <c r="A10541" i="4"/>
  <c r="A10540" i="4"/>
  <c r="A10539" i="4"/>
  <c r="A10538" i="4"/>
  <c r="A10537" i="4"/>
  <c r="A10536" i="4"/>
  <c r="A10535" i="4"/>
  <c r="A10534" i="4"/>
  <c r="A10533" i="4"/>
  <c r="A10532" i="4"/>
  <c r="A10531" i="4"/>
  <c r="A10530" i="4"/>
  <c r="A10529" i="4"/>
  <c r="A10528" i="4"/>
  <c r="A10527" i="4"/>
  <c r="A10526" i="4"/>
  <c r="A10525" i="4"/>
  <c r="A10524" i="4"/>
  <c r="A10523" i="4"/>
  <c r="A10522" i="4"/>
  <c r="A10521" i="4"/>
  <c r="A10520" i="4"/>
  <c r="A10519" i="4"/>
  <c r="A10518" i="4"/>
  <c r="A10517" i="4"/>
  <c r="A10516" i="4"/>
  <c r="A10515" i="4"/>
  <c r="A10514" i="4"/>
  <c r="A10513" i="4"/>
  <c r="A10512" i="4"/>
  <c r="A10511" i="4"/>
  <c r="A10510" i="4"/>
  <c r="A10509" i="4"/>
  <c r="A10508" i="4"/>
  <c r="A10507" i="4"/>
  <c r="A10506" i="4"/>
  <c r="A10505" i="4"/>
  <c r="A10504" i="4"/>
  <c r="A10503" i="4"/>
  <c r="A10502" i="4"/>
  <c r="A10501" i="4"/>
  <c r="A10500" i="4"/>
  <c r="A10499" i="4"/>
  <c r="A10498" i="4"/>
  <c r="A10497" i="4"/>
  <c r="A10496" i="4"/>
  <c r="A10495" i="4"/>
  <c r="A10494" i="4"/>
  <c r="A10493" i="4"/>
  <c r="A10492" i="4"/>
  <c r="A10491" i="4"/>
  <c r="A10490" i="4"/>
  <c r="A10489" i="4"/>
  <c r="A10488" i="4"/>
  <c r="A10487" i="4"/>
  <c r="A10486" i="4"/>
  <c r="A10485" i="4"/>
  <c r="A10484" i="4"/>
  <c r="A10483" i="4"/>
  <c r="A10482" i="4"/>
  <c r="A10481" i="4"/>
  <c r="A10480" i="4"/>
  <c r="A10479" i="4"/>
  <c r="A10478" i="4"/>
  <c r="A10477" i="4"/>
  <c r="A10476" i="4"/>
  <c r="A10475" i="4"/>
  <c r="A10474" i="4"/>
  <c r="A10473" i="4"/>
  <c r="A10472" i="4"/>
  <c r="A10471" i="4"/>
  <c r="A10470" i="4"/>
  <c r="A10469" i="4"/>
  <c r="A10468" i="4"/>
  <c r="A10467" i="4"/>
  <c r="A10466" i="4"/>
  <c r="A10465" i="4"/>
  <c r="A10464" i="4"/>
  <c r="A10463" i="4"/>
  <c r="A10462" i="4"/>
  <c r="A10461" i="4"/>
  <c r="A10460" i="4"/>
  <c r="A10459" i="4"/>
  <c r="A10458" i="4"/>
  <c r="A10457" i="4"/>
  <c r="A10456" i="4"/>
  <c r="A10455" i="4"/>
  <c r="A10454" i="4"/>
  <c r="A10453" i="4"/>
  <c r="A10452" i="4"/>
  <c r="A10451" i="4"/>
  <c r="A10450" i="4"/>
  <c r="A10449" i="4"/>
  <c r="A10448" i="4"/>
  <c r="A10447" i="4"/>
  <c r="A10446" i="4"/>
  <c r="A10445" i="4"/>
  <c r="A10444" i="4"/>
  <c r="A10443" i="4"/>
  <c r="A10442" i="4"/>
  <c r="A10441" i="4"/>
  <c r="A10440" i="4"/>
  <c r="A10439" i="4"/>
  <c r="A10438" i="4"/>
  <c r="A10437" i="4"/>
  <c r="A10436" i="4"/>
  <c r="A10435" i="4"/>
  <c r="A10434" i="4"/>
  <c r="A10433" i="4"/>
  <c r="A10432" i="4"/>
  <c r="A10431" i="4"/>
  <c r="A10430" i="4"/>
  <c r="A10429" i="4"/>
  <c r="A10428" i="4"/>
  <c r="A10427" i="4"/>
  <c r="A10426" i="4"/>
  <c r="A10425" i="4"/>
  <c r="A10424" i="4"/>
  <c r="A10423" i="4"/>
  <c r="A10422" i="4"/>
  <c r="A10421" i="4"/>
  <c r="A10420" i="4"/>
  <c r="A10419" i="4"/>
  <c r="A10418" i="4"/>
  <c r="A10417" i="4"/>
  <c r="A10416" i="4"/>
  <c r="A10415" i="4"/>
  <c r="A10414" i="4"/>
  <c r="A10413" i="4"/>
  <c r="A10412" i="4"/>
  <c r="A10411" i="4"/>
  <c r="A10410" i="4"/>
  <c r="A10409" i="4"/>
  <c r="A10408" i="4"/>
  <c r="A10407" i="4"/>
  <c r="A10406" i="4"/>
  <c r="A10405" i="4"/>
  <c r="A10404" i="4"/>
  <c r="A10403" i="4"/>
  <c r="A10402" i="4"/>
  <c r="A10401" i="4"/>
  <c r="A10400" i="4"/>
  <c r="A10399" i="4"/>
  <c r="A10398" i="4"/>
  <c r="A10397" i="4"/>
  <c r="A10396" i="4"/>
  <c r="A10395" i="4"/>
  <c r="A10394" i="4"/>
  <c r="A10393" i="4"/>
  <c r="A10392" i="4"/>
  <c r="A10391" i="4"/>
  <c r="A10390" i="4"/>
  <c r="A10389" i="4"/>
  <c r="A10388" i="4"/>
  <c r="A10387" i="4"/>
  <c r="A10386" i="4"/>
  <c r="A10385" i="4"/>
  <c r="A10384" i="4"/>
  <c r="A10383" i="4"/>
  <c r="A10382" i="4"/>
  <c r="A10381" i="4"/>
  <c r="A10380" i="4"/>
  <c r="A10379" i="4"/>
  <c r="A10378" i="4"/>
  <c r="A10377" i="4"/>
  <c r="A10376" i="4"/>
  <c r="A10375" i="4"/>
  <c r="A10374" i="4"/>
  <c r="A10373" i="4"/>
  <c r="A10372" i="4"/>
  <c r="A10371" i="4"/>
  <c r="A10370" i="4"/>
  <c r="A10369" i="4"/>
  <c r="A10368" i="4"/>
  <c r="A10367" i="4"/>
  <c r="A10366" i="4"/>
  <c r="A10365" i="4"/>
  <c r="A10364" i="4"/>
  <c r="A10363" i="4"/>
  <c r="A10362" i="4"/>
  <c r="A10361" i="4"/>
  <c r="A10360" i="4"/>
  <c r="A10359" i="4"/>
  <c r="A10358" i="4"/>
  <c r="A10357" i="4"/>
  <c r="A10356" i="4"/>
  <c r="A10355" i="4"/>
  <c r="A10354" i="4"/>
  <c r="A10353" i="4"/>
  <c r="A10352" i="4"/>
  <c r="A10351" i="4"/>
  <c r="A10350" i="4"/>
  <c r="A10349" i="4"/>
  <c r="A10348" i="4"/>
  <c r="A10347" i="4"/>
  <c r="A10346" i="4"/>
  <c r="A10345" i="4"/>
  <c r="A10344" i="4"/>
  <c r="A10343" i="4"/>
  <c r="A10342" i="4"/>
  <c r="A10341" i="4"/>
  <c r="A10340" i="4"/>
  <c r="A10339" i="4"/>
  <c r="A10338" i="4"/>
  <c r="A10337" i="4"/>
  <c r="A10336" i="4"/>
  <c r="A10335" i="4"/>
  <c r="A10334" i="4"/>
  <c r="A10333" i="4"/>
  <c r="A10332" i="4"/>
  <c r="A10331" i="4"/>
  <c r="A10330" i="4"/>
  <c r="A10329" i="4"/>
  <c r="A10328" i="4"/>
  <c r="A10327" i="4"/>
  <c r="A10326" i="4"/>
  <c r="A10325" i="4"/>
  <c r="A10324" i="4"/>
  <c r="A10323" i="4"/>
  <c r="A10322" i="4"/>
  <c r="A10321" i="4"/>
  <c r="A10320" i="4"/>
  <c r="A10319" i="4"/>
  <c r="A10318" i="4"/>
  <c r="A10317" i="4"/>
  <c r="A10316" i="4"/>
  <c r="A10315" i="4"/>
  <c r="A10314" i="4"/>
  <c r="A10313" i="4"/>
  <c r="A10312" i="4"/>
  <c r="A10311" i="4"/>
  <c r="A10310" i="4"/>
  <c r="A10309" i="4"/>
  <c r="A10308" i="4"/>
  <c r="A10307" i="4"/>
  <c r="A10306" i="4"/>
  <c r="A10305" i="4"/>
  <c r="A10304" i="4"/>
  <c r="A10303" i="4"/>
  <c r="A10302" i="4"/>
  <c r="A10301" i="4"/>
  <c r="A10300" i="4"/>
  <c r="A10299" i="4"/>
  <c r="A10298" i="4"/>
  <c r="A10297" i="4"/>
  <c r="A10296" i="4"/>
  <c r="A10295" i="4"/>
  <c r="A10294" i="4"/>
  <c r="A10293" i="4"/>
  <c r="A10292" i="4"/>
  <c r="A10291" i="4"/>
  <c r="A10290" i="4"/>
  <c r="A10289" i="4"/>
  <c r="A10288" i="4"/>
  <c r="A10287" i="4"/>
  <c r="A10286" i="4"/>
  <c r="A10285" i="4"/>
  <c r="A10284" i="4"/>
  <c r="A10283" i="4"/>
  <c r="A10282" i="4"/>
  <c r="A10281" i="4"/>
  <c r="A10280" i="4"/>
  <c r="A10279" i="4"/>
  <c r="A10278" i="4"/>
  <c r="A10277" i="4"/>
  <c r="A10276" i="4"/>
  <c r="A10275" i="4"/>
  <c r="A10274" i="4"/>
  <c r="A10273" i="4"/>
  <c r="A10272" i="4"/>
  <c r="A10271" i="4"/>
  <c r="A10270" i="4"/>
  <c r="A10269" i="4"/>
  <c r="A10268" i="4"/>
  <c r="A10267" i="4"/>
  <c r="A10266" i="4"/>
  <c r="A10265" i="4"/>
  <c r="A10264" i="4"/>
  <c r="A10263" i="4"/>
  <c r="A10262" i="4"/>
  <c r="A10261" i="4"/>
  <c r="A10260" i="4"/>
  <c r="A10259" i="4"/>
  <c r="A10258" i="4"/>
  <c r="A10257" i="4"/>
  <c r="A10256" i="4"/>
  <c r="A10255" i="4"/>
  <c r="A10254" i="4"/>
  <c r="A10253" i="4"/>
  <c r="A10252" i="4"/>
  <c r="A10251" i="4"/>
  <c r="A10250" i="4"/>
  <c r="A10249" i="4"/>
  <c r="A10248" i="4"/>
  <c r="A10247" i="4"/>
  <c r="A10246" i="4"/>
  <c r="A10245" i="4"/>
  <c r="A10244" i="4"/>
  <c r="A10243" i="4"/>
  <c r="A10242" i="4"/>
  <c r="A10241" i="4"/>
  <c r="A10240" i="4"/>
  <c r="A10239" i="4"/>
  <c r="A10238" i="4"/>
  <c r="A10237" i="4"/>
  <c r="A10236" i="4"/>
  <c r="A10235" i="4"/>
  <c r="A10234" i="4"/>
  <c r="A10233" i="4"/>
  <c r="A10232" i="4"/>
  <c r="A10231" i="4"/>
  <c r="A10230" i="4"/>
  <c r="A10229" i="4"/>
  <c r="A10228" i="4"/>
  <c r="A10227" i="4"/>
  <c r="A10226" i="4"/>
  <c r="A10225" i="4"/>
  <c r="A10224" i="4"/>
  <c r="A10223" i="4"/>
  <c r="A10222" i="4"/>
  <c r="A10221" i="4"/>
  <c r="A10220" i="4"/>
  <c r="A10219" i="4"/>
  <c r="A10218" i="4"/>
  <c r="A10217" i="4"/>
  <c r="A10216" i="4"/>
  <c r="A10215" i="4"/>
  <c r="A10214" i="4"/>
  <c r="A10213" i="4"/>
  <c r="A10212" i="4"/>
  <c r="A10211" i="4"/>
  <c r="A10210" i="4"/>
  <c r="A10209" i="4"/>
  <c r="A10208" i="4"/>
  <c r="A10207" i="4"/>
  <c r="A10206" i="4"/>
  <c r="A10205" i="4"/>
  <c r="A10204" i="4"/>
  <c r="A10203" i="4"/>
  <c r="A10202" i="4"/>
  <c r="A10201" i="4"/>
  <c r="A10200" i="4"/>
  <c r="A10199" i="4"/>
  <c r="A10198" i="4"/>
  <c r="A10197" i="4"/>
  <c r="A10196" i="4"/>
  <c r="A10195" i="4"/>
  <c r="A10194" i="4"/>
  <c r="A10193" i="4"/>
  <c r="A10192" i="4"/>
  <c r="A10191" i="4"/>
  <c r="A10190" i="4"/>
  <c r="A10189" i="4"/>
  <c r="A10188" i="4"/>
  <c r="A10187" i="4"/>
  <c r="A10186" i="4"/>
  <c r="A10185" i="4"/>
  <c r="A10184" i="4"/>
  <c r="A10183" i="4"/>
  <c r="A10182" i="4"/>
  <c r="A10181" i="4"/>
  <c r="A10180" i="4"/>
  <c r="A10179" i="4"/>
  <c r="A10178" i="4"/>
  <c r="A10177" i="4"/>
  <c r="A10176" i="4"/>
  <c r="A10175" i="4"/>
  <c r="A10174" i="4"/>
  <c r="A10173" i="4"/>
  <c r="A10172" i="4"/>
  <c r="A10171" i="4"/>
  <c r="A10170" i="4"/>
  <c r="A10169" i="4"/>
  <c r="A10168" i="4"/>
  <c r="A10167" i="4"/>
  <c r="A10166" i="4"/>
  <c r="A10165" i="4"/>
  <c r="A10164" i="4"/>
  <c r="A10163" i="4"/>
  <c r="A10162" i="4"/>
  <c r="A10161" i="4"/>
  <c r="A10160" i="4"/>
  <c r="A10159" i="4"/>
  <c r="A10158" i="4"/>
  <c r="A10157" i="4"/>
  <c r="A10156" i="4"/>
  <c r="A10155" i="4"/>
  <c r="A10154" i="4"/>
  <c r="A10153" i="4"/>
  <c r="A10152" i="4"/>
  <c r="A10151" i="4"/>
  <c r="A10150" i="4"/>
  <c r="A10149" i="4"/>
  <c r="A10148" i="4"/>
  <c r="A10147" i="4"/>
  <c r="A10146" i="4"/>
  <c r="A10145" i="4"/>
  <c r="A10144" i="4"/>
  <c r="A10143" i="4"/>
  <c r="A10142" i="4"/>
  <c r="A10141" i="4"/>
  <c r="A10140" i="4"/>
  <c r="A10139" i="4"/>
  <c r="A10138" i="4"/>
  <c r="A10137" i="4"/>
  <c r="A10136" i="4"/>
  <c r="A10135" i="4"/>
  <c r="A10134" i="4"/>
  <c r="A10133" i="4"/>
  <c r="A10132" i="4"/>
  <c r="A10131" i="4"/>
  <c r="A10130" i="4"/>
  <c r="A10129" i="4"/>
  <c r="A10128" i="4"/>
  <c r="A10127" i="4"/>
  <c r="A10126" i="4"/>
  <c r="A10125" i="4"/>
  <c r="A10124" i="4"/>
  <c r="A10123" i="4"/>
  <c r="A10122" i="4"/>
  <c r="A10121" i="4"/>
  <c r="A10120" i="4"/>
  <c r="A10119" i="4"/>
  <c r="A10118" i="4"/>
  <c r="A10117" i="4"/>
  <c r="A10116" i="4"/>
  <c r="A10115" i="4"/>
  <c r="A10114" i="4"/>
  <c r="A10113" i="4"/>
  <c r="A10112" i="4"/>
  <c r="A10111" i="4"/>
  <c r="A10110" i="4"/>
  <c r="A10109" i="4"/>
  <c r="A10108" i="4"/>
  <c r="A10107" i="4"/>
  <c r="A10106" i="4"/>
  <c r="A10105" i="4"/>
  <c r="A10104" i="4"/>
  <c r="A10103" i="4"/>
  <c r="A10102" i="4"/>
  <c r="A10101" i="4"/>
  <c r="A10100" i="4"/>
  <c r="A10099" i="4"/>
  <c r="A10098" i="4"/>
  <c r="A10097" i="4"/>
  <c r="A10096" i="4"/>
  <c r="A10095" i="4"/>
  <c r="A10094" i="4"/>
  <c r="A10093" i="4"/>
  <c r="A10092" i="4"/>
  <c r="A10091" i="4"/>
  <c r="A10090" i="4"/>
  <c r="A10089" i="4"/>
  <c r="A10088" i="4"/>
  <c r="A10087" i="4"/>
  <c r="A10086" i="4"/>
  <c r="A10085" i="4"/>
  <c r="A10084" i="4"/>
  <c r="A10083" i="4"/>
  <c r="A10082" i="4"/>
  <c r="A10081" i="4"/>
  <c r="A10080" i="4"/>
  <c r="A10079" i="4"/>
  <c r="A10078" i="4"/>
  <c r="A10077" i="4"/>
  <c r="A10076" i="4"/>
  <c r="A10075" i="4"/>
  <c r="A10074" i="4"/>
  <c r="A10073" i="4"/>
  <c r="A10072" i="4"/>
  <c r="A10071" i="4"/>
  <c r="A10070" i="4"/>
  <c r="A10069" i="4"/>
  <c r="A10068" i="4"/>
  <c r="A10067" i="4"/>
  <c r="A10066" i="4"/>
  <c r="A10065" i="4"/>
  <c r="A10064" i="4"/>
  <c r="A10063" i="4"/>
  <c r="A10062" i="4"/>
  <c r="A10061" i="4"/>
  <c r="A10060" i="4"/>
  <c r="A10059" i="4"/>
  <c r="A10058" i="4"/>
  <c r="A10057" i="4"/>
  <c r="A10056" i="4"/>
  <c r="A10055" i="4"/>
  <c r="A10054" i="4"/>
  <c r="A10053" i="4"/>
  <c r="A10052" i="4"/>
  <c r="A10051" i="4"/>
  <c r="A10050" i="4"/>
  <c r="A10049" i="4"/>
  <c r="A10048" i="4"/>
  <c r="A10047" i="4"/>
  <c r="A10046" i="4"/>
  <c r="A10045" i="4"/>
  <c r="A10044" i="4"/>
  <c r="A10043" i="4"/>
  <c r="A10042" i="4"/>
  <c r="A10041" i="4"/>
  <c r="A10040" i="4"/>
  <c r="A10039" i="4"/>
  <c r="A10038" i="4"/>
  <c r="A10037" i="4"/>
  <c r="A10036" i="4"/>
  <c r="A10035" i="4"/>
  <c r="A10034" i="4"/>
  <c r="A10033" i="4"/>
  <c r="A10032" i="4"/>
  <c r="A10031" i="4"/>
  <c r="A10030" i="4"/>
  <c r="A10029" i="4"/>
  <c r="A10028" i="4"/>
  <c r="A10027" i="4"/>
  <c r="A10026" i="4"/>
  <c r="A10025" i="4"/>
  <c r="A10024" i="4"/>
  <c r="A10023" i="4"/>
  <c r="A10022" i="4"/>
  <c r="A10021" i="4"/>
  <c r="A10020" i="4"/>
  <c r="A10019" i="4"/>
  <c r="A10018" i="4"/>
  <c r="A10017" i="4"/>
  <c r="A10016" i="4"/>
  <c r="A10015" i="4"/>
  <c r="A10014" i="4"/>
  <c r="A10013" i="4"/>
  <c r="A10012" i="4"/>
  <c r="A10011" i="4"/>
  <c r="A10010" i="4"/>
  <c r="A10009" i="4"/>
  <c r="A10008" i="4"/>
  <c r="A10007" i="4"/>
  <c r="A10006" i="4"/>
  <c r="A10005" i="4"/>
  <c r="A10004" i="4"/>
  <c r="A10003" i="4"/>
  <c r="A10002" i="4"/>
  <c r="A10001" i="4"/>
  <c r="A10000" i="4"/>
  <c r="A9999" i="4"/>
  <c r="A9998" i="4"/>
  <c r="A9997" i="4"/>
  <c r="A9996" i="4"/>
  <c r="A9995" i="4"/>
  <c r="A9994" i="4"/>
  <c r="A9993" i="4"/>
  <c r="A9992" i="4"/>
  <c r="A9991" i="4"/>
  <c r="A9990" i="4"/>
  <c r="A9989" i="4"/>
  <c r="A9988" i="4"/>
  <c r="A9987" i="4"/>
  <c r="A9986" i="4"/>
  <c r="A9985" i="4"/>
  <c r="A9984" i="4"/>
  <c r="A9983" i="4"/>
  <c r="A9982" i="4"/>
  <c r="A9981" i="4"/>
  <c r="A9980" i="4"/>
  <c r="A9979" i="4"/>
  <c r="A9978" i="4"/>
  <c r="A9977" i="4"/>
  <c r="A9976" i="4"/>
  <c r="A9975" i="4"/>
  <c r="A9974" i="4"/>
  <c r="A9973" i="4"/>
  <c r="A9972" i="4"/>
  <c r="A9971" i="4"/>
  <c r="A9970" i="4"/>
  <c r="A9969" i="4"/>
  <c r="A9968" i="4"/>
  <c r="A9967" i="4"/>
  <c r="A9966" i="4"/>
  <c r="A9965" i="4"/>
  <c r="A9964" i="4"/>
  <c r="A9963" i="4"/>
  <c r="A9962" i="4"/>
  <c r="A9961" i="4"/>
  <c r="A9960" i="4"/>
  <c r="A9959" i="4"/>
  <c r="A9958" i="4"/>
  <c r="A9957" i="4"/>
  <c r="A9956" i="4"/>
  <c r="A9955" i="4"/>
  <c r="A9954" i="4"/>
  <c r="A9953" i="4"/>
  <c r="A9952" i="4"/>
  <c r="A9951" i="4"/>
  <c r="A9950" i="4"/>
  <c r="A9949" i="4"/>
  <c r="A9948" i="4"/>
  <c r="A9947" i="4"/>
  <c r="A9946" i="4"/>
  <c r="A9945" i="4"/>
  <c r="A9944" i="4"/>
  <c r="A9943" i="4"/>
  <c r="A9942" i="4"/>
  <c r="A9941" i="4"/>
  <c r="A9940" i="4"/>
  <c r="A9939" i="4"/>
  <c r="A9938" i="4"/>
  <c r="A9937" i="4"/>
  <c r="A9936" i="4"/>
  <c r="A9935" i="4"/>
  <c r="A9934" i="4"/>
  <c r="A9933" i="4"/>
  <c r="A9932" i="4"/>
  <c r="A9931" i="4"/>
  <c r="A9930" i="4"/>
  <c r="A9929" i="4"/>
  <c r="A9928" i="4"/>
  <c r="A9927" i="4"/>
  <c r="A9926" i="4"/>
  <c r="A9925" i="4"/>
  <c r="A9924" i="4"/>
  <c r="A9923" i="4"/>
  <c r="A9922" i="4"/>
  <c r="A9921" i="4"/>
  <c r="A9920" i="4"/>
  <c r="A9919" i="4"/>
  <c r="A9918" i="4"/>
  <c r="A9917" i="4"/>
  <c r="A9916" i="4"/>
  <c r="A9915" i="4"/>
  <c r="A9914" i="4"/>
  <c r="A9913" i="4"/>
  <c r="A9912" i="4"/>
  <c r="A9911" i="4"/>
  <c r="A9910" i="4"/>
  <c r="A9909" i="4"/>
  <c r="A9908" i="4"/>
  <c r="A9907" i="4"/>
  <c r="A9906" i="4"/>
  <c r="A9905" i="4"/>
  <c r="A9904" i="4"/>
  <c r="A9903" i="4"/>
  <c r="A9902" i="4"/>
  <c r="A9901" i="4"/>
  <c r="A9900" i="4"/>
  <c r="A9899" i="4"/>
  <c r="A9898" i="4"/>
  <c r="A9897" i="4"/>
  <c r="A9896" i="4"/>
  <c r="A9895" i="4"/>
  <c r="A9894" i="4"/>
  <c r="A9893" i="4"/>
  <c r="A9892" i="4"/>
  <c r="A9891" i="4"/>
  <c r="A9890" i="4"/>
  <c r="A9889" i="4"/>
  <c r="A9888" i="4"/>
  <c r="A9887" i="4"/>
  <c r="A9886" i="4"/>
  <c r="A9885" i="4"/>
  <c r="A9884" i="4"/>
  <c r="A9883" i="4"/>
  <c r="A9882" i="4"/>
  <c r="A9881" i="4"/>
  <c r="A9880" i="4"/>
  <c r="A9879" i="4"/>
  <c r="A9878" i="4"/>
  <c r="A9877" i="4"/>
  <c r="A9876" i="4"/>
  <c r="A9875" i="4"/>
  <c r="A9874" i="4"/>
  <c r="A9873" i="4"/>
  <c r="A9872" i="4"/>
  <c r="A9871" i="4"/>
  <c r="A9870" i="4"/>
  <c r="A9869" i="4"/>
  <c r="A9868" i="4"/>
  <c r="A9867" i="4"/>
  <c r="A9866" i="4"/>
  <c r="A9865" i="4"/>
  <c r="A9864" i="4"/>
  <c r="A9863" i="4"/>
  <c r="A9862" i="4"/>
  <c r="A9861" i="4"/>
  <c r="A9860" i="4"/>
  <c r="A9859" i="4"/>
  <c r="A9858" i="4"/>
  <c r="A9857" i="4"/>
  <c r="A9856" i="4"/>
  <c r="A9855" i="4"/>
  <c r="A9854" i="4"/>
  <c r="A9853" i="4"/>
  <c r="A9852" i="4"/>
  <c r="A9851" i="4"/>
  <c r="A9850" i="4"/>
  <c r="A9849" i="4"/>
  <c r="A9848" i="4"/>
  <c r="A9847" i="4"/>
  <c r="A9846" i="4"/>
  <c r="A9845" i="4"/>
  <c r="A9844" i="4"/>
  <c r="A9843" i="4"/>
  <c r="A9842" i="4"/>
  <c r="A9841" i="4"/>
  <c r="A9840" i="4"/>
  <c r="A9839" i="4"/>
  <c r="A9838" i="4"/>
  <c r="A9837" i="4"/>
  <c r="A9836" i="4"/>
  <c r="A9835" i="4"/>
  <c r="A9834" i="4"/>
  <c r="A9833" i="4"/>
  <c r="A9832" i="4"/>
  <c r="A9831" i="4"/>
  <c r="A9830" i="4"/>
  <c r="A9829" i="4"/>
  <c r="A9828" i="4"/>
  <c r="A9827" i="4"/>
  <c r="A9826" i="4"/>
  <c r="A9825" i="4"/>
  <c r="A9824" i="4"/>
  <c r="A9823" i="4"/>
  <c r="A9822" i="4"/>
  <c r="A9821" i="4"/>
  <c r="A9820" i="4"/>
  <c r="A9819" i="4"/>
  <c r="A9818" i="4"/>
  <c r="A9817" i="4"/>
  <c r="A9816" i="4"/>
  <c r="A9815" i="4"/>
  <c r="A9814" i="4"/>
  <c r="A9813" i="4"/>
  <c r="A9812" i="4"/>
  <c r="A9811" i="4"/>
  <c r="A9810" i="4"/>
  <c r="A9809" i="4"/>
  <c r="A9808" i="4"/>
  <c r="A9807" i="4"/>
  <c r="A9806" i="4"/>
  <c r="A9805" i="4"/>
  <c r="A9804" i="4"/>
  <c r="A9803" i="4"/>
  <c r="A9802" i="4"/>
  <c r="A9801" i="4"/>
  <c r="A9800" i="4"/>
  <c r="A9799" i="4"/>
  <c r="A9798" i="4"/>
  <c r="A9797" i="4"/>
  <c r="A9796" i="4"/>
  <c r="A9795" i="4"/>
  <c r="A9794" i="4"/>
  <c r="A9793" i="4"/>
  <c r="A9792" i="4"/>
  <c r="A9791" i="4"/>
  <c r="A9790" i="4"/>
  <c r="A9789" i="4"/>
  <c r="A9788" i="4"/>
  <c r="A9787" i="4"/>
  <c r="A9786" i="4"/>
  <c r="A9785" i="4"/>
  <c r="A9784" i="4"/>
  <c r="A9783" i="4"/>
  <c r="A9782" i="4"/>
  <c r="A9781" i="4"/>
  <c r="A9780" i="4"/>
  <c r="A9779" i="4"/>
  <c r="A9778" i="4"/>
  <c r="A9777" i="4"/>
  <c r="A9776" i="4"/>
  <c r="A9775" i="4"/>
  <c r="A9774" i="4"/>
  <c r="A9773" i="4"/>
  <c r="A9772" i="4"/>
  <c r="A9771" i="4"/>
  <c r="A9770" i="4"/>
  <c r="A9769" i="4"/>
  <c r="A9768" i="4"/>
  <c r="A9767" i="4"/>
  <c r="A9766" i="4"/>
  <c r="A9765" i="4"/>
  <c r="A9764" i="4"/>
  <c r="A9763" i="4"/>
  <c r="A9762" i="4"/>
  <c r="A9761" i="4"/>
  <c r="A9760" i="4"/>
  <c r="A9759" i="4"/>
  <c r="A9758" i="4"/>
  <c r="A9757" i="4"/>
  <c r="A9756" i="4"/>
  <c r="A9755" i="4"/>
  <c r="A9754" i="4"/>
  <c r="A9753" i="4"/>
  <c r="A9752" i="4"/>
  <c r="A9751" i="4"/>
  <c r="A9750" i="4"/>
  <c r="A9749" i="4"/>
  <c r="A9748" i="4"/>
  <c r="A9747" i="4"/>
  <c r="A9746" i="4"/>
  <c r="A9745" i="4"/>
  <c r="A9744" i="4"/>
  <c r="A9743" i="4"/>
  <c r="A9742" i="4"/>
  <c r="A9741" i="4"/>
  <c r="A9740" i="4"/>
  <c r="A9739" i="4"/>
  <c r="A9738" i="4"/>
  <c r="A9737" i="4"/>
  <c r="A9736" i="4"/>
  <c r="A9735" i="4"/>
  <c r="A9734" i="4"/>
  <c r="A9733" i="4"/>
  <c r="A9732" i="4"/>
  <c r="A9731" i="4"/>
  <c r="A9730" i="4"/>
  <c r="A9729" i="4"/>
  <c r="A9728" i="4"/>
  <c r="A9727" i="4"/>
  <c r="A9726" i="4"/>
  <c r="A9725" i="4"/>
  <c r="A9724" i="4"/>
  <c r="A9723" i="4"/>
  <c r="A9722" i="4"/>
  <c r="A9721" i="4"/>
  <c r="A9720" i="4"/>
  <c r="A9719" i="4"/>
  <c r="A9718" i="4"/>
  <c r="A9717" i="4"/>
  <c r="A9716" i="4"/>
  <c r="A9715" i="4"/>
  <c r="A9714" i="4"/>
  <c r="A9713" i="4"/>
  <c r="A9712" i="4"/>
  <c r="A9711" i="4"/>
  <c r="A9710" i="4"/>
  <c r="A9709" i="4"/>
  <c r="A9708" i="4"/>
  <c r="A9707" i="4"/>
  <c r="A9706" i="4"/>
  <c r="A9705" i="4"/>
  <c r="A9704" i="4"/>
  <c r="A9703" i="4"/>
  <c r="A9702" i="4"/>
  <c r="A9701" i="4"/>
  <c r="A9700" i="4"/>
  <c r="A9699" i="4"/>
  <c r="A9698" i="4"/>
  <c r="A9697" i="4"/>
  <c r="A9696" i="4"/>
  <c r="A9695" i="4"/>
  <c r="A9694" i="4"/>
  <c r="A9693" i="4"/>
  <c r="A9692" i="4"/>
  <c r="A9691" i="4"/>
  <c r="A9690" i="4"/>
  <c r="A9689" i="4"/>
  <c r="A9688" i="4"/>
  <c r="A9687" i="4"/>
  <c r="A9686" i="4"/>
  <c r="A9685" i="4"/>
  <c r="A9684" i="4"/>
  <c r="A9683" i="4"/>
  <c r="A9682" i="4"/>
  <c r="A9681" i="4"/>
  <c r="A9680" i="4"/>
  <c r="A9679" i="4"/>
  <c r="A9678" i="4"/>
  <c r="A9677" i="4"/>
  <c r="A9676" i="4"/>
  <c r="A9675" i="4"/>
  <c r="A9674" i="4"/>
  <c r="A9673" i="4"/>
  <c r="A9672" i="4"/>
  <c r="A9671" i="4"/>
  <c r="A9670" i="4"/>
  <c r="A9669" i="4"/>
  <c r="A9668" i="4"/>
  <c r="A9667" i="4"/>
  <c r="A9666" i="4"/>
  <c r="A9665" i="4"/>
  <c r="A9664" i="4"/>
  <c r="A9663" i="4"/>
  <c r="A9662" i="4"/>
  <c r="A9661" i="4"/>
  <c r="A9660" i="4"/>
  <c r="A9659" i="4"/>
  <c r="A9658" i="4"/>
  <c r="A9657" i="4"/>
  <c r="A9656" i="4"/>
  <c r="A9655" i="4"/>
  <c r="A9654" i="4"/>
  <c r="A9653" i="4"/>
  <c r="A9652" i="4"/>
  <c r="A9651" i="4"/>
  <c r="A9650" i="4"/>
  <c r="A9649" i="4"/>
  <c r="A9648" i="4"/>
  <c r="A9647" i="4"/>
  <c r="A9646" i="4"/>
  <c r="A9645" i="4"/>
  <c r="A9644" i="4"/>
  <c r="A9643" i="4"/>
  <c r="A9642" i="4"/>
  <c r="A9641" i="4"/>
  <c r="A9640" i="4"/>
  <c r="A9639" i="4"/>
  <c r="A9638" i="4"/>
  <c r="A9637" i="4"/>
  <c r="A9636" i="4"/>
  <c r="A9635" i="4"/>
  <c r="A9634" i="4"/>
  <c r="A9633" i="4"/>
  <c r="A9632" i="4"/>
  <c r="A9631" i="4"/>
  <c r="A9630" i="4"/>
  <c r="A9629" i="4"/>
  <c r="A9628" i="4"/>
  <c r="A9627" i="4"/>
  <c r="A9626" i="4"/>
  <c r="A9625" i="4"/>
  <c r="A9624" i="4"/>
  <c r="A9623" i="4"/>
  <c r="A9622" i="4"/>
  <c r="A9621" i="4"/>
  <c r="A9620" i="4"/>
  <c r="A9619" i="4"/>
  <c r="A9618" i="4"/>
  <c r="A9617" i="4"/>
  <c r="A9616" i="4"/>
  <c r="A9615" i="4"/>
  <c r="A9614" i="4"/>
  <c r="A9613" i="4"/>
  <c r="A9612" i="4"/>
  <c r="A9611" i="4"/>
  <c r="A9610" i="4"/>
  <c r="A9609" i="4"/>
  <c r="A9608" i="4"/>
  <c r="A9607" i="4"/>
  <c r="A9606" i="4"/>
  <c r="A9605" i="4"/>
  <c r="A9604" i="4"/>
  <c r="A9603" i="4"/>
  <c r="A9602" i="4"/>
  <c r="A9601" i="4"/>
  <c r="A9600" i="4"/>
  <c r="A9599" i="4"/>
  <c r="A9598" i="4"/>
  <c r="A9597" i="4"/>
  <c r="A9596" i="4"/>
  <c r="A9595" i="4"/>
  <c r="A9594" i="4"/>
  <c r="A9593" i="4"/>
  <c r="A9592" i="4"/>
  <c r="A9591" i="4"/>
  <c r="A9590" i="4"/>
  <c r="A9589" i="4"/>
  <c r="A9588" i="4"/>
  <c r="A9587" i="4"/>
  <c r="A9586" i="4"/>
  <c r="A9585" i="4"/>
  <c r="A9584" i="4"/>
  <c r="A9583" i="4"/>
  <c r="A9582" i="4"/>
  <c r="A9581" i="4"/>
  <c r="A9580" i="4"/>
  <c r="A9579" i="4"/>
  <c r="A9578" i="4"/>
  <c r="A9577" i="4"/>
  <c r="A9576" i="4"/>
  <c r="A9575" i="4"/>
  <c r="A9574" i="4"/>
  <c r="A9573" i="4"/>
  <c r="A9572" i="4"/>
  <c r="A9571" i="4"/>
  <c r="A9570" i="4"/>
  <c r="A9569" i="4"/>
  <c r="A9568" i="4"/>
  <c r="A9567" i="4"/>
  <c r="A9566" i="4"/>
  <c r="A9565" i="4"/>
  <c r="A9564" i="4"/>
  <c r="A9563" i="4"/>
  <c r="A9562" i="4"/>
  <c r="A9561" i="4"/>
  <c r="A9560" i="4"/>
  <c r="A9559" i="4"/>
  <c r="A9558" i="4"/>
  <c r="A9557" i="4"/>
  <c r="A9556" i="4"/>
  <c r="A9555" i="4"/>
  <c r="A9554" i="4"/>
  <c r="A9553" i="4"/>
  <c r="A9552" i="4"/>
  <c r="A9551" i="4"/>
  <c r="A9550" i="4"/>
  <c r="A9549" i="4"/>
  <c r="A9548" i="4"/>
  <c r="A9547" i="4"/>
  <c r="A9546" i="4"/>
  <c r="A9545" i="4"/>
  <c r="A9544" i="4"/>
  <c r="A9543" i="4"/>
  <c r="A9542" i="4"/>
  <c r="A9541" i="4"/>
  <c r="A9540" i="4"/>
  <c r="A9539" i="4"/>
  <c r="A9538" i="4"/>
  <c r="A9537" i="4"/>
  <c r="A9536" i="4"/>
  <c r="A9535" i="4"/>
  <c r="A9534" i="4"/>
  <c r="A9533" i="4"/>
  <c r="A9532" i="4"/>
  <c r="A9531" i="4"/>
  <c r="A9530" i="4"/>
  <c r="A9529" i="4"/>
  <c r="A9528" i="4"/>
  <c r="A9527" i="4"/>
  <c r="A9526" i="4"/>
  <c r="A9525" i="4"/>
  <c r="A9524" i="4"/>
  <c r="A9523" i="4"/>
  <c r="A9522" i="4"/>
  <c r="A9521" i="4"/>
  <c r="A9520" i="4"/>
  <c r="A9519" i="4"/>
  <c r="A9518" i="4"/>
  <c r="A9517" i="4"/>
  <c r="A9516" i="4"/>
  <c r="A9515" i="4"/>
  <c r="A9514" i="4"/>
  <c r="A9513" i="4"/>
  <c r="A9512" i="4"/>
  <c r="A9511" i="4"/>
  <c r="A9510" i="4"/>
  <c r="A9509" i="4"/>
  <c r="A9508" i="4"/>
  <c r="A9507" i="4"/>
  <c r="A9506" i="4"/>
  <c r="A9505" i="4"/>
  <c r="A9504" i="4"/>
  <c r="A9503" i="4"/>
  <c r="A9502" i="4"/>
  <c r="A9501" i="4"/>
  <c r="A9500" i="4"/>
  <c r="A9499" i="4"/>
  <c r="A9498" i="4"/>
  <c r="A9497" i="4"/>
  <c r="A9496" i="4"/>
  <c r="A9495" i="4"/>
  <c r="A9494" i="4"/>
  <c r="A9493" i="4"/>
  <c r="A9492" i="4"/>
  <c r="A9491" i="4"/>
  <c r="A9490" i="4"/>
  <c r="A9489" i="4"/>
  <c r="A9488" i="4"/>
  <c r="A9487" i="4"/>
  <c r="A9486" i="4"/>
  <c r="A9485" i="4"/>
  <c r="A9484" i="4"/>
  <c r="A9483" i="4"/>
  <c r="A9482" i="4"/>
  <c r="A9481" i="4"/>
  <c r="A9480" i="4"/>
  <c r="A9479" i="4"/>
  <c r="A9478" i="4"/>
  <c r="A9477" i="4"/>
  <c r="A9476" i="4"/>
  <c r="A9475" i="4"/>
  <c r="A9474" i="4"/>
  <c r="A9473" i="4"/>
  <c r="A9472" i="4"/>
  <c r="A9471" i="4"/>
  <c r="A9470" i="4"/>
  <c r="A9469" i="4"/>
  <c r="A9468" i="4"/>
  <c r="A9467" i="4"/>
  <c r="A9466" i="4"/>
  <c r="A9465" i="4"/>
  <c r="A9464" i="4"/>
  <c r="A9463" i="4"/>
  <c r="A9462" i="4"/>
  <c r="A9461" i="4"/>
  <c r="A9460" i="4"/>
  <c r="A9459" i="4"/>
  <c r="A9458" i="4"/>
  <c r="A9457" i="4"/>
  <c r="A9456" i="4"/>
  <c r="A9455" i="4"/>
  <c r="A9454" i="4"/>
  <c r="A9453" i="4"/>
  <c r="A9452" i="4"/>
  <c r="A9451" i="4"/>
  <c r="A9450" i="4"/>
  <c r="A9449" i="4"/>
  <c r="A9448" i="4"/>
  <c r="A9447" i="4"/>
  <c r="A9446" i="4"/>
  <c r="A9445" i="4"/>
  <c r="A9444" i="4"/>
  <c r="A9443" i="4"/>
  <c r="A9442" i="4"/>
  <c r="A9441" i="4"/>
  <c r="A9440" i="4"/>
  <c r="A9439" i="4"/>
  <c r="A9438" i="4"/>
  <c r="A9437" i="4"/>
  <c r="A9436" i="4"/>
  <c r="A9435" i="4"/>
  <c r="A9434" i="4"/>
  <c r="A9433" i="4"/>
  <c r="A9432" i="4"/>
  <c r="A9431" i="4"/>
  <c r="A9430" i="4"/>
  <c r="A9429" i="4"/>
  <c r="A9428" i="4"/>
  <c r="A9427" i="4"/>
  <c r="A9426" i="4"/>
  <c r="A9425" i="4"/>
  <c r="A9424" i="4"/>
  <c r="A9423" i="4"/>
  <c r="A9422" i="4"/>
  <c r="A9421" i="4"/>
  <c r="A9420" i="4"/>
  <c r="A9419" i="4"/>
  <c r="A9418" i="4"/>
  <c r="A9417" i="4"/>
  <c r="A9416" i="4"/>
  <c r="A9415" i="4"/>
  <c r="A9414" i="4"/>
  <c r="A9413" i="4"/>
  <c r="A9412" i="4"/>
  <c r="A9411" i="4"/>
  <c r="A9410" i="4"/>
  <c r="A9409" i="4"/>
  <c r="A9408" i="4"/>
  <c r="A9407" i="4"/>
  <c r="A9406" i="4"/>
  <c r="A9405" i="4"/>
  <c r="A9404" i="4"/>
  <c r="A9403" i="4"/>
  <c r="A9402" i="4"/>
  <c r="A9401" i="4"/>
  <c r="A9400" i="4"/>
  <c r="A9399" i="4"/>
  <c r="A9398" i="4"/>
  <c r="A9397" i="4"/>
  <c r="A9396" i="4"/>
  <c r="A9395" i="4"/>
  <c r="A9394" i="4"/>
  <c r="A9393" i="4"/>
  <c r="A9392" i="4"/>
  <c r="A9391" i="4"/>
  <c r="A9390" i="4"/>
  <c r="A9389" i="4"/>
  <c r="A9388" i="4"/>
  <c r="A9387" i="4"/>
  <c r="A9386" i="4"/>
  <c r="A9385" i="4"/>
  <c r="A9384" i="4"/>
  <c r="A9383" i="4"/>
  <c r="A9382" i="4"/>
  <c r="A9381" i="4"/>
  <c r="A9380" i="4"/>
  <c r="A9379" i="4"/>
  <c r="A9378" i="4"/>
  <c r="A9377" i="4"/>
  <c r="A9376" i="4"/>
  <c r="A9375" i="4"/>
  <c r="A9374" i="4"/>
  <c r="A9373" i="4"/>
  <c r="A9372" i="4"/>
  <c r="A9371" i="4"/>
  <c r="A9370" i="4"/>
  <c r="A9369" i="4"/>
  <c r="A9368" i="4"/>
  <c r="A9367" i="4"/>
  <c r="A9366" i="4"/>
  <c r="A9365" i="4"/>
  <c r="A9364" i="4"/>
  <c r="A9363" i="4"/>
  <c r="A9362" i="4"/>
  <c r="A9361" i="4"/>
  <c r="A9360" i="4"/>
  <c r="A9359" i="4"/>
  <c r="A9358" i="4"/>
  <c r="A9357" i="4"/>
  <c r="A9356" i="4"/>
  <c r="A9355" i="4"/>
  <c r="A9354" i="4"/>
  <c r="A9353" i="4"/>
  <c r="A9352" i="4"/>
  <c r="A9351" i="4"/>
  <c r="A9350" i="4"/>
  <c r="A9349" i="4"/>
  <c r="A9348" i="4"/>
  <c r="A9347" i="4"/>
  <c r="A9346" i="4"/>
  <c r="A9345" i="4"/>
  <c r="A9344" i="4"/>
  <c r="A9343" i="4"/>
  <c r="A9342" i="4"/>
  <c r="A9341" i="4"/>
  <c r="A9340" i="4"/>
  <c r="A9339" i="4"/>
  <c r="A9338" i="4"/>
  <c r="A9337" i="4"/>
  <c r="A9336" i="4"/>
  <c r="A9335" i="4"/>
  <c r="A9334" i="4"/>
  <c r="A9333" i="4"/>
  <c r="A9332" i="4"/>
  <c r="A9331" i="4"/>
  <c r="A9330" i="4"/>
  <c r="A9329" i="4"/>
  <c r="A9328" i="4"/>
  <c r="A9327" i="4"/>
  <c r="A9326" i="4"/>
  <c r="A9325" i="4"/>
  <c r="A9324" i="4"/>
  <c r="A9323" i="4"/>
  <c r="A9322" i="4"/>
  <c r="A9321" i="4"/>
  <c r="A9320" i="4"/>
  <c r="A9319" i="4"/>
  <c r="A9318" i="4"/>
  <c r="A9317" i="4"/>
  <c r="A9316" i="4"/>
  <c r="A9315" i="4"/>
  <c r="A9314" i="4"/>
  <c r="A9313" i="4"/>
  <c r="A9312" i="4"/>
  <c r="A9311" i="4"/>
  <c r="A9310" i="4"/>
  <c r="A9309" i="4"/>
  <c r="A9308" i="4"/>
  <c r="A9307" i="4"/>
  <c r="A9306" i="4"/>
  <c r="A9305" i="4"/>
  <c r="A9304" i="4"/>
  <c r="A9303" i="4"/>
  <c r="A9302" i="4"/>
  <c r="A9301" i="4"/>
  <c r="A9300" i="4"/>
  <c r="A9299" i="4"/>
  <c r="A9298" i="4"/>
  <c r="A9297" i="4"/>
  <c r="A9296" i="4"/>
  <c r="A9295" i="4"/>
  <c r="A9294" i="4"/>
  <c r="A9293" i="4"/>
  <c r="A9292" i="4"/>
  <c r="A9291" i="4"/>
  <c r="A9290" i="4"/>
  <c r="A9289" i="4"/>
  <c r="A9288" i="4"/>
  <c r="A9287" i="4"/>
  <c r="A9286" i="4"/>
  <c r="A9285" i="4"/>
  <c r="A9284" i="4"/>
  <c r="A9283" i="4"/>
  <c r="A9282" i="4"/>
  <c r="A9281" i="4"/>
  <c r="A9280" i="4"/>
  <c r="A9279" i="4"/>
  <c r="A9278" i="4"/>
  <c r="A9277" i="4"/>
  <c r="A9276" i="4"/>
  <c r="A9275" i="4"/>
  <c r="A9274" i="4"/>
  <c r="A9273" i="4"/>
  <c r="A9272" i="4"/>
  <c r="A9271" i="4"/>
  <c r="A9270" i="4"/>
  <c r="A9269" i="4"/>
  <c r="A9268" i="4"/>
  <c r="A9267" i="4"/>
  <c r="A9266" i="4"/>
  <c r="A9265" i="4"/>
  <c r="A9264" i="4"/>
  <c r="A9263" i="4"/>
  <c r="A9262" i="4"/>
  <c r="A9261" i="4"/>
  <c r="A9260" i="4"/>
  <c r="A9259" i="4"/>
  <c r="A9258" i="4"/>
  <c r="A9257" i="4"/>
  <c r="A9256" i="4"/>
  <c r="A9255" i="4"/>
  <c r="A9254" i="4"/>
  <c r="A9253" i="4"/>
  <c r="A9252" i="4"/>
  <c r="A9251" i="4"/>
  <c r="A9250" i="4"/>
  <c r="A9249" i="4"/>
  <c r="A9248" i="4"/>
  <c r="A9247" i="4"/>
  <c r="A9246" i="4"/>
  <c r="A9245" i="4"/>
  <c r="A9244" i="4"/>
  <c r="A9243" i="4"/>
  <c r="A9242" i="4"/>
  <c r="A9241" i="4"/>
  <c r="A9240" i="4"/>
  <c r="A9239" i="4"/>
  <c r="A9238" i="4"/>
  <c r="A9237" i="4"/>
  <c r="A9236" i="4"/>
  <c r="A9235" i="4"/>
  <c r="A9234" i="4"/>
  <c r="A9233" i="4"/>
  <c r="A9232" i="4"/>
  <c r="A9231" i="4"/>
  <c r="A9230" i="4"/>
  <c r="A9229" i="4"/>
  <c r="A9228" i="4"/>
  <c r="A9227" i="4"/>
  <c r="A9226" i="4"/>
  <c r="A9225" i="4"/>
  <c r="A9224" i="4"/>
  <c r="A9223" i="4"/>
  <c r="A9222" i="4"/>
  <c r="A9221" i="4"/>
  <c r="A9220" i="4"/>
  <c r="A9219" i="4"/>
  <c r="A9218" i="4"/>
  <c r="A9217" i="4"/>
  <c r="A9216" i="4"/>
  <c r="A9215" i="4"/>
  <c r="A9214" i="4"/>
  <c r="A9213" i="4"/>
  <c r="A9212" i="4"/>
  <c r="A9211" i="4"/>
  <c r="A9210" i="4"/>
  <c r="A9209" i="4"/>
  <c r="A9208" i="4"/>
  <c r="A9207" i="4"/>
  <c r="A9206" i="4"/>
  <c r="A9205" i="4"/>
  <c r="A9204" i="4"/>
  <c r="A9203" i="4"/>
  <c r="A9202" i="4"/>
  <c r="A9201" i="4"/>
  <c r="A9200" i="4"/>
  <c r="A9199" i="4"/>
  <c r="A9198" i="4"/>
  <c r="A9197" i="4"/>
  <c r="A9196" i="4"/>
  <c r="A9195" i="4"/>
  <c r="A9194" i="4"/>
  <c r="A9193" i="4"/>
  <c r="A9192" i="4"/>
  <c r="A9191" i="4"/>
  <c r="A9190" i="4"/>
  <c r="A9189" i="4"/>
  <c r="A9188" i="4"/>
  <c r="A9187" i="4"/>
  <c r="A9186" i="4"/>
  <c r="A9185" i="4"/>
  <c r="A9184" i="4"/>
  <c r="A9183" i="4"/>
  <c r="A9182" i="4"/>
  <c r="A9181" i="4"/>
  <c r="A9180" i="4"/>
  <c r="A9179" i="4"/>
  <c r="A9178" i="4"/>
  <c r="A9177" i="4"/>
  <c r="A9176" i="4"/>
  <c r="A9175" i="4"/>
  <c r="A9174" i="4"/>
  <c r="A9173" i="4"/>
  <c r="A9172" i="4"/>
  <c r="A9171" i="4"/>
  <c r="A9170" i="4"/>
  <c r="A9169" i="4"/>
  <c r="A9168" i="4"/>
  <c r="A9167" i="4"/>
  <c r="A9166" i="4"/>
  <c r="A9165" i="4"/>
  <c r="A9164" i="4"/>
  <c r="A9163" i="4"/>
  <c r="A9162" i="4"/>
  <c r="A9161" i="4"/>
  <c r="A9160" i="4"/>
  <c r="A9159" i="4"/>
  <c r="A9158" i="4"/>
  <c r="A9157" i="4"/>
  <c r="A9156" i="4"/>
  <c r="A9155" i="4"/>
  <c r="A9154" i="4"/>
  <c r="A9153" i="4"/>
  <c r="A9152" i="4"/>
  <c r="A9151" i="4"/>
  <c r="A9150" i="4"/>
  <c r="A9149" i="4"/>
  <c r="A9148" i="4"/>
  <c r="A9147" i="4"/>
  <c r="A9146" i="4"/>
  <c r="A9145" i="4"/>
  <c r="A9144" i="4"/>
  <c r="A9143" i="4"/>
  <c r="A9142" i="4"/>
  <c r="A9141" i="4"/>
  <c r="A9140" i="4"/>
  <c r="A9139" i="4"/>
  <c r="A9138" i="4"/>
  <c r="A9137" i="4"/>
  <c r="A9136" i="4"/>
  <c r="A9135" i="4"/>
  <c r="A9134" i="4"/>
  <c r="A9133" i="4"/>
  <c r="A9132" i="4"/>
  <c r="A9131" i="4"/>
  <c r="A9130" i="4"/>
  <c r="A9129" i="4"/>
  <c r="A9128" i="4"/>
  <c r="A9127" i="4"/>
  <c r="A9126" i="4"/>
  <c r="A9125" i="4"/>
  <c r="A9124" i="4"/>
  <c r="A9123" i="4"/>
  <c r="A9122" i="4"/>
  <c r="A9121" i="4"/>
  <c r="A9120" i="4"/>
  <c r="A9119" i="4"/>
  <c r="A9118" i="4"/>
  <c r="A9117" i="4"/>
  <c r="A9116" i="4"/>
  <c r="A9115" i="4"/>
  <c r="A9114" i="4"/>
  <c r="A9113" i="4"/>
  <c r="A9112" i="4"/>
  <c r="A9111" i="4"/>
  <c r="A9110" i="4"/>
  <c r="A9109" i="4"/>
  <c r="A9108" i="4"/>
  <c r="A9107" i="4"/>
  <c r="A9106" i="4"/>
  <c r="A9105" i="4"/>
  <c r="A9104" i="4"/>
  <c r="A9103" i="4"/>
  <c r="A9102" i="4"/>
  <c r="A9101" i="4"/>
  <c r="A9100" i="4"/>
  <c r="A9099" i="4"/>
  <c r="A9098" i="4"/>
  <c r="A9097" i="4"/>
  <c r="A9096" i="4"/>
  <c r="A9095" i="4"/>
  <c r="A9094" i="4"/>
  <c r="A9093" i="4"/>
  <c r="A9092" i="4"/>
  <c r="A9091" i="4"/>
  <c r="A9090" i="4"/>
  <c r="A9089" i="4"/>
  <c r="A9088" i="4"/>
  <c r="A9087" i="4"/>
  <c r="A9086" i="4"/>
  <c r="A9085" i="4"/>
  <c r="A9084" i="4"/>
  <c r="A9083" i="4"/>
  <c r="A9082" i="4"/>
  <c r="A9081" i="4"/>
  <c r="A9080" i="4"/>
  <c r="A9079" i="4"/>
  <c r="A9078" i="4"/>
  <c r="A9077" i="4"/>
  <c r="A9076" i="4"/>
  <c r="A9075" i="4"/>
  <c r="A9074" i="4"/>
  <c r="A9073" i="4"/>
  <c r="A9072" i="4"/>
  <c r="A9071" i="4"/>
  <c r="A9070" i="4"/>
  <c r="A9069" i="4"/>
  <c r="A9068" i="4"/>
  <c r="A9067" i="4"/>
  <c r="A9066" i="4"/>
  <c r="A9065" i="4"/>
  <c r="A9064" i="4"/>
  <c r="A9063" i="4"/>
  <c r="A9062" i="4"/>
  <c r="A9061" i="4"/>
  <c r="A9060" i="4"/>
  <c r="A9059" i="4"/>
  <c r="A9058" i="4"/>
  <c r="A9057" i="4"/>
  <c r="A9056" i="4"/>
  <c r="A9055" i="4"/>
  <c r="A9054" i="4"/>
  <c r="A9053" i="4"/>
  <c r="A9052" i="4"/>
  <c r="A9051" i="4"/>
  <c r="A9050" i="4"/>
  <c r="A9049" i="4"/>
  <c r="A9048" i="4"/>
  <c r="A9047" i="4"/>
  <c r="A9046" i="4"/>
  <c r="A9045" i="4"/>
  <c r="A9044" i="4"/>
  <c r="A9043" i="4"/>
  <c r="A9042" i="4"/>
  <c r="A9041" i="4"/>
  <c r="A9040" i="4"/>
  <c r="A9039" i="4"/>
  <c r="A9038" i="4"/>
  <c r="A9037" i="4"/>
  <c r="A9036" i="4"/>
  <c r="A9035" i="4"/>
  <c r="A9034" i="4"/>
  <c r="A9033" i="4"/>
  <c r="A9032" i="4"/>
  <c r="A9031" i="4"/>
  <c r="A9030" i="4"/>
  <c r="A9029" i="4"/>
  <c r="A9028" i="4"/>
  <c r="A9027" i="4"/>
  <c r="A9026" i="4"/>
  <c r="A9025" i="4"/>
  <c r="A9024" i="4"/>
  <c r="A9023" i="4"/>
  <c r="A9022" i="4"/>
  <c r="A9021" i="4"/>
  <c r="A9020" i="4"/>
  <c r="A9019" i="4"/>
  <c r="A9018" i="4"/>
  <c r="A9017" i="4"/>
  <c r="A9016" i="4"/>
  <c r="A9015" i="4"/>
  <c r="A9014" i="4"/>
  <c r="A9013" i="4"/>
  <c r="A9012" i="4"/>
  <c r="A9011" i="4"/>
  <c r="A9010" i="4"/>
  <c r="A9009" i="4"/>
  <c r="A9008" i="4"/>
  <c r="A9007" i="4"/>
  <c r="A9006" i="4"/>
  <c r="A9005" i="4"/>
  <c r="A9004" i="4"/>
  <c r="A9003" i="4"/>
  <c r="A9002" i="4"/>
  <c r="A9001" i="4"/>
  <c r="A9000" i="4"/>
  <c r="A8999" i="4"/>
  <c r="A8998" i="4"/>
  <c r="A8997" i="4"/>
  <c r="A8996" i="4"/>
  <c r="A8995" i="4"/>
  <c r="A8994" i="4"/>
  <c r="A8993" i="4"/>
  <c r="A8992" i="4"/>
  <c r="A8991" i="4"/>
  <c r="A8990" i="4"/>
  <c r="A8989" i="4"/>
  <c r="A8988" i="4"/>
  <c r="A8987" i="4"/>
  <c r="A8986" i="4"/>
  <c r="A8985" i="4"/>
  <c r="A8984" i="4"/>
  <c r="A8983" i="4"/>
  <c r="A8982" i="4"/>
  <c r="A8981" i="4"/>
  <c r="A8980" i="4"/>
  <c r="A8979" i="4"/>
  <c r="A8978" i="4"/>
  <c r="A8977" i="4"/>
  <c r="A8976" i="4"/>
  <c r="A8975" i="4"/>
  <c r="A8974" i="4"/>
  <c r="A8973" i="4"/>
  <c r="A8972" i="4"/>
  <c r="A8971" i="4"/>
  <c r="A8970" i="4"/>
  <c r="A8969" i="4"/>
  <c r="A8968" i="4"/>
  <c r="A8967" i="4"/>
  <c r="A8966" i="4"/>
  <c r="A8965" i="4"/>
  <c r="A8964" i="4"/>
  <c r="A8963" i="4"/>
  <c r="A8962" i="4"/>
  <c r="A8961" i="4"/>
  <c r="A8960" i="4"/>
  <c r="A8959" i="4"/>
  <c r="A8958" i="4"/>
  <c r="A8957" i="4"/>
  <c r="A8956" i="4"/>
  <c r="A8955" i="4"/>
  <c r="A8954" i="4"/>
  <c r="A8953" i="4"/>
  <c r="A8952" i="4"/>
  <c r="A8951" i="4"/>
  <c r="A8950" i="4"/>
  <c r="A8949" i="4"/>
  <c r="A8948" i="4"/>
  <c r="A8947" i="4"/>
  <c r="A8946" i="4"/>
  <c r="A8945" i="4"/>
  <c r="A8944" i="4"/>
  <c r="A8943" i="4"/>
  <c r="A8942" i="4"/>
  <c r="A8941" i="4"/>
  <c r="A8940" i="4"/>
  <c r="A8939" i="4"/>
  <c r="A8938" i="4"/>
  <c r="A8937" i="4"/>
  <c r="A8936" i="4"/>
  <c r="A8935" i="4"/>
  <c r="A8934" i="4"/>
  <c r="A8933" i="4"/>
  <c r="A8932" i="4"/>
  <c r="A8931" i="4"/>
  <c r="A8930" i="4"/>
  <c r="A8929" i="4"/>
  <c r="A8928" i="4"/>
  <c r="A8927" i="4"/>
  <c r="A8926" i="4"/>
  <c r="A8925" i="4"/>
  <c r="A8924" i="4"/>
  <c r="A8923" i="4"/>
  <c r="A8922" i="4"/>
  <c r="A8921" i="4"/>
  <c r="A8920" i="4"/>
  <c r="A8919" i="4"/>
  <c r="A8918" i="4"/>
  <c r="A8917" i="4"/>
  <c r="A8916" i="4"/>
  <c r="A8915" i="4"/>
  <c r="A8914" i="4"/>
  <c r="A8913" i="4"/>
  <c r="A8912" i="4"/>
  <c r="A8911" i="4"/>
  <c r="A8910" i="4"/>
  <c r="A8909" i="4"/>
  <c r="A8908" i="4"/>
  <c r="A8907" i="4"/>
  <c r="A8906" i="4"/>
  <c r="A8905" i="4"/>
  <c r="A8904" i="4"/>
  <c r="A8903" i="4"/>
  <c r="A8902" i="4"/>
  <c r="A8901" i="4"/>
  <c r="A8900" i="4"/>
  <c r="A8899" i="4"/>
  <c r="A8898" i="4"/>
  <c r="A8897" i="4"/>
  <c r="A8896" i="4"/>
  <c r="A8895" i="4"/>
  <c r="A8894" i="4"/>
  <c r="A8893" i="4"/>
  <c r="A8892" i="4"/>
  <c r="A8891" i="4"/>
  <c r="A8890" i="4"/>
  <c r="A8889" i="4"/>
  <c r="A8888" i="4"/>
  <c r="A8887" i="4"/>
  <c r="A8886" i="4"/>
  <c r="A8885" i="4"/>
  <c r="A8884" i="4"/>
  <c r="A8883" i="4"/>
  <c r="A8882" i="4"/>
  <c r="A8881" i="4"/>
  <c r="A8880" i="4"/>
  <c r="A8879" i="4"/>
  <c r="A8878" i="4"/>
  <c r="A8877" i="4"/>
  <c r="A8876" i="4"/>
  <c r="A8875" i="4"/>
  <c r="A8874" i="4"/>
  <c r="A8873" i="4"/>
  <c r="A8872" i="4"/>
  <c r="A8871" i="4"/>
  <c r="A8870" i="4"/>
  <c r="A8869" i="4"/>
  <c r="A8868" i="4"/>
  <c r="A8867" i="4"/>
  <c r="A8866" i="4"/>
  <c r="A8865" i="4"/>
  <c r="A8864" i="4"/>
  <c r="A8863" i="4"/>
  <c r="A8862" i="4"/>
  <c r="A8861" i="4"/>
  <c r="A8860" i="4"/>
  <c r="A8859" i="4"/>
  <c r="A8858" i="4"/>
  <c r="A8857" i="4"/>
  <c r="A8856" i="4"/>
  <c r="A8855" i="4"/>
  <c r="A8854" i="4"/>
  <c r="A8853" i="4"/>
  <c r="A8852" i="4"/>
  <c r="A8851" i="4"/>
  <c r="A8850" i="4"/>
  <c r="A8849" i="4"/>
  <c r="A8848" i="4"/>
  <c r="A8847" i="4"/>
  <c r="A8846" i="4"/>
  <c r="A8845" i="4"/>
  <c r="A8844" i="4"/>
  <c r="A8843" i="4"/>
  <c r="A8842" i="4"/>
  <c r="A8841" i="4"/>
  <c r="A8840" i="4"/>
  <c r="A8839" i="4"/>
  <c r="A8838" i="4"/>
  <c r="A8837" i="4"/>
  <c r="A8836" i="4"/>
  <c r="A8835" i="4"/>
  <c r="A8834" i="4"/>
  <c r="A8833" i="4"/>
  <c r="A8832" i="4"/>
  <c r="A8831" i="4"/>
  <c r="A8830" i="4"/>
  <c r="A8829" i="4"/>
  <c r="A8828" i="4"/>
  <c r="A8827" i="4"/>
  <c r="A8826" i="4"/>
  <c r="A8825" i="4"/>
  <c r="A8824" i="4"/>
  <c r="A8823" i="4"/>
  <c r="A8822" i="4"/>
  <c r="A8821" i="4"/>
  <c r="A8820" i="4"/>
  <c r="A8819" i="4"/>
  <c r="A8818" i="4"/>
  <c r="A8817" i="4"/>
  <c r="A8816" i="4"/>
  <c r="A8815" i="4"/>
  <c r="A8814" i="4"/>
  <c r="A8813" i="4"/>
  <c r="A8812" i="4"/>
  <c r="A8811" i="4"/>
  <c r="A8810" i="4"/>
  <c r="A8809" i="4"/>
  <c r="A8808" i="4"/>
  <c r="A8807" i="4"/>
  <c r="A8806" i="4"/>
  <c r="A8805" i="4"/>
  <c r="A8804" i="4"/>
  <c r="A8803" i="4"/>
  <c r="A8802" i="4"/>
  <c r="A8801" i="4"/>
  <c r="A8800" i="4"/>
  <c r="A8799" i="4"/>
  <c r="A8798" i="4"/>
  <c r="A8797" i="4"/>
  <c r="A8796" i="4"/>
  <c r="A8795" i="4"/>
  <c r="A8794" i="4"/>
  <c r="A8793" i="4"/>
  <c r="A8792" i="4"/>
  <c r="A8791" i="4"/>
  <c r="A8790" i="4"/>
  <c r="A8789" i="4"/>
  <c r="A8788" i="4"/>
  <c r="A8787" i="4"/>
  <c r="A8786" i="4"/>
  <c r="A8785" i="4"/>
  <c r="A8784" i="4"/>
  <c r="A8783" i="4"/>
  <c r="A8782" i="4"/>
  <c r="A8781" i="4"/>
  <c r="A8780" i="4"/>
  <c r="A8779" i="4"/>
  <c r="A8778" i="4"/>
  <c r="A8777" i="4"/>
  <c r="A8776" i="4"/>
  <c r="A8775" i="4"/>
  <c r="A8774" i="4"/>
  <c r="A8773" i="4"/>
  <c r="A8772" i="4"/>
  <c r="A8771" i="4"/>
  <c r="A8770" i="4"/>
  <c r="A8769" i="4"/>
  <c r="A8768" i="4"/>
  <c r="A8767" i="4"/>
  <c r="A8766" i="4"/>
  <c r="A8765" i="4"/>
  <c r="A8764" i="4"/>
  <c r="A8763" i="4"/>
  <c r="A8762" i="4"/>
  <c r="A8761" i="4"/>
  <c r="A8760" i="4"/>
  <c r="A8759" i="4"/>
  <c r="A8758" i="4"/>
  <c r="A8757" i="4"/>
  <c r="A8756" i="4"/>
  <c r="A8755" i="4"/>
  <c r="A8754" i="4"/>
  <c r="A8753" i="4"/>
  <c r="A8752" i="4"/>
  <c r="A8751" i="4"/>
  <c r="A8750" i="4"/>
  <c r="A8749" i="4"/>
  <c r="A8748" i="4"/>
  <c r="A8747" i="4"/>
  <c r="A8746" i="4"/>
  <c r="A8745" i="4"/>
  <c r="A8744" i="4"/>
  <c r="A8743" i="4"/>
  <c r="A8742" i="4"/>
  <c r="A8741" i="4"/>
  <c r="A8740" i="4"/>
  <c r="A8739" i="4"/>
  <c r="A8738" i="4"/>
  <c r="A8737" i="4"/>
  <c r="A8736" i="4"/>
  <c r="A8735" i="4"/>
  <c r="A8734" i="4"/>
  <c r="A8733" i="4"/>
  <c r="A8732" i="4"/>
  <c r="A8731" i="4"/>
  <c r="A8730" i="4"/>
  <c r="A8729" i="4"/>
  <c r="A8728" i="4"/>
  <c r="A8727" i="4"/>
  <c r="A8726" i="4"/>
  <c r="A8725" i="4"/>
  <c r="A8724" i="4"/>
  <c r="A8723" i="4"/>
  <c r="A8722" i="4"/>
  <c r="A8721" i="4"/>
  <c r="A8720" i="4"/>
  <c r="A8719" i="4"/>
  <c r="A8718" i="4"/>
  <c r="A8717" i="4"/>
  <c r="A8716" i="4"/>
  <c r="A8715" i="4"/>
  <c r="A8714" i="4"/>
  <c r="A8713" i="4"/>
  <c r="A8712" i="4"/>
  <c r="A8711" i="4"/>
  <c r="A8710" i="4"/>
  <c r="A8709" i="4"/>
  <c r="A8708" i="4"/>
  <c r="A8707" i="4"/>
  <c r="A8706" i="4"/>
  <c r="A8705" i="4"/>
  <c r="A8704" i="4"/>
  <c r="A8703" i="4"/>
  <c r="A8702" i="4"/>
  <c r="A8701" i="4"/>
  <c r="A8700" i="4"/>
  <c r="A8699" i="4"/>
  <c r="A8698" i="4"/>
  <c r="A8697" i="4"/>
  <c r="A8696" i="4"/>
  <c r="A8695" i="4"/>
  <c r="A8694" i="4"/>
  <c r="A8693" i="4"/>
  <c r="A8692" i="4"/>
  <c r="A8691" i="4"/>
  <c r="A8690" i="4"/>
  <c r="A8689" i="4"/>
  <c r="A8688" i="4"/>
  <c r="A8687" i="4"/>
  <c r="A8686" i="4"/>
  <c r="A8685" i="4"/>
  <c r="A8684" i="4"/>
  <c r="A8683" i="4"/>
  <c r="A8682" i="4"/>
  <c r="A8681" i="4"/>
  <c r="A8680" i="4"/>
  <c r="A8679" i="4"/>
  <c r="A8678" i="4"/>
  <c r="A8677" i="4"/>
  <c r="A8676" i="4"/>
  <c r="A8675" i="4"/>
  <c r="A8674" i="4"/>
  <c r="A8673" i="4"/>
  <c r="A8672" i="4"/>
  <c r="A8671" i="4"/>
  <c r="A8670" i="4"/>
  <c r="A8669" i="4"/>
  <c r="A8668" i="4"/>
  <c r="A8667" i="4"/>
  <c r="A8666" i="4"/>
  <c r="A8665" i="4"/>
  <c r="A8664" i="4"/>
  <c r="A8663" i="4"/>
  <c r="A8662" i="4"/>
  <c r="A8661" i="4"/>
  <c r="A8660" i="4"/>
  <c r="A8659" i="4"/>
  <c r="A8658" i="4"/>
  <c r="A8657" i="4"/>
  <c r="A8656" i="4"/>
  <c r="A8655" i="4"/>
  <c r="A8654" i="4"/>
  <c r="A8653" i="4"/>
  <c r="A8652" i="4"/>
  <c r="A8651" i="4"/>
  <c r="A8650" i="4"/>
  <c r="A8649" i="4"/>
  <c r="A8648" i="4"/>
  <c r="A8647" i="4"/>
  <c r="A8646" i="4"/>
  <c r="A8645" i="4"/>
  <c r="A8644" i="4"/>
  <c r="A8643" i="4"/>
  <c r="A8642" i="4"/>
  <c r="A8641" i="4"/>
  <c r="A8640" i="4"/>
  <c r="A8639" i="4"/>
  <c r="A8638" i="4"/>
  <c r="A8637" i="4"/>
  <c r="A8636" i="4"/>
  <c r="A8635" i="4"/>
  <c r="A8634" i="4"/>
  <c r="A8633" i="4"/>
  <c r="A8632" i="4"/>
  <c r="A8631" i="4"/>
  <c r="A8630" i="4"/>
  <c r="A8629" i="4"/>
  <c r="A8628" i="4"/>
  <c r="A8627" i="4"/>
  <c r="A8626" i="4"/>
  <c r="A8625" i="4"/>
  <c r="A8624" i="4"/>
  <c r="A8623" i="4"/>
  <c r="A8622" i="4"/>
  <c r="A8621" i="4"/>
  <c r="A8620" i="4"/>
  <c r="A8619" i="4"/>
  <c r="A8618" i="4"/>
  <c r="A8617" i="4"/>
  <c r="A8616" i="4"/>
  <c r="A8615" i="4"/>
  <c r="A8614" i="4"/>
  <c r="A8613" i="4"/>
  <c r="A8612" i="4"/>
  <c r="A8611" i="4"/>
  <c r="A8610" i="4"/>
  <c r="A8609" i="4"/>
  <c r="A8608" i="4"/>
  <c r="A8607" i="4"/>
  <c r="A8606" i="4"/>
  <c r="A8605" i="4"/>
  <c r="A8604" i="4"/>
  <c r="A8603" i="4"/>
  <c r="A8602" i="4"/>
  <c r="A8601" i="4"/>
  <c r="A8600" i="4"/>
  <c r="A8599" i="4"/>
  <c r="A8598" i="4"/>
  <c r="A8597" i="4"/>
  <c r="A8596" i="4"/>
  <c r="A8595" i="4"/>
  <c r="A8594" i="4"/>
  <c r="A8593" i="4"/>
  <c r="A8592" i="4"/>
  <c r="A8591" i="4"/>
  <c r="A8590" i="4"/>
  <c r="A8589" i="4"/>
  <c r="A8588" i="4"/>
  <c r="A8587" i="4"/>
  <c r="A8586" i="4"/>
  <c r="A8585" i="4"/>
  <c r="A8584" i="4"/>
  <c r="A8583" i="4"/>
  <c r="A8582" i="4"/>
  <c r="A8581" i="4"/>
  <c r="A8580" i="4"/>
  <c r="A8579" i="4"/>
  <c r="A8578" i="4"/>
  <c r="A8577" i="4"/>
  <c r="A8576" i="4"/>
  <c r="A8575" i="4"/>
  <c r="A8574" i="4"/>
  <c r="A8573" i="4"/>
  <c r="A8572" i="4"/>
  <c r="A8571" i="4"/>
  <c r="A8570" i="4"/>
  <c r="A8569" i="4"/>
  <c r="A8568" i="4"/>
  <c r="A8567" i="4"/>
  <c r="A8566" i="4"/>
  <c r="A8565" i="4"/>
  <c r="A8564" i="4"/>
  <c r="A8563" i="4"/>
  <c r="A8562" i="4"/>
  <c r="A8561" i="4"/>
  <c r="A8560" i="4"/>
  <c r="A8559" i="4"/>
  <c r="A8558" i="4"/>
  <c r="A8557" i="4"/>
  <c r="A8556" i="4"/>
  <c r="A8555" i="4"/>
  <c r="A8554" i="4"/>
  <c r="A8553" i="4"/>
  <c r="A8552" i="4"/>
  <c r="A8551" i="4"/>
  <c r="A8550" i="4"/>
  <c r="A8549" i="4"/>
  <c r="A8548" i="4"/>
  <c r="A8547" i="4"/>
  <c r="A8546" i="4"/>
  <c r="A8545" i="4"/>
  <c r="A8544" i="4"/>
  <c r="A8543" i="4"/>
  <c r="A8542" i="4"/>
  <c r="A8541" i="4"/>
  <c r="A8540" i="4"/>
  <c r="A8539" i="4"/>
  <c r="A8538" i="4"/>
  <c r="A8537" i="4"/>
  <c r="A8536" i="4"/>
  <c r="A8535" i="4"/>
  <c r="A8534" i="4"/>
  <c r="A8533" i="4"/>
  <c r="A8532" i="4"/>
  <c r="A8531" i="4"/>
  <c r="A8530" i="4"/>
  <c r="A8529" i="4"/>
  <c r="A8528" i="4"/>
  <c r="A8527" i="4"/>
  <c r="A8526" i="4"/>
  <c r="A8525" i="4"/>
  <c r="A8524" i="4"/>
  <c r="A8523" i="4"/>
  <c r="A8522" i="4"/>
  <c r="A8521" i="4"/>
  <c r="A8520" i="4"/>
  <c r="A8519" i="4"/>
  <c r="A8518" i="4"/>
  <c r="A8517" i="4"/>
  <c r="A8516" i="4"/>
  <c r="A8515" i="4"/>
  <c r="A8514" i="4"/>
  <c r="A8513" i="4"/>
  <c r="A8512" i="4"/>
  <c r="A8511" i="4"/>
  <c r="A8510" i="4"/>
  <c r="A8509" i="4"/>
  <c r="A8508" i="4"/>
  <c r="A8507" i="4"/>
  <c r="A8506" i="4"/>
  <c r="A8505" i="4"/>
  <c r="A8504" i="4"/>
  <c r="A8503" i="4"/>
  <c r="A8502" i="4"/>
  <c r="A8501" i="4"/>
  <c r="A8500" i="4"/>
  <c r="A8499" i="4"/>
  <c r="A8498" i="4"/>
  <c r="A8497" i="4"/>
  <c r="A8496" i="4"/>
  <c r="A8495" i="4"/>
  <c r="A8494" i="4"/>
  <c r="A8493" i="4"/>
  <c r="A8492" i="4"/>
  <c r="A8491" i="4"/>
  <c r="A8490" i="4"/>
  <c r="A8489" i="4"/>
  <c r="A8488" i="4"/>
  <c r="A8487" i="4"/>
  <c r="A8486" i="4"/>
  <c r="A8485" i="4"/>
  <c r="A8484" i="4"/>
  <c r="A8483" i="4"/>
  <c r="A8482" i="4"/>
  <c r="A8481" i="4"/>
  <c r="A8480" i="4"/>
  <c r="A8479" i="4"/>
  <c r="A8478" i="4"/>
  <c r="A8477" i="4"/>
  <c r="A8476" i="4"/>
  <c r="A8475" i="4"/>
  <c r="A8474" i="4"/>
  <c r="A8473" i="4"/>
  <c r="A8472" i="4"/>
  <c r="A8471" i="4"/>
  <c r="A8470" i="4"/>
  <c r="A8469" i="4"/>
  <c r="A8468" i="4"/>
  <c r="A8467" i="4"/>
  <c r="A8466" i="4"/>
  <c r="A8465" i="4"/>
  <c r="A8464" i="4"/>
  <c r="A8463" i="4"/>
  <c r="A8462" i="4"/>
  <c r="A8461" i="4"/>
  <c r="A8460" i="4"/>
  <c r="A8459" i="4"/>
  <c r="A8458" i="4"/>
  <c r="A8457" i="4"/>
  <c r="A8456" i="4"/>
  <c r="A8455" i="4"/>
  <c r="A8454" i="4"/>
  <c r="A8453" i="4"/>
  <c r="A8452" i="4"/>
  <c r="A8451" i="4"/>
  <c r="A8450" i="4"/>
  <c r="A8449" i="4"/>
  <c r="A8448" i="4"/>
  <c r="A8447" i="4"/>
  <c r="A8446" i="4"/>
  <c r="A8445" i="4"/>
  <c r="A8444" i="4"/>
  <c r="A8443" i="4"/>
  <c r="A8442" i="4"/>
  <c r="A8441" i="4"/>
  <c r="A8440" i="4"/>
  <c r="A8439" i="4"/>
  <c r="A8438" i="4"/>
  <c r="A8437" i="4"/>
  <c r="A8436" i="4"/>
  <c r="A8435" i="4"/>
  <c r="A8434" i="4"/>
  <c r="A8433" i="4"/>
  <c r="A8432" i="4"/>
  <c r="A8431" i="4"/>
  <c r="A8430" i="4"/>
  <c r="A8429" i="4"/>
  <c r="A8428" i="4"/>
  <c r="A8427" i="4"/>
  <c r="A8426" i="4"/>
  <c r="A8425" i="4"/>
  <c r="A8424" i="4"/>
  <c r="A8423" i="4"/>
  <c r="A8422" i="4"/>
  <c r="A8421" i="4"/>
  <c r="A8420" i="4"/>
  <c r="A8419" i="4"/>
  <c r="A8418" i="4"/>
  <c r="A8417" i="4"/>
  <c r="A8416" i="4"/>
  <c r="A8415" i="4"/>
  <c r="A8414" i="4"/>
  <c r="A8413" i="4"/>
  <c r="A8412" i="4"/>
  <c r="A8411" i="4"/>
  <c r="A8410" i="4"/>
  <c r="A8409" i="4"/>
  <c r="A8408" i="4"/>
  <c r="A8407" i="4"/>
  <c r="A8406" i="4"/>
  <c r="A8405" i="4"/>
  <c r="A8404" i="4"/>
  <c r="A8403" i="4"/>
  <c r="A8402" i="4"/>
  <c r="A8401" i="4"/>
  <c r="A8400" i="4"/>
  <c r="A8399" i="4"/>
  <c r="A8398" i="4"/>
  <c r="A8397" i="4"/>
  <c r="A8396" i="4"/>
  <c r="A8395" i="4"/>
  <c r="A8394" i="4"/>
  <c r="A8393" i="4"/>
  <c r="A8392" i="4"/>
  <c r="A8391" i="4"/>
  <c r="A8390" i="4"/>
  <c r="A8389" i="4"/>
  <c r="A8388" i="4"/>
  <c r="A8387" i="4"/>
  <c r="A8386" i="4"/>
  <c r="A8385" i="4"/>
  <c r="A8384" i="4"/>
  <c r="A8383" i="4"/>
  <c r="A8382" i="4"/>
  <c r="A8381" i="4"/>
  <c r="A8380" i="4"/>
  <c r="A8379" i="4"/>
  <c r="A8378" i="4"/>
  <c r="A8377" i="4"/>
  <c r="A8376" i="4"/>
  <c r="A8375" i="4"/>
  <c r="A8374" i="4"/>
  <c r="A8373" i="4"/>
  <c r="A8372" i="4"/>
  <c r="A8371" i="4"/>
  <c r="A8370" i="4"/>
  <c r="A8369" i="4"/>
  <c r="A8368" i="4"/>
  <c r="A8367" i="4"/>
  <c r="A8366" i="4"/>
  <c r="A8365" i="4"/>
  <c r="A8364" i="4"/>
  <c r="A8363" i="4"/>
  <c r="A8362" i="4"/>
  <c r="A8361" i="4"/>
  <c r="A8360" i="4"/>
  <c r="A8359" i="4"/>
  <c r="A8358" i="4"/>
  <c r="A8357" i="4"/>
  <c r="A8356" i="4"/>
  <c r="A8355" i="4"/>
  <c r="A8354" i="4"/>
  <c r="A8353" i="4"/>
  <c r="A8352" i="4"/>
  <c r="A8351" i="4"/>
  <c r="A8350" i="4"/>
  <c r="A8349" i="4"/>
  <c r="A8348" i="4"/>
  <c r="A8347" i="4"/>
  <c r="A8346" i="4"/>
  <c r="A8345" i="4"/>
  <c r="A8344" i="4"/>
  <c r="A8343" i="4"/>
  <c r="A8342" i="4"/>
  <c r="A8341" i="4"/>
  <c r="A8340" i="4"/>
  <c r="A8339" i="4"/>
  <c r="A8338" i="4"/>
  <c r="A8337" i="4"/>
  <c r="A8336" i="4"/>
  <c r="A8335" i="4"/>
  <c r="A8334" i="4"/>
  <c r="A8333" i="4"/>
  <c r="A8332" i="4"/>
  <c r="A8331" i="4"/>
  <c r="A8330" i="4"/>
  <c r="A8329" i="4"/>
  <c r="A8328" i="4"/>
  <c r="A8327" i="4"/>
  <c r="A8326" i="4"/>
  <c r="A8325" i="4"/>
  <c r="A8324" i="4"/>
  <c r="A8323" i="4"/>
  <c r="A8322" i="4"/>
  <c r="A8321" i="4"/>
  <c r="A8320" i="4"/>
  <c r="A8319" i="4"/>
  <c r="A8318" i="4"/>
  <c r="A8317" i="4"/>
  <c r="A8316" i="4"/>
  <c r="A8315" i="4"/>
  <c r="A8314" i="4"/>
  <c r="A8313" i="4"/>
  <c r="A8312" i="4"/>
  <c r="A8311" i="4"/>
  <c r="A8310" i="4"/>
  <c r="A8309" i="4"/>
  <c r="A8308" i="4"/>
  <c r="A8307" i="4"/>
  <c r="A8306" i="4"/>
  <c r="A8305" i="4"/>
  <c r="A8304" i="4"/>
  <c r="A8303" i="4"/>
  <c r="A8302" i="4"/>
  <c r="A8301" i="4"/>
  <c r="A8300" i="4"/>
  <c r="A8299" i="4"/>
  <c r="A8298" i="4"/>
  <c r="A8297" i="4"/>
  <c r="A8296" i="4"/>
  <c r="A8295" i="4"/>
  <c r="A8294" i="4"/>
  <c r="A8293" i="4"/>
  <c r="A8292" i="4"/>
  <c r="A8291" i="4"/>
  <c r="A8290" i="4"/>
  <c r="A8289" i="4"/>
  <c r="A8288" i="4"/>
  <c r="A8287" i="4"/>
  <c r="A8286" i="4"/>
  <c r="A8285" i="4"/>
  <c r="A8284" i="4"/>
  <c r="A8283" i="4"/>
  <c r="A8282" i="4"/>
  <c r="A8281" i="4"/>
  <c r="A8280" i="4"/>
  <c r="A8279" i="4"/>
  <c r="A8278" i="4"/>
  <c r="A8277" i="4"/>
  <c r="A8276" i="4"/>
  <c r="A8275" i="4"/>
  <c r="A8274" i="4"/>
  <c r="A8273" i="4"/>
  <c r="A8272" i="4"/>
  <c r="A8271" i="4"/>
  <c r="A8270" i="4"/>
  <c r="A8269" i="4"/>
  <c r="A8268" i="4"/>
  <c r="A8267" i="4"/>
  <c r="A8266" i="4"/>
  <c r="A8265" i="4"/>
  <c r="A8264" i="4"/>
  <c r="A8263" i="4"/>
  <c r="A8262" i="4"/>
  <c r="A8261" i="4"/>
  <c r="A8260" i="4"/>
  <c r="A8259" i="4"/>
  <c r="A8258" i="4"/>
  <c r="A8257" i="4"/>
  <c r="A8256" i="4"/>
  <c r="A8255" i="4"/>
  <c r="A8254" i="4"/>
  <c r="A8253" i="4"/>
  <c r="A8252" i="4"/>
  <c r="A8251" i="4"/>
  <c r="A8250" i="4"/>
  <c r="A8249" i="4"/>
  <c r="A8248" i="4"/>
  <c r="A8247" i="4"/>
  <c r="A8246" i="4"/>
  <c r="A8245" i="4"/>
  <c r="A8244" i="4"/>
  <c r="A8243" i="4"/>
  <c r="A8242" i="4"/>
  <c r="A8241" i="4"/>
  <c r="A8240" i="4"/>
  <c r="A8239" i="4"/>
  <c r="A8238" i="4"/>
  <c r="A8237" i="4"/>
  <c r="A8236" i="4"/>
  <c r="A8235" i="4"/>
  <c r="A8234" i="4"/>
  <c r="A8233" i="4"/>
  <c r="A8232" i="4"/>
  <c r="A8231" i="4"/>
  <c r="A8230" i="4"/>
  <c r="A8229" i="4"/>
  <c r="A8228" i="4"/>
  <c r="A8227" i="4"/>
  <c r="A8226" i="4"/>
  <c r="A8225" i="4"/>
  <c r="A8224" i="4"/>
  <c r="A8223" i="4"/>
  <c r="A8222" i="4"/>
  <c r="A8221" i="4"/>
  <c r="A8220" i="4"/>
  <c r="A8219" i="4"/>
  <c r="A8218" i="4"/>
  <c r="A8217" i="4"/>
  <c r="A8216" i="4"/>
  <c r="A8215" i="4"/>
  <c r="A8214" i="4"/>
  <c r="A8213" i="4"/>
  <c r="A8212" i="4"/>
  <c r="A8211" i="4"/>
  <c r="A8210" i="4"/>
  <c r="A8209" i="4"/>
  <c r="A8208" i="4"/>
  <c r="A8207" i="4"/>
  <c r="A8206" i="4"/>
  <c r="A8205" i="4"/>
  <c r="A8204" i="4"/>
  <c r="A8203" i="4"/>
  <c r="A8202" i="4"/>
  <c r="A8201" i="4"/>
  <c r="A8200" i="4"/>
  <c r="A8199" i="4"/>
  <c r="A8198" i="4"/>
  <c r="A8197" i="4"/>
  <c r="A8196" i="4"/>
  <c r="A8195" i="4"/>
  <c r="A8194" i="4"/>
  <c r="A8193" i="4"/>
  <c r="A8192" i="4"/>
  <c r="A8191" i="4"/>
  <c r="A8190" i="4"/>
  <c r="A8189" i="4"/>
  <c r="A8188" i="4"/>
  <c r="A8187" i="4"/>
  <c r="A8186" i="4"/>
  <c r="A8185" i="4"/>
  <c r="A8184" i="4"/>
  <c r="A8183" i="4"/>
  <c r="A8182" i="4"/>
  <c r="A8181" i="4"/>
  <c r="A8180" i="4"/>
  <c r="A8179" i="4"/>
  <c r="A8178" i="4"/>
  <c r="A8177" i="4"/>
  <c r="A8176" i="4"/>
  <c r="A8175" i="4"/>
  <c r="A8174" i="4"/>
  <c r="A8173" i="4"/>
  <c r="A8172" i="4"/>
  <c r="A8171" i="4"/>
  <c r="A8170" i="4"/>
  <c r="A8169" i="4"/>
  <c r="A8168" i="4"/>
  <c r="A8167" i="4"/>
  <c r="A8166" i="4"/>
  <c r="A8165" i="4"/>
  <c r="A8164" i="4"/>
  <c r="A8163" i="4"/>
  <c r="A8162" i="4"/>
  <c r="A8161" i="4"/>
  <c r="A8160" i="4"/>
  <c r="A8159" i="4"/>
  <c r="A8158" i="4"/>
  <c r="A8157" i="4"/>
  <c r="A8156" i="4"/>
  <c r="A8155" i="4"/>
  <c r="A8154" i="4"/>
  <c r="A8153" i="4"/>
  <c r="A8152" i="4"/>
  <c r="A8151" i="4"/>
  <c r="A8150" i="4"/>
  <c r="A8149" i="4"/>
  <c r="A8148" i="4"/>
  <c r="A8147" i="4"/>
  <c r="A8146" i="4"/>
  <c r="A8145" i="4"/>
  <c r="A8144" i="4"/>
  <c r="A8143" i="4"/>
  <c r="A8142" i="4"/>
  <c r="A8141" i="4"/>
  <c r="A8140" i="4"/>
  <c r="A8139" i="4"/>
  <c r="A8138" i="4"/>
  <c r="A8137" i="4"/>
  <c r="A8136" i="4"/>
  <c r="A8135" i="4"/>
  <c r="A8134" i="4"/>
  <c r="A8133" i="4"/>
  <c r="A8132" i="4"/>
  <c r="A8131" i="4"/>
  <c r="A8130" i="4"/>
  <c r="A8129" i="4"/>
  <c r="A8128" i="4"/>
  <c r="A8127" i="4"/>
  <c r="A8126" i="4"/>
  <c r="A8125" i="4"/>
  <c r="A8124" i="4"/>
  <c r="A8123" i="4"/>
  <c r="A8122" i="4"/>
  <c r="A8121" i="4"/>
  <c r="A8120" i="4"/>
  <c r="A8119" i="4"/>
  <c r="A8118" i="4"/>
  <c r="A8117" i="4"/>
  <c r="A8116" i="4"/>
  <c r="A8115" i="4"/>
  <c r="A8114" i="4"/>
  <c r="A8113" i="4"/>
  <c r="A8112" i="4"/>
  <c r="A8111" i="4"/>
  <c r="A8110" i="4"/>
  <c r="A8109" i="4"/>
  <c r="A8108" i="4"/>
  <c r="A8107" i="4"/>
  <c r="A8106" i="4"/>
  <c r="A8105" i="4"/>
  <c r="A8104" i="4"/>
  <c r="A8103" i="4"/>
  <c r="A8102" i="4"/>
  <c r="A8101" i="4"/>
  <c r="A8100" i="4"/>
  <c r="A8099" i="4"/>
  <c r="A8098" i="4"/>
  <c r="A8097" i="4"/>
  <c r="A8096" i="4"/>
  <c r="A8095" i="4"/>
  <c r="A8094" i="4"/>
  <c r="A8093" i="4"/>
  <c r="A8092" i="4"/>
  <c r="A8091" i="4"/>
  <c r="A8090" i="4"/>
  <c r="A8089" i="4"/>
  <c r="A8088" i="4"/>
  <c r="A8087" i="4"/>
  <c r="A8086" i="4"/>
  <c r="A8085" i="4"/>
  <c r="A8084" i="4"/>
  <c r="A8083" i="4"/>
  <c r="A8082" i="4"/>
  <c r="A8081" i="4"/>
  <c r="A8080" i="4"/>
  <c r="A8079" i="4"/>
  <c r="A8078" i="4"/>
  <c r="A8077" i="4"/>
  <c r="A8076" i="4"/>
  <c r="A8075" i="4"/>
  <c r="A8074" i="4"/>
  <c r="A8073" i="4"/>
  <c r="A8072" i="4"/>
  <c r="A8071" i="4"/>
  <c r="A8070" i="4"/>
  <c r="A8069" i="4"/>
  <c r="A8068" i="4"/>
  <c r="A8067" i="4"/>
  <c r="A8066" i="4"/>
  <c r="A8065" i="4"/>
  <c r="A8064" i="4"/>
  <c r="A8063" i="4"/>
  <c r="A8062" i="4"/>
  <c r="A8061" i="4"/>
  <c r="A8060" i="4"/>
  <c r="A8059" i="4"/>
  <c r="A8058" i="4"/>
  <c r="A8057" i="4"/>
  <c r="A8056" i="4"/>
  <c r="A8055" i="4"/>
  <c r="A8054" i="4"/>
  <c r="A8053" i="4"/>
  <c r="A8052" i="4"/>
  <c r="A8051" i="4"/>
  <c r="A8050" i="4"/>
  <c r="A8049" i="4"/>
  <c r="A8048" i="4"/>
  <c r="A8047" i="4"/>
  <c r="A8046" i="4"/>
  <c r="A8045" i="4"/>
  <c r="A8044" i="4"/>
  <c r="A8043" i="4"/>
  <c r="A8042" i="4"/>
  <c r="A8041" i="4"/>
  <c r="A8040" i="4"/>
  <c r="A8039" i="4"/>
  <c r="A8038" i="4"/>
  <c r="A8037" i="4"/>
  <c r="A8036" i="4"/>
  <c r="A8035" i="4"/>
  <c r="A8034" i="4"/>
  <c r="A8033" i="4"/>
  <c r="A8032" i="4"/>
  <c r="A8031" i="4"/>
  <c r="A8030" i="4"/>
  <c r="A8029" i="4"/>
  <c r="A8028" i="4"/>
  <c r="A8027" i="4"/>
  <c r="A8026" i="4"/>
  <c r="A8025" i="4"/>
  <c r="A8024" i="4"/>
  <c r="A8023" i="4"/>
  <c r="A8022" i="4"/>
  <c r="A8021" i="4"/>
  <c r="A8020" i="4"/>
  <c r="A8019" i="4"/>
  <c r="A8018" i="4"/>
  <c r="A8017" i="4"/>
  <c r="A8016" i="4"/>
  <c r="A8015" i="4"/>
  <c r="A8014" i="4"/>
  <c r="A8013" i="4"/>
  <c r="A8012" i="4"/>
  <c r="A8011" i="4"/>
  <c r="A8010" i="4"/>
  <c r="A8009" i="4"/>
  <c r="A8008" i="4"/>
  <c r="A8007" i="4"/>
  <c r="A8006" i="4"/>
  <c r="A8005" i="4"/>
  <c r="A8004" i="4"/>
  <c r="A8003" i="4"/>
  <c r="A8002" i="4"/>
  <c r="A8001" i="4"/>
  <c r="A8000" i="4"/>
  <c r="A7999" i="4"/>
  <c r="A7998" i="4"/>
  <c r="A7997" i="4"/>
  <c r="A7996" i="4"/>
  <c r="A7995" i="4"/>
  <c r="A7994" i="4"/>
  <c r="A7993" i="4"/>
  <c r="A7992" i="4"/>
  <c r="A7991" i="4"/>
  <c r="A7990" i="4"/>
  <c r="A7989" i="4"/>
  <c r="A7988" i="4"/>
  <c r="A7987" i="4"/>
  <c r="A7986" i="4"/>
  <c r="A7985" i="4"/>
  <c r="A7984" i="4"/>
  <c r="A7983" i="4"/>
  <c r="A7982" i="4"/>
  <c r="A7981" i="4"/>
  <c r="A7980" i="4"/>
  <c r="A7979" i="4"/>
  <c r="A7978" i="4"/>
  <c r="A7977" i="4"/>
  <c r="A7976" i="4"/>
  <c r="A7975" i="4"/>
  <c r="A7974" i="4"/>
  <c r="A7973" i="4"/>
  <c r="A7972" i="4"/>
  <c r="A7971" i="4"/>
  <c r="A7970" i="4"/>
  <c r="A7969" i="4"/>
  <c r="A7968" i="4"/>
  <c r="A7967" i="4"/>
  <c r="A7966" i="4"/>
  <c r="A7965" i="4"/>
  <c r="A7964" i="4"/>
  <c r="A7963" i="4"/>
  <c r="A7962" i="4"/>
  <c r="A7961" i="4"/>
  <c r="A7960" i="4"/>
  <c r="A7959" i="4"/>
  <c r="A7958" i="4"/>
  <c r="A7957" i="4"/>
  <c r="A7956" i="4"/>
  <c r="A7955" i="4"/>
  <c r="A7954" i="4"/>
  <c r="A7953" i="4"/>
  <c r="A7952" i="4"/>
  <c r="A7951" i="4"/>
  <c r="A7950" i="4"/>
  <c r="A7949" i="4"/>
  <c r="A7948" i="4"/>
  <c r="A7947" i="4"/>
  <c r="A7946" i="4"/>
  <c r="A7945" i="4"/>
  <c r="A7944" i="4"/>
  <c r="A7943" i="4"/>
  <c r="A7942" i="4"/>
  <c r="A7941" i="4"/>
  <c r="A7940" i="4"/>
  <c r="A7939" i="4"/>
  <c r="A7938" i="4"/>
  <c r="A7937" i="4"/>
  <c r="A7936" i="4"/>
  <c r="A7935" i="4"/>
  <c r="A7934" i="4"/>
  <c r="A7933" i="4"/>
  <c r="A7932" i="4"/>
  <c r="A7931" i="4"/>
  <c r="A7930" i="4"/>
  <c r="A7929" i="4"/>
  <c r="A7928" i="4"/>
  <c r="A7927" i="4"/>
  <c r="A7926" i="4"/>
  <c r="A7925" i="4"/>
  <c r="A7924" i="4"/>
  <c r="A7923" i="4"/>
  <c r="A7922" i="4"/>
  <c r="A7921" i="4"/>
  <c r="A7920" i="4"/>
  <c r="A7919" i="4"/>
  <c r="A7918" i="4"/>
  <c r="A7917" i="4"/>
  <c r="A7916" i="4"/>
  <c r="A7915" i="4"/>
  <c r="A7914" i="4"/>
  <c r="A7913" i="4"/>
  <c r="A7912" i="4"/>
  <c r="A7911" i="4"/>
  <c r="A7910" i="4"/>
  <c r="A7909" i="4"/>
  <c r="A7908" i="4"/>
  <c r="A7907" i="4"/>
  <c r="A7906" i="4"/>
  <c r="A7905" i="4"/>
  <c r="A7904" i="4"/>
  <c r="A7903" i="4"/>
  <c r="A7902" i="4"/>
  <c r="A7901" i="4"/>
  <c r="A7900" i="4"/>
  <c r="A7899" i="4"/>
  <c r="A7898" i="4"/>
  <c r="A7897" i="4"/>
  <c r="A7896" i="4"/>
  <c r="A7895" i="4"/>
  <c r="A7894" i="4"/>
  <c r="A7893" i="4"/>
  <c r="A7892" i="4"/>
  <c r="A7891" i="4"/>
  <c r="A7890" i="4"/>
  <c r="A7889" i="4"/>
  <c r="A7888" i="4"/>
  <c r="A7887" i="4"/>
  <c r="A7886" i="4"/>
  <c r="A7885" i="4"/>
  <c r="A7884" i="4"/>
  <c r="A7883" i="4"/>
  <c r="A7882" i="4"/>
  <c r="A7881" i="4"/>
  <c r="A7880" i="4"/>
  <c r="A7879" i="4"/>
  <c r="A7878" i="4"/>
  <c r="A7877" i="4"/>
  <c r="A7876" i="4"/>
  <c r="A7875" i="4"/>
  <c r="A7874" i="4"/>
  <c r="A7873" i="4"/>
  <c r="A7872" i="4"/>
  <c r="A7871" i="4"/>
  <c r="A7870" i="4"/>
  <c r="A7869" i="4"/>
  <c r="A7868" i="4"/>
  <c r="A7867" i="4"/>
  <c r="A7866" i="4"/>
  <c r="A7865" i="4"/>
  <c r="A7864" i="4"/>
  <c r="A7863" i="4"/>
  <c r="A7862" i="4"/>
  <c r="A7861" i="4"/>
  <c r="A7860" i="4"/>
  <c r="A7859" i="4"/>
  <c r="A7858" i="4"/>
  <c r="A7857" i="4"/>
  <c r="A7856" i="4"/>
  <c r="A7855" i="4"/>
  <c r="A7854" i="4"/>
  <c r="A7853" i="4"/>
  <c r="A7852" i="4"/>
  <c r="A7851" i="4"/>
  <c r="A7850" i="4"/>
  <c r="A7849" i="4"/>
  <c r="A7848" i="4"/>
  <c r="A7847" i="4"/>
  <c r="A7846" i="4"/>
  <c r="A7845" i="4"/>
  <c r="A7844" i="4"/>
  <c r="A7843" i="4"/>
  <c r="A7842" i="4"/>
  <c r="A7841" i="4"/>
  <c r="A7840" i="4"/>
  <c r="A7839" i="4"/>
  <c r="A7838" i="4"/>
  <c r="A7837" i="4"/>
  <c r="A7836" i="4"/>
  <c r="A7835" i="4"/>
  <c r="A7834" i="4"/>
  <c r="A7833" i="4"/>
  <c r="A7832" i="4"/>
  <c r="A7831" i="4"/>
  <c r="A7830" i="4"/>
  <c r="A7829" i="4"/>
  <c r="A7828" i="4"/>
  <c r="A7827" i="4"/>
  <c r="A7826" i="4"/>
  <c r="A7825" i="4"/>
  <c r="A7824" i="4"/>
  <c r="A7823" i="4"/>
  <c r="A7822" i="4"/>
  <c r="A7821" i="4"/>
  <c r="A7820" i="4"/>
  <c r="A7819" i="4"/>
  <c r="A7818" i="4"/>
  <c r="A7817" i="4"/>
  <c r="A7816" i="4"/>
  <c r="A7815" i="4"/>
  <c r="A7814" i="4"/>
  <c r="A7813" i="4"/>
  <c r="A7812" i="4"/>
  <c r="A7811" i="4"/>
  <c r="A7810" i="4"/>
  <c r="A7809" i="4"/>
  <c r="A7808" i="4"/>
  <c r="A7807" i="4"/>
  <c r="A7806" i="4"/>
  <c r="A7805" i="4"/>
  <c r="A7804" i="4"/>
  <c r="A7803" i="4"/>
  <c r="A7802" i="4"/>
  <c r="A7801" i="4"/>
  <c r="A7800" i="4"/>
  <c r="A7799" i="4"/>
  <c r="A7798" i="4"/>
  <c r="A7797" i="4"/>
  <c r="A7796" i="4"/>
  <c r="A7795" i="4"/>
  <c r="A7794" i="4"/>
  <c r="A7793" i="4"/>
  <c r="A7792" i="4"/>
  <c r="A7791" i="4"/>
  <c r="A7790" i="4"/>
  <c r="A7789" i="4"/>
  <c r="A7788" i="4"/>
  <c r="A7787" i="4"/>
  <c r="A7786" i="4"/>
  <c r="A7785" i="4"/>
  <c r="A7784" i="4"/>
  <c r="A7783" i="4"/>
  <c r="A7782" i="4"/>
  <c r="A7781" i="4"/>
  <c r="A7780" i="4"/>
  <c r="A7779" i="4"/>
  <c r="A7778" i="4"/>
  <c r="A7777" i="4"/>
  <c r="A7776" i="4"/>
  <c r="A7775" i="4"/>
  <c r="A7774" i="4"/>
  <c r="A7773" i="4"/>
  <c r="A7772" i="4"/>
  <c r="A7771" i="4"/>
  <c r="A7770" i="4"/>
  <c r="A7769" i="4"/>
  <c r="A7768" i="4"/>
  <c r="A7767" i="4"/>
  <c r="A7766" i="4"/>
  <c r="A7765" i="4"/>
  <c r="A7764" i="4"/>
  <c r="A7763" i="4"/>
  <c r="A7762" i="4"/>
  <c r="A7761" i="4"/>
  <c r="A7760" i="4"/>
  <c r="A7759" i="4"/>
  <c r="A7758" i="4"/>
  <c r="A7757" i="4"/>
  <c r="A7756" i="4"/>
  <c r="A7755" i="4"/>
  <c r="A7754" i="4"/>
  <c r="A7753" i="4"/>
  <c r="A7752" i="4"/>
  <c r="A7751" i="4"/>
  <c r="A7750" i="4"/>
  <c r="A7749" i="4"/>
  <c r="A7748" i="4"/>
  <c r="A7747" i="4"/>
  <c r="A7746" i="4"/>
  <c r="A7745" i="4"/>
  <c r="A7744" i="4"/>
  <c r="A7743" i="4"/>
  <c r="A7742" i="4"/>
  <c r="A7741" i="4"/>
  <c r="A7740" i="4"/>
  <c r="A7739" i="4"/>
  <c r="A7738" i="4"/>
  <c r="A7737" i="4"/>
  <c r="A7736" i="4"/>
  <c r="A7735" i="4"/>
  <c r="A7734" i="4"/>
  <c r="A7733" i="4"/>
  <c r="A7732" i="4"/>
  <c r="A7731" i="4"/>
  <c r="A7730" i="4"/>
  <c r="A7729" i="4"/>
  <c r="A7728" i="4"/>
  <c r="A7727" i="4"/>
  <c r="A7726" i="4"/>
  <c r="A7725" i="4"/>
  <c r="A7724" i="4"/>
  <c r="A7723" i="4"/>
  <c r="A7722" i="4"/>
  <c r="A7721" i="4"/>
  <c r="A7720" i="4"/>
  <c r="A7719" i="4"/>
  <c r="A7718" i="4"/>
  <c r="A7717" i="4"/>
  <c r="A7716" i="4"/>
  <c r="A7715" i="4"/>
  <c r="A7714" i="4"/>
  <c r="A7713" i="4"/>
  <c r="A7712" i="4"/>
  <c r="A7711" i="4"/>
  <c r="A7710" i="4"/>
  <c r="A7709" i="4"/>
  <c r="A7708" i="4"/>
  <c r="A7707" i="4"/>
  <c r="A7706" i="4"/>
  <c r="A7705" i="4"/>
  <c r="A7704" i="4"/>
  <c r="A7703" i="4"/>
  <c r="A7702" i="4"/>
  <c r="A7701" i="4"/>
  <c r="A7700" i="4"/>
  <c r="A7699" i="4"/>
  <c r="A7698" i="4"/>
  <c r="A7697" i="4"/>
  <c r="A7696" i="4"/>
  <c r="A7695" i="4"/>
  <c r="A7694" i="4"/>
  <c r="A7693" i="4"/>
  <c r="A7692" i="4"/>
  <c r="A7691" i="4"/>
  <c r="A7690" i="4"/>
  <c r="A7689" i="4"/>
  <c r="A7688" i="4"/>
  <c r="A7687" i="4"/>
  <c r="A7686" i="4"/>
  <c r="A7685" i="4"/>
  <c r="A7684" i="4"/>
  <c r="A7683" i="4"/>
  <c r="A7682" i="4"/>
  <c r="A7681" i="4"/>
  <c r="A7680" i="4"/>
  <c r="A7679" i="4"/>
  <c r="A7678" i="4"/>
  <c r="A7677" i="4"/>
  <c r="A7676" i="4"/>
  <c r="A7675" i="4"/>
  <c r="A7674" i="4"/>
  <c r="A7673" i="4"/>
  <c r="A7672" i="4"/>
  <c r="A7671" i="4"/>
  <c r="A7670" i="4"/>
  <c r="A7669" i="4"/>
  <c r="A7668" i="4"/>
  <c r="A7667" i="4"/>
  <c r="A7666" i="4"/>
  <c r="A7665" i="4"/>
  <c r="A7664" i="4"/>
  <c r="A7663" i="4"/>
  <c r="A7662" i="4"/>
  <c r="A7661" i="4"/>
  <c r="A7660" i="4"/>
  <c r="A7659" i="4"/>
  <c r="A7658" i="4"/>
  <c r="A7657" i="4"/>
  <c r="A7656" i="4"/>
  <c r="A7655" i="4"/>
  <c r="A7654" i="4"/>
  <c r="A7653" i="4"/>
  <c r="A7652" i="4"/>
  <c r="A7651" i="4"/>
  <c r="A7650" i="4"/>
  <c r="A7649" i="4"/>
  <c r="A7648" i="4"/>
  <c r="A7647" i="4"/>
  <c r="A7646" i="4"/>
  <c r="A7645" i="4"/>
  <c r="A7644" i="4"/>
  <c r="A7643" i="4"/>
  <c r="A7642" i="4"/>
  <c r="A7641" i="4"/>
  <c r="A7640" i="4"/>
  <c r="A7639" i="4"/>
  <c r="A7638" i="4"/>
  <c r="A7637" i="4"/>
  <c r="A7636" i="4"/>
  <c r="A7635" i="4"/>
  <c r="A7634" i="4"/>
  <c r="A7633" i="4"/>
  <c r="A7632" i="4"/>
  <c r="A7631" i="4"/>
  <c r="A7630" i="4"/>
  <c r="A7629" i="4"/>
  <c r="A7628" i="4"/>
  <c r="A7627" i="4"/>
  <c r="A7626" i="4"/>
  <c r="A7625" i="4"/>
  <c r="A7624" i="4"/>
  <c r="A7623" i="4"/>
  <c r="A7622" i="4"/>
  <c r="A7621" i="4"/>
  <c r="A7620" i="4"/>
  <c r="A7619" i="4"/>
  <c r="A7618" i="4"/>
  <c r="A7617" i="4"/>
  <c r="A7616" i="4"/>
  <c r="A7615" i="4"/>
  <c r="A7614" i="4"/>
  <c r="A7613" i="4"/>
  <c r="A7612" i="4"/>
  <c r="A7611" i="4"/>
  <c r="A7610" i="4"/>
  <c r="A7609" i="4"/>
  <c r="A7608" i="4"/>
  <c r="A7607" i="4"/>
  <c r="A7606" i="4"/>
  <c r="A7605" i="4"/>
  <c r="A7604" i="4"/>
  <c r="A7603" i="4"/>
  <c r="A7602" i="4"/>
  <c r="A7601" i="4"/>
  <c r="A7600" i="4"/>
  <c r="A7599" i="4"/>
  <c r="A7598" i="4"/>
  <c r="A7597" i="4"/>
  <c r="A7596" i="4"/>
  <c r="A7595" i="4"/>
  <c r="A7594" i="4"/>
  <c r="A7593" i="4"/>
  <c r="A7592" i="4"/>
  <c r="A7591" i="4"/>
  <c r="A7590" i="4"/>
  <c r="A7589" i="4"/>
  <c r="A7588" i="4"/>
  <c r="A7587" i="4"/>
  <c r="A7586" i="4"/>
  <c r="A7585" i="4"/>
  <c r="A7584" i="4"/>
  <c r="A7583" i="4"/>
  <c r="A7582" i="4"/>
  <c r="A7581" i="4"/>
  <c r="A7580" i="4"/>
  <c r="A7579" i="4"/>
  <c r="A7578" i="4"/>
  <c r="A7577" i="4"/>
  <c r="A7576" i="4"/>
  <c r="A7575" i="4"/>
  <c r="A7574" i="4"/>
  <c r="A7573" i="4"/>
  <c r="A7572" i="4"/>
  <c r="A7571" i="4"/>
  <c r="A7570" i="4"/>
  <c r="A7569" i="4"/>
  <c r="A7568" i="4"/>
  <c r="A7567" i="4"/>
  <c r="A7566" i="4"/>
  <c r="A7565" i="4"/>
  <c r="A7564" i="4"/>
  <c r="A7563" i="4"/>
  <c r="A7562" i="4"/>
  <c r="A7561" i="4"/>
  <c r="A7560" i="4"/>
  <c r="A7559" i="4"/>
  <c r="A7558" i="4"/>
  <c r="A7557" i="4"/>
  <c r="A7556" i="4"/>
  <c r="A7555" i="4"/>
  <c r="A7554" i="4"/>
  <c r="A7553" i="4"/>
  <c r="A7552" i="4"/>
  <c r="A7551" i="4"/>
  <c r="A7550" i="4"/>
  <c r="A7549" i="4"/>
  <c r="A7548" i="4"/>
  <c r="A7547" i="4"/>
  <c r="A7546" i="4"/>
  <c r="A7545" i="4"/>
  <c r="A7544" i="4"/>
  <c r="A7543" i="4"/>
  <c r="A7542" i="4"/>
  <c r="A7541" i="4"/>
  <c r="A7540" i="4"/>
  <c r="A7539" i="4"/>
  <c r="A7538" i="4"/>
  <c r="A7537" i="4"/>
  <c r="A7536" i="4"/>
  <c r="A7535" i="4"/>
  <c r="A7534" i="4"/>
  <c r="A7533" i="4"/>
  <c r="A7532" i="4"/>
  <c r="A7531" i="4"/>
  <c r="A7530" i="4"/>
  <c r="A7529" i="4"/>
  <c r="A7528" i="4"/>
  <c r="A7527" i="4"/>
  <c r="A7526" i="4"/>
  <c r="A7525" i="4"/>
  <c r="A7524" i="4"/>
  <c r="A7523" i="4"/>
  <c r="A7522" i="4"/>
  <c r="A7521" i="4"/>
  <c r="A7520" i="4"/>
  <c r="A7519" i="4"/>
  <c r="A7518" i="4"/>
  <c r="A7517" i="4"/>
  <c r="A7516" i="4"/>
  <c r="A7515" i="4"/>
  <c r="A7514" i="4"/>
  <c r="A7513" i="4"/>
  <c r="A7512" i="4"/>
  <c r="A7511" i="4"/>
  <c r="A7510" i="4"/>
  <c r="A7509" i="4"/>
  <c r="A7508" i="4"/>
  <c r="A7507" i="4"/>
  <c r="A7506" i="4"/>
  <c r="A7505" i="4"/>
  <c r="A7504" i="4"/>
  <c r="A7503" i="4"/>
  <c r="A7502" i="4"/>
  <c r="A7501" i="4"/>
  <c r="A7500" i="4"/>
  <c r="A7499" i="4"/>
  <c r="A7498" i="4"/>
  <c r="A7497" i="4"/>
  <c r="A7496" i="4"/>
  <c r="A7495" i="4"/>
  <c r="A7494" i="4"/>
  <c r="A7493" i="4"/>
  <c r="A7492" i="4"/>
  <c r="A7491" i="4"/>
  <c r="A7490" i="4"/>
  <c r="A7489" i="4"/>
  <c r="A7488" i="4"/>
  <c r="A7487" i="4"/>
  <c r="A7486" i="4"/>
  <c r="A7485" i="4"/>
  <c r="A7484" i="4"/>
  <c r="A7483" i="4"/>
  <c r="A7482" i="4"/>
  <c r="A7481" i="4"/>
  <c r="A7480" i="4"/>
  <c r="A7479" i="4"/>
  <c r="A7478" i="4"/>
  <c r="A7477" i="4"/>
  <c r="A7476" i="4"/>
  <c r="A7475" i="4"/>
  <c r="A7474" i="4"/>
  <c r="A7473" i="4"/>
  <c r="A7472" i="4"/>
  <c r="A7471" i="4"/>
  <c r="A7470" i="4"/>
  <c r="A7469" i="4"/>
  <c r="A7468" i="4"/>
  <c r="A7467" i="4"/>
  <c r="A7466" i="4"/>
  <c r="A7465" i="4"/>
  <c r="A7464" i="4"/>
  <c r="A7463" i="4"/>
  <c r="A7462" i="4"/>
  <c r="A7461" i="4"/>
  <c r="A7460" i="4"/>
  <c r="A7459" i="4"/>
  <c r="A7458" i="4"/>
  <c r="A7457" i="4"/>
  <c r="A7456" i="4"/>
  <c r="A7455" i="4"/>
  <c r="A7454" i="4"/>
  <c r="A7453" i="4"/>
  <c r="A7452" i="4"/>
  <c r="A7451" i="4"/>
  <c r="A7450" i="4"/>
  <c r="A7449" i="4"/>
  <c r="A7448" i="4"/>
  <c r="A7447" i="4"/>
  <c r="A7446" i="4"/>
  <c r="A7445" i="4"/>
  <c r="A7444" i="4"/>
  <c r="A7443" i="4"/>
  <c r="A7442" i="4"/>
  <c r="A7441" i="4"/>
  <c r="A7440" i="4"/>
  <c r="A7439" i="4"/>
  <c r="A7438" i="4"/>
  <c r="A7437" i="4"/>
  <c r="A7436" i="4"/>
  <c r="A7435" i="4"/>
  <c r="A7434" i="4"/>
  <c r="A7433" i="4"/>
  <c r="A7432" i="4"/>
  <c r="A7431" i="4"/>
  <c r="A7430" i="4"/>
  <c r="A7429" i="4"/>
  <c r="A7428" i="4"/>
  <c r="A7427" i="4"/>
  <c r="A7426" i="4"/>
  <c r="A7425" i="4"/>
  <c r="A7424" i="4"/>
  <c r="A7423" i="4"/>
  <c r="A7422" i="4"/>
  <c r="A7421" i="4"/>
  <c r="A7420" i="4"/>
  <c r="A7419" i="4"/>
  <c r="A7418" i="4"/>
  <c r="A7417" i="4"/>
  <c r="A7416" i="4"/>
  <c r="A7415" i="4"/>
  <c r="A7414" i="4"/>
  <c r="A7413" i="4"/>
  <c r="A7412" i="4"/>
  <c r="A7411" i="4"/>
  <c r="A7410" i="4"/>
  <c r="A7409" i="4"/>
  <c r="A7408" i="4"/>
  <c r="A7407" i="4"/>
  <c r="A7406" i="4"/>
  <c r="A7405" i="4"/>
  <c r="A7404" i="4"/>
  <c r="A7403" i="4"/>
  <c r="A7402" i="4"/>
  <c r="A7401" i="4"/>
  <c r="A7400" i="4"/>
  <c r="A7399" i="4"/>
  <c r="A7398" i="4"/>
  <c r="A7397" i="4"/>
  <c r="A7396" i="4"/>
  <c r="A7395" i="4"/>
  <c r="A7394" i="4"/>
  <c r="A7393" i="4"/>
  <c r="A7392" i="4"/>
  <c r="A7391" i="4"/>
  <c r="A7390" i="4"/>
  <c r="A7389" i="4"/>
  <c r="A7388" i="4"/>
  <c r="A7387" i="4"/>
  <c r="A7386" i="4"/>
  <c r="A7385" i="4"/>
  <c r="A7384" i="4"/>
  <c r="A7383" i="4"/>
  <c r="A7382" i="4"/>
  <c r="A7381" i="4"/>
  <c r="A7380" i="4"/>
  <c r="A7379" i="4"/>
  <c r="A7378" i="4"/>
  <c r="A7377" i="4"/>
  <c r="A7376" i="4"/>
  <c r="A7375" i="4"/>
  <c r="A7374" i="4"/>
  <c r="A7373" i="4"/>
  <c r="A7372" i="4"/>
  <c r="A7371" i="4"/>
  <c r="A7370" i="4"/>
  <c r="A7369" i="4"/>
  <c r="A7368" i="4"/>
  <c r="A7367" i="4"/>
  <c r="A7366" i="4"/>
  <c r="A7365" i="4"/>
  <c r="A7364" i="4"/>
  <c r="A7363" i="4"/>
  <c r="A7362" i="4"/>
  <c r="A7361" i="4"/>
  <c r="A7360" i="4"/>
  <c r="A7359" i="4"/>
  <c r="A7358" i="4"/>
  <c r="A7357" i="4"/>
  <c r="A7356" i="4"/>
  <c r="A7355" i="4"/>
  <c r="A7354" i="4"/>
  <c r="A7353" i="4"/>
  <c r="A7352" i="4"/>
  <c r="A7351" i="4"/>
  <c r="A7350" i="4"/>
  <c r="A7349" i="4"/>
  <c r="A7348" i="4"/>
  <c r="A7347" i="4"/>
  <c r="A7346" i="4"/>
  <c r="A7345" i="4"/>
  <c r="A7344" i="4"/>
  <c r="A7343" i="4"/>
  <c r="A7342" i="4"/>
  <c r="A7341" i="4"/>
  <c r="A7340" i="4"/>
  <c r="A7339" i="4"/>
  <c r="A7338" i="4"/>
  <c r="A7337" i="4"/>
  <c r="A7336" i="4"/>
  <c r="A7335" i="4"/>
  <c r="A7334" i="4"/>
  <c r="A7333" i="4"/>
  <c r="A7332" i="4"/>
  <c r="A7331" i="4"/>
  <c r="A7330" i="4"/>
  <c r="A7329" i="4"/>
  <c r="A7328" i="4"/>
  <c r="A7327" i="4"/>
  <c r="A7326" i="4"/>
  <c r="A7325" i="4"/>
  <c r="A7324" i="4"/>
  <c r="A7323" i="4"/>
  <c r="A7322" i="4"/>
  <c r="A7321" i="4"/>
  <c r="A7320" i="4"/>
  <c r="A7319" i="4"/>
  <c r="A7318" i="4"/>
  <c r="A7317" i="4"/>
  <c r="A7316" i="4"/>
  <c r="A7315" i="4"/>
  <c r="A7314" i="4"/>
  <c r="A7313" i="4"/>
  <c r="A7312" i="4"/>
  <c r="A7311" i="4"/>
  <c r="A7310" i="4"/>
  <c r="A7309" i="4"/>
  <c r="A7308" i="4"/>
  <c r="A7307" i="4"/>
  <c r="A7306" i="4"/>
  <c r="A7305" i="4"/>
  <c r="A7304" i="4"/>
  <c r="A7303" i="4"/>
  <c r="A7302" i="4"/>
  <c r="A7301" i="4"/>
  <c r="A7300" i="4"/>
  <c r="A7299" i="4"/>
  <c r="A7298" i="4"/>
  <c r="A7297" i="4"/>
  <c r="A7296" i="4"/>
  <c r="A7295" i="4"/>
  <c r="A7294" i="4"/>
  <c r="A7293" i="4"/>
  <c r="A7292" i="4"/>
  <c r="A7291" i="4"/>
  <c r="A7290" i="4"/>
  <c r="A7289" i="4"/>
  <c r="A7288" i="4"/>
  <c r="A7287" i="4"/>
  <c r="A7286" i="4"/>
  <c r="A7285" i="4"/>
  <c r="A7284" i="4"/>
  <c r="A7283" i="4"/>
  <c r="A7282" i="4"/>
  <c r="A7281" i="4"/>
  <c r="A7280" i="4"/>
  <c r="A7279" i="4"/>
  <c r="A7278" i="4"/>
  <c r="A7277" i="4"/>
  <c r="A7276" i="4"/>
  <c r="A7275" i="4"/>
  <c r="A7274" i="4"/>
  <c r="A7273" i="4"/>
  <c r="A7272" i="4"/>
  <c r="A7271" i="4"/>
  <c r="A7270" i="4"/>
  <c r="A7269" i="4"/>
  <c r="A7268" i="4"/>
  <c r="A7267" i="4"/>
  <c r="A7266" i="4"/>
  <c r="A7265" i="4"/>
  <c r="A7264" i="4"/>
  <c r="A7263" i="4"/>
  <c r="A7262" i="4"/>
  <c r="A7261" i="4"/>
  <c r="A7260" i="4"/>
  <c r="A7259" i="4"/>
  <c r="A7258" i="4"/>
  <c r="A7257" i="4"/>
  <c r="A7256" i="4"/>
  <c r="A7255" i="4"/>
  <c r="A7254" i="4"/>
  <c r="A7253" i="4"/>
  <c r="A7252" i="4"/>
  <c r="A7251" i="4"/>
  <c r="A7250" i="4"/>
  <c r="A7249" i="4"/>
  <c r="A7248" i="4"/>
  <c r="A7247" i="4"/>
  <c r="A7246" i="4"/>
  <c r="A7245" i="4"/>
  <c r="A7244" i="4"/>
  <c r="A7243" i="4"/>
  <c r="A7242" i="4"/>
  <c r="A7241" i="4"/>
  <c r="A7240" i="4"/>
  <c r="A7239" i="4"/>
  <c r="A7238" i="4"/>
  <c r="A7237" i="4"/>
  <c r="A7236" i="4"/>
  <c r="A7235" i="4"/>
  <c r="A7234" i="4"/>
  <c r="A7233" i="4"/>
  <c r="A7232" i="4"/>
  <c r="A7231" i="4"/>
  <c r="A7230" i="4"/>
  <c r="A7229" i="4"/>
  <c r="A7228" i="4"/>
  <c r="A7227" i="4"/>
  <c r="A7226" i="4"/>
  <c r="A7225" i="4"/>
  <c r="A7224" i="4"/>
  <c r="A7223" i="4"/>
  <c r="A7222" i="4"/>
  <c r="A7221" i="4"/>
  <c r="A7220" i="4"/>
  <c r="A7219" i="4"/>
  <c r="A7218" i="4"/>
  <c r="A7217" i="4"/>
  <c r="A7216" i="4"/>
  <c r="A7215" i="4"/>
  <c r="A7214" i="4"/>
  <c r="A7213" i="4"/>
  <c r="A7212" i="4"/>
  <c r="A7211" i="4"/>
  <c r="A7210" i="4"/>
  <c r="A7209" i="4"/>
  <c r="A7208" i="4"/>
  <c r="A7207" i="4"/>
  <c r="A7206" i="4"/>
  <c r="A7205" i="4"/>
  <c r="A7204" i="4"/>
  <c r="A7203" i="4"/>
  <c r="A7202" i="4"/>
  <c r="A7201" i="4"/>
  <c r="A7200" i="4"/>
  <c r="A7199" i="4"/>
  <c r="A7198" i="4"/>
  <c r="A7197" i="4"/>
  <c r="A7196" i="4"/>
  <c r="A7195" i="4"/>
  <c r="A7194" i="4"/>
  <c r="A7193" i="4"/>
  <c r="A7192" i="4"/>
  <c r="A7191" i="4"/>
  <c r="A7190" i="4"/>
  <c r="A7189" i="4"/>
  <c r="A7188" i="4"/>
  <c r="A7187" i="4"/>
  <c r="A7186" i="4"/>
  <c r="A7185" i="4"/>
  <c r="A7184" i="4"/>
  <c r="A7183" i="4"/>
  <c r="A7182" i="4"/>
  <c r="A7181" i="4"/>
  <c r="A7180" i="4"/>
  <c r="A7179" i="4"/>
  <c r="A7178" i="4"/>
  <c r="A7177" i="4"/>
  <c r="A7176" i="4"/>
  <c r="A7175" i="4"/>
  <c r="A7174" i="4"/>
  <c r="A7173" i="4"/>
  <c r="A7172" i="4"/>
  <c r="A7171" i="4"/>
  <c r="A7170" i="4"/>
  <c r="A7169" i="4"/>
  <c r="A7168" i="4"/>
  <c r="A7167" i="4"/>
  <c r="A7166" i="4"/>
  <c r="A7165" i="4"/>
  <c r="A7164" i="4"/>
  <c r="A7163" i="4"/>
  <c r="A7162" i="4"/>
  <c r="A7161" i="4"/>
  <c r="A7160" i="4"/>
  <c r="A7159" i="4"/>
  <c r="A7158" i="4"/>
  <c r="A7157" i="4"/>
  <c r="A7156" i="4"/>
  <c r="A7155" i="4"/>
  <c r="A7154" i="4"/>
  <c r="A7153" i="4"/>
  <c r="A7152" i="4"/>
  <c r="A7151" i="4"/>
  <c r="A7150" i="4"/>
  <c r="A7149" i="4"/>
  <c r="A7148" i="4"/>
  <c r="A7147" i="4"/>
  <c r="A7146" i="4"/>
  <c r="A7145" i="4"/>
  <c r="A7144" i="4"/>
  <c r="A7143" i="4"/>
  <c r="A7142" i="4"/>
  <c r="A7141" i="4"/>
  <c r="A7140" i="4"/>
  <c r="A7139" i="4"/>
  <c r="A7138" i="4"/>
  <c r="A7137" i="4"/>
  <c r="A7136" i="4"/>
  <c r="A7135" i="4"/>
  <c r="A7134" i="4"/>
  <c r="A7133" i="4"/>
  <c r="A7132" i="4"/>
  <c r="A7131" i="4"/>
  <c r="A7130" i="4"/>
  <c r="A7129" i="4"/>
  <c r="A7128" i="4"/>
  <c r="A7127" i="4"/>
  <c r="A7126" i="4"/>
  <c r="A7125" i="4"/>
  <c r="A7124" i="4"/>
  <c r="A7123" i="4"/>
  <c r="A7122" i="4"/>
  <c r="A7121" i="4"/>
  <c r="A7120" i="4"/>
  <c r="A7119" i="4"/>
  <c r="A7118" i="4"/>
  <c r="A7117" i="4"/>
  <c r="A7116" i="4"/>
  <c r="A7115" i="4"/>
  <c r="A7114" i="4"/>
  <c r="A7113" i="4"/>
  <c r="A7112" i="4"/>
  <c r="A7111" i="4"/>
  <c r="A7110" i="4"/>
  <c r="A7109" i="4"/>
  <c r="A7108" i="4"/>
  <c r="A7107" i="4"/>
  <c r="A7106" i="4"/>
  <c r="A7105" i="4"/>
  <c r="A7104" i="4"/>
  <c r="A7103" i="4"/>
  <c r="A7102" i="4"/>
  <c r="A7101" i="4"/>
  <c r="A7100" i="4"/>
  <c r="A7099" i="4"/>
  <c r="A7098" i="4"/>
  <c r="A7097" i="4"/>
  <c r="A7096" i="4"/>
  <c r="A7095" i="4"/>
  <c r="A7094" i="4"/>
  <c r="A7093" i="4"/>
  <c r="A7092" i="4"/>
  <c r="A7091" i="4"/>
  <c r="A7090" i="4"/>
  <c r="A7089" i="4"/>
  <c r="A7088" i="4"/>
  <c r="A7087" i="4"/>
  <c r="A7086" i="4"/>
  <c r="A7085" i="4"/>
  <c r="A7084" i="4"/>
  <c r="A7083" i="4"/>
  <c r="A7082" i="4"/>
  <c r="A7081" i="4"/>
  <c r="A7080" i="4"/>
  <c r="A7079" i="4"/>
  <c r="A7078" i="4"/>
  <c r="A7077" i="4"/>
  <c r="A7076" i="4"/>
  <c r="A7075" i="4"/>
  <c r="A7074" i="4"/>
  <c r="A7073" i="4"/>
  <c r="A7072" i="4"/>
  <c r="A7071" i="4"/>
  <c r="A7070" i="4"/>
  <c r="A7069" i="4"/>
  <c r="A7068" i="4"/>
  <c r="A7067" i="4"/>
  <c r="A7066" i="4"/>
  <c r="A7065" i="4"/>
  <c r="A7064" i="4"/>
  <c r="A7063" i="4"/>
  <c r="A7062" i="4"/>
  <c r="A7061" i="4"/>
  <c r="A7060" i="4"/>
  <c r="A7059" i="4"/>
  <c r="A7058" i="4"/>
  <c r="A7057" i="4"/>
  <c r="A7056" i="4"/>
  <c r="A7055" i="4"/>
  <c r="A7054" i="4"/>
  <c r="A7053" i="4"/>
  <c r="A7052" i="4"/>
  <c r="A7051" i="4"/>
  <c r="A7050" i="4"/>
  <c r="A7049" i="4"/>
  <c r="A7048" i="4"/>
  <c r="A7047" i="4"/>
  <c r="A7046" i="4"/>
  <c r="A7045" i="4"/>
  <c r="A7044" i="4"/>
  <c r="A7043" i="4"/>
  <c r="A7042" i="4"/>
  <c r="A7041" i="4"/>
  <c r="A7040" i="4"/>
  <c r="A7039" i="4"/>
  <c r="A7038" i="4"/>
  <c r="A7037" i="4"/>
  <c r="A7036" i="4"/>
  <c r="A7035" i="4"/>
  <c r="A7034" i="4"/>
  <c r="A7033" i="4"/>
  <c r="A7032" i="4"/>
  <c r="A7031" i="4"/>
  <c r="A7030" i="4"/>
  <c r="A7029" i="4"/>
  <c r="A7028" i="4"/>
  <c r="A7027" i="4"/>
  <c r="A7026" i="4"/>
  <c r="A7025" i="4"/>
  <c r="A7024" i="4"/>
  <c r="A7023" i="4"/>
  <c r="A7022" i="4"/>
  <c r="A7021" i="4"/>
  <c r="A7020" i="4"/>
  <c r="A7019" i="4"/>
  <c r="A7018" i="4"/>
  <c r="A7017" i="4"/>
  <c r="A7016" i="4"/>
  <c r="A7015" i="4"/>
  <c r="A7014" i="4"/>
  <c r="A7013" i="4"/>
  <c r="A7012" i="4"/>
  <c r="A7011" i="4"/>
  <c r="A7010" i="4"/>
  <c r="A7009" i="4"/>
  <c r="A7008" i="4"/>
  <c r="A7007" i="4"/>
  <c r="A7006" i="4"/>
  <c r="A7005" i="4"/>
  <c r="A7004" i="4"/>
  <c r="A7003" i="4"/>
  <c r="A7002" i="4"/>
  <c r="A7001" i="4"/>
  <c r="A7000" i="4"/>
  <c r="A6999" i="4"/>
  <c r="A6998" i="4"/>
  <c r="A6997" i="4"/>
  <c r="A6996" i="4"/>
  <c r="A6995" i="4"/>
  <c r="A6994" i="4"/>
  <c r="A6993" i="4"/>
  <c r="A6992" i="4"/>
  <c r="A6991" i="4"/>
  <c r="A6990" i="4"/>
  <c r="A6989" i="4"/>
  <c r="A6988" i="4"/>
  <c r="A6987" i="4"/>
  <c r="A6986" i="4"/>
  <c r="A6985" i="4"/>
  <c r="A6984" i="4"/>
  <c r="A6983" i="4"/>
  <c r="A6982" i="4"/>
  <c r="A6981" i="4"/>
  <c r="A6980" i="4"/>
  <c r="A6979" i="4"/>
  <c r="A6978" i="4"/>
  <c r="A6977" i="4"/>
  <c r="A6976" i="4"/>
  <c r="A6975" i="4"/>
  <c r="A6974" i="4"/>
  <c r="A6973" i="4"/>
  <c r="A6972" i="4"/>
  <c r="A6971" i="4"/>
  <c r="A6970" i="4"/>
  <c r="A6969" i="4"/>
  <c r="A6968" i="4"/>
  <c r="A6967" i="4"/>
  <c r="A6966" i="4"/>
  <c r="A6965" i="4"/>
  <c r="A6964" i="4"/>
  <c r="A6963" i="4"/>
  <c r="A6962" i="4"/>
  <c r="A6961" i="4"/>
  <c r="A6960" i="4"/>
  <c r="A6959" i="4"/>
  <c r="A6958" i="4"/>
  <c r="A6957" i="4"/>
  <c r="A6956" i="4"/>
  <c r="A6955" i="4"/>
  <c r="A6954" i="4"/>
  <c r="A6953" i="4"/>
  <c r="A6952" i="4"/>
  <c r="A6951" i="4"/>
  <c r="A6950" i="4"/>
  <c r="A6949" i="4"/>
  <c r="A6948" i="4"/>
  <c r="A6947" i="4"/>
  <c r="A6946" i="4"/>
  <c r="A6945" i="4"/>
  <c r="A6944" i="4"/>
  <c r="A6943" i="4"/>
  <c r="A6942" i="4"/>
  <c r="A6941" i="4"/>
  <c r="A6940" i="4"/>
  <c r="A6939" i="4"/>
  <c r="A6938" i="4"/>
  <c r="A6937" i="4"/>
  <c r="A6936" i="4"/>
  <c r="A6935" i="4"/>
  <c r="A6934" i="4"/>
  <c r="A6933" i="4"/>
  <c r="A6932" i="4"/>
  <c r="A6931" i="4"/>
  <c r="A6930" i="4"/>
  <c r="A6929" i="4"/>
  <c r="A6928" i="4"/>
  <c r="A6927" i="4"/>
  <c r="A6926" i="4"/>
  <c r="A6925" i="4"/>
  <c r="A6924" i="4"/>
  <c r="A6923" i="4"/>
  <c r="A6922" i="4"/>
  <c r="A6921" i="4"/>
  <c r="A6920" i="4"/>
  <c r="A6919" i="4"/>
  <c r="A6918" i="4"/>
  <c r="A6917" i="4"/>
  <c r="A6916" i="4"/>
  <c r="A6915" i="4"/>
  <c r="A6914" i="4"/>
  <c r="A6913" i="4"/>
  <c r="A6912" i="4"/>
  <c r="A6911" i="4"/>
  <c r="A6910" i="4"/>
  <c r="A6909" i="4"/>
  <c r="A6908" i="4"/>
  <c r="A6907" i="4"/>
  <c r="A6906" i="4"/>
  <c r="A6905" i="4"/>
  <c r="A6904" i="4"/>
  <c r="A6903" i="4"/>
  <c r="A6902" i="4"/>
  <c r="A6901" i="4"/>
  <c r="A6900" i="4"/>
  <c r="A6899" i="4"/>
  <c r="A6898" i="4"/>
  <c r="A6897" i="4"/>
  <c r="A6896" i="4"/>
  <c r="A6895" i="4"/>
  <c r="A6894" i="4"/>
  <c r="A6893" i="4"/>
  <c r="A6892" i="4"/>
  <c r="A6891" i="4"/>
  <c r="A6890" i="4"/>
  <c r="A6889" i="4"/>
  <c r="A6888" i="4"/>
  <c r="A6887" i="4"/>
  <c r="A6886" i="4"/>
  <c r="A6885" i="4"/>
  <c r="A6884" i="4"/>
  <c r="A6883" i="4"/>
  <c r="A6882" i="4"/>
  <c r="A6881" i="4"/>
  <c r="A6880" i="4"/>
  <c r="A6879" i="4"/>
  <c r="A6878" i="4"/>
  <c r="A6877" i="4"/>
  <c r="A6876" i="4"/>
  <c r="A6875" i="4"/>
  <c r="A6874" i="4"/>
  <c r="A6873" i="4"/>
  <c r="A6872" i="4"/>
  <c r="A6871" i="4"/>
  <c r="A6870" i="4"/>
  <c r="A6869" i="4"/>
  <c r="A6868" i="4"/>
  <c r="A6867" i="4"/>
  <c r="A6866" i="4"/>
  <c r="A6865" i="4"/>
  <c r="A6864" i="4"/>
  <c r="A6863" i="4"/>
  <c r="A6862" i="4"/>
  <c r="A6861" i="4"/>
  <c r="A6860" i="4"/>
  <c r="A6859" i="4"/>
  <c r="A6858" i="4"/>
  <c r="A6857" i="4"/>
  <c r="A6856" i="4"/>
  <c r="A6855" i="4"/>
  <c r="A6854" i="4"/>
  <c r="A6853" i="4"/>
  <c r="A6852" i="4"/>
  <c r="A6851" i="4"/>
  <c r="A6850" i="4"/>
  <c r="A6849" i="4"/>
  <c r="A6848" i="4"/>
  <c r="A6847" i="4"/>
  <c r="A6846" i="4"/>
  <c r="A6845" i="4"/>
  <c r="A6844" i="4"/>
  <c r="A6843" i="4"/>
  <c r="A6842" i="4"/>
  <c r="A6841" i="4"/>
  <c r="A6840" i="4"/>
  <c r="A6839" i="4"/>
  <c r="A6838" i="4"/>
  <c r="A6837" i="4"/>
  <c r="A6836" i="4"/>
  <c r="A6835" i="4"/>
  <c r="A6834" i="4"/>
  <c r="A6833" i="4"/>
  <c r="A6832" i="4"/>
  <c r="A6831" i="4"/>
  <c r="A6830" i="4"/>
  <c r="A6829" i="4"/>
  <c r="A6828" i="4"/>
  <c r="A6827" i="4"/>
  <c r="A6826" i="4"/>
  <c r="A6825" i="4"/>
  <c r="A6824" i="4"/>
  <c r="A6823" i="4"/>
  <c r="A6822" i="4"/>
  <c r="A6821" i="4"/>
  <c r="A6820" i="4"/>
  <c r="A6819" i="4"/>
  <c r="A6818" i="4"/>
  <c r="A6817" i="4"/>
  <c r="A6816" i="4"/>
  <c r="A6815" i="4"/>
  <c r="A6814" i="4"/>
  <c r="A6813" i="4"/>
  <c r="A6812" i="4"/>
  <c r="A6811" i="4"/>
  <c r="A6810" i="4"/>
  <c r="A6809" i="4"/>
  <c r="A6808" i="4"/>
  <c r="A6807" i="4"/>
  <c r="A6806" i="4"/>
  <c r="A6805" i="4"/>
  <c r="A6804" i="4"/>
  <c r="A6803" i="4"/>
  <c r="A6802" i="4"/>
  <c r="A6801" i="4"/>
  <c r="A6800" i="4"/>
  <c r="A6799" i="4"/>
  <c r="A6798" i="4"/>
  <c r="A6797" i="4"/>
  <c r="A6796" i="4"/>
  <c r="A6795" i="4"/>
  <c r="A6794" i="4"/>
  <c r="A6793" i="4"/>
  <c r="A6792" i="4"/>
  <c r="A6791" i="4"/>
  <c r="A6790" i="4"/>
  <c r="A6789" i="4"/>
  <c r="A6788" i="4"/>
  <c r="A6787" i="4"/>
  <c r="A6786" i="4"/>
  <c r="A6785" i="4"/>
  <c r="A6784" i="4"/>
  <c r="A6783" i="4"/>
  <c r="A6782" i="4"/>
  <c r="A6781" i="4"/>
  <c r="A6780" i="4"/>
  <c r="A6779" i="4"/>
  <c r="A6778" i="4"/>
  <c r="A6777" i="4"/>
  <c r="A6776" i="4"/>
  <c r="A6775" i="4"/>
  <c r="A6774" i="4"/>
  <c r="A6773" i="4"/>
  <c r="A6772" i="4"/>
  <c r="A6771" i="4"/>
  <c r="A6770" i="4"/>
  <c r="A6769" i="4"/>
  <c r="A6768" i="4"/>
  <c r="A6767" i="4"/>
  <c r="A6766" i="4"/>
  <c r="A6765" i="4"/>
  <c r="A6764" i="4"/>
  <c r="A6763" i="4"/>
  <c r="A6762" i="4"/>
  <c r="A6761" i="4"/>
  <c r="A6760" i="4"/>
  <c r="A6759" i="4"/>
  <c r="A6758" i="4"/>
  <c r="A6757" i="4"/>
  <c r="A6756" i="4"/>
  <c r="A6755" i="4"/>
  <c r="A6754" i="4"/>
  <c r="A6753" i="4"/>
  <c r="A6752" i="4"/>
  <c r="A6751" i="4"/>
  <c r="A6750" i="4"/>
  <c r="A6749" i="4"/>
  <c r="A6748" i="4"/>
  <c r="A6747" i="4"/>
  <c r="A6746" i="4"/>
  <c r="A6745" i="4"/>
  <c r="A6744" i="4"/>
  <c r="A6743" i="4"/>
  <c r="A6742" i="4"/>
  <c r="A6741" i="4"/>
  <c r="A6740" i="4"/>
  <c r="A6739" i="4"/>
  <c r="A6738" i="4"/>
  <c r="A6737" i="4"/>
  <c r="A6736" i="4"/>
  <c r="A6735" i="4"/>
  <c r="A6734" i="4"/>
  <c r="A6733" i="4"/>
  <c r="A6732" i="4"/>
  <c r="A6731" i="4"/>
  <c r="A6730" i="4"/>
  <c r="A6729" i="4"/>
  <c r="A6728" i="4"/>
  <c r="A6727" i="4"/>
  <c r="A6726" i="4"/>
  <c r="A6725" i="4"/>
  <c r="A6724" i="4"/>
  <c r="A6723" i="4"/>
  <c r="A6722" i="4"/>
  <c r="A6721" i="4"/>
  <c r="A6720" i="4"/>
  <c r="A6719" i="4"/>
  <c r="A6718" i="4"/>
  <c r="A6717" i="4"/>
  <c r="A6716" i="4"/>
  <c r="A6715" i="4"/>
  <c r="A6714" i="4"/>
  <c r="A6713" i="4"/>
  <c r="A6712" i="4"/>
  <c r="A6711" i="4"/>
  <c r="A6710" i="4"/>
  <c r="A6709" i="4"/>
  <c r="A6708" i="4"/>
  <c r="A6707" i="4"/>
  <c r="A6706" i="4"/>
  <c r="A6705" i="4"/>
  <c r="A6704" i="4"/>
  <c r="A6703" i="4"/>
  <c r="A6702" i="4"/>
  <c r="A6701" i="4"/>
  <c r="A6700" i="4"/>
  <c r="A6699" i="4"/>
  <c r="A6698" i="4"/>
  <c r="A6697" i="4"/>
  <c r="A6696" i="4"/>
  <c r="A6695" i="4"/>
  <c r="A6694" i="4"/>
  <c r="A6693" i="4"/>
  <c r="A6692" i="4"/>
  <c r="A6691" i="4"/>
  <c r="A6690" i="4"/>
  <c r="A6689" i="4"/>
  <c r="A6688" i="4"/>
  <c r="A6687" i="4"/>
  <c r="A6686" i="4"/>
  <c r="A6685" i="4"/>
  <c r="A6684" i="4"/>
  <c r="A6683" i="4"/>
  <c r="A6682" i="4"/>
  <c r="A6681" i="4"/>
  <c r="A6680" i="4"/>
  <c r="A6679" i="4"/>
  <c r="A6678" i="4"/>
  <c r="A6677" i="4"/>
  <c r="A6676" i="4"/>
  <c r="A6675" i="4"/>
  <c r="A6674" i="4"/>
  <c r="A6673" i="4"/>
  <c r="A6672" i="4"/>
  <c r="A6671" i="4"/>
  <c r="A6670" i="4"/>
  <c r="A6669" i="4"/>
  <c r="A6668" i="4"/>
  <c r="A6667" i="4"/>
  <c r="A6666" i="4"/>
  <c r="A6665" i="4"/>
  <c r="A6664" i="4"/>
  <c r="A6663" i="4"/>
  <c r="A6662" i="4"/>
  <c r="A6661" i="4"/>
  <c r="A6660" i="4"/>
  <c r="A6659" i="4"/>
  <c r="A6658" i="4"/>
  <c r="A6657" i="4"/>
  <c r="A6656" i="4"/>
  <c r="A6655" i="4"/>
  <c r="A6654" i="4"/>
  <c r="A6653" i="4"/>
  <c r="A6652" i="4"/>
  <c r="A6651" i="4"/>
  <c r="A6650" i="4"/>
  <c r="A6649" i="4"/>
  <c r="A6648" i="4"/>
  <c r="A6647" i="4"/>
  <c r="A6646" i="4"/>
  <c r="A6645" i="4"/>
  <c r="A6644" i="4"/>
  <c r="A6643" i="4"/>
  <c r="A6642" i="4"/>
  <c r="A6641" i="4"/>
  <c r="A6640" i="4"/>
  <c r="A6639" i="4"/>
  <c r="A6638" i="4"/>
  <c r="A6637" i="4"/>
  <c r="A6636" i="4"/>
  <c r="A6635" i="4"/>
  <c r="A6634" i="4"/>
  <c r="A6633" i="4"/>
  <c r="A6632" i="4"/>
  <c r="A6631" i="4"/>
  <c r="A6630" i="4"/>
  <c r="A6629" i="4"/>
  <c r="A6628" i="4"/>
  <c r="A6627" i="4"/>
  <c r="A6626" i="4"/>
  <c r="A6625" i="4"/>
  <c r="A6624" i="4"/>
  <c r="A6623" i="4"/>
  <c r="A6622" i="4"/>
  <c r="A6621" i="4"/>
  <c r="A6620" i="4"/>
  <c r="A6619" i="4"/>
  <c r="A6618" i="4"/>
  <c r="A6617" i="4"/>
  <c r="A6616" i="4"/>
  <c r="A6615" i="4"/>
  <c r="A6614" i="4"/>
  <c r="A6613" i="4"/>
  <c r="A6612" i="4"/>
  <c r="A6611" i="4"/>
  <c r="A6610" i="4"/>
  <c r="A6609" i="4"/>
  <c r="A6608" i="4"/>
  <c r="A6607" i="4"/>
  <c r="A6606" i="4"/>
  <c r="A6605" i="4"/>
  <c r="A6604" i="4"/>
  <c r="A6603" i="4"/>
  <c r="A6602" i="4"/>
  <c r="A6601" i="4"/>
  <c r="A6600" i="4"/>
  <c r="A6599" i="4"/>
  <c r="A6598" i="4"/>
  <c r="A6597" i="4"/>
  <c r="A6596" i="4"/>
  <c r="A6595" i="4"/>
  <c r="A6594" i="4"/>
  <c r="A6593" i="4"/>
  <c r="A6592" i="4"/>
  <c r="A6591" i="4"/>
  <c r="A6590" i="4"/>
  <c r="A6589" i="4"/>
  <c r="A6588" i="4"/>
  <c r="A6587" i="4"/>
  <c r="A6586" i="4"/>
  <c r="A6585" i="4"/>
  <c r="A6584" i="4"/>
  <c r="A6583" i="4"/>
  <c r="A6582" i="4"/>
  <c r="A6581" i="4"/>
  <c r="A6580" i="4"/>
  <c r="A6579" i="4"/>
  <c r="A6578" i="4"/>
  <c r="A6577" i="4"/>
  <c r="A6576" i="4"/>
  <c r="A6575" i="4"/>
  <c r="A6574" i="4"/>
  <c r="A6573" i="4"/>
  <c r="A6572" i="4"/>
  <c r="A6571" i="4"/>
  <c r="A6570" i="4"/>
  <c r="A6569" i="4"/>
  <c r="A6568" i="4"/>
  <c r="A6567" i="4"/>
  <c r="A6566" i="4"/>
  <c r="A6565" i="4"/>
  <c r="A6564" i="4"/>
  <c r="A6563" i="4"/>
  <c r="A6562" i="4"/>
  <c r="A6561" i="4"/>
  <c r="A6560" i="4"/>
  <c r="A6559" i="4"/>
  <c r="A6558" i="4"/>
  <c r="A6557" i="4"/>
  <c r="A6556" i="4"/>
  <c r="A6555" i="4"/>
  <c r="A6554" i="4"/>
  <c r="A6553" i="4"/>
  <c r="A6552" i="4"/>
  <c r="A6551" i="4"/>
  <c r="A6550" i="4"/>
  <c r="A6549" i="4"/>
  <c r="A6548" i="4"/>
  <c r="A6547" i="4"/>
  <c r="A6546" i="4"/>
  <c r="A6545" i="4"/>
  <c r="A6544" i="4"/>
  <c r="A6543" i="4"/>
  <c r="A6542" i="4"/>
  <c r="A6541" i="4"/>
  <c r="A6540" i="4"/>
  <c r="A6539" i="4"/>
  <c r="A6538" i="4"/>
  <c r="A6537" i="4"/>
  <c r="A6536" i="4"/>
  <c r="A6535" i="4"/>
  <c r="A6534" i="4"/>
  <c r="A6533" i="4"/>
  <c r="A6532" i="4"/>
  <c r="A6531" i="4"/>
  <c r="A6530" i="4"/>
  <c r="A6529" i="4"/>
  <c r="A6528" i="4"/>
  <c r="A6527" i="4"/>
  <c r="A6526" i="4"/>
  <c r="A6525" i="4"/>
  <c r="A6524" i="4"/>
  <c r="A6523" i="4"/>
  <c r="A6522" i="4"/>
  <c r="A6521" i="4"/>
  <c r="A6520" i="4"/>
  <c r="A6519" i="4"/>
  <c r="A6518" i="4"/>
  <c r="A6517" i="4"/>
  <c r="A6516" i="4"/>
  <c r="A6515" i="4"/>
  <c r="A6514" i="4"/>
  <c r="A6513" i="4"/>
  <c r="A6512" i="4"/>
  <c r="A6511" i="4"/>
  <c r="A6510" i="4"/>
  <c r="A6509" i="4"/>
  <c r="A6508" i="4"/>
  <c r="A6507" i="4"/>
  <c r="A6506" i="4"/>
  <c r="A6505" i="4"/>
  <c r="A6504" i="4"/>
  <c r="A6503" i="4"/>
  <c r="A6502" i="4"/>
  <c r="A6501" i="4"/>
  <c r="A6500" i="4"/>
  <c r="A6499" i="4"/>
  <c r="A6498" i="4"/>
  <c r="A6497" i="4"/>
  <c r="A6496" i="4"/>
  <c r="A6495" i="4"/>
  <c r="A6494" i="4"/>
  <c r="A6493" i="4"/>
  <c r="A6492" i="4"/>
  <c r="A6491" i="4"/>
  <c r="A6490" i="4"/>
  <c r="A6489" i="4"/>
  <c r="A6488" i="4"/>
  <c r="A6487" i="4"/>
  <c r="A6486" i="4"/>
  <c r="A6485" i="4"/>
  <c r="A6484" i="4"/>
  <c r="A6483" i="4"/>
  <c r="A6482" i="4"/>
  <c r="A6481" i="4"/>
  <c r="A6480" i="4"/>
  <c r="A6479" i="4"/>
  <c r="A6478" i="4"/>
  <c r="A6477" i="4"/>
  <c r="A6476" i="4"/>
  <c r="A6475" i="4"/>
  <c r="A6474" i="4"/>
  <c r="A6473" i="4"/>
  <c r="A6472" i="4"/>
  <c r="A6471" i="4"/>
  <c r="A6470" i="4"/>
  <c r="A6469" i="4"/>
  <c r="A6468" i="4"/>
  <c r="A6467" i="4"/>
  <c r="A6466" i="4"/>
  <c r="A6465" i="4"/>
  <c r="A6464" i="4"/>
  <c r="A6463" i="4"/>
  <c r="A6462" i="4"/>
  <c r="A6461" i="4"/>
  <c r="A6460" i="4"/>
  <c r="A6459" i="4"/>
  <c r="A6458" i="4"/>
  <c r="A6457" i="4"/>
  <c r="A6456" i="4"/>
  <c r="A6455" i="4"/>
  <c r="A6454" i="4"/>
  <c r="A6453" i="4"/>
  <c r="A6452" i="4"/>
  <c r="A6451" i="4"/>
  <c r="A6450" i="4"/>
  <c r="A6449" i="4"/>
  <c r="A6448" i="4"/>
  <c r="A6447" i="4"/>
  <c r="A6446" i="4"/>
  <c r="A6445" i="4"/>
  <c r="A6444" i="4"/>
  <c r="A6443" i="4"/>
  <c r="A6442" i="4"/>
  <c r="A6441" i="4"/>
  <c r="A6440" i="4"/>
  <c r="A6439" i="4"/>
  <c r="A6438" i="4"/>
  <c r="A6437" i="4"/>
  <c r="A6436" i="4"/>
  <c r="A6435" i="4"/>
  <c r="A6434" i="4"/>
  <c r="A6433" i="4"/>
  <c r="A6432" i="4"/>
  <c r="A6431" i="4"/>
  <c r="A6430" i="4"/>
  <c r="A6429" i="4"/>
  <c r="A6428" i="4"/>
  <c r="A6427" i="4"/>
  <c r="A6426" i="4"/>
  <c r="A6425" i="4"/>
  <c r="A6424" i="4"/>
  <c r="A6423" i="4"/>
  <c r="A6422" i="4"/>
  <c r="A6421" i="4"/>
  <c r="A6420" i="4"/>
  <c r="A6419" i="4"/>
  <c r="A6418" i="4"/>
  <c r="A6417" i="4"/>
  <c r="A6416" i="4"/>
  <c r="A6415" i="4"/>
  <c r="A6414" i="4"/>
  <c r="A6413" i="4"/>
  <c r="A6412" i="4"/>
  <c r="A6411" i="4"/>
  <c r="A6410" i="4"/>
  <c r="A6409" i="4"/>
  <c r="A6408" i="4"/>
  <c r="A6407" i="4"/>
  <c r="A6406" i="4"/>
  <c r="A6405" i="4"/>
  <c r="A6404" i="4"/>
  <c r="A6403" i="4"/>
  <c r="A6402" i="4"/>
  <c r="A6401" i="4"/>
  <c r="A6400" i="4"/>
  <c r="A6399" i="4"/>
  <c r="A6398" i="4"/>
  <c r="A6397" i="4"/>
  <c r="A6396" i="4"/>
  <c r="A6395" i="4"/>
  <c r="A6394" i="4"/>
  <c r="A6393" i="4"/>
  <c r="A6392" i="4"/>
  <c r="A6391" i="4"/>
  <c r="A6390" i="4"/>
  <c r="A6389" i="4"/>
  <c r="A6388" i="4"/>
  <c r="A6387" i="4"/>
  <c r="A6386" i="4"/>
  <c r="A6385" i="4"/>
  <c r="A6384" i="4"/>
  <c r="A6383" i="4"/>
  <c r="A6382" i="4"/>
  <c r="A6381" i="4"/>
  <c r="A6380" i="4"/>
  <c r="A6379" i="4"/>
  <c r="A6378" i="4"/>
  <c r="A6377" i="4"/>
  <c r="A6376" i="4"/>
  <c r="A6375" i="4"/>
  <c r="A6374" i="4"/>
  <c r="A6373" i="4"/>
  <c r="A6372" i="4"/>
  <c r="A6371" i="4"/>
  <c r="A6370" i="4"/>
  <c r="A6369" i="4"/>
  <c r="A6368" i="4"/>
  <c r="A6367" i="4"/>
  <c r="A6366" i="4"/>
  <c r="A6365" i="4"/>
  <c r="A6364" i="4"/>
  <c r="A6363" i="4"/>
  <c r="A6362" i="4"/>
  <c r="A6361" i="4"/>
  <c r="A6360" i="4"/>
  <c r="A6359" i="4"/>
  <c r="A6358" i="4"/>
  <c r="A6357" i="4"/>
  <c r="A6356" i="4"/>
  <c r="A6355" i="4"/>
  <c r="A6354" i="4"/>
  <c r="A6353" i="4"/>
  <c r="A6352" i="4"/>
  <c r="A6351" i="4"/>
  <c r="A6350" i="4"/>
  <c r="A6349" i="4"/>
  <c r="A6348" i="4"/>
  <c r="A6347" i="4"/>
  <c r="A6346" i="4"/>
  <c r="A6345" i="4"/>
  <c r="A6344" i="4"/>
  <c r="A6343" i="4"/>
  <c r="A6342" i="4"/>
  <c r="A6341" i="4"/>
  <c r="A6340" i="4"/>
  <c r="A6339" i="4"/>
  <c r="A6338" i="4"/>
  <c r="A6337" i="4"/>
  <c r="A6336" i="4"/>
  <c r="A6335" i="4"/>
  <c r="A6334" i="4"/>
  <c r="A6333" i="4"/>
  <c r="A6332" i="4"/>
  <c r="A6331" i="4"/>
  <c r="A6330" i="4"/>
  <c r="A6329" i="4"/>
  <c r="A6328" i="4"/>
  <c r="A6327" i="4"/>
  <c r="A6326" i="4"/>
  <c r="A6325" i="4"/>
  <c r="A6324" i="4"/>
  <c r="A6323" i="4"/>
  <c r="A6322" i="4"/>
  <c r="A6321" i="4"/>
  <c r="A6320" i="4"/>
  <c r="A6319" i="4"/>
  <c r="A6318" i="4"/>
  <c r="A6317" i="4"/>
  <c r="A6316" i="4"/>
  <c r="A6315" i="4"/>
  <c r="A6314" i="4"/>
  <c r="A6313" i="4"/>
  <c r="A6312" i="4"/>
  <c r="A6311" i="4"/>
  <c r="A6310" i="4"/>
  <c r="A6309" i="4"/>
  <c r="A6308" i="4"/>
  <c r="A6307" i="4"/>
  <c r="A6306" i="4"/>
  <c r="A6305" i="4"/>
  <c r="A6304" i="4"/>
  <c r="A6303" i="4"/>
  <c r="A6302" i="4"/>
  <c r="A6301" i="4"/>
  <c r="A6300" i="4"/>
  <c r="A6299" i="4"/>
  <c r="A6298" i="4"/>
  <c r="A6297" i="4"/>
  <c r="A6296" i="4"/>
  <c r="A6295" i="4"/>
  <c r="A6294" i="4"/>
  <c r="A6293" i="4"/>
  <c r="A6292" i="4"/>
  <c r="A6291" i="4"/>
  <c r="A6290" i="4"/>
  <c r="A6289" i="4"/>
  <c r="A6288" i="4"/>
  <c r="A6287" i="4"/>
  <c r="A6286" i="4"/>
  <c r="A6285" i="4"/>
  <c r="A6284" i="4"/>
  <c r="A6283" i="4"/>
  <c r="A6282" i="4"/>
  <c r="A6281" i="4"/>
  <c r="A6280" i="4"/>
  <c r="A6279" i="4"/>
  <c r="A6278" i="4"/>
  <c r="A6277" i="4"/>
  <c r="A6276" i="4"/>
  <c r="A6275" i="4"/>
  <c r="A6274" i="4"/>
  <c r="A6273" i="4"/>
  <c r="A6272" i="4"/>
  <c r="A6271" i="4"/>
  <c r="A6270" i="4"/>
  <c r="A6269" i="4"/>
  <c r="A6268" i="4"/>
  <c r="A6267" i="4"/>
  <c r="A6266" i="4"/>
  <c r="A6265" i="4"/>
  <c r="A6264" i="4"/>
  <c r="A6263" i="4"/>
  <c r="A6262" i="4"/>
  <c r="A6261" i="4"/>
  <c r="A6260" i="4"/>
  <c r="A6259" i="4"/>
  <c r="A6258" i="4"/>
  <c r="A6257" i="4"/>
  <c r="A6256" i="4"/>
  <c r="A6255" i="4"/>
  <c r="A6254" i="4"/>
  <c r="A6253" i="4"/>
  <c r="A6252" i="4"/>
  <c r="A6251" i="4"/>
  <c r="A6250" i="4"/>
  <c r="A6249" i="4"/>
  <c r="A6248" i="4"/>
  <c r="A6247" i="4"/>
  <c r="A6246" i="4"/>
  <c r="A6245" i="4"/>
  <c r="A6244" i="4"/>
  <c r="A6243" i="4"/>
  <c r="A6242" i="4"/>
  <c r="A6241" i="4"/>
  <c r="A6240" i="4"/>
  <c r="A6239" i="4"/>
  <c r="A6238" i="4"/>
  <c r="A6237" i="4"/>
  <c r="A6236" i="4"/>
  <c r="A6235" i="4"/>
  <c r="A6234" i="4"/>
  <c r="A6233" i="4"/>
  <c r="A6232" i="4"/>
  <c r="A6231" i="4"/>
  <c r="A6230" i="4"/>
  <c r="A6229" i="4"/>
  <c r="A6228" i="4"/>
  <c r="A6227" i="4"/>
  <c r="A6226" i="4"/>
  <c r="A6225" i="4"/>
  <c r="A6224" i="4"/>
  <c r="A6223" i="4"/>
  <c r="A6222" i="4"/>
  <c r="A6221" i="4"/>
  <c r="A6220" i="4"/>
  <c r="A6219" i="4"/>
  <c r="A6218" i="4"/>
  <c r="A6217" i="4"/>
  <c r="A6216" i="4"/>
  <c r="A6215" i="4"/>
  <c r="A6214" i="4"/>
  <c r="A6213" i="4"/>
  <c r="A6212" i="4"/>
  <c r="A6211" i="4"/>
  <c r="A6210" i="4"/>
  <c r="A6209" i="4"/>
  <c r="A6208" i="4"/>
  <c r="A6207" i="4"/>
  <c r="A6206" i="4"/>
  <c r="A6205" i="4"/>
  <c r="A6204" i="4"/>
  <c r="A6203" i="4"/>
  <c r="A6202" i="4"/>
  <c r="A6201" i="4"/>
  <c r="A6200" i="4"/>
  <c r="A6199" i="4"/>
  <c r="A6198" i="4"/>
  <c r="A6197" i="4"/>
  <c r="A6196" i="4"/>
  <c r="A6195" i="4"/>
  <c r="A6194" i="4"/>
  <c r="A6193" i="4"/>
  <c r="A6192" i="4"/>
  <c r="A6191" i="4"/>
  <c r="A6190" i="4"/>
  <c r="A6189" i="4"/>
  <c r="A6188" i="4"/>
  <c r="A6187" i="4"/>
  <c r="A6186" i="4"/>
  <c r="A6185" i="4"/>
  <c r="A6184" i="4"/>
  <c r="A6183" i="4"/>
  <c r="A6182" i="4"/>
  <c r="A6181" i="4"/>
  <c r="A6180" i="4"/>
  <c r="A6179" i="4"/>
  <c r="A6178" i="4"/>
  <c r="A6177" i="4"/>
  <c r="A6176" i="4"/>
  <c r="A6175" i="4"/>
  <c r="A6174" i="4"/>
  <c r="A6173" i="4"/>
  <c r="A6172" i="4"/>
  <c r="A6171" i="4"/>
  <c r="A6170" i="4"/>
  <c r="A6169" i="4"/>
  <c r="A6168" i="4"/>
  <c r="A6167" i="4"/>
  <c r="A6166" i="4"/>
  <c r="A6165" i="4"/>
  <c r="A6164" i="4"/>
  <c r="A6163" i="4"/>
  <c r="A6162" i="4"/>
  <c r="A6161" i="4"/>
  <c r="A6160" i="4"/>
  <c r="A6159" i="4"/>
  <c r="A6158" i="4"/>
  <c r="A6157" i="4"/>
  <c r="A6156" i="4"/>
  <c r="A6155" i="4"/>
  <c r="A6154" i="4"/>
  <c r="A6153" i="4"/>
  <c r="A6152" i="4"/>
  <c r="A6151" i="4"/>
  <c r="A6150" i="4"/>
  <c r="A6149" i="4"/>
  <c r="A6148" i="4"/>
  <c r="A6147" i="4"/>
  <c r="A6146" i="4"/>
  <c r="A6145" i="4"/>
  <c r="A6144" i="4"/>
  <c r="A6143" i="4"/>
  <c r="A6142" i="4"/>
  <c r="A6141" i="4"/>
  <c r="A6140" i="4"/>
  <c r="A6139" i="4"/>
  <c r="A6138" i="4"/>
  <c r="A6137" i="4"/>
  <c r="A6136" i="4"/>
  <c r="A6135" i="4"/>
  <c r="A6134" i="4"/>
  <c r="A6133" i="4"/>
  <c r="A6132" i="4"/>
  <c r="A6131" i="4"/>
  <c r="A6130" i="4"/>
  <c r="A6129" i="4"/>
  <c r="A6128" i="4"/>
  <c r="A6127" i="4"/>
  <c r="A6126" i="4"/>
  <c r="A6125" i="4"/>
  <c r="A6124" i="4"/>
  <c r="A6123" i="4"/>
  <c r="A6122" i="4"/>
  <c r="A6121" i="4"/>
  <c r="A6120" i="4"/>
  <c r="A6119" i="4"/>
  <c r="A6118" i="4"/>
  <c r="A6117" i="4"/>
  <c r="A6116" i="4"/>
  <c r="A6115" i="4"/>
  <c r="A6114" i="4"/>
  <c r="A6113" i="4"/>
  <c r="A6112" i="4"/>
  <c r="A6111" i="4"/>
  <c r="A6110" i="4"/>
  <c r="A6109" i="4"/>
  <c r="A6108" i="4"/>
  <c r="A6107" i="4"/>
  <c r="A6106" i="4"/>
  <c r="A6105" i="4"/>
  <c r="A6104" i="4"/>
  <c r="A6103" i="4"/>
  <c r="A6102" i="4"/>
  <c r="A6101" i="4"/>
  <c r="A6100" i="4"/>
  <c r="A6099" i="4"/>
  <c r="A6098" i="4"/>
  <c r="A6097" i="4"/>
  <c r="A6096" i="4"/>
  <c r="A6095" i="4"/>
  <c r="A6094" i="4"/>
  <c r="A6093" i="4"/>
  <c r="A6092" i="4"/>
  <c r="A6091" i="4"/>
  <c r="A6090" i="4"/>
  <c r="A6089" i="4"/>
  <c r="A6088" i="4"/>
  <c r="A6087" i="4"/>
  <c r="A6086" i="4"/>
  <c r="A6085" i="4"/>
  <c r="A6084" i="4"/>
  <c r="A6083" i="4"/>
  <c r="A6082" i="4"/>
  <c r="A6081" i="4"/>
  <c r="A6080" i="4"/>
  <c r="A6079" i="4"/>
  <c r="A6078" i="4"/>
  <c r="A6077" i="4"/>
  <c r="A6076" i="4"/>
  <c r="A6075" i="4"/>
  <c r="A6074" i="4"/>
  <c r="A6073" i="4"/>
  <c r="A6072" i="4"/>
  <c r="A6071" i="4"/>
  <c r="A6070" i="4"/>
  <c r="A6069" i="4"/>
  <c r="A6068" i="4"/>
  <c r="A6067" i="4"/>
  <c r="A6066" i="4"/>
  <c r="A6065" i="4"/>
  <c r="A6064" i="4"/>
  <c r="A6063" i="4"/>
  <c r="A6062" i="4"/>
  <c r="A6061" i="4"/>
  <c r="A6060" i="4"/>
  <c r="A6059" i="4"/>
  <c r="A6058" i="4"/>
  <c r="A6057" i="4"/>
  <c r="A6056" i="4"/>
  <c r="A6055" i="4"/>
  <c r="A6054" i="4"/>
  <c r="A6053" i="4"/>
  <c r="A6052" i="4"/>
  <c r="A6051" i="4"/>
  <c r="A6050" i="4"/>
  <c r="A6049" i="4"/>
  <c r="A6048" i="4"/>
  <c r="A6047" i="4"/>
  <c r="A6046" i="4"/>
  <c r="A6045" i="4"/>
  <c r="A6044" i="4"/>
  <c r="A6043" i="4"/>
  <c r="A6042" i="4"/>
  <c r="A6041" i="4"/>
  <c r="A6040" i="4"/>
  <c r="A6039" i="4"/>
  <c r="A6038" i="4"/>
  <c r="A6037" i="4"/>
  <c r="A6036" i="4"/>
  <c r="A6035" i="4"/>
  <c r="A6034" i="4"/>
  <c r="A6033" i="4"/>
  <c r="A6032" i="4"/>
  <c r="A6031" i="4"/>
  <c r="A6030" i="4"/>
  <c r="A6029" i="4"/>
  <c r="A6028" i="4"/>
  <c r="A6027" i="4"/>
  <c r="A6026" i="4"/>
  <c r="A6025" i="4"/>
  <c r="A6024" i="4"/>
  <c r="A6023" i="4"/>
  <c r="A6022" i="4"/>
  <c r="A6021" i="4"/>
  <c r="A6020" i="4"/>
  <c r="A6019" i="4"/>
  <c r="A6018" i="4"/>
  <c r="A6017" i="4"/>
  <c r="A6016" i="4"/>
  <c r="A6015" i="4"/>
  <c r="A6014" i="4"/>
  <c r="A6013" i="4"/>
  <c r="A6012" i="4"/>
  <c r="A6011" i="4"/>
  <c r="A6010" i="4"/>
  <c r="A6009" i="4"/>
  <c r="A6008" i="4"/>
  <c r="A6007" i="4"/>
  <c r="A6006" i="4"/>
  <c r="A6005" i="4"/>
  <c r="A6004" i="4"/>
  <c r="A6003" i="4"/>
  <c r="A6002" i="4"/>
  <c r="A6001" i="4"/>
  <c r="A6000" i="4"/>
  <c r="A5999" i="4"/>
  <c r="A5998" i="4"/>
  <c r="A5997" i="4"/>
  <c r="A5996" i="4"/>
  <c r="A5995" i="4"/>
  <c r="A5994" i="4"/>
  <c r="A5993" i="4"/>
  <c r="A5992" i="4"/>
  <c r="A5991" i="4"/>
  <c r="A5990" i="4"/>
  <c r="A5989" i="4"/>
  <c r="A5988" i="4"/>
  <c r="A5987" i="4"/>
  <c r="A5986" i="4"/>
  <c r="A5985" i="4"/>
  <c r="A5984" i="4"/>
  <c r="A5983" i="4"/>
  <c r="A5982" i="4"/>
  <c r="A5981" i="4"/>
  <c r="A5980" i="4"/>
  <c r="A5979" i="4"/>
  <c r="A5978" i="4"/>
  <c r="A5977" i="4"/>
  <c r="A5976" i="4"/>
  <c r="A5975" i="4"/>
  <c r="A5974" i="4"/>
  <c r="A5973" i="4"/>
  <c r="A5972" i="4"/>
  <c r="A5971" i="4"/>
  <c r="A5970" i="4"/>
  <c r="A5969" i="4"/>
  <c r="A5968" i="4"/>
  <c r="A5967" i="4"/>
  <c r="A5966" i="4"/>
  <c r="A5965" i="4"/>
  <c r="A5964" i="4"/>
  <c r="A5963" i="4"/>
  <c r="A5962" i="4"/>
  <c r="A5961" i="4"/>
  <c r="A5960" i="4"/>
  <c r="A5959" i="4"/>
  <c r="A5958" i="4"/>
  <c r="A5957" i="4"/>
  <c r="A5956" i="4"/>
  <c r="A5955" i="4"/>
  <c r="A5954" i="4"/>
  <c r="A5953" i="4"/>
  <c r="A5952" i="4"/>
  <c r="A5951" i="4"/>
  <c r="A5950" i="4"/>
  <c r="A5949" i="4"/>
  <c r="A5948" i="4"/>
  <c r="A5947" i="4"/>
  <c r="A5946" i="4"/>
  <c r="A5945" i="4"/>
  <c r="A5944" i="4"/>
  <c r="A5943" i="4"/>
  <c r="A5942" i="4"/>
  <c r="A5941" i="4"/>
  <c r="A5940" i="4"/>
  <c r="A5939" i="4"/>
  <c r="A5938" i="4"/>
  <c r="A5937" i="4"/>
  <c r="A5936" i="4"/>
  <c r="A5935" i="4"/>
  <c r="A5934" i="4"/>
  <c r="A5933" i="4"/>
  <c r="A5932" i="4"/>
  <c r="A5931" i="4"/>
  <c r="A5930" i="4"/>
  <c r="A5929" i="4"/>
  <c r="A5928" i="4"/>
  <c r="A5927" i="4"/>
  <c r="A5926" i="4"/>
  <c r="A5925" i="4"/>
  <c r="A5924" i="4"/>
  <c r="A5923" i="4"/>
  <c r="A5922" i="4"/>
  <c r="A5921" i="4"/>
  <c r="A5920" i="4"/>
  <c r="A5919" i="4"/>
  <c r="A5918" i="4"/>
  <c r="A5917" i="4"/>
  <c r="A5916" i="4"/>
  <c r="A5915" i="4"/>
  <c r="A5914" i="4"/>
  <c r="A5913" i="4"/>
  <c r="A5912" i="4"/>
  <c r="A5911" i="4"/>
  <c r="A5910" i="4"/>
  <c r="A5909" i="4"/>
  <c r="A5908" i="4"/>
  <c r="A5907" i="4"/>
  <c r="A5906" i="4"/>
  <c r="A5905" i="4"/>
  <c r="A5904" i="4"/>
  <c r="A5903" i="4"/>
  <c r="A5902" i="4"/>
  <c r="A5901" i="4"/>
  <c r="A5900" i="4"/>
  <c r="A5899" i="4"/>
  <c r="A5898" i="4"/>
  <c r="A5897" i="4"/>
  <c r="A5896" i="4"/>
  <c r="A5895" i="4"/>
  <c r="A5894" i="4"/>
  <c r="A5893" i="4"/>
  <c r="A5892" i="4"/>
  <c r="A5891" i="4"/>
  <c r="A5890" i="4"/>
  <c r="A5889" i="4"/>
  <c r="A5888" i="4"/>
  <c r="A5887" i="4"/>
  <c r="A5886" i="4"/>
  <c r="A5885" i="4"/>
  <c r="A5884" i="4"/>
  <c r="A5883" i="4"/>
  <c r="A5882" i="4"/>
  <c r="A5881" i="4"/>
  <c r="A5880" i="4"/>
  <c r="A5879" i="4"/>
  <c r="A5878" i="4"/>
  <c r="A5877" i="4"/>
  <c r="A5876" i="4"/>
  <c r="A5875" i="4"/>
  <c r="A5874" i="4"/>
  <c r="A5873" i="4"/>
  <c r="A5872" i="4"/>
  <c r="A5871" i="4"/>
  <c r="A5870" i="4"/>
  <c r="A5869" i="4"/>
  <c r="A5868" i="4"/>
  <c r="A5867" i="4"/>
  <c r="A5866" i="4"/>
  <c r="A5865" i="4"/>
  <c r="A5864" i="4"/>
  <c r="A5863" i="4"/>
  <c r="A5862" i="4"/>
  <c r="A5861" i="4"/>
  <c r="A5860" i="4"/>
  <c r="A5859" i="4"/>
  <c r="A5858" i="4"/>
  <c r="A5857" i="4"/>
  <c r="A5856" i="4"/>
  <c r="A5855" i="4"/>
  <c r="A5854" i="4"/>
  <c r="A5853" i="4"/>
  <c r="A5852" i="4"/>
  <c r="A5851" i="4"/>
  <c r="A5850" i="4"/>
  <c r="A5849" i="4"/>
  <c r="A5848" i="4"/>
  <c r="A5847" i="4"/>
  <c r="A5846" i="4"/>
  <c r="A5845" i="4"/>
  <c r="A5844" i="4"/>
  <c r="A5843" i="4"/>
  <c r="A5842" i="4"/>
  <c r="A5841" i="4"/>
  <c r="A5840" i="4"/>
  <c r="A5839" i="4"/>
  <c r="A5838" i="4"/>
  <c r="A5837" i="4"/>
  <c r="A5836" i="4"/>
  <c r="A5835" i="4"/>
  <c r="A5834" i="4"/>
  <c r="A5833" i="4"/>
  <c r="A5832" i="4"/>
  <c r="A5831" i="4"/>
  <c r="A5830" i="4"/>
  <c r="A5829" i="4"/>
  <c r="A5828" i="4"/>
  <c r="A5827" i="4"/>
  <c r="A5826" i="4"/>
  <c r="A5825" i="4"/>
  <c r="A5824" i="4"/>
  <c r="A5823" i="4"/>
  <c r="A5822" i="4"/>
  <c r="A5821" i="4"/>
  <c r="A5820" i="4"/>
  <c r="A5819" i="4"/>
  <c r="A5818" i="4"/>
  <c r="A5817" i="4"/>
  <c r="A5816" i="4"/>
  <c r="A5815" i="4"/>
  <c r="A5814" i="4"/>
  <c r="A5813" i="4"/>
  <c r="A5812" i="4"/>
  <c r="A5811" i="4"/>
  <c r="A5810" i="4"/>
  <c r="A5809" i="4"/>
  <c r="A5808" i="4"/>
  <c r="A5807" i="4"/>
  <c r="A5806" i="4"/>
  <c r="A5805" i="4"/>
  <c r="A5804" i="4"/>
  <c r="A5803" i="4"/>
  <c r="A5802" i="4"/>
  <c r="A5801" i="4"/>
  <c r="A5800" i="4"/>
  <c r="A5799" i="4"/>
  <c r="A5798" i="4"/>
  <c r="A5797" i="4"/>
  <c r="A5796" i="4"/>
  <c r="A5795" i="4"/>
  <c r="A5794" i="4"/>
  <c r="A5793" i="4"/>
  <c r="A5792" i="4"/>
  <c r="A5791" i="4"/>
  <c r="A5790" i="4"/>
  <c r="A5789" i="4"/>
  <c r="A5788" i="4"/>
  <c r="A5787" i="4"/>
  <c r="A5786" i="4"/>
  <c r="A5785" i="4"/>
  <c r="A5784" i="4"/>
  <c r="A5783" i="4"/>
  <c r="A5782" i="4"/>
  <c r="A5781" i="4"/>
  <c r="A5780" i="4"/>
  <c r="A5779" i="4"/>
  <c r="A5778" i="4"/>
  <c r="A5777" i="4"/>
  <c r="A5776" i="4"/>
  <c r="A5775" i="4"/>
  <c r="A5774" i="4"/>
  <c r="A5773" i="4"/>
  <c r="A5772" i="4"/>
  <c r="A5771" i="4"/>
  <c r="A5770" i="4"/>
  <c r="A5769" i="4"/>
  <c r="A5768" i="4"/>
  <c r="A5767" i="4"/>
  <c r="A5766" i="4"/>
  <c r="A5765" i="4"/>
  <c r="A5764" i="4"/>
  <c r="A5763" i="4"/>
  <c r="A5762" i="4"/>
  <c r="A5761" i="4"/>
  <c r="A5760" i="4"/>
  <c r="A5759" i="4"/>
  <c r="A5758" i="4"/>
  <c r="A5757" i="4"/>
  <c r="A5756" i="4"/>
  <c r="A5755" i="4"/>
  <c r="A5754" i="4"/>
  <c r="A5753" i="4"/>
  <c r="A5752" i="4"/>
  <c r="A5751" i="4"/>
  <c r="A5750" i="4"/>
  <c r="A5749" i="4"/>
  <c r="A5748" i="4"/>
  <c r="A5747" i="4"/>
  <c r="A5746" i="4"/>
  <c r="A5745" i="4"/>
  <c r="A5744" i="4"/>
  <c r="A5743" i="4"/>
  <c r="A5742" i="4"/>
  <c r="A5741" i="4"/>
  <c r="A5740" i="4"/>
  <c r="A5739" i="4"/>
  <c r="A5738" i="4"/>
  <c r="A5737" i="4"/>
  <c r="A5736" i="4"/>
  <c r="A5735" i="4"/>
  <c r="A5734" i="4"/>
  <c r="A5733" i="4"/>
  <c r="A5732" i="4"/>
  <c r="A5731" i="4"/>
  <c r="A5730" i="4"/>
  <c r="A5729" i="4"/>
  <c r="A5728" i="4"/>
  <c r="A5727" i="4"/>
  <c r="A5726" i="4"/>
  <c r="A5725" i="4"/>
  <c r="A5724" i="4"/>
  <c r="A5723" i="4"/>
  <c r="A5722" i="4"/>
  <c r="A5721" i="4"/>
  <c r="A5720" i="4"/>
  <c r="A5719" i="4"/>
  <c r="A5718" i="4"/>
  <c r="A5717" i="4"/>
  <c r="A5716" i="4"/>
  <c r="A5715" i="4"/>
  <c r="A5714" i="4"/>
  <c r="A5713" i="4"/>
  <c r="A5712" i="4"/>
  <c r="A5711" i="4"/>
  <c r="A5710" i="4"/>
  <c r="A5709" i="4"/>
  <c r="A5708" i="4"/>
  <c r="A5707" i="4"/>
  <c r="A5706" i="4"/>
  <c r="A5705" i="4"/>
  <c r="A5704" i="4"/>
  <c r="A5703" i="4"/>
  <c r="A5702" i="4"/>
  <c r="A5701" i="4"/>
  <c r="A5700" i="4"/>
  <c r="A5699" i="4"/>
  <c r="A5698" i="4"/>
  <c r="A5697" i="4"/>
  <c r="A5696" i="4"/>
  <c r="A5695" i="4"/>
  <c r="A5694" i="4"/>
  <c r="A5693" i="4"/>
  <c r="A5692" i="4"/>
  <c r="A5691" i="4"/>
  <c r="A5690" i="4"/>
  <c r="A5689" i="4"/>
  <c r="A5688" i="4"/>
  <c r="A5687" i="4"/>
  <c r="A5686" i="4"/>
  <c r="A5685" i="4"/>
  <c r="A5684" i="4"/>
  <c r="A5683" i="4"/>
  <c r="A5682" i="4"/>
  <c r="A5681" i="4"/>
  <c r="A5680" i="4"/>
  <c r="A5679" i="4"/>
  <c r="A5678" i="4"/>
  <c r="A5677" i="4"/>
  <c r="A5676" i="4"/>
  <c r="A5675" i="4"/>
  <c r="A5674" i="4"/>
  <c r="A5673" i="4"/>
  <c r="A5672" i="4"/>
  <c r="A5671" i="4"/>
  <c r="A5670" i="4"/>
  <c r="A5669" i="4"/>
  <c r="A5668" i="4"/>
  <c r="A5667" i="4"/>
  <c r="A5666" i="4"/>
  <c r="A5665" i="4"/>
  <c r="A5664" i="4"/>
  <c r="A5663" i="4"/>
  <c r="A5662" i="4"/>
  <c r="A5661" i="4"/>
  <c r="A5660" i="4"/>
  <c r="A5659" i="4"/>
  <c r="A5658" i="4"/>
  <c r="A5657" i="4"/>
  <c r="A5656" i="4"/>
  <c r="A5655" i="4"/>
  <c r="A5654" i="4"/>
  <c r="A5653" i="4"/>
  <c r="A5652" i="4"/>
  <c r="A5651" i="4"/>
  <c r="A5650" i="4"/>
  <c r="A5649" i="4"/>
  <c r="A5648" i="4"/>
  <c r="A5647" i="4"/>
  <c r="A5646" i="4"/>
  <c r="A5645" i="4"/>
  <c r="A5644" i="4"/>
  <c r="A5643" i="4"/>
  <c r="A5642" i="4"/>
  <c r="A5641" i="4"/>
  <c r="A5640" i="4"/>
  <c r="A5639" i="4"/>
  <c r="A5638" i="4"/>
  <c r="A5637" i="4"/>
  <c r="A5636" i="4"/>
  <c r="A5635" i="4"/>
  <c r="A5634" i="4"/>
  <c r="A5633" i="4"/>
  <c r="A5632" i="4"/>
  <c r="A5631" i="4"/>
  <c r="A5630" i="4"/>
  <c r="A5629" i="4"/>
  <c r="A5628" i="4"/>
  <c r="A5627" i="4"/>
  <c r="A5626" i="4"/>
  <c r="A5625" i="4"/>
  <c r="A5624" i="4"/>
  <c r="A5623" i="4"/>
  <c r="A5622" i="4"/>
  <c r="A5621" i="4"/>
  <c r="A5620" i="4"/>
  <c r="A5619" i="4"/>
  <c r="A5618" i="4"/>
  <c r="A5617" i="4"/>
  <c r="A5616" i="4"/>
  <c r="A5615" i="4"/>
  <c r="A5614" i="4"/>
  <c r="A5613" i="4"/>
  <c r="A5612" i="4"/>
  <c r="A5611" i="4"/>
  <c r="A5610" i="4"/>
  <c r="A5609" i="4"/>
  <c r="A5608" i="4"/>
  <c r="A5607" i="4"/>
  <c r="A5606" i="4"/>
  <c r="A5605" i="4"/>
  <c r="A5604" i="4"/>
  <c r="A5603" i="4"/>
  <c r="A5602" i="4"/>
  <c r="A5601" i="4"/>
  <c r="A5600" i="4"/>
  <c r="A5599" i="4"/>
  <c r="A5598" i="4"/>
  <c r="A5597" i="4"/>
  <c r="A5596" i="4"/>
  <c r="A5595" i="4"/>
  <c r="A5594" i="4"/>
  <c r="A5593" i="4"/>
  <c r="A5592" i="4"/>
  <c r="A5591" i="4"/>
  <c r="A5590" i="4"/>
  <c r="A5589" i="4"/>
  <c r="A5588" i="4"/>
  <c r="A5587" i="4"/>
  <c r="A5586" i="4"/>
  <c r="A5585" i="4"/>
  <c r="A5584" i="4"/>
  <c r="A5583" i="4"/>
  <c r="A5582" i="4"/>
  <c r="A5581" i="4"/>
  <c r="A5580" i="4"/>
  <c r="A5579" i="4"/>
  <c r="A5578" i="4"/>
  <c r="A5577" i="4"/>
  <c r="A5576" i="4"/>
  <c r="A5575" i="4"/>
  <c r="A5574" i="4"/>
  <c r="A5573" i="4"/>
  <c r="A5572" i="4"/>
  <c r="A5571" i="4"/>
  <c r="A5570" i="4"/>
  <c r="A5569" i="4"/>
  <c r="A5568" i="4"/>
  <c r="A5567" i="4"/>
  <c r="A5566" i="4"/>
  <c r="A5565" i="4"/>
  <c r="A5564" i="4"/>
  <c r="A5563" i="4"/>
  <c r="A5562" i="4"/>
  <c r="A5561" i="4"/>
  <c r="A5560" i="4"/>
  <c r="A5559" i="4"/>
  <c r="A5558" i="4"/>
  <c r="A5557" i="4"/>
  <c r="A5556" i="4"/>
  <c r="A5555" i="4"/>
  <c r="A5554" i="4"/>
  <c r="A5553" i="4"/>
  <c r="A5552" i="4"/>
  <c r="A5551" i="4"/>
  <c r="A5550" i="4"/>
  <c r="A5549" i="4"/>
  <c r="A5548" i="4"/>
  <c r="A5547" i="4"/>
  <c r="A5546" i="4"/>
  <c r="A5545" i="4"/>
  <c r="A5544" i="4"/>
  <c r="A5543" i="4"/>
  <c r="A5542" i="4"/>
  <c r="A5541" i="4"/>
  <c r="A5540" i="4"/>
  <c r="A5539" i="4"/>
  <c r="A5538" i="4"/>
  <c r="A5537" i="4"/>
  <c r="A5536" i="4"/>
  <c r="A5535" i="4"/>
  <c r="A5534" i="4"/>
  <c r="A5533" i="4"/>
  <c r="A5532" i="4"/>
  <c r="A5531" i="4"/>
  <c r="A5530" i="4"/>
  <c r="A5529" i="4"/>
  <c r="A5528" i="4"/>
  <c r="A5527" i="4"/>
  <c r="A5526" i="4"/>
  <c r="A5525" i="4"/>
  <c r="A5524" i="4"/>
  <c r="A5523" i="4"/>
  <c r="A5522" i="4"/>
  <c r="A5521" i="4"/>
  <c r="A5520" i="4"/>
  <c r="A5519" i="4"/>
  <c r="A5518" i="4"/>
  <c r="A5517" i="4"/>
  <c r="A5516" i="4"/>
  <c r="A5515" i="4"/>
  <c r="A5514" i="4"/>
  <c r="A5513" i="4"/>
  <c r="A5512" i="4"/>
  <c r="A5511" i="4"/>
  <c r="A5510" i="4"/>
  <c r="A5509" i="4"/>
  <c r="A5508" i="4"/>
  <c r="A5507" i="4"/>
  <c r="A5506" i="4"/>
  <c r="A5505" i="4"/>
  <c r="A5504" i="4"/>
  <c r="A5503" i="4"/>
  <c r="A5502" i="4"/>
  <c r="A5501" i="4"/>
  <c r="A5500" i="4"/>
  <c r="A5499" i="4"/>
  <c r="A5498" i="4"/>
  <c r="A5497" i="4"/>
  <c r="A5496" i="4"/>
  <c r="A5495" i="4"/>
  <c r="A5494" i="4"/>
  <c r="A5493" i="4"/>
  <c r="A5492" i="4"/>
  <c r="A5491" i="4"/>
  <c r="A5490" i="4"/>
  <c r="A5489" i="4"/>
  <c r="A5488" i="4"/>
  <c r="A5487" i="4"/>
  <c r="A5486" i="4"/>
  <c r="A5485" i="4"/>
  <c r="A5484" i="4"/>
  <c r="A5483" i="4"/>
  <c r="A5482" i="4"/>
  <c r="A5481" i="4"/>
  <c r="A5480" i="4"/>
  <c r="A5479" i="4"/>
  <c r="A5478" i="4"/>
  <c r="A5477" i="4"/>
  <c r="A5476" i="4"/>
  <c r="A5475" i="4"/>
  <c r="A5474" i="4"/>
  <c r="A5473" i="4"/>
  <c r="A5472" i="4"/>
  <c r="A5471" i="4"/>
  <c r="A5470" i="4"/>
  <c r="A5469" i="4"/>
  <c r="A5468" i="4"/>
  <c r="A5467" i="4"/>
  <c r="A5466" i="4"/>
  <c r="A5465" i="4"/>
  <c r="A5464" i="4"/>
  <c r="A5463" i="4"/>
  <c r="A5462" i="4"/>
  <c r="A5461" i="4"/>
  <c r="A5460" i="4"/>
  <c r="A5459" i="4"/>
  <c r="A5458" i="4"/>
  <c r="A5457" i="4"/>
  <c r="A5456" i="4"/>
  <c r="A5455" i="4"/>
  <c r="A5454" i="4"/>
  <c r="A5453" i="4"/>
  <c r="A5452" i="4"/>
  <c r="A5451" i="4"/>
  <c r="A5450" i="4"/>
  <c r="A5449" i="4"/>
  <c r="A5448" i="4"/>
  <c r="A5447" i="4"/>
  <c r="A5446" i="4"/>
  <c r="A5445" i="4"/>
  <c r="A5444" i="4"/>
  <c r="A5443" i="4"/>
  <c r="A5442" i="4"/>
  <c r="A5441" i="4"/>
  <c r="A5440" i="4"/>
  <c r="A5439" i="4"/>
  <c r="A5438" i="4"/>
  <c r="A5437" i="4"/>
  <c r="A5436" i="4"/>
  <c r="A5435" i="4"/>
  <c r="A5434" i="4"/>
  <c r="A5433" i="4"/>
  <c r="A5432" i="4"/>
  <c r="A5431" i="4"/>
  <c r="A5430" i="4"/>
  <c r="A5429" i="4"/>
  <c r="A5428" i="4"/>
  <c r="A5427" i="4"/>
  <c r="A5426" i="4"/>
  <c r="A5425" i="4"/>
  <c r="A5424" i="4"/>
  <c r="A5423" i="4"/>
  <c r="A5422" i="4"/>
  <c r="A5421" i="4"/>
  <c r="A5420" i="4"/>
  <c r="A5419" i="4"/>
  <c r="A5418" i="4"/>
  <c r="A5417" i="4"/>
  <c r="A5416" i="4"/>
  <c r="A5415" i="4"/>
  <c r="A5414" i="4"/>
  <c r="A5413" i="4"/>
  <c r="A5412" i="4"/>
  <c r="A5411" i="4"/>
  <c r="A5410" i="4"/>
  <c r="A5409" i="4"/>
  <c r="A5408" i="4"/>
  <c r="A5407" i="4"/>
  <c r="A5406" i="4"/>
  <c r="A5405" i="4"/>
  <c r="A5404" i="4"/>
  <c r="A5403" i="4"/>
  <c r="A5402" i="4"/>
  <c r="A5401" i="4"/>
  <c r="A5400" i="4"/>
  <c r="A5399" i="4"/>
  <c r="A5398" i="4"/>
  <c r="A5397" i="4"/>
  <c r="A5396" i="4"/>
  <c r="A5395" i="4"/>
  <c r="A5394" i="4"/>
  <c r="A5393" i="4"/>
  <c r="A5392" i="4"/>
  <c r="A5391" i="4"/>
  <c r="A5390" i="4"/>
  <c r="A5389" i="4"/>
  <c r="A5388" i="4"/>
  <c r="A5387" i="4"/>
  <c r="A5386" i="4"/>
  <c r="A5385" i="4"/>
  <c r="A5384" i="4"/>
  <c r="A5383" i="4"/>
  <c r="A5382" i="4"/>
  <c r="A5381" i="4"/>
  <c r="A5380" i="4"/>
  <c r="A5379" i="4"/>
  <c r="A5378" i="4"/>
  <c r="A5377" i="4"/>
  <c r="A5376" i="4"/>
  <c r="A5375" i="4"/>
  <c r="A5374" i="4"/>
  <c r="A5373" i="4"/>
  <c r="A5372" i="4"/>
  <c r="A5371" i="4"/>
  <c r="A5370" i="4"/>
  <c r="A5369" i="4"/>
  <c r="A5368" i="4"/>
  <c r="A5367" i="4"/>
  <c r="A5366" i="4"/>
  <c r="A5365" i="4"/>
  <c r="A5364" i="4"/>
  <c r="A5363" i="4"/>
  <c r="A5362" i="4"/>
  <c r="A5361" i="4"/>
  <c r="A5360" i="4"/>
  <c r="A5359" i="4"/>
  <c r="A5358" i="4"/>
  <c r="A5357" i="4"/>
  <c r="A5356" i="4"/>
  <c r="A5355" i="4"/>
  <c r="A5354" i="4"/>
  <c r="A5353" i="4"/>
  <c r="A5352" i="4"/>
  <c r="A5351" i="4"/>
  <c r="A5350" i="4"/>
  <c r="A5349" i="4"/>
  <c r="A5348" i="4"/>
  <c r="A5347" i="4"/>
  <c r="A5346" i="4"/>
  <c r="A5345" i="4"/>
  <c r="A5344" i="4"/>
  <c r="A5343" i="4"/>
  <c r="A5342" i="4"/>
  <c r="A5341" i="4"/>
  <c r="A5340" i="4"/>
  <c r="A5339" i="4"/>
  <c r="A5338" i="4"/>
  <c r="A5337" i="4"/>
  <c r="A5336" i="4"/>
  <c r="A5335" i="4"/>
  <c r="A5334" i="4"/>
  <c r="A5333" i="4"/>
  <c r="A5332" i="4"/>
  <c r="A5331" i="4"/>
  <c r="A5330" i="4"/>
  <c r="A5329" i="4"/>
  <c r="A5328" i="4"/>
  <c r="A5327" i="4"/>
  <c r="A5326" i="4"/>
  <c r="A5325" i="4"/>
  <c r="A5324" i="4"/>
  <c r="A5323" i="4"/>
  <c r="A5322" i="4"/>
  <c r="A5321" i="4"/>
  <c r="A5320" i="4"/>
  <c r="A5319" i="4"/>
  <c r="A5318" i="4"/>
  <c r="A5317" i="4"/>
  <c r="A5316" i="4"/>
  <c r="A5315" i="4"/>
  <c r="A5314" i="4"/>
  <c r="A5313" i="4"/>
  <c r="A5312" i="4"/>
  <c r="A5311" i="4"/>
  <c r="A5310" i="4"/>
  <c r="A5309" i="4"/>
  <c r="A5308" i="4"/>
  <c r="A5307" i="4"/>
  <c r="A5306" i="4"/>
  <c r="A5305" i="4"/>
  <c r="A5304" i="4"/>
  <c r="A5303" i="4"/>
  <c r="A5302" i="4"/>
  <c r="A5301" i="4"/>
  <c r="A5300" i="4"/>
  <c r="A5299" i="4"/>
  <c r="A5298" i="4"/>
  <c r="A5297" i="4"/>
  <c r="A5296" i="4"/>
  <c r="A5295" i="4"/>
  <c r="A5294" i="4"/>
  <c r="A5293" i="4"/>
  <c r="A5292" i="4"/>
  <c r="A5291" i="4"/>
  <c r="A5290" i="4"/>
  <c r="A5289" i="4"/>
  <c r="A5288" i="4"/>
  <c r="A5287" i="4"/>
  <c r="A5286" i="4"/>
  <c r="A5285" i="4"/>
  <c r="A5284" i="4"/>
  <c r="A5283" i="4"/>
  <c r="A5282" i="4"/>
  <c r="A5281" i="4"/>
  <c r="A5280" i="4"/>
  <c r="A5279" i="4"/>
  <c r="A5278" i="4"/>
  <c r="A5277" i="4"/>
  <c r="A5276" i="4"/>
  <c r="A5275" i="4"/>
  <c r="A5274" i="4"/>
  <c r="A5273" i="4"/>
  <c r="A5272" i="4"/>
  <c r="A5271" i="4"/>
  <c r="A5270" i="4"/>
  <c r="A5269" i="4"/>
  <c r="A5268" i="4"/>
  <c r="A5267" i="4"/>
  <c r="A5266" i="4"/>
  <c r="A5265" i="4"/>
  <c r="A5264" i="4"/>
  <c r="A5263" i="4"/>
  <c r="A5262" i="4"/>
  <c r="A5261" i="4"/>
  <c r="A5260" i="4"/>
  <c r="A5259" i="4"/>
  <c r="A5258" i="4"/>
  <c r="A5257" i="4"/>
  <c r="A5256" i="4"/>
  <c r="A5255" i="4"/>
  <c r="A5254" i="4"/>
  <c r="A5253" i="4"/>
  <c r="A5252" i="4"/>
  <c r="A5251" i="4"/>
  <c r="A5250" i="4"/>
  <c r="A5249" i="4"/>
  <c r="A5248" i="4"/>
  <c r="A5247" i="4"/>
  <c r="A5246" i="4"/>
  <c r="A5245" i="4"/>
  <c r="A5244" i="4"/>
  <c r="A5243" i="4"/>
  <c r="A5242" i="4"/>
  <c r="A5241" i="4"/>
  <c r="A5240" i="4"/>
  <c r="A5239" i="4"/>
  <c r="A5238" i="4"/>
  <c r="A5237" i="4"/>
  <c r="A5236" i="4"/>
  <c r="A5235" i="4"/>
  <c r="A5234" i="4"/>
  <c r="A5233" i="4"/>
  <c r="A5232" i="4"/>
  <c r="A5231" i="4"/>
  <c r="A5230" i="4"/>
  <c r="A5229" i="4"/>
  <c r="A5228" i="4"/>
  <c r="A5227" i="4"/>
  <c r="A5226" i="4"/>
  <c r="A5225" i="4"/>
  <c r="A5224" i="4"/>
  <c r="A5223" i="4"/>
  <c r="A5222" i="4"/>
  <c r="A5221" i="4"/>
  <c r="A5220" i="4"/>
  <c r="A5219" i="4"/>
  <c r="A5218" i="4"/>
  <c r="A5217" i="4"/>
  <c r="A5216" i="4"/>
  <c r="A5215" i="4"/>
  <c r="A5214" i="4"/>
  <c r="A5213" i="4"/>
  <c r="A5212" i="4"/>
  <c r="A5211" i="4"/>
  <c r="A5210" i="4"/>
  <c r="A5209" i="4"/>
  <c r="A5208" i="4"/>
  <c r="A5207" i="4"/>
  <c r="A5206" i="4"/>
  <c r="A5205" i="4"/>
  <c r="A5204" i="4"/>
  <c r="A5203" i="4"/>
  <c r="A5202" i="4"/>
  <c r="A5201" i="4"/>
  <c r="A5200" i="4"/>
  <c r="A5199" i="4"/>
  <c r="A5198" i="4"/>
  <c r="A5197" i="4"/>
  <c r="A5196" i="4"/>
  <c r="A5195" i="4"/>
  <c r="A5194" i="4"/>
  <c r="A5193" i="4"/>
  <c r="A5192" i="4"/>
  <c r="A5191" i="4"/>
  <c r="A5190" i="4"/>
  <c r="A5189" i="4"/>
  <c r="A5188" i="4"/>
  <c r="A5187" i="4"/>
  <c r="A5186" i="4"/>
  <c r="A5185" i="4"/>
  <c r="A5184" i="4"/>
  <c r="A5183" i="4"/>
  <c r="A5182" i="4"/>
  <c r="A5181" i="4"/>
  <c r="A5180" i="4"/>
  <c r="A5179" i="4"/>
  <c r="A5178" i="4"/>
  <c r="A5177" i="4"/>
  <c r="A5176" i="4"/>
  <c r="A5175" i="4"/>
  <c r="A5174" i="4"/>
  <c r="A5173" i="4"/>
  <c r="A5172" i="4"/>
  <c r="A5171" i="4"/>
  <c r="A5170" i="4"/>
  <c r="A5169" i="4"/>
  <c r="A5168" i="4"/>
  <c r="A5167" i="4"/>
  <c r="A5166" i="4"/>
  <c r="A5165" i="4"/>
  <c r="A5164" i="4"/>
  <c r="A5163" i="4"/>
  <c r="A5162" i="4"/>
  <c r="A5161" i="4"/>
  <c r="A5160" i="4"/>
  <c r="A5159" i="4"/>
  <c r="A5158" i="4"/>
  <c r="A5157" i="4"/>
  <c r="A5156" i="4"/>
  <c r="A5155" i="4"/>
  <c r="A5154" i="4"/>
  <c r="A5153" i="4"/>
  <c r="A5152" i="4"/>
  <c r="A5151" i="4"/>
  <c r="A5150" i="4"/>
  <c r="A5149" i="4"/>
  <c r="A5148" i="4"/>
  <c r="A5147" i="4"/>
  <c r="A5146" i="4"/>
  <c r="A5145" i="4"/>
  <c r="A5144" i="4"/>
  <c r="A5143" i="4"/>
  <c r="A5142" i="4"/>
  <c r="A5141" i="4"/>
  <c r="A5140" i="4"/>
  <c r="A5139" i="4"/>
  <c r="A5138" i="4"/>
  <c r="A5137" i="4"/>
  <c r="A5136" i="4"/>
  <c r="A5135" i="4"/>
  <c r="A5134" i="4"/>
  <c r="A5133" i="4"/>
  <c r="A5132" i="4"/>
  <c r="A5131" i="4"/>
  <c r="A5130" i="4"/>
  <c r="A5129" i="4"/>
  <c r="A5128" i="4"/>
  <c r="A5127" i="4"/>
  <c r="A5126" i="4"/>
  <c r="A5125" i="4"/>
  <c r="A5124" i="4"/>
  <c r="A5123" i="4"/>
  <c r="A5122" i="4"/>
  <c r="A5121" i="4"/>
  <c r="A5120" i="4"/>
  <c r="A5119" i="4"/>
  <c r="A5118" i="4"/>
  <c r="A5117" i="4"/>
  <c r="A5116" i="4"/>
  <c r="A5115" i="4"/>
  <c r="A5114" i="4"/>
  <c r="A5113" i="4"/>
  <c r="A5112" i="4"/>
  <c r="A5111" i="4"/>
  <c r="A5110" i="4"/>
  <c r="A5109" i="4"/>
  <c r="A5108" i="4"/>
  <c r="A5107" i="4"/>
  <c r="A5106" i="4"/>
  <c r="A5105" i="4"/>
  <c r="A5104" i="4"/>
  <c r="A5103" i="4"/>
  <c r="A5102" i="4"/>
  <c r="A5101" i="4"/>
  <c r="A5100" i="4"/>
  <c r="A5099" i="4"/>
  <c r="A5098" i="4"/>
  <c r="A5097" i="4"/>
  <c r="A5096" i="4"/>
  <c r="A5095" i="4"/>
  <c r="A5094" i="4"/>
  <c r="A5093" i="4"/>
  <c r="A5092" i="4"/>
  <c r="A5091" i="4"/>
  <c r="A5090" i="4"/>
  <c r="A5089" i="4"/>
  <c r="A5088" i="4"/>
  <c r="A5087" i="4"/>
  <c r="A5086" i="4"/>
  <c r="A5085" i="4"/>
  <c r="A5084" i="4"/>
  <c r="A5083" i="4"/>
  <c r="A5082" i="4"/>
  <c r="A5081" i="4"/>
  <c r="A5080" i="4"/>
  <c r="A5079" i="4"/>
  <c r="A5078" i="4"/>
  <c r="A5077" i="4"/>
  <c r="A5076" i="4"/>
  <c r="A5075" i="4"/>
  <c r="A5074" i="4"/>
  <c r="A5073" i="4"/>
  <c r="A5072" i="4"/>
  <c r="A5071" i="4"/>
  <c r="A5070" i="4"/>
  <c r="A5069" i="4"/>
  <c r="A5068" i="4"/>
  <c r="A5067" i="4"/>
  <c r="A5066" i="4"/>
  <c r="A5065" i="4"/>
  <c r="A5064" i="4"/>
  <c r="A5063" i="4"/>
  <c r="A5062" i="4"/>
  <c r="A5061" i="4"/>
  <c r="A5060" i="4"/>
  <c r="A5059" i="4"/>
  <c r="A5058" i="4"/>
  <c r="A5057" i="4"/>
  <c r="A5056" i="4"/>
  <c r="A5055" i="4"/>
  <c r="A5054" i="4"/>
  <c r="A5053" i="4"/>
  <c r="A5052" i="4"/>
  <c r="A5051" i="4"/>
  <c r="A5050" i="4"/>
  <c r="A5049" i="4"/>
  <c r="A5048" i="4"/>
  <c r="A5047" i="4"/>
  <c r="A5046" i="4"/>
  <c r="A5045" i="4"/>
  <c r="A5044" i="4"/>
  <c r="A5043" i="4"/>
  <c r="A5042" i="4"/>
  <c r="A5041" i="4"/>
  <c r="A5040" i="4"/>
  <c r="A5039" i="4"/>
  <c r="A5038" i="4"/>
  <c r="A5037" i="4"/>
  <c r="A5036" i="4"/>
  <c r="A5035" i="4"/>
  <c r="A5034" i="4"/>
  <c r="A5033" i="4"/>
  <c r="A5032" i="4"/>
  <c r="A5031" i="4"/>
  <c r="A5030" i="4"/>
  <c r="A5029" i="4"/>
  <c r="A5028" i="4"/>
  <c r="A5027" i="4"/>
  <c r="A5026" i="4"/>
  <c r="A5025" i="4"/>
  <c r="A5024" i="4"/>
  <c r="A5023" i="4"/>
  <c r="A5022" i="4"/>
  <c r="A5021" i="4"/>
  <c r="A5020" i="4"/>
  <c r="A5019" i="4"/>
  <c r="A5018" i="4"/>
  <c r="A5017" i="4"/>
  <c r="A5016" i="4"/>
  <c r="A5015" i="4"/>
  <c r="A5014" i="4"/>
  <c r="A5013" i="4"/>
  <c r="A5012" i="4"/>
  <c r="A5011" i="4"/>
  <c r="A5010" i="4"/>
  <c r="A5009" i="4"/>
  <c r="A5008" i="4"/>
  <c r="A5007" i="4"/>
  <c r="A5006" i="4"/>
  <c r="A5005" i="4"/>
  <c r="A5004" i="4"/>
  <c r="A5003" i="4"/>
  <c r="A5002" i="4"/>
  <c r="A5001" i="4"/>
  <c r="A5000" i="4"/>
  <c r="A4999" i="4"/>
  <c r="A4998" i="4"/>
  <c r="A4997" i="4"/>
  <c r="A4996" i="4"/>
  <c r="A4995" i="4"/>
  <c r="A4994" i="4"/>
  <c r="A4993" i="4"/>
  <c r="A4992" i="4"/>
  <c r="A4991" i="4"/>
  <c r="A4990" i="4"/>
  <c r="A4989" i="4"/>
  <c r="A4988" i="4"/>
  <c r="A4987" i="4"/>
  <c r="A4986" i="4"/>
  <c r="A4985" i="4"/>
  <c r="A4984" i="4"/>
  <c r="A4983" i="4"/>
  <c r="A4982" i="4"/>
  <c r="A4981" i="4"/>
  <c r="A4980" i="4"/>
  <c r="A4979" i="4"/>
  <c r="A4978" i="4"/>
  <c r="A4977" i="4"/>
  <c r="A4976" i="4"/>
  <c r="A4975" i="4"/>
  <c r="A4974" i="4"/>
  <c r="A4973" i="4"/>
  <c r="A4972" i="4"/>
  <c r="A4971" i="4"/>
  <c r="A4970" i="4"/>
  <c r="A4969" i="4"/>
  <c r="A4968" i="4"/>
  <c r="A4967" i="4"/>
  <c r="A4966" i="4"/>
  <c r="A4965" i="4"/>
  <c r="A4964" i="4"/>
  <c r="A4963" i="4"/>
  <c r="A4962" i="4"/>
  <c r="A4961" i="4"/>
  <c r="A4960" i="4"/>
  <c r="A4959" i="4"/>
  <c r="A4958" i="4"/>
  <c r="A4957" i="4"/>
  <c r="A4956" i="4"/>
  <c r="A4955" i="4"/>
  <c r="A4954" i="4"/>
  <c r="A4953" i="4"/>
  <c r="A4952" i="4"/>
  <c r="A4951" i="4"/>
  <c r="A4950" i="4"/>
  <c r="A4949" i="4"/>
  <c r="A4948" i="4"/>
  <c r="A4947" i="4"/>
  <c r="A4946" i="4"/>
  <c r="A4945" i="4"/>
  <c r="A4944" i="4"/>
  <c r="A4943" i="4"/>
  <c r="A4942" i="4"/>
  <c r="A4941" i="4"/>
  <c r="A4940" i="4"/>
  <c r="A4939" i="4"/>
  <c r="A4938" i="4"/>
  <c r="A4937" i="4"/>
  <c r="A4936" i="4"/>
  <c r="A4935" i="4"/>
  <c r="A4934" i="4"/>
  <c r="A4933" i="4"/>
  <c r="A4932" i="4"/>
  <c r="A4931" i="4"/>
  <c r="A4930" i="4"/>
  <c r="A4929" i="4"/>
  <c r="A4928" i="4"/>
  <c r="A4927" i="4"/>
  <c r="A4926" i="4"/>
  <c r="A4925" i="4"/>
  <c r="A4924" i="4"/>
  <c r="A4923" i="4"/>
  <c r="A4922" i="4"/>
  <c r="A4921" i="4"/>
  <c r="A4920" i="4"/>
  <c r="A4919" i="4"/>
  <c r="A4918" i="4"/>
  <c r="A4917" i="4"/>
  <c r="A4916" i="4"/>
  <c r="A4915" i="4"/>
  <c r="A4914" i="4"/>
  <c r="A4913" i="4"/>
  <c r="A4912" i="4"/>
  <c r="A4911" i="4"/>
  <c r="A4910" i="4"/>
  <c r="A4909" i="4"/>
  <c r="A4908" i="4"/>
  <c r="A4907" i="4"/>
  <c r="A4906" i="4"/>
  <c r="A4905" i="4"/>
  <c r="A4904" i="4"/>
  <c r="A4903" i="4"/>
  <c r="A4902" i="4"/>
  <c r="A4901" i="4"/>
  <c r="A4900" i="4"/>
  <c r="A4899" i="4"/>
  <c r="A4898" i="4"/>
  <c r="A4897" i="4"/>
  <c r="A4896" i="4"/>
  <c r="A4895" i="4"/>
  <c r="A4894" i="4"/>
  <c r="A4893" i="4"/>
  <c r="A4892" i="4"/>
  <c r="A4891" i="4"/>
  <c r="A4890" i="4"/>
  <c r="A4889" i="4"/>
  <c r="A4888" i="4"/>
  <c r="A4887" i="4"/>
  <c r="A4886" i="4"/>
  <c r="A4885" i="4"/>
  <c r="A4884" i="4"/>
  <c r="A4883" i="4"/>
  <c r="A4882" i="4"/>
  <c r="A4881" i="4"/>
  <c r="A4880" i="4"/>
  <c r="A4879" i="4"/>
  <c r="A4878" i="4"/>
  <c r="A4877" i="4"/>
  <c r="A4876" i="4"/>
  <c r="A4875" i="4"/>
  <c r="A4874" i="4"/>
  <c r="A4873" i="4"/>
  <c r="A4872" i="4"/>
  <c r="A4871" i="4"/>
  <c r="A4870" i="4"/>
  <c r="A4869" i="4"/>
  <c r="A4868" i="4"/>
  <c r="A4867" i="4"/>
  <c r="A4866" i="4"/>
  <c r="A4865" i="4"/>
  <c r="A4864" i="4"/>
  <c r="A4863" i="4"/>
  <c r="A4862" i="4"/>
  <c r="A4861" i="4"/>
  <c r="A4860" i="4"/>
  <c r="A4859" i="4"/>
  <c r="A4858" i="4"/>
  <c r="A4857" i="4"/>
  <c r="A4856" i="4"/>
  <c r="A4855" i="4"/>
  <c r="A4854" i="4"/>
  <c r="A4853" i="4"/>
  <c r="A4852" i="4"/>
  <c r="A4851" i="4"/>
  <c r="A4850" i="4"/>
  <c r="A4849" i="4"/>
  <c r="A4848" i="4"/>
  <c r="A4847" i="4"/>
  <c r="A4846" i="4"/>
  <c r="A4845" i="4"/>
  <c r="A4844" i="4"/>
  <c r="A4843" i="4"/>
  <c r="A4842" i="4"/>
  <c r="A4841" i="4"/>
  <c r="A4840" i="4"/>
  <c r="A4839" i="4"/>
  <c r="A4838" i="4"/>
  <c r="A4837" i="4"/>
  <c r="A4836" i="4"/>
  <c r="A4835" i="4"/>
  <c r="A4834" i="4"/>
  <c r="A4833" i="4"/>
  <c r="A4832" i="4"/>
  <c r="A4831" i="4"/>
  <c r="A4830" i="4"/>
  <c r="A4829" i="4"/>
  <c r="A4828" i="4"/>
  <c r="A4827" i="4"/>
  <c r="A4826" i="4"/>
  <c r="A4825" i="4"/>
  <c r="A4824" i="4"/>
  <c r="A4823" i="4"/>
  <c r="A4822" i="4"/>
  <c r="A4821" i="4"/>
  <c r="A4820" i="4"/>
  <c r="A4819" i="4"/>
  <c r="A4818" i="4"/>
  <c r="A4817" i="4"/>
  <c r="A4816" i="4"/>
  <c r="A4815" i="4"/>
  <c r="A4814" i="4"/>
  <c r="A4813" i="4"/>
  <c r="A4812" i="4"/>
  <c r="A4811" i="4"/>
  <c r="A4810" i="4"/>
  <c r="A4809" i="4"/>
  <c r="A4808" i="4"/>
  <c r="A4807" i="4"/>
  <c r="A4806" i="4"/>
  <c r="A4805" i="4"/>
  <c r="A4804" i="4"/>
  <c r="A4803" i="4"/>
  <c r="A4802" i="4"/>
  <c r="A4801" i="4"/>
  <c r="A4800" i="4"/>
  <c r="A4799" i="4"/>
  <c r="A4798" i="4"/>
  <c r="A4797" i="4"/>
  <c r="A4796" i="4"/>
  <c r="A4795" i="4"/>
  <c r="A4794" i="4"/>
  <c r="A4793" i="4"/>
  <c r="A4792" i="4"/>
  <c r="A4791" i="4"/>
  <c r="A4790" i="4"/>
  <c r="A4789" i="4"/>
  <c r="A4788" i="4"/>
  <c r="A4787" i="4"/>
  <c r="A4786" i="4"/>
  <c r="A4785" i="4"/>
  <c r="A4784" i="4"/>
  <c r="A4783" i="4"/>
  <c r="A4782" i="4"/>
  <c r="A4781" i="4"/>
  <c r="A4780" i="4"/>
  <c r="A4779" i="4"/>
  <c r="A4778" i="4"/>
  <c r="A4777" i="4"/>
  <c r="A4776" i="4"/>
  <c r="A4775" i="4"/>
  <c r="A4774" i="4"/>
  <c r="A4773" i="4"/>
  <c r="A4772" i="4"/>
  <c r="A4771" i="4"/>
  <c r="A4770" i="4"/>
  <c r="A4769" i="4"/>
  <c r="A4768" i="4"/>
  <c r="A4767" i="4"/>
  <c r="A4766" i="4"/>
  <c r="A4765" i="4"/>
  <c r="A4764" i="4"/>
  <c r="A4763" i="4"/>
  <c r="A4762" i="4"/>
  <c r="A4761" i="4"/>
  <c r="A4760" i="4"/>
  <c r="A4759" i="4"/>
  <c r="A4758" i="4"/>
  <c r="A4757" i="4"/>
  <c r="A4756" i="4"/>
  <c r="A4755" i="4"/>
  <c r="A4754" i="4"/>
  <c r="A4753" i="4"/>
  <c r="A4752" i="4"/>
  <c r="A4751" i="4"/>
  <c r="A4750" i="4"/>
  <c r="A4749" i="4"/>
  <c r="A4748" i="4"/>
  <c r="A4747" i="4"/>
  <c r="A4746" i="4"/>
  <c r="A4745" i="4"/>
  <c r="A4744" i="4"/>
  <c r="A4743" i="4"/>
  <c r="A4742" i="4"/>
  <c r="A4741" i="4"/>
  <c r="A4740" i="4"/>
  <c r="A4739" i="4"/>
  <c r="A4738" i="4"/>
  <c r="A4737" i="4"/>
  <c r="A4736" i="4"/>
  <c r="A4735" i="4"/>
  <c r="A4734" i="4"/>
  <c r="A4733" i="4"/>
  <c r="A4732" i="4"/>
  <c r="A4731" i="4"/>
  <c r="A4730" i="4"/>
  <c r="A4729" i="4"/>
  <c r="A4728" i="4"/>
  <c r="A4727" i="4"/>
  <c r="A4726" i="4"/>
  <c r="A4725" i="4"/>
  <c r="A4724" i="4"/>
  <c r="A4723" i="4"/>
  <c r="A4722" i="4"/>
  <c r="A4721" i="4"/>
  <c r="A4720" i="4"/>
  <c r="A4719" i="4"/>
  <c r="A4718" i="4"/>
  <c r="A4717" i="4"/>
  <c r="A4716" i="4"/>
  <c r="A4715" i="4"/>
  <c r="A4714" i="4"/>
  <c r="A4713" i="4"/>
  <c r="A4712" i="4"/>
  <c r="A4711" i="4"/>
  <c r="A4710" i="4"/>
  <c r="A4709" i="4"/>
  <c r="A4708" i="4"/>
  <c r="A4707" i="4"/>
  <c r="A4706" i="4"/>
  <c r="A4705" i="4"/>
  <c r="A4704" i="4"/>
  <c r="A4703" i="4"/>
  <c r="A4702" i="4"/>
  <c r="A4701" i="4"/>
  <c r="A4700" i="4"/>
  <c r="A4699" i="4"/>
  <c r="A4698" i="4"/>
  <c r="A4697" i="4"/>
  <c r="A4696" i="4"/>
  <c r="A4695" i="4"/>
  <c r="A4694" i="4"/>
  <c r="A4693" i="4"/>
  <c r="A4692" i="4"/>
  <c r="A4691" i="4"/>
  <c r="A4690" i="4"/>
  <c r="A4689" i="4"/>
  <c r="A4688" i="4"/>
  <c r="A4687" i="4"/>
  <c r="A4686" i="4"/>
  <c r="A4685" i="4"/>
  <c r="A4684" i="4"/>
  <c r="A4683" i="4"/>
  <c r="A4682" i="4"/>
  <c r="A4681" i="4"/>
  <c r="A4680" i="4"/>
  <c r="A4679" i="4"/>
  <c r="A4678" i="4"/>
  <c r="A4677" i="4"/>
  <c r="A4676" i="4"/>
  <c r="A4675" i="4"/>
  <c r="A4674" i="4"/>
  <c r="A4673" i="4"/>
  <c r="A4672" i="4"/>
  <c r="A4671" i="4"/>
  <c r="A4670" i="4"/>
  <c r="A4669" i="4"/>
  <c r="A4668" i="4"/>
  <c r="A4667" i="4"/>
  <c r="A4666" i="4"/>
  <c r="A4665" i="4"/>
  <c r="A4664" i="4"/>
  <c r="A4663" i="4"/>
  <c r="A4662" i="4"/>
  <c r="A4661" i="4"/>
  <c r="A4660" i="4"/>
  <c r="A4659" i="4"/>
  <c r="A4658" i="4"/>
  <c r="A4657" i="4"/>
  <c r="A4656" i="4"/>
  <c r="A4655" i="4"/>
  <c r="A4654" i="4"/>
  <c r="A4653" i="4"/>
  <c r="A4652" i="4"/>
  <c r="A4651" i="4"/>
  <c r="A4650" i="4"/>
  <c r="A4649" i="4"/>
  <c r="A4648" i="4"/>
  <c r="A4647" i="4"/>
  <c r="A4646" i="4"/>
  <c r="A4645" i="4"/>
  <c r="A4644" i="4"/>
  <c r="A4643" i="4"/>
  <c r="A4642" i="4"/>
  <c r="A4641" i="4"/>
  <c r="A4640" i="4"/>
  <c r="A4639" i="4"/>
  <c r="A4638" i="4"/>
  <c r="A4637" i="4"/>
  <c r="A4636" i="4"/>
  <c r="A4635" i="4"/>
  <c r="A4634" i="4"/>
  <c r="A4633" i="4"/>
  <c r="A4632" i="4"/>
  <c r="A4631" i="4"/>
  <c r="A4630" i="4"/>
  <c r="A4629" i="4"/>
  <c r="A4628" i="4"/>
  <c r="A4627" i="4"/>
  <c r="A4626" i="4"/>
  <c r="A4625" i="4"/>
  <c r="A4624" i="4"/>
  <c r="A4623" i="4"/>
  <c r="A4622" i="4"/>
  <c r="A4621" i="4"/>
  <c r="A4620" i="4"/>
  <c r="A4619" i="4"/>
  <c r="A4618" i="4"/>
  <c r="A4617" i="4"/>
  <c r="A4616" i="4"/>
  <c r="A4615" i="4"/>
  <c r="A4614" i="4"/>
  <c r="A4613" i="4"/>
  <c r="A4612" i="4"/>
  <c r="A4611" i="4"/>
  <c r="A4610" i="4"/>
  <c r="A4609" i="4"/>
  <c r="A4608" i="4"/>
  <c r="A4607" i="4"/>
  <c r="A4606" i="4"/>
  <c r="A4605" i="4"/>
  <c r="A4604" i="4"/>
  <c r="A4603" i="4"/>
  <c r="A4602" i="4"/>
  <c r="A4601" i="4"/>
  <c r="A4600" i="4"/>
  <c r="A4599" i="4"/>
  <c r="A4598" i="4"/>
  <c r="A4597" i="4"/>
  <c r="A4596" i="4"/>
  <c r="A4595" i="4"/>
  <c r="A4594" i="4"/>
  <c r="A4593" i="4"/>
  <c r="A4592" i="4"/>
  <c r="A4591" i="4"/>
  <c r="A4590" i="4"/>
  <c r="A4589" i="4"/>
  <c r="A4588" i="4"/>
  <c r="A4587" i="4"/>
  <c r="A4586" i="4"/>
  <c r="A4585" i="4"/>
  <c r="A4584" i="4"/>
  <c r="A4583" i="4"/>
  <c r="A4582" i="4"/>
  <c r="A4581" i="4"/>
  <c r="A4580" i="4"/>
  <c r="A4579" i="4"/>
  <c r="A4578" i="4"/>
  <c r="A4577" i="4"/>
  <c r="A4576" i="4"/>
  <c r="A4575" i="4"/>
  <c r="A4574" i="4"/>
  <c r="A4573" i="4"/>
  <c r="A4572" i="4"/>
  <c r="A4571" i="4"/>
  <c r="A4570" i="4"/>
  <c r="A4569" i="4"/>
  <c r="A4568" i="4"/>
  <c r="A4567" i="4"/>
  <c r="A4566" i="4"/>
  <c r="A4565" i="4"/>
  <c r="A4564" i="4"/>
  <c r="A4563" i="4"/>
  <c r="A4562" i="4"/>
  <c r="A4561" i="4"/>
  <c r="A4560" i="4"/>
  <c r="A4559" i="4"/>
  <c r="A4558" i="4"/>
  <c r="A4557" i="4"/>
  <c r="A4556" i="4"/>
  <c r="A4555" i="4"/>
  <c r="A4554" i="4"/>
  <c r="A4553" i="4"/>
  <c r="A4552" i="4"/>
  <c r="A4551" i="4"/>
  <c r="A4550" i="4"/>
  <c r="A4549" i="4"/>
  <c r="A4548" i="4"/>
  <c r="A4547" i="4"/>
  <c r="A4546" i="4"/>
  <c r="A4545" i="4"/>
  <c r="A4544" i="4"/>
  <c r="A4543" i="4"/>
  <c r="A4542" i="4"/>
  <c r="A4541" i="4"/>
  <c r="A4540" i="4"/>
  <c r="A4539" i="4"/>
  <c r="A4538" i="4"/>
  <c r="A4537" i="4"/>
  <c r="A4536" i="4"/>
  <c r="A4535" i="4"/>
  <c r="A4534" i="4"/>
  <c r="A4533" i="4"/>
  <c r="A4532" i="4"/>
  <c r="A4531" i="4"/>
  <c r="A4530" i="4"/>
  <c r="A4529" i="4"/>
  <c r="A4528" i="4"/>
  <c r="A4527" i="4"/>
  <c r="A4526" i="4"/>
  <c r="A4525" i="4"/>
  <c r="A4524" i="4"/>
  <c r="A4523" i="4"/>
  <c r="A4522" i="4"/>
  <c r="A4521" i="4"/>
  <c r="A4520" i="4"/>
  <c r="A4519" i="4"/>
  <c r="A4518" i="4"/>
  <c r="A4517" i="4"/>
  <c r="A4516" i="4"/>
  <c r="A4515" i="4"/>
  <c r="A4514" i="4"/>
  <c r="A4513" i="4"/>
  <c r="A4512" i="4"/>
  <c r="A4511" i="4"/>
  <c r="A4510" i="4"/>
  <c r="A4509" i="4"/>
  <c r="A4508" i="4"/>
  <c r="A4507" i="4"/>
  <c r="A4506" i="4"/>
  <c r="A4505" i="4"/>
  <c r="A4504" i="4"/>
  <c r="A4503" i="4"/>
  <c r="A4502" i="4"/>
  <c r="A4501" i="4"/>
  <c r="A4500" i="4"/>
  <c r="A4499" i="4"/>
  <c r="A4498" i="4"/>
  <c r="A4497" i="4"/>
  <c r="A4496" i="4"/>
  <c r="A4495" i="4"/>
  <c r="A4494" i="4"/>
  <c r="A4493" i="4"/>
  <c r="A4492" i="4"/>
  <c r="A4491" i="4"/>
  <c r="A4490" i="4"/>
  <c r="A4489" i="4"/>
  <c r="A4488" i="4"/>
  <c r="A4487" i="4"/>
  <c r="A4486" i="4"/>
  <c r="A4485" i="4"/>
  <c r="A4484" i="4"/>
  <c r="A4483" i="4"/>
  <c r="A4482" i="4"/>
  <c r="A4481" i="4"/>
  <c r="A4480" i="4"/>
  <c r="A4479" i="4"/>
  <c r="A4478" i="4"/>
  <c r="A4477" i="4"/>
  <c r="A4476" i="4"/>
  <c r="A4475" i="4"/>
  <c r="A4474" i="4"/>
  <c r="A4473" i="4"/>
  <c r="A4472" i="4"/>
  <c r="A4471" i="4"/>
  <c r="A4470" i="4"/>
  <c r="A4469" i="4"/>
  <c r="A4468" i="4"/>
  <c r="A4467" i="4"/>
  <c r="A4466" i="4"/>
  <c r="A4465" i="4"/>
  <c r="A4464" i="4"/>
  <c r="A4463" i="4"/>
  <c r="A4462" i="4"/>
  <c r="A4461" i="4"/>
  <c r="A4460" i="4"/>
  <c r="A4459" i="4"/>
  <c r="A4458" i="4"/>
  <c r="A4457" i="4"/>
  <c r="A4456" i="4"/>
  <c r="A4455" i="4"/>
  <c r="A4454" i="4"/>
  <c r="A4453" i="4"/>
  <c r="A4452" i="4"/>
  <c r="A4451" i="4"/>
  <c r="A4450" i="4"/>
  <c r="A4449" i="4"/>
  <c r="A4448" i="4"/>
  <c r="A4447" i="4"/>
  <c r="A4446" i="4"/>
  <c r="A4445" i="4"/>
  <c r="A4444" i="4"/>
  <c r="A4443" i="4"/>
  <c r="A4442" i="4"/>
  <c r="A4441" i="4"/>
  <c r="A4440" i="4"/>
  <c r="A4439" i="4"/>
  <c r="A4438" i="4"/>
  <c r="A4437" i="4"/>
  <c r="A4436" i="4"/>
  <c r="A4435" i="4"/>
  <c r="A4434" i="4"/>
  <c r="A4433" i="4"/>
  <c r="A4432" i="4"/>
  <c r="A4431" i="4"/>
  <c r="A4430" i="4"/>
  <c r="A4429" i="4"/>
  <c r="A4428" i="4"/>
  <c r="A4427" i="4"/>
  <c r="A4426" i="4"/>
  <c r="A4425" i="4"/>
  <c r="A4424" i="4"/>
  <c r="A4423" i="4"/>
  <c r="A4422" i="4"/>
  <c r="A4421" i="4"/>
  <c r="A4420" i="4"/>
  <c r="A4419" i="4"/>
  <c r="A4418" i="4"/>
  <c r="A4417" i="4"/>
  <c r="A4416" i="4"/>
  <c r="A4415" i="4"/>
  <c r="A4414" i="4"/>
  <c r="A4413" i="4"/>
  <c r="A4412" i="4"/>
  <c r="A4411" i="4"/>
  <c r="A4410" i="4"/>
  <c r="A4409" i="4"/>
  <c r="A4408" i="4"/>
  <c r="A4407" i="4"/>
  <c r="A4406" i="4"/>
  <c r="A4405" i="4"/>
  <c r="A4404" i="4"/>
  <c r="A4403" i="4"/>
  <c r="A4402" i="4"/>
  <c r="A4401" i="4"/>
  <c r="A4400" i="4"/>
  <c r="A4399" i="4"/>
  <c r="A4398" i="4"/>
  <c r="A4397" i="4"/>
  <c r="A4396" i="4"/>
  <c r="A4395" i="4"/>
  <c r="A4394" i="4"/>
  <c r="A4393" i="4"/>
  <c r="A4392" i="4"/>
  <c r="A4391" i="4"/>
  <c r="A4390" i="4"/>
  <c r="A4389" i="4"/>
  <c r="A4388" i="4"/>
  <c r="A4387" i="4"/>
  <c r="A4386" i="4"/>
  <c r="A4385" i="4"/>
  <c r="A4384" i="4"/>
  <c r="A4383" i="4"/>
  <c r="A4382" i="4"/>
  <c r="A4381" i="4"/>
  <c r="A4380" i="4"/>
  <c r="A4379" i="4"/>
  <c r="A4378" i="4"/>
  <c r="A4377" i="4"/>
  <c r="A4376" i="4"/>
  <c r="A4375" i="4"/>
  <c r="A4374" i="4"/>
  <c r="A4373" i="4"/>
  <c r="A4372" i="4"/>
  <c r="A4371" i="4"/>
  <c r="A4370" i="4"/>
  <c r="A4369" i="4"/>
  <c r="A4368" i="4"/>
  <c r="A4367" i="4"/>
  <c r="A4366" i="4"/>
  <c r="A4365" i="4"/>
  <c r="A4364" i="4"/>
  <c r="A4363" i="4"/>
  <c r="A4362" i="4"/>
  <c r="A4361" i="4"/>
  <c r="A4360" i="4"/>
  <c r="A4359" i="4"/>
  <c r="A4358" i="4"/>
  <c r="A4357" i="4"/>
  <c r="A4356" i="4"/>
  <c r="A4355" i="4"/>
  <c r="A4354" i="4"/>
  <c r="A4353" i="4"/>
  <c r="A4352" i="4"/>
  <c r="A4351" i="4"/>
  <c r="A4350" i="4"/>
  <c r="A4349" i="4"/>
  <c r="A4348" i="4"/>
  <c r="A4347" i="4"/>
  <c r="A4346" i="4"/>
  <c r="A4345" i="4"/>
  <c r="A4344" i="4"/>
  <c r="A4343" i="4"/>
  <c r="A4342" i="4"/>
  <c r="A4341" i="4"/>
  <c r="A4340" i="4"/>
  <c r="A4339" i="4"/>
  <c r="A4338" i="4"/>
  <c r="A4337" i="4"/>
  <c r="A4336" i="4"/>
  <c r="A4335" i="4"/>
  <c r="A4334" i="4"/>
  <c r="A4333" i="4"/>
  <c r="A4332" i="4"/>
  <c r="A4331" i="4"/>
  <c r="A4330" i="4"/>
  <c r="A4329" i="4"/>
  <c r="A4328" i="4"/>
  <c r="A4327" i="4"/>
  <c r="A4326" i="4"/>
  <c r="A4325" i="4"/>
  <c r="A4324" i="4"/>
  <c r="A4323" i="4"/>
  <c r="A4322" i="4"/>
  <c r="A4321" i="4"/>
  <c r="A4320" i="4"/>
  <c r="A4319" i="4"/>
  <c r="A4318" i="4"/>
  <c r="A4317" i="4"/>
  <c r="A4316" i="4"/>
  <c r="A4315" i="4"/>
  <c r="A4314" i="4"/>
  <c r="A4313" i="4"/>
  <c r="A4312" i="4"/>
  <c r="A4311" i="4"/>
  <c r="A4310" i="4"/>
  <c r="A4309" i="4"/>
  <c r="A4308" i="4"/>
  <c r="A4307" i="4"/>
  <c r="A4306" i="4"/>
  <c r="A4305" i="4"/>
  <c r="A4304" i="4"/>
  <c r="A4303" i="4"/>
  <c r="A4302" i="4"/>
  <c r="A4301" i="4"/>
  <c r="A4300" i="4"/>
  <c r="A4299" i="4"/>
  <c r="A4298" i="4"/>
  <c r="A4297" i="4"/>
  <c r="A4296" i="4"/>
  <c r="A4295" i="4"/>
  <c r="A4294" i="4"/>
  <c r="A4293" i="4"/>
  <c r="A4292" i="4"/>
  <c r="A4291" i="4"/>
  <c r="A4290" i="4"/>
  <c r="A4289" i="4"/>
  <c r="A4288" i="4"/>
  <c r="A4287" i="4"/>
  <c r="A4286" i="4"/>
  <c r="A4285" i="4"/>
  <c r="A4284" i="4"/>
  <c r="A4283" i="4"/>
  <c r="A4282" i="4"/>
  <c r="A4281" i="4"/>
  <c r="A4280" i="4"/>
  <c r="A4279" i="4"/>
  <c r="A4278" i="4"/>
  <c r="A4277" i="4"/>
  <c r="A4276" i="4"/>
  <c r="A4275" i="4"/>
  <c r="A4274" i="4"/>
  <c r="A4273" i="4"/>
  <c r="A4272" i="4"/>
  <c r="A4271" i="4"/>
  <c r="A4270" i="4"/>
  <c r="A4269" i="4"/>
  <c r="A4268" i="4"/>
  <c r="A4267" i="4"/>
  <c r="A4266" i="4"/>
  <c r="A4265" i="4"/>
  <c r="A4264" i="4"/>
  <c r="A4263" i="4"/>
  <c r="A4262" i="4"/>
  <c r="A4261" i="4"/>
  <c r="A4260" i="4"/>
  <c r="A4259" i="4"/>
  <c r="A4258" i="4"/>
  <c r="A4257" i="4"/>
  <c r="A4256" i="4"/>
  <c r="A4255" i="4"/>
  <c r="A4254" i="4"/>
  <c r="A4253" i="4"/>
  <c r="A4252" i="4"/>
  <c r="A4251" i="4"/>
  <c r="A4250" i="4"/>
  <c r="A4249" i="4"/>
  <c r="A4248" i="4"/>
  <c r="A4247" i="4"/>
  <c r="A4246" i="4"/>
  <c r="A4245" i="4"/>
  <c r="A4244" i="4"/>
  <c r="A4243" i="4"/>
  <c r="A4242" i="4"/>
  <c r="A4241" i="4"/>
  <c r="A4240" i="4"/>
  <c r="A4239" i="4"/>
  <c r="A4238" i="4"/>
  <c r="A4237" i="4"/>
  <c r="A4236" i="4"/>
  <c r="A4235" i="4"/>
  <c r="A4234" i="4"/>
  <c r="A4233" i="4"/>
  <c r="A4232" i="4"/>
  <c r="A4231" i="4"/>
  <c r="A4230" i="4"/>
  <c r="A4229" i="4"/>
  <c r="A4228" i="4"/>
  <c r="A4227" i="4"/>
  <c r="A4226" i="4"/>
  <c r="A4225" i="4"/>
  <c r="A4224" i="4"/>
  <c r="A4223" i="4"/>
  <c r="A4222" i="4"/>
  <c r="A4221" i="4"/>
  <c r="A4220" i="4"/>
  <c r="A4219" i="4"/>
  <c r="A4218" i="4"/>
  <c r="A4217" i="4"/>
  <c r="A4216" i="4"/>
  <c r="A4215" i="4"/>
  <c r="A4214" i="4"/>
  <c r="A4213" i="4"/>
  <c r="A4212" i="4"/>
  <c r="A4211" i="4"/>
  <c r="A4210" i="4"/>
  <c r="A4209" i="4"/>
  <c r="A4208" i="4"/>
  <c r="A4207" i="4"/>
  <c r="A4206" i="4"/>
  <c r="A4205" i="4"/>
  <c r="A4204" i="4"/>
  <c r="A4203" i="4"/>
  <c r="A4202" i="4"/>
  <c r="A4201" i="4"/>
  <c r="A4200" i="4"/>
  <c r="A4199" i="4"/>
  <c r="A4198" i="4"/>
  <c r="A4197" i="4"/>
  <c r="A4196" i="4"/>
  <c r="A4195" i="4"/>
  <c r="A4194" i="4"/>
  <c r="A4193" i="4"/>
  <c r="A4192" i="4"/>
  <c r="A4191" i="4"/>
  <c r="A4190" i="4"/>
  <c r="A4189" i="4"/>
  <c r="A4188" i="4"/>
  <c r="A4187" i="4"/>
  <c r="A4186" i="4"/>
  <c r="A4185" i="4"/>
  <c r="A4184" i="4"/>
  <c r="A4183" i="4"/>
  <c r="A4182" i="4"/>
  <c r="A4181" i="4"/>
  <c r="A4180" i="4"/>
  <c r="A4179" i="4"/>
  <c r="A4178" i="4"/>
  <c r="A4177" i="4"/>
  <c r="A4176" i="4"/>
  <c r="A4175" i="4"/>
  <c r="A4174" i="4"/>
  <c r="A4173" i="4"/>
  <c r="A4172" i="4"/>
  <c r="A4171" i="4"/>
  <c r="A4170" i="4"/>
  <c r="A4169" i="4"/>
  <c r="A4168" i="4"/>
  <c r="A4167" i="4"/>
  <c r="A4166" i="4"/>
  <c r="A4165" i="4"/>
  <c r="A4164" i="4"/>
  <c r="A4163" i="4"/>
  <c r="A4162" i="4"/>
  <c r="A4161" i="4"/>
  <c r="A4160" i="4"/>
  <c r="A4159" i="4"/>
  <c r="A4158" i="4"/>
  <c r="A4157" i="4"/>
  <c r="A4156" i="4"/>
  <c r="A4155" i="4"/>
  <c r="A4154" i="4"/>
  <c r="A4153" i="4"/>
  <c r="A4152" i="4"/>
  <c r="A4151" i="4"/>
  <c r="A4150" i="4"/>
  <c r="A4149" i="4"/>
  <c r="A4148" i="4"/>
  <c r="A4147" i="4"/>
  <c r="A4146" i="4"/>
  <c r="A4145" i="4"/>
  <c r="A4144" i="4"/>
  <c r="A4143" i="4"/>
  <c r="A4142" i="4"/>
  <c r="A4141" i="4"/>
  <c r="A4140" i="4"/>
  <c r="A4139" i="4"/>
  <c r="A4138" i="4"/>
  <c r="A4137" i="4"/>
  <c r="A4136" i="4"/>
  <c r="A4135" i="4"/>
  <c r="A4134" i="4"/>
  <c r="A4133" i="4"/>
  <c r="A4132" i="4"/>
  <c r="A4131" i="4"/>
  <c r="A4130" i="4"/>
  <c r="A4129" i="4"/>
  <c r="A4128" i="4"/>
  <c r="A4127" i="4"/>
  <c r="A4126" i="4"/>
  <c r="A4125" i="4"/>
  <c r="A4124" i="4"/>
  <c r="A4123" i="4"/>
  <c r="A4122" i="4"/>
  <c r="A4121" i="4"/>
  <c r="A4120" i="4"/>
  <c r="A4119" i="4"/>
  <c r="A4118" i="4"/>
  <c r="A4117" i="4"/>
  <c r="A4116" i="4"/>
  <c r="A4115" i="4"/>
  <c r="A4114" i="4"/>
  <c r="A4113" i="4"/>
  <c r="A4112" i="4"/>
  <c r="A4111" i="4"/>
  <c r="A4110" i="4"/>
  <c r="A4109" i="4"/>
  <c r="A4108" i="4"/>
  <c r="A4107" i="4"/>
  <c r="A4106" i="4"/>
  <c r="A4105" i="4"/>
  <c r="A4104" i="4"/>
  <c r="A4103" i="4"/>
  <c r="A4102" i="4"/>
  <c r="A4101" i="4"/>
  <c r="A4100" i="4"/>
  <c r="A4099" i="4"/>
  <c r="A4098" i="4"/>
  <c r="A4097" i="4"/>
  <c r="A4096" i="4"/>
  <c r="A4095" i="4"/>
  <c r="A4094" i="4"/>
  <c r="A4093" i="4"/>
  <c r="A4092" i="4"/>
  <c r="A4091" i="4"/>
  <c r="A4090" i="4"/>
  <c r="A4089" i="4"/>
  <c r="A4088" i="4"/>
  <c r="A4087" i="4"/>
  <c r="A4086" i="4"/>
  <c r="A4085" i="4"/>
  <c r="A4084" i="4"/>
  <c r="A4083" i="4"/>
  <c r="A4082" i="4"/>
  <c r="A4081" i="4"/>
  <c r="A4080" i="4"/>
  <c r="A4079" i="4"/>
  <c r="A4078" i="4"/>
  <c r="A4077" i="4"/>
  <c r="A4076" i="4"/>
  <c r="A4075" i="4"/>
  <c r="A4074" i="4"/>
  <c r="A4073" i="4"/>
  <c r="A4072" i="4"/>
  <c r="A4071" i="4"/>
  <c r="A4070" i="4"/>
  <c r="A4069" i="4"/>
  <c r="A4068" i="4"/>
  <c r="A4067" i="4"/>
  <c r="A4066" i="4"/>
  <c r="A4065" i="4"/>
  <c r="A4064" i="4"/>
  <c r="A4063" i="4"/>
  <c r="A4062" i="4"/>
  <c r="A4061" i="4"/>
  <c r="A4060" i="4"/>
  <c r="A4059" i="4"/>
  <c r="A4058" i="4"/>
  <c r="A4057" i="4"/>
  <c r="A4056" i="4"/>
  <c r="A4055" i="4"/>
  <c r="A4054" i="4"/>
  <c r="A4053" i="4"/>
  <c r="A4052" i="4"/>
  <c r="A4051" i="4"/>
  <c r="A4050" i="4"/>
  <c r="A4049" i="4"/>
  <c r="A4048" i="4"/>
  <c r="A4047" i="4"/>
  <c r="A4046" i="4"/>
  <c r="A4045" i="4"/>
  <c r="A4044" i="4"/>
  <c r="A4043" i="4"/>
  <c r="A4042" i="4"/>
  <c r="A4041" i="4"/>
  <c r="A4040" i="4"/>
  <c r="A4039" i="4"/>
  <c r="A4038" i="4"/>
  <c r="A4037" i="4"/>
  <c r="A4036" i="4"/>
  <c r="A4035" i="4"/>
  <c r="A4034" i="4"/>
  <c r="A4033" i="4"/>
  <c r="A4032" i="4"/>
  <c r="A4031" i="4"/>
  <c r="A4030" i="4"/>
  <c r="A4029" i="4"/>
  <c r="A4028" i="4"/>
  <c r="A4027" i="4"/>
  <c r="A4026" i="4"/>
  <c r="A4025" i="4"/>
  <c r="A4024" i="4"/>
  <c r="A4023" i="4"/>
  <c r="A4022" i="4"/>
  <c r="A4021" i="4"/>
  <c r="A4020" i="4"/>
  <c r="A4019" i="4"/>
  <c r="A4018" i="4"/>
  <c r="A4017" i="4"/>
  <c r="A4016" i="4"/>
  <c r="A4015" i="4"/>
  <c r="A4014" i="4"/>
  <c r="A4013" i="4"/>
  <c r="A4012" i="4"/>
  <c r="A4011" i="4"/>
  <c r="A4010" i="4"/>
  <c r="A4009" i="4"/>
  <c r="A4008" i="4"/>
  <c r="A4007" i="4"/>
  <c r="A4006" i="4"/>
  <c r="A4005" i="4"/>
  <c r="A4004" i="4"/>
  <c r="A4003" i="4"/>
  <c r="A4002" i="4"/>
  <c r="A4001" i="4"/>
  <c r="A4000" i="4"/>
  <c r="A3999" i="4"/>
  <c r="A3998" i="4"/>
  <c r="A3997" i="4"/>
  <c r="A3996" i="4"/>
  <c r="A3995" i="4"/>
  <c r="A3994" i="4"/>
  <c r="A3993" i="4"/>
  <c r="A3992" i="4"/>
  <c r="A3991" i="4"/>
  <c r="A3990" i="4"/>
  <c r="A3989" i="4"/>
  <c r="A3988" i="4"/>
  <c r="A3987" i="4"/>
  <c r="A3986" i="4"/>
  <c r="A3985" i="4"/>
  <c r="A3984" i="4"/>
  <c r="A3983" i="4"/>
  <c r="A3982" i="4"/>
  <c r="A3981" i="4"/>
  <c r="A3980" i="4"/>
  <c r="A3979" i="4"/>
  <c r="A3978" i="4"/>
  <c r="A3977" i="4"/>
  <c r="A3976" i="4"/>
  <c r="A3975" i="4"/>
  <c r="A3974" i="4"/>
  <c r="A3973" i="4"/>
  <c r="A3972" i="4"/>
  <c r="A3971" i="4"/>
  <c r="A3970" i="4"/>
  <c r="A3969" i="4"/>
  <c r="A3968" i="4"/>
  <c r="A3967" i="4"/>
  <c r="A3966" i="4"/>
  <c r="A3965" i="4"/>
  <c r="A3964" i="4"/>
  <c r="A3963" i="4"/>
  <c r="A3962" i="4"/>
  <c r="A3961" i="4"/>
  <c r="A3960" i="4"/>
  <c r="A3959" i="4"/>
  <c r="A3958" i="4"/>
  <c r="A3957" i="4"/>
  <c r="A3956" i="4"/>
  <c r="A3955" i="4"/>
  <c r="A3954" i="4"/>
  <c r="A3953" i="4"/>
  <c r="A3952" i="4"/>
  <c r="A3951" i="4"/>
  <c r="A3950" i="4"/>
  <c r="A3949" i="4"/>
  <c r="A3948" i="4"/>
  <c r="A3947" i="4"/>
  <c r="A3946" i="4"/>
  <c r="A3945" i="4"/>
  <c r="A3944" i="4"/>
  <c r="A3943" i="4"/>
  <c r="A3942" i="4"/>
  <c r="A3941" i="4"/>
  <c r="A3940" i="4"/>
  <c r="A3939" i="4"/>
  <c r="A3938" i="4"/>
  <c r="A3937" i="4"/>
  <c r="A3936" i="4"/>
  <c r="A3935" i="4"/>
  <c r="A3934" i="4"/>
  <c r="A3933" i="4"/>
  <c r="A3932" i="4"/>
  <c r="A3931" i="4"/>
  <c r="A3930" i="4"/>
  <c r="A3929" i="4"/>
  <c r="A3928" i="4"/>
  <c r="A3927" i="4"/>
  <c r="A3926" i="4"/>
  <c r="A3925" i="4"/>
  <c r="A3924" i="4"/>
  <c r="A3923" i="4"/>
  <c r="A3922" i="4"/>
  <c r="A3921" i="4"/>
  <c r="A3920" i="4"/>
  <c r="A3919" i="4"/>
  <c r="A3918" i="4"/>
  <c r="A3917" i="4"/>
  <c r="A3916" i="4"/>
  <c r="A3915" i="4"/>
  <c r="A3914" i="4"/>
  <c r="A3913" i="4"/>
  <c r="A3912" i="4"/>
  <c r="A3911" i="4"/>
  <c r="A3910" i="4"/>
  <c r="A3909" i="4"/>
  <c r="A3908" i="4"/>
  <c r="A3907" i="4"/>
  <c r="A3906" i="4"/>
  <c r="A3905" i="4"/>
  <c r="A3904" i="4"/>
  <c r="A3903" i="4"/>
  <c r="A3902" i="4"/>
  <c r="A3901" i="4"/>
  <c r="A3900" i="4"/>
  <c r="A3899" i="4"/>
  <c r="A3898" i="4"/>
  <c r="A3897" i="4"/>
  <c r="A3896" i="4"/>
  <c r="A3895" i="4"/>
  <c r="A3894" i="4"/>
  <c r="A3893" i="4"/>
  <c r="A3892" i="4"/>
  <c r="A3891" i="4"/>
  <c r="A3890" i="4"/>
  <c r="A3889" i="4"/>
  <c r="A3888" i="4"/>
  <c r="A3887" i="4"/>
  <c r="A3886" i="4"/>
  <c r="A3885" i="4"/>
  <c r="A3884" i="4"/>
  <c r="A3883" i="4"/>
  <c r="A3882" i="4"/>
  <c r="A3881" i="4"/>
  <c r="A3880" i="4"/>
  <c r="A3879" i="4"/>
  <c r="A3878" i="4"/>
  <c r="A3877" i="4"/>
  <c r="A3876" i="4"/>
  <c r="A3875" i="4"/>
  <c r="A3874" i="4"/>
  <c r="A3873" i="4"/>
  <c r="A3872" i="4"/>
  <c r="A3871" i="4"/>
  <c r="A3870" i="4"/>
  <c r="A3869" i="4"/>
  <c r="A3868" i="4"/>
  <c r="A3867" i="4"/>
  <c r="A3866" i="4"/>
  <c r="A3865" i="4"/>
  <c r="A3864" i="4"/>
  <c r="A3863" i="4"/>
  <c r="A3862" i="4"/>
  <c r="A3861" i="4"/>
  <c r="A3860" i="4"/>
  <c r="A3859" i="4"/>
  <c r="A3858" i="4"/>
  <c r="A3857" i="4"/>
  <c r="A3856" i="4"/>
  <c r="A3855" i="4"/>
  <c r="A3854" i="4"/>
  <c r="A3853" i="4"/>
  <c r="A3852" i="4"/>
  <c r="A3851" i="4"/>
  <c r="A3850" i="4"/>
  <c r="A3849" i="4"/>
  <c r="A3848" i="4"/>
  <c r="A3847" i="4"/>
  <c r="A3846" i="4"/>
  <c r="A3845" i="4"/>
  <c r="A3844" i="4"/>
  <c r="A3843" i="4"/>
  <c r="A3842" i="4"/>
  <c r="A3841" i="4"/>
  <c r="A3840" i="4"/>
  <c r="A3839" i="4"/>
  <c r="A3838" i="4"/>
  <c r="A3837" i="4"/>
  <c r="A3836" i="4"/>
  <c r="A3835" i="4"/>
  <c r="A3834" i="4"/>
  <c r="A3833" i="4"/>
  <c r="A3832" i="4"/>
  <c r="A3831" i="4"/>
  <c r="A3830" i="4"/>
  <c r="A3829" i="4"/>
  <c r="A3828" i="4"/>
  <c r="A3827" i="4"/>
  <c r="A3826" i="4"/>
  <c r="A3825" i="4"/>
  <c r="A3824" i="4"/>
  <c r="A3823" i="4"/>
  <c r="A3822" i="4"/>
  <c r="A3821" i="4"/>
  <c r="A3820" i="4"/>
  <c r="A3819" i="4"/>
  <c r="A3818" i="4"/>
  <c r="A3817" i="4"/>
  <c r="A3816" i="4"/>
  <c r="A3815" i="4"/>
  <c r="A3814" i="4"/>
  <c r="A3813" i="4"/>
  <c r="A3812" i="4"/>
  <c r="A3811" i="4"/>
  <c r="A3810" i="4"/>
  <c r="A3809" i="4"/>
  <c r="A3808" i="4"/>
  <c r="A3807" i="4"/>
  <c r="A3806" i="4"/>
  <c r="A3805" i="4"/>
  <c r="A3804" i="4"/>
  <c r="A3803" i="4"/>
  <c r="A3802" i="4"/>
  <c r="A3801" i="4"/>
  <c r="A3800" i="4"/>
  <c r="A3799" i="4"/>
  <c r="A3798" i="4"/>
  <c r="A3797" i="4"/>
  <c r="A3796" i="4"/>
  <c r="A3795" i="4"/>
  <c r="A3794" i="4"/>
  <c r="A3793" i="4"/>
  <c r="A3792" i="4"/>
  <c r="A3791" i="4"/>
  <c r="A3790" i="4"/>
  <c r="A3789" i="4"/>
  <c r="A3788" i="4"/>
  <c r="A3787" i="4"/>
  <c r="A3786" i="4"/>
  <c r="A3785" i="4"/>
  <c r="A3784" i="4"/>
  <c r="A3783" i="4"/>
  <c r="A3782" i="4"/>
  <c r="A3781" i="4"/>
  <c r="A3780" i="4"/>
  <c r="A3779" i="4"/>
  <c r="A3778" i="4"/>
  <c r="A3777" i="4"/>
  <c r="A3776" i="4"/>
  <c r="A3775" i="4"/>
  <c r="A3774" i="4"/>
  <c r="A3773" i="4"/>
  <c r="A3772" i="4"/>
  <c r="A3771" i="4"/>
  <c r="A3770" i="4"/>
  <c r="A3769" i="4"/>
  <c r="A3768" i="4"/>
  <c r="A3767" i="4"/>
  <c r="A3766" i="4"/>
  <c r="A3765" i="4"/>
  <c r="A3764" i="4"/>
  <c r="A3763" i="4"/>
  <c r="A3762" i="4"/>
  <c r="A3761" i="4"/>
  <c r="A3760" i="4"/>
  <c r="A3759" i="4"/>
  <c r="A3758" i="4"/>
  <c r="A3757" i="4"/>
  <c r="A3756" i="4"/>
  <c r="A3755" i="4"/>
  <c r="A3754" i="4"/>
  <c r="A3753" i="4"/>
  <c r="A3752" i="4"/>
  <c r="A3751" i="4"/>
  <c r="A3750" i="4"/>
  <c r="A3749" i="4"/>
  <c r="A3748" i="4"/>
  <c r="A3747" i="4"/>
  <c r="A3746" i="4"/>
  <c r="A3745" i="4"/>
  <c r="A3744" i="4"/>
  <c r="A3743" i="4"/>
  <c r="A3742" i="4"/>
  <c r="A3741" i="4"/>
  <c r="A3740" i="4"/>
  <c r="A3739" i="4"/>
  <c r="A3738" i="4"/>
  <c r="A3737" i="4"/>
  <c r="A3736" i="4"/>
  <c r="A3735" i="4"/>
  <c r="A3734" i="4"/>
  <c r="A3733" i="4"/>
  <c r="A3732" i="4"/>
  <c r="A3731" i="4"/>
  <c r="A3730" i="4"/>
  <c r="A3729" i="4"/>
  <c r="A3728" i="4"/>
  <c r="A3727" i="4"/>
  <c r="A3726" i="4"/>
  <c r="A3725" i="4"/>
  <c r="A3724" i="4"/>
  <c r="A3723" i="4"/>
  <c r="A3722" i="4"/>
  <c r="A3721" i="4"/>
  <c r="A3720" i="4"/>
  <c r="A3719" i="4"/>
  <c r="A3718" i="4"/>
  <c r="A3717" i="4"/>
  <c r="A3716" i="4"/>
  <c r="A3715" i="4"/>
  <c r="A3714" i="4"/>
  <c r="A3713" i="4"/>
  <c r="A3712" i="4"/>
  <c r="A3711" i="4"/>
  <c r="A3710" i="4"/>
  <c r="A3709" i="4"/>
  <c r="A3708" i="4"/>
  <c r="A3707" i="4"/>
  <c r="A3706" i="4"/>
  <c r="A3705" i="4"/>
  <c r="A3704" i="4"/>
  <c r="A3703" i="4"/>
  <c r="A3702" i="4"/>
  <c r="A3701" i="4"/>
  <c r="A3700" i="4"/>
  <c r="A3699" i="4"/>
  <c r="A3698" i="4"/>
  <c r="A3697" i="4"/>
  <c r="A3696" i="4"/>
  <c r="A3695" i="4"/>
  <c r="A3694" i="4"/>
  <c r="A3693" i="4"/>
  <c r="A3692" i="4"/>
  <c r="A3691" i="4"/>
  <c r="A3690" i="4"/>
  <c r="A3689" i="4"/>
  <c r="A3688" i="4"/>
  <c r="A3687" i="4"/>
  <c r="A3686" i="4"/>
  <c r="A3685" i="4"/>
  <c r="A3684" i="4"/>
  <c r="A3683" i="4"/>
  <c r="A3682" i="4"/>
  <c r="A3681" i="4"/>
  <c r="A3680" i="4"/>
  <c r="A3679" i="4"/>
  <c r="A3678" i="4"/>
  <c r="A3677" i="4"/>
  <c r="A3676" i="4"/>
  <c r="A3675" i="4"/>
  <c r="A3674" i="4"/>
  <c r="A3673" i="4"/>
  <c r="A3672" i="4"/>
  <c r="A3671" i="4"/>
  <c r="A3670" i="4"/>
  <c r="A3669" i="4"/>
  <c r="A3668" i="4"/>
  <c r="A3667" i="4"/>
  <c r="A3666" i="4"/>
  <c r="A3665" i="4"/>
  <c r="A3664" i="4"/>
  <c r="A3663" i="4"/>
  <c r="A3662" i="4"/>
  <c r="A3661" i="4"/>
  <c r="A3660" i="4"/>
  <c r="A3659" i="4"/>
  <c r="A3658" i="4"/>
  <c r="A3657" i="4"/>
  <c r="A3656" i="4"/>
  <c r="A3655" i="4"/>
  <c r="A3654" i="4"/>
  <c r="A3653" i="4"/>
  <c r="A3652" i="4"/>
  <c r="A3651" i="4"/>
  <c r="A3650" i="4"/>
  <c r="A3649" i="4"/>
  <c r="A3648" i="4"/>
  <c r="A3647" i="4"/>
  <c r="A3646" i="4"/>
  <c r="A3645" i="4"/>
  <c r="A3644" i="4"/>
  <c r="A3643" i="4"/>
  <c r="A3642" i="4"/>
  <c r="A3641" i="4"/>
  <c r="A3640" i="4"/>
  <c r="A3639" i="4"/>
  <c r="A3638" i="4"/>
  <c r="A3637" i="4"/>
  <c r="A3636" i="4"/>
  <c r="A3635" i="4"/>
  <c r="A3634" i="4"/>
  <c r="A3633" i="4"/>
  <c r="A3632" i="4"/>
  <c r="A3631" i="4"/>
  <c r="A3630" i="4"/>
  <c r="A3629" i="4"/>
  <c r="A3628" i="4"/>
  <c r="A3627" i="4"/>
  <c r="A3626" i="4"/>
  <c r="A3625" i="4"/>
  <c r="A3624" i="4"/>
  <c r="A3623" i="4"/>
  <c r="A3622" i="4"/>
  <c r="A3621" i="4"/>
  <c r="A3620" i="4"/>
  <c r="A3619" i="4"/>
  <c r="A3618" i="4"/>
  <c r="A3617" i="4"/>
  <c r="A3616" i="4"/>
  <c r="A3615" i="4"/>
  <c r="A3614" i="4"/>
  <c r="A3613" i="4"/>
  <c r="A3612" i="4"/>
  <c r="A3611" i="4"/>
  <c r="A3610" i="4"/>
  <c r="A3609" i="4"/>
  <c r="A3608" i="4"/>
  <c r="A3607" i="4"/>
  <c r="A3606" i="4"/>
  <c r="A3605" i="4"/>
  <c r="A3604" i="4"/>
  <c r="A3603" i="4"/>
  <c r="A3602" i="4"/>
  <c r="A3601" i="4"/>
  <c r="A3600" i="4"/>
  <c r="A3599" i="4"/>
  <c r="A3598" i="4"/>
  <c r="A3597" i="4"/>
  <c r="A3596" i="4"/>
  <c r="A3595" i="4"/>
  <c r="A3594" i="4"/>
  <c r="A3593" i="4"/>
  <c r="A3592" i="4"/>
  <c r="A3591" i="4"/>
  <c r="A3590" i="4"/>
  <c r="A3589" i="4"/>
  <c r="A3588" i="4"/>
  <c r="A3587" i="4"/>
  <c r="A3586" i="4"/>
  <c r="A3585" i="4"/>
  <c r="A3584" i="4"/>
  <c r="A3583" i="4"/>
  <c r="A3582" i="4"/>
  <c r="A3581" i="4"/>
  <c r="A3580" i="4"/>
  <c r="A3579" i="4"/>
  <c r="A3578" i="4"/>
  <c r="A3577" i="4"/>
  <c r="A3576" i="4"/>
  <c r="A3575" i="4"/>
  <c r="A3574" i="4"/>
  <c r="A3573" i="4"/>
  <c r="A3572" i="4"/>
  <c r="A3571" i="4"/>
  <c r="A3570" i="4"/>
  <c r="A3569" i="4"/>
  <c r="A3568" i="4"/>
  <c r="A3567" i="4"/>
  <c r="A3566" i="4"/>
  <c r="A3565" i="4"/>
  <c r="A3564" i="4"/>
  <c r="A3563" i="4"/>
  <c r="A3562" i="4"/>
  <c r="A3561" i="4"/>
  <c r="A3560" i="4"/>
  <c r="A3559" i="4"/>
  <c r="A3558" i="4"/>
  <c r="A3557" i="4"/>
  <c r="A3556" i="4"/>
  <c r="A3555" i="4"/>
  <c r="A3554" i="4"/>
  <c r="A3553" i="4"/>
  <c r="A3552" i="4"/>
  <c r="A3551" i="4"/>
  <c r="A3550" i="4"/>
  <c r="A3549" i="4"/>
  <c r="A3548" i="4"/>
  <c r="A3547" i="4"/>
  <c r="A3546" i="4"/>
  <c r="A3545" i="4"/>
  <c r="A3544" i="4"/>
  <c r="A3543" i="4"/>
  <c r="A3542" i="4"/>
  <c r="A3541" i="4"/>
  <c r="A3540" i="4"/>
  <c r="A3539" i="4"/>
  <c r="A3538" i="4"/>
  <c r="A3537" i="4"/>
  <c r="A3536" i="4"/>
  <c r="A3535" i="4"/>
  <c r="A3534" i="4"/>
  <c r="A3533" i="4"/>
  <c r="A3532" i="4"/>
  <c r="A3531" i="4"/>
  <c r="A3530" i="4"/>
  <c r="A3529" i="4"/>
  <c r="A3528" i="4"/>
  <c r="A3527" i="4"/>
  <c r="A3526" i="4"/>
  <c r="A3525" i="4"/>
  <c r="A3524" i="4"/>
  <c r="A3523" i="4"/>
  <c r="A3522" i="4"/>
  <c r="A3521" i="4"/>
  <c r="A3520" i="4"/>
  <c r="A3519" i="4"/>
  <c r="A3518" i="4"/>
  <c r="A3517" i="4"/>
  <c r="A3516" i="4"/>
  <c r="A3515" i="4"/>
  <c r="A3514" i="4"/>
  <c r="A3513" i="4"/>
  <c r="A3512" i="4"/>
  <c r="A3511" i="4"/>
  <c r="A3510" i="4"/>
  <c r="A3509" i="4"/>
  <c r="A3508" i="4"/>
  <c r="A3507" i="4"/>
  <c r="A3506" i="4"/>
  <c r="A3505" i="4"/>
  <c r="A3504" i="4"/>
  <c r="A3503" i="4"/>
  <c r="A3502" i="4"/>
  <c r="A3501" i="4"/>
  <c r="A3500" i="4"/>
  <c r="A3499" i="4"/>
  <c r="A3498" i="4"/>
  <c r="A3497" i="4"/>
  <c r="A3496" i="4"/>
  <c r="A3495" i="4"/>
  <c r="A3494" i="4"/>
  <c r="A3493" i="4"/>
  <c r="A3492" i="4"/>
  <c r="A3491" i="4"/>
  <c r="A3490" i="4"/>
  <c r="A3489" i="4"/>
  <c r="A3488" i="4"/>
  <c r="A3487" i="4"/>
  <c r="A3486" i="4"/>
  <c r="A3485" i="4"/>
  <c r="A3484" i="4"/>
  <c r="A3483" i="4"/>
  <c r="A3482" i="4"/>
  <c r="A3481" i="4"/>
  <c r="A3480" i="4"/>
  <c r="A3479" i="4"/>
  <c r="A3478" i="4"/>
  <c r="A3477" i="4"/>
  <c r="A3476" i="4"/>
  <c r="A3475" i="4"/>
  <c r="A3474" i="4"/>
  <c r="A3473" i="4"/>
  <c r="A3472" i="4"/>
  <c r="A3471" i="4"/>
  <c r="A3470" i="4"/>
  <c r="A3469" i="4"/>
  <c r="A3468" i="4"/>
  <c r="A3467" i="4"/>
  <c r="A3466" i="4"/>
  <c r="A3465" i="4"/>
  <c r="A3464" i="4"/>
  <c r="A3463" i="4"/>
  <c r="A3462" i="4"/>
  <c r="A3461" i="4"/>
  <c r="A3460" i="4"/>
  <c r="A3459" i="4"/>
  <c r="A3458" i="4"/>
  <c r="A3457" i="4"/>
  <c r="A3456" i="4"/>
  <c r="A3455" i="4"/>
  <c r="A3454" i="4"/>
  <c r="A3453" i="4"/>
  <c r="A3452" i="4"/>
  <c r="A3451" i="4"/>
  <c r="A3450" i="4"/>
  <c r="A3449" i="4"/>
  <c r="A3448" i="4"/>
  <c r="A3447" i="4"/>
  <c r="A3446" i="4"/>
  <c r="A3445" i="4"/>
  <c r="A3444" i="4"/>
  <c r="A3443" i="4"/>
  <c r="A3442" i="4"/>
  <c r="A3441" i="4"/>
  <c r="A3440" i="4"/>
  <c r="A3439" i="4"/>
  <c r="A3438" i="4"/>
  <c r="A3437" i="4"/>
  <c r="A3436" i="4"/>
  <c r="A3435" i="4"/>
  <c r="A3434" i="4"/>
  <c r="A3433" i="4"/>
  <c r="A3432" i="4"/>
  <c r="A3431" i="4"/>
  <c r="A3430" i="4"/>
  <c r="A3429" i="4"/>
  <c r="A3428" i="4"/>
  <c r="A3427" i="4"/>
  <c r="A3426" i="4"/>
  <c r="A3425" i="4"/>
  <c r="A3424" i="4"/>
  <c r="A3423" i="4"/>
  <c r="A3422" i="4"/>
  <c r="A3421" i="4"/>
  <c r="A3420" i="4"/>
  <c r="A3419" i="4"/>
  <c r="A3418" i="4"/>
  <c r="A3417" i="4"/>
  <c r="A3416" i="4"/>
  <c r="A3415" i="4"/>
  <c r="A3414" i="4"/>
  <c r="A3413" i="4"/>
  <c r="A3412" i="4"/>
  <c r="A3411" i="4"/>
  <c r="A3410" i="4"/>
  <c r="A3409" i="4"/>
  <c r="A3408" i="4"/>
  <c r="A3407" i="4"/>
  <c r="A3406" i="4"/>
  <c r="A3405" i="4"/>
  <c r="A3404" i="4"/>
  <c r="A3403" i="4"/>
  <c r="A3402" i="4"/>
  <c r="A3401" i="4"/>
  <c r="A3400" i="4"/>
  <c r="A3399" i="4"/>
  <c r="A3398" i="4"/>
  <c r="A3397" i="4"/>
  <c r="A3396" i="4"/>
  <c r="A3395" i="4"/>
  <c r="A3394" i="4"/>
  <c r="A3393" i="4"/>
  <c r="A3392" i="4"/>
  <c r="A3391" i="4"/>
  <c r="A3390" i="4"/>
  <c r="A3389" i="4"/>
  <c r="A3388" i="4"/>
  <c r="A3387" i="4"/>
  <c r="A3386" i="4"/>
  <c r="A3385" i="4"/>
  <c r="A3384" i="4"/>
  <c r="A3383" i="4"/>
  <c r="A3382" i="4"/>
  <c r="A3381" i="4"/>
  <c r="A3380" i="4"/>
  <c r="A3379" i="4"/>
  <c r="A3378" i="4"/>
  <c r="A3377" i="4"/>
  <c r="A3376" i="4"/>
  <c r="A3375" i="4"/>
  <c r="A3374" i="4"/>
  <c r="A3373" i="4"/>
  <c r="A3372" i="4"/>
  <c r="A3371" i="4"/>
  <c r="A3370" i="4"/>
  <c r="A3369" i="4"/>
  <c r="A3368" i="4"/>
  <c r="A3367" i="4"/>
  <c r="A3366" i="4"/>
  <c r="A3365" i="4"/>
  <c r="A3364" i="4"/>
  <c r="A3363" i="4"/>
  <c r="A3362" i="4"/>
  <c r="A3361" i="4"/>
  <c r="A3360" i="4"/>
  <c r="A3359" i="4"/>
  <c r="A3358" i="4"/>
  <c r="A3357" i="4"/>
  <c r="A3356" i="4"/>
  <c r="A3355" i="4"/>
  <c r="A3354" i="4"/>
  <c r="A3353" i="4"/>
  <c r="A3352" i="4"/>
  <c r="A3351" i="4"/>
  <c r="A3350" i="4"/>
  <c r="A3349" i="4"/>
  <c r="A3348" i="4"/>
  <c r="A3347" i="4"/>
  <c r="A3346" i="4"/>
  <c r="A3345" i="4"/>
  <c r="A3344" i="4"/>
  <c r="A3343" i="4"/>
  <c r="A3342" i="4"/>
  <c r="A3341" i="4"/>
  <c r="A3340" i="4"/>
  <c r="A3339" i="4"/>
  <c r="A3338" i="4"/>
  <c r="A3337" i="4"/>
  <c r="A3336" i="4"/>
  <c r="A3335" i="4"/>
  <c r="A3334" i="4"/>
  <c r="A3333" i="4"/>
  <c r="A3332" i="4"/>
  <c r="A3331" i="4"/>
  <c r="A3330" i="4"/>
  <c r="A3329" i="4"/>
  <c r="A3328" i="4"/>
  <c r="A3327" i="4"/>
  <c r="A3326" i="4"/>
  <c r="A3325" i="4"/>
  <c r="A3324" i="4"/>
  <c r="A3323" i="4"/>
  <c r="A3322" i="4"/>
  <c r="A3321" i="4"/>
  <c r="A3320" i="4"/>
  <c r="A3319" i="4"/>
  <c r="A3318" i="4"/>
  <c r="A3317" i="4"/>
  <c r="A3316" i="4"/>
  <c r="A3315" i="4"/>
  <c r="A3314" i="4"/>
  <c r="A3313" i="4"/>
  <c r="A3312" i="4"/>
  <c r="A3311" i="4"/>
  <c r="A3310" i="4"/>
  <c r="A3309" i="4"/>
  <c r="A3308" i="4"/>
  <c r="A3307" i="4"/>
  <c r="A3306" i="4"/>
  <c r="A3305" i="4"/>
  <c r="A3304" i="4"/>
  <c r="A3303" i="4"/>
  <c r="A3302" i="4"/>
  <c r="A3301" i="4"/>
  <c r="A3300" i="4"/>
  <c r="A3299" i="4"/>
  <c r="A3298" i="4"/>
  <c r="A3297" i="4"/>
  <c r="A3296" i="4"/>
  <c r="A3295" i="4"/>
  <c r="A3294" i="4"/>
  <c r="A3293" i="4"/>
  <c r="A3292" i="4"/>
  <c r="A3291" i="4"/>
  <c r="A3290" i="4"/>
  <c r="A3289" i="4"/>
  <c r="A3288" i="4"/>
  <c r="A3287" i="4"/>
  <c r="A3286" i="4"/>
  <c r="A3285" i="4"/>
  <c r="A3284" i="4"/>
  <c r="A3283" i="4"/>
  <c r="A3282" i="4"/>
  <c r="A3281" i="4"/>
  <c r="A3280" i="4"/>
  <c r="A3279" i="4"/>
  <c r="A3278" i="4"/>
  <c r="A3277" i="4"/>
  <c r="A3276" i="4"/>
  <c r="A3275" i="4"/>
  <c r="A3274" i="4"/>
  <c r="A3273" i="4"/>
  <c r="A3272" i="4"/>
  <c r="A3271" i="4"/>
  <c r="A3270" i="4"/>
  <c r="A3269" i="4"/>
  <c r="A3268" i="4"/>
  <c r="A3267" i="4"/>
  <c r="A3266" i="4"/>
  <c r="A3265" i="4"/>
  <c r="A3264" i="4"/>
  <c r="A3263" i="4"/>
  <c r="A3262" i="4"/>
  <c r="A3261" i="4"/>
  <c r="A3260" i="4"/>
  <c r="A3259" i="4"/>
  <c r="A3258" i="4"/>
  <c r="A3257" i="4"/>
  <c r="A3256" i="4"/>
  <c r="A3255" i="4"/>
  <c r="A3254" i="4"/>
  <c r="A3253" i="4"/>
  <c r="A3252" i="4"/>
  <c r="A3251" i="4"/>
  <c r="A3250" i="4"/>
  <c r="A3249" i="4"/>
  <c r="A3248" i="4"/>
  <c r="A3247" i="4"/>
  <c r="A3246" i="4"/>
  <c r="A3245" i="4"/>
  <c r="A3244" i="4"/>
  <c r="A3243" i="4"/>
  <c r="A3242" i="4"/>
  <c r="A3241" i="4"/>
  <c r="A3240" i="4"/>
  <c r="A3239" i="4"/>
  <c r="A3238" i="4"/>
  <c r="A3237" i="4"/>
  <c r="A3236" i="4"/>
  <c r="A3235" i="4"/>
  <c r="A3234" i="4"/>
  <c r="A3233" i="4"/>
  <c r="A3232" i="4"/>
  <c r="A3231" i="4"/>
  <c r="A3230" i="4"/>
  <c r="A3229" i="4"/>
  <c r="A3228" i="4"/>
  <c r="A3227" i="4"/>
  <c r="A3226" i="4"/>
  <c r="A3225" i="4"/>
  <c r="A3224" i="4"/>
  <c r="A3223" i="4"/>
  <c r="A3222" i="4"/>
  <c r="A3221" i="4"/>
  <c r="A3220" i="4"/>
  <c r="A3219" i="4"/>
  <c r="A3218" i="4"/>
  <c r="A3217" i="4"/>
  <c r="A3216" i="4"/>
  <c r="A3215" i="4"/>
  <c r="A3214" i="4"/>
  <c r="A3213" i="4"/>
  <c r="A3212" i="4"/>
  <c r="A3211" i="4"/>
  <c r="A3210" i="4"/>
  <c r="A3209" i="4"/>
  <c r="A3208" i="4"/>
  <c r="A3207" i="4"/>
  <c r="A3206" i="4"/>
  <c r="A3205" i="4"/>
  <c r="A3204" i="4"/>
  <c r="A3203" i="4"/>
  <c r="A3202" i="4"/>
  <c r="A3201" i="4"/>
  <c r="A3200" i="4"/>
  <c r="A3199" i="4"/>
  <c r="A3198" i="4"/>
  <c r="A3197" i="4"/>
  <c r="A3196" i="4"/>
  <c r="A3195" i="4"/>
  <c r="A3194" i="4"/>
  <c r="A3193" i="4"/>
  <c r="A3192" i="4"/>
  <c r="A3191" i="4"/>
  <c r="A3190" i="4"/>
  <c r="A3189" i="4"/>
  <c r="A3188" i="4"/>
  <c r="A3187" i="4"/>
  <c r="A3186" i="4"/>
  <c r="A3185" i="4"/>
  <c r="A3184" i="4"/>
  <c r="A3183" i="4"/>
  <c r="A3182" i="4"/>
  <c r="A3181" i="4"/>
  <c r="A3180" i="4"/>
  <c r="A3179" i="4"/>
  <c r="A3178" i="4"/>
  <c r="A3177" i="4"/>
  <c r="A3176" i="4"/>
  <c r="A3175" i="4"/>
  <c r="A3174" i="4"/>
  <c r="A3173" i="4"/>
  <c r="A3172" i="4"/>
  <c r="A3171" i="4"/>
  <c r="A3170" i="4"/>
  <c r="A3169" i="4"/>
  <c r="A3168" i="4"/>
  <c r="A3167" i="4"/>
  <c r="A3166" i="4"/>
  <c r="A3165" i="4"/>
  <c r="A3164" i="4"/>
  <c r="A3163" i="4"/>
  <c r="A3162" i="4"/>
  <c r="A3161" i="4"/>
  <c r="A3160" i="4"/>
  <c r="A3159" i="4"/>
  <c r="A3158" i="4"/>
  <c r="A3157" i="4"/>
  <c r="A3156" i="4"/>
  <c r="A3155" i="4"/>
  <c r="A3154" i="4"/>
  <c r="A3153" i="4"/>
  <c r="A3152" i="4"/>
  <c r="A3151" i="4"/>
  <c r="A3150" i="4"/>
  <c r="A3149" i="4"/>
  <c r="A3148" i="4"/>
  <c r="A3147" i="4"/>
  <c r="A3146" i="4"/>
  <c r="A3145" i="4"/>
  <c r="A3144" i="4"/>
  <c r="A3143" i="4"/>
  <c r="A3142" i="4"/>
  <c r="A3141" i="4"/>
  <c r="A3140" i="4"/>
  <c r="A3139" i="4"/>
  <c r="A3138" i="4"/>
  <c r="A3137" i="4"/>
  <c r="A3136" i="4"/>
  <c r="A3135" i="4"/>
  <c r="A3134" i="4"/>
  <c r="A3133" i="4"/>
  <c r="A3132" i="4"/>
  <c r="A3131" i="4"/>
  <c r="A3130" i="4"/>
  <c r="A3129" i="4"/>
  <c r="A3128" i="4"/>
  <c r="A3127" i="4"/>
  <c r="A3126" i="4"/>
  <c r="A3125" i="4"/>
  <c r="A3124" i="4"/>
  <c r="A3123" i="4"/>
  <c r="A3122" i="4"/>
  <c r="A3121" i="4"/>
  <c r="A3120" i="4"/>
  <c r="A3119" i="4"/>
  <c r="A3118" i="4"/>
  <c r="A3117" i="4"/>
  <c r="A3116" i="4"/>
  <c r="A3115" i="4"/>
  <c r="A3114" i="4"/>
  <c r="A3113" i="4"/>
  <c r="A3112" i="4"/>
  <c r="A3111" i="4"/>
  <c r="A3110" i="4"/>
  <c r="A3109" i="4"/>
  <c r="A3108" i="4"/>
  <c r="A3107" i="4"/>
  <c r="A3106" i="4"/>
  <c r="A3105" i="4"/>
  <c r="A3104" i="4"/>
  <c r="A3103" i="4"/>
  <c r="A3102" i="4"/>
  <c r="A3101" i="4"/>
  <c r="A3100" i="4"/>
  <c r="A3099" i="4"/>
  <c r="A3098" i="4"/>
  <c r="A3097" i="4"/>
  <c r="A3096" i="4"/>
  <c r="A3095" i="4"/>
  <c r="A3094" i="4"/>
  <c r="A3093" i="4"/>
  <c r="A3092" i="4"/>
  <c r="A3091" i="4"/>
  <c r="A3090" i="4"/>
  <c r="A3089" i="4"/>
  <c r="A3088" i="4"/>
  <c r="A3087" i="4"/>
  <c r="A3086" i="4"/>
  <c r="A3085" i="4"/>
  <c r="A3084" i="4"/>
  <c r="A3083" i="4"/>
  <c r="A3082" i="4"/>
  <c r="A3081" i="4"/>
  <c r="A3080" i="4"/>
  <c r="A3079" i="4"/>
  <c r="A3078" i="4"/>
  <c r="A3077" i="4"/>
  <c r="A3076" i="4"/>
  <c r="A3075" i="4"/>
  <c r="A3074" i="4"/>
  <c r="A3073" i="4"/>
  <c r="A3072" i="4"/>
  <c r="A3071" i="4"/>
  <c r="A3070" i="4"/>
  <c r="A3069" i="4"/>
  <c r="A3068" i="4"/>
  <c r="A3067" i="4"/>
  <c r="A3066" i="4"/>
  <c r="A3065" i="4"/>
  <c r="A3064" i="4"/>
  <c r="A3063" i="4"/>
  <c r="A3062" i="4"/>
  <c r="A3061" i="4"/>
  <c r="A3060" i="4"/>
  <c r="A3059" i="4"/>
  <c r="A3058" i="4"/>
  <c r="A3057" i="4"/>
  <c r="A3056" i="4"/>
  <c r="A3055" i="4"/>
  <c r="A3054" i="4"/>
  <c r="A3053" i="4"/>
  <c r="A3052" i="4"/>
  <c r="A3051" i="4"/>
  <c r="A3050" i="4"/>
  <c r="A3049" i="4"/>
  <c r="A3048" i="4"/>
  <c r="A3047" i="4"/>
  <c r="A3046" i="4"/>
  <c r="A3045" i="4"/>
  <c r="A3044" i="4"/>
  <c r="A3043" i="4"/>
  <c r="A3042" i="4"/>
  <c r="A3041" i="4"/>
  <c r="A3040" i="4"/>
  <c r="A3039" i="4"/>
  <c r="A3038" i="4"/>
  <c r="A3037" i="4"/>
  <c r="A3036" i="4"/>
  <c r="A3035" i="4"/>
  <c r="A3034" i="4"/>
  <c r="A3033" i="4"/>
  <c r="A3032" i="4"/>
  <c r="A3031" i="4"/>
  <c r="A3030" i="4"/>
  <c r="A3029" i="4"/>
  <c r="A3028" i="4"/>
  <c r="A3027" i="4"/>
  <c r="A3026" i="4"/>
  <c r="A3025" i="4"/>
  <c r="A3024" i="4"/>
  <c r="A3023" i="4"/>
  <c r="A3022" i="4"/>
  <c r="A3021" i="4"/>
  <c r="A3020" i="4"/>
  <c r="A3019" i="4"/>
  <c r="A3018" i="4"/>
  <c r="A3017" i="4"/>
  <c r="A3016" i="4"/>
  <c r="A3015" i="4"/>
  <c r="A3014" i="4"/>
  <c r="A3013" i="4"/>
  <c r="A3012" i="4"/>
  <c r="A3011" i="4"/>
  <c r="A3010" i="4"/>
  <c r="A3009" i="4"/>
  <c r="A3008" i="4"/>
  <c r="A3007" i="4"/>
  <c r="A3006" i="4"/>
  <c r="A3005" i="4"/>
  <c r="A3004" i="4"/>
  <c r="A3003" i="4"/>
  <c r="A3002" i="4"/>
  <c r="A3001" i="4"/>
  <c r="A3000" i="4"/>
  <c r="A2999" i="4"/>
  <c r="A2998" i="4"/>
  <c r="A2997" i="4"/>
  <c r="A2996" i="4"/>
  <c r="A2995" i="4"/>
  <c r="A2994" i="4"/>
  <c r="A2993" i="4"/>
  <c r="A2992" i="4"/>
  <c r="A2991" i="4"/>
  <c r="A2990" i="4"/>
  <c r="A2989" i="4"/>
  <c r="A2988" i="4"/>
  <c r="A2987" i="4"/>
  <c r="A2986" i="4"/>
  <c r="A2985" i="4"/>
  <c r="A2984" i="4"/>
  <c r="A2983" i="4"/>
  <c r="A2982" i="4"/>
  <c r="A2981" i="4"/>
  <c r="A2980" i="4"/>
  <c r="A2979" i="4"/>
  <c r="A2978" i="4"/>
  <c r="A2977" i="4"/>
  <c r="A2976" i="4"/>
  <c r="A2975" i="4"/>
  <c r="A2974" i="4"/>
  <c r="A2973" i="4"/>
  <c r="A2972" i="4"/>
  <c r="A2971" i="4"/>
  <c r="A2970" i="4"/>
  <c r="A2969" i="4"/>
  <c r="A2968" i="4"/>
  <c r="A2967" i="4"/>
  <c r="A2966" i="4"/>
  <c r="A2965" i="4"/>
  <c r="A2964" i="4"/>
  <c r="A2963" i="4"/>
  <c r="A2962" i="4"/>
  <c r="A2961" i="4"/>
  <c r="A2960" i="4"/>
  <c r="A2959" i="4"/>
  <c r="A2958" i="4"/>
  <c r="A2957" i="4"/>
  <c r="A2956" i="4"/>
  <c r="A2955" i="4"/>
  <c r="A2954" i="4"/>
  <c r="A2953" i="4"/>
  <c r="A2952" i="4"/>
  <c r="A2951" i="4"/>
  <c r="A2950" i="4"/>
  <c r="A2949" i="4"/>
  <c r="A2948" i="4"/>
  <c r="A2947" i="4"/>
  <c r="A2946" i="4"/>
  <c r="A2945" i="4"/>
  <c r="A2944" i="4"/>
  <c r="A2943" i="4"/>
  <c r="A2942" i="4"/>
  <c r="A2941" i="4"/>
  <c r="A2940" i="4"/>
  <c r="A2939" i="4"/>
  <c r="A2938" i="4"/>
  <c r="A2937" i="4"/>
  <c r="A2936" i="4"/>
  <c r="A2935" i="4"/>
  <c r="A2934" i="4"/>
  <c r="A2933" i="4"/>
  <c r="A2932" i="4"/>
  <c r="A2931" i="4"/>
  <c r="A2930" i="4"/>
  <c r="A2929" i="4"/>
  <c r="A2928" i="4"/>
  <c r="A2927" i="4"/>
  <c r="A2926" i="4"/>
  <c r="A2925" i="4"/>
  <c r="A2924" i="4"/>
  <c r="A2923" i="4"/>
  <c r="A2922" i="4"/>
  <c r="A2921" i="4"/>
  <c r="A2920" i="4"/>
  <c r="A2919" i="4"/>
  <c r="A2918" i="4"/>
  <c r="A2917" i="4"/>
  <c r="A2916" i="4"/>
  <c r="A2915" i="4"/>
  <c r="A2914" i="4"/>
  <c r="A2913" i="4"/>
  <c r="A2912" i="4"/>
  <c r="A2911" i="4"/>
  <c r="A2910" i="4"/>
  <c r="A2909" i="4"/>
  <c r="A2908" i="4"/>
  <c r="A2907" i="4"/>
  <c r="A2906" i="4"/>
  <c r="A2905" i="4"/>
  <c r="A2904" i="4"/>
  <c r="A2903" i="4"/>
  <c r="A2902" i="4"/>
  <c r="A2901" i="4"/>
  <c r="A2900" i="4"/>
  <c r="A2899" i="4"/>
  <c r="A2898" i="4"/>
  <c r="A2897" i="4"/>
  <c r="A2896" i="4"/>
  <c r="A2895" i="4"/>
  <c r="A2894" i="4"/>
  <c r="A2893" i="4"/>
  <c r="A2892" i="4"/>
  <c r="A2891" i="4"/>
  <c r="A2890" i="4"/>
  <c r="A2889" i="4"/>
  <c r="A2888" i="4"/>
  <c r="A2887" i="4"/>
  <c r="A2886" i="4"/>
  <c r="A2885" i="4"/>
  <c r="A2884" i="4"/>
  <c r="A2883" i="4"/>
  <c r="A2882" i="4"/>
  <c r="A2881" i="4"/>
  <c r="A2880" i="4"/>
  <c r="A2879" i="4"/>
  <c r="A2878" i="4"/>
  <c r="A2877" i="4"/>
  <c r="A2876" i="4"/>
  <c r="A2875" i="4"/>
  <c r="A2874" i="4"/>
  <c r="A2873" i="4"/>
  <c r="A2872" i="4"/>
  <c r="A2871" i="4"/>
  <c r="A2870" i="4"/>
  <c r="A2869" i="4"/>
  <c r="A2868" i="4"/>
  <c r="A2867" i="4"/>
  <c r="A2866" i="4"/>
  <c r="A2865" i="4"/>
  <c r="A2864" i="4"/>
  <c r="A2863" i="4"/>
  <c r="A2862" i="4"/>
  <c r="A2861" i="4"/>
  <c r="A2860" i="4"/>
  <c r="A2859" i="4"/>
  <c r="A2858" i="4"/>
  <c r="A2857" i="4"/>
  <c r="A2856" i="4"/>
  <c r="A2855" i="4"/>
  <c r="A2854" i="4"/>
  <c r="A2853" i="4"/>
  <c r="A2852" i="4"/>
  <c r="A2851" i="4"/>
  <c r="A2850" i="4"/>
  <c r="A2849" i="4"/>
  <c r="A2848" i="4"/>
  <c r="A2847" i="4"/>
  <c r="A2846" i="4"/>
  <c r="A2845" i="4"/>
  <c r="A2844" i="4"/>
  <c r="A2843" i="4"/>
  <c r="A2842" i="4"/>
  <c r="A2841" i="4"/>
  <c r="A2840" i="4"/>
  <c r="A2839" i="4"/>
  <c r="A2838" i="4"/>
  <c r="A2837" i="4"/>
  <c r="A2836" i="4"/>
  <c r="A2835" i="4"/>
  <c r="A2834" i="4"/>
  <c r="A2833" i="4"/>
  <c r="A2832" i="4"/>
  <c r="A2831" i="4"/>
  <c r="A2830" i="4"/>
  <c r="A2829" i="4"/>
  <c r="A2828" i="4"/>
  <c r="A2827" i="4"/>
  <c r="A2826" i="4"/>
  <c r="A2825" i="4"/>
  <c r="A2824" i="4"/>
  <c r="A2823" i="4"/>
  <c r="A2822" i="4"/>
  <c r="A2821" i="4"/>
  <c r="A2820" i="4"/>
  <c r="A2819" i="4"/>
  <c r="A2818" i="4"/>
  <c r="A2817" i="4"/>
  <c r="A2816" i="4"/>
  <c r="A2815" i="4"/>
  <c r="A2814" i="4"/>
  <c r="A2813" i="4"/>
  <c r="A2812" i="4"/>
  <c r="A2811" i="4"/>
  <c r="A2810" i="4"/>
  <c r="A2809" i="4"/>
  <c r="A2808" i="4"/>
  <c r="A2807" i="4"/>
  <c r="A2806" i="4"/>
  <c r="A2805" i="4"/>
  <c r="A2804" i="4"/>
  <c r="A2803" i="4"/>
  <c r="A2802" i="4"/>
  <c r="A2801" i="4"/>
  <c r="A2800" i="4"/>
  <c r="A2799" i="4"/>
  <c r="A2798" i="4"/>
  <c r="A2797" i="4"/>
  <c r="A2796" i="4"/>
  <c r="A2795" i="4"/>
  <c r="A2794" i="4"/>
  <c r="A2793" i="4"/>
  <c r="A2792" i="4"/>
  <c r="A2791" i="4"/>
  <c r="A2790" i="4"/>
  <c r="A2789" i="4"/>
  <c r="A2788" i="4"/>
  <c r="A2787" i="4"/>
  <c r="A2786" i="4"/>
  <c r="A2785" i="4"/>
  <c r="A2784" i="4"/>
  <c r="A2783" i="4"/>
  <c r="A2782" i="4"/>
  <c r="A2781" i="4"/>
  <c r="A2780" i="4"/>
  <c r="A2779" i="4"/>
  <c r="A2778" i="4"/>
  <c r="A2777" i="4"/>
  <c r="A2776" i="4"/>
  <c r="A2775" i="4"/>
  <c r="A2774" i="4"/>
  <c r="A2773" i="4"/>
  <c r="A2772" i="4"/>
  <c r="A2771" i="4"/>
  <c r="A2770" i="4"/>
  <c r="A2769" i="4"/>
  <c r="A2768" i="4"/>
  <c r="A2767" i="4"/>
  <c r="A2766" i="4"/>
  <c r="A2765" i="4"/>
  <c r="A2764" i="4"/>
  <c r="A2763" i="4"/>
  <c r="A2762" i="4"/>
  <c r="A2761" i="4"/>
  <c r="A2760" i="4"/>
  <c r="A2759" i="4"/>
  <c r="A2758" i="4"/>
  <c r="A2757" i="4"/>
  <c r="A2756" i="4"/>
  <c r="A2755" i="4"/>
  <c r="A2754" i="4"/>
  <c r="A2753" i="4"/>
  <c r="A2752" i="4"/>
  <c r="A2751" i="4"/>
  <c r="A2750" i="4"/>
  <c r="A2749" i="4"/>
  <c r="A2748" i="4"/>
  <c r="A2747" i="4"/>
  <c r="A2746" i="4"/>
  <c r="A2745" i="4"/>
  <c r="A2744" i="4"/>
  <c r="A2743" i="4"/>
  <c r="A2742" i="4"/>
  <c r="A2741" i="4"/>
  <c r="A2740" i="4"/>
  <c r="A2739" i="4"/>
  <c r="A2738" i="4"/>
  <c r="A2737" i="4"/>
  <c r="A2736" i="4"/>
  <c r="A2735" i="4"/>
  <c r="A2734" i="4"/>
  <c r="A2733" i="4"/>
  <c r="A2732" i="4"/>
  <c r="A2731" i="4"/>
  <c r="A2730" i="4"/>
  <c r="A2729" i="4"/>
  <c r="A2728" i="4"/>
  <c r="A2727" i="4"/>
  <c r="A2726" i="4"/>
  <c r="A2725" i="4"/>
  <c r="A2724" i="4"/>
  <c r="A2723" i="4"/>
  <c r="A2722" i="4"/>
  <c r="A2721" i="4"/>
  <c r="A2720" i="4"/>
  <c r="A2719" i="4"/>
  <c r="A2718" i="4"/>
  <c r="A2717" i="4"/>
  <c r="A2716" i="4"/>
  <c r="A2715" i="4"/>
  <c r="A2714" i="4"/>
  <c r="A2713" i="4"/>
  <c r="A2712" i="4"/>
  <c r="A2711" i="4"/>
  <c r="A2710" i="4"/>
  <c r="A2709" i="4"/>
  <c r="A2708" i="4"/>
  <c r="A2707" i="4"/>
  <c r="A2706" i="4"/>
  <c r="A2705" i="4"/>
  <c r="A2704" i="4"/>
  <c r="A2703" i="4"/>
  <c r="A2702" i="4"/>
  <c r="A2701" i="4"/>
  <c r="A2700" i="4"/>
  <c r="A2699" i="4"/>
  <c r="A2698" i="4"/>
  <c r="A2697" i="4"/>
  <c r="A2696" i="4"/>
  <c r="A2695" i="4"/>
  <c r="A2694" i="4"/>
  <c r="A2693" i="4"/>
  <c r="A2692" i="4"/>
  <c r="A2691" i="4"/>
  <c r="A2690" i="4"/>
  <c r="A2689" i="4"/>
  <c r="A2688" i="4"/>
  <c r="A2687" i="4"/>
  <c r="A2686" i="4"/>
  <c r="A2685" i="4"/>
  <c r="A2684" i="4"/>
  <c r="A2683" i="4"/>
  <c r="A2682" i="4"/>
  <c r="A2681" i="4"/>
  <c r="A2680" i="4"/>
  <c r="A2679" i="4"/>
  <c r="A2678" i="4"/>
  <c r="A2677" i="4"/>
  <c r="A2676" i="4"/>
  <c r="A2675" i="4"/>
  <c r="A2674" i="4"/>
  <c r="A2673" i="4"/>
  <c r="A2672" i="4"/>
  <c r="A2671" i="4"/>
  <c r="A2670" i="4"/>
  <c r="A2669" i="4"/>
  <c r="A2668" i="4"/>
  <c r="A2667" i="4"/>
  <c r="A2666" i="4"/>
  <c r="A2665" i="4"/>
  <c r="A2664" i="4"/>
  <c r="A2663" i="4"/>
  <c r="A2662" i="4"/>
  <c r="A2661" i="4"/>
  <c r="A2660" i="4"/>
  <c r="A2659" i="4"/>
  <c r="A2658" i="4"/>
  <c r="A2657" i="4"/>
  <c r="A2656" i="4"/>
  <c r="A2655" i="4"/>
  <c r="A2654" i="4"/>
  <c r="A2653" i="4"/>
  <c r="A2652" i="4"/>
  <c r="A2651" i="4"/>
  <c r="A2650" i="4"/>
  <c r="A2649" i="4"/>
  <c r="A2648" i="4"/>
  <c r="A2647" i="4"/>
  <c r="A2646" i="4"/>
  <c r="A2645" i="4"/>
  <c r="A2644" i="4"/>
  <c r="A2643" i="4"/>
  <c r="A2642" i="4"/>
  <c r="A2641" i="4"/>
  <c r="A2640" i="4"/>
  <c r="A2639" i="4"/>
  <c r="A2638" i="4"/>
  <c r="A2637" i="4"/>
  <c r="A2636" i="4"/>
  <c r="A2635" i="4"/>
  <c r="A2634" i="4"/>
  <c r="A2633" i="4"/>
  <c r="A2632" i="4"/>
  <c r="A2631" i="4"/>
  <c r="A2630" i="4"/>
  <c r="A2629" i="4"/>
  <c r="A2628" i="4"/>
  <c r="A2627" i="4"/>
  <c r="A2626" i="4"/>
  <c r="A2625" i="4"/>
  <c r="A2624" i="4"/>
  <c r="A2623" i="4"/>
  <c r="A2622" i="4"/>
  <c r="A2621" i="4"/>
  <c r="A2620" i="4"/>
  <c r="A2619" i="4"/>
  <c r="A2618" i="4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A2151" i="4"/>
  <c r="A2150" i="4"/>
  <c r="A2149" i="4"/>
  <c r="A2148" i="4"/>
  <c r="A2147" i="4"/>
  <c r="A2146" i="4"/>
  <c r="A2145" i="4"/>
  <c r="A2144" i="4"/>
  <c r="A2143" i="4"/>
  <c r="A2142" i="4"/>
  <c r="A2141" i="4"/>
  <c r="A2140" i="4"/>
  <c r="A2139" i="4"/>
  <c r="A2138" i="4"/>
  <c r="A2137" i="4"/>
  <c r="A2136" i="4"/>
  <c r="A2135" i="4"/>
  <c r="A2134" i="4"/>
  <c r="A2133" i="4"/>
  <c r="A2132" i="4"/>
  <c r="A2131" i="4"/>
  <c r="A2130" i="4"/>
  <c r="A2129" i="4"/>
  <c r="A2128" i="4"/>
  <c r="A2127" i="4"/>
  <c r="A2126" i="4"/>
  <c r="A2125" i="4"/>
  <c r="A2124" i="4"/>
  <c r="A2123" i="4"/>
  <c r="A2122" i="4"/>
  <c r="A2121" i="4"/>
  <c r="A2120" i="4"/>
  <c r="A2119" i="4"/>
  <c r="A2118" i="4"/>
  <c r="A2117" i="4"/>
  <c r="A2116" i="4"/>
  <c r="A2115" i="4"/>
  <c r="A2114" i="4"/>
  <c r="A2113" i="4"/>
  <c r="A2112" i="4"/>
  <c r="A2111" i="4"/>
  <c r="A2110" i="4"/>
  <c r="A2109" i="4"/>
  <c r="A2108" i="4"/>
  <c r="A2107" i="4"/>
  <c r="A2106" i="4"/>
  <c r="A2105" i="4"/>
  <c r="A2104" i="4"/>
  <c r="A2103" i="4"/>
  <c r="A2102" i="4"/>
  <c r="A2101" i="4"/>
  <c r="A2100" i="4"/>
  <c r="A2099" i="4"/>
  <c r="A2098" i="4"/>
  <c r="A2097" i="4"/>
  <c r="A2096" i="4"/>
  <c r="A2095" i="4"/>
  <c r="A2094" i="4"/>
  <c r="A2093" i="4"/>
  <c r="A2092" i="4"/>
  <c r="A2091" i="4"/>
  <c r="A2090" i="4"/>
  <c r="A2089" i="4"/>
  <c r="A2088" i="4"/>
  <c r="A2087" i="4"/>
  <c r="A2086" i="4"/>
  <c r="A2085" i="4"/>
  <c r="A2084" i="4"/>
  <c r="A2083" i="4"/>
  <c r="A2082" i="4"/>
  <c r="A2081" i="4"/>
  <c r="A2080" i="4"/>
  <c r="A2079" i="4"/>
  <c r="A2078" i="4"/>
  <c r="A2077" i="4"/>
  <c r="A2076" i="4"/>
  <c r="A2075" i="4"/>
  <c r="A2074" i="4"/>
  <c r="A2073" i="4"/>
  <c r="A2072" i="4"/>
  <c r="A2071" i="4"/>
  <c r="A2070" i="4"/>
  <c r="A2069" i="4"/>
  <c r="A2068" i="4"/>
  <c r="A2067" i="4"/>
  <c r="A2066" i="4"/>
  <c r="A2065" i="4"/>
  <c r="A2064" i="4"/>
  <c r="A2063" i="4"/>
  <c r="A2062" i="4"/>
  <c r="A2061" i="4"/>
  <c r="A2060" i="4"/>
  <c r="A2059" i="4"/>
  <c r="A2058" i="4"/>
  <c r="A2057" i="4"/>
  <c r="A2056" i="4"/>
  <c r="A2055" i="4"/>
  <c r="A2054" i="4"/>
  <c r="A2053" i="4"/>
  <c r="A2052" i="4"/>
  <c r="A2051" i="4"/>
  <c r="A2050" i="4"/>
  <c r="A2049" i="4"/>
  <c r="A2048" i="4"/>
  <c r="A2047" i="4"/>
  <c r="A2046" i="4"/>
  <c r="A2045" i="4"/>
  <c r="A2044" i="4"/>
  <c r="A2043" i="4"/>
  <c r="A2042" i="4"/>
  <c r="A2041" i="4"/>
  <c r="A2040" i="4"/>
  <c r="A2039" i="4"/>
  <c r="A2038" i="4"/>
  <c r="A2037" i="4"/>
  <c r="A2036" i="4"/>
  <c r="A2035" i="4"/>
  <c r="A2034" i="4"/>
  <c r="A2033" i="4"/>
  <c r="A2032" i="4"/>
  <c r="A2031" i="4"/>
  <c r="A2030" i="4"/>
  <c r="A2029" i="4"/>
  <c r="A2028" i="4"/>
  <c r="A2027" i="4"/>
  <c r="A2026" i="4"/>
  <c r="A2025" i="4"/>
  <c r="A2024" i="4"/>
  <c r="A2023" i="4"/>
  <c r="A2022" i="4"/>
  <c r="A2021" i="4"/>
  <c r="A2020" i="4"/>
  <c r="A2019" i="4"/>
  <c r="A2018" i="4"/>
  <c r="A2017" i="4"/>
  <c r="A2016" i="4"/>
  <c r="A2015" i="4"/>
  <c r="A2014" i="4"/>
  <c r="A2013" i="4"/>
  <c r="A2012" i="4"/>
  <c r="A2011" i="4"/>
  <c r="A2010" i="4"/>
  <c r="A2009" i="4"/>
  <c r="A2008" i="4"/>
  <c r="A2007" i="4"/>
  <c r="A2006" i="4"/>
  <c r="A2005" i="4"/>
  <c r="A2004" i="4"/>
  <c r="A2003" i="4"/>
  <c r="A2002" i="4"/>
  <c r="A2001" i="4"/>
  <c r="A2000" i="4"/>
  <c r="A1999" i="4"/>
  <c r="A1998" i="4"/>
  <c r="A1997" i="4"/>
  <c r="A1996" i="4"/>
  <c r="A1995" i="4"/>
  <c r="A1994" i="4"/>
  <c r="A1993" i="4"/>
  <c r="A1992" i="4"/>
  <c r="A1991" i="4"/>
  <c r="A1990" i="4"/>
  <c r="A1989" i="4"/>
  <c r="A1988" i="4"/>
  <c r="A1987" i="4"/>
  <c r="A1986" i="4"/>
  <c r="A1985" i="4"/>
  <c r="A1984" i="4"/>
  <c r="A1983" i="4"/>
  <c r="A1982" i="4"/>
  <c r="A1981" i="4"/>
  <c r="A1980" i="4"/>
  <c r="A1979" i="4"/>
  <c r="A1978" i="4"/>
  <c r="A1977" i="4"/>
  <c r="A1976" i="4"/>
  <c r="A1975" i="4"/>
  <c r="A1974" i="4"/>
  <c r="A1973" i="4"/>
  <c r="A1972" i="4"/>
  <c r="A1971" i="4"/>
  <c r="A1970" i="4"/>
  <c r="A1969" i="4"/>
  <c r="A1968" i="4"/>
  <c r="A1967" i="4"/>
  <c r="A1966" i="4"/>
  <c r="A1965" i="4"/>
  <c r="A1964" i="4"/>
  <c r="A1963" i="4"/>
  <c r="A1962" i="4"/>
  <c r="A1961" i="4"/>
  <c r="A1960" i="4"/>
  <c r="A1959" i="4"/>
  <c r="A1958" i="4"/>
  <c r="A1957" i="4"/>
  <c r="A1956" i="4"/>
  <c r="A1955" i="4"/>
  <c r="A1954" i="4"/>
  <c r="A1953" i="4"/>
  <c r="A1952" i="4"/>
  <c r="A1951" i="4"/>
  <c r="A1950" i="4"/>
  <c r="A1949" i="4"/>
  <c r="A1948" i="4"/>
  <c r="A1947" i="4"/>
  <c r="A1946" i="4"/>
  <c r="A1945" i="4"/>
  <c r="A1944" i="4"/>
  <c r="A1943" i="4"/>
  <c r="A1942" i="4"/>
  <c r="A1941" i="4"/>
  <c r="A1940" i="4"/>
  <c r="A1939" i="4"/>
  <c r="A1938" i="4"/>
  <c r="A1937" i="4"/>
  <c r="A1936" i="4"/>
  <c r="A1935" i="4"/>
  <c r="A1934" i="4"/>
  <c r="A1933" i="4"/>
  <c r="A1932" i="4"/>
  <c r="A1931" i="4"/>
  <c r="A1930" i="4"/>
  <c r="A1929" i="4"/>
  <c r="A1928" i="4"/>
  <c r="A1927" i="4"/>
  <c r="A1926" i="4"/>
  <c r="A1925" i="4"/>
  <c r="A1924" i="4"/>
  <c r="A1923" i="4"/>
  <c r="A1922" i="4"/>
  <c r="A1921" i="4"/>
  <c r="A1920" i="4"/>
  <c r="A1919" i="4"/>
  <c r="A1918" i="4"/>
  <c r="A1917" i="4"/>
  <c r="A1916" i="4"/>
  <c r="A1915" i="4"/>
  <c r="A1914" i="4"/>
  <c r="A1913" i="4"/>
  <c r="A1912" i="4"/>
  <c r="A1911" i="4"/>
  <c r="A1910" i="4"/>
  <c r="A1909" i="4"/>
  <c r="A1908" i="4"/>
  <c r="A1907" i="4"/>
  <c r="A1906" i="4"/>
  <c r="A1905" i="4"/>
  <c r="A1904" i="4"/>
  <c r="A1903" i="4"/>
  <c r="A1902" i="4"/>
  <c r="A1901" i="4"/>
  <c r="A1900" i="4"/>
  <c r="A1899" i="4"/>
  <c r="A1898" i="4"/>
  <c r="A1897" i="4"/>
  <c r="A1896" i="4"/>
  <c r="A1895" i="4"/>
  <c r="A1894" i="4"/>
  <c r="A1893" i="4"/>
  <c r="A1892" i="4"/>
  <c r="A1891" i="4"/>
  <c r="A1890" i="4"/>
  <c r="A1889" i="4"/>
  <c r="A1888" i="4"/>
  <c r="A1887" i="4"/>
  <c r="A1886" i="4"/>
  <c r="A1885" i="4"/>
  <c r="A1884" i="4"/>
  <c r="A1883" i="4"/>
  <c r="A1882" i="4"/>
  <c r="A1881" i="4"/>
  <c r="A1880" i="4"/>
  <c r="A1879" i="4"/>
  <c r="A1878" i="4"/>
  <c r="A1877" i="4"/>
  <c r="A1876" i="4"/>
  <c r="A1875" i="4"/>
  <c r="A1874" i="4"/>
  <c r="A1873" i="4"/>
  <c r="A1872" i="4"/>
  <c r="A1871" i="4"/>
  <c r="A1870" i="4"/>
  <c r="A1869" i="4"/>
  <c r="A1868" i="4"/>
  <c r="A1867" i="4"/>
  <c r="A1866" i="4"/>
  <c r="A1865" i="4"/>
  <c r="A1864" i="4"/>
  <c r="A1863" i="4"/>
  <c r="A1862" i="4"/>
  <c r="A1861" i="4"/>
  <c r="A1860" i="4"/>
  <c r="A1859" i="4"/>
  <c r="A1858" i="4"/>
  <c r="A1857" i="4"/>
  <c r="A1856" i="4"/>
  <c r="A1855" i="4"/>
  <c r="A1854" i="4"/>
  <c r="A1853" i="4"/>
  <c r="A1852" i="4"/>
  <c r="A1851" i="4"/>
  <c r="A1850" i="4"/>
  <c r="A1849" i="4"/>
  <c r="A1848" i="4"/>
  <c r="A1847" i="4"/>
  <c r="A1846" i="4"/>
  <c r="A1845" i="4"/>
  <c r="A1844" i="4"/>
  <c r="A1843" i="4"/>
  <c r="A1842" i="4"/>
  <c r="A1841" i="4"/>
  <c r="A1840" i="4"/>
  <c r="A1839" i="4"/>
  <c r="A1838" i="4"/>
  <c r="A1837" i="4"/>
  <c r="A1836" i="4"/>
  <c r="A1835" i="4"/>
  <c r="A1834" i="4"/>
  <c r="A1833" i="4"/>
  <c r="A1832" i="4"/>
  <c r="A1831" i="4"/>
  <c r="A1830" i="4"/>
  <c r="A1829" i="4"/>
  <c r="A1828" i="4"/>
  <c r="A1827" i="4"/>
  <c r="A1826" i="4"/>
  <c r="A1825" i="4"/>
  <c r="A1824" i="4"/>
  <c r="A1823" i="4"/>
  <c r="A1822" i="4"/>
  <c r="A1821" i="4"/>
  <c r="A1820" i="4"/>
  <c r="A1819" i="4"/>
  <c r="A1818" i="4"/>
  <c r="A1817" i="4"/>
  <c r="A1816" i="4"/>
  <c r="A1815" i="4"/>
  <c r="A1814" i="4"/>
  <c r="A1813" i="4"/>
  <c r="A1812" i="4"/>
  <c r="A1811" i="4"/>
  <c r="A1810" i="4"/>
  <c r="A1809" i="4"/>
  <c r="A1808" i="4"/>
  <c r="A1807" i="4"/>
  <c r="A1806" i="4"/>
  <c r="A1805" i="4"/>
  <c r="A1804" i="4"/>
  <c r="A1803" i="4"/>
  <c r="A1802" i="4"/>
  <c r="A1801" i="4"/>
  <c r="A1800" i="4"/>
  <c r="A1799" i="4"/>
  <c r="A1798" i="4"/>
  <c r="A1797" i="4"/>
  <c r="A1796" i="4"/>
  <c r="A1795" i="4"/>
  <c r="A1794" i="4"/>
  <c r="A1793" i="4"/>
  <c r="A1792" i="4"/>
  <c r="A1791" i="4"/>
  <c r="A1790" i="4"/>
  <c r="A1789" i="4"/>
  <c r="A1788" i="4"/>
  <c r="A1787" i="4"/>
  <c r="A1786" i="4"/>
  <c r="A1785" i="4"/>
  <c r="A1784" i="4"/>
  <c r="A1783" i="4"/>
  <c r="A1782" i="4"/>
  <c r="A1781" i="4"/>
  <c r="A1780" i="4"/>
  <c r="A1779" i="4"/>
  <c r="A1778" i="4"/>
  <c r="A1777" i="4"/>
  <c r="A1776" i="4"/>
  <c r="A1775" i="4"/>
  <c r="A1774" i="4"/>
  <c r="A1773" i="4"/>
  <c r="A1772" i="4"/>
  <c r="A1771" i="4"/>
  <c r="A1770" i="4"/>
  <c r="A1769" i="4"/>
  <c r="A1768" i="4"/>
  <c r="A1767" i="4"/>
  <c r="A1766" i="4"/>
  <c r="A1765" i="4"/>
  <c r="A1764" i="4"/>
  <c r="A1763" i="4"/>
  <c r="A1762" i="4"/>
  <c r="A1761" i="4"/>
  <c r="A1760" i="4"/>
  <c r="A1759" i="4"/>
  <c r="A1758" i="4"/>
  <c r="A1757" i="4"/>
  <c r="A1756" i="4"/>
  <c r="A1755" i="4"/>
  <c r="A1754" i="4"/>
  <c r="A1753" i="4"/>
  <c r="A1752" i="4"/>
  <c r="A1751" i="4"/>
  <c r="A1750" i="4"/>
  <c r="A1749" i="4"/>
  <c r="A1748" i="4"/>
  <c r="A1747" i="4"/>
  <c r="A1746" i="4"/>
  <c r="A1745" i="4"/>
  <c r="A1744" i="4"/>
  <c r="A1743" i="4"/>
  <c r="A1742" i="4"/>
  <c r="A1741" i="4"/>
  <c r="A1740" i="4"/>
  <c r="A1739" i="4"/>
  <c r="A1738" i="4"/>
  <c r="A1737" i="4"/>
  <c r="A1736" i="4"/>
  <c r="A1735" i="4"/>
  <c r="A1734" i="4"/>
  <c r="A1733" i="4"/>
  <c r="A1732" i="4"/>
  <c r="A1731" i="4"/>
  <c r="A1730" i="4"/>
  <c r="A1729" i="4"/>
  <c r="A1728" i="4"/>
  <c r="A1727" i="4"/>
  <c r="A1726" i="4"/>
  <c r="A1725" i="4"/>
  <c r="A1724" i="4"/>
  <c r="A1723" i="4"/>
  <c r="A1722" i="4"/>
  <c r="A1721" i="4"/>
  <c r="A1720" i="4"/>
  <c r="A1719" i="4"/>
  <c r="A1718" i="4"/>
  <c r="A1717" i="4"/>
  <c r="A1716" i="4"/>
  <c r="A1715" i="4"/>
  <c r="A1714" i="4"/>
  <c r="A1713" i="4"/>
  <c r="A1712" i="4"/>
  <c r="A1711" i="4"/>
  <c r="A1710" i="4"/>
  <c r="A1709" i="4"/>
  <c r="A1708" i="4"/>
  <c r="A1707" i="4"/>
  <c r="A1706" i="4"/>
  <c r="A1705" i="4"/>
  <c r="A1704" i="4"/>
  <c r="A1703" i="4"/>
  <c r="A1702" i="4"/>
  <c r="A1701" i="4"/>
  <c r="A1700" i="4"/>
  <c r="A1699" i="4"/>
  <c r="A1698" i="4"/>
  <c r="A1697" i="4"/>
  <c r="A1696" i="4"/>
  <c r="A1695" i="4"/>
  <c r="A1694" i="4"/>
  <c r="A1693" i="4"/>
  <c r="A1692" i="4"/>
  <c r="A1691" i="4"/>
  <c r="A1690" i="4"/>
  <c r="A1689" i="4"/>
  <c r="A1688" i="4"/>
  <c r="A1687" i="4"/>
  <c r="A1686" i="4"/>
  <c r="A1685" i="4"/>
  <c r="A1684" i="4"/>
  <c r="A1683" i="4"/>
  <c r="A1682" i="4"/>
  <c r="A1681" i="4"/>
  <c r="A1680" i="4"/>
  <c r="A1679" i="4"/>
  <c r="A1678" i="4"/>
  <c r="A1677" i="4"/>
  <c r="A1676" i="4"/>
  <c r="A1675" i="4"/>
  <c r="A1674" i="4"/>
  <c r="A1673" i="4"/>
  <c r="A1672" i="4"/>
  <c r="A1671" i="4"/>
  <c r="A1670" i="4"/>
  <c r="A1669" i="4"/>
  <c r="A1668" i="4"/>
  <c r="A1667" i="4"/>
  <c r="A1666" i="4"/>
  <c r="A1665" i="4"/>
  <c r="A1664" i="4"/>
  <c r="A1663" i="4"/>
  <c r="A1662" i="4"/>
  <c r="A1661" i="4"/>
  <c r="A1660" i="4"/>
  <c r="A1659" i="4"/>
  <c r="A1658" i="4"/>
  <c r="A1657" i="4"/>
  <c r="A1656" i="4"/>
  <c r="A1655" i="4"/>
  <c r="A1654" i="4"/>
  <c r="A1653" i="4"/>
  <c r="A1652" i="4"/>
  <c r="A1651" i="4"/>
  <c r="A1650" i="4"/>
  <c r="A1649" i="4"/>
  <c r="A1648" i="4"/>
  <c r="A1647" i="4"/>
  <c r="A1646" i="4"/>
  <c r="A1645" i="4"/>
  <c r="A1644" i="4"/>
  <c r="A1643" i="4"/>
  <c r="A1642" i="4"/>
  <c r="A1641" i="4"/>
  <c r="A1640" i="4"/>
  <c r="A1639" i="4"/>
  <c r="A1638" i="4"/>
  <c r="A1637" i="4"/>
  <c r="A1636" i="4"/>
  <c r="A1635" i="4"/>
  <c r="A1634" i="4"/>
  <c r="A1633" i="4"/>
  <c r="A1632" i="4"/>
  <c r="A1631" i="4"/>
  <c r="A1630" i="4"/>
  <c r="A1629" i="4"/>
  <c r="A1628" i="4"/>
  <c r="A1627" i="4"/>
  <c r="A1626" i="4"/>
  <c r="A1625" i="4"/>
  <c r="A1624" i="4"/>
  <c r="A1623" i="4"/>
  <c r="A1622" i="4"/>
  <c r="A1621" i="4"/>
  <c r="A1620" i="4"/>
  <c r="A1619" i="4"/>
  <c r="A1618" i="4"/>
  <c r="A1617" i="4"/>
  <c r="A1616" i="4"/>
  <c r="A1615" i="4"/>
  <c r="A1614" i="4"/>
  <c r="A1613" i="4"/>
  <c r="A1612" i="4"/>
  <c r="A1611" i="4"/>
  <c r="A1610" i="4"/>
  <c r="A1609" i="4"/>
  <c r="A1608" i="4"/>
  <c r="A1607" i="4"/>
  <c r="A1606" i="4"/>
  <c r="A1605" i="4"/>
  <c r="A1604" i="4"/>
  <c r="A1603" i="4"/>
  <c r="A1602" i="4"/>
  <c r="A1601" i="4"/>
  <c r="A1600" i="4"/>
  <c r="A1599" i="4"/>
  <c r="A1598" i="4"/>
  <c r="A1597" i="4"/>
  <c r="A1596" i="4"/>
  <c r="A1595" i="4"/>
  <c r="A1594" i="4"/>
  <c r="A1593" i="4"/>
  <c r="A1592" i="4"/>
  <c r="A1591" i="4"/>
  <c r="A1590" i="4"/>
  <c r="A1589" i="4"/>
  <c r="A1588" i="4"/>
  <c r="A1587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A1" i="4"/>
  <c r="D15308" i="4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8350" i="3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50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261" i="3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A1" i="3"/>
  <c r="A8658" i="5"/>
  <c r="A8657" i="5"/>
  <c r="A8656" i="5"/>
  <c r="A8655" i="5"/>
  <c r="A8654" i="5"/>
  <c r="A8653" i="5"/>
  <c r="A8652" i="5"/>
  <c r="A8651" i="5"/>
  <c r="A8650" i="5"/>
  <c r="A8649" i="5"/>
  <c r="A8648" i="5"/>
  <c r="A8647" i="5"/>
  <c r="A8646" i="5"/>
  <c r="A8645" i="5"/>
  <c r="A8644" i="5"/>
  <c r="A8643" i="5"/>
  <c r="A8642" i="5"/>
  <c r="A8641" i="5"/>
  <c r="A8640" i="5"/>
  <c r="A8639" i="5"/>
  <c r="A8638" i="5"/>
  <c r="A8637" i="5"/>
  <c r="A8636" i="5"/>
  <c r="A8635" i="5"/>
  <c r="A8634" i="5"/>
  <c r="A8633" i="5"/>
  <c r="A8632" i="5"/>
  <c r="A8631" i="5"/>
  <c r="A8630" i="5"/>
  <c r="A8629" i="5"/>
  <c r="A8628" i="5"/>
  <c r="A8627" i="5"/>
  <c r="A8626" i="5"/>
  <c r="A8625" i="5"/>
  <c r="A8624" i="5"/>
  <c r="A8623" i="5"/>
  <c r="A8622" i="5"/>
  <c r="A8621" i="5"/>
  <c r="A8620" i="5"/>
  <c r="A8619" i="5"/>
  <c r="A8618" i="5"/>
  <c r="A8617" i="5"/>
  <c r="A8616" i="5"/>
  <c r="A8615" i="5"/>
  <c r="A8614" i="5"/>
  <c r="A8613" i="5"/>
  <c r="A8612" i="5"/>
  <c r="A8611" i="5"/>
  <c r="A8610" i="5"/>
  <c r="A8609" i="5"/>
  <c r="A8608" i="5"/>
  <c r="A8607" i="5"/>
  <c r="A8606" i="5"/>
  <c r="A8605" i="5"/>
  <c r="A8604" i="5"/>
  <c r="A8603" i="5"/>
  <c r="A8602" i="5"/>
  <c r="A8601" i="5"/>
  <c r="A8600" i="5"/>
  <c r="A8599" i="5"/>
  <c r="A8598" i="5"/>
  <c r="A8597" i="5"/>
  <c r="A8596" i="5"/>
  <c r="A8595" i="5"/>
  <c r="A8594" i="5"/>
  <c r="A8593" i="5"/>
  <c r="A8592" i="5"/>
  <c r="A8591" i="5"/>
  <c r="A8590" i="5"/>
  <c r="A8589" i="5"/>
  <c r="A8588" i="5"/>
  <c r="A8587" i="5"/>
  <c r="A8586" i="5"/>
  <c r="A8585" i="5"/>
  <c r="A8584" i="5"/>
  <c r="A8583" i="5"/>
  <c r="A8582" i="5"/>
  <c r="A8581" i="5"/>
  <c r="A8580" i="5"/>
  <c r="A8579" i="5"/>
  <c r="A8578" i="5"/>
  <c r="A8577" i="5"/>
  <c r="A8576" i="5"/>
  <c r="A8575" i="5"/>
  <c r="A8574" i="5"/>
  <c r="A8573" i="5"/>
  <c r="A8572" i="5"/>
  <c r="A8571" i="5"/>
  <c r="A8570" i="5"/>
  <c r="A8569" i="5"/>
  <c r="A8568" i="5"/>
  <c r="A8567" i="5"/>
  <c r="A8566" i="5"/>
  <c r="A8565" i="5"/>
  <c r="A8564" i="5"/>
  <c r="A8563" i="5"/>
  <c r="A8562" i="5"/>
  <c r="A8561" i="5"/>
  <c r="A8560" i="5"/>
  <c r="A8559" i="5"/>
  <c r="A8558" i="5"/>
  <c r="A8557" i="5"/>
  <c r="A8556" i="5"/>
  <c r="A8555" i="5"/>
  <c r="A8554" i="5"/>
  <c r="A8553" i="5"/>
  <c r="A8552" i="5"/>
  <c r="A8551" i="5"/>
  <c r="A8550" i="5"/>
  <c r="A8549" i="5"/>
  <c r="A8548" i="5"/>
  <c r="A8547" i="5"/>
  <c r="A8546" i="5"/>
  <c r="A8545" i="5"/>
  <c r="A8544" i="5"/>
  <c r="A8543" i="5"/>
  <c r="A8542" i="5"/>
  <c r="A8541" i="5"/>
  <c r="A8540" i="5"/>
  <c r="A8539" i="5"/>
  <c r="A8538" i="5"/>
  <c r="A8537" i="5"/>
  <c r="A8536" i="5"/>
  <c r="A8535" i="5"/>
  <c r="A8534" i="5"/>
  <c r="A8533" i="5"/>
  <c r="A8532" i="5"/>
  <c r="A8531" i="5"/>
  <c r="A8530" i="5"/>
  <c r="A8529" i="5"/>
  <c r="A8528" i="5"/>
  <c r="A8527" i="5"/>
  <c r="A8526" i="5"/>
  <c r="A8525" i="5"/>
  <c r="A8524" i="5"/>
  <c r="A8523" i="5"/>
  <c r="A8522" i="5"/>
  <c r="A8521" i="5"/>
  <c r="A8520" i="5"/>
  <c r="A8519" i="5"/>
  <c r="A8518" i="5"/>
  <c r="A8517" i="5"/>
  <c r="A8516" i="5"/>
  <c r="A8515" i="5"/>
  <c r="A8514" i="5"/>
  <c r="A8513" i="5"/>
  <c r="A8512" i="5"/>
  <c r="A8511" i="5"/>
  <c r="A8510" i="5"/>
  <c r="A8509" i="5"/>
  <c r="A8508" i="5"/>
  <c r="A8507" i="5"/>
  <c r="A8506" i="5"/>
  <c r="A8505" i="5"/>
  <c r="A8504" i="5"/>
  <c r="A8503" i="5"/>
  <c r="A8502" i="5"/>
  <c r="A8501" i="5"/>
  <c r="A8500" i="5"/>
  <c r="A8499" i="5"/>
  <c r="A8498" i="5"/>
  <c r="A8497" i="5"/>
  <c r="A8496" i="5"/>
  <c r="A8495" i="5"/>
  <c r="A8494" i="5"/>
  <c r="A8493" i="5"/>
  <c r="A8492" i="5"/>
  <c r="A8491" i="5"/>
  <c r="A8490" i="5"/>
  <c r="A8489" i="5"/>
  <c r="A8488" i="5"/>
  <c r="A8487" i="5"/>
  <c r="A8486" i="5"/>
  <c r="A8485" i="5"/>
  <c r="A8484" i="5"/>
  <c r="A8483" i="5"/>
  <c r="A8482" i="5"/>
  <c r="A8481" i="5"/>
  <c r="A8480" i="5"/>
  <c r="A8479" i="5"/>
  <c r="A8478" i="5"/>
  <c r="A8477" i="5"/>
  <c r="A8476" i="5"/>
  <c r="A8475" i="5"/>
  <c r="A8474" i="5"/>
  <c r="A8473" i="5"/>
  <c r="A8472" i="5"/>
  <c r="A8471" i="5"/>
  <c r="A8470" i="5"/>
  <c r="A8469" i="5"/>
  <c r="A8468" i="5"/>
  <c r="A8467" i="5"/>
  <c r="A8466" i="5"/>
  <c r="A8465" i="5"/>
  <c r="A8464" i="5"/>
  <c r="A8463" i="5"/>
  <c r="A8462" i="5"/>
  <c r="A8461" i="5"/>
  <c r="A8460" i="5"/>
  <c r="A8459" i="5"/>
  <c r="A8458" i="5"/>
  <c r="A8457" i="5"/>
  <c r="A8456" i="5"/>
  <c r="A8455" i="5"/>
  <c r="A8454" i="5"/>
  <c r="A8453" i="5"/>
  <c r="A8452" i="5"/>
  <c r="A8451" i="5"/>
  <c r="A8450" i="5"/>
  <c r="A8449" i="5"/>
  <c r="A8448" i="5"/>
  <c r="A8447" i="5"/>
  <c r="A8446" i="5"/>
  <c r="A8445" i="5"/>
  <c r="A8444" i="5"/>
  <c r="A8443" i="5"/>
  <c r="A8442" i="5"/>
  <c r="A8441" i="5"/>
  <c r="A8440" i="5"/>
  <c r="A8439" i="5"/>
  <c r="A8438" i="5"/>
  <c r="A8437" i="5"/>
  <c r="A8436" i="5"/>
  <c r="A8435" i="5"/>
  <c r="A8434" i="5"/>
  <c r="A8433" i="5"/>
  <c r="A8432" i="5"/>
  <c r="A8431" i="5"/>
  <c r="A8430" i="5"/>
  <c r="A8429" i="5"/>
  <c r="A8428" i="5"/>
  <c r="A8427" i="5"/>
  <c r="A8426" i="5"/>
  <c r="A8425" i="5"/>
  <c r="A8424" i="5"/>
  <c r="A8423" i="5"/>
  <c r="A8422" i="5"/>
  <c r="A8421" i="5"/>
  <c r="A8420" i="5"/>
  <c r="A8419" i="5"/>
  <c r="A8418" i="5"/>
  <c r="A8417" i="5"/>
  <c r="A8416" i="5"/>
  <c r="A8415" i="5"/>
  <c r="A8414" i="5"/>
  <c r="A8413" i="5"/>
  <c r="A8412" i="5"/>
  <c r="A8411" i="5"/>
  <c r="A8410" i="5"/>
  <c r="A8409" i="5"/>
  <c r="A8408" i="5"/>
  <c r="A8407" i="5"/>
  <c r="A8406" i="5"/>
  <c r="A8405" i="5"/>
  <c r="A8404" i="5"/>
  <c r="A8403" i="5"/>
  <c r="A8402" i="5"/>
  <c r="A8401" i="5"/>
  <c r="A8400" i="5"/>
  <c r="A8399" i="5"/>
  <c r="A8398" i="5"/>
  <c r="A8397" i="5"/>
  <c r="A8396" i="5"/>
  <c r="A8395" i="5"/>
  <c r="A8394" i="5"/>
  <c r="A8393" i="5"/>
  <c r="A8392" i="5"/>
  <c r="A8391" i="5"/>
  <c r="A8390" i="5"/>
  <c r="A8389" i="5"/>
  <c r="A8388" i="5"/>
  <c r="A8387" i="5"/>
  <c r="A8386" i="5"/>
  <c r="A8385" i="5"/>
  <c r="A8384" i="5"/>
  <c r="A8383" i="5"/>
  <c r="A8382" i="5"/>
  <c r="A8381" i="5"/>
  <c r="A8380" i="5"/>
  <c r="A8379" i="5"/>
  <c r="A8378" i="5"/>
  <c r="A8377" i="5"/>
  <c r="A8376" i="5"/>
  <c r="A8375" i="5"/>
  <c r="A8374" i="5"/>
  <c r="A8373" i="5"/>
  <c r="A8372" i="5"/>
  <c r="A8371" i="5"/>
  <c r="A8370" i="5"/>
  <c r="A8369" i="5"/>
  <c r="A8368" i="5"/>
  <c r="A8367" i="5"/>
  <c r="A8366" i="5"/>
  <c r="A8365" i="5"/>
  <c r="A8364" i="5"/>
  <c r="A8363" i="5"/>
  <c r="A8362" i="5"/>
  <c r="A8361" i="5"/>
  <c r="A8360" i="5"/>
  <c r="A8359" i="5"/>
  <c r="A8358" i="5"/>
  <c r="A8357" i="5"/>
  <c r="A8356" i="5"/>
  <c r="A8355" i="5"/>
  <c r="A8354" i="5"/>
  <c r="A8353" i="5"/>
  <c r="A8352" i="5"/>
  <c r="A8351" i="5"/>
  <c r="A8350" i="5"/>
  <c r="A8349" i="5"/>
  <c r="A8348" i="5"/>
  <c r="A8347" i="5"/>
  <c r="A8346" i="5"/>
  <c r="A8345" i="5"/>
  <c r="A8344" i="5"/>
  <c r="A8343" i="5"/>
  <c r="A8342" i="5"/>
  <c r="A8341" i="5"/>
  <c r="A8340" i="5"/>
  <c r="A8339" i="5"/>
  <c r="A8338" i="5"/>
  <c r="A8337" i="5"/>
  <c r="A8336" i="5"/>
  <c r="A8335" i="5"/>
  <c r="A8334" i="5"/>
  <c r="A8333" i="5"/>
  <c r="A8332" i="5"/>
  <c r="A8331" i="5"/>
  <c r="A8330" i="5"/>
  <c r="A8329" i="5"/>
  <c r="A8328" i="5"/>
  <c r="A8327" i="5"/>
  <c r="A8326" i="5"/>
  <c r="A8325" i="5"/>
  <c r="A8324" i="5"/>
  <c r="A8323" i="5"/>
  <c r="A8322" i="5"/>
  <c r="A8321" i="5"/>
  <c r="A8320" i="5"/>
  <c r="A8319" i="5"/>
  <c r="A8318" i="5"/>
  <c r="A8317" i="5"/>
  <c r="A8316" i="5"/>
  <c r="A8315" i="5"/>
  <c r="A8314" i="5"/>
  <c r="A8313" i="5"/>
  <c r="A8312" i="5"/>
  <c r="A8311" i="5"/>
  <c r="A8310" i="5"/>
  <c r="A8309" i="5"/>
  <c r="A8308" i="5"/>
  <c r="A8307" i="5"/>
  <c r="A8306" i="5"/>
  <c r="A8305" i="5"/>
  <c r="A8304" i="5"/>
  <c r="A8303" i="5"/>
  <c r="A8302" i="5"/>
  <c r="A8301" i="5"/>
  <c r="A8300" i="5"/>
  <c r="A8299" i="5"/>
  <c r="A8298" i="5"/>
  <c r="A8297" i="5"/>
  <c r="A8296" i="5"/>
  <c r="A8295" i="5"/>
  <c r="A8294" i="5"/>
  <c r="A8293" i="5"/>
  <c r="A8292" i="5"/>
  <c r="A8291" i="5"/>
  <c r="A8290" i="5"/>
  <c r="A8289" i="5"/>
  <c r="A8288" i="5"/>
  <c r="A8287" i="5"/>
  <c r="A8286" i="5"/>
  <c r="A8285" i="5"/>
  <c r="A8284" i="5"/>
  <c r="A8283" i="5"/>
  <c r="A8282" i="5"/>
  <c r="A8281" i="5"/>
  <c r="A8280" i="5"/>
  <c r="A8279" i="5"/>
  <c r="A8278" i="5"/>
  <c r="A8277" i="5"/>
  <c r="A8276" i="5"/>
  <c r="A8275" i="5"/>
  <c r="A8274" i="5"/>
  <c r="A8273" i="5"/>
  <c r="A8272" i="5"/>
  <c r="A8271" i="5"/>
  <c r="A8270" i="5"/>
  <c r="A8269" i="5"/>
  <c r="A8268" i="5"/>
  <c r="A8267" i="5"/>
  <c r="A8266" i="5"/>
  <c r="A8265" i="5"/>
  <c r="A8264" i="5"/>
  <c r="A8263" i="5"/>
  <c r="A8262" i="5"/>
  <c r="A8261" i="5"/>
  <c r="A8260" i="5"/>
  <c r="A8259" i="5"/>
  <c r="A8258" i="5"/>
  <c r="A8257" i="5"/>
  <c r="A8256" i="5"/>
  <c r="A8255" i="5"/>
  <c r="A8254" i="5"/>
  <c r="A8253" i="5"/>
  <c r="A8252" i="5"/>
  <c r="A8251" i="5"/>
  <c r="A8250" i="5"/>
  <c r="A8249" i="5"/>
  <c r="A8248" i="5"/>
  <c r="A8247" i="5"/>
  <c r="A8246" i="5"/>
  <c r="A8245" i="5"/>
  <c r="A8244" i="5"/>
  <c r="A8243" i="5"/>
  <c r="A8242" i="5"/>
  <c r="A8241" i="5"/>
  <c r="A8240" i="5"/>
  <c r="A8239" i="5"/>
  <c r="A8238" i="5"/>
  <c r="A8237" i="5"/>
  <c r="A8236" i="5"/>
  <c r="A8235" i="5"/>
  <c r="A8234" i="5"/>
  <c r="A8233" i="5"/>
  <c r="A8232" i="5"/>
  <c r="A8231" i="5"/>
  <c r="A8230" i="5"/>
  <c r="A8229" i="5"/>
  <c r="A8228" i="5"/>
  <c r="A8227" i="5"/>
  <c r="A8226" i="5"/>
  <c r="A8225" i="5"/>
  <c r="A8224" i="5"/>
  <c r="A8223" i="5"/>
  <c r="A8222" i="5"/>
  <c r="A8221" i="5"/>
  <c r="A8220" i="5"/>
  <c r="A8219" i="5"/>
  <c r="A8218" i="5"/>
  <c r="A8217" i="5"/>
  <c r="A8216" i="5"/>
  <c r="A8215" i="5"/>
  <c r="A8214" i="5"/>
  <c r="A8213" i="5"/>
  <c r="A8212" i="5"/>
  <c r="A8211" i="5"/>
  <c r="A8210" i="5"/>
  <c r="A8209" i="5"/>
  <c r="A8208" i="5"/>
  <c r="A8207" i="5"/>
  <c r="A8206" i="5"/>
  <c r="A8205" i="5"/>
  <c r="A8204" i="5"/>
  <c r="A8203" i="5"/>
  <c r="A8202" i="5"/>
  <c r="A8201" i="5"/>
  <c r="A8200" i="5"/>
  <c r="A8199" i="5"/>
  <c r="A8198" i="5"/>
  <c r="A8197" i="5"/>
  <c r="A8196" i="5"/>
  <c r="A8195" i="5"/>
  <c r="A8194" i="5"/>
  <c r="A8193" i="5"/>
  <c r="A8192" i="5"/>
  <c r="A8191" i="5"/>
  <c r="A8190" i="5"/>
  <c r="A8189" i="5"/>
  <c r="A8188" i="5"/>
  <c r="A8187" i="5"/>
  <c r="A8186" i="5"/>
  <c r="A8185" i="5"/>
  <c r="A8184" i="5"/>
  <c r="A8183" i="5"/>
  <c r="A8182" i="5"/>
  <c r="A8181" i="5"/>
  <c r="A8180" i="5"/>
  <c r="A8179" i="5"/>
  <c r="A8178" i="5"/>
  <c r="A8177" i="5"/>
  <c r="A8176" i="5"/>
  <c r="A8175" i="5"/>
  <c r="A8174" i="5"/>
  <c r="A8173" i="5"/>
  <c r="A8172" i="5"/>
  <c r="A8171" i="5"/>
  <c r="A8170" i="5"/>
  <c r="A8169" i="5"/>
  <c r="A8168" i="5"/>
  <c r="A8167" i="5"/>
  <c r="A8166" i="5"/>
  <c r="A8165" i="5"/>
  <c r="A8164" i="5"/>
  <c r="A8163" i="5"/>
  <c r="A8162" i="5"/>
  <c r="A8161" i="5"/>
  <c r="A8160" i="5"/>
  <c r="A8159" i="5"/>
  <c r="A8158" i="5"/>
  <c r="A8157" i="5"/>
  <c r="A8156" i="5"/>
  <c r="A8155" i="5"/>
  <c r="A8154" i="5"/>
  <c r="A8153" i="5"/>
  <c r="A8152" i="5"/>
  <c r="A8151" i="5"/>
  <c r="A8150" i="5"/>
  <c r="A8149" i="5"/>
  <c r="A8148" i="5"/>
  <c r="A8147" i="5"/>
  <c r="A8146" i="5"/>
  <c r="A8145" i="5"/>
  <c r="A8144" i="5"/>
  <c r="A8143" i="5"/>
  <c r="A8142" i="5"/>
  <c r="A8141" i="5"/>
  <c r="A8140" i="5"/>
  <c r="A8139" i="5"/>
  <c r="A8138" i="5"/>
  <c r="A8137" i="5"/>
  <c r="A8136" i="5"/>
  <c r="A8135" i="5"/>
  <c r="A8134" i="5"/>
  <c r="A8133" i="5"/>
  <c r="A8132" i="5"/>
  <c r="A8131" i="5"/>
  <c r="A8130" i="5"/>
  <c r="A8129" i="5"/>
  <c r="A8128" i="5"/>
  <c r="A8127" i="5"/>
  <c r="A8126" i="5"/>
  <c r="A8125" i="5"/>
  <c r="A8124" i="5"/>
  <c r="A8123" i="5"/>
  <c r="A8122" i="5"/>
  <c r="A8121" i="5"/>
  <c r="A8120" i="5"/>
  <c r="A8119" i="5"/>
  <c r="A8118" i="5"/>
  <c r="A8117" i="5"/>
  <c r="A8116" i="5"/>
  <c r="A8115" i="5"/>
  <c r="A8114" i="5"/>
  <c r="A8113" i="5"/>
  <c r="A8112" i="5"/>
  <c r="A8111" i="5"/>
  <c r="A8110" i="5"/>
  <c r="A8109" i="5"/>
  <c r="A8108" i="5"/>
  <c r="A8107" i="5"/>
  <c r="A8106" i="5"/>
  <c r="A8105" i="5"/>
  <c r="A8104" i="5"/>
  <c r="A8103" i="5"/>
  <c r="A8102" i="5"/>
  <c r="A8101" i="5"/>
  <c r="A8100" i="5"/>
  <c r="A8099" i="5"/>
  <c r="A8098" i="5"/>
  <c r="A8097" i="5"/>
  <c r="A8096" i="5"/>
  <c r="A8095" i="5"/>
  <c r="A8094" i="5"/>
  <c r="A8093" i="5"/>
  <c r="A8092" i="5"/>
  <c r="A8091" i="5"/>
  <c r="A8090" i="5"/>
  <c r="A8089" i="5"/>
  <c r="A8088" i="5"/>
  <c r="A8087" i="5"/>
  <c r="A8086" i="5"/>
  <c r="A8085" i="5"/>
  <c r="A8084" i="5"/>
  <c r="A8083" i="5"/>
  <c r="A8082" i="5"/>
  <c r="A8081" i="5"/>
  <c r="A8080" i="5"/>
  <c r="A8079" i="5"/>
  <c r="A8078" i="5"/>
  <c r="A8077" i="5"/>
  <c r="A8076" i="5"/>
  <c r="A8075" i="5"/>
  <c r="A8074" i="5"/>
  <c r="A8073" i="5"/>
  <c r="A8072" i="5"/>
  <c r="A8071" i="5"/>
  <c r="A8070" i="5"/>
  <c r="A8069" i="5"/>
  <c r="A8068" i="5"/>
  <c r="A8067" i="5"/>
  <c r="A8066" i="5"/>
  <c r="A8065" i="5"/>
  <c r="A8064" i="5"/>
  <c r="A8063" i="5"/>
  <c r="A8062" i="5"/>
  <c r="A8061" i="5"/>
  <c r="A8060" i="5"/>
  <c r="A8059" i="5"/>
  <c r="A8058" i="5"/>
  <c r="A8057" i="5"/>
  <c r="A8056" i="5"/>
  <c r="A8055" i="5"/>
  <c r="A8054" i="5"/>
  <c r="A8053" i="5"/>
  <c r="A8052" i="5"/>
  <c r="A8051" i="5"/>
  <c r="A8050" i="5"/>
  <c r="A8049" i="5"/>
  <c r="A8048" i="5"/>
  <c r="A8047" i="5"/>
  <c r="A8046" i="5"/>
  <c r="A8045" i="5"/>
  <c r="A8044" i="5"/>
  <c r="A8043" i="5"/>
  <c r="A8042" i="5"/>
  <c r="A8041" i="5"/>
  <c r="A8040" i="5"/>
  <c r="A8039" i="5"/>
  <c r="A8038" i="5"/>
  <c r="A8037" i="5"/>
  <c r="A8036" i="5"/>
  <c r="A8035" i="5"/>
  <c r="A8034" i="5"/>
  <c r="A8033" i="5"/>
  <c r="A8032" i="5"/>
  <c r="A8031" i="5"/>
  <c r="A8030" i="5"/>
  <c r="A8029" i="5"/>
  <c r="A8028" i="5"/>
  <c r="A8027" i="5"/>
  <c r="A8026" i="5"/>
  <c r="A8025" i="5"/>
  <c r="A8024" i="5"/>
  <c r="A8023" i="5"/>
  <c r="A8022" i="5"/>
  <c r="A8021" i="5"/>
  <c r="A8020" i="5"/>
  <c r="A8019" i="5"/>
  <c r="A8018" i="5"/>
  <c r="A8017" i="5"/>
  <c r="A8016" i="5"/>
  <c r="A8015" i="5"/>
  <c r="A8014" i="5"/>
  <c r="A8013" i="5"/>
  <c r="A8012" i="5"/>
  <c r="A8011" i="5"/>
  <c r="A8010" i="5"/>
  <c r="A8009" i="5"/>
  <c r="A8008" i="5"/>
  <c r="A8007" i="5"/>
  <c r="A8006" i="5"/>
  <c r="A8005" i="5"/>
  <c r="A8004" i="5"/>
  <c r="A8003" i="5"/>
  <c r="A8002" i="5"/>
  <c r="A8001" i="5"/>
  <c r="A8000" i="5"/>
  <c r="A7999" i="5"/>
  <c r="A7998" i="5"/>
  <c r="A7997" i="5"/>
  <c r="A7996" i="5"/>
  <c r="A7995" i="5"/>
  <c r="A7994" i="5"/>
  <c r="A7993" i="5"/>
  <c r="A7992" i="5"/>
  <c r="A7991" i="5"/>
  <c r="A7990" i="5"/>
  <c r="A7989" i="5"/>
  <c r="A7988" i="5"/>
  <c r="A7987" i="5"/>
  <c r="A7986" i="5"/>
  <c r="A7985" i="5"/>
  <c r="A7984" i="5"/>
  <c r="A7983" i="5"/>
  <c r="A7982" i="5"/>
  <c r="A7981" i="5"/>
  <c r="A7980" i="5"/>
  <c r="A7979" i="5"/>
  <c r="A7978" i="5"/>
  <c r="A7977" i="5"/>
  <c r="A7976" i="5"/>
  <c r="A7975" i="5"/>
  <c r="A7974" i="5"/>
  <c r="A7973" i="5"/>
  <c r="A7972" i="5"/>
  <c r="A7971" i="5"/>
  <c r="A7970" i="5"/>
  <c r="A7969" i="5"/>
  <c r="A7968" i="5"/>
  <c r="A7967" i="5"/>
  <c r="A7966" i="5"/>
  <c r="A7965" i="5"/>
  <c r="A7964" i="5"/>
  <c r="A7963" i="5"/>
  <c r="A7962" i="5"/>
  <c r="A7961" i="5"/>
  <c r="A7960" i="5"/>
  <c r="A7959" i="5"/>
  <c r="A7958" i="5"/>
  <c r="A7957" i="5"/>
  <c r="A7956" i="5"/>
  <c r="A7955" i="5"/>
  <c r="A7954" i="5"/>
  <c r="A7953" i="5"/>
  <c r="A7952" i="5"/>
  <c r="A7951" i="5"/>
  <c r="A7950" i="5"/>
  <c r="A7949" i="5"/>
  <c r="A7948" i="5"/>
  <c r="A7947" i="5"/>
  <c r="A7946" i="5"/>
  <c r="A7945" i="5"/>
  <c r="A7944" i="5"/>
  <c r="A7943" i="5"/>
  <c r="A7942" i="5"/>
  <c r="A7941" i="5"/>
  <c r="A7940" i="5"/>
  <c r="A7939" i="5"/>
  <c r="A7938" i="5"/>
  <c r="A7937" i="5"/>
  <c r="A7936" i="5"/>
  <c r="A7935" i="5"/>
  <c r="A7934" i="5"/>
  <c r="A7933" i="5"/>
  <c r="A7932" i="5"/>
  <c r="A7931" i="5"/>
  <c r="A7930" i="5"/>
  <c r="A7929" i="5"/>
  <c r="A7928" i="5"/>
  <c r="A7927" i="5"/>
  <c r="A7926" i="5"/>
  <c r="A7925" i="5"/>
  <c r="A7924" i="5"/>
  <c r="A7923" i="5"/>
  <c r="A7922" i="5"/>
  <c r="A7921" i="5"/>
  <c r="A7920" i="5"/>
  <c r="A7919" i="5"/>
  <c r="A7918" i="5"/>
  <c r="A7917" i="5"/>
  <c r="A7916" i="5"/>
  <c r="A7915" i="5"/>
  <c r="A7914" i="5"/>
  <c r="A7913" i="5"/>
  <c r="A7912" i="5"/>
  <c r="A7911" i="5"/>
  <c r="A7910" i="5"/>
  <c r="A7909" i="5"/>
  <c r="A7908" i="5"/>
  <c r="A7907" i="5"/>
  <c r="A7906" i="5"/>
  <c r="A7905" i="5"/>
  <c r="A7904" i="5"/>
  <c r="A7903" i="5"/>
  <c r="A7902" i="5"/>
  <c r="A7901" i="5"/>
  <c r="A7900" i="5"/>
  <c r="A7899" i="5"/>
  <c r="A7898" i="5"/>
  <c r="A7897" i="5"/>
  <c r="A7896" i="5"/>
  <c r="A7895" i="5"/>
  <c r="A7894" i="5"/>
  <c r="A7893" i="5"/>
  <c r="A7892" i="5"/>
  <c r="A7891" i="5"/>
  <c r="A7890" i="5"/>
  <c r="A7889" i="5"/>
  <c r="A7888" i="5"/>
  <c r="A7887" i="5"/>
  <c r="A7886" i="5"/>
  <c r="A7885" i="5"/>
  <c r="A7884" i="5"/>
  <c r="A7883" i="5"/>
  <c r="A7882" i="5"/>
  <c r="A7881" i="5"/>
  <c r="A7880" i="5"/>
  <c r="A7879" i="5"/>
  <c r="A7878" i="5"/>
  <c r="A7877" i="5"/>
  <c r="A7876" i="5"/>
  <c r="A7875" i="5"/>
  <c r="A7874" i="5"/>
  <c r="A7873" i="5"/>
  <c r="A7872" i="5"/>
  <c r="A7871" i="5"/>
  <c r="A7870" i="5"/>
  <c r="A7869" i="5"/>
  <c r="A7868" i="5"/>
  <c r="A7867" i="5"/>
  <c r="A7866" i="5"/>
  <c r="A7865" i="5"/>
  <c r="A7864" i="5"/>
  <c r="A7863" i="5"/>
  <c r="A7862" i="5"/>
  <c r="A7861" i="5"/>
  <c r="A7860" i="5"/>
  <c r="A7859" i="5"/>
  <c r="A7858" i="5"/>
  <c r="A7857" i="5"/>
  <c r="A7856" i="5"/>
  <c r="A7855" i="5"/>
  <c r="A7854" i="5"/>
  <c r="A7853" i="5"/>
  <c r="A7852" i="5"/>
  <c r="A7851" i="5"/>
  <c r="A7850" i="5"/>
  <c r="A7849" i="5"/>
  <c r="A7848" i="5"/>
  <c r="A7847" i="5"/>
  <c r="A7846" i="5"/>
  <c r="A7845" i="5"/>
  <c r="A7844" i="5"/>
  <c r="A7843" i="5"/>
  <c r="A7842" i="5"/>
  <c r="A7841" i="5"/>
  <c r="A7840" i="5"/>
  <c r="A7839" i="5"/>
  <c r="A7838" i="5"/>
  <c r="A7837" i="5"/>
  <c r="A7836" i="5"/>
  <c r="A7835" i="5"/>
  <c r="A7834" i="5"/>
  <c r="A7833" i="5"/>
  <c r="A7832" i="5"/>
  <c r="A7831" i="5"/>
  <c r="A7830" i="5"/>
  <c r="A7829" i="5"/>
  <c r="A7828" i="5"/>
  <c r="A7827" i="5"/>
  <c r="A7826" i="5"/>
  <c r="A7825" i="5"/>
  <c r="A7824" i="5"/>
  <c r="A7823" i="5"/>
  <c r="A7822" i="5"/>
  <c r="A7821" i="5"/>
  <c r="A7820" i="5"/>
  <c r="A7819" i="5"/>
  <c r="A7818" i="5"/>
  <c r="A7817" i="5"/>
  <c r="A7816" i="5"/>
  <c r="A7815" i="5"/>
  <c r="A7814" i="5"/>
  <c r="A7813" i="5"/>
  <c r="A7812" i="5"/>
  <c r="A7811" i="5"/>
  <c r="A7810" i="5"/>
  <c r="A7809" i="5"/>
  <c r="A7808" i="5"/>
  <c r="A7807" i="5"/>
  <c r="A7806" i="5"/>
  <c r="A7805" i="5"/>
  <c r="A7804" i="5"/>
  <c r="A7803" i="5"/>
  <c r="A7802" i="5"/>
  <c r="A7801" i="5"/>
  <c r="A7800" i="5"/>
  <c r="A7799" i="5"/>
  <c r="A7798" i="5"/>
  <c r="A7797" i="5"/>
  <c r="A7796" i="5"/>
  <c r="A7795" i="5"/>
  <c r="A7794" i="5"/>
  <c r="A7793" i="5"/>
  <c r="A7792" i="5"/>
  <c r="A7791" i="5"/>
  <c r="A7790" i="5"/>
  <c r="A7789" i="5"/>
  <c r="A7788" i="5"/>
  <c r="A7787" i="5"/>
  <c r="A7786" i="5"/>
  <c r="A7785" i="5"/>
  <c r="A7784" i="5"/>
  <c r="A7783" i="5"/>
  <c r="A7782" i="5"/>
  <c r="A7781" i="5"/>
  <c r="A7780" i="5"/>
  <c r="A7779" i="5"/>
  <c r="A7778" i="5"/>
  <c r="A7777" i="5"/>
  <c r="A7776" i="5"/>
  <c r="A7775" i="5"/>
  <c r="A7774" i="5"/>
  <c r="A7773" i="5"/>
  <c r="A7772" i="5"/>
  <c r="A7771" i="5"/>
  <c r="A7770" i="5"/>
  <c r="A7769" i="5"/>
  <c r="A7768" i="5"/>
  <c r="A7767" i="5"/>
  <c r="A7766" i="5"/>
  <c r="A7765" i="5"/>
  <c r="A7764" i="5"/>
  <c r="A7763" i="5"/>
  <c r="A7762" i="5"/>
  <c r="A7761" i="5"/>
  <c r="A7760" i="5"/>
  <c r="A7759" i="5"/>
  <c r="A7758" i="5"/>
  <c r="A7757" i="5"/>
  <c r="A7756" i="5"/>
  <c r="A7755" i="5"/>
  <c r="A7754" i="5"/>
  <c r="A7753" i="5"/>
  <c r="A7752" i="5"/>
  <c r="A7751" i="5"/>
  <c r="A7750" i="5"/>
  <c r="A7749" i="5"/>
  <c r="A7748" i="5"/>
  <c r="A7747" i="5"/>
  <c r="A7746" i="5"/>
  <c r="A7745" i="5"/>
  <c r="A7744" i="5"/>
  <c r="A7743" i="5"/>
  <c r="A7742" i="5"/>
  <c r="A7741" i="5"/>
  <c r="A7740" i="5"/>
  <c r="A7739" i="5"/>
  <c r="A7738" i="5"/>
  <c r="A7737" i="5"/>
  <c r="A7736" i="5"/>
  <c r="A7735" i="5"/>
  <c r="A7734" i="5"/>
  <c r="A7733" i="5"/>
  <c r="A7732" i="5"/>
  <c r="A7731" i="5"/>
  <c r="A7730" i="5"/>
  <c r="A7729" i="5"/>
  <c r="A7728" i="5"/>
  <c r="A7727" i="5"/>
  <c r="A7726" i="5"/>
  <c r="A7725" i="5"/>
  <c r="A7724" i="5"/>
  <c r="A7723" i="5"/>
  <c r="A7722" i="5"/>
  <c r="A7721" i="5"/>
  <c r="A7720" i="5"/>
  <c r="A7719" i="5"/>
  <c r="A7718" i="5"/>
  <c r="A7717" i="5"/>
  <c r="A7716" i="5"/>
  <c r="A7715" i="5"/>
  <c r="A7714" i="5"/>
  <c r="A7713" i="5"/>
  <c r="A7712" i="5"/>
  <c r="A7711" i="5"/>
  <c r="A7710" i="5"/>
  <c r="A7709" i="5"/>
  <c r="A7708" i="5"/>
  <c r="A7707" i="5"/>
  <c r="A7706" i="5"/>
  <c r="A7705" i="5"/>
  <c r="A7704" i="5"/>
  <c r="A7703" i="5"/>
  <c r="A7702" i="5"/>
  <c r="A7701" i="5"/>
  <c r="A7700" i="5"/>
  <c r="A7699" i="5"/>
  <c r="A7698" i="5"/>
  <c r="A7697" i="5"/>
  <c r="A7696" i="5"/>
  <c r="A7695" i="5"/>
  <c r="A7694" i="5"/>
  <c r="A7693" i="5"/>
  <c r="A7692" i="5"/>
  <c r="A7691" i="5"/>
  <c r="A7690" i="5"/>
  <c r="A7689" i="5"/>
  <c r="A7688" i="5"/>
  <c r="A7687" i="5"/>
  <c r="A7686" i="5"/>
  <c r="A7685" i="5"/>
  <c r="A7684" i="5"/>
  <c r="A7683" i="5"/>
  <c r="A7682" i="5"/>
  <c r="A7681" i="5"/>
  <c r="A7680" i="5"/>
  <c r="A7679" i="5"/>
  <c r="A7678" i="5"/>
  <c r="A7677" i="5"/>
  <c r="A7676" i="5"/>
  <c r="A7675" i="5"/>
  <c r="A7674" i="5"/>
  <c r="A7673" i="5"/>
  <c r="A7672" i="5"/>
  <c r="A7671" i="5"/>
  <c r="A7670" i="5"/>
  <c r="A7669" i="5"/>
  <c r="A7668" i="5"/>
  <c r="A7667" i="5"/>
  <c r="A7666" i="5"/>
  <c r="A7665" i="5"/>
  <c r="A7664" i="5"/>
  <c r="A7663" i="5"/>
  <c r="A7662" i="5"/>
  <c r="A7661" i="5"/>
  <c r="A7660" i="5"/>
  <c r="A7659" i="5"/>
  <c r="A7658" i="5"/>
  <c r="A7657" i="5"/>
  <c r="A7656" i="5"/>
  <c r="A7655" i="5"/>
  <c r="A7654" i="5"/>
  <c r="A7653" i="5"/>
  <c r="A7652" i="5"/>
  <c r="A7651" i="5"/>
  <c r="A7650" i="5"/>
  <c r="A7649" i="5"/>
  <c r="A7648" i="5"/>
  <c r="A7647" i="5"/>
  <c r="A7646" i="5"/>
  <c r="A7645" i="5"/>
  <c r="A7644" i="5"/>
  <c r="A7643" i="5"/>
  <c r="A7642" i="5"/>
  <c r="A7641" i="5"/>
  <c r="A7640" i="5"/>
  <c r="A7639" i="5"/>
  <c r="A7638" i="5"/>
  <c r="A7637" i="5"/>
  <c r="A7636" i="5"/>
  <c r="A7635" i="5"/>
  <c r="A7634" i="5"/>
  <c r="A7633" i="5"/>
  <c r="A7632" i="5"/>
  <c r="A7631" i="5"/>
  <c r="A7630" i="5"/>
  <c r="A7629" i="5"/>
  <c r="A7628" i="5"/>
  <c r="A7627" i="5"/>
  <c r="A7626" i="5"/>
  <c r="A7625" i="5"/>
  <c r="A7624" i="5"/>
  <c r="A7623" i="5"/>
  <c r="A7622" i="5"/>
  <c r="A7621" i="5"/>
  <c r="A7620" i="5"/>
  <c r="A7619" i="5"/>
  <c r="A7618" i="5"/>
  <c r="A7617" i="5"/>
  <c r="A7616" i="5"/>
  <c r="A7615" i="5"/>
  <c r="A7614" i="5"/>
  <c r="A7613" i="5"/>
  <c r="A7612" i="5"/>
  <c r="A7611" i="5"/>
  <c r="A7610" i="5"/>
  <c r="A7609" i="5"/>
  <c r="A7608" i="5"/>
  <c r="A7607" i="5"/>
  <c r="A7606" i="5"/>
  <c r="A7605" i="5"/>
  <c r="A7604" i="5"/>
  <c r="A7603" i="5"/>
  <c r="A7602" i="5"/>
  <c r="A7601" i="5"/>
  <c r="A7600" i="5"/>
  <c r="A7599" i="5"/>
  <c r="A7598" i="5"/>
  <c r="A7597" i="5"/>
  <c r="A7596" i="5"/>
  <c r="A7595" i="5"/>
  <c r="A7594" i="5"/>
  <c r="A7593" i="5"/>
  <c r="A7592" i="5"/>
  <c r="A7591" i="5"/>
  <c r="A7590" i="5"/>
  <c r="A7589" i="5"/>
  <c r="A7588" i="5"/>
  <c r="A7587" i="5"/>
  <c r="A7586" i="5"/>
  <c r="A7585" i="5"/>
  <c r="A7584" i="5"/>
  <c r="A7583" i="5"/>
  <c r="A7582" i="5"/>
  <c r="A7581" i="5"/>
  <c r="A7580" i="5"/>
  <c r="A7579" i="5"/>
  <c r="A7578" i="5"/>
  <c r="A7577" i="5"/>
  <c r="A7576" i="5"/>
  <c r="A7575" i="5"/>
  <c r="A7574" i="5"/>
  <c r="A7573" i="5"/>
  <c r="A7572" i="5"/>
  <c r="A7571" i="5"/>
  <c r="A7570" i="5"/>
  <c r="A7569" i="5"/>
  <c r="A7568" i="5"/>
  <c r="A7567" i="5"/>
  <c r="A7566" i="5"/>
  <c r="A7565" i="5"/>
  <c r="A7564" i="5"/>
  <c r="A7563" i="5"/>
  <c r="A7562" i="5"/>
  <c r="A7561" i="5"/>
  <c r="A7560" i="5"/>
  <c r="A7559" i="5"/>
  <c r="A7558" i="5"/>
  <c r="A7557" i="5"/>
  <c r="A7556" i="5"/>
  <c r="A7555" i="5"/>
  <c r="A7554" i="5"/>
  <c r="A7553" i="5"/>
  <c r="A7552" i="5"/>
  <c r="A7551" i="5"/>
  <c r="A7550" i="5"/>
  <c r="A7549" i="5"/>
  <c r="A7548" i="5"/>
  <c r="A7547" i="5"/>
  <c r="A7546" i="5"/>
  <c r="A7545" i="5"/>
  <c r="A7544" i="5"/>
  <c r="A7543" i="5"/>
  <c r="A7542" i="5"/>
  <c r="A7541" i="5"/>
  <c r="A7540" i="5"/>
  <c r="A7539" i="5"/>
  <c r="A7538" i="5"/>
  <c r="A7537" i="5"/>
  <c r="A7536" i="5"/>
  <c r="A7535" i="5"/>
  <c r="A7534" i="5"/>
  <c r="A7533" i="5"/>
  <c r="A7532" i="5"/>
  <c r="A7531" i="5"/>
  <c r="A7530" i="5"/>
  <c r="A7529" i="5"/>
  <c r="A7528" i="5"/>
  <c r="A7527" i="5"/>
  <c r="A7526" i="5"/>
  <c r="A7525" i="5"/>
  <c r="A7524" i="5"/>
  <c r="A7523" i="5"/>
  <c r="A7522" i="5"/>
  <c r="A7521" i="5"/>
  <c r="A7520" i="5"/>
  <c r="A7519" i="5"/>
  <c r="A7518" i="5"/>
  <c r="A7517" i="5"/>
  <c r="A7516" i="5"/>
  <c r="A7515" i="5"/>
  <c r="A7514" i="5"/>
  <c r="A7513" i="5"/>
  <c r="A7512" i="5"/>
  <c r="A7511" i="5"/>
  <c r="A7510" i="5"/>
  <c r="A7509" i="5"/>
  <c r="A7508" i="5"/>
  <c r="A7507" i="5"/>
  <c r="A7506" i="5"/>
  <c r="A7505" i="5"/>
  <c r="A7504" i="5"/>
  <c r="A7503" i="5"/>
  <c r="A7502" i="5"/>
  <c r="A7501" i="5"/>
  <c r="A7500" i="5"/>
  <c r="A7499" i="5"/>
  <c r="A7498" i="5"/>
  <c r="A7497" i="5"/>
  <c r="A7496" i="5"/>
  <c r="A7495" i="5"/>
  <c r="A7494" i="5"/>
  <c r="A7493" i="5"/>
  <c r="A7492" i="5"/>
  <c r="A7491" i="5"/>
  <c r="A7490" i="5"/>
  <c r="A7489" i="5"/>
  <c r="A7488" i="5"/>
  <c r="A7487" i="5"/>
  <c r="A7486" i="5"/>
  <c r="A7485" i="5"/>
  <c r="A7484" i="5"/>
  <c r="A7483" i="5"/>
  <c r="A7482" i="5"/>
  <c r="A7481" i="5"/>
  <c r="A7480" i="5"/>
  <c r="A7479" i="5"/>
  <c r="A7478" i="5"/>
  <c r="A7477" i="5"/>
  <c r="A7476" i="5"/>
  <c r="A7475" i="5"/>
  <c r="A7474" i="5"/>
  <c r="A7473" i="5"/>
  <c r="A7472" i="5"/>
  <c r="A7471" i="5"/>
  <c r="A7470" i="5"/>
  <c r="A7469" i="5"/>
  <c r="A7468" i="5"/>
  <c r="A7467" i="5"/>
  <c r="A7466" i="5"/>
  <c r="A7465" i="5"/>
  <c r="A7464" i="5"/>
  <c r="A7463" i="5"/>
  <c r="A7462" i="5"/>
  <c r="A7461" i="5"/>
  <c r="A7460" i="5"/>
  <c r="A7459" i="5"/>
  <c r="A7458" i="5"/>
  <c r="A7457" i="5"/>
  <c r="A7456" i="5"/>
  <c r="A7455" i="5"/>
  <c r="A7454" i="5"/>
  <c r="A7453" i="5"/>
  <c r="A7452" i="5"/>
  <c r="A7451" i="5"/>
  <c r="A7450" i="5"/>
  <c r="A7449" i="5"/>
  <c r="A7448" i="5"/>
  <c r="A7447" i="5"/>
  <c r="A7446" i="5"/>
  <c r="A7445" i="5"/>
  <c r="A7444" i="5"/>
  <c r="A7443" i="5"/>
  <c r="A7442" i="5"/>
  <c r="A7441" i="5"/>
  <c r="A7440" i="5"/>
  <c r="A7439" i="5"/>
  <c r="A7438" i="5"/>
  <c r="A7437" i="5"/>
  <c r="A7436" i="5"/>
  <c r="A7435" i="5"/>
  <c r="A7434" i="5"/>
  <c r="A7433" i="5"/>
  <c r="A7432" i="5"/>
  <c r="A7431" i="5"/>
  <c r="A7430" i="5"/>
  <c r="A7429" i="5"/>
  <c r="A7428" i="5"/>
  <c r="A7427" i="5"/>
  <c r="A7426" i="5"/>
  <c r="A7425" i="5"/>
  <c r="A7424" i="5"/>
  <c r="A7423" i="5"/>
  <c r="A7422" i="5"/>
  <c r="A7421" i="5"/>
  <c r="A7420" i="5"/>
  <c r="A7419" i="5"/>
  <c r="A7418" i="5"/>
  <c r="A7417" i="5"/>
  <c r="A7416" i="5"/>
  <c r="A7415" i="5"/>
  <c r="A7414" i="5"/>
  <c r="A7413" i="5"/>
  <c r="A7412" i="5"/>
  <c r="A7411" i="5"/>
  <c r="A7410" i="5"/>
  <c r="A7409" i="5"/>
  <c r="A7408" i="5"/>
  <c r="A7407" i="5"/>
  <c r="A7406" i="5"/>
  <c r="A7405" i="5"/>
  <c r="A7404" i="5"/>
  <c r="A7403" i="5"/>
  <c r="A7402" i="5"/>
  <c r="A7401" i="5"/>
  <c r="A7400" i="5"/>
  <c r="A7399" i="5"/>
  <c r="A7398" i="5"/>
  <c r="A7397" i="5"/>
  <c r="A7396" i="5"/>
  <c r="A7395" i="5"/>
  <c r="A7394" i="5"/>
  <c r="A7393" i="5"/>
  <c r="A7392" i="5"/>
  <c r="A7391" i="5"/>
  <c r="A7390" i="5"/>
  <c r="A7389" i="5"/>
  <c r="A7388" i="5"/>
  <c r="A7387" i="5"/>
  <c r="A7386" i="5"/>
  <c r="A7385" i="5"/>
  <c r="A7384" i="5"/>
  <c r="A7383" i="5"/>
  <c r="A7382" i="5"/>
  <c r="A7381" i="5"/>
  <c r="A7380" i="5"/>
  <c r="A7379" i="5"/>
  <c r="A7378" i="5"/>
  <c r="A7377" i="5"/>
  <c r="A7376" i="5"/>
  <c r="A7375" i="5"/>
  <c r="A7374" i="5"/>
  <c r="A7373" i="5"/>
  <c r="A7372" i="5"/>
  <c r="A7371" i="5"/>
  <c r="A7370" i="5"/>
  <c r="A7369" i="5"/>
  <c r="A7368" i="5"/>
  <c r="A7367" i="5"/>
  <c r="A7366" i="5"/>
  <c r="A7365" i="5"/>
  <c r="A7364" i="5"/>
  <c r="A7363" i="5"/>
  <c r="A7362" i="5"/>
  <c r="A7361" i="5"/>
  <c r="A7360" i="5"/>
  <c r="A7359" i="5"/>
  <c r="A7358" i="5"/>
  <c r="A7357" i="5"/>
  <c r="A7356" i="5"/>
  <c r="A7355" i="5"/>
  <c r="A7354" i="5"/>
  <c r="A7353" i="5"/>
  <c r="A7352" i="5"/>
  <c r="A7351" i="5"/>
  <c r="A7350" i="5"/>
  <c r="A7349" i="5"/>
  <c r="A7348" i="5"/>
  <c r="A7347" i="5"/>
  <c r="A7346" i="5"/>
  <c r="A7345" i="5"/>
  <c r="A7344" i="5"/>
  <c r="A7343" i="5"/>
  <c r="A7342" i="5"/>
  <c r="A7341" i="5"/>
  <c r="A7340" i="5"/>
  <c r="A7339" i="5"/>
  <c r="A7338" i="5"/>
  <c r="A7337" i="5"/>
  <c r="A7336" i="5"/>
  <c r="A7335" i="5"/>
  <c r="A7334" i="5"/>
  <c r="A7333" i="5"/>
  <c r="A7332" i="5"/>
  <c r="A7331" i="5"/>
  <c r="A7330" i="5"/>
  <c r="A7329" i="5"/>
  <c r="A7328" i="5"/>
  <c r="A7327" i="5"/>
  <c r="A7326" i="5"/>
  <c r="A7325" i="5"/>
  <c r="A7324" i="5"/>
  <c r="A7323" i="5"/>
  <c r="A7322" i="5"/>
  <c r="A7321" i="5"/>
  <c r="A7320" i="5"/>
  <c r="A7319" i="5"/>
  <c r="A7318" i="5"/>
  <c r="A7317" i="5"/>
  <c r="A7316" i="5"/>
  <c r="A7315" i="5"/>
  <c r="A7314" i="5"/>
  <c r="A7313" i="5"/>
  <c r="A7312" i="5"/>
  <c r="A7311" i="5"/>
  <c r="A7310" i="5"/>
  <c r="A7309" i="5"/>
  <c r="A7308" i="5"/>
  <c r="A7307" i="5"/>
  <c r="A7306" i="5"/>
  <c r="A7305" i="5"/>
  <c r="A7304" i="5"/>
  <c r="A7303" i="5"/>
  <c r="A7302" i="5"/>
  <c r="A7301" i="5"/>
  <c r="A7300" i="5"/>
  <c r="A7299" i="5"/>
  <c r="A7298" i="5"/>
  <c r="A7297" i="5"/>
  <c r="A7296" i="5"/>
  <c r="A7295" i="5"/>
  <c r="A7294" i="5"/>
  <c r="A7293" i="5"/>
  <c r="A7292" i="5"/>
  <c r="A7291" i="5"/>
  <c r="A7290" i="5"/>
  <c r="A7289" i="5"/>
  <c r="A7288" i="5"/>
  <c r="A7287" i="5"/>
  <c r="A7286" i="5"/>
  <c r="A7285" i="5"/>
  <c r="A7284" i="5"/>
  <c r="A7283" i="5"/>
  <c r="A7282" i="5"/>
  <c r="A7281" i="5"/>
  <c r="A7280" i="5"/>
  <c r="A7279" i="5"/>
  <c r="A7278" i="5"/>
  <c r="A7277" i="5"/>
  <c r="A7276" i="5"/>
  <c r="A7275" i="5"/>
  <c r="A7274" i="5"/>
  <c r="A7273" i="5"/>
  <c r="A7272" i="5"/>
  <c r="A7271" i="5"/>
  <c r="A7270" i="5"/>
  <c r="A7269" i="5"/>
  <c r="A7268" i="5"/>
  <c r="A7267" i="5"/>
  <c r="A7266" i="5"/>
  <c r="A7265" i="5"/>
  <c r="A7264" i="5"/>
  <c r="A7263" i="5"/>
  <c r="A7262" i="5"/>
  <c r="A7261" i="5"/>
  <c r="A7260" i="5"/>
  <c r="A7259" i="5"/>
  <c r="A7258" i="5"/>
  <c r="A7257" i="5"/>
  <c r="A7256" i="5"/>
  <c r="A7255" i="5"/>
  <c r="A7254" i="5"/>
  <c r="A7253" i="5"/>
  <c r="A7252" i="5"/>
  <c r="A7251" i="5"/>
  <c r="A7250" i="5"/>
  <c r="A7249" i="5"/>
  <c r="A7248" i="5"/>
  <c r="A7247" i="5"/>
  <c r="A7246" i="5"/>
  <c r="A7245" i="5"/>
  <c r="A7244" i="5"/>
  <c r="A7243" i="5"/>
  <c r="A7242" i="5"/>
  <c r="A7241" i="5"/>
  <c r="A7240" i="5"/>
  <c r="A7239" i="5"/>
  <c r="A7238" i="5"/>
  <c r="A7237" i="5"/>
  <c r="A7236" i="5"/>
  <c r="A7235" i="5"/>
  <c r="A7234" i="5"/>
  <c r="A7233" i="5"/>
  <c r="A7232" i="5"/>
  <c r="A7231" i="5"/>
  <c r="A7230" i="5"/>
  <c r="A7229" i="5"/>
  <c r="A7228" i="5"/>
  <c r="A7227" i="5"/>
  <c r="A7226" i="5"/>
  <c r="A7225" i="5"/>
  <c r="A7224" i="5"/>
  <c r="A7223" i="5"/>
  <c r="A7222" i="5"/>
  <c r="A7221" i="5"/>
  <c r="A7220" i="5"/>
  <c r="A7219" i="5"/>
  <c r="A7218" i="5"/>
  <c r="A7217" i="5"/>
  <c r="A7216" i="5"/>
  <c r="A7215" i="5"/>
  <c r="A7214" i="5"/>
  <c r="A7213" i="5"/>
  <c r="A7212" i="5"/>
  <c r="A7211" i="5"/>
  <c r="A7210" i="5"/>
  <c r="A7209" i="5"/>
  <c r="A7208" i="5"/>
  <c r="A7207" i="5"/>
  <c r="A7206" i="5"/>
  <c r="A7205" i="5"/>
  <c r="A7204" i="5"/>
  <c r="A7203" i="5"/>
  <c r="A7202" i="5"/>
  <c r="A7201" i="5"/>
  <c r="A7200" i="5"/>
  <c r="A7199" i="5"/>
  <c r="A7198" i="5"/>
  <c r="A7197" i="5"/>
  <c r="A7196" i="5"/>
  <c r="A7195" i="5"/>
  <c r="A7194" i="5"/>
  <c r="A7193" i="5"/>
  <c r="A7192" i="5"/>
  <c r="A7191" i="5"/>
  <c r="A7190" i="5"/>
  <c r="A7189" i="5"/>
  <c r="A7188" i="5"/>
  <c r="A7187" i="5"/>
  <c r="A7186" i="5"/>
  <c r="A7185" i="5"/>
  <c r="A7184" i="5"/>
  <c r="A7183" i="5"/>
  <c r="A7182" i="5"/>
  <c r="A7181" i="5"/>
  <c r="A7180" i="5"/>
  <c r="A7179" i="5"/>
  <c r="A7178" i="5"/>
  <c r="A7177" i="5"/>
  <c r="A7176" i="5"/>
  <c r="A7175" i="5"/>
  <c r="A7174" i="5"/>
  <c r="A7173" i="5"/>
  <c r="A7172" i="5"/>
  <c r="A7171" i="5"/>
  <c r="A7170" i="5"/>
  <c r="A7169" i="5"/>
  <c r="A7168" i="5"/>
  <c r="A7167" i="5"/>
  <c r="A7166" i="5"/>
  <c r="A7165" i="5"/>
  <c r="A7164" i="5"/>
  <c r="A7163" i="5"/>
  <c r="A7162" i="5"/>
  <c r="A7161" i="5"/>
  <c r="A7160" i="5"/>
  <c r="A7159" i="5"/>
  <c r="A7158" i="5"/>
  <c r="A7157" i="5"/>
  <c r="A7156" i="5"/>
  <c r="A7155" i="5"/>
  <c r="A7154" i="5"/>
  <c r="A7153" i="5"/>
  <c r="A7152" i="5"/>
  <c r="A7151" i="5"/>
  <c r="A7150" i="5"/>
  <c r="A7149" i="5"/>
  <c r="A7148" i="5"/>
  <c r="A7147" i="5"/>
  <c r="A7146" i="5"/>
  <c r="A7145" i="5"/>
  <c r="A7144" i="5"/>
  <c r="A7143" i="5"/>
  <c r="A7142" i="5"/>
  <c r="A7141" i="5"/>
  <c r="A7140" i="5"/>
  <c r="A7139" i="5"/>
  <c r="A7138" i="5"/>
  <c r="A7137" i="5"/>
  <c r="A7136" i="5"/>
  <c r="A7135" i="5"/>
  <c r="A7134" i="5"/>
  <c r="A7133" i="5"/>
  <c r="A7132" i="5"/>
  <c r="A7131" i="5"/>
  <c r="A7130" i="5"/>
  <c r="A7129" i="5"/>
  <c r="A7128" i="5"/>
  <c r="A7127" i="5"/>
  <c r="A7126" i="5"/>
  <c r="A7125" i="5"/>
  <c r="A7124" i="5"/>
  <c r="A7123" i="5"/>
  <c r="A7122" i="5"/>
  <c r="A7121" i="5"/>
  <c r="A7120" i="5"/>
  <c r="A7119" i="5"/>
  <c r="A7118" i="5"/>
  <c r="A7117" i="5"/>
  <c r="A7116" i="5"/>
  <c r="A7115" i="5"/>
  <c r="A7114" i="5"/>
  <c r="A7113" i="5"/>
  <c r="A7112" i="5"/>
  <c r="A7111" i="5"/>
  <c r="A7110" i="5"/>
  <c r="A7109" i="5"/>
  <c r="A7108" i="5"/>
  <c r="A7107" i="5"/>
  <c r="A7106" i="5"/>
  <c r="A7105" i="5"/>
  <c r="A7104" i="5"/>
  <c r="A7103" i="5"/>
  <c r="A7102" i="5"/>
  <c r="A7101" i="5"/>
  <c r="A7100" i="5"/>
  <c r="A7099" i="5"/>
  <c r="A7098" i="5"/>
  <c r="A7097" i="5"/>
  <c r="A7096" i="5"/>
  <c r="A7095" i="5"/>
  <c r="A7094" i="5"/>
  <c r="A7093" i="5"/>
  <c r="A7092" i="5"/>
  <c r="A7091" i="5"/>
  <c r="A7090" i="5"/>
  <c r="A7089" i="5"/>
  <c r="A7088" i="5"/>
  <c r="A7087" i="5"/>
  <c r="A7086" i="5"/>
  <c r="A7085" i="5"/>
  <c r="A7084" i="5"/>
  <c r="A7083" i="5"/>
  <c r="A7082" i="5"/>
  <c r="A7081" i="5"/>
  <c r="A7080" i="5"/>
  <c r="A7079" i="5"/>
  <c r="A7078" i="5"/>
  <c r="A7077" i="5"/>
  <c r="A7076" i="5"/>
  <c r="A7075" i="5"/>
  <c r="A7074" i="5"/>
  <c r="A7073" i="5"/>
  <c r="A7072" i="5"/>
  <c r="A7071" i="5"/>
  <c r="A7070" i="5"/>
  <c r="A7069" i="5"/>
  <c r="A7068" i="5"/>
  <c r="A7067" i="5"/>
  <c r="A7066" i="5"/>
  <c r="A7065" i="5"/>
  <c r="A7064" i="5"/>
  <c r="A7063" i="5"/>
  <c r="A7062" i="5"/>
  <c r="A7061" i="5"/>
  <c r="A7060" i="5"/>
  <c r="A7059" i="5"/>
  <c r="A7058" i="5"/>
  <c r="A7057" i="5"/>
  <c r="A7056" i="5"/>
  <c r="A7055" i="5"/>
  <c r="A7054" i="5"/>
  <c r="A7053" i="5"/>
  <c r="A7052" i="5"/>
  <c r="A7051" i="5"/>
  <c r="A7050" i="5"/>
  <c r="A7049" i="5"/>
  <c r="A7048" i="5"/>
  <c r="A7047" i="5"/>
  <c r="A7046" i="5"/>
  <c r="A7045" i="5"/>
  <c r="A7044" i="5"/>
  <c r="A7043" i="5"/>
  <c r="A7042" i="5"/>
  <c r="A7041" i="5"/>
  <c r="A7040" i="5"/>
  <c r="A7039" i="5"/>
  <c r="A7038" i="5"/>
  <c r="A7037" i="5"/>
  <c r="A7036" i="5"/>
  <c r="A7035" i="5"/>
  <c r="A7034" i="5"/>
  <c r="A7033" i="5"/>
  <c r="A7032" i="5"/>
  <c r="A7031" i="5"/>
  <c r="A7030" i="5"/>
  <c r="A7029" i="5"/>
  <c r="A7028" i="5"/>
  <c r="A7027" i="5"/>
  <c r="A7026" i="5"/>
  <c r="A7025" i="5"/>
  <c r="A7024" i="5"/>
  <c r="A7023" i="5"/>
  <c r="A7022" i="5"/>
  <c r="A7021" i="5"/>
  <c r="A7020" i="5"/>
  <c r="A7019" i="5"/>
  <c r="A7018" i="5"/>
  <c r="A7017" i="5"/>
  <c r="A7016" i="5"/>
  <c r="A7015" i="5"/>
  <c r="A7014" i="5"/>
  <c r="A7013" i="5"/>
  <c r="A7012" i="5"/>
  <c r="A7011" i="5"/>
  <c r="A7010" i="5"/>
  <c r="A7009" i="5"/>
  <c r="A7008" i="5"/>
  <c r="A7007" i="5"/>
  <c r="A7006" i="5"/>
  <c r="A7005" i="5"/>
  <c r="A7004" i="5"/>
  <c r="A7003" i="5"/>
  <c r="A7002" i="5"/>
  <c r="A7001" i="5"/>
  <c r="A7000" i="5"/>
  <c r="A6999" i="5"/>
  <c r="A6998" i="5"/>
  <c r="A6997" i="5"/>
  <c r="A6996" i="5"/>
  <c r="A6995" i="5"/>
  <c r="A6994" i="5"/>
  <c r="A6993" i="5"/>
  <c r="A6992" i="5"/>
  <c r="A6991" i="5"/>
  <c r="A6990" i="5"/>
  <c r="A6989" i="5"/>
  <c r="A6988" i="5"/>
  <c r="A6987" i="5"/>
  <c r="A6986" i="5"/>
  <c r="A6985" i="5"/>
  <c r="A6984" i="5"/>
  <c r="A6983" i="5"/>
  <c r="A6982" i="5"/>
  <c r="A6981" i="5"/>
  <c r="A6980" i="5"/>
  <c r="A6979" i="5"/>
  <c r="A6978" i="5"/>
  <c r="A6977" i="5"/>
  <c r="A6976" i="5"/>
  <c r="A6975" i="5"/>
  <c r="A6974" i="5"/>
  <c r="A6973" i="5"/>
  <c r="A6972" i="5"/>
  <c r="A6971" i="5"/>
  <c r="A6970" i="5"/>
  <c r="A6969" i="5"/>
  <c r="A6968" i="5"/>
  <c r="A6967" i="5"/>
  <c r="A6966" i="5"/>
  <c r="A6965" i="5"/>
  <c r="A6964" i="5"/>
  <c r="A6963" i="5"/>
  <c r="A6962" i="5"/>
  <c r="A6961" i="5"/>
  <c r="A6960" i="5"/>
  <c r="A6959" i="5"/>
  <c r="A6958" i="5"/>
  <c r="A6957" i="5"/>
  <c r="A6956" i="5"/>
  <c r="A6955" i="5"/>
  <c r="A6954" i="5"/>
  <c r="A6953" i="5"/>
  <c r="A6952" i="5"/>
  <c r="A6951" i="5"/>
  <c r="A6950" i="5"/>
  <c r="A6949" i="5"/>
  <c r="A6948" i="5"/>
  <c r="A6947" i="5"/>
  <c r="A6946" i="5"/>
  <c r="A6945" i="5"/>
  <c r="A6944" i="5"/>
  <c r="A6943" i="5"/>
  <c r="A6942" i="5"/>
  <c r="A6941" i="5"/>
  <c r="A6940" i="5"/>
  <c r="A6939" i="5"/>
  <c r="A6938" i="5"/>
  <c r="A6937" i="5"/>
  <c r="A6936" i="5"/>
  <c r="A6935" i="5"/>
  <c r="A6934" i="5"/>
  <c r="A6933" i="5"/>
  <c r="A6932" i="5"/>
  <c r="A6931" i="5"/>
  <c r="A6930" i="5"/>
  <c r="A6929" i="5"/>
  <c r="A6928" i="5"/>
  <c r="A6927" i="5"/>
  <c r="A6926" i="5"/>
  <c r="A6925" i="5"/>
  <c r="A6924" i="5"/>
  <c r="A6923" i="5"/>
  <c r="A6922" i="5"/>
  <c r="A6921" i="5"/>
  <c r="A6920" i="5"/>
  <c r="A6919" i="5"/>
  <c r="A6918" i="5"/>
  <c r="A6917" i="5"/>
  <c r="A6916" i="5"/>
  <c r="A6915" i="5"/>
  <c r="A6914" i="5"/>
  <c r="A6913" i="5"/>
  <c r="A6912" i="5"/>
  <c r="A6911" i="5"/>
  <c r="A6910" i="5"/>
  <c r="A6909" i="5"/>
  <c r="A6908" i="5"/>
  <c r="A6907" i="5"/>
  <c r="A6906" i="5"/>
  <c r="A6905" i="5"/>
  <c r="A6904" i="5"/>
  <c r="A6903" i="5"/>
  <c r="A6902" i="5"/>
  <c r="A6901" i="5"/>
  <c r="A6900" i="5"/>
  <c r="A6899" i="5"/>
  <c r="A6898" i="5"/>
  <c r="A6897" i="5"/>
  <c r="A6896" i="5"/>
  <c r="A6895" i="5"/>
  <c r="A6894" i="5"/>
  <c r="A6893" i="5"/>
  <c r="A6892" i="5"/>
  <c r="A6891" i="5"/>
  <c r="A6890" i="5"/>
  <c r="A6889" i="5"/>
  <c r="A6888" i="5"/>
  <c r="A6887" i="5"/>
  <c r="A6886" i="5"/>
  <c r="A6885" i="5"/>
  <c r="A6884" i="5"/>
  <c r="A6883" i="5"/>
  <c r="A6882" i="5"/>
  <c r="A6881" i="5"/>
  <c r="A6880" i="5"/>
  <c r="A6879" i="5"/>
  <c r="A6878" i="5"/>
  <c r="A6877" i="5"/>
  <c r="A6876" i="5"/>
  <c r="A6875" i="5"/>
  <c r="A6874" i="5"/>
  <c r="A6873" i="5"/>
  <c r="A6872" i="5"/>
  <c r="A6871" i="5"/>
  <c r="A6870" i="5"/>
  <c r="A6869" i="5"/>
  <c r="A6868" i="5"/>
  <c r="A6867" i="5"/>
  <c r="A6866" i="5"/>
  <c r="A6865" i="5"/>
  <c r="A6864" i="5"/>
  <c r="A6863" i="5"/>
  <c r="A6862" i="5"/>
  <c r="A6861" i="5"/>
  <c r="A6860" i="5"/>
  <c r="A6859" i="5"/>
  <c r="A6858" i="5"/>
  <c r="A6857" i="5"/>
  <c r="A6856" i="5"/>
  <c r="A6855" i="5"/>
  <c r="A6854" i="5"/>
  <c r="A6853" i="5"/>
  <c r="A6852" i="5"/>
  <c r="A6851" i="5"/>
  <c r="A6850" i="5"/>
  <c r="A6849" i="5"/>
  <c r="A6848" i="5"/>
  <c r="A6847" i="5"/>
  <c r="A6846" i="5"/>
  <c r="A6845" i="5"/>
  <c r="A6844" i="5"/>
  <c r="A6843" i="5"/>
  <c r="A6842" i="5"/>
  <c r="A6841" i="5"/>
  <c r="A6840" i="5"/>
  <c r="A6839" i="5"/>
  <c r="A6838" i="5"/>
  <c r="A6837" i="5"/>
  <c r="A6836" i="5"/>
  <c r="A6835" i="5"/>
  <c r="A6834" i="5"/>
  <c r="A6833" i="5"/>
  <c r="A6832" i="5"/>
  <c r="A6831" i="5"/>
  <c r="A6830" i="5"/>
  <c r="A6829" i="5"/>
  <c r="A6828" i="5"/>
  <c r="A6827" i="5"/>
  <c r="A6826" i="5"/>
  <c r="A6825" i="5"/>
  <c r="A6824" i="5"/>
  <c r="A6823" i="5"/>
  <c r="A6822" i="5"/>
  <c r="A6821" i="5"/>
  <c r="A6820" i="5"/>
  <c r="A6819" i="5"/>
  <c r="A6818" i="5"/>
  <c r="A6817" i="5"/>
  <c r="A6816" i="5"/>
  <c r="A6815" i="5"/>
  <c r="A6814" i="5"/>
  <c r="A6813" i="5"/>
  <c r="A6812" i="5"/>
  <c r="A6811" i="5"/>
  <c r="A6810" i="5"/>
  <c r="A6809" i="5"/>
  <c r="A6808" i="5"/>
  <c r="A6807" i="5"/>
  <c r="A6806" i="5"/>
  <c r="A6805" i="5"/>
  <c r="A6804" i="5"/>
  <c r="A6803" i="5"/>
  <c r="A6802" i="5"/>
  <c r="A6801" i="5"/>
  <c r="A6800" i="5"/>
  <c r="A6799" i="5"/>
  <c r="A6798" i="5"/>
  <c r="A6797" i="5"/>
  <c r="A6796" i="5"/>
  <c r="A6795" i="5"/>
  <c r="A6794" i="5"/>
  <c r="A6793" i="5"/>
  <c r="A6792" i="5"/>
  <c r="A6791" i="5"/>
  <c r="A6790" i="5"/>
  <c r="A6789" i="5"/>
  <c r="A6788" i="5"/>
  <c r="A6787" i="5"/>
  <c r="A6786" i="5"/>
  <c r="A6785" i="5"/>
  <c r="A6784" i="5"/>
  <c r="A6783" i="5"/>
  <c r="A6782" i="5"/>
  <c r="A6781" i="5"/>
  <c r="A6780" i="5"/>
  <c r="A6779" i="5"/>
  <c r="A6778" i="5"/>
  <c r="A6777" i="5"/>
  <c r="A6776" i="5"/>
  <c r="A6775" i="5"/>
  <c r="A6774" i="5"/>
  <c r="A6773" i="5"/>
  <c r="A6772" i="5"/>
  <c r="A6771" i="5"/>
  <c r="A6770" i="5"/>
  <c r="A6769" i="5"/>
  <c r="A6768" i="5"/>
  <c r="A6767" i="5"/>
  <c r="A6766" i="5"/>
  <c r="A6765" i="5"/>
  <c r="A6764" i="5"/>
  <c r="A6763" i="5"/>
  <c r="A6762" i="5"/>
  <c r="A6761" i="5"/>
  <c r="A6760" i="5"/>
  <c r="A6759" i="5"/>
  <c r="A6758" i="5"/>
  <c r="A6757" i="5"/>
  <c r="A6756" i="5"/>
  <c r="A6755" i="5"/>
  <c r="A6754" i="5"/>
  <c r="A6753" i="5"/>
  <c r="A6752" i="5"/>
  <c r="A6751" i="5"/>
  <c r="A6750" i="5"/>
  <c r="A6749" i="5"/>
  <c r="A6748" i="5"/>
  <c r="A6747" i="5"/>
  <c r="A6746" i="5"/>
  <c r="A6745" i="5"/>
  <c r="A6744" i="5"/>
  <c r="A6743" i="5"/>
  <c r="A6742" i="5"/>
  <c r="A6741" i="5"/>
  <c r="A6740" i="5"/>
  <c r="A6739" i="5"/>
  <c r="A6738" i="5"/>
  <c r="A6737" i="5"/>
  <c r="A6736" i="5"/>
  <c r="A6735" i="5"/>
  <c r="A6734" i="5"/>
  <c r="A6733" i="5"/>
  <c r="A6732" i="5"/>
  <c r="A6731" i="5"/>
  <c r="A6730" i="5"/>
  <c r="A6729" i="5"/>
  <c r="A6728" i="5"/>
  <c r="A6727" i="5"/>
  <c r="A6726" i="5"/>
  <c r="A6725" i="5"/>
  <c r="A6724" i="5"/>
  <c r="A6723" i="5"/>
  <c r="A6722" i="5"/>
  <c r="A6721" i="5"/>
  <c r="A6720" i="5"/>
  <c r="A6719" i="5"/>
  <c r="A6718" i="5"/>
  <c r="A6717" i="5"/>
  <c r="A6716" i="5"/>
  <c r="A6715" i="5"/>
  <c r="A6714" i="5"/>
  <c r="A6713" i="5"/>
  <c r="A6712" i="5"/>
  <c r="A6711" i="5"/>
  <c r="A6710" i="5"/>
  <c r="A6709" i="5"/>
  <c r="A6708" i="5"/>
  <c r="A6707" i="5"/>
  <c r="A6706" i="5"/>
  <c r="A6705" i="5"/>
  <c r="A6704" i="5"/>
  <c r="A6703" i="5"/>
  <c r="A6702" i="5"/>
  <c r="A6701" i="5"/>
  <c r="A6700" i="5"/>
  <c r="A6699" i="5"/>
  <c r="A6698" i="5"/>
  <c r="A6697" i="5"/>
  <c r="A6696" i="5"/>
  <c r="A6695" i="5"/>
  <c r="A6694" i="5"/>
  <c r="A6693" i="5"/>
  <c r="A6692" i="5"/>
  <c r="A6691" i="5"/>
  <c r="A6690" i="5"/>
  <c r="A6689" i="5"/>
  <c r="A6688" i="5"/>
  <c r="A6687" i="5"/>
  <c r="A6686" i="5"/>
  <c r="A6685" i="5"/>
  <c r="A6684" i="5"/>
  <c r="A6683" i="5"/>
  <c r="A6682" i="5"/>
  <c r="A6681" i="5"/>
  <c r="A6680" i="5"/>
  <c r="A6679" i="5"/>
  <c r="A6678" i="5"/>
  <c r="A6677" i="5"/>
  <c r="A6676" i="5"/>
  <c r="A6675" i="5"/>
  <c r="A6674" i="5"/>
  <c r="A6673" i="5"/>
  <c r="A6672" i="5"/>
  <c r="A6671" i="5"/>
  <c r="A6670" i="5"/>
  <c r="A6669" i="5"/>
  <c r="A6668" i="5"/>
  <c r="A6667" i="5"/>
  <c r="A6666" i="5"/>
  <c r="A6665" i="5"/>
  <c r="A6664" i="5"/>
  <c r="A6663" i="5"/>
  <c r="A6662" i="5"/>
  <c r="A6661" i="5"/>
  <c r="A6660" i="5"/>
  <c r="A6659" i="5"/>
  <c r="A6658" i="5"/>
  <c r="A6657" i="5"/>
  <c r="A6656" i="5"/>
  <c r="A6655" i="5"/>
  <c r="A6654" i="5"/>
  <c r="A6653" i="5"/>
  <c r="A6652" i="5"/>
  <c r="A6651" i="5"/>
  <c r="A6650" i="5"/>
  <c r="A6649" i="5"/>
  <c r="A6648" i="5"/>
  <c r="A6647" i="5"/>
  <c r="A6646" i="5"/>
  <c r="A6645" i="5"/>
  <c r="A6644" i="5"/>
  <c r="A6643" i="5"/>
  <c r="A6642" i="5"/>
  <c r="A6641" i="5"/>
  <c r="A6640" i="5"/>
  <c r="A6639" i="5"/>
  <c r="A6638" i="5"/>
  <c r="A6637" i="5"/>
  <c r="A6636" i="5"/>
  <c r="A6635" i="5"/>
  <c r="A6634" i="5"/>
  <c r="A6633" i="5"/>
  <c r="A6632" i="5"/>
  <c r="A6631" i="5"/>
  <c r="A6630" i="5"/>
  <c r="A6629" i="5"/>
  <c r="A6628" i="5"/>
  <c r="A6627" i="5"/>
  <c r="A6626" i="5"/>
  <c r="A6625" i="5"/>
  <c r="A6624" i="5"/>
  <c r="A6623" i="5"/>
  <c r="A6622" i="5"/>
  <c r="A6621" i="5"/>
  <c r="A6620" i="5"/>
  <c r="A6619" i="5"/>
  <c r="A6618" i="5"/>
  <c r="A6617" i="5"/>
  <c r="A6616" i="5"/>
  <c r="A6615" i="5"/>
  <c r="A6614" i="5"/>
  <c r="A6613" i="5"/>
  <c r="A6612" i="5"/>
  <c r="A6611" i="5"/>
  <c r="A6610" i="5"/>
  <c r="A6609" i="5"/>
  <c r="A6608" i="5"/>
  <c r="A6607" i="5"/>
  <c r="A6606" i="5"/>
  <c r="A6605" i="5"/>
  <c r="A6604" i="5"/>
  <c r="A6603" i="5"/>
  <c r="A6602" i="5"/>
  <c r="A6601" i="5"/>
  <c r="A6600" i="5"/>
  <c r="A6599" i="5"/>
  <c r="A6598" i="5"/>
  <c r="A6597" i="5"/>
  <c r="A6596" i="5"/>
  <c r="A6595" i="5"/>
  <c r="A6594" i="5"/>
  <c r="A6593" i="5"/>
  <c r="A6592" i="5"/>
  <c r="A6591" i="5"/>
  <c r="A6590" i="5"/>
  <c r="A6589" i="5"/>
  <c r="A6588" i="5"/>
  <c r="A6587" i="5"/>
  <c r="A6586" i="5"/>
  <c r="A6585" i="5"/>
  <c r="A6584" i="5"/>
  <c r="A6583" i="5"/>
  <c r="A6582" i="5"/>
  <c r="A6581" i="5"/>
  <c r="A6580" i="5"/>
  <c r="A6579" i="5"/>
  <c r="A6578" i="5"/>
  <c r="A6577" i="5"/>
  <c r="A6576" i="5"/>
  <c r="A6575" i="5"/>
  <c r="A6574" i="5"/>
  <c r="A6573" i="5"/>
  <c r="A6572" i="5"/>
  <c r="A6571" i="5"/>
  <c r="A6570" i="5"/>
  <c r="A6569" i="5"/>
  <c r="A6568" i="5"/>
  <c r="A6567" i="5"/>
  <c r="A6566" i="5"/>
  <c r="A6565" i="5"/>
  <c r="A6564" i="5"/>
  <c r="A6563" i="5"/>
  <c r="A6562" i="5"/>
  <c r="A6561" i="5"/>
  <c r="A6560" i="5"/>
  <c r="A6559" i="5"/>
  <c r="A6558" i="5"/>
  <c r="A6557" i="5"/>
  <c r="A6556" i="5"/>
  <c r="A6555" i="5"/>
  <c r="A6554" i="5"/>
  <c r="A6553" i="5"/>
  <c r="A6552" i="5"/>
  <c r="A6551" i="5"/>
  <c r="A6550" i="5"/>
  <c r="A6549" i="5"/>
  <c r="A6548" i="5"/>
  <c r="A6547" i="5"/>
  <c r="A6546" i="5"/>
  <c r="A6545" i="5"/>
  <c r="A6544" i="5"/>
  <c r="A6543" i="5"/>
  <c r="A6542" i="5"/>
  <c r="A6541" i="5"/>
  <c r="A6540" i="5"/>
  <c r="A6539" i="5"/>
  <c r="A6538" i="5"/>
  <c r="A6537" i="5"/>
  <c r="A6536" i="5"/>
  <c r="A6535" i="5"/>
  <c r="A6534" i="5"/>
  <c r="A6533" i="5"/>
  <c r="A6532" i="5"/>
  <c r="A6531" i="5"/>
  <c r="A6530" i="5"/>
  <c r="A6529" i="5"/>
  <c r="A6528" i="5"/>
  <c r="A6527" i="5"/>
  <c r="A6526" i="5"/>
  <c r="A6525" i="5"/>
  <c r="A6524" i="5"/>
  <c r="A6523" i="5"/>
  <c r="A6522" i="5"/>
  <c r="A6521" i="5"/>
  <c r="A6520" i="5"/>
  <c r="A6519" i="5"/>
  <c r="A6518" i="5"/>
  <c r="A6517" i="5"/>
  <c r="A6516" i="5"/>
  <c r="A6515" i="5"/>
  <c r="A6514" i="5"/>
  <c r="A6513" i="5"/>
  <c r="A6512" i="5"/>
  <c r="A6511" i="5"/>
  <c r="A6510" i="5"/>
  <c r="A6509" i="5"/>
  <c r="A6508" i="5"/>
  <c r="A6507" i="5"/>
  <c r="A6506" i="5"/>
  <c r="A6505" i="5"/>
  <c r="A6504" i="5"/>
  <c r="A6503" i="5"/>
  <c r="A6502" i="5"/>
  <c r="A6501" i="5"/>
  <c r="A6500" i="5"/>
  <c r="A6499" i="5"/>
  <c r="A6498" i="5"/>
  <c r="A6497" i="5"/>
  <c r="A6496" i="5"/>
  <c r="A6495" i="5"/>
  <c r="A6494" i="5"/>
  <c r="A6493" i="5"/>
  <c r="A6492" i="5"/>
  <c r="A6491" i="5"/>
  <c r="A6490" i="5"/>
  <c r="A6489" i="5"/>
  <c r="A6488" i="5"/>
  <c r="A6487" i="5"/>
  <c r="A6486" i="5"/>
  <c r="A6485" i="5"/>
  <c r="A6484" i="5"/>
  <c r="A6483" i="5"/>
  <c r="A6482" i="5"/>
  <c r="A6481" i="5"/>
  <c r="A6480" i="5"/>
  <c r="A6479" i="5"/>
  <c r="A6478" i="5"/>
  <c r="A6477" i="5"/>
  <c r="A6476" i="5"/>
  <c r="A6475" i="5"/>
  <c r="A6474" i="5"/>
  <c r="A6473" i="5"/>
  <c r="A6472" i="5"/>
  <c r="A6471" i="5"/>
  <c r="A6470" i="5"/>
  <c r="A6469" i="5"/>
  <c r="A6468" i="5"/>
  <c r="A6467" i="5"/>
  <c r="A6466" i="5"/>
  <c r="A6465" i="5"/>
  <c r="A6464" i="5"/>
  <c r="A6463" i="5"/>
  <c r="A6462" i="5"/>
  <c r="A6461" i="5"/>
  <c r="A6460" i="5"/>
  <c r="A6459" i="5"/>
  <c r="A6458" i="5"/>
  <c r="A6457" i="5"/>
  <c r="A6456" i="5"/>
  <c r="A6455" i="5"/>
  <c r="A6454" i="5"/>
  <c r="A6453" i="5"/>
  <c r="A6452" i="5"/>
  <c r="A6451" i="5"/>
  <c r="A6450" i="5"/>
  <c r="A6449" i="5"/>
  <c r="A6448" i="5"/>
  <c r="A6447" i="5"/>
  <c r="A6446" i="5"/>
  <c r="A6445" i="5"/>
  <c r="A6444" i="5"/>
  <c r="A6443" i="5"/>
  <c r="A6442" i="5"/>
  <c r="A6441" i="5"/>
  <c r="A6440" i="5"/>
  <c r="A6439" i="5"/>
  <c r="A6438" i="5"/>
  <c r="A6437" i="5"/>
  <c r="A6436" i="5"/>
  <c r="A6435" i="5"/>
  <c r="A6434" i="5"/>
  <c r="A6433" i="5"/>
  <c r="A6432" i="5"/>
  <c r="A6431" i="5"/>
  <c r="A6430" i="5"/>
  <c r="A6429" i="5"/>
  <c r="A6428" i="5"/>
  <c r="A6427" i="5"/>
  <c r="A6426" i="5"/>
  <c r="A6425" i="5"/>
  <c r="A6424" i="5"/>
  <c r="A6423" i="5"/>
  <c r="A6422" i="5"/>
  <c r="A6421" i="5"/>
  <c r="A6420" i="5"/>
  <c r="A6419" i="5"/>
  <c r="A6418" i="5"/>
  <c r="A6417" i="5"/>
  <c r="A6416" i="5"/>
  <c r="A6415" i="5"/>
  <c r="A6414" i="5"/>
  <c r="A6413" i="5"/>
  <c r="A6412" i="5"/>
  <c r="A6411" i="5"/>
  <c r="A6410" i="5"/>
  <c r="A6409" i="5"/>
  <c r="A6408" i="5"/>
  <c r="A6407" i="5"/>
  <c r="A6406" i="5"/>
  <c r="A6405" i="5"/>
  <c r="A6404" i="5"/>
  <c r="A6403" i="5"/>
  <c r="A6402" i="5"/>
  <c r="A6401" i="5"/>
  <c r="A6400" i="5"/>
  <c r="A6399" i="5"/>
  <c r="A6398" i="5"/>
  <c r="A6397" i="5"/>
  <c r="A6396" i="5"/>
  <c r="A6395" i="5"/>
  <c r="A6394" i="5"/>
  <c r="A6393" i="5"/>
  <c r="A6392" i="5"/>
  <c r="A6391" i="5"/>
  <c r="A6390" i="5"/>
  <c r="A6389" i="5"/>
  <c r="A6388" i="5"/>
  <c r="A6387" i="5"/>
  <c r="A6386" i="5"/>
  <c r="A6385" i="5"/>
  <c r="A6384" i="5"/>
  <c r="A6383" i="5"/>
  <c r="A6382" i="5"/>
  <c r="A6381" i="5"/>
  <c r="A6380" i="5"/>
  <c r="A6379" i="5"/>
  <c r="A6378" i="5"/>
  <c r="A6377" i="5"/>
  <c r="A6376" i="5"/>
  <c r="A6375" i="5"/>
  <c r="A6374" i="5"/>
  <c r="A6373" i="5"/>
  <c r="A6372" i="5"/>
  <c r="A6371" i="5"/>
  <c r="A6370" i="5"/>
  <c r="A6369" i="5"/>
  <c r="A6368" i="5"/>
  <c r="A6367" i="5"/>
  <c r="A6366" i="5"/>
  <c r="A6365" i="5"/>
  <c r="A6364" i="5"/>
  <c r="A6363" i="5"/>
  <c r="A6362" i="5"/>
  <c r="A6361" i="5"/>
  <c r="A6360" i="5"/>
  <c r="A6359" i="5"/>
  <c r="A6358" i="5"/>
  <c r="A6357" i="5"/>
  <c r="A6356" i="5"/>
  <c r="A6355" i="5"/>
  <c r="A6354" i="5"/>
  <c r="A6353" i="5"/>
  <c r="A6352" i="5"/>
  <c r="A6351" i="5"/>
  <c r="A6350" i="5"/>
  <c r="A6349" i="5"/>
  <c r="A6348" i="5"/>
  <c r="A6347" i="5"/>
  <c r="A6346" i="5"/>
  <c r="A6345" i="5"/>
  <c r="A6344" i="5"/>
  <c r="A6343" i="5"/>
  <c r="A6342" i="5"/>
  <c r="A6341" i="5"/>
  <c r="A6340" i="5"/>
  <c r="A6339" i="5"/>
  <c r="A6338" i="5"/>
  <c r="A6337" i="5"/>
  <c r="A6336" i="5"/>
  <c r="A6335" i="5"/>
  <c r="A6334" i="5"/>
  <c r="A6333" i="5"/>
  <c r="A6332" i="5"/>
  <c r="A6331" i="5"/>
  <c r="A6330" i="5"/>
  <c r="A6329" i="5"/>
  <c r="A6328" i="5"/>
  <c r="A6327" i="5"/>
  <c r="A6326" i="5"/>
  <c r="A6325" i="5"/>
  <c r="A6324" i="5"/>
  <c r="A6323" i="5"/>
  <c r="A6322" i="5"/>
  <c r="A6321" i="5"/>
  <c r="A6320" i="5"/>
  <c r="A6319" i="5"/>
  <c r="A6318" i="5"/>
  <c r="A6317" i="5"/>
  <c r="A6316" i="5"/>
  <c r="A6315" i="5"/>
  <c r="A6314" i="5"/>
  <c r="A6313" i="5"/>
  <c r="A6312" i="5"/>
  <c r="A6311" i="5"/>
  <c r="A6310" i="5"/>
  <c r="A6309" i="5"/>
  <c r="A6308" i="5"/>
  <c r="A6307" i="5"/>
  <c r="A6306" i="5"/>
  <c r="A6305" i="5"/>
  <c r="A6304" i="5"/>
  <c r="A6303" i="5"/>
  <c r="A6302" i="5"/>
  <c r="A6301" i="5"/>
  <c r="A6300" i="5"/>
  <c r="A6299" i="5"/>
  <c r="A6298" i="5"/>
  <c r="A6297" i="5"/>
  <c r="A6296" i="5"/>
  <c r="A6295" i="5"/>
  <c r="A6294" i="5"/>
  <c r="A6293" i="5"/>
  <c r="A6292" i="5"/>
  <c r="A6291" i="5"/>
  <c r="A6290" i="5"/>
  <c r="A6289" i="5"/>
  <c r="A6288" i="5"/>
  <c r="A6287" i="5"/>
  <c r="A6286" i="5"/>
  <c r="A6285" i="5"/>
  <c r="A6284" i="5"/>
  <c r="A6283" i="5"/>
  <c r="A6282" i="5"/>
  <c r="A6281" i="5"/>
  <c r="A6280" i="5"/>
  <c r="A6279" i="5"/>
  <c r="A6278" i="5"/>
  <c r="A6277" i="5"/>
  <c r="A6276" i="5"/>
  <c r="A6275" i="5"/>
  <c r="A6274" i="5"/>
  <c r="A6273" i="5"/>
  <c r="A6272" i="5"/>
  <c r="A6271" i="5"/>
  <c r="A6270" i="5"/>
  <c r="A6269" i="5"/>
  <c r="A6268" i="5"/>
  <c r="A6267" i="5"/>
  <c r="A6266" i="5"/>
  <c r="A6265" i="5"/>
  <c r="A6264" i="5"/>
  <c r="A6263" i="5"/>
  <c r="A6262" i="5"/>
  <c r="A6261" i="5"/>
  <c r="A6260" i="5"/>
  <c r="A6259" i="5"/>
  <c r="A6258" i="5"/>
  <c r="A6257" i="5"/>
  <c r="A6256" i="5"/>
  <c r="A6255" i="5"/>
  <c r="A6254" i="5"/>
  <c r="A6253" i="5"/>
  <c r="A6252" i="5"/>
  <c r="A6251" i="5"/>
  <c r="A6250" i="5"/>
  <c r="A6249" i="5"/>
  <c r="A6248" i="5"/>
  <c r="A6247" i="5"/>
  <c r="A6246" i="5"/>
  <c r="A6245" i="5"/>
  <c r="A6244" i="5"/>
  <c r="A6243" i="5"/>
  <c r="A6242" i="5"/>
  <c r="A6241" i="5"/>
  <c r="A6240" i="5"/>
  <c r="A6239" i="5"/>
  <c r="A6238" i="5"/>
  <c r="A6237" i="5"/>
  <c r="A6236" i="5"/>
  <c r="A6235" i="5"/>
  <c r="A6234" i="5"/>
  <c r="A6233" i="5"/>
  <c r="A6232" i="5"/>
  <c r="A6231" i="5"/>
  <c r="A6230" i="5"/>
  <c r="A6229" i="5"/>
  <c r="A6228" i="5"/>
  <c r="A6227" i="5"/>
  <c r="A6226" i="5"/>
  <c r="A6225" i="5"/>
  <c r="A6224" i="5"/>
  <c r="A6223" i="5"/>
  <c r="A6222" i="5"/>
  <c r="A6221" i="5"/>
  <c r="A6220" i="5"/>
  <c r="A6219" i="5"/>
  <c r="A6218" i="5"/>
  <c r="A6217" i="5"/>
  <c r="A6216" i="5"/>
  <c r="A6215" i="5"/>
  <c r="A6214" i="5"/>
  <c r="A6213" i="5"/>
  <c r="A6212" i="5"/>
  <c r="A6211" i="5"/>
  <c r="A6210" i="5"/>
  <c r="A6209" i="5"/>
  <c r="A6208" i="5"/>
  <c r="A6207" i="5"/>
  <c r="A6206" i="5"/>
  <c r="A6205" i="5"/>
  <c r="A6204" i="5"/>
  <c r="A6203" i="5"/>
  <c r="A6202" i="5"/>
  <c r="A6201" i="5"/>
  <c r="A6200" i="5"/>
  <c r="A6199" i="5"/>
  <c r="A6198" i="5"/>
  <c r="A6197" i="5"/>
  <c r="A6196" i="5"/>
  <c r="A6195" i="5"/>
  <c r="A6194" i="5"/>
  <c r="A6193" i="5"/>
  <c r="A6192" i="5"/>
  <c r="A6191" i="5"/>
  <c r="A6190" i="5"/>
  <c r="A6189" i="5"/>
  <c r="A6188" i="5"/>
  <c r="A6187" i="5"/>
  <c r="A6186" i="5"/>
  <c r="A6185" i="5"/>
  <c r="A6184" i="5"/>
  <c r="A6183" i="5"/>
  <c r="A6182" i="5"/>
  <c r="A6181" i="5"/>
  <c r="A6180" i="5"/>
  <c r="A6179" i="5"/>
  <c r="A6178" i="5"/>
  <c r="A6177" i="5"/>
  <c r="A6176" i="5"/>
  <c r="A6175" i="5"/>
  <c r="A6174" i="5"/>
  <c r="A6173" i="5"/>
  <c r="A6172" i="5"/>
  <c r="A6171" i="5"/>
  <c r="A6170" i="5"/>
  <c r="A6169" i="5"/>
  <c r="A6168" i="5"/>
  <c r="A6167" i="5"/>
  <c r="A6166" i="5"/>
  <c r="A6165" i="5"/>
  <c r="A6164" i="5"/>
  <c r="A6163" i="5"/>
  <c r="A6162" i="5"/>
  <c r="A6161" i="5"/>
  <c r="A6160" i="5"/>
  <c r="A6159" i="5"/>
  <c r="A6158" i="5"/>
  <c r="A6157" i="5"/>
  <c r="A6156" i="5"/>
  <c r="A6155" i="5"/>
  <c r="A6154" i="5"/>
  <c r="A6153" i="5"/>
  <c r="A6152" i="5"/>
  <c r="A6151" i="5"/>
  <c r="A6150" i="5"/>
  <c r="A6149" i="5"/>
  <c r="A6148" i="5"/>
  <c r="A6147" i="5"/>
  <c r="A6146" i="5"/>
  <c r="A6145" i="5"/>
  <c r="A6144" i="5"/>
  <c r="A6143" i="5"/>
  <c r="A6142" i="5"/>
  <c r="A6141" i="5"/>
  <c r="A6140" i="5"/>
  <c r="A6139" i="5"/>
  <c r="A6138" i="5"/>
  <c r="A6137" i="5"/>
  <c r="A6136" i="5"/>
  <c r="A6135" i="5"/>
  <c r="A6134" i="5"/>
  <c r="A6133" i="5"/>
  <c r="A6132" i="5"/>
  <c r="A6131" i="5"/>
  <c r="A6130" i="5"/>
  <c r="A6129" i="5"/>
  <c r="A6128" i="5"/>
  <c r="A6127" i="5"/>
  <c r="A6126" i="5"/>
  <c r="A6125" i="5"/>
  <c r="A6124" i="5"/>
  <c r="A6123" i="5"/>
  <c r="A6122" i="5"/>
  <c r="A6121" i="5"/>
  <c r="A6120" i="5"/>
  <c r="A6119" i="5"/>
  <c r="A6118" i="5"/>
  <c r="A6117" i="5"/>
  <c r="A6116" i="5"/>
  <c r="A6115" i="5"/>
  <c r="A6114" i="5"/>
  <c r="A6113" i="5"/>
  <c r="A6112" i="5"/>
  <c r="A6111" i="5"/>
  <c r="A6110" i="5"/>
  <c r="A6109" i="5"/>
  <c r="A6108" i="5"/>
  <c r="A6107" i="5"/>
  <c r="A6106" i="5"/>
  <c r="A6105" i="5"/>
  <c r="A6104" i="5"/>
  <c r="A6103" i="5"/>
  <c r="A6102" i="5"/>
  <c r="A6101" i="5"/>
  <c r="A6100" i="5"/>
  <c r="A6099" i="5"/>
  <c r="A6098" i="5"/>
  <c r="A6097" i="5"/>
  <c r="A6096" i="5"/>
  <c r="A6095" i="5"/>
  <c r="A6094" i="5"/>
  <c r="A6093" i="5"/>
  <c r="A6092" i="5"/>
  <c r="A6091" i="5"/>
  <c r="A6090" i="5"/>
  <c r="A6089" i="5"/>
  <c r="A6088" i="5"/>
  <c r="A6087" i="5"/>
  <c r="A6086" i="5"/>
  <c r="A6085" i="5"/>
  <c r="A6084" i="5"/>
  <c r="A6083" i="5"/>
  <c r="A6082" i="5"/>
  <c r="A6081" i="5"/>
  <c r="A6080" i="5"/>
  <c r="A6079" i="5"/>
  <c r="A6078" i="5"/>
  <c r="A6077" i="5"/>
  <c r="A6076" i="5"/>
  <c r="A6075" i="5"/>
  <c r="A6074" i="5"/>
  <c r="A6073" i="5"/>
  <c r="A6072" i="5"/>
  <c r="A6071" i="5"/>
  <c r="A6070" i="5"/>
  <c r="A6069" i="5"/>
  <c r="A6068" i="5"/>
  <c r="A6067" i="5"/>
  <c r="A6066" i="5"/>
  <c r="A6065" i="5"/>
  <c r="A6064" i="5"/>
  <c r="A6063" i="5"/>
  <c r="A6062" i="5"/>
  <c r="A6061" i="5"/>
  <c r="A6060" i="5"/>
  <c r="A6059" i="5"/>
  <c r="A6058" i="5"/>
  <c r="A6057" i="5"/>
  <c r="A6056" i="5"/>
  <c r="A6055" i="5"/>
  <c r="A6054" i="5"/>
  <c r="A6053" i="5"/>
  <c r="A6052" i="5"/>
  <c r="A6051" i="5"/>
  <c r="A6050" i="5"/>
  <c r="A6049" i="5"/>
  <c r="A6048" i="5"/>
  <c r="A6047" i="5"/>
  <c r="A6046" i="5"/>
  <c r="A6045" i="5"/>
  <c r="A6044" i="5"/>
  <c r="A6043" i="5"/>
  <c r="A6042" i="5"/>
  <c r="A6041" i="5"/>
  <c r="A6040" i="5"/>
  <c r="A6039" i="5"/>
  <c r="A6038" i="5"/>
  <c r="A6037" i="5"/>
  <c r="A6036" i="5"/>
  <c r="A6035" i="5"/>
  <c r="A6034" i="5"/>
  <c r="A6033" i="5"/>
  <c r="A6032" i="5"/>
  <c r="A6031" i="5"/>
  <c r="A6030" i="5"/>
  <c r="A6029" i="5"/>
  <c r="A6028" i="5"/>
  <c r="A6027" i="5"/>
  <c r="A6026" i="5"/>
  <c r="A6025" i="5"/>
  <c r="A6024" i="5"/>
  <c r="A6023" i="5"/>
  <c r="A6022" i="5"/>
  <c r="A6021" i="5"/>
  <c r="A6020" i="5"/>
  <c r="A6019" i="5"/>
  <c r="A6018" i="5"/>
  <c r="A6017" i="5"/>
  <c r="A6016" i="5"/>
  <c r="A6015" i="5"/>
  <c r="A6014" i="5"/>
  <c r="A6013" i="5"/>
  <c r="A6012" i="5"/>
  <c r="A6011" i="5"/>
  <c r="A6010" i="5"/>
  <c r="A6009" i="5"/>
  <c r="A6008" i="5"/>
  <c r="A6007" i="5"/>
  <c r="A6006" i="5"/>
  <c r="A6005" i="5"/>
  <c r="A6004" i="5"/>
  <c r="A6003" i="5"/>
  <c r="A6002" i="5"/>
  <c r="A6001" i="5"/>
  <c r="A6000" i="5"/>
  <c r="A5999" i="5"/>
  <c r="A5998" i="5"/>
  <c r="A5997" i="5"/>
  <c r="A5996" i="5"/>
  <c r="A5995" i="5"/>
  <c r="A5994" i="5"/>
  <c r="A5993" i="5"/>
  <c r="A5992" i="5"/>
  <c r="A5991" i="5"/>
  <c r="A5990" i="5"/>
  <c r="A5989" i="5"/>
  <c r="A5988" i="5"/>
  <c r="A5987" i="5"/>
  <c r="A5986" i="5"/>
  <c r="A5985" i="5"/>
  <c r="A5984" i="5"/>
  <c r="A5983" i="5"/>
  <c r="A5982" i="5"/>
  <c r="A5981" i="5"/>
  <c r="A5980" i="5"/>
  <c r="A5979" i="5"/>
  <c r="A5978" i="5"/>
  <c r="A5977" i="5"/>
  <c r="A5976" i="5"/>
  <c r="A5975" i="5"/>
  <c r="A5974" i="5"/>
  <c r="A5973" i="5"/>
  <c r="A5972" i="5"/>
  <c r="A5971" i="5"/>
  <c r="A5970" i="5"/>
  <c r="A5969" i="5"/>
  <c r="A5968" i="5"/>
  <c r="A5967" i="5"/>
  <c r="A5966" i="5"/>
  <c r="A5965" i="5"/>
  <c r="A5964" i="5"/>
  <c r="A5963" i="5"/>
  <c r="A5962" i="5"/>
  <c r="A5961" i="5"/>
  <c r="A5960" i="5"/>
  <c r="A5959" i="5"/>
  <c r="A5958" i="5"/>
  <c r="A5957" i="5"/>
  <c r="A5956" i="5"/>
  <c r="A5955" i="5"/>
  <c r="A5954" i="5"/>
  <c r="A5953" i="5"/>
  <c r="A5952" i="5"/>
  <c r="A5951" i="5"/>
  <c r="A5950" i="5"/>
  <c r="A5949" i="5"/>
  <c r="A5948" i="5"/>
  <c r="A5947" i="5"/>
  <c r="A5946" i="5"/>
  <c r="A5945" i="5"/>
  <c r="A5944" i="5"/>
  <c r="A5943" i="5"/>
  <c r="A5942" i="5"/>
  <c r="A5941" i="5"/>
  <c r="A5940" i="5"/>
  <c r="A5939" i="5"/>
  <c r="A5938" i="5"/>
  <c r="A5937" i="5"/>
  <c r="A5936" i="5"/>
  <c r="A5935" i="5"/>
  <c r="A5934" i="5"/>
  <c r="A5933" i="5"/>
  <c r="A5932" i="5"/>
  <c r="A5931" i="5"/>
  <c r="A5930" i="5"/>
  <c r="A5929" i="5"/>
  <c r="A5928" i="5"/>
  <c r="A5927" i="5"/>
  <c r="A5926" i="5"/>
  <c r="A5925" i="5"/>
  <c r="A5924" i="5"/>
  <c r="A5923" i="5"/>
  <c r="A5922" i="5"/>
  <c r="A5921" i="5"/>
  <c r="A5920" i="5"/>
  <c r="A5919" i="5"/>
  <c r="A5918" i="5"/>
  <c r="A5917" i="5"/>
  <c r="A5916" i="5"/>
  <c r="A5915" i="5"/>
  <c r="A5914" i="5"/>
  <c r="A5913" i="5"/>
  <c r="A5912" i="5"/>
  <c r="A5911" i="5"/>
  <c r="A5910" i="5"/>
  <c r="A5909" i="5"/>
  <c r="A5908" i="5"/>
  <c r="A5907" i="5"/>
  <c r="A5906" i="5"/>
  <c r="A5905" i="5"/>
  <c r="A5904" i="5"/>
  <c r="A5903" i="5"/>
  <c r="A5902" i="5"/>
  <c r="A5901" i="5"/>
  <c r="A5900" i="5"/>
  <c r="A5899" i="5"/>
  <c r="A5898" i="5"/>
  <c r="A5897" i="5"/>
  <c r="A5896" i="5"/>
  <c r="A5895" i="5"/>
  <c r="A5894" i="5"/>
  <c r="A5893" i="5"/>
  <c r="A5892" i="5"/>
  <c r="A5891" i="5"/>
  <c r="A5890" i="5"/>
  <c r="A5889" i="5"/>
  <c r="A5888" i="5"/>
  <c r="A5887" i="5"/>
  <c r="A5886" i="5"/>
  <c r="A5885" i="5"/>
  <c r="A5884" i="5"/>
  <c r="A5883" i="5"/>
  <c r="A5882" i="5"/>
  <c r="A5881" i="5"/>
  <c r="A5880" i="5"/>
  <c r="A5879" i="5"/>
  <c r="A5878" i="5"/>
  <c r="A5877" i="5"/>
  <c r="A5876" i="5"/>
  <c r="A5875" i="5"/>
  <c r="A5874" i="5"/>
  <c r="A5873" i="5"/>
  <c r="A5872" i="5"/>
  <c r="A5871" i="5"/>
  <c r="A5870" i="5"/>
  <c r="A5869" i="5"/>
  <c r="A5868" i="5"/>
  <c r="A5867" i="5"/>
  <c r="A5866" i="5"/>
  <c r="A5865" i="5"/>
  <c r="A5864" i="5"/>
  <c r="A5863" i="5"/>
  <c r="A5862" i="5"/>
  <c r="A5861" i="5"/>
  <c r="A5860" i="5"/>
  <c r="A5859" i="5"/>
  <c r="A5858" i="5"/>
  <c r="A5857" i="5"/>
  <c r="A5856" i="5"/>
  <c r="A5855" i="5"/>
  <c r="A5854" i="5"/>
  <c r="A5853" i="5"/>
  <c r="A5852" i="5"/>
  <c r="A5851" i="5"/>
  <c r="A5850" i="5"/>
  <c r="A5849" i="5"/>
  <c r="A5848" i="5"/>
  <c r="A5847" i="5"/>
  <c r="A5846" i="5"/>
  <c r="A5845" i="5"/>
  <c r="A5844" i="5"/>
  <c r="A5843" i="5"/>
  <c r="A5842" i="5"/>
  <c r="A5841" i="5"/>
  <c r="A5840" i="5"/>
  <c r="A5839" i="5"/>
  <c r="A5838" i="5"/>
  <c r="A5837" i="5"/>
  <c r="A5836" i="5"/>
  <c r="A5835" i="5"/>
  <c r="A5834" i="5"/>
  <c r="A5833" i="5"/>
  <c r="A5832" i="5"/>
  <c r="A5831" i="5"/>
  <c r="A5830" i="5"/>
  <c r="A5829" i="5"/>
  <c r="A5828" i="5"/>
  <c r="A5827" i="5"/>
  <c r="A5826" i="5"/>
  <c r="A5825" i="5"/>
  <c r="A5824" i="5"/>
  <c r="A5823" i="5"/>
  <c r="A5822" i="5"/>
  <c r="A5821" i="5"/>
  <c r="A5820" i="5"/>
  <c r="A5819" i="5"/>
  <c r="A5818" i="5"/>
  <c r="A5817" i="5"/>
  <c r="A5816" i="5"/>
  <c r="A5815" i="5"/>
  <c r="A5814" i="5"/>
  <c r="A5813" i="5"/>
  <c r="A5812" i="5"/>
  <c r="A5811" i="5"/>
  <c r="A5810" i="5"/>
  <c r="A5809" i="5"/>
  <c r="A5808" i="5"/>
  <c r="A5807" i="5"/>
  <c r="A5806" i="5"/>
  <c r="A5805" i="5"/>
  <c r="A5804" i="5"/>
  <c r="A5803" i="5"/>
  <c r="A5802" i="5"/>
  <c r="A5801" i="5"/>
  <c r="A5800" i="5"/>
  <c r="A5799" i="5"/>
  <c r="A5798" i="5"/>
  <c r="A5797" i="5"/>
  <c r="A5796" i="5"/>
  <c r="A5795" i="5"/>
  <c r="A5794" i="5"/>
  <c r="A5793" i="5"/>
  <c r="A5792" i="5"/>
  <c r="A5791" i="5"/>
  <c r="A5790" i="5"/>
  <c r="A5789" i="5"/>
  <c r="A5788" i="5"/>
  <c r="A5787" i="5"/>
  <c r="A5786" i="5"/>
  <c r="A5785" i="5"/>
  <c r="A5784" i="5"/>
  <c r="A5783" i="5"/>
  <c r="A5782" i="5"/>
  <c r="A5781" i="5"/>
  <c r="A5780" i="5"/>
  <c r="A5779" i="5"/>
  <c r="A5778" i="5"/>
  <c r="A5777" i="5"/>
  <c r="A5776" i="5"/>
  <c r="A5775" i="5"/>
  <c r="A5774" i="5"/>
  <c r="A5773" i="5"/>
  <c r="A5772" i="5"/>
  <c r="A5771" i="5"/>
  <c r="A5770" i="5"/>
  <c r="A5769" i="5"/>
  <c r="A5768" i="5"/>
  <c r="A5767" i="5"/>
  <c r="A5766" i="5"/>
  <c r="A5765" i="5"/>
  <c r="A5764" i="5"/>
  <c r="A5763" i="5"/>
  <c r="A5762" i="5"/>
  <c r="A5761" i="5"/>
  <c r="A5760" i="5"/>
  <c r="A5759" i="5"/>
  <c r="A5758" i="5"/>
  <c r="A5757" i="5"/>
  <c r="A5756" i="5"/>
  <c r="A5755" i="5"/>
  <c r="A5754" i="5"/>
  <c r="A5753" i="5"/>
  <c r="A5752" i="5"/>
  <c r="A5751" i="5"/>
  <c r="A5750" i="5"/>
  <c r="A5749" i="5"/>
  <c r="A5748" i="5"/>
  <c r="A5747" i="5"/>
  <c r="A5746" i="5"/>
  <c r="A5745" i="5"/>
  <c r="A5744" i="5"/>
  <c r="A5743" i="5"/>
  <c r="A5742" i="5"/>
  <c r="A5741" i="5"/>
  <c r="A5740" i="5"/>
  <c r="A5739" i="5"/>
  <c r="A5738" i="5"/>
  <c r="A5737" i="5"/>
  <c r="A5736" i="5"/>
  <c r="A5735" i="5"/>
  <c r="A5734" i="5"/>
  <c r="A5733" i="5"/>
  <c r="A5732" i="5"/>
  <c r="A5731" i="5"/>
  <c r="A5730" i="5"/>
  <c r="A5729" i="5"/>
  <c r="A5728" i="5"/>
  <c r="A5727" i="5"/>
  <c r="A5726" i="5"/>
  <c r="A5725" i="5"/>
  <c r="A5724" i="5"/>
  <c r="A5723" i="5"/>
  <c r="A5722" i="5"/>
  <c r="A5721" i="5"/>
  <c r="A5720" i="5"/>
  <c r="A5719" i="5"/>
  <c r="A5718" i="5"/>
  <c r="A5717" i="5"/>
  <c r="A5716" i="5"/>
  <c r="A5715" i="5"/>
  <c r="A5714" i="5"/>
  <c r="A5713" i="5"/>
  <c r="A5712" i="5"/>
  <c r="A5711" i="5"/>
  <c r="A5710" i="5"/>
  <c r="A5709" i="5"/>
  <c r="A5708" i="5"/>
  <c r="A5707" i="5"/>
  <c r="A5706" i="5"/>
  <c r="A5705" i="5"/>
  <c r="A5704" i="5"/>
  <c r="A5703" i="5"/>
  <c r="A5702" i="5"/>
  <c r="A5701" i="5"/>
  <c r="A5700" i="5"/>
  <c r="A5699" i="5"/>
  <c r="A5698" i="5"/>
  <c r="A5697" i="5"/>
  <c r="A5696" i="5"/>
  <c r="A5695" i="5"/>
  <c r="A5694" i="5"/>
  <c r="A5693" i="5"/>
  <c r="A5692" i="5"/>
  <c r="A5691" i="5"/>
  <c r="A5690" i="5"/>
  <c r="A5689" i="5"/>
  <c r="A5688" i="5"/>
  <c r="A5687" i="5"/>
  <c r="A5686" i="5"/>
  <c r="A5685" i="5"/>
  <c r="A5684" i="5"/>
  <c r="A5683" i="5"/>
  <c r="A5682" i="5"/>
  <c r="A5681" i="5"/>
  <c r="A5680" i="5"/>
  <c r="A5679" i="5"/>
  <c r="A5678" i="5"/>
  <c r="A5677" i="5"/>
  <c r="A5676" i="5"/>
  <c r="A5675" i="5"/>
  <c r="A5674" i="5"/>
  <c r="A5673" i="5"/>
  <c r="A5672" i="5"/>
  <c r="A5671" i="5"/>
  <c r="A5670" i="5"/>
  <c r="A5669" i="5"/>
  <c r="A5668" i="5"/>
  <c r="A5667" i="5"/>
  <c r="A5666" i="5"/>
  <c r="A5665" i="5"/>
  <c r="A5664" i="5"/>
  <c r="A5663" i="5"/>
  <c r="A5662" i="5"/>
  <c r="A5661" i="5"/>
  <c r="A5660" i="5"/>
  <c r="A5659" i="5"/>
  <c r="A5658" i="5"/>
  <c r="A5657" i="5"/>
  <c r="A5656" i="5"/>
  <c r="A5655" i="5"/>
  <c r="A5654" i="5"/>
  <c r="A5653" i="5"/>
  <c r="A5652" i="5"/>
  <c r="A5651" i="5"/>
  <c r="A5650" i="5"/>
  <c r="A5649" i="5"/>
  <c r="A5648" i="5"/>
  <c r="A5647" i="5"/>
  <c r="A5646" i="5"/>
  <c r="A5645" i="5"/>
  <c r="A5644" i="5"/>
  <c r="A5643" i="5"/>
  <c r="A5642" i="5"/>
  <c r="A5641" i="5"/>
  <c r="A5640" i="5"/>
  <c r="A5639" i="5"/>
  <c r="A5638" i="5"/>
  <c r="A5637" i="5"/>
  <c r="A5636" i="5"/>
  <c r="A5635" i="5"/>
  <c r="A5634" i="5"/>
  <c r="A5633" i="5"/>
  <c r="A5632" i="5"/>
  <c r="A5631" i="5"/>
  <c r="A5630" i="5"/>
  <c r="A5629" i="5"/>
  <c r="A5628" i="5"/>
  <c r="A5627" i="5"/>
  <c r="A5626" i="5"/>
  <c r="A5625" i="5"/>
  <c r="A5624" i="5"/>
  <c r="A5623" i="5"/>
  <c r="A5622" i="5"/>
  <c r="A5621" i="5"/>
  <c r="A5620" i="5"/>
  <c r="A5619" i="5"/>
  <c r="A5618" i="5"/>
  <c r="A5617" i="5"/>
  <c r="A5616" i="5"/>
  <c r="A5615" i="5"/>
  <c r="A5614" i="5"/>
  <c r="A5613" i="5"/>
  <c r="A5612" i="5"/>
  <c r="A5611" i="5"/>
  <c r="A5610" i="5"/>
  <c r="A5609" i="5"/>
  <c r="A5608" i="5"/>
  <c r="A5607" i="5"/>
  <c r="A5606" i="5"/>
  <c r="A5605" i="5"/>
  <c r="A5604" i="5"/>
  <c r="A5603" i="5"/>
  <c r="A5602" i="5"/>
  <c r="A5601" i="5"/>
  <c r="A5600" i="5"/>
  <c r="A5599" i="5"/>
  <c r="A5598" i="5"/>
  <c r="A5597" i="5"/>
  <c r="A5596" i="5"/>
  <c r="A5595" i="5"/>
  <c r="A5594" i="5"/>
  <c r="A5593" i="5"/>
  <c r="A5592" i="5"/>
  <c r="A5591" i="5"/>
  <c r="A5590" i="5"/>
  <c r="A5589" i="5"/>
  <c r="A5588" i="5"/>
  <c r="A5587" i="5"/>
  <c r="A5586" i="5"/>
  <c r="A5585" i="5"/>
  <c r="A5584" i="5"/>
  <c r="A5583" i="5"/>
  <c r="A5582" i="5"/>
  <c r="A5581" i="5"/>
  <c r="A5580" i="5"/>
  <c r="A5579" i="5"/>
  <c r="A5578" i="5"/>
  <c r="A5577" i="5"/>
  <c r="A5576" i="5"/>
  <c r="A5575" i="5"/>
  <c r="A5574" i="5"/>
  <c r="A5573" i="5"/>
  <c r="A5572" i="5"/>
  <c r="A5571" i="5"/>
  <c r="A5570" i="5"/>
  <c r="A5569" i="5"/>
  <c r="A5568" i="5"/>
  <c r="A5567" i="5"/>
  <c r="A5566" i="5"/>
  <c r="A5565" i="5"/>
  <c r="A5564" i="5"/>
  <c r="A5563" i="5"/>
  <c r="A5562" i="5"/>
  <c r="A5561" i="5"/>
  <c r="A5560" i="5"/>
  <c r="A5559" i="5"/>
  <c r="A5558" i="5"/>
  <c r="A5557" i="5"/>
  <c r="A5556" i="5"/>
  <c r="A5555" i="5"/>
  <c r="A5554" i="5"/>
  <c r="A5553" i="5"/>
  <c r="A5552" i="5"/>
  <c r="A5551" i="5"/>
  <c r="A5550" i="5"/>
  <c r="A5549" i="5"/>
  <c r="A5548" i="5"/>
  <c r="A5547" i="5"/>
  <c r="A5546" i="5"/>
  <c r="A5545" i="5"/>
  <c r="A5544" i="5"/>
  <c r="A5543" i="5"/>
  <c r="A5542" i="5"/>
  <c r="A5541" i="5"/>
  <c r="A5540" i="5"/>
  <c r="A5539" i="5"/>
  <c r="A5538" i="5"/>
  <c r="A5537" i="5"/>
  <c r="A5536" i="5"/>
  <c r="A5535" i="5"/>
  <c r="A5534" i="5"/>
  <c r="A5533" i="5"/>
  <c r="A5532" i="5"/>
  <c r="A5531" i="5"/>
  <c r="A5530" i="5"/>
  <c r="A5529" i="5"/>
  <c r="A5528" i="5"/>
  <c r="A5527" i="5"/>
  <c r="A5526" i="5"/>
  <c r="A5525" i="5"/>
  <c r="A5524" i="5"/>
  <c r="A5523" i="5"/>
  <c r="A5522" i="5"/>
  <c r="A5521" i="5"/>
  <c r="A5520" i="5"/>
  <c r="A5519" i="5"/>
  <c r="A5518" i="5"/>
  <c r="A5517" i="5"/>
  <c r="A5516" i="5"/>
  <c r="A5515" i="5"/>
  <c r="A5514" i="5"/>
  <c r="A5513" i="5"/>
  <c r="A5512" i="5"/>
  <c r="A5511" i="5"/>
  <c r="A5510" i="5"/>
  <c r="A5509" i="5"/>
  <c r="A5508" i="5"/>
  <c r="A5507" i="5"/>
  <c r="A5506" i="5"/>
  <c r="A5505" i="5"/>
  <c r="A5504" i="5"/>
  <c r="A5503" i="5"/>
  <c r="A5502" i="5"/>
  <c r="A5501" i="5"/>
  <c r="A5500" i="5"/>
  <c r="A5499" i="5"/>
  <c r="A5498" i="5"/>
  <c r="A5497" i="5"/>
  <c r="A5496" i="5"/>
  <c r="A5495" i="5"/>
  <c r="A5494" i="5"/>
  <c r="A5493" i="5"/>
  <c r="A5492" i="5"/>
  <c r="A5491" i="5"/>
  <c r="A5490" i="5"/>
  <c r="A5489" i="5"/>
  <c r="A5488" i="5"/>
  <c r="A5487" i="5"/>
  <c r="A5486" i="5"/>
  <c r="A5485" i="5"/>
  <c r="A5484" i="5"/>
  <c r="A5483" i="5"/>
  <c r="A5482" i="5"/>
  <c r="A5481" i="5"/>
  <c r="A5480" i="5"/>
  <c r="A5479" i="5"/>
  <c r="A5478" i="5"/>
  <c r="A5477" i="5"/>
  <c r="A5476" i="5"/>
  <c r="A5475" i="5"/>
  <c r="A5474" i="5"/>
  <c r="A5473" i="5"/>
  <c r="A5472" i="5"/>
  <c r="A5471" i="5"/>
  <c r="A5470" i="5"/>
  <c r="A5469" i="5"/>
  <c r="A5468" i="5"/>
  <c r="A5467" i="5"/>
  <c r="A5466" i="5"/>
  <c r="A5465" i="5"/>
  <c r="A5464" i="5"/>
  <c r="A5463" i="5"/>
  <c r="A5462" i="5"/>
  <c r="A5461" i="5"/>
  <c r="A5460" i="5"/>
  <c r="A5459" i="5"/>
  <c r="A5458" i="5"/>
  <c r="A5457" i="5"/>
  <c r="A5456" i="5"/>
  <c r="A5455" i="5"/>
  <c r="A5454" i="5"/>
  <c r="A5453" i="5"/>
  <c r="A5452" i="5"/>
  <c r="A5451" i="5"/>
  <c r="A5450" i="5"/>
  <c r="A5449" i="5"/>
  <c r="A5448" i="5"/>
  <c r="A5447" i="5"/>
  <c r="A5446" i="5"/>
  <c r="A5445" i="5"/>
  <c r="A5444" i="5"/>
  <c r="A5443" i="5"/>
  <c r="A5442" i="5"/>
  <c r="A5441" i="5"/>
  <c r="A5440" i="5"/>
  <c r="A5439" i="5"/>
  <c r="A5438" i="5"/>
  <c r="A5437" i="5"/>
  <c r="A5436" i="5"/>
  <c r="A5435" i="5"/>
  <c r="A5434" i="5"/>
  <c r="A5433" i="5"/>
  <c r="A5432" i="5"/>
  <c r="A5431" i="5"/>
  <c r="A5430" i="5"/>
  <c r="A5429" i="5"/>
  <c r="A5428" i="5"/>
  <c r="A5427" i="5"/>
  <c r="A5426" i="5"/>
  <c r="A5425" i="5"/>
  <c r="A5424" i="5"/>
  <c r="A5423" i="5"/>
  <c r="A5422" i="5"/>
  <c r="A5421" i="5"/>
  <c r="A5420" i="5"/>
  <c r="A5419" i="5"/>
  <c r="A5418" i="5"/>
  <c r="A5417" i="5"/>
  <c r="A5416" i="5"/>
  <c r="A5415" i="5"/>
  <c r="A5414" i="5"/>
  <c r="A5413" i="5"/>
  <c r="A5412" i="5"/>
  <c r="A5411" i="5"/>
  <c r="A5410" i="5"/>
  <c r="A5409" i="5"/>
  <c r="A5408" i="5"/>
  <c r="A5407" i="5"/>
  <c r="A5406" i="5"/>
  <c r="A5405" i="5"/>
  <c r="A5404" i="5"/>
  <c r="A5403" i="5"/>
  <c r="A5402" i="5"/>
  <c r="A5401" i="5"/>
  <c r="A5400" i="5"/>
  <c r="A5399" i="5"/>
  <c r="A5398" i="5"/>
  <c r="A5397" i="5"/>
  <c r="A5396" i="5"/>
  <c r="A5395" i="5"/>
  <c r="A5394" i="5"/>
  <c r="A5393" i="5"/>
  <c r="A5392" i="5"/>
  <c r="A5391" i="5"/>
  <c r="A5390" i="5"/>
  <c r="A5389" i="5"/>
  <c r="A5388" i="5"/>
  <c r="A5387" i="5"/>
  <c r="A5386" i="5"/>
  <c r="A5385" i="5"/>
  <c r="A5384" i="5"/>
  <c r="A5383" i="5"/>
  <c r="A5382" i="5"/>
  <c r="A5381" i="5"/>
  <c r="A5380" i="5"/>
  <c r="A5379" i="5"/>
  <c r="A5378" i="5"/>
  <c r="A5377" i="5"/>
  <c r="A5376" i="5"/>
  <c r="A5375" i="5"/>
  <c r="A5374" i="5"/>
  <c r="A5373" i="5"/>
  <c r="A5372" i="5"/>
  <c r="A5371" i="5"/>
  <c r="A5370" i="5"/>
  <c r="A5369" i="5"/>
  <c r="A5368" i="5"/>
  <c r="A5367" i="5"/>
  <c r="A5366" i="5"/>
  <c r="A5365" i="5"/>
  <c r="A5364" i="5"/>
  <c r="A5363" i="5"/>
  <c r="A5362" i="5"/>
  <c r="A5361" i="5"/>
  <c r="A5360" i="5"/>
  <c r="A5359" i="5"/>
  <c r="A5358" i="5"/>
  <c r="A5357" i="5"/>
  <c r="A5356" i="5"/>
  <c r="A5355" i="5"/>
  <c r="A5354" i="5"/>
  <c r="A5353" i="5"/>
  <c r="A5352" i="5"/>
  <c r="A5351" i="5"/>
  <c r="A5350" i="5"/>
  <c r="A5349" i="5"/>
  <c r="A5348" i="5"/>
  <c r="A5347" i="5"/>
  <c r="A5346" i="5"/>
  <c r="A5345" i="5"/>
  <c r="A5344" i="5"/>
  <c r="A5343" i="5"/>
  <c r="A5342" i="5"/>
  <c r="A5341" i="5"/>
  <c r="A5340" i="5"/>
  <c r="A5339" i="5"/>
  <c r="A5338" i="5"/>
  <c r="A5337" i="5"/>
  <c r="A5336" i="5"/>
  <c r="A5335" i="5"/>
  <c r="A5334" i="5"/>
  <c r="A5333" i="5"/>
  <c r="A5332" i="5"/>
  <c r="A5331" i="5"/>
  <c r="A5330" i="5"/>
  <c r="A5329" i="5"/>
  <c r="A5328" i="5"/>
  <c r="A5327" i="5"/>
  <c r="A5326" i="5"/>
  <c r="A5325" i="5"/>
  <c r="A5324" i="5"/>
  <c r="A5323" i="5"/>
  <c r="A5322" i="5"/>
  <c r="A5321" i="5"/>
  <c r="A5320" i="5"/>
  <c r="A5319" i="5"/>
  <c r="A5318" i="5"/>
  <c r="A5317" i="5"/>
  <c r="A5316" i="5"/>
  <c r="A5315" i="5"/>
  <c r="A5314" i="5"/>
  <c r="A5313" i="5"/>
  <c r="A5312" i="5"/>
  <c r="A5311" i="5"/>
  <c r="A5310" i="5"/>
  <c r="A5309" i="5"/>
  <c r="A5308" i="5"/>
  <c r="A5307" i="5"/>
  <c r="A5306" i="5"/>
  <c r="A5305" i="5"/>
  <c r="A5304" i="5"/>
  <c r="A5303" i="5"/>
  <c r="A5302" i="5"/>
  <c r="A5301" i="5"/>
  <c r="A5300" i="5"/>
  <c r="A5299" i="5"/>
  <c r="A5298" i="5"/>
  <c r="A5297" i="5"/>
  <c r="A5296" i="5"/>
  <c r="A5295" i="5"/>
  <c r="A5294" i="5"/>
  <c r="A5293" i="5"/>
  <c r="A5292" i="5"/>
  <c r="A5291" i="5"/>
  <c r="A5290" i="5"/>
  <c r="A5289" i="5"/>
  <c r="A5288" i="5"/>
  <c r="A5287" i="5"/>
  <c r="A5286" i="5"/>
  <c r="A5285" i="5"/>
  <c r="A5284" i="5"/>
  <c r="A5283" i="5"/>
  <c r="A5282" i="5"/>
  <c r="A5281" i="5"/>
  <c r="A5280" i="5"/>
  <c r="A5279" i="5"/>
  <c r="A5278" i="5"/>
  <c r="A5277" i="5"/>
  <c r="A5276" i="5"/>
  <c r="A5275" i="5"/>
  <c r="A5274" i="5"/>
  <c r="A5273" i="5"/>
  <c r="A5272" i="5"/>
  <c r="A5271" i="5"/>
  <c r="A5270" i="5"/>
  <c r="A5269" i="5"/>
  <c r="A5268" i="5"/>
  <c r="A5267" i="5"/>
  <c r="A5266" i="5"/>
  <c r="A5265" i="5"/>
  <c r="A5264" i="5"/>
  <c r="A5263" i="5"/>
  <c r="A5262" i="5"/>
  <c r="A5261" i="5"/>
  <c r="A5260" i="5"/>
  <c r="A5259" i="5"/>
  <c r="A5258" i="5"/>
  <c r="A5257" i="5"/>
  <c r="A5256" i="5"/>
  <c r="A5255" i="5"/>
  <c r="A5254" i="5"/>
  <c r="A5253" i="5"/>
  <c r="A5252" i="5"/>
  <c r="A5251" i="5"/>
  <c r="A5250" i="5"/>
  <c r="A5249" i="5"/>
  <c r="A5248" i="5"/>
  <c r="A5247" i="5"/>
  <c r="A5246" i="5"/>
  <c r="A5245" i="5"/>
  <c r="A5244" i="5"/>
  <c r="A5243" i="5"/>
  <c r="A5242" i="5"/>
  <c r="A5241" i="5"/>
  <c r="A5240" i="5"/>
  <c r="A5239" i="5"/>
  <c r="A5238" i="5"/>
  <c r="A5237" i="5"/>
  <c r="A5236" i="5"/>
  <c r="A5235" i="5"/>
  <c r="A5234" i="5"/>
  <c r="A5233" i="5"/>
  <c r="A5232" i="5"/>
  <c r="A5231" i="5"/>
  <c r="A5230" i="5"/>
  <c r="A5229" i="5"/>
  <c r="A5228" i="5"/>
  <c r="A5227" i="5"/>
  <c r="A5226" i="5"/>
  <c r="A5225" i="5"/>
  <c r="A5224" i="5"/>
  <c r="A5223" i="5"/>
  <c r="A5222" i="5"/>
  <c r="A5221" i="5"/>
  <c r="A5220" i="5"/>
  <c r="A5219" i="5"/>
  <c r="A5218" i="5"/>
  <c r="A5217" i="5"/>
  <c r="A5216" i="5"/>
  <c r="A5215" i="5"/>
  <c r="A5214" i="5"/>
  <c r="A5213" i="5"/>
  <c r="A5212" i="5"/>
  <c r="A5211" i="5"/>
  <c r="A5210" i="5"/>
  <c r="A5209" i="5"/>
  <c r="A5208" i="5"/>
  <c r="A5207" i="5"/>
  <c r="A5206" i="5"/>
  <c r="A5205" i="5"/>
  <c r="A5204" i="5"/>
  <c r="A5203" i="5"/>
  <c r="A5202" i="5"/>
  <c r="A5201" i="5"/>
  <c r="A5200" i="5"/>
  <c r="A5199" i="5"/>
  <c r="A5198" i="5"/>
  <c r="A5197" i="5"/>
  <c r="A5196" i="5"/>
  <c r="A5195" i="5"/>
  <c r="A5194" i="5"/>
  <c r="A5193" i="5"/>
  <c r="A5192" i="5"/>
  <c r="A5191" i="5"/>
  <c r="A5190" i="5"/>
  <c r="A5189" i="5"/>
  <c r="A5188" i="5"/>
  <c r="A5187" i="5"/>
  <c r="A5186" i="5"/>
  <c r="A5185" i="5"/>
  <c r="A5184" i="5"/>
  <c r="A5183" i="5"/>
  <c r="A5182" i="5"/>
  <c r="A5181" i="5"/>
  <c r="A5180" i="5"/>
  <c r="A5179" i="5"/>
  <c r="A5178" i="5"/>
  <c r="A5177" i="5"/>
  <c r="A5176" i="5"/>
  <c r="A5175" i="5"/>
  <c r="A5174" i="5"/>
  <c r="A5173" i="5"/>
  <c r="A5172" i="5"/>
  <c r="A5171" i="5"/>
  <c r="A5170" i="5"/>
  <c r="A5169" i="5"/>
  <c r="A5168" i="5"/>
  <c r="A5167" i="5"/>
  <c r="A5166" i="5"/>
  <c r="A5165" i="5"/>
  <c r="A5164" i="5"/>
  <c r="A5163" i="5"/>
  <c r="A5162" i="5"/>
  <c r="A5161" i="5"/>
  <c r="A5160" i="5"/>
  <c r="A5159" i="5"/>
  <c r="A5158" i="5"/>
  <c r="A5157" i="5"/>
  <c r="A5156" i="5"/>
  <c r="A5155" i="5"/>
  <c r="A5154" i="5"/>
  <c r="A5153" i="5"/>
  <c r="A5152" i="5"/>
  <c r="A5151" i="5"/>
  <c r="A5150" i="5"/>
  <c r="A5149" i="5"/>
  <c r="A5148" i="5"/>
  <c r="A5147" i="5"/>
  <c r="A5146" i="5"/>
  <c r="A5145" i="5"/>
  <c r="A5144" i="5"/>
  <c r="A5143" i="5"/>
  <c r="A5142" i="5"/>
  <c r="A5141" i="5"/>
  <c r="A5140" i="5"/>
  <c r="A5139" i="5"/>
  <c r="A5138" i="5"/>
  <c r="A5137" i="5"/>
  <c r="A5136" i="5"/>
  <c r="A5135" i="5"/>
  <c r="A5134" i="5"/>
  <c r="A5133" i="5"/>
  <c r="A5132" i="5"/>
  <c r="A5131" i="5"/>
  <c r="A5130" i="5"/>
  <c r="A5129" i="5"/>
  <c r="A5128" i="5"/>
  <c r="A5127" i="5"/>
  <c r="A5126" i="5"/>
  <c r="A5125" i="5"/>
  <c r="A5124" i="5"/>
  <c r="A5123" i="5"/>
  <c r="A5122" i="5"/>
  <c r="A5121" i="5"/>
  <c r="A5120" i="5"/>
  <c r="A5119" i="5"/>
  <c r="A5118" i="5"/>
  <c r="A5117" i="5"/>
  <c r="A5116" i="5"/>
  <c r="A5115" i="5"/>
  <c r="A5114" i="5"/>
  <c r="A5113" i="5"/>
  <c r="A5112" i="5"/>
  <c r="A5111" i="5"/>
  <c r="A5110" i="5"/>
  <c r="A5109" i="5"/>
  <c r="A5108" i="5"/>
  <c r="A5107" i="5"/>
  <c r="A5106" i="5"/>
  <c r="A5105" i="5"/>
  <c r="A5104" i="5"/>
  <c r="A5103" i="5"/>
  <c r="A5102" i="5"/>
  <c r="A5101" i="5"/>
  <c r="A5100" i="5"/>
  <c r="A5099" i="5"/>
  <c r="A5098" i="5"/>
  <c r="A5097" i="5"/>
  <c r="A5096" i="5"/>
  <c r="A5095" i="5"/>
  <c r="A5094" i="5"/>
  <c r="A5093" i="5"/>
  <c r="A5092" i="5"/>
  <c r="A5091" i="5"/>
  <c r="A5090" i="5"/>
  <c r="A5089" i="5"/>
  <c r="A5088" i="5"/>
  <c r="A5087" i="5"/>
  <c r="A5086" i="5"/>
  <c r="A5085" i="5"/>
  <c r="A5084" i="5"/>
  <c r="A5083" i="5"/>
  <c r="A5082" i="5"/>
  <c r="A5081" i="5"/>
  <c r="A5080" i="5"/>
  <c r="A5079" i="5"/>
  <c r="A5078" i="5"/>
  <c r="A5077" i="5"/>
  <c r="A5076" i="5"/>
  <c r="A5075" i="5"/>
  <c r="A5074" i="5"/>
  <c r="A5073" i="5"/>
  <c r="A5072" i="5"/>
  <c r="A5071" i="5"/>
  <c r="A5070" i="5"/>
  <c r="A5069" i="5"/>
  <c r="A5068" i="5"/>
  <c r="A5067" i="5"/>
  <c r="A5066" i="5"/>
  <c r="A5065" i="5"/>
  <c r="A5064" i="5"/>
  <c r="A5063" i="5"/>
  <c r="A5062" i="5"/>
  <c r="A5061" i="5"/>
  <c r="A5060" i="5"/>
  <c r="A5059" i="5"/>
  <c r="A5058" i="5"/>
  <c r="A5057" i="5"/>
  <c r="A5056" i="5"/>
  <c r="A5055" i="5"/>
  <c r="A5054" i="5"/>
  <c r="A5053" i="5"/>
  <c r="A5052" i="5"/>
  <c r="A5051" i="5"/>
  <c r="A5050" i="5"/>
  <c r="A5049" i="5"/>
  <c r="A5048" i="5"/>
  <c r="A5047" i="5"/>
  <c r="A5046" i="5"/>
  <c r="A5045" i="5"/>
  <c r="A5044" i="5"/>
  <c r="A5043" i="5"/>
  <c r="A5042" i="5"/>
  <c r="A5041" i="5"/>
  <c r="A5040" i="5"/>
  <c r="A5039" i="5"/>
  <c r="A5038" i="5"/>
  <c r="A5037" i="5"/>
  <c r="A5036" i="5"/>
  <c r="A5035" i="5"/>
  <c r="A5034" i="5"/>
  <c r="A5033" i="5"/>
  <c r="A5032" i="5"/>
  <c r="A5031" i="5"/>
  <c r="A5030" i="5"/>
  <c r="A5029" i="5"/>
  <c r="A5028" i="5"/>
  <c r="A5027" i="5"/>
  <c r="A5026" i="5"/>
  <c r="A5025" i="5"/>
  <c r="A5024" i="5"/>
  <c r="A5023" i="5"/>
  <c r="A5022" i="5"/>
  <c r="A5021" i="5"/>
  <c r="A5020" i="5"/>
  <c r="A5019" i="5"/>
  <c r="A5018" i="5"/>
  <c r="A5017" i="5"/>
  <c r="A5016" i="5"/>
  <c r="A5015" i="5"/>
  <c r="A5014" i="5"/>
  <c r="A5013" i="5"/>
  <c r="A5012" i="5"/>
  <c r="A5011" i="5"/>
  <c r="A5010" i="5"/>
  <c r="A5009" i="5"/>
  <c r="A5008" i="5"/>
  <c r="A5007" i="5"/>
  <c r="A5006" i="5"/>
  <c r="A5005" i="5"/>
  <c r="A5004" i="5"/>
  <c r="A5003" i="5"/>
  <c r="A5002" i="5"/>
  <c r="A5001" i="5"/>
  <c r="A5000" i="5"/>
  <c r="A4999" i="5"/>
  <c r="A4998" i="5"/>
  <c r="A4997" i="5"/>
  <c r="A4996" i="5"/>
  <c r="A4995" i="5"/>
  <c r="A4994" i="5"/>
  <c r="A4993" i="5"/>
  <c r="A4992" i="5"/>
  <c r="A4991" i="5"/>
  <c r="A4990" i="5"/>
  <c r="A4989" i="5"/>
  <c r="A4988" i="5"/>
  <c r="A4987" i="5"/>
  <c r="A4986" i="5"/>
  <c r="A4985" i="5"/>
  <c r="A4984" i="5"/>
  <c r="A4983" i="5"/>
  <c r="A4982" i="5"/>
  <c r="A4981" i="5"/>
  <c r="A4980" i="5"/>
  <c r="A4979" i="5"/>
  <c r="A4978" i="5"/>
  <c r="A4977" i="5"/>
  <c r="A4976" i="5"/>
  <c r="A4975" i="5"/>
  <c r="A4974" i="5"/>
  <c r="A4973" i="5"/>
  <c r="A4972" i="5"/>
  <c r="A4971" i="5"/>
  <c r="A4970" i="5"/>
  <c r="A4969" i="5"/>
  <c r="A4968" i="5"/>
  <c r="A4967" i="5"/>
  <c r="A4966" i="5"/>
  <c r="A4965" i="5"/>
  <c r="A4964" i="5"/>
  <c r="A4963" i="5"/>
  <c r="A4962" i="5"/>
  <c r="A4961" i="5"/>
  <c r="A4960" i="5"/>
  <c r="A4959" i="5"/>
  <c r="A4958" i="5"/>
  <c r="A4957" i="5"/>
  <c r="A4956" i="5"/>
  <c r="A4955" i="5"/>
  <c r="A4954" i="5"/>
  <c r="A4953" i="5"/>
  <c r="A4952" i="5"/>
  <c r="A4951" i="5"/>
  <c r="A4950" i="5"/>
  <c r="A4949" i="5"/>
  <c r="A4948" i="5"/>
  <c r="A4947" i="5"/>
  <c r="A4946" i="5"/>
  <c r="A4945" i="5"/>
  <c r="A4944" i="5"/>
  <c r="A4943" i="5"/>
  <c r="A4942" i="5"/>
  <c r="A4941" i="5"/>
  <c r="A4940" i="5"/>
  <c r="A4939" i="5"/>
  <c r="A4938" i="5"/>
  <c r="A4937" i="5"/>
  <c r="A4936" i="5"/>
  <c r="A4935" i="5"/>
  <c r="A4934" i="5"/>
  <c r="A4933" i="5"/>
  <c r="A4932" i="5"/>
  <c r="A4931" i="5"/>
  <c r="A4930" i="5"/>
  <c r="A4929" i="5"/>
  <c r="A4928" i="5"/>
  <c r="A4927" i="5"/>
  <c r="A4926" i="5"/>
  <c r="A4925" i="5"/>
  <c r="A4924" i="5"/>
  <c r="A4923" i="5"/>
  <c r="A4922" i="5"/>
  <c r="A4921" i="5"/>
  <c r="A4920" i="5"/>
  <c r="A4919" i="5"/>
  <c r="A4918" i="5"/>
  <c r="A4917" i="5"/>
  <c r="A4916" i="5"/>
  <c r="A4915" i="5"/>
  <c r="A4914" i="5"/>
  <c r="A4913" i="5"/>
  <c r="A4912" i="5"/>
  <c r="A4911" i="5"/>
  <c r="A4910" i="5"/>
  <c r="A4909" i="5"/>
  <c r="A4908" i="5"/>
  <c r="A4907" i="5"/>
  <c r="A4906" i="5"/>
  <c r="A4905" i="5"/>
  <c r="A4904" i="5"/>
  <c r="A4903" i="5"/>
  <c r="A4902" i="5"/>
  <c r="A4901" i="5"/>
  <c r="A4900" i="5"/>
  <c r="A4899" i="5"/>
  <c r="A4898" i="5"/>
  <c r="A4897" i="5"/>
  <c r="A4896" i="5"/>
  <c r="A4895" i="5"/>
  <c r="A4894" i="5"/>
  <c r="A4893" i="5"/>
  <c r="A4892" i="5"/>
  <c r="A4891" i="5"/>
  <c r="A4890" i="5"/>
  <c r="A4889" i="5"/>
  <c r="A4888" i="5"/>
  <c r="A4887" i="5"/>
  <c r="A4886" i="5"/>
  <c r="A4885" i="5"/>
  <c r="A4884" i="5"/>
  <c r="A4883" i="5"/>
  <c r="A4882" i="5"/>
  <c r="A4881" i="5"/>
  <c r="A4880" i="5"/>
  <c r="A4879" i="5"/>
  <c r="A4878" i="5"/>
  <c r="A4877" i="5"/>
  <c r="A4876" i="5"/>
  <c r="A4875" i="5"/>
  <c r="A4874" i="5"/>
  <c r="A4873" i="5"/>
  <c r="A4872" i="5"/>
  <c r="A4871" i="5"/>
  <c r="A4870" i="5"/>
  <c r="A4869" i="5"/>
  <c r="A4868" i="5"/>
  <c r="A4867" i="5"/>
  <c r="A4866" i="5"/>
  <c r="A4865" i="5"/>
  <c r="A4864" i="5"/>
  <c r="A4863" i="5"/>
  <c r="A4862" i="5"/>
  <c r="A4861" i="5"/>
  <c r="A4860" i="5"/>
  <c r="A4859" i="5"/>
  <c r="A4858" i="5"/>
  <c r="A4857" i="5"/>
  <c r="A4856" i="5"/>
  <c r="A4855" i="5"/>
  <c r="A4854" i="5"/>
  <c r="A4853" i="5"/>
  <c r="A4852" i="5"/>
  <c r="A4851" i="5"/>
  <c r="A4850" i="5"/>
  <c r="A4849" i="5"/>
  <c r="A4848" i="5"/>
  <c r="A4847" i="5"/>
  <c r="A4846" i="5"/>
  <c r="A4845" i="5"/>
  <c r="A4844" i="5"/>
  <c r="A4843" i="5"/>
  <c r="A4842" i="5"/>
  <c r="A4841" i="5"/>
  <c r="A4840" i="5"/>
  <c r="A4839" i="5"/>
  <c r="A4838" i="5"/>
  <c r="A4837" i="5"/>
  <c r="A4836" i="5"/>
  <c r="A4835" i="5"/>
  <c r="A4834" i="5"/>
  <c r="A4833" i="5"/>
  <c r="A4832" i="5"/>
  <c r="A4831" i="5"/>
  <c r="A4830" i="5"/>
  <c r="A4829" i="5"/>
  <c r="A4828" i="5"/>
  <c r="A4827" i="5"/>
  <c r="A4826" i="5"/>
  <c r="A4825" i="5"/>
  <c r="A4824" i="5"/>
  <c r="A4823" i="5"/>
  <c r="A4822" i="5"/>
  <c r="A4821" i="5"/>
  <c r="A4820" i="5"/>
  <c r="A4819" i="5"/>
  <c r="A4818" i="5"/>
  <c r="A4817" i="5"/>
  <c r="A4816" i="5"/>
  <c r="A4815" i="5"/>
  <c r="A4814" i="5"/>
  <c r="A4813" i="5"/>
  <c r="A4812" i="5"/>
  <c r="A4811" i="5"/>
  <c r="A4810" i="5"/>
  <c r="A4809" i="5"/>
  <c r="A4808" i="5"/>
  <c r="A4807" i="5"/>
  <c r="A4806" i="5"/>
  <c r="A4805" i="5"/>
  <c r="A4804" i="5"/>
  <c r="A4803" i="5"/>
  <c r="A4802" i="5"/>
  <c r="A4801" i="5"/>
  <c r="A4800" i="5"/>
  <c r="A4799" i="5"/>
  <c r="A4798" i="5"/>
  <c r="A4797" i="5"/>
  <c r="A4796" i="5"/>
  <c r="A4795" i="5"/>
  <c r="A4794" i="5"/>
  <c r="A4793" i="5"/>
  <c r="A4792" i="5"/>
  <c r="A4791" i="5"/>
  <c r="A4790" i="5"/>
  <c r="A4789" i="5"/>
  <c r="A4788" i="5"/>
  <c r="A4787" i="5"/>
  <c r="A4786" i="5"/>
  <c r="A4785" i="5"/>
  <c r="A4784" i="5"/>
  <c r="A4783" i="5"/>
  <c r="A4782" i="5"/>
  <c r="A4781" i="5"/>
  <c r="A4780" i="5"/>
  <c r="A4779" i="5"/>
  <c r="A4778" i="5"/>
  <c r="A4777" i="5"/>
  <c r="A4776" i="5"/>
  <c r="A4775" i="5"/>
  <c r="A4774" i="5"/>
  <c r="A4773" i="5"/>
  <c r="A4772" i="5"/>
  <c r="A4771" i="5"/>
  <c r="A4770" i="5"/>
  <c r="A4769" i="5"/>
  <c r="A4768" i="5"/>
  <c r="A4767" i="5"/>
  <c r="A4766" i="5"/>
  <c r="A4765" i="5"/>
  <c r="A4764" i="5"/>
  <c r="A4763" i="5"/>
  <c r="A4762" i="5"/>
  <c r="A4761" i="5"/>
  <c r="A4760" i="5"/>
  <c r="A4759" i="5"/>
  <c r="A4758" i="5"/>
  <c r="A4757" i="5"/>
  <c r="A4756" i="5"/>
  <c r="A4755" i="5"/>
  <c r="A4754" i="5"/>
  <c r="A4753" i="5"/>
  <c r="A4752" i="5"/>
  <c r="A4751" i="5"/>
  <c r="A4750" i="5"/>
  <c r="A4749" i="5"/>
  <c r="A4748" i="5"/>
  <c r="A4747" i="5"/>
  <c r="A4746" i="5"/>
  <c r="A4745" i="5"/>
  <c r="A4744" i="5"/>
  <c r="A4743" i="5"/>
  <c r="A4742" i="5"/>
  <c r="A4741" i="5"/>
  <c r="A4740" i="5"/>
  <c r="A4739" i="5"/>
  <c r="A4738" i="5"/>
  <c r="A4737" i="5"/>
  <c r="A4736" i="5"/>
  <c r="A4735" i="5"/>
  <c r="A4734" i="5"/>
  <c r="A4733" i="5"/>
  <c r="A4732" i="5"/>
  <c r="A4731" i="5"/>
  <c r="A4730" i="5"/>
  <c r="A4729" i="5"/>
  <c r="A4728" i="5"/>
  <c r="A4727" i="5"/>
  <c r="A4726" i="5"/>
  <c r="A4725" i="5"/>
  <c r="A4724" i="5"/>
  <c r="A4723" i="5"/>
  <c r="A4722" i="5"/>
  <c r="A4721" i="5"/>
  <c r="A4720" i="5"/>
  <c r="A4719" i="5"/>
  <c r="A4718" i="5"/>
  <c r="A4717" i="5"/>
  <c r="A4716" i="5"/>
  <c r="A4715" i="5"/>
  <c r="A4714" i="5"/>
  <c r="A4713" i="5"/>
  <c r="A4712" i="5"/>
  <c r="A4711" i="5"/>
  <c r="A4710" i="5"/>
  <c r="A4709" i="5"/>
  <c r="A4708" i="5"/>
  <c r="A4707" i="5"/>
  <c r="A4706" i="5"/>
  <c r="A4705" i="5"/>
  <c r="A4704" i="5"/>
  <c r="A4703" i="5"/>
  <c r="A4702" i="5"/>
  <c r="A4701" i="5"/>
  <c r="A4700" i="5"/>
  <c r="A4699" i="5"/>
  <c r="A4698" i="5"/>
  <c r="A4697" i="5"/>
  <c r="A4696" i="5"/>
  <c r="A4695" i="5"/>
  <c r="A4694" i="5"/>
  <c r="A4693" i="5"/>
  <c r="A4692" i="5"/>
  <c r="A4691" i="5"/>
  <c r="A4690" i="5"/>
  <c r="A4689" i="5"/>
  <c r="A4688" i="5"/>
  <c r="A4687" i="5"/>
  <c r="A4686" i="5"/>
  <c r="A4685" i="5"/>
  <c r="A4684" i="5"/>
  <c r="A4683" i="5"/>
  <c r="A4682" i="5"/>
  <c r="A4681" i="5"/>
  <c r="A4680" i="5"/>
  <c r="A4679" i="5"/>
  <c r="A4678" i="5"/>
  <c r="A4677" i="5"/>
  <c r="A4676" i="5"/>
  <c r="A4675" i="5"/>
  <c r="A4674" i="5"/>
  <c r="A4673" i="5"/>
  <c r="A4672" i="5"/>
  <c r="A4671" i="5"/>
  <c r="A4670" i="5"/>
  <c r="A4669" i="5"/>
  <c r="A4668" i="5"/>
  <c r="A4667" i="5"/>
  <c r="A4666" i="5"/>
  <c r="A4665" i="5"/>
  <c r="A4664" i="5"/>
  <c r="A4663" i="5"/>
  <c r="A4662" i="5"/>
  <c r="A4661" i="5"/>
  <c r="A4660" i="5"/>
  <c r="A4659" i="5"/>
  <c r="A4658" i="5"/>
  <c r="A4657" i="5"/>
  <c r="A4656" i="5"/>
  <c r="A4655" i="5"/>
  <c r="A4654" i="5"/>
  <c r="A4653" i="5"/>
  <c r="A4652" i="5"/>
  <c r="A4651" i="5"/>
  <c r="A4650" i="5"/>
  <c r="A4649" i="5"/>
  <c r="A4648" i="5"/>
  <c r="A4647" i="5"/>
  <c r="A4646" i="5"/>
  <c r="A4645" i="5"/>
  <c r="A4644" i="5"/>
  <c r="A4643" i="5"/>
  <c r="A4642" i="5"/>
  <c r="A4641" i="5"/>
  <c r="A4640" i="5"/>
  <c r="A4639" i="5"/>
  <c r="A4638" i="5"/>
  <c r="A4637" i="5"/>
  <c r="A4636" i="5"/>
  <c r="A4635" i="5"/>
  <c r="A4634" i="5"/>
  <c r="A4633" i="5"/>
  <c r="A4632" i="5"/>
  <c r="A4631" i="5"/>
  <c r="A4630" i="5"/>
  <c r="A4629" i="5"/>
  <c r="A4628" i="5"/>
  <c r="A4627" i="5"/>
  <c r="A4626" i="5"/>
  <c r="A4625" i="5"/>
  <c r="A4624" i="5"/>
  <c r="A4623" i="5"/>
  <c r="A4622" i="5"/>
  <c r="A4621" i="5"/>
  <c r="A4620" i="5"/>
  <c r="A4619" i="5"/>
  <c r="A4618" i="5"/>
  <c r="A4617" i="5"/>
  <c r="A4616" i="5"/>
  <c r="A4615" i="5"/>
  <c r="A4614" i="5"/>
  <c r="A4613" i="5"/>
  <c r="A4612" i="5"/>
  <c r="A4611" i="5"/>
  <c r="A4610" i="5"/>
  <c r="A4609" i="5"/>
  <c r="A4608" i="5"/>
  <c r="A4607" i="5"/>
  <c r="A4606" i="5"/>
  <c r="A4605" i="5"/>
  <c r="A4604" i="5"/>
  <c r="A4603" i="5"/>
  <c r="A4602" i="5"/>
  <c r="A4601" i="5"/>
  <c r="A4600" i="5"/>
  <c r="A4599" i="5"/>
  <c r="A4598" i="5"/>
  <c r="A4597" i="5"/>
  <c r="A4596" i="5"/>
  <c r="A4595" i="5"/>
  <c r="A4594" i="5"/>
  <c r="A4593" i="5"/>
  <c r="A4592" i="5"/>
  <c r="A4591" i="5"/>
  <c r="A4590" i="5"/>
  <c r="A4589" i="5"/>
  <c r="A4588" i="5"/>
  <c r="A4587" i="5"/>
  <c r="A4586" i="5"/>
  <c r="A4585" i="5"/>
  <c r="A4584" i="5"/>
  <c r="A4583" i="5"/>
  <c r="A4582" i="5"/>
  <c r="A4581" i="5"/>
  <c r="A4580" i="5"/>
  <c r="A4579" i="5"/>
  <c r="A4578" i="5"/>
  <c r="A4577" i="5"/>
  <c r="A4576" i="5"/>
  <c r="A4575" i="5"/>
  <c r="A4574" i="5"/>
  <c r="A4573" i="5"/>
  <c r="A4572" i="5"/>
  <c r="A4571" i="5"/>
  <c r="A4570" i="5"/>
  <c r="A4569" i="5"/>
  <c r="A4568" i="5"/>
  <c r="A4567" i="5"/>
  <c r="A4566" i="5"/>
  <c r="A4565" i="5"/>
  <c r="A4564" i="5"/>
  <c r="A4563" i="5"/>
  <c r="A4562" i="5"/>
  <c r="A4561" i="5"/>
  <c r="A4560" i="5"/>
  <c r="A4559" i="5"/>
  <c r="A4558" i="5"/>
  <c r="A4557" i="5"/>
  <c r="A4556" i="5"/>
  <c r="A4555" i="5"/>
  <c r="A4554" i="5"/>
  <c r="A4553" i="5"/>
  <c r="A4552" i="5"/>
  <c r="A4551" i="5"/>
  <c r="A4550" i="5"/>
  <c r="A4549" i="5"/>
  <c r="A4548" i="5"/>
  <c r="A4547" i="5"/>
  <c r="A4546" i="5"/>
  <c r="A4545" i="5"/>
  <c r="A4544" i="5"/>
  <c r="A4543" i="5"/>
  <c r="A4542" i="5"/>
  <c r="A4541" i="5"/>
  <c r="A4540" i="5"/>
  <c r="A4539" i="5"/>
  <c r="A4538" i="5"/>
  <c r="A4537" i="5"/>
  <c r="A4536" i="5"/>
  <c r="A4535" i="5"/>
  <c r="A4534" i="5"/>
  <c r="A4533" i="5"/>
  <c r="A4532" i="5"/>
  <c r="A4531" i="5"/>
  <c r="A4530" i="5"/>
  <c r="A4529" i="5"/>
  <c r="A4528" i="5"/>
  <c r="A4527" i="5"/>
  <c r="A4526" i="5"/>
  <c r="A4525" i="5"/>
  <c r="A4524" i="5"/>
  <c r="A4523" i="5"/>
  <c r="A4522" i="5"/>
  <c r="A4521" i="5"/>
  <c r="A4520" i="5"/>
  <c r="A4519" i="5"/>
  <c r="A4518" i="5"/>
  <c r="A4517" i="5"/>
  <c r="A4516" i="5"/>
  <c r="A4515" i="5"/>
  <c r="A4514" i="5"/>
  <c r="A4513" i="5"/>
  <c r="A4512" i="5"/>
  <c r="A4511" i="5"/>
  <c r="A4510" i="5"/>
  <c r="A4509" i="5"/>
  <c r="A4508" i="5"/>
  <c r="A4507" i="5"/>
  <c r="A4506" i="5"/>
  <c r="A4505" i="5"/>
  <c r="A4504" i="5"/>
  <c r="A4503" i="5"/>
  <c r="A4502" i="5"/>
  <c r="A4501" i="5"/>
  <c r="A4500" i="5"/>
  <c r="A4499" i="5"/>
  <c r="A4498" i="5"/>
  <c r="A4497" i="5"/>
  <c r="A4496" i="5"/>
  <c r="A4495" i="5"/>
  <c r="A4494" i="5"/>
  <c r="A4493" i="5"/>
  <c r="A4492" i="5"/>
  <c r="A4491" i="5"/>
  <c r="A4490" i="5"/>
  <c r="A4489" i="5"/>
  <c r="A4488" i="5"/>
  <c r="A4487" i="5"/>
  <c r="A4486" i="5"/>
  <c r="A4485" i="5"/>
  <c r="A4484" i="5"/>
  <c r="A4483" i="5"/>
  <c r="A4482" i="5"/>
  <c r="A4481" i="5"/>
  <c r="A4480" i="5"/>
  <c r="A4479" i="5"/>
  <c r="A4478" i="5"/>
  <c r="A4477" i="5"/>
  <c r="A4476" i="5"/>
  <c r="A4475" i="5"/>
  <c r="A4474" i="5"/>
  <c r="A4473" i="5"/>
  <c r="A4472" i="5"/>
  <c r="A4471" i="5"/>
  <c r="A4470" i="5"/>
  <c r="A4469" i="5"/>
  <c r="A4468" i="5"/>
  <c r="A4467" i="5"/>
  <c r="A4466" i="5"/>
  <c r="A4465" i="5"/>
  <c r="A4464" i="5"/>
  <c r="A4463" i="5"/>
  <c r="A4462" i="5"/>
  <c r="A4461" i="5"/>
  <c r="A4460" i="5"/>
  <c r="A4459" i="5"/>
  <c r="A4458" i="5"/>
  <c r="A4457" i="5"/>
  <c r="A4456" i="5"/>
  <c r="A4455" i="5"/>
  <c r="A4454" i="5"/>
  <c r="A4453" i="5"/>
  <c r="A4452" i="5"/>
  <c r="A4451" i="5"/>
  <c r="A4450" i="5"/>
  <c r="A4449" i="5"/>
  <c r="A4448" i="5"/>
  <c r="A4447" i="5"/>
  <c r="A4446" i="5"/>
  <c r="A4445" i="5"/>
  <c r="A4444" i="5"/>
  <c r="A4443" i="5"/>
  <c r="A4442" i="5"/>
  <c r="A4441" i="5"/>
  <c r="A4440" i="5"/>
  <c r="A4439" i="5"/>
  <c r="A4438" i="5"/>
  <c r="A4437" i="5"/>
  <c r="A4436" i="5"/>
  <c r="A4435" i="5"/>
  <c r="A4434" i="5"/>
  <c r="A4433" i="5"/>
  <c r="A4432" i="5"/>
  <c r="A4431" i="5"/>
  <c r="A4430" i="5"/>
  <c r="A4429" i="5"/>
  <c r="A4428" i="5"/>
  <c r="A4427" i="5"/>
  <c r="A4426" i="5"/>
  <c r="A4425" i="5"/>
  <c r="A4424" i="5"/>
  <c r="A4423" i="5"/>
  <c r="A4422" i="5"/>
  <c r="A4421" i="5"/>
  <c r="A4420" i="5"/>
  <c r="A4419" i="5"/>
  <c r="A4418" i="5"/>
  <c r="A4417" i="5"/>
  <c r="A4416" i="5"/>
  <c r="A4415" i="5"/>
  <c r="A4414" i="5"/>
  <c r="A4413" i="5"/>
  <c r="A4412" i="5"/>
  <c r="A4411" i="5"/>
  <c r="A4410" i="5"/>
  <c r="A4409" i="5"/>
  <c r="A4408" i="5"/>
  <c r="A4407" i="5"/>
  <c r="A4406" i="5"/>
  <c r="A4405" i="5"/>
  <c r="A4404" i="5"/>
  <c r="A4403" i="5"/>
  <c r="A4402" i="5"/>
  <c r="A4401" i="5"/>
  <c r="A4400" i="5"/>
  <c r="A4399" i="5"/>
  <c r="A4398" i="5"/>
  <c r="A4397" i="5"/>
  <c r="A4396" i="5"/>
  <c r="A4395" i="5"/>
  <c r="A4394" i="5"/>
  <c r="A4393" i="5"/>
  <c r="A4392" i="5"/>
  <c r="A4391" i="5"/>
  <c r="A4390" i="5"/>
  <c r="A4389" i="5"/>
  <c r="A4388" i="5"/>
  <c r="A4387" i="5"/>
  <c r="A4386" i="5"/>
  <c r="A4385" i="5"/>
  <c r="A4384" i="5"/>
  <c r="A4383" i="5"/>
  <c r="A4382" i="5"/>
  <c r="A4381" i="5"/>
  <c r="A4380" i="5"/>
  <c r="A4379" i="5"/>
  <c r="A4378" i="5"/>
  <c r="A4377" i="5"/>
  <c r="A4376" i="5"/>
  <c r="A4375" i="5"/>
  <c r="A4374" i="5"/>
  <c r="A4373" i="5"/>
  <c r="A4372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3" i="5"/>
  <c r="A4352" i="5"/>
  <c r="A4351" i="5"/>
  <c r="A4350" i="5"/>
  <c r="A4349" i="5"/>
  <c r="A4348" i="5"/>
  <c r="A4347" i="5"/>
  <c r="A4346" i="5"/>
  <c r="A4345" i="5"/>
  <c r="A4344" i="5"/>
  <c r="A4343" i="5"/>
  <c r="A4342" i="5"/>
  <c r="A4341" i="5"/>
  <c r="A4340" i="5"/>
  <c r="A4339" i="5"/>
  <c r="A4338" i="5"/>
  <c r="A4337" i="5"/>
  <c r="A4336" i="5"/>
  <c r="A4335" i="5"/>
  <c r="A4334" i="5"/>
  <c r="A4333" i="5"/>
  <c r="A4332" i="5"/>
  <c r="A4331" i="5"/>
  <c r="A4330" i="5"/>
  <c r="A4329" i="5"/>
  <c r="A4328" i="5"/>
  <c r="A4327" i="5"/>
  <c r="A4326" i="5"/>
  <c r="A4325" i="5"/>
  <c r="A4324" i="5"/>
  <c r="A4323" i="5"/>
  <c r="A4322" i="5"/>
  <c r="A4321" i="5"/>
  <c r="A4320" i="5"/>
  <c r="A4319" i="5"/>
  <c r="A4318" i="5"/>
  <c r="A4317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4" i="5"/>
  <c r="A4303" i="5"/>
  <c r="A4302" i="5"/>
  <c r="A4301" i="5"/>
  <c r="A4300" i="5"/>
  <c r="A4299" i="5"/>
  <c r="A4298" i="5"/>
  <c r="A4297" i="5"/>
  <c r="A4296" i="5"/>
  <c r="A4295" i="5"/>
  <c r="A4294" i="5"/>
  <c r="A4293" i="5"/>
  <c r="A4292" i="5"/>
  <c r="A4291" i="5"/>
  <c r="A4290" i="5"/>
  <c r="A4289" i="5"/>
  <c r="A4288" i="5"/>
  <c r="A4287" i="5"/>
  <c r="A4286" i="5"/>
  <c r="A4285" i="5"/>
  <c r="A4284" i="5"/>
  <c r="A4283" i="5"/>
  <c r="A4282" i="5"/>
  <c r="A4281" i="5"/>
  <c r="A4280" i="5"/>
  <c r="A4279" i="5"/>
  <c r="A4278" i="5"/>
  <c r="A4277" i="5"/>
  <c r="A4276" i="5"/>
  <c r="A4275" i="5"/>
  <c r="A4274" i="5"/>
  <c r="A4273" i="5"/>
  <c r="A4272" i="5"/>
  <c r="A4271" i="5"/>
  <c r="A4270" i="5"/>
  <c r="A4269" i="5"/>
  <c r="A4268" i="5"/>
  <c r="A4267" i="5"/>
  <c r="A4266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3" i="5"/>
  <c r="A4252" i="5"/>
  <c r="A4251" i="5"/>
  <c r="A4250" i="5"/>
  <c r="A4249" i="5"/>
  <c r="A4248" i="5"/>
  <c r="A4247" i="5"/>
  <c r="A4246" i="5"/>
  <c r="A4245" i="5"/>
  <c r="A4244" i="5"/>
  <c r="A4243" i="5"/>
  <c r="A4242" i="5"/>
  <c r="A4241" i="5"/>
  <c r="A4240" i="5"/>
  <c r="A4239" i="5"/>
  <c r="A4238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6" i="5"/>
  <c r="A4205" i="5"/>
  <c r="A4204" i="5"/>
  <c r="A4203" i="5"/>
  <c r="A4202" i="5"/>
  <c r="A4201" i="5"/>
  <c r="A4200" i="5"/>
  <c r="A4199" i="5"/>
  <c r="A4198" i="5"/>
  <c r="A4197" i="5"/>
  <c r="A4196" i="5"/>
  <c r="A4195" i="5"/>
  <c r="A4194" i="5"/>
  <c r="A4193" i="5"/>
  <c r="A4192" i="5"/>
  <c r="A4191" i="5"/>
  <c r="A4190" i="5"/>
  <c r="A4189" i="5"/>
  <c r="A4188" i="5"/>
  <c r="A4187" i="5"/>
  <c r="A4186" i="5"/>
  <c r="A4185" i="5"/>
  <c r="A4184" i="5"/>
  <c r="A4183" i="5"/>
  <c r="A4182" i="5"/>
  <c r="A4181" i="5"/>
  <c r="A4180" i="5"/>
  <c r="A4179" i="5"/>
  <c r="A4178" i="5"/>
  <c r="A4177" i="5"/>
  <c r="A4176" i="5"/>
  <c r="A4175" i="5"/>
  <c r="A4174" i="5"/>
  <c r="A4173" i="5"/>
  <c r="A4172" i="5"/>
  <c r="A4171" i="5"/>
  <c r="A4170" i="5"/>
  <c r="A4169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9" i="5"/>
  <c r="A4148" i="5"/>
  <c r="A4147" i="5"/>
  <c r="A4146" i="5"/>
  <c r="A4145" i="5"/>
  <c r="A4144" i="5"/>
  <c r="A4143" i="5"/>
  <c r="A4142" i="5"/>
  <c r="A4141" i="5"/>
  <c r="A4140" i="5"/>
  <c r="A4139" i="5"/>
  <c r="A4138" i="5"/>
  <c r="A4137" i="5"/>
  <c r="A4136" i="5"/>
  <c r="A4135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2" i="5"/>
  <c r="A4111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90" i="5"/>
  <c r="A4089" i="5"/>
  <c r="A4088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A1" i="5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FDFDA-61D2-4CE0-ACC1-2718E848975D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D9722-0E35-4221-9042-C3D3FF95C19C}">
  <dimension ref="A1:B15475"/>
  <sheetViews>
    <sheetView topLeftCell="A15460" workbookViewId="0">
      <selection activeCell="A15475" sqref="A1:A15475"/>
    </sheetView>
  </sheetViews>
  <sheetFormatPr defaultRowHeight="13.8" x14ac:dyDescent="0.25"/>
  <sheetData>
    <row r="1" spans="1:2" x14ac:dyDescent="0.25">
      <c r="A1">
        <f ca="1">28826.2300246263*((RANDBETWEEN(2979,3282)))</f>
        <v>88121785.185282469</v>
      </c>
      <c r="B1">
        <v>159171143.87989873</v>
      </c>
    </row>
    <row r="2" spans="1:2" x14ac:dyDescent="0.25">
      <c r="A2">
        <f ca="1">26382.7023642698*((RANDBETWEEN(2979,3282)))</f>
        <v>84609326.482213348</v>
      </c>
      <c r="B2">
        <v>151983303.14195901</v>
      </c>
    </row>
    <row r="3" spans="1:2" x14ac:dyDescent="0.25">
      <c r="A3">
        <f ca="1">32371.743637663*((RANDBETWEEN(2979,3282)))</f>
        <v>100740866.2004073</v>
      </c>
      <c r="B3">
        <v>195579831.99067193</v>
      </c>
    </row>
    <row r="4" spans="1:2" x14ac:dyDescent="0.25">
      <c r="A4">
        <f ca="1">29065.7765699345*((RANDBETWEEN(2979,3282)))</f>
        <v>93039550.800360337</v>
      </c>
      <c r="B4">
        <v>182532680.5027681</v>
      </c>
    </row>
    <row r="5" spans="1:2" x14ac:dyDescent="0.25">
      <c r="A5">
        <f ca="1">27834.3663238158*((RANDBETWEEN(2979,3282)))</f>
        <v>83586602.070418715</v>
      </c>
      <c r="B5">
        <v>148988138.49408233</v>
      </c>
    </row>
    <row r="6" spans="1:2" x14ac:dyDescent="0.25">
      <c r="A6">
        <f ca="1">27430.4315534276*((RANDBETWEEN(2979,3282)))</f>
        <v>85445794.288927078</v>
      </c>
      <c r="B6">
        <v>158273949.63377935</v>
      </c>
    </row>
    <row r="7" spans="1:2" x14ac:dyDescent="0.25">
      <c r="A7">
        <f ca="1">27736.6130211361*((RANDBETWEEN(2979,3282)))</f>
        <v>89228684.088994786</v>
      </c>
      <c r="B7">
        <v>148712868.17594975</v>
      </c>
    </row>
    <row r="8" spans="1:2" x14ac:dyDescent="0.25">
      <c r="A8">
        <f ca="1">29504.2807308738*((RANDBETWEEN(2979,3282)))</f>
        <v>94266176.935141802</v>
      </c>
      <c r="B8">
        <v>184183390.48408759</v>
      </c>
    </row>
    <row r="9" spans="1:2" x14ac:dyDescent="0.25">
      <c r="A9">
        <f ca="1">26805.3307378619*((RANDBETWEEN(2979,3282)))</f>
        <v>87224546.221002579</v>
      </c>
      <c r="B9">
        <v>165144508.00345504</v>
      </c>
    </row>
    <row r="10" spans="1:2" x14ac:dyDescent="0.25">
      <c r="A10">
        <f ca="1">31875.2981911162*((RANDBETWEEN(2979,3282)))</f>
        <v>103849721.50665659</v>
      </c>
      <c r="B10">
        <v>149343242.02009121</v>
      </c>
    </row>
    <row r="11" spans="1:2" x14ac:dyDescent="0.25">
      <c r="A11">
        <f ca="1">31826.2175237075*((RANDBETWEEN(2979,3282)))</f>
        <v>103689816.69223902</v>
      </c>
      <c r="B11">
        <v>185020863.41107589</v>
      </c>
    </row>
    <row r="12" spans="1:2" x14ac:dyDescent="0.25">
      <c r="A12">
        <f ca="1">26038.762696176*((RANDBETWEEN(2979,3282)))</f>
        <v>81397172.188246191</v>
      </c>
      <c r="B12">
        <v>151199935.1508956</v>
      </c>
    </row>
    <row r="13" spans="1:2" x14ac:dyDescent="0.25">
      <c r="A13">
        <f ca="1">26517.7804718433*((RANDBETWEEN(2979,3282)))</f>
        <v>84140917.437158778</v>
      </c>
      <c r="B13">
        <v>148993283.41250977</v>
      </c>
    </row>
    <row r="14" spans="1:2" x14ac:dyDescent="0.25">
      <c r="A14">
        <f ca="1">31148.6772341557*((RANDBETWEEN(2979,3282)))</f>
        <v>95190357.627579883</v>
      </c>
      <c r="B14">
        <v>191532929.21050861</v>
      </c>
    </row>
    <row r="15" spans="1:2" x14ac:dyDescent="0.25">
      <c r="A15">
        <f ca="1">26752.4015159751*((RANDBETWEEN(2979,3282)))</f>
        <v>86972057.328435078</v>
      </c>
      <c r="B15">
        <v>144743379.99699223</v>
      </c>
    </row>
    <row r="16" spans="1:2" x14ac:dyDescent="0.25">
      <c r="A16">
        <f ca="1">25713.1286819025*((RANDBETWEEN(2979,3282)))</f>
        <v>82719134.969680369</v>
      </c>
      <c r="B16">
        <v>149113283.96570048</v>
      </c>
    </row>
    <row r="17" spans="1:2" x14ac:dyDescent="0.25">
      <c r="A17">
        <f ca="1">27645.9832941801*((RANDBETWEEN(2979,3282)))</f>
        <v>87610121.059256747</v>
      </c>
      <c r="B17">
        <v>150308007.29705003</v>
      </c>
    </row>
    <row r="18" spans="1:2" x14ac:dyDescent="0.25">
      <c r="A18">
        <f ca="1">26843.9546893298*((RANDBETWEEN(2979,3282)))</f>
        <v>87699199.970040545</v>
      </c>
      <c r="B18">
        <v>160879852.56831887</v>
      </c>
    </row>
    <row r="19" spans="1:2" x14ac:dyDescent="0.25">
      <c r="A19">
        <f ca="1">27275.8834641591*((RANDBETWEEN(2979,3282)))</f>
        <v>87173723.551452458</v>
      </c>
      <c r="B19">
        <v>177511065.86487564</v>
      </c>
    </row>
    <row r="20" spans="1:2" x14ac:dyDescent="0.25">
      <c r="A20">
        <f ca="1">30257.4220262209*((RANDBETWEEN(2979,3282)))</f>
        <v>96279116.88743481</v>
      </c>
      <c r="B20">
        <v>163135931.72458631</v>
      </c>
    </row>
    <row r="21" spans="1:2" x14ac:dyDescent="0.25">
      <c r="A21">
        <f ca="1">30070.4917291854*((RANDBETWEEN(2979,3282)))</f>
        <v>92105916.166494995</v>
      </c>
      <c r="B21">
        <v>167492469.08232579</v>
      </c>
    </row>
    <row r="22" spans="1:2" x14ac:dyDescent="0.25">
      <c r="A22">
        <f ca="1">29177.6284222027*((RANDBETWEEN(2979,3282)))</f>
        <v>91851174.273093969</v>
      </c>
      <c r="B22">
        <v>160871915.31381062</v>
      </c>
    </row>
    <row r="23" spans="1:2" x14ac:dyDescent="0.25">
      <c r="A23">
        <f ca="1">26102.1637966968*((RANDBETWEEN(2979,3282)))</f>
        <v>79742110.398908749</v>
      </c>
      <c r="B23">
        <v>142928178.26160616</v>
      </c>
    </row>
    <row r="24" spans="1:2" x14ac:dyDescent="0.25">
      <c r="A24">
        <f ca="1">26096.2770530248*((RANDBETWEEN(2979,3282)))</f>
        <v>77871290.726225853</v>
      </c>
      <c r="B24">
        <v>146016126.81236535</v>
      </c>
    </row>
    <row r="25" spans="1:2" x14ac:dyDescent="0.25">
      <c r="A25">
        <f ca="1">31340.9476371379*((RANDBETWEEN(2979,3282)))</f>
        <v>95276480.816899195</v>
      </c>
      <c r="B25">
        <v>169101093.33585781</v>
      </c>
    </row>
    <row r="26" spans="1:2" x14ac:dyDescent="0.25">
      <c r="A26">
        <f ca="1">29656.9004665194*((RANDBETWEEN(2979,3282)))</f>
        <v>89385898.00608933</v>
      </c>
      <c r="B26">
        <v>166981939.4828009</v>
      </c>
    </row>
    <row r="27" spans="1:2" x14ac:dyDescent="0.25">
      <c r="A27">
        <f ca="1">26018.7224986455*((RANDBETWEEN(2979,3282)))</f>
        <v>80371833.798315957</v>
      </c>
      <c r="B27">
        <v>166873742.12284487</v>
      </c>
    </row>
    <row r="28" spans="1:2" x14ac:dyDescent="0.25">
      <c r="A28">
        <f ca="1">29736.7144433402*((RANDBETWEEN(2979,3282)))</f>
        <v>90756452.481074393</v>
      </c>
      <c r="B28">
        <v>201819824.651526</v>
      </c>
    </row>
    <row r="29" spans="1:2" x14ac:dyDescent="0.25">
      <c r="A29">
        <f ca="1">30531.4304168833*((RANDBETWEEN(2979,3282)))</f>
        <v>97700577.334026501</v>
      </c>
      <c r="B29">
        <v>160995172.12066823</v>
      </c>
    </row>
    <row r="30" spans="1:2" x14ac:dyDescent="0.25">
      <c r="A30">
        <f ca="1">27004.7698620126*((RANDBETWEEN(2979,3282)))</f>
        <v>86577292.177612364</v>
      </c>
      <c r="B30">
        <v>172742682.96615767</v>
      </c>
    </row>
    <row r="31" spans="1:2" x14ac:dyDescent="0.25">
      <c r="A31">
        <f ca="1">27786.0777604233*((RANDBETWEEN(2979,3282)))</f>
        <v>86053482.824030891</v>
      </c>
      <c r="B31">
        <v>172939305.23732379</v>
      </c>
    </row>
    <row r="32" spans="1:2" x14ac:dyDescent="0.25">
      <c r="A32">
        <f ca="1">29251.9587148968*((RANDBETWEEN(2979,3282)))</f>
        <v>88077647.690554366</v>
      </c>
      <c r="B32">
        <v>174731228.1276623</v>
      </c>
    </row>
    <row r="33" spans="1:2" x14ac:dyDescent="0.25">
      <c r="A33">
        <f ca="1">30087.677062926*((RANDBETWEEN(2979,3282)))</f>
        <v>96160215.893111393</v>
      </c>
      <c r="B33">
        <v>145656807.98628834</v>
      </c>
    </row>
    <row r="34" spans="1:2" x14ac:dyDescent="0.25">
      <c r="A34">
        <f ca="1">26312.1249656364*((RANDBETWEEN(2979,3282)))</f>
        <v>85567030.388249442</v>
      </c>
      <c r="B34">
        <v>154105054.37900415</v>
      </c>
    </row>
    <row r="35" spans="1:2" x14ac:dyDescent="0.25">
      <c r="A35">
        <f ca="1">30244.9591696515*((RANDBETWEEN(2979,3282)))</f>
        <v>97600483.240465313</v>
      </c>
      <c r="B35">
        <v>183616659.15902561</v>
      </c>
    </row>
    <row r="36" spans="1:2" x14ac:dyDescent="0.25">
      <c r="A36">
        <f ca="1">26331.0303235066*((RANDBETWEEN(2979,3282)))</f>
        <v>86260455.339807644</v>
      </c>
      <c r="B36">
        <v>185176263.85121432</v>
      </c>
    </row>
    <row r="37" spans="1:2" x14ac:dyDescent="0.25">
      <c r="A37">
        <f ca="1">26774.4947009373*((RANDBETWEEN(2979,3282)))</f>
        <v>81448012.880251244</v>
      </c>
      <c r="B37">
        <v>152193573.94061819</v>
      </c>
    </row>
    <row r="38" spans="1:2" x14ac:dyDescent="0.25">
      <c r="A38">
        <f ca="1">30327.3462153916*((RANDBETWEEN(2979,3282)))</f>
        <v>98624529.892453611</v>
      </c>
      <c r="B38">
        <v>193718941.23043114</v>
      </c>
    </row>
    <row r="39" spans="1:2" x14ac:dyDescent="0.25">
      <c r="A39">
        <f ca="1">29706.8836383428*((RANDBETWEEN(2979,3282)))</f>
        <v>94111407.366269857</v>
      </c>
      <c r="B39">
        <v>185488183.91891649</v>
      </c>
    </row>
    <row r="40" spans="1:2" x14ac:dyDescent="0.25">
      <c r="A40">
        <f ca="1">30162.6523108628*((RANDBETWEEN(2979,3282)))</f>
        <v>90940396.717251226</v>
      </c>
      <c r="B40">
        <v>199179685.77599725</v>
      </c>
    </row>
    <row r="41" spans="1:2" x14ac:dyDescent="0.25">
      <c r="A41">
        <f ca="1">25977.5993827774*((RANDBETWEEN(2979,3282)))</f>
        <v>84816861.984768093</v>
      </c>
      <c r="B41">
        <v>149285423.30306107</v>
      </c>
    </row>
    <row r="42" spans="1:2" x14ac:dyDescent="0.25">
      <c r="A42">
        <f ca="1">26051.9472932963*((RANDBETWEEN(2979,3282)))</f>
        <v>77817166.565075934</v>
      </c>
      <c r="B42">
        <v>164834425.14446783</v>
      </c>
    </row>
    <row r="43" spans="1:2" x14ac:dyDescent="0.25">
      <c r="A43">
        <f ca="1">29294.3682434952*((RANDBETWEEN(2979,3282)))</f>
        <v>94532926.321759164</v>
      </c>
      <c r="B43">
        <v>148431115.72535068</v>
      </c>
    </row>
    <row r="44" spans="1:2" x14ac:dyDescent="0.25">
      <c r="A44">
        <f ca="1">26908.9188466148*((RANDBETWEEN(2979,3282)))</f>
        <v>82152929.238715261</v>
      </c>
      <c r="B44">
        <v>195346745.47379661</v>
      </c>
    </row>
    <row r="45" spans="1:2" x14ac:dyDescent="0.25">
      <c r="A45">
        <f ca="1">27916.831824081*((RANDBETWEEN(2979,3282)))</f>
        <v>88133438.068623722</v>
      </c>
      <c r="B45">
        <v>164044785.14014536</v>
      </c>
    </row>
    <row r="46" spans="1:2" x14ac:dyDescent="0.25">
      <c r="A46">
        <f ca="1">27046.7551428566*((RANDBETWEEN(2979,3282)))</f>
        <v>88361749.051712587</v>
      </c>
      <c r="B46">
        <v>152062483.95918196</v>
      </c>
    </row>
    <row r="47" spans="1:2" x14ac:dyDescent="0.25">
      <c r="A47">
        <f ca="1">26724.0630352983*((RANDBETWEEN(2979,3282)))</f>
        <v>84127350.435119182</v>
      </c>
      <c r="B47">
        <v>189943887.15001076</v>
      </c>
    </row>
    <row r="48" spans="1:2" x14ac:dyDescent="0.25">
      <c r="A48">
        <f ca="1">25515.1698656331*((RANDBETWEEN(2979,3282)))</f>
        <v>81291331.191907138</v>
      </c>
      <c r="B48">
        <v>154492404.21712944</v>
      </c>
    </row>
    <row r="49" spans="1:2" x14ac:dyDescent="0.25">
      <c r="A49">
        <f ca="1">29802.9000678258*((RANDBETWEEN(2979,3282)))</f>
        <v>91256480.007682636</v>
      </c>
      <c r="B49">
        <v>181281330.4760415</v>
      </c>
    </row>
    <row r="50" spans="1:2" x14ac:dyDescent="0.25">
      <c r="A50">
        <f ca="1">26084.9836197711*((RANDBETWEEN(2979,3282)))</f>
        <v>85454406.338370159</v>
      </c>
      <c r="B50">
        <v>147310633.3844977</v>
      </c>
    </row>
    <row r="51" spans="1:2" x14ac:dyDescent="0.25">
      <c r="A51">
        <f ca="1">29745.9937583046*((RANDBETWEEN(2979,3282)))</f>
        <v>91201216.862961859</v>
      </c>
      <c r="B51">
        <v>156064616.48908392</v>
      </c>
    </row>
    <row r="52" spans="1:2" x14ac:dyDescent="0.25">
      <c r="A52">
        <f ca="1">27498.513642278*((RANDBETWEEN(2979,3282)))</f>
        <v>83650478.499809742</v>
      </c>
      <c r="B52">
        <v>185307097.16771945</v>
      </c>
    </row>
    <row r="53" spans="1:2" x14ac:dyDescent="0.25">
      <c r="A53">
        <f ca="1">27250.1347875189*((RANDBETWEEN(2979,3282)))</f>
        <v>85592673.36759688</v>
      </c>
      <c r="B53">
        <v>156640853.7764875</v>
      </c>
    </row>
    <row r="54" spans="1:2" x14ac:dyDescent="0.25">
      <c r="A54">
        <f ca="1">28007.5973589088*((RANDBETWEEN(2979,3282)))</f>
        <v>84162830.063520968</v>
      </c>
      <c r="B54">
        <v>179459875.55948573</v>
      </c>
    </row>
    <row r="55" spans="1:2" x14ac:dyDescent="0.25">
      <c r="A55">
        <f ca="1">30829.137112253*((RANDBETWEEN(2979,3282)))</f>
        <v>95231204.539749578</v>
      </c>
      <c r="B55">
        <v>182410324.77524203</v>
      </c>
    </row>
    <row r="56" spans="1:2" x14ac:dyDescent="0.25">
      <c r="A56">
        <f ca="1">26952.1676749226*((RANDBETWEEN(2979,3282)))</f>
        <v>87756257.949547902</v>
      </c>
      <c r="B56">
        <v>172182931.35789472</v>
      </c>
    </row>
    <row r="57" spans="1:2" x14ac:dyDescent="0.25">
      <c r="A57">
        <f ca="1">28383.0348134642*((RANDBETWEEN(2979,3282)))</f>
        <v>90939243.542339429</v>
      </c>
      <c r="B57">
        <v>193324396.0202029</v>
      </c>
    </row>
    <row r="58" spans="1:2" x14ac:dyDescent="0.25">
      <c r="A58">
        <f ca="1">29703.2699670359*((RANDBETWEEN(2979,3282)))</f>
        <v>96149484.883295134</v>
      </c>
      <c r="B58">
        <v>181599224.8808623</v>
      </c>
    </row>
    <row r="59" spans="1:2" x14ac:dyDescent="0.25">
      <c r="A59">
        <f ca="1">27805.2590318619*((RANDBETWEEN(2979,3282)))</f>
        <v>84333350.643637061</v>
      </c>
      <c r="B59">
        <v>194626457.00058359</v>
      </c>
    </row>
    <row r="60" spans="1:2" x14ac:dyDescent="0.25">
      <c r="A60">
        <f ca="1">26794.76056622*((RANDBETWEEN(2979,3282)))</f>
        <v>84966185.755483568</v>
      </c>
      <c r="B60">
        <v>182216146.8721545</v>
      </c>
    </row>
    <row r="61" spans="1:2" x14ac:dyDescent="0.25">
      <c r="A61">
        <f ca="1">31491.7900729362*((RANDBETWEEN(2979,3282)))</f>
        <v>95483107.501142666</v>
      </c>
      <c r="B61">
        <v>164355270.50379932</v>
      </c>
    </row>
    <row r="62" spans="1:2" x14ac:dyDescent="0.25">
      <c r="A62">
        <f ca="1">29974.9409069135*((RANDBETWEEN(2979,3282)))</f>
        <v>91123820.35701713</v>
      </c>
      <c r="B62">
        <v>147236019.61592546</v>
      </c>
    </row>
    <row r="63" spans="1:2" x14ac:dyDescent="0.25">
      <c r="A63">
        <f ca="1">27856.2749477353*((RANDBETWEEN(2979,3282)))</f>
        <v>89697205.331707671</v>
      </c>
      <c r="B63">
        <v>197920868.37000906</v>
      </c>
    </row>
    <row r="64" spans="1:2" x14ac:dyDescent="0.25">
      <c r="A64">
        <f ca="1">32243.7856825866*((RANDBETWEEN(2979,3282)))</f>
        <v>99181884.759636417</v>
      </c>
      <c r="B64">
        <v>185280297.46040726</v>
      </c>
    </row>
    <row r="65" spans="1:2" x14ac:dyDescent="0.25">
      <c r="A65">
        <f ca="1">27613.8488713856*((RANDBETWEEN(2979,3282)))</f>
        <v>88916593.365861714</v>
      </c>
      <c r="B65">
        <v>167470167.60999429</v>
      </c>
    </row>
    <row r="66" spans="1:2" x14ac:dyDescent="0.25">
      <c r="A66">
        <f ca="1">30420.8542993122*((RANDBETWEEN(2979,3282)))</f>
        <v>98076834.260982379</v>
      </c>
      <c r="B66">
        <v>198153737.70028242</v>
      </c>
    </row>
    <row r="67" spans="1:2" x14ac:dyDescent="0.25">
      <c r="A67">
        <f ca="1">27554.2151566296*((RANDBETWEEN(2979,3282)))</f>
        <v>84949645.327889189</v>
      </c>
      <c r="B67">
        <v>146588769.04328448</v>
      </c>
    </row>
    <row r="68" spans="1:2" x14ac:dyDescent="0.25">
      <c r="A68">
        <f ca="1">29161.0749289073*((RANDBETWEEN(2979,3282)))</f>
        <v>90486815.5043993</v>
      </c>
      <c r="B68">
        <v>175125862.75181833</v>
      </c>
    </row>
    <row r="69" spans="1:2" x14ac:dyDescent="0.25">
      <c r="A69">
        <f ca="1">31107.373436314*((RANDBETWEEN(2979,3282)))</f>
        <v>93228798.188633189</v>
      </c>
      <c r="B69">
        <v>199778032.7435388</v>
      </c>
    </row>
    <row r="70" spans="1:2" x14ac:dyDescent="0.25">
      <c r="A70">
        <f ca="1">29520.8003268188*((RANDBETWEEN(2979,3282)))</f>
        <v>90156524.19810468</v>
      </c>
      <c r="B70">
        <v>178125097.28236744</v>
      </c>
    </row>
    <row r="71" spans="1:2" x14ac:dyDescent="0.25">
      <c r="A71">
        <f ca="1">26357.7924883418*((RANDBETWEEN(2979,3282)))</f>
        <v>85188385.322320595</v>
      </c>
      <c r="B71">
        <v>165863515.97785258</v>
      </c>
    </row>
    <row r="72" spans="1:2" x14ac:dyDescent="0.25">
      <c r="A72">
        <f ca="1">26878.4821611331*((RANDBETWEEN(2979,3282)))</f>
        <v>81334287.019588783</v>
      </c>
      <c r="B72">
        <v>181852478.00408092</v>
      </c>
    </row>
    <row r="73" spans="1:2" x14ac:dyDescent="0.25">
      <c r="A73">
        <f ca="1">25282.4645954838*((RANDBETWEEN(2979,3282)))</f>
        <v>82066880.076940402</v>
      </c>
      <c r="B73">
        <v>173405705.88201848</v>
      </c>
    </row>
    <row r="74" spans="1:2" x14ac:dyDescent="0.25">
      <c r="A74">
        <f ca="1">29219.6412903716*((RANDBETWEEN(2979,3282)))</f>
        <v>90989962.978217155</v>
      </c>
      <c r="B74">
        <v>147365345.64305592</v>
      </c>
    </row>
    <row r="75" spans="1:2" x14ac:dyDescent="0.25">
      <c r="A75">
        <f ca="1">28545.2315909249*((RANDBETWEEN(2979,3282)))</f>
        <v>86834594.499593511</v>
      </c>
      <c r="B75">
        <v>164242598.20695069</v>
      </c>
    </row>
    <row r="76" spans="1:2" x14ac:dyDescent="0.25">
      <c r="A76">
        <f ca="1">25967.7086076625*((RANDBETWEEN(2979,3282)))</f>
        <v>78474415.412355959</v>
      </c>
      <c r="B76">
        <v>187248365.54233548</v>
      </c>
    </row>
    <row r="77" spans="1:2" x14ac:dyDescent="0.25">
      <c r="A77">
        <f ca="1">27999.8712525542*((RANDBETWEEN(2979,3282)))</f>
        <v>83915614.143905059</v>
      </c>
      <c r="B77">
        <v>176621944.53377461</v>
      </c>
    </row>
    <row r="78" spans="1:2" x14ac:dyDescent="0.25">
      <c r="A78">
        <f ca="1">27042.1731676291*((RANDBETWEEN(2979,3282)))</f>
        <v>84479748.975673422</v>
      </c>
      <c r="B78">
        <v>154789771.97824901</v>
      </c>
    </row>
    <row r="79" spans="1:2" x14ac:dyDescent="0.25">
      <c r="A79">
        <f ca="1">26539.9210254372*((RANDBETWEEN(2979,3282)))</f>
        <v>83494591.546025574</v>
      </c>
      <c r="B79">
        <v>147902747.74210799</v>
      </c>
    </row>
    <row r="80" spans="1:2" x14ac:dyDescent="0.25">
      <c r="A80">
        <f ca="1">27867.5952869935*((RANDBETWEEN(2979,3282)))</f>
        <v>89204172.513666272</v>
      </c>
      <c r="B80">
        <v>167460697.10194629</v>
      </c>
    </row>
    <row r="81" spans="1:2" x14ac:dyDescent="0.25">
      <c r="A81">
        <f ca="1">27389.684939429*((RANDBETWEEN(2979,3282)))</f>
        <v>84223281.188744172</v>
      </c>
      <c r="B81">
        <v>185324670.43070427</v>
      </c>
    </row>
    <row r="82" spans="1:2" x14ac:dyDescent="0.25">
      <c r="A82">
        <f ca="1">26440.4373305646*((RANDBETWEEN(2979,3282)))</f>
        <v>84741601.644459412</v>
      </c>
      <c r="B82">
        <v>149486122.5290736</v>
      </c>
    </row>
    <row r="83" spans="1:2" x14ac:dyDescent="0.25">
      <c r="A83">
        <f ca="1">31419.8689965859*((RANDBETWEEN(2979,3282)))</f>
        <v>99946603.278139845</v>
      </c>
      <c r="B83">
        <v>144786042.48753583</v>
      </c>
    </row>
    <row r="84" spans="1:2" x14ac:dyDescent="0.25">
      <c r="A84">
        <f ca="1">31015.8860011268*((RANDBETWEEN(2979,3282)))</f>
        <v>98878644.571592286</v>
      </c>
      <c r="B84">
        <v>168685501.20795882</v>
      </c>
    </row>
    <row r="85" spans="1:2" x14ac:dyDescent="0.25">
      <c r="A85">
        <f ca="1">26472.9640087963*((RANDBETWEEN(2979,3282)))</f>
        <v>83098634.023611486</v>
      </c>
      <c r="B85">
        <v>169573451.74168628</v>
      </c>
    </row>
    <row r="86" spans="1:2" x14ac:dyDescent="0.25">
      <c r="A86">
        <f ca="1">25838.4725788877*((RANDBETWEEN(2979,3282)))</f>
        <v>80564357.500971809</v>
      </c>
      <c r="B86">
        <v>143775809.16203836</v>
      </c>
    </row>
    <row r="87" spans="1:2" x14ac:dyDescent="0.25">
      <c r="A87">
        <f ca="1">29337.9677898693*((RANDBETWEEN(2979,3282)))</f>
        <v>89803519.404789805</v>
      </c>
      <c r="B87">
        <v>160191428.33593345</v>
      </c>
    </row>
    <row r="88" spans="1:2" x14ac:dyDescent="0.25">
      <c r="A88">
        <f ca="1">26051.5405693567*((RANDBETWEEN(2979,3282)))</f>
        <v>81280806.576392919</v>
      </c>
      <c r="B88">
        <v>158107437.59236023</v>
      </c>
    </row>
    <row r="89" spans="1:2" x14ac:dyDescent="0.25">
      <c r="A89">
        <f ca="1">26162.6806613919*((RANDBETWEEN(2979,3282)))</f>
        <v>81993841.192802221</v>
      </c>
      <c r="B89">
        <v>149903464.09691939</v>
      </c>
    </row>
    <row r="90" spans="1:2" x14ac:dyDescent="0.25">
      <c r="A90">
        <f ca="1">30234.1550547687*((RANDBETWEEN(2979,3282)))</f>
        <v>96205081.384273946</v>
      </c>
      <c r="B90">
        <v>166547193.09378392</v>
      </c>
    </row>
    <row r="91" spans="1:2" x14ac:dyDescent="0.25">
      <c r="A91">
        <f ca="1">26540.7292282518*((RANDBETWEEN(2979,3282)))</f>
        <v>85859259.053394467</v>
      </c>
      <c r="B91">
        <v>195828781.88680732</v>
      </c>
    </row>
    <row r="92" spans="1:2" x14ac:dyDescent="0.25">
      <c r="A92">
        <f ca="1">28598.6607520646*((RANDBETWEEN(2979,3282)))</f>
        <v>88856038.95666486</v>
      </c>
      <c r="B92">
        <v>184333947.72774369</v>
      </c>
    </row>
    <row r="93" spans="1:2" x14ac:dyDescent="0.25">
      <c r="A93">
        <f ca="1">26252.3119347106*((RANDBETWEEN(2979,3282)))</f>
        <v>84033650.503008649</v>
      </c>
      <c r="B93">
        <v>170343735.83959121</v>
      </c>
    </row>
    <row r="94" spans="1:2" x14ac:dyDescent="0.25">
      <c r="A94">
        <f ca="1">33697.330246015*((RANDBETWEEN(2979,3282)))</f>
        <v>102608370.59911555</v>
      </c>
      <c r="B94">
        <v>146853031.30111635</v>
      </c>
    </row>
    <row r="95" spans="1:2" x14ac:dyDescent="0.25">
      <c r="A95">
        <f ca="1">27380.3462801787*((RANDBETWEEN(2979,3282)))</f>
        <v>83783859.617346898</v>
      </c>
      <c r="B95">
        <v>148621220.56479165</v>
      </c>
    </row>
    <row r="96" spans="1:2" x14ac:dyDescent="0.25">
      <c r="A96">
        <f ca="1">27511.3588269366*((RANDBETWEEN(2979,3282)))</f>
        <v>85312723.722330287</v>
      </c>
      <c r="B96">
        <v>170713718.50856397</v>
      </c>
    </row>
    <row r="97" spans="1:2" x14ac:dyDescent="0.25">
      <c r="A97">
        <f ca="1">30985.3358034119*((RANDBETWEEN(2979,3282)))</f>
        <v>93513743.454696998</v>
      </c>
      <c r="B97">
        <v>186431445.3482796</v>
      </c>
    </row>
    <row r="98" spans="1:2" x14ac:dyDescent="0.25">
      <c r="A98">
        <f ca="1">29782.4019552001*((RANDBETWEEN(2979,3282)))</f>
        <v>89466335.473421142</v>
      </c>
      <c r="B98">
        <v>192628736.9568696</v>
      </c>
    </row>
    <row r="99" spans="1:2" x14ac:dyDescent="0.25">
      <c r="A99">
        <f ca="1">27954.7254640551*((RANDBETWEEN(2979,3282)))</f>
        <v>90517401.052610487</v>
      </c>
      <c r="B99">
        <v>189300584.71533656</v>
      </c>
    </row>
    <row r="100" spans="1:2" x14ac:dyDescent="0.25">
      <c r="A100">
        <f ca="1">28490.4529674701*((RANDBETWEEN(2979,3282)))</f>
        <v>87066824.268588737</v>
      </c>
      <c r="B100">
        <v>203067834.18513149</v>
      </c>
    </row>
    <row r="101" spans="1:2" x14ac:dyDescent="0.25">
      <c r="A101">
        <f ca="1">31311.745695299*((RANDBETWEEN(2979,3282)))</f>
        <v>100573327.1733005</v>
      </c>
      <c r="B101">
        <v>162082278.34195495</v>
      </c>
    </row>
    <row r="102" spans="1:2" x14ac:dyDescent="0.25">
      <c r="A102">
        <f ca="1">27108.6662449743*((RANDBETWEEN(2979,3282)))</f>
        <v>80810934.076268286</v>
      </c>
      <c r="B102">
        <v>176261350.36178917</v>
      </c>
    </row>
    <row r="103" spans="1:2" x14ac:dyDescent="0.25">
      <c r="A103">
        <f ca="1">27068.0036489733*((RANDBETWEEN(2979,3282)))</f>
        <v>83964947.319115058</v>
      </c>
      <c r="B103">
        <v>186995791.05642623</v>
      </c>
    </row>
    <row r="104" spans="1:2" x14ac:dyDescent="0.25">
      <c r="A104">
        <f ca="1">28368.161180187*((RANDBETWEEN(2979,3282)))</f>
        <v>92423469.125049233</v>
      </c>
      <c r="B104">
        <v>178070181.99338093</v>
      </c>
    </row>
    <row r="105" spans="1:2" x14ac:dyDescent="0.25">
      <c r="A105">
        <f ca="1">29690.6359618467*((RANDBETWEEN(2979,3282)))</f>
        <v>96138279.244459748</v>
      </c>
      <c r="B105">
        <v>176899022.41387525</v>
      </c>
    </row>
    <row r="106" spans="1:2" x14ac:dyDescent="0.25">
      <c r="A106">
        <f ca="1">26319.9953370389*((RANDBETWEEN(2979,3282)))</f>
        <v>82092065.456224397</v>
      </c>
      <c r="B106">
        <v>186898231.99412349</v>
      </c>
    </row>
    <row r="107" spans="1:2" x14ac:dyDescent="0.25">
      <c r="A107">
        <f ca="1">28313.2066185311*((RANDBETWEEN(2979,3282)))</f>
        <v>86779978.285797909</v>
      </c>
      <c r="B107">
        <v>161939717.91062355</v>
      </c>
    </row>
    <row r="108" spans="1:2" x14ac:dyDescent="0.25">
      <c r="A108">
        <f ca="1">34597.6049042997*((RANDBETWEEN(2979,3282)))</f>
        <v>109951188.38586435</v>
      </c>
      <c r="B108">
        <v>162284658.86077332</v>
      </c>
    </row>
    <row r="109" spans="1:2" x14ac:dyDescent="0.25">
      <c r="A109">
        <f ca="1">27921.1702980387*((RANDBETWEEN(2979,3282)))</f>
        <v>86053046.858555153</v>
      </c>
      <c r="B109">
        <v>152296994.65536714</v>
      </c>
    </row>
    <row r="110" spans="1:2" x14ac:dyDescent="0.25">
      <c r="A110">
        <f ca="1">26335.6777095466*((RANDBETWEEN(2979,3282)))</f>
        <v>80218474.303278968</v>
      </c>
      <c r="B110">
        <v>148633538.32510957</v>
      </c>
    </row>
    <row r="111" spans="1:2" x14ac:dyDescent="0.25">
      <c r="A111">
        <f ca="1">26256.4452801059*((RANDBETWEEN(2979,3282)))</f>
        <v>82891597.749294475</v>
      </c>
      <c r="B111">
        <v>151327210.48801473</v>
      </c>
    </row>
    <row r="112" spans="1:2" x14ac:dyDescent="0.25">
      <c r="A112">
        <f ca="1">27385.5952410359*((RANDBETWEEN(2979,3282)))</f>
        <v>85443057.152032077</v>
      </c>
      <c r="B112">
        <v>146067702.53290036</v>
      </c>
    </row>
    <row r="113" spans="1:2" x14ac:dyDescent="0.25">
      <c r="A113">
        <f ca="1">27590.0734456403*((RANDBETWEEN(2979,3282)))</f>
        <v>84480804.890550718</v>
      </c>
      <c r="B113">
        <v>153669116.69505119</v>
      </c>
    </row>
    <row r="114" spans="1:2" x14ac:dyDescent="0.25">
      <c r="A114">
        <f ca="1">25964.6684807132*((RANDBETWEEN(2979,3282)))</f>
        <v>85216041.953700751</v>
      </c>
      <c r="B114">
        <v>144273498.58585292</v>
      </c>
    </row>
    <row r="115" spans="1:2" x14ac:dyDescent="0.25">
      <c r="A115">
        <f ca="1">25543.5552920699*((RANDBETWEEN(2979,3282)))</f>
        <v>82148073.819296822</v>
      </c>
      <c r="B115">
        <v>188630864.50863263</v>
      </c>
    </row>
    <row r="116" spans="1:2" x14ac:dyDescent="0.25">
      <c r="A116">
        <f ca="1">28842.7826434185*((RANDBETWEEN(2979,3282)))</f>
        <v>87768587.58392258</v>
      </c>
      <c r="B116">
        <v>188646281.43207875</v>
      </c>
    </row>
    <row r="117" spans="1:2" x14ac:dyDescent="0.25">
      <c r="A117">
        <f ca="1">26398.4349346174*((RANDBETWEEN(2979,3282)))</f>
        <v>82706296.65015626</v>
      </c>
      <c r="B117">
        <v>147659370.5241473</v>
      </c>
    </row>
    <row r="118" spans="1:2" x14ac:dyDescent="0.25">
      <c r="A118">
        <f ca="1">25153.8359058105*((RANDBETWEEN(2979,3282)))</f>
        <v>80743813.257651865</v>
      </c>
      <c r="B118">
        <v>147005891.37237555</v>
      </c>
    </row>
    <row r="119" spans="1:2" x14ac:dyDescent="0.25">
      <c r="A119">
        <f ca="1">30200.9033989821*((RANDBETWEEN(2979,3282)))</f>
        <v>91206728.264925927</v>
      </c>
      <c r="B119">
        <v>193205464.5179601</v>
      </c>
    </row>
    <row r="120" spans="1:2" x14ac:dyDescent="0.25">
      <c r="A120">
        <f ca="1">31898.8632379615*((RANDBETWEEN(2979,3282)))</f>
        <v>99939138.524533331</v>
      </c>
      <c r="B120">
        <v>202010226.49939156</v>
      </c>
    </row>
    <row r="121" spans="1:2" x14ac:dyDescent="0.25">
      <c r="A121">
        <f ca="1">30195.4333806622*((RANDBETWEEN(2979,3282)))</f>
        <v>97501054.386158228</v>
      </c>
      <c r="B121">
        <v>164182255.06883672</v>
      </c>
    </row>
    <row r="122" spans="1:2" x14ac:dyDescent="0.25">
      <c r="A122">
        <f ca="1">26619.864708688*((RANDBETWEEN(2979,3282)))</f>
        <v>82894258.702854589</v>
      </c>
      <c r="B122">
        <v>150656090.8063913</v>
      </c>
    </row>
    <row r="123" spans="1:2" x14ac:dyDescent="0.25">
      <c r="A123">
        <f ca="1">29220.021250333*((RANDBETWEEN(2979,3282)))</f>
        <v>87806163.857250705</v>
      </c>
      <c r="B123">
        <v>194930744.54823583</v>
      </c>
    </row>
    <row r="124" spans="1:2" x14ac:dyDescent="0.25">
      <c r="A124">
        <f ca="1">29691.0217178985*((RANDBETWEEN(2979,3282)))</f>
        <v>91448346.891127512</v>
      </c>
      <c r="B124">
        <v>147914431.88560089</v>
      </c>
    </row>
    <row r="125" spans="1:2" x14ac:dyDescent="0.25">
      <c r="A125">
        <f ca="1">29071.1246756297*((RANDBETWEEN(2979,3282)))</f>
        <v>89509992.876263961</v>
      </c>
      <c r="B125">
        <v>153309058.44018912</v>
      </c>
    </row>
    <row r="126" spans="1:2" x14ac:dyDescent="0.25">
      <c r="A126">
        <f ca="1">24960.7741425036*((RANDBETWEEN(2979,3282)))</f>
        <v>80448575.061289191</v>
      </c>
      <c r="B126">
        <v>169078462.18013778</v>
      </c>
    </row>
    <row r="127" spans="1:2" x14ac:dyDescent="0.25">
      <c r="A127">
        <f ca="1">26816.6597514205*((RANDBETWEEN(2979,3282)))</f>
        <v>80020912.69823882</v>
      </c>
      <c r="B127">
        <v>148827729.96709153</v>
      </c>
    </row>
    <row r="128" spans="1:2" x14ac:dyDescent="0.25">
      <c r="A128">
        <f ca="1">28777.2633473268*((RANDBETWEEN(2979,3282)))</f>
        <v>92979337.875212774</v>
      </c>
      <c r="B128">
        <v>179146787.56380361</v>
      </c>
    </row>
    <row r="129" spans="1:2" x14ac:dyDescent="0.25">
      <c r="A129">
        <f ca="1">28513.3282936716*((RANDBETWEEN(2979,3282)))</f>
        <v>92098050.388559282</v>
      </c>
      <c r="B129">
        <v>200613901.65990967</v>
      </c>
    </row>
    <row r="130" spans="1:2" x14ac:dyDescent="0.25">
      <c r="A130">
        <f ca="1">26633.4761664178*((RANDBETWEEN(2979,3282)))</f>
        <v>79474292.880590722</v>
      </c>
      <c r="B130">
        <v>197854871.66706008</v>
      </c>
    </row>
    <row r="131" spans="1:2" x14ac:dyDescent="0.25">
      <c r="A131">
        <f ca="1">27031.846803882*((RANDBETWEEN(2979,3282)))</f>
        <v>86934419.321284398</v>
      </c>
      <c r="B131">
        <v>171702237.78756294</v>
      </c>
    </row>
    <row r="132" spans="1:2" x14ac:dyDescent="0.25">
      <c r="A132">
        <f ca="1">26884.5545901571*((RANDBETWEEN(2979,3282)))</f>
        <v>82535582.591782376</v>
      </c>
      <c r="B132">
        <v>184837316.79927015</v>
      </c>
    </row>
    <row r="133" spans="1:2" x14ac:dyDescent="0.25">
      <c r="A133">
        <f ca="1">32350.6390358645*((RANDBETWEEN(2979,3282)))</f>
        <v>102842681.49501319</v>
      </c>
      <c r="B133">
        <v>186506255.6467042</v>
      </c>
    </row>
    <row r="134" spans="1:2" x14ac:dyDescent="0.25">
      <c r="A134">
        <f ca="1">30974.1126428213*((RANDBETWEEN(2979,3282)))</f>
        <v>94068380.096248269</v>
      </c>
      <c r="B134">
        <v>194598776.13985914</v>
      </c>
    </row>
    <row r="135" spans="1:2" x14ac:dyDescent="0.25">
      <c r="A135">
        <f ca="1">26765.7649822291*((RANDBETWEEN(2979,3282)))</f>
        <v>86721078.54242219</v>
      </c>
      <c r="B135">
        <v>154105766.36270085</v>
      </c>
    </row>
    <row r="136" spans="1:2" x14ac:dyDescent="0.25">
      <c r="A136">
        <f ca="1">27506.9113346683*((RANDBETWEEN(2979,3282)))</f>
        <v>83455968.989383683</v>
      </c>
      <c r="B136">
        <v>169280929.6729843</v>
      </c>
    </row>
    <row r="137" spans="1:2" x14ac:dyDescent="0.25">
      <c r="A137">
        <f ca="1">31318.5480796549*((RANDBETWEEN(2979,3282)))</f>
        <v>96367172.441098034</v>
      </c>
      <c r="B137">
        <v>164859025.44710606</v>
      </c>
    </row>
    <row r="138" spans="1:2" x14ac:dyDescent="0.25">
      <c r="A138">
        <f ca="1">28716.0095083355*((RANDBETWEEN(2979,3282)))</f>
        <v>88990913.466331691</v>
      </c>
      <c r="B138">
        <v>169058999.64245671</v>
      </c>
    </row>
    <row r="139" spans="1:2" x14ac:dyDescent="0.25">
      <c r="A139">
        <f ca="1">27484.8332839777*((RANDBETWEEN(2979,3282)))</f>
        <v>84543347.181515336</v>
      </c>
      <c r="B139">
        <v>183251630.60267007</v>
      </c>
    </row>
    <row r="140" spans="1:2" x14ac:dyDescent="0.25">
      <c r="A140">
        <f ca="1">31820.1466306743*((RANDBETWEEN(2979,3282)))</f>
        <v>100392562.61977763</v>
      </c>
      <c r="B140">
        <v>154040676.75929284</v>
      </c>
    </row>
    <row r="141" spans="1:2" x14ac:dyDescent="0.25">
      <c r="A141">
        <f ca="1">25668.9664297966*((RANDBETWEEN(2979,3282)))</f>
        <v>79163092.469492823</v>
      </c>
      <c r="B141">
        <v>147962072.5077379</v>
      </c>
    </row>
    <row r="142" spans="1:2" x14ac:dyDescent="0.25">
      <c r="A142">
        <f ca="1">25865.6761106802*((RANDBETWEEN(2979,3282)))</f>
        <v>82149387.327520341</v>
      </c>
      <c r="B142">
        <v>144063969.7628451</v>
      </c>
    </row>
    <row r="143" spans="1:2" x14ac:dyDescent="0.25">
      <c r="A143">
        <f ca="1">26864.944874414*((RANDBETWEEN(2979,3282)))</f>
        <v>81964946.811837196</v>
      </c>
      <c r="B143">
        <v>196762526.82527778</v>
      </c>
    </row>
    <row r="144" spans="1:2" x14ac:dyDescent="0.25">
      <c r="A144">
        <f ca="1">27974.2560175404*((RANDBETWEEN(2979,3282)))</f>
        <v>85041738.293322697</v>
      </c>
      <c r="B144">
        <v>161116278.08310556</v>
      </c>
    </row>
    <row r="145" spans="1:2" x14ac:dyDescent="0.25">
      <c r="A145">
        <f ca="1">26228.3935128365*((RANDBETWEEN(2979,3282)))</f>
        <v>78186841.061765596</v>
      </c>
      <c r="B145">
        <v>187588457.3905049</v>
      </c>
    </row>
    <row r="146" spans="1:2" x14ac:dyDescent="0.25">
      <c r="A146">
        <f ca="1">29111.564368295*((RANDBETWEEN(2979,3282)))</f>
        <v>95107480.791219831</v>
      </c>
      <c r="B146">
        <v>169080061.15530357</v>
      </c>
    </row>
    <row r="147" spans="1:2" x14ac:dyDescent="0.25">
      <c r="A147">
        <f ca="1">27870.7803661012*((RANDBETWEEN(2979,3282)))</f>
        <v>90468553.068364441</v>
      </c>
      <c r="B147">
        <v>179752212.1096231</v>
      </c>
    </row>
    <row r="148" spans="1:2" x14ac:dyDescent="0.25">
      <c r="A148">
        <f ca="1">27019.0210629392*((RANDBETWEEN(2979,3282)))</f>
        <v>87136342.927978829</v>
      </c>
      <c r="B148">
        <v>189523141.4068332</v>
      </c>
    </row>
    <row r="149" spans="1:2" x14ac:dyDescent="0.25">
      <c r="A149">
        <f ca="1">26974.1134818321*((RANDBETWEEN(2979,3282)))</f>
        <v>86452033.709271878</v>
      </c>
      <c r="B149">
        <v>143365103.14125872</v>
      </c>
    </row>
    <row r="150" spans="1:2" x14ac:dyDescent="0.25">
      <c r="A150">
        <f ca="1">28450.7677691793*((RANDBETWEEN(2979,3282)))</f>
        <v>84754837.184384987</v>
      </c>
      <c r="B150">
        <v>159478673.90842763</v>
      </c>
    </row>
    <row r="151" spans="1:2" x14ac:dyDescent="0.25">
      <c r="A151">
        <f ca="1">29802.426320386*((RANDBETWEEN(2979,3282)))</f>
        <v>94771715.698827431</v>
      </c>
      <c r="B151">
        <v>202101176.87295884</v>
      </c>
    </row>
    <row r="152" spans="1:2" x14ac:dyDescent="0.25">
      <c r="A152">
        <f ca="1">27325.1965951465*((RANDBETWEEN(2979,3282)))</f>
        <v>83751727.564124018</v>
      </c>
      <c r="B152">
        <v>146387474.55048645</v>
      </c>
    </row>
    <row r="153" spans="1:2" x14ac:dyDescent="0.25">
      <c r="A153">
        <f ca="1">26232.8276047037*((RANDBETWEEN(2979,3282)))</f>
        <v>84810731.646007136</v>
      </c>
      <c r="B153">
        <v>174666444.55885607</v>
      </c>
    </row>
    <row r="154" spans="1:2" x14ac:dyDescent="0.25">
      <c r="A154">
        <f ca="1">26374.4719248767*((RANDBETWEEN(2979,3282)))</f>
        <v>82235603.461765602</v>
      </c>
      <c r="B154">
        <v>148501181.39007694</v>
      </c>
    </row>
    <row r="155" spans="1:2" x14ac:dyDescent="0.25">
      <c r="A155">
        <f ca="1">28499.9383515692*((RANDBETWEEN(2979,3282)))</f>
        <v>87437810.862614319</v>
      </c>
      <c r="B155">
        <v>144230358.40174115</v>
      </c>
    </row>
    <row r="156" spans="1:2" x14ac:dyDescent="0.25">
      <c r="A156">
        <f ca="1">29812.1470285581*((RANDBETWEEN(2979,3282)))</f>
        <v>95011312.580014735</v>
      </c>
      <c r="B156">
        <v>169070039.48409864</v>
      </c>
    </row>
    <row r="157" spans="1:2" x14ac:dyDescent="0.25">
      <c r="A157">
        <f ca="1">27612.8324928861*((RANDBETWEEN(2979,3282)))</f>
        <v>90459639.246694818</v>
      </c>
      <c r="B157">
        <v>190604237.02933675</v>
      </c>
    </row>
    <row r="158" spans="1:2" x14ac:dyDescent="0.25">
      <c r="A158">
        <f ca="1">26086.9863831677*((RANDBETWEEN(2979,3282)))</f>
        <v>84130531.085715771</v>
      </c>
      <c r="B158">
        <v>172698197.62553126</v>
      </c>
    </row>
    <row r="159" spans="1:2" x14ac:dyDescent="0.25">
      <c r="A159">
        <f ca="1">26862.1092908551*((RANDBETWEEN(2979,3282)))</f>
        <v>81553363.807035938</v>
      </c>
      <c r="B159">
        <v>184590144.58208099</v>
      </c>
    </row>
    <row r="160" spans="1:2" x14ac:dyDescent="0.25">
      <c r="A160">
        <f ca="1">32055.5292664936*((RANDBETWEEN(2979,3282)))</f>
        <v>103154693.17957628</v>
      </c>
      <c r="B160">
        <v>170139865.92157841</v>
      </c>
    </row>
    <row r="161" spans="1:2" x14ac:dyDescent="0.25">
      <c r="A161">
        <f ca="1">29641.0950641376*((RANDBETWEEN(2979,3282)))</f>
        <v>94525452.159534812</v>
      </c>
      <c r="B161">
        <v>193851827.9101274</v>
      </c>
    </row>
    <row r="162" spans="1:2" x14ac:dyDescent="0.25">
      <c r="A162">
        <f ca="1">26856.365901872*((RANDBETWEEN(2979,3282)))</f>
        <v>81643352.341690794</v>
      </c>
      <c r="B162">
        <v>157970259.07730472</v>
      </c>
    </row>
    <row r="163" spans="1:2" x14ac:dyDescent="0.25">
      <c r="A163">
        <f ca="1">28499.6610460111*((RANDBETWEEN(2979,3282)))</f>
        <v>85755480.087447286</v>
      </c>
      <c r="B163">
        <v>192040945.96086198</v>
      </c>
    </row>
    <row r="164" spans="1:2" x14ac:dyDescent="0.25">
      <c r="A164">
        <f ca="1">28409.9278352583*((RANDBETWEEN(2979,3282)))</f>
        <v>93184563.299647227</v>
      </c>
      <c r="B164">
        <v>179322128.3303211</v>
      </c>
    </row>
    <row r="165" spans="1:2" x14ac:dyDescent="0.25">
      <c r="A165">
        <f ca="1">25526.6204868768*((RANDBETWEEN(2979,3282)))</f>
        <v>81736238.798979402</v>
      </c>
      <c r="B165">
        <v>156461711.91332015</v>
      </c>
    </row>
    <row r="166" spans="1:2" x14ac:dyDescent="0.25">
      <c r="A166">
        <f ca="1">28130.422543907*((RANDBETWEEN(2979,3282)))</f>
        <v>85460223.688389346</v>
      </c>
      <c r="B166">
        <v>183900403.53431901</v>
      </c>
    </row>
    <row r="167" spans="1:2" x14ac:dyDescent="0.25">
      <c r="A167">
        <f ca="1">27682.1046487043*((RANDBETWEEN(2979,3282)))</f>
        <v>87890682.259636283</v>
      </c>
      <c r="B167">
        <v>159294876.73699719</v>
      </c>
    </row>
    <row r="168" spans="1:2" x14ac:dyDescent="0.25">
      <c r="A168">
        <f ca="1">25819.3418269774*((RANDBETWEEN(2979,3282)))</f>
        <v>79291198.75064759</v>
      </c>
      <c r="B168">
        <v>149650901.40620494</v>
      </c>
    </row>
    <row r="169" spans="1:2" x14ac:dyDescent="0.25">
      <c r="A169">
        <f ca="1">27568.6966240419*((RANDBETWEEN(2979,3282)))</f>
        <v>90342618.83698526</v>
      </c>
      <c r="B169">
        <v>144222324.53432167</v>
      </c>
    </row>
    <row r="170" spans="1:2" x14ac:dyDescent="0.25">
      <c r="A170">
        <f ca="1">30819.6719374993*((RANDBETWEEN(2979,3282)))</f>
        <v>100841966.57949762</v>
      </c>
      <c r="B170">
        <v>144801043.17856055</v>
      </c>
    </row>
    <row r="171" spans="1:2" x14ac:dyDescent="0.25">
      <c r="A171">
        <f ca="1">25195.416926714*((RANDBETWEEN(2979,3282)))</f>
        <v>77753056.635839358</v>
      </c>
      <c r="B171">
        <v>151374792.41922259</v>
      </c>
    </row>
    <row r="172" spans="1:2" x14ac:dyDescent="0.25">
      <c r="A172">
        <f ca="1">26627.1556758858*((RANDBETWEEN(2979,3282)))</f>
        <v>85579678.342297092</v>
      </c>
      <c r="B172">
        <v>162450564.68901953</v>
      </c>
    </row>
    <row r="173" spans="1:2" x14ac:dyDescent="0.25">
      <c r="A173">
        <f ca="1">27468.1518590906*((RANDBETWEEN(2979,3282)))</f>
        <v>84464566.966703624</v>
      </c>
      <c r="B173">
        <v>152742376.78404421</v>
      </c>
    </row>
    <row r="174" spans="1:2" x14ac:dyDescent="0.25">
      <c r="A174">
        <f ca="1">26062.49117592*((RANDBETWEEN(2979,3282)))</f>
        <v>80480972.751240909</v>
      </c>
      <c r="B174">
        <v>148174698.04704931</v>
      </c>
    </row>
    <row r="175" spans="1:2" x14ac:dyDescent="0.25">
      <c r="A175">
        <f ca="1">31259.0332122278*((RANDBETWEEN(2979,3282)))</f>
        <v>95996490.994751722</v>
      </c>
      <c r="B175">
        <v>144202996.77124789</v>
      </c>
    </row>
    <row r="176" spans="1:2" x14ac:dyDescent="0.25">
      <c r="A176">
        <f ca="1">26885.0713572237*((RANDBETWEEN(2979,3282)))</f>
        <v>80897179.713886097</v>
      </c>
      <c r="B176">
        <v>168747446.99108538</v>
      </c>
    </row>
    <row r="177" spans="1:2" x14ac:dyDescent="0.25">
      <c r="A177">
        <f ca="1">26264.792055123*((RANDBETWEEN(2979,3282)))</f>
        <v>79818703.055518895</v>
      </c>
      <c r="B177">
        <v>152932974.99225986</v>
      </c>
    </row>
    <row r="178" spans="1:2" x14ac:dyDescent="0.25">
      <c r="A178">
        <f ca="1">27194.314913003*((RANDBETWEEN(2979,3282)))</f>
        <v>86532310.053175673</v>
      </c>
      <c r="B178">
        <v>143571757.40294561</v>
      </c>
    </row>
    <row r="179" spans="1:2" x14ac:dyDescent="0.25">
      <c r="A179">
        <f ca="1">26536.7773435909*((RANDBETWEEN(2979,3282)))</f>
        <v>84838077.167460144</v>
      </c>
      <c r="B179">
        <v>194617701.8399803</v>
      </c>
    </row>
    <row r="180" spans="1:2" x14ac:dyDescent="0.25">
      <c r="A180">
        <f ca="1">29215.4408538784*((RANDBETWEEN(2979,3282)))</f>
        <v>88522785.787251472</v>
      </c>
      <c r="B180">
        <v>168034559.48116958</v>
      </c>
    </row>
    <row r="181" spans="1:2" x14ac:dyDescent="0.25">
      <c r="A181">
        <f ca="1">32501.4952518209*((RANDBETWEEN(2979,3282)))</f>
        <v>104199793.77733779</v>
      </c>
      <c r="B181">
        <v>179008844.52567402</v>
      </c>
    </row>
    <row r="182" spans="1:2" x14ac:dyDescent="0.25">
      <c r="A182">
        <f ca="1">31044.8966272436*((RANDBETWEEN(2979,3282)))</f>
        <v>94749024.506347433</v>
      </c>
      <c r="B182">
        <v>192791658.44006684</v>
      </c>
    </row>
    <row r="183" spans="1:2" x14ac:dyDescent="0.25">
      <c r="A183">
        <f ca="1">30352.8453195498*((RANDBETWEEN(2979,3282)))</f>
        <v>96097108.281694651</v>
      </c>
      <c r="B183">
        <v>198789307.52234054</v>
      </c>
    </row>
    <row r="184" spans="1:2" x14ac:dyDescent="0.25">
      <c r="A184">
        <f ca="1">25939.0597109931*((RANDBETWEEN(2979,3282)))</f>
        <v>84639151.836970553</v>
      </c>
      <c r="B184">
        <v>157333475.78106686</v>
      </c>
    </row>
    <row r="185" spans="1:2" x14ac:dyDescent="0.25">
      <c r="A185">
        <f ca="1">30408.5061369982*((RANDBETWEEN(2979,3282)))</f>
        <v>96972726.070887357</v>
      </c>
      <c r="B185">
        <v>169264234.63468701</v>
      </c>
    </row>
    <row r="186" spans="1:2" x14ac:dyDescent="0.25">
      <c r="A186">
        <f ca="1">25629.667754868*((RANDBETWEEN(2979,3282)))</f>
        <v>79964563.395188212</v>
      </c>
      <c r="B186">
        <v>144994376.55194196</v>
      </c>
    </row>
    <row r="187" spans="1:2" x14ac:dyDescent="0.25">
      <c r="A187">
        <f ca="1">28025.3126457694*((RANDBETWEEN(2979,3282)))</f>
        <v>91642772.351665989</v>
      </c>
      <c r="B187">
        <v>146345359.88782048</v>
      </c>
    </row>
    <row r="188" spans="1:2" x14ac:dyDescent="0.25">
      <c r="A188">
        <f ca="1">33055.6681515981*((RANDBETWEEN(2979,3282)))</f>
        <v>100720620.85791953</v>
      </c>
      <c r="B188">
        <v>163611767.41497016</v>
      </c>
    </row>
    <row r="189" spans="1:2" x14ac:dyDescent="0.25">
      <c r="A189">
        <f ca="1">29464.6635809993*((RANDBETWEEN(2979,3282)))</f>
        <v>88335061.415835917</v>
      </c>
      <c r="B189">
        <v>168742631.25676048</v>
      </c>
    </row>
    <row r="190" spans="1:2" x14ac:dyDescent="0.25">
      <c r="A190">
        <f ca="1">31841.4260940524*((RANDBETWEEN(2979,3282)))</f>
        <v>103420951.95348211</v>
      </c>
      <c r="B190">
        <v>166978721.67267907</v>
      </c>
    </row>
    <row r="191" spans="1:2" x14ac:dyDescent="0.25">
      <c r="A191">
        <f ca="1">26505.0160264546*((RANDBETWEEN(2979,3282)))</f>
        <v>81423409.233268604</v>
      </c>
      <c r="B191">
        <v>143693087.96884137</v>
      </c>
    </row>
    <row r="192" spans="1:2" x14ac:dyDescent="0.25">
      <c r="A192">
        <f ca="1">25265.8065125959*((RANDBETWEEN(2979,3282)))</f>
        <v>77869215.671820626</v>
      </c>
      <c r="B192">
        <v>153638696.8283464</v>
      </c>
    </row>
    <row r="193" spans="1:2" x14ac:dyDescent="0.25">
      <c r="A193">
        <f ca="1">30493.813138583*((RANDBETWEEN(2979,3282)))</f>
        <v>92243784.74421373</v>
      </c>
      <c r="B193">
        <v>150873648.40782273</v>
      </c>
    </row>
    <row r="194" spans="1:2" x14ac:dyDescent="0.25">
      <c r="A194">
        <f ca="1">28946.1042740901*((RANDBETWEEN(2979,3282)))</f>
        <v>91238120.671931982</v>
      </c>
      <c r="B194">
        <v>202629520.76146019</v>
      </c>
    </row>
    <row r="195" spans="1:2" x14ac:dyDescent="0.25">
      <c r="A195">
        <f ca="1">31287.4132725815*((RANDBETWEEN(2979,3282)))</f>
        <v>93987389.470834821</v>
      </c>
      <c r="B195">
        <v>194166783.75232145</v>
      </c>
    </row>
    <row r="196" spans="1:2" x14ac:dyDescent="0.25">
      <c r="A196">
        <f ca="1">28056.112432545*((RANDBETWEEN(2979,3282)))</f>
        <v>87899800.251163557</v>
      </c>
      <c r="B196">
        <v>149846729.33578336</v>
      </c>
    </row>
    <row r="197" spans="1:2" x14ac:dyDescent="0.25">
      <c r="A197">
        <f ca="1">24973.7588939586*((RANDBETWEEN(2979,3282)))</f>
        <v>79391579.52389431</v>
      </c>
      <c r="B197">
        <v>143060662.61474371</v>
      </c>
    </row>
    <row r="198" spans="1:2" x14ac:dyDescent="0.25">
      <c r="A198">
        <f ca="1">27068.1193192197*((RANDBETWEEN(2979,3282)))</f>
        <v>87240548.565845028</v>
      </c>
      <c r="B198">
        <v>192642807.51273787</v>
      </c>
    </row>
    <row r="199" spans="1:2" x14ac:dyDescent="0.25">
      <c r="A199">
        <f ca="1">29736.9249633884*((RANDBETWEEN(2979,3282)))</f>
        <v>97477640.02998732</v>
      </c>
      <c r="B199">
        <v>168384966.94271111</v>
      </c>
    </row>
    <row r="200" spans="1:2" x14ac:dyDescent="0.25">
      <c r="A200">
        <f ca="1">30203.2717314714*((RANDBETWEEN(2979,3282)))</f>
        <v>96922298.986291856</v>
      </c>
      <c r="B200">
        <v>194636226.21774909</v>
      </c>
    </row>
    <row r="201" spans="1:2" x14ac:dyDescent="0.25">
      <c r="A201">
        <f ca="1">30949.86000398*((RANDBETWEEN(2979,3282)))</f>
        <v>94428022.872142941</v>
      </c>
      <c r="B201">
        <v>197952068.86817479</v>
      </c>
    </row>
    <row r="202" spans="1:2" x14ac:dyDescent="0.25">
      <c r="A202">
        <f ca="1">26359.0632474763*((RANDBETWEEN(2979,3282)))</f>
        <v>80263347.588565305</v>
      </c>
      <c r="B202">
        <v>157769248.43306017</v>
      </c>
    </row>
    <row r="203" spans="1:2" x14ac:dyDescent="0.25">
      <c r="A203">
        <f ca="1">26966.286981798*((RANDBETWEEN(2979,3282)))</f>
        <v>84674141.12284559</v>
      </c>
      <c r="B203">
        <v>158580763.09406659</v>
      </c>
    </row>
    <row r="204" spans="1:2" x14ac:dyDescent="0.25">
      <c r="A204">
        <f ca="1">30325.3860543488*((RANDBETWEEN(2979,3282)))</f>
        <v>92371125.921546355</v>
      </c>
      <c r="B204">
        <v>196250565.22034335</v>
      </c>
    </row>
    <row r="205" spans="1:2" x14ac:dyDescent="0.25">
      <c r="A205">
        <f ca="1">31347.0912322824*((RANDBETWEEN(2979,3282)))</f>
        <v>94574174.247796044</v>
      </c>
      <c r="B205">
        <v>173236617.79782319</v>
      </c>
    </row>
    <row r="206" spans="1:2" x14ac:dyDescent="0.25">
      <c r="A206">
        <f ca="1">32687.361543831*((RANDBETWEEN(2979,3282)))</f>
        <v>100677073.55499949</v>
      </c>
      <c r="B206">
        <v>202468924.12210694</v>
      </c>
    </row>
    <row r="207" spans="1:2" x14ac:dyDescent="0.25">
      <c r="A207">
        <f ca="1">28018.1932865155*((RANDBETWEEN(2979,3282)))</f>
        <v>83970525.279687002</v>
      </c>
      <c r="B207">
        <v>192354577.16511521</v>
      </c>
    </row>
    <row r="208" spans="1:2" x14ac:dyDescent="0.25">
      <c r="A208">
        <f ca="1">34487.6112070308*((RANDBETWEEN(2979,3282)))</f>
        <v>110187917.80646329</v>
      </c>
      <c r="B208">
        <v>163238006.54563749</v>
      </c>
    </row>
    <row r="209" spans="1:2" x14ac:dyDescent="0.25">
      <c r="A209">
        <f ca="1">27591.0758444269*((RANDBETWEEN(2979,3282)))</f>
        <v>88263851.626321718</v>
      </c>
      <c r="B209">
        <v>180323250.18835905</v>
      </c>
    </row>
    <row r="210" spans="1:2" x14ac:dyDescent="0.25">
      <c r="A210">
        <f ca="1">26757.1576264711*((RANDBETWEEN(2979,3282)))</f>
        <v>85890475.980972201</v>
      </c>
      <c r="B210">
        <v>160151041.95178509</v>
      </c>
    </row>
    <row r="211" spans="1:2" x14ac:dyDescent="0.25">
      <c r="A211">
        <f ca="1">27926.0037614922*((RANDBETWEEN(2979,3282)))</f>
        <v>84587865.393559799</v>
      </c>
      <c r="B211">
        <v>184885313.80647939</v>
      </c>
    </row>
    <row r="212" spans="1:2" x14ac:dyDescent="0.25">
      <c r="A212">
        <f ca="1">32296.6365257678*((RANDBETWEEN(2979,3282)))</f>
        <v>100442539.59513797</v>
      </c>
      <c r="B212">
        <v>145266225.9968918</v>
      </c>
    </row>
    <row r="213" spans="1:2" x14ac:dyDescent="0.25">
      <c r="A213">
        <f ca="1">28143.38234064*((RANDBETWEEN(2979,3282)))</f>
        <v>84148713.198513746</v>
      </c>
      <c r="B213">
        <v>188491786.26111338</v>
      </c>
    </row>
    <row r="214" spans="1:2" x14ac:dyDescent="0.25">
      <c r="A214">
        <f ca="1">31232.9604715861*((RANDBETWEEN(2979,3282)))</f>
        <v>99164649.497285813</v>
      </c>
      <c r="B214">
        <v>183007719.05197254</v>
      </c>
    </row>
    <row r="215" spans="1:2" x14ac:dyDescent="0.25">
      <c r="A215">
        <f ca="1">26513.821439989*((RANDBETWEEN(2979,3282)))</f>
        <v>80628530.99900654</v>
      </c>
      <c r="B215">
        <v>183083885.97457966</v>
      </c>
    </row>
    <row r="216" spans="1:2" x14ac:dyDescent="0.25">
      <c r="A216">
        <f ca="1">26922.5724135158*((RANDBETWEEN(2979,3282)))</f>
        <v>86771450.888761282</v>
      </c>
      <c r="B216">
        <v>162211753.0218493</v>
      </c>
    </row>
    <row r="217" spans="1:2" x14ac:dyDescent="0.25">
      <c r="A217">
        <f ca="1">27480.7831506243*((RANDBETWEEN(2979,3282)))</f>
        <v>82909522.765433371</v>
      </c>
      <c r="B217">
        <v>159054323.45665187</v>
      </c>
    </row>
    <row r="218" spans="1:2" x14ac:dyDescent="0.25">
      <c r="A218">
        <f ca="1">25906.4517295892*((RANDBETWEEN(2979,3282)))</f>
        <v>79170116.485624656</v>
      </c>
      <c r="B218">
        <v>198425022.74141181</v>
      </c>
    </row>
    <row r="219" spans="1:2" x14ac:dyDescent="0.25">
      <c r="A219">
        <f ca="1">31087.916015326*((RANDBETWEEN(2979,3282)))</f>
        <v>100382880.81348757</v>
      </c>
      <c r="B219">
        <v>187750017.59853709</v>
      </c>
    </row>
    <row r="220" spans="1:2" x14ac:dyDescent="0.25">
      <c r="A220">
        <f ca="1">32759.2068797004*((RANDBETWEEN(2979,3282)))</f>
        <v>105091535.67007896</v>
      </c>
      <c r="B220">
        <v>203508183.70393887</v>
      </c>
    </row>
    <row r="221" spans="1:2" x14ac:dyDescent="0.25">
      <c r="A221">
        <f ca="1">26722.9229792876*((RANDBETWEEN(2979,3282)))</f>
        <v>83054844.619625807</v>
      </c>
      <c r="B221">
        <v>149976304.82851326</v>
      </c>
    </row>
    <row r="222" spans="1:2" x14ac:dyDescent="0.25">
      <c r="A222">
        <f ca="1">25912.7725151798*((RANDBETWEEN(2979,3282)))</f>
        <v>78075183.588236615</v>
      </c>
      <c r="B222">
        <v>156282562.45671082</v>
      </c>
    </row>
    <row r="223" spans="1:2" x14ac:dyDescent="0.25">
      <c r="A223">
        <f ca="1">28055.10615434*((RANDBETWEEN(2979,3282)))</f>
        <v>91543811.381611705</v>
      </c>
      <c r="B223">
        <v>147563616.11036259</v>
      </c>
    </row>
    <row r="224" spans="1:2" x14ac:dyDescent="0.25">
      <c r="A224">
        <f ca="1">27477.7452117507*((RANDBETWEEN(2979,3282)))</f>
        <v>88945461.250436917</v>
      </c>
      <c r="B224">
        <v>171155706.56561726</v>
      </c>
    </row>
    <row r="225" spans="1:2" x14ac:dyDescent="0.25">
      <c r="A225">
        <f ca="1">26327.6596080387*((RANDBETWEEN(2979,3282)))</f>
        <v>82747834.148065656</v>
      </c>
      <c r="B225">
        <v>176992794.82324743</v>
      </c>
    </row>
    <row r="226" spans="1:2" x14ac:dyDescent="0.25">
      <c r="A226">
        <f ca="1">27831.3258428205*((RANDBETWEEN(2979,3282)))</f>
        <v>84301085.977903247</v>
      </c>
      <c r="B226">
        <v>180790491.8872253</v>
      </c>
    </row>
    <row r="227" spans="1:2" x14ac:dyDescent="0.25">
      <c r="A227">
        <f ca="1">31934.2268861085*((RANDBETWEEN(2979,3282)))</f>
        <v>99507050.977114081</v>
      </c>
      <c r="B227">
        <v>184761160.45696157</v>
      </c>
    </row>
    <row r="228" spans="1:2" x14ac:dyDescent="0.25">
      <c r="A228">
        <f ca="1">29547.9535605085*((RANDBETWEEN(2979,3282)))</f>
        <v>96355876.560818166</v>
      </c>
      <c r="B228">
        <v>178276292.90584689</v>
      </c>
    </row>
    <row r="229" spans="1:2" x14ac:dyDescent="0.25">
      <c r="A229">
        <f ca="1">26332.9879707688*((RANDBETWEEN(2979,3282)))</f>
        <v>81948258.565032437</v>
      </c>
      <c r="B229">
        <v>172110715.1885775</v>
      </c>
    </row>
    <row r="230" spans="1:2" x14ac:dyDescent="0.25">
      <c r="A230">
        <f ca="1">28102.7272179364*((RANDBETWEEN(2979,3282)))</f>
        <v>85066955.288693458</v>
      </c>
      <c r="B230">
        <v>147629687.6985957</v>
      </c>
    </row>
    <row r="231" spans="1:2" x14ac:dyDescent="0.25">
      <c r="A231">
        <f ca="1">30986.0701484044*((RANDBETWEEN(2979,3282)))</f>
        <v>95189207.495898172</v>
      </c>
      <c r="B231">
        <v>202878739.02312541</v>
      </c>
    </row>
    <row r="232" spans="1:2" x14ac:dyDescent="0.25">
      <c r="A232">
        <f ca="1">29067.0712392933*((RANDBETWEEN(2979,3282)))</f>
        <v>86881475.934247553</v>
      </c>
      <c r="B232">
        <v>150525115.43225443</v>
      </c>
    </row>
    <row r="233" spans="1:2" x14ac:dyDescent="0.25">
      <c r="A233">
        <f ca="1">27823.6303536096*((RANDBETWEEN(2979,3282)))</f>
        <v>86587137.660433039</v>
      </c>
      <c r="B233">
        <v>142982369.16980752</v>
      </c>
    </row>
    <row r="234" spans="1:2" x14ac:dyDescent="0.25">
      <c r="A234">
        <f ca="1">32474.0031542605*((RANDBETWEEN(2979,3282)))</f>
        <v>97324587.453318655</v>
      </c>
      <c r="B234">
        <v>193498270.55923212</v>
      </c>
    </row>
    <row r="235" spans="1:2" x14ac:dyDescent="0.25">
      <c r="A235">
        <f ca="1">26085.0022623305*((RANDBETWEEN(2979,3282)))</f>
        <v>82063417.117291659</v>
      </c>
      <c r="B235">
        <v>145002911.15455812</v>
      </c>
    </row>
    <row r="236" spans="1:2" x14ac:dyDescent="0.25">
      <c r="A236">
        <f ca="1">27564.0826527752*((RANDBETWEEN(2979,3282)))</f>
        <v>86358270.951144636</v>
      </c>
      <c r="B236">
        <v>157424202.5509375</v>
      </c>
    </row>
    <row r="237" spans="1:2" x14ac:dyDescent="0.25">
      <c r="A237">
        <f ca="1">28693.370362577*((RANDBETWEEN(2979,3282)))</f>
        <v>90728437.086468592</v>
      </c>
      <c r="B237">
        <v>187074503.46541741</v>
      </c>
    </row>
    <row r="238" spans="1:2" x14ac:dyDescent="0.25">
      <c r="A238">
        <f ca="1">29907.1980207891*((RANDBETWEEN(2979,3282)))</f>
        <v>90917881.983198956</v>
      </c>
      <c r="B238">
        <v>169598531.45852333</v>
      </c>
    </row>
    <row r="239" spans="1:2" x14ac:dyDescent="0.25">
      <c r="A239">
        <f ca="1">25113.8395941192*((RANDBETWEEN(2979,3282)))</f>
        <v>79761554.550922617</v>
      </c>
      <c r="B239">
        <v>201283889.32851964</v>
      </c>
    </row>
    <row r="240" spans="1:2" x14ac:dyDescent="0.25">
      <c r="A240">
        <f ca="1">32903.2079984238*((RANDBETWEEN(2979,3282)))</f>
        <v>105323168.80295473</v>
      </c>
      <c r="B240">
        <v>186217489.83534634</v>
      </c>
    </row>
    <row r="241" spans="1:2" x14ac:dyDescent="0.25">
      <c r="A241">
        <f ca="1">28565.3940515806*((RANDBETWEEN(2979,3282)))</f>
        <v>88609852.348002881</v>
      </c>
      <c r="B241">
        <v>182868677.95539805</v>
      </c>
    </row>
    <row r="242" spans="1:2" x14ac:dyDescent="0.25">
      <c r="A242">
        <f ca="1">32072.9596561334*((RANDBETWEEN(2979,3282)))</f>
        <v>102184449.46444093</v>
      </c>
      <c r="B242">
        <v>170504857.63550892</v>
      </c>
    </row>
    <row r="243" spans="1:2" x14ac:dyDescent="0.25">
      <c r="A243">
        <f ca="1">26093.4530713309*((RANDBETWEEN(2979,3282)))</f>
        <v>83394676.015973553</v>
      </c>
      <c r="B243">
        <v>189622159.48415291</v>
      </c>
    </row>
    <row r="244" spans="1:2" x14ac:dyDescent="0.25">
      <c r="A244">
        <f ca="1">28985.6551535482*((RANDBETWEEN(2979,3282)))</f>
        <v>89391760.493542522</v>
      </c>
      <c r="B244">
        <v>173094499.0658848</v>
      </c>
    </row>
    <row r="245" spans="1:2" x14ac:dyDescent="0.25">
      <c r="A245">
        <f ca="1">29001.6983415327*((RANDBETWEEN(2979,3282)))</f>
        <v>93646483.944809139</v>
      </c>
      <c r="B245">
        <v>143506270.91062757</v>
      </c>
    </row>
    <row r="246" spans="1:2" x14ac:dyDescent="0.25">
      <c r="A246">
        <f ca="1">32715.9066929965*((RANDBETWEEN(2979,3282)))</f>
        <v>104102015.09711474</v>
      </c>
      <c r="B246">
        <v>168678937.11812678</v>
      </c>
    </row>
    <row r="247" spans="1:2" x14ac:dyDescent="0.25">
      <c r="A247">
        <f ca="1">26989.0717470847*((RANDBETWEEN(2979,3282)))</f>
        <v>82667526.761320353</v>
      </c>
      <c r="B247">
        <v>155032218.35981086</v>
      </c>
    </row>
    <row r="248" spans="1:2" x14ac:dyDescent="0.25">
      <c r="A248">
        <f ca="1">28056.002801873*((RANDBETWEEN(2979,3282)))</f>
        <v>86861384.674598858</v>
      </c>
      <c r="B248">
        <v>160945958.56967431</v>
      </c>
    </row>
    <row r="249" spans="1:2" x14ac:dyDescent="0.25">
      <c r="A249">
        <f ca="1">26908.3386916911*((RANDBETWEEN(2979,3282)))</f>
        <v>84680541.862751886</v>
      </c>
      <c r="B249">
        <v>151697976.76890737</v>
      </c>
    </row>
    <row r="250" spans="1:2" x14ac:dyDescent="0.25">
      <c r="A250">
        <f ca="1">25780.8533722347*((RANDBETWEEN(2979,3282)))</f>
        <v>81493277.509633765</v>
      </c>
      <c r="B250">
        <v>195213637.91101962</v>
      </c>
    </row>
    <row r="251" spans="1:2" x14ac:dyDescent="0.25">
      <c r="A251">
        <f ca="1">26388.7613220556*((RANDBETWEEN(2979,3282)))</f>
        <v>84892645.173052996</v>
      </c>
      <c r="B251">
        <v>168683472.26421696</v>
      </c>
    </row>
    <row r="252" spans="1:2" x14ac:dyDescent="0.25">
      <c r="A252">
        <f ca="1">27118.3684299304*((RANDBETWEEN(2979,3282)))</f>
        <v>88948248.450171828</v>
      </c>
      <c r="B252">
        <v>143436578.54355538</v>
      </c>
    </row>
    <row r="253" spans="1:2" x14ac:dyDescent="0.25">
      <c r="A253">
        <f ca="1">26992.3671454384*((RANDBETWEEN(2979,3282)))</f>
        <v>86348582.498257592</v>
      </c>
      <c r="B253">
        <v>190984298.18689719</v>
      </c>
    </row>
    <row r="254" spans="1:2" x14ac:dyDescent="0.25">
      <c r="A254">
        <f ca="1">26112.0245592909*((RANDBETWEEN(2979,3282)))</f>
        <v>84028495.03179808</v>
      </c>
      <c r="B254">
        <v>151574248.29435599</v>
      </c>
    </row>
    <row r="255" spans="1:2" x14ac:dyDescent="0.25">
      <c r="A255">
        <f ca="1">26623.5306172376*((RANDBETWEEN(2979,3282)))</f>
        <v>86553098.036639467</v>
      </c>
      <c r="B255">
        <v>167460244.56005847</v>
      </c>
    </row>
    <row r="256" spans="1:2" x14ac:dyDescent="0.25">
      <c r="A256">
        <f ca="1">26422.2766750092*((RANDBETWEEN(2979,3282)))</f>
        <v>81407034.435703486</v>
      </c>
      <c r="B256">
        <v>192562941.11613697</v>
      </c>
    </row>
    <row r="257" spans="1:2" x14ac:dyDescent="0.25">
      <c r="A257">
        <f ca="1">27957.2080364626*((RANDBETWEEN(2979,3282)))</f>
        <v>87170574.657690495</v>
      </c>
      <c r="B257">
        <v>175741917.66821033</v>
      </c>
    </row>
    <row r="258" spans="1:2" x14ac:dyDescent="0.25">
      <c r="A258">
        <f ca="1">26779.4783132739*((RANDBETWEEN(2979,3282)))</f>
        <v>86524494.430187866</v>
      </c>
      <c r="B258">
        <v>146211958.27951834</v>
      </c>
    </row>
    <row r="259" spans="1:2" x14ac:dyDescent="0.25">
      <c r="A259">
        <f ca="1">26168.664445076*((RANDBETWEEN(2979,3282)))</f>
        <v>78113463.36855191</v>
      </c>
      <c r="B259">
        <v>147363258.32890451</v>
      </c>
    </row>
    <row r="260" spans="1:2" x14ac:dyDescent="0.25">
      <c r="A260">
        <f ca="1">29995.5964278359*((RANDBETWEEN(2979,3282)))</f>
        <v>94516124.344110861</v>
      </c>
      <c r="B260">
        <v>146894209.23298648</v>
      </c>
    </row>
    <row r="261" spans="1:2" x14ac:dyDescent="0.25">
      <c r="A261">
        <f ca="1">32777.0826329872*((RANDBETWEEN(2979,3282)))</f>
        <v>99478445.791116267</v>
      </c>
      <c r="B261">
        <v>160030818.08544645</v>
      </c>
    </row>
    <row r="262" spans="1:2" x14ac:dyDescent="0.25">
      <c r="A262">
        <f ca="1">30193.7519336714*((RANDBETWEEN(2979,3282)))</f>
        <v>94113924.777253628</v>
      </c>
      <c r="B262">
        <v>180122699.116474</v>
      </c>
    </row>
    <row r="263" spans="1:2" x14ac:dyDescent="0.25">
      <c r="A263">
        <f ca="1">26555.2834166194*((RANDBETWEEN(2979,3282)))</f>
        <v>79347186.848858625</v>
      </c>
      <c r="B263">
        <v>159382009.00530034</v>
      </c>
    </row>
    <row r="264" spans="1:2" x14ac:dyDescent="0.25">
      <c r="A264">
        <f ca="1">28380.4611200401*((RANDBETWEEN(2979,3282)))</f>
        <v>87411820.249723405</v>
      </c>
      <c r="B264">
        <v>143389782.90873745</v>
      </c>
    </row>
    <row r="265" spans="1:2" x14ac:dyDescent="0.25">
      <c r="A265">
        <f ca="1">29975.4167159415*((RANDBETWEEN(2979,3282)))</f>
        <v>94302660.988352001</v>
      </c>
      <c r="B265">
        <v>164232105.43510216</v>
      </c>
    </row>
    <row r="266" spans="1:2" x14ac:dyDescent="0.25">
      <c r="A266">
        <f ca="1">27098.8442120523*((RANDBETWEEN(2979,3282)))</f>
        <v>81567521.078277364</v>
      </c>
      <c r="B266">
        <v>155722366.80726326</v>
      </c>
    </row>
    <row r="267" spans="1:2" x14ac:dyDescent="0.25">
      <c r="A267">
        <f ca="1">26377.08637069*((RANDBETWEEN(2979,3282)))</f>
        <v>78867488.248363212</v>
      </c>
      <c r="B267">
        <v>153239591.48804712</v>
      </c>
    </row>
    <row r="268" spans="1:2" x14ac:dyDescent="0.25">
      <c r="A268">
        <f ca="1">28463.5733617713*((RANDBETWEEN(2979,3282)))</f>
        <v>90884189.744135663</v>
      </c>
      <c r="B268">
        <v>161675486.15283352</v>
      </c>
    </row>
    <row r="269" spans="1:2" x14ac:dyDescent="0.25">
      <c r="A269">
        <f ca="1">29780.9297853873*((RANDBETWEEN(2979,3282)))</f>
        <v>97264516.679075062</v>
      </c>
      <c r="B269">
        <v>155131571.27911532</v>
      </c>
    </row>
    <row r="270" spans="1:2" x14ac:dyDescent="0.25">
      <c r="A270">
        <f ca="1">26947.2843373681*((RANDBETWEEN(2979,3282)))</f>
        <v>81353851.414514408</v>
      </c>
      <c r="B270">
        <v>143216101.25120756</v>
      </c>
    </row>
    <row r="271" spans="1:2" x14ac:dyDescent="0.25">
      <c r="A271">
        <f ca="1">28906.6863793542*((RANDBETWEEN(2979,3282)))</f>
        <v>92212329.550140008</v>
      </c>
      <c r="B271">
        <v>143093735.36566925</v>
      </c>
    </row>
    <row r="272" spans="1:2" x14ac:dyDescent="0.25">
      <c r="A272">
        <f ca="1">30226.7427378755*((RANDBETWEEN(2979,3282)))</f>
        <v>95546733.794424474</v>
      </c>
      <c r="B272">
        <v>153862161.15218529</v>
      </c>
    </row>
    <row r="273" spans="1:2" x14ac:dyDescent="0.25">
      <c r="A273">
        <f ca="1">25976.6468700488*((RANDBETWEEN(2979,3282)))</f>
        <v>83722732.86216715</v>
      </c>
      <c r="B273">
        <v>160732309.35313165</v>
      </c>
    </row>
    <row r="274" spans="1:2" x14ac:dyDescent="0.25">
      <c r="A274">
        <f ca="1">30508.3447900899*((RANDBETWEEN(2979,3282)))</f>
        <v>92989434.92019403</v>
      </c>
      <c r="B274">
        <v>183584795.07193869</v>
      </c>
    </row>
    <row r="275" spans="1:2" x14ac:dyDescent="0.25">
      <c r="A275">
        <f ca="1">26654.7650733362*((RANDBETWEEN(2979,3282)))</f>
        <v>85588450.65048255</v>
      </c>
      <c r="B275">
        <v>158303817.7053206</v>
      </c>
    </row>
    <row r="276" spans="1:2" x14ac:dyDescent="0.25">
      <c r="A276">
        <f ca="1">29767.8905833058*((RANDBETWEEN(2979,3282)))</f>
        <v>96686108.614577249</v>
      </c>
      <c r="B276">
        <v>167255426.5465357</v>
      </c>
    </row>
    <row r="277" spans="1:2" x14ac:dyDescent="0.25">
      <c r="A277">
        <f ca="1">27913.2435589425*((RANDBETWEEN(2979,3282)))</f>
        <v>84967913.393421039</v>
      </c>
      <c r="B277">
        <v>168508492.82115573</v>
      </c>
    </row>
    <row r="278" spans="1:2" x14ac:dyDescent="0.25">
      <c r="A278">
        <f ca="1">26453.6340284159*((RANDBETWEEN(2979,3282)))</f>
        <v>80842305.590839043</v>
      </c>
      <c r="B278">
        <v>164853526.20674455</v>
      </c>
    </row>
    <row r="279" spans="1:2" x14ac:dyDescent="0.25">
      <c r="A279">
        <f ca="1">27172.7343301154*((RANDBETWEEN(2979,3282)))</f>
        <v>84208303.689027667</v>
      </c>
      <c r="B279">
        <v>192915603.10807821</v>
      </c>
    </row>
    <row r="280" spans="1:2" x14ac:dyDescent="0.25">
      <c r="A280">
        <f ca="1">28096.65571713*((RANDBETWEEN(2979,3282)))</f>
        <v>85582413.314378068</v>
      </c>
      <c r="B280">
        <v>165430570.0958235</v>
      </c>
    </row>
    <row r="281" spans="1:2" x14ac:dyDescent="0.25">
      <c r="A281">
        <f ca="1">26957.8239601447*((RANDBETWEEN(2979,3282)))</f>
        <v>85105850.242176935</v>
      </c>
      <c r="B281">
        <v>159724545.03492606</v>
      </c>
    </row>
    <row r="282" spans="1:2" x14ac:dyDescent="0.25">
      <c r="A282">
        <f ca="1">29133.119913769*((RANDBETWEEN(2979,3282)))</f>
        <v>91390597.169493347</v>
      </c>
      <c r="B282">
        <v>185108656.59672472</v>
      </c>
    </row>
    <row r="283" spans="1:2" x14ac:dyDescent="0.25">
      <c r="A283">
        <f ca="1">26644.6792428728*((RANDBETWEEN(2979,3282)))</f>
        <v>86968233.048737034</v>
      </c>
      <c r="B283">
        <v>148932198.92327511</v>
      </c>
    </row>
    <row r="284" spans="1:2" x14ac:dyDescent="0.25">
      <c r="A284">
        <f ca="1">29979.9028666596*((RANDBETWEEN(2979,3282)))</f>
        <v>95935689.173310652</v>
      </c>
      <c r="B284">
        <v>173832885.6140275</v>
      </c>
    </row>
    <row r="285" spans="1:2" x14ac:dyDescent="0.25">
      <c r="A285">
        <f ca="1">27816.2926729895*((RANDBETWEEN(2979,3282)))</f>
        <v>84700611.189252913</v>
      </c>
      <c r="B285">
        <v>169252636.93925497</v>
      </c>
    </row>
    <row r="286" spans="1:2" x14ac:dyDescent="0.25">
      <c r="A286">
        <f ca="1">27231.5591449839*((RANDBETWEEN(2979,3282)))</f>
        <v>85643253.510974467</v>
      </c>
      <c r="B286">
        <v>148332634.51231164</v>
      </c>
    </row>
    <row r="287" spans="1:2" x14ac:dyDescent="0.25">
      <c r="A287">
        <f ca="1">32850.2634783754*((RANDBETWEEN(2979,3282)))</f>
        <v>101967217.83687721</v>
      </c>
      <c r="B287">
        <v>176355848.30591536</v>
      </c>
    </row>
    <row r="288" spans="1:2" x14ac:dyDescent="0.25">
      <c r="A288">
        <f ca="1">29099.0715975991*((RANDBETWEEN(2979,3282)))</f>
        <v>91225589.458473131</v>
      </c>
      <c r="B288">
        <v>161617372.52830857</v>
      </c>
    </row>
    <row r="289" spans="1:2" x14ac:dyDescent="0.25">
      <c r="A289">
        <f ca="1">26648.1877852262*((RANDBETWEEN(2979,3282)))</f>
        <v>83328883.204402253</v>
      </c>
      <c r="B289">
        <v>201837003.98037672</v>
      </c>
    </row>
    <row r="290" spans="1:2" x14ac:dyDescent="0.25">
      <c r="A290">
        <f ca="1">26512.5980355679*((RANDBETWEEN(2979,3282)))</f>
        <v>86033380.625417918</v>
      </c>
      <c r="B290">
        <v>154583573.59099516</v>
      </c>
    </row>
    <row r="291" spans="1:2" x14ac:dyDescent="0.25">
      <c r="A291">
        <f ca="1">25906.0372226593*((RANDBETWEEN(2979,3282)))</f>
        <v>81474487.065263525</v>
      </c>
      <c r="B291">
        <v>152685781.35977757</v>
      </c>
    </row>
    <row r="292" spans="1:2" x14ac:dyDescent="0.25">
      <c r="A292">
        <f ca="1">27090.699846442*((RANDBETWEEN(2979,3282)))</f>
        <v>87963502.401397288</v>
      </c>
      <c r="B292">
        <v>164617277.32928175</v>
      </c>
    </row>
    <row r="293" spans="1:2" x14ac:dyDescent="0.25">
      <c r="A293">
        <f ca="1">31835.7001006192*((RANDBETWEEN(2979,3282)))</f>
        <v>95538936.001958117</v>
      </c>
      <c r="B293">
        <v>164782688.68392652</v>
      </c>
    </row>
    <row r="294" spans="1:2" x14ac:dyDescent="0.25">
      <c r="A294">
        <f ca="1">27289.5578208855*((RANDBETWEEN(2979,3282)))</f>
        <v>85989396.693610206</v>
      </c>
      <c r="B294">
        <v>165416699.89554223</v>
      </c>
    </row>
    <row r="295" spans="1:2" x14ac:dyDescent="0.25">
      <c r="A295">
        <f ca="1">26691.2890416532*((RANDBETWEEN(2979,3282)))</f>
        <v>79913719.390709803</v>
      </c>
      <c r="B295">
        <v>150607785.48268533</v>
      </c>
    </row>
    <row r="296" spans="1:2" x14ac:dyDescent="0.25">
      <c r="A296">
        <f ca="1">27903.4144743552*((RANDBETWEEN(2979,3282)))</f>
        <v>83291692.205950275</v>
      </c>
      <c r="B296">
        <v>161058475.54722995</v>
      </c>
    </row>
    <row r="297" spans="1:2" x14ac:dyDescent="0.25">
      <c r="A297">
        <f ca="1">28053.4670140802*((RANDBETWEEN(2979,3282)))</f>
        <v>90696858.856521219</v>
      </c>
      <c r="B297">
        <v>186612896.56243595</v>
      </c>
    </row>
    <row r="298" spans="1:2" x14ac:dyDescent="0.25">
      <c r="A298">
        <f ca="1">25831.5764181131*((RANDBETWEEN(2979,3282)))</f>
        <v>80646181.577349052</v>
      </c>
      <c r="B298">
        <v>193991181.12525818</v>
      </c>
    </row>
    <row r="299" spans="1:2" x14ac:dyDescent="0.25">
      <c r="A299">
        <f ca="1">30360.016112785*((RANDBETWEEN(2979,3282)))</f>
        <v>95178650.513580948</v>
      </c>
      <c r="B299">
        <v>165755962.04133284</v>
      </c>
    </row>
    <row r="300" spans="1:2" x14ac:dyDescent="0.25">
      <c r="A300">
        <f ca="1">27447.1264260812*((RANDBETWEEN(2979,3282)))</f>
        <v>89065925.252633482</v>
      </c>
      <c r="B300">
        <v>184895290.95552403</v>
      </c>
    </row>
    <row r="301" spans="1:2" x14ac:dyDescent="0.25">
      <c r="A301">
        <f ca="1">33856.4830136964*((RANDBETWEEN(2979,3282)))</f>
        <v>107968324.3306777</v>
      </c>
      <c r="B301">
        <v>188595028.21379793</v>
      </c>
    </row>
    <row r="302" spans="1:2" x14ac:dyDescent="0.25">
      <c r="A302">
        <f ca="1">29046.8592984255*((RANDBETWEEN(2979,3282)))</f>
        <v>90684294.729684487</v>
      </c>
      <c r="B302">
        <v>144963645.78254575</v>
      </c>
    </row>
    <row r="303" spans="1:2" x14ac:dyDescent="0.25">
      <c r="A303">
        <f ca="1">26524.7091402824*((RANDBETWEEN(2979,3282)))</f>
        <v>84879069.248903617</v>
      </c>
      <c r="B303">
        <v>164865074.78551322</v>
      </c>
    </row>
    <row r="304" spans="1:2" x14ac:dyDescent="0.25">
      <c r="A304">
        <f ca="1">32318.906293336*((RANDBETWEEN(2979,3282)))</f>
        <v>98734258.726141542</v>
      </c>
      <c r="B304">
        <v>197095611.80396199</v>
      </c>
    </row>
    <row r="305" spans="1:2" x14ac:dyDescent="0.25">
      <c r="A305">
        <f ca="1">27164.7460383329*((RANDBETWEEN(2979,3282)))</f>
        <v>84074888.988640323</v>
      </c>
      <c r="B305">
        <v>181597935.04886365</v>
      </c>
    </row>
    <row r="306" spans="1:2" x14ac:dyDescent="0.25">
      <c r="A306">
        <f ca="1">27262.2457003664*((RANDBETWEEN(2979,3282)))</f>
        <v>88302413.823486641</v>
      </c>
      <c r="B306">
        <v>144592345.94438362</v>
      </c>
    </row>
    <row r="307" spans="1:2" x14ac:dyDescent="0.25">
      <c r="A307">
        <f ca="1">26137.1455616512*((RANDBETWEEN(2979,3282)))</f>
        <v>81364934.133420065</v>
      </c>
      <c r="B307">
        <v>154063430.62299135</v>
      </c>
    </row>
    <row r="308" spans="1:2" x14ac:dyDescent="0.25">
      <c r="A308">
        <f ca="1">26022.5257360576*((RANDBETWEEN(2979,3282)))</f>
        <v>77807351.950812116</v>
      </c>
      <c r="B308">
        <v>150381637.65583861</v>
      </c>
    </row>
    <row r="309" spans="1:2" x14ac:dyDescent="0.25">
      <c r="A309">
        <f ca="1">30304.0320104648*((RANDBETWEEN(2979,3282)))</f>
        <v>91851521.0237187</v>
      </c>
      <c r="B309">
        <v>160215719.32135546</v>
      </c>
    </row>
    <row r="310" spans="1:2" x14ac:dyDescent="0.25">
      <c r="A310">
        <f ca="1">26103.573719562*((RANDBETWEEN(2979,3282)))</f>
        <v>82722225.117292002</v>
      </c>
      <c r="B310">
        <v>161397954.51378539</v>
      </c>
    </row>
    <row r="311" spans="1:2" x14ac:dyDescent="0.25">
      <c r="A311">
        <f ca="1">27812.2141898034*((RANDBETWEEN(2979,3282)))</f>
        <v>88164718.981676742</v>
      </c>
      <c r="B311">
        <v>165785480.89731401</v>
      </c>
    </row>
    <row r="312" spans="1:2" x14ac:dyDescent="0.25">
      <c r="A312">
        <f ca="1">27027.2946098671*((RANDBETWEEN(2979,3282)))</f>
        <v>85514360.145619601</v>
      </c>
      <c r="B312">
        <v>157127125.94657561</v>
      </c>
    </row>
    <row r="313" spans="1:2" x14ac:dyDescent="0.25">
      <c r="A313">
        <f ca="1">28952.3588273273*((RANDBETWEEN(2979,3282)))</f>
        <v>94355737.418259516</v>
      </c>
      <c r="B313">
        <v>149518732.25614136</v>
      </c>
    </row>
    <row r="314" spans="1:2" x14ac:dyDescent="0.25">
      <c r="A314">
        <f ca="1">27691.3408106346*((RANDBETWEEN(2979,3282)))</f>
        <v>88335377.185924456</v>
      </c>
      <c r="B314">
        <v>176703848.44022495</v>
      </c>
    </row>
    <row r="315" spans="1:2" x14ac:dyDescent="0.25">
      <c r="A315">
        <f ca="1">29986.4448005637*((RANDBETWEEN(2979,3282)))</f>
        <v>92478195.764938384</v>
      </c>
      <c r="B315">
        <v>203289196.35742095</v>
      </c>
    </row>
    <row r="316" spans="1:2" x14ac:dyDescent="0.25">
      <c r="A316">
        <f ca="1">27212.3207426115*((RANDBETWEEN(2979,3282)))</f>
        <v>81147140.45446755</v>
      </c>
      <c r="B316">
        <v>168017988.43504849</v>
      </c>
    </row>
    <row r="317" spans="1:2" x14ac:dyDescent="0.25">
      <c r="A317">
        <f ca="1">28017.5283317572*((RANDBETWEEN(2979,3282)))</f>
        <v>89880230.888277248</v>
      </c>
      <c r="B317">
        <v>159263043.46026638</v>
      </c>
    </row>
    <row r="318" spans="1:2" x14ac:dyDescent="0.25">
      <c r="A318">
        <f ca="1">26832.4122286863*((RANDBETWEEN(2979,3282)))</f>
        <v>81999851.770865306</v>
      </c>
      <c r="B318">
        <v>151401002.69473618</v>
      </c>
    </row>
    <row r="319" spans="1:2" x14ac:dyDescent="0.25">
      <c r="A319">
        <f ca="1">26308.3564873722*((RANDBETWEEN(2979,3282)))</f>
        <v>80977121.268131539</v>
      </c>
      <c r="B319">
        <v>181144864.5902054</v>
      </c>
    </row>
    <row r="320" spans="1:2" x14ac:dyDescent="0.25">
      <c r="A320">
        <f ca="1">25204.8338971175*((RANDBETWEEN(2979,3282)))</f>
        <v>82445011.677471384</v>
      </c>
      <c r="B320">
        <v>186629748.72570974</v>
      </c>
    </row>
    <row r="321" spans="1:2" x14ac:dyDescent="0.25">
      <c r="A321">
        <f ca="1">33354.761500399*((RANDBETWEEN(2979,3282)))</f>
        <v>107335622.50828388</v>
      </c>
      <c r="B321">
        <v>153524212.10838673</v>
      </c>
    </row>
    <row r="322" spans="1:2" x14ac:dyDescent="0.25">
      <c r="A322">
        <f ca="1">27674.5594952858*((RANDBETWEEN(2979,3282)))</f>
        <v>90578833.228070259</v>
      </c>
      <c r="B322">
        <v>154727903.09765318</v>
      </c>
    </row>
    <row r="323" spans="1:2" x14ac:dyDescent="0.25">
      <c r="A323">
        <f ca="1">33087.032934818*((RANDBETWEEN(2979,3282)))</f>
        <v>100849276.38532525</v>
      </c>
      <c r="B323">
        <v>155705994.02201787</v>
      </c>
    </row>
    <row r="324" spans="1:2" x14ac:dyDescent="0.25">
      <c r="A324">
        <f ca="1">27091.9990858535*((RANDBETWEEN(2979,3282)))</f>
        <v>80761249.274929196</v>
      </c>
      <c r="B324">
        <v>165456674.74379554</v>
      </c>
    </row>
    <row r="325" spans="1:2" x14ac:dyDescent="0.25">
      <c r="A325">
        <f ca="1">26264.3805930062*((RANDBETWEEN(2979,3282)))</f>
        <v>80001303.286296919</v>
      </c>
      <c r="B325">
        <v>187717379.14391214</v>
      </c>
    </row>
    <row r="326" spans="1:2" x14ac:dyDescent="0.25">
      <c r="A326">
        <f ca="1">30929.7269398951*((RANDBETWEEN(2979,3282)))</f>
        <v>92851040.273565203</v>
      </c>
      <c r="B326">
        <v>149670937.94785118</v>
      </c>
    </row>
    <row r="327" spans="1:2" x14ac:dyDescent="0.25">
      <c r="A327">
        <f ca="1">30458.9514400545*((RANDBETWEEN(2979,3282)))</f>
        <v>96615793.967853025</v>
      </c>
      <c r="B327">
        <v>195773916.1059013</v>
      </c>
    </row>
    <row r="328" spans="1:2" x14ac:dyDescent="0.25">
      <c r="A328">
        <f ca="1">28548.1793991658*((RANDBETWEEN(2979,3282)))</f>
        <v>90754662.309948176</v>
      </c>
      <c r="B328">
        <v>169670880.49608237</v>
      </c>
    </row>
    <row r="329" spans="1:2" x14ac:dyDescent="0.25">
      <c r="A329">
        <f ca="1">25807.5422364221*((RANDBETWEEN(2979,3282)))</f>
        <v>82971248.290097162</v>
      </c>
      <c r="B329">
        <v>156069790.22002971</v>
      </c>
    </row>
    <row r="330" spans="1:2" x14ac:dyDescent="0.25">
      <c r="A330">
        <f ca="1">26763.5435941259*((RANDBETWEEN(2979,3282)))</f>
        <v>83181093.490543261</v>
      </c>
      <c r="B330">
        <v>190318106.90184331</v>
      </c>
    </row>
    <row r="331" spans="1:2" x14ac:dyDescent="0.25">
      <c r="A331">
        <f ca="1">27575.7642679494*((RANDBETWEEN(2979,3282)))</f>
        <v>83499414.203350648</v>
      </c>
      <c r="B331">
        <v>154633244.03532767</v>
      </c>
    </row>
    <row r="332" spans="1:2" x14ac:dyDescent="0.25">
      <c r="A332">
        <f ca="1">26986.0709037786*((RANDBETWEEN(2979,3282)))</f>
        <v>85788719.403112203</v>
      </c>
      <c r="B332">
        <v>145501884.70243621</v>
      </c>
    </row>
    <row r="333" spans="1:2" x14ac:dyDescent="0.25">
      <c r="A333">
        <f ca="1">27465.7777503167*((RANDBETWEEN(2979,3282)))</f>
        <v>86160144.802743465</v>
      </c>
      <c r="B333">
        <v>156047797.12019616</v>
      </c>
    </row>
    <row r="334" spans="1:2" x14ac:dyDescent="0.25">
      <c r="A334">
        <f ca="1">31706.1608888655*((RANDBETWEEN(2979,3282)))</f>
        <v>95181894.988374159</v>
      </c>
      <c r="B334">
        <v>189043066.74573758</v>
      </c>
    </row>
    <row r="335" spans="1:2" x14ac:dyDescent="0.25">
      <c r="A335">
        <f ca="1">28866.5467378547*((RANDBETWEEN(2979,3282)))</f>
        <v>86513040.573350504</v>
      </c>
      <c r="B335">
        <v>182574957.87004805</v>
      </c>
    </row>
    <row r="336" spans="1:2" x14ac:dyDescent="0.25">
      <c r="A336">
        <f ca="1">27831.4948393987*((RANDBETWEEN(2979,3282)))</f>
        <v>87223904.826675415</v>
      </c>
      <c r="B336">
        <v>158324342.26546517</v>
      </c>
    </row>
    <row r="337" spans="1:2" x14ac:dyDescent="0.25">
      <c r="A337">
        <f ca="1">26607.2366751986*((RANDBETWEEN(2979,3282)))</f>
        <v>83094400.136645347</v>
      </c>
      <c r="B337">
        <v>186192303.81443304</v>
      </c>
    </row>
    <row r="338" spans="1:2" x14ac:dyDescent="0.25">
      <c r="A338">
        <f ca="1">28553.2850496039*((RANDBETWEEN(2979,3282)))</f>
        <v>89200462.494962558</v>
      </c>
      <c r="B338">
        <v>172103410.83593249</v>
      </c>
    </row>
    <row r="339" spans="1:2" x14ac:dyDescent="0.25">
      <c r="A339">
        <f ca="1">27688.3920442817*((RANDBETWEEN(2979,3282)))</f>
        <v>83452813.621465012</v>
      </c>
      <c r="B339">
        <v>197160705.45423141</v>
      </c>
    </row>
    <row r="340" spans="1:2" x14ac:dyDescent="0.25">
      <c r="A340">
        <f ca="1">29353.625378268*((RANDBETWEEN(2979,3282)))</f>
        <v>90849470.545739576</v>
      </c>
      <c r="B340">
        <v>183937335.15269518</v>
      </c>
    </row>
    <row r="341" spans="1:2" x14ac:dyDescent="0.25">
      <c r="A341">
        <f ca="1">26669.2460086898*((RANDBETWEEN(2979,3282)))</f>
        <v>82941355.087025225</v>
      </c>
      <c r="B341">
        <v>151798545.9443213</v>
      </c>
    </row>
    <row r="342" spans="1:2" x14ac:dyDescent="0.25">
      <c r="A342">
        <f ca="1">26659.23954844*((RANDBETWEEN(2979,3282)))</f>
        <v>83896626.858940721</v>
      </c>
      <c r="B342">
        <v>151253901.15861437</v>
      </c>
    </row>
    <row r="343" spans="1:2" x14ac:dyDescent="0.25">
      <c r="A343">
        <f ca="1">26914.9831238258*((RANDBETWEEN(2979,3282)))</f>
        <v>80314309.641496047</v>
      </c>
      <c r="B343">
        <v>177708531.54835269</v>
      </c>
    </row>
    <row r="344" spans="1:2" x14ac:dyDescent="0.25">
      <c r="A344">
        <f ca="1">25781.7337287887*((RANDBETWEEN(2979,3282)))</f>
        <v>77963962.795856982</v>
      </c>
      <c r="B344">
        <v>144385378.29121894</v>
      </c>
    </row>
    <row r="345" spans="1:2" x14ac:dyDescent="0.25">
      <c r="A345">
        <f ca="1">26140.2287045174*((RANDBETWEEN(2979,3282)))</f>
        <v>84406798.486886561</v>
      </c>
      <c r="B345">
        <v>164530696.73496741</v>
      </c>
    </row>
    <row r="346" spans="1:2" x14ac:dyDescent="0.25">
      <c r="A346">
        <f ca="1">27232.0602118768*((RANDBETWEEN(2979,3282)))</f>
        <v>83656888.970885575</v>
      </c>
      <c r="B346">
        <v>167150130.5073258</v>
      </c>
    </row>
    <row r="347" spans="1:2" x14ac:dyDescent="0.25">
      <c r="A347">
        <f ca="1">26490.0343888023*((RANDBETWEEN(2979,3282)))</f>
        <v>78966792.513019547</v>
      </c>
      <c r="B347">
        <v>160353439.27207923</v>
      </c>
    </row>
    <row r="348" spans="1:2" x14ac:dyDescent="0.25">
      <c r="A348">
        <f ca="1">25857.4507461294*((RANDBETWEEN(2979,3282)))</f>
        <v>81399254.948815271</v>
      </c>
      <c r="B348">
        <v>167085845.68147948</v>
      </c>
    </row>
    <row r="349" spans="1:2" x14ac:dyDescent="0.25">
      <c r="A349">
        <f ca="1">27088.0847600414*((RANDBETWEEN(2979,3282)))</f>
        <v>81318430.449644327</v>
      </c>
      <c r="B349">
        <v>152114108.18166244</v>
      </c>
    </row>
    <row r="350" spans="1:2" x14ac:dyDescent="0.25">
      <c r="A350">
        <f ca="1">28673.5482675518*((RANDBETWEEN(2979,3282)))</f>
        <v>91239230.587349832</v>
      </c>
      <c r="B350">
        <v>185337484.67721504</v>
      </c>
    </row>
    <row r="351" spans="1:2" x14ac:dyDescent="0.25">
      <c r="A351">
        <f ca="1">28723.8039929215*((RANDBETWEEN(2979,3282)))</f>
        <v>94214077.096782535</v>
      </c>
      <c r="B351">
        <v>168704422.29567191</v>
      </c>
    </row>
    <row r="352" spans="1:2" x14ac:dyDescent="0.25">
      <c r="A352">
        <f ca="1">32032.1537820779*((RANDBETWEEN(2979,3282)))</f>
        <v>102054441.94970007</v>
      </c>
      <c r="B352">
        <v>170741906.37967512</v>
      </c>
    </row>
    <row r="353" spans="1:2" x14ac:dyDescent="0.25">
      <c r="A353">
        <f ca="1">27916.1882178205*((RANDBETWEEN(2979,3282)))</f>
        <v>89275969.920589864</v>
      </c>
      <c r="B353">
        <v>142917708.80617768</v>
      </c>
    </row>
    <row r="354" spans="1:2" x14ac:dyDescent="0.25">
      <c r="A354">
        <f ca="1">27691.7777723557*((RANDBETWEEN(2979,3282)))</f>
        <v>83490709.983652323</v>
      </c>
      <c r="B354">
        <v>178171405.48029536</v>
      </c>
    </row>
    <row r="355" spans="1:2" x14ac:dyDescent="0.25">
      <c r="A355">
        <f ca="1">27785.126427515*((RANDBETWEEN(2979,3282)))</f>
        <v>90246090.636568591</v>
      </c>
      <c r="B355">
        <v>157919882.35289925</v>
      </c>
    </row>
    <row r="356" spans="1:2" x14ac:dyDescent="0.25">
      <c r="A356">
        <f ca="1">29249.4919216749*((RANDBETWEEN(2979,3282)))</f>
        <v>89620443.248011798</v>
      </c>
      <c r="B356">
        <v>171363043.42573288</v>
      </c>
    </row>
    <row r="357" spans="1:2" x14ac:dyDescent="0.25">
      <c r="A357">
        <f ca="1">32070.4395421326*((RANDBETWEEN(2979,3282)))</f>
        <v>101118095.87634416</v>
      </c>
      <c r="B357">
        <v>170400916.41691509</v>
      </c>
    </row>
    <row r="358" spans="1:2" x14ac:dyDescent="0.25">
      <c r="A358">
        <f ca="1">25934.1488719258*((RANDBETWEEN(2979,3282)))</f>
        <v>81355425.011231124</v>
      </c>
      <c r="B358">
        <v>155566033.22685805</v>
      </c>
    </row>
    <row r="359" spans="1:2" x14ac:dyDescent="0.25">
      <c r="A359">
        <f ca="1">28360.7053442194*((RANDBETWEEN(2979,3282)))</f>
        <v>89307861.12894693</v>
      </c>
      <c r="B359">
        <v>154882362.01717195</v>
      </c>
    </row>
    <row r="360" spans="1:2" x14ac:dyDescent="0.25">
      <c r="A360">
        <f ca="1">31799.5323922147*((RANDBETWEEN(2979,3282)))</f>
        <v>103316680.7423057</v>
      </c>
      <c r="B360">
        <v>169164522.996948</v>
      </c>
    </row>
    <row r="361" spans="1:2" x14ac:dyDescent="0.25">
      <c r="A361">
        <f ca="1">28665.3294080222*((RANDBETWEEN(2979,3282)))</f>
        <v>91585727.458631054</v>
      </c>
      <c r="B361">
        <v>153581062.04545051</v>
      </c>
    </row>
    <row r="362" spans="1:2" x14ac:dyDescent="0.25">
      <c r="A362">
        <f ca="1">26764.8493821049*((RANDBETWEEN(2979,3282)))</f>
        <v>85299574.980768457</v>
      </c>
      <c r="B362">
        <v>194853348.63045466</v>
      </c>
    </row>
    <row r="363" spans="1:2" x14ac:dyDescent="0.25">
      <c r="A363">
        <f ca="1">28822.5342856949*((RANDBETWEEN(2979,3282)))</f>
        <v>90646870.328510404</v>
      </c>
      <c r="B363">
        <v>195749984.20538116</v>
      </c>
    </row>
    <row r="364" spans="1:2" x14ac:dyDescent="0.25">
      <c r="A364">
        <f ca="1">27240.01144976*((RANDBETWEEN(2979,3282)))</f>
        <v>83790275.219461873</v>
      </c>
      <c r="B364">
        <v>159900305.60632074</v>
      </c>
    </row>
    <row r="365" spans="1:2" x14ac:dyDescent="0.25">
      <c r="A365">
        <f ca="1">28051.2169046833*((RANDBETWEEN(2979,3282)))</f>
        <v>89651689.227367952</v>
      </c>
      <c r="B365">
        <v>150024407.91649634</v>
      </c>
    </row>
    <row r="366" spans="1:2" x14ac:dyDescent="0.25">
      <c r="A366">
        <f ca="1">29748.1709611842*((RANDBETWEEN(2979,3282)))</f>
        <v>96860044.64961572</v>
      </c>
      <c r="B366">
        <v>168641524.81429929</v>
      </c>
    </row>
    <row r="367" spans="1:2" x14ac:dyDescent="0.25">
      <c r="A367">
        <f ca="1">25930.1997187255*((RANDBETWEEN(2979,3282)))</f>
        <v>78205482.351676196</v>
      </c>
      <c r="B367">
        <v>156865737.01932856</v>
      </c>
    </row>
    <row r="368" spans="1:2" x14ac:dyDescent="0.25">
      <c r="A368">
        <f ca="1">30507.8510496103*((RANDBETWEEN(2979,3282)))</f>
        <v>91462537.446731716</v>
      </c>
      <c r="B368">
        <v>184038284.40696439</v>
      </c>
    </row>
    <row r="369" spans="1:2" x14ac:dyDescent="0.25">
      <c r="A369">
        <f ca="1">26318.2326746386*((RANDBETWEEN(2979,3282)))</f>
        <v>83323524.647905901</v>
      </c>
      <c r="B369">
        <v>167846646.7764582</v>
      </c>
    </row>
    <row r="370" spans="1:2" x14ac:dyDescent="0.25">
      <c r="A370">
        <f ca="1">27349.4258774316*((RANDBETWEEN(2979,3282)))</f>
        <v>84263581.128366724</v>
      </c>
      <c r="B370">
        <v>150459655.62677008</v>
      </c>
    </row>
    <row r="371" spans="1:2" x14ac:dyDescent="0.25">
      <c r="A371">
        <f ca="1">26377.008829662*((RANDBETWEEN(2979,3282)))</f>
        <v>84538313.299066573</v>
      </c>
      <c r="B371">
        <v>167810202.92187977</v>
      </c>
    </row>
    <row r="372" spans="1:2" x14ac:dyDescent="0.25">
      <c r="A372">
        <f ca="1">32659.8640869627*((RANDBETWEEN(2979,3282)))</f>
        <v>97914272.532714203</v>
      </c>
      <c r="B372">
        <v>186737544.78349596</v>
      </c>
    </row>
    <row r="373" spans="1:2" x14ac:dyDescent="0.25">
      <c r="A373">
        <f ca="1">29583.5339502218*((RANDBETWEEN(2979,3282)))</f>
        <v>91353952.838284865</v>
      </c>
      <c r="B373">
        <v>183104801.42188978</v>
      </c>
    </row>
    <row r="374" spans="1:2" x14ac:dyDescent="0.25">
      <c r="A374">
        <f ca="1">27365.8423176014*((RANDBETWEEN(2979,3282)))</f>
        <v>83328989.857096225</v>
      </c>
      <c r="B374">
        <v>152920978.72843403</v>
      </c>
    </row>
    <row r="375" spans="1:2" x14ac:dyDescent="0.25">
      <c r="A375">
        <f ca="1">28036.6030036158*((RANDBETWEEN(2979,3282)))</f>
        <v>85876115.000075281</v>
      </c>
      <c r="B375">
        <v>152506445.69440007</v>
      </c>
    </row>
    <row r="376" spans="1:2" x14ac:dyDescent="0.25">
      <c r="A376">
        <f ca="1">27376.6748350285*((RANDBETWEEN(2979,3282)))</f>
        <v>84949822.013093546</v>
      </c>
      <c r="B376">
        <v>149636871.50904462</v>
      </c>
    </row>
    <row r="377" spans="1:2" x14ac:dyDescent="0.25">
      <c r="A377">
        <f ca="1">28004.1083075045*((RANDBETWEEN(2979,3282)))</f>
        <v>84376378.330510914</v>
      </c>
      <c r="B377">
        <v>175981255.14843017</v>
      </c>
    </row>
    <row r="378" spans="1:2" x14ac:dyDescent="0.25">
      <c r="A378">
        <f ca="1">26725.9416127322*((RANDBETWEEN(2979,3282)))</f>
        <v>85335931.569453955</v>
      </c>
      <c r="B378">
        <v>152288875.40899509</v>
      </c>
    </row>
    <row r="379" spans="1:2" x14ac:dyDescent="0.25">
      <c r="A379">
        <f ca="1">24757.1955902611*((RANDBETWEEN(2979,3282)))</f>
        <v>80139042.125675306</v>
      </c>
      <c r="B379">
        <v>149637830.77270848</v>
      </c>
    </row>
    <row r="380" spans="1:2" x14ac:dyDescent="0.25">
      <c r="A380">
        <f ca="1">27082.7377067363*((RANDBETWEEN(2979,3282)))</f>
        <v>85879361.268060714</v>
      </c>
      <c r="B380">
        <v>144383678.54691076</v>
      </c>
    </row>
    <row r="381" spans="1:2" x14ac:dyDescent="0.25">
      <c r="A381">
        <f ca="1">31225.1949392984*((RANDBETWEEN(2979,3282)))</f>
        <v>93082306.114048406</v>
      </c>
      <c r="B381">
        <v>172202525.09954429</v>
      </c>
    </row>
    <row r="382" spans="1:2" x14ac:dyDescent="0.25">
      <c r="A382">
        <f ca="1">27089.1424817381*((RANDBETWEEN(2979,3282)))</f>
        <v>88662763.342728689</v>
      </c>
      <c r="B382">
        <v>167280594.52717006</v>
      </c>
    </row>
    <row r="383" spans="1:2" x14ac:dyDescent="0.25">
      <c r="A383">
        <f ca="1">26946.8592094903*((RANDBETWEEN(2979,3282)))</f>
        <v>84613137.917799398</v>
      </c>
      <c r="B383">
        <v>149557880.4221215</v>
      </c>
    </row>
    <row r="384" spans="1:2" x14ac:dyDescent="0.25">
      <c r="A384">
        <f ca="1">27153.4760559052*((RANDBETWEEN(2979,3282)))</f>
        <v>83659859.728243828</v>
      </c>
      <c r="B384">
        <v>151893399.08825165</v>
      </c>
    </row>
    <row r="385" spans="1:2" x14ac:dyDescent="0.25">
      <c r="A385">
        <f ca="1">28177.7736838937*((RANDBETWEEN(2979,3282)))</f>
        <v>84392432.183261588</v>
      </c>
      <c r="B385">
        <v>147718474.83273634</v>
      </c>
    </row>
    <row r="386" spans="1:2" x14ac:dyDescent="0.25">
      <c r="A386">
        <f ca="1">26480.1710924088*((RANDBETWEEN(2979,3282)))</f>
        <v>86749040.498731166</v>
      </c>
      <c r="B386">
        <v>190413925.77509227</v>
      </c>
    </row>
    <row r="387" spans="1:2" x14ac:dyDescent="0.25">
      <c r="A387">
        <f ca="1">28082.2203699164*((RANDBETWEEN(2979,3282)))</f>
        <v>87560363.113399476</v>
      </c>
      <c r="B387">
        <v>156814243.34158057</v>
      </c>
    </row>
    <row r="388" spans="1:2" x14ac:dyDescent="0.25">
      <c r="A388">
        <f ca="1">26738.2116926316*((RANDBETWEEN(2979,3282)))</f>
        <v>82647812.34192434</v>
      </c>
      <c r="B388">
        <v>149002107.93504089</v>
      </c>
    </row>
    <row r="389" spans="1:2" x14ac:dyDescent="0.25">
      <c r="A389">
        <f ca="1">25518.7946128433*((RANDBETWEEN(2979,3282)))</f>
        <v>76224639.508563027</v>
      </c>
      <c r="B389">
        <v>198595787.88783598</v>
      </c>
    </row>
    <row r="390" spans="1:2" x14ac:dyDescent="0.25">
      <c r="A390">
        <f ca="1">27818.6061025301*((RANDBETWEEN(2979,3282)))</f>
        <v>83539274.125897959</v>
      </c>
      <c r="B390">
        <v>162110889.42460772</v>
      </c>
    </row>
    <row r="391" spans="1:2" x14ac:dyDescent="0.25">
      <c r="A391">
        <f ca="1">28679.8949035908*((RANDBETWEEN(2979,3282)))</f>
        <v>92177182.2201408</v>
      </c>
      <c r="B391">
        <v>173958078.7813229</v>
      </c>
    </row>
    <row r="392" spans="1:2" x14ac:dyDescent="0.25">
      <c r="A392">
        <f ca="1">29342.0526184007*((RANDBETWEEN(2979,3282)))</f>
        <v>88877077.381135702</v>
      </c>
      <c r="B392">
        <v>178887953.76896605</v>
      </c>
    </row>
    <row r="393" spans="1:2" x14ac:dyDescent="0.25">
      <c r="A393">
        <f ca="1">28484.8253198172*((RANDBETWEEN(2979,3282)))</f>
        <v>89869623.884023353</v>
      </c>
      <c r="B393">
        <v>166880172.91238639</v>
      </c>
    </row>
    <row r="394" spans="1:2" x14ac:dyDescent="0.25">
      <c r="A394">
        <f ca="1">28245.4882855373*((RANDBETWEEN(2979,3282)))</f>
        <v>87448031.732023507</v>
      </c>
      <c r="B394">
        <v>156937440.51693219</v>
      </c>
    </row>
    <row r="395" spans="1:2" x14ac:dyDescent="0.25">
      <c r="A395">
        <f ca="1">30268.4234914271*((RANDBETWEEN(2979,3282)))</f>
        <v>91168491.556178376</v>
      </c>
      <c r="B395">
        <v>174984728.71219474</v>
      </c>
    </row>
    <row r="396" spans="1:2" x14ac:dyDescent="0.25">
      <c r="A396">
        <f ca="1">23378.9434571888*((RANDBETWEEN(2979,3282)))</f>
        <v>71118745.99676837</v>
      </c>
      <c r="B396">
        <v>145335993.50870228</v>
      </c>
    </row>
    <row r="397" spans="1:2" x14ac:dyDescent="0.25">
      <c r="A397">
        <f ca="1">27323.4601538376*((RANDBETWEEN(2979,3282)))</f>
        <v>83664434.991050661</v>
      </c>
      <c r="B397">
        <v>153938123.44494092</v>
      </c>
    </row>
    <row r="398" spans="1:2" x14ac:dyDescent="0.25">
      <c r="A398">
        <f ca="1">28681.0521019535*((RANDBETWEEN(2979,3282)))</f>
        <v>85842388.941146791</v>
      </c>
      <c r="B398">
        <v>182160484.82016268</v>
      </c>
    </row>
    <row r="399" spans="1:2" x14ac:dyDescent="0.25">
      <c r="A399">
        <f ca="1">25615.4122466772*((RANDBETWEEN(2979,3282)))</f>
        <v>81610703.417913646</v>
      </c>
      <c r="B399">
        <v>147074363.49043784</v>
      </c>
    </row>
    <row r="400" spans="1:2" x14ac:dyDescent="0.25">
      <c r="A400">
        <f ca="1">26416.4990867053*((RANDBETWEEN(2979,3282)))</f>
        <v>84823378.567410842</v>
      </c>
      <c r="B400">
        <v>172087321.16825294</v>
      </c>
    </row>
    <row r="401" spans="1:2" x14ac:dyDescent="0.25">
      <c r="A401">
        <f ca="1">28795.7690784171*((RANDBETWEEN(2979,3282)))</f>
        <v>88201440.687191442</v>
      </c>
      <c r="B401">
        <v>178995967.22860903</v>
      </c>
    </row>
    <row r="402" spans="1:2" x14ac:dyDescent="0.25">
      <c r="A402">
        <f ca="1">25360.5111140052*((RANDBETWEEN(2979,3282)))</f>
        <v>82294858.564946726</v>
      </c>
      <c r="B402">
        <v>151840667.29964155</v>
      </c>
    </row>
    <row r="403" spans="1:2" x14ac:dyDescent="0.25">
      <c r="A403">
        <f ca="1">27629.1523896682*((RANDBETWEEN(2979,3282)))</f>
        <v>84020252.416980967</v>
      </c>
      <c r="B403">
        <v>155970254.36969811</v>
      </c>
    </row>
    <row r="404" spans="1:2" x14ac:dyDescent="0.25">
      <c r="A404">
        <f ca="1">28154.3488571157*((RANDBETWEEN(2979,3282)))</f>
        <v>88489118.457914516</v>
      </c>
      <c r="B404">
        <v>200885606.58471304</v>
      </c>
    </row>
    <row r="405" spans="1:2" x14ac:dyDescent="0.25">
      <c r="A405">
        <f ca="1">28768.0518989638*((RANDBETWEEN(2979,3282)))</f>
        <v>88059006.862728223</v>
      </c>
      <c r="B405">
        <v>164625970.98090947</v>
      </c>
    </row>
    <row r="406" spans="1:2" x14ac:dyDescent="0.25">
      <c r="A406">
        <f ca="1">26917.6183173475*((RANDBETWEEN(2979,3282)))</f>
        <v>84467486.279836565</v>
      </c>
      <c r="B406">
        <v>146864792.79374605</v>
      </c>
    </row>
    <row r="407" spans="1:2" x14ac:dyDescent="0.25">
      <c r="A407">
        <f ca="1">29961.9186455509*((RANDBETWEEN(2979,3282)))</f>
        <v>95578520.479307339</v>
      </c>
      <c r="B407">
        <v>197673047.87036178</v>
      </c>
    </row>
    <row r="408" spans="1:2" x14ac:dyDescent="0.25">
      <c r="A408">
        <f ca="1">27245.4228344326*((RANDBETWEEN(2979,3282)))</f>
        <v>82689858.302503005</v>
      </c>
      <c r="B408">
        <v>152130557.75240833</v>
      </c>
    </row>
    <row r="409" spans="1:2" x14ac:dyDescent="0.25">
      <c r="A409">
        <f ca="1">31178.1077095609*((RANDBETWEEN(2979,3282)))</f>
        <v>96309174.714833543</v>
      </c>
      <c r="B409">
        <v>188066660.68034214</v>
      </c>
    </row>
    <row r="410" spans="1:2" x14ac:dyDescent="0.25">
      <c r="A410">
        <f ca="1">28588.9584943453*((RANDBETWEEN(2979,3282)))</f>
        <v>88625771.332470298</v>
      </c>
      <c r="B410">
        <v>145380755.46240154</v>
      </c>
    </row>
    <row r="411" spans="1:2" x14ac:dyDescent="0.25">
      <c r="A411">
        <f ca="1">25632.0989481033*((RANDBETWEEN(2979,3282)))</f>
        <v>78562383.275936514</v>
      </c>
      <c r="B411">
        <v>147184957.73489916</v>
      </c>
    </row>
    <row r="412" spans="1:2" x14ac:dyDescent="0.25">
      <c r="A412">
        <f ca="1">26179.6563824462*((RANDBETWEEN(2979,3282)))</f>
        <v>78774586.054780707</v>
      </c>
      <c r="B412">
        <v>146240252.15075442</v>
      </c>
    </row>
    <row r="413" spans="1:2" x14ac:dyDescent="0.25">
      <c r="A413">
        <f ca="1">26910.2088594962*((RANDBETWEEN(2979,3282)))</f>
        <v>83556198.508735716</v>
      </c>
      <c r="B413">
        <v>144614327.5321826</v>
      </c>
    </row>
    <row r="414" spans="1:2" x14ac:dyDescent="0.25">
      <c r="A414">
        <f ca="1">27228.5383961267*((RANDBETWEEN(2979,3282)))</f>
        <v>81767300.803568348</v>
      </c>
      <c r="B414">
        <v>153301250.49098566</v>
      </c>
    </row>
    <row r="415" spans="1:2" x14ac:dyDescent="0.25">
      <c r="A415">
        <f ca="1">29455.1536805473*((RANDBETWEEN(2979,3282)))</f>
        <v>93255016.552612647</v>
      </c>
      <c r="B415">
        <v>184418046.22629967</v>
      </c>
    </row>
    <row r="416" spans="1:2" x14ac:dyDescent="0.25">
      <c r="A416">
        <f ca="1">26570.7491330833*((RANDBETWEEN(2979,3282)))</f>
        <v>82156756.319493458</v>
      </c>
      <c r="B416">
        <v>168983098.39476377</v>
      </c>
    </row>
    <row r="417" spans="1:2" x14ac:dyDescent="0.25">
      <c r="A417">
        <f ca="1">31062.9120340175*((RANDBETWEEN(2979,3282)))</f>
        <v>97133725.93037276</v>
      </c>
      <c r="B417">
        <v>178511603.53347412</v>
      </c>
    </row>
    <row r="418" spans="1:2" x14ac:dyDescent="0.25">
      <c r="A418">
        <f ca="1">26649.1087633009*((RANDBETWEEN(2979,3282)))</f>
        <v>81626220.141990587</v>
      </c>
      <c r="B418">
        <v>155501708.6392338</v>
      </c>
    </row>
    <row r="419" spans="1:2" x14ac:dyDescent="0.25">
      <c r="A419">
        <f ca="1">26937.5304171216*((RANDBETWEEN(2979,3282)))</f>
        <v>87843286.690233439</v>
      </c>
      <c r="B419">
        <v>146130523.40056396</v>
      </c>
    </row>
    <row r="420" spans="1:2" x14ac:dyDescent="0.25">
      <c r="A420">
        <f ca="1">28170.8288756333*((RANDBETWEEN(2979,3282)))</f>
        <v>90428360.690782934</v>
      </c>
      <c r="B420">
        <v>178606956.62584051</v>
      </c>
    </row>
    <row r="421" spans="1:2" x14ac:dyDescent="0.25">
      <c r="A421">
        <f ca="1">33132.0645973075*((RANDBETWEEN(2979,3282)))</f>
        <v>104233475.22312942</v>
      </c>
      <c r="B421">
        <v>155606838.82022598</v>
      </c>
    </row>
    <row r="422" spans="1:2" x14ac:dyDescent="0.25">
      <c r="A422">
        <f ca="1">26673.5966271572*((RANDBETWEEN(2979,3282)))</f>
        <v>85622245.17317459</v>
      </c>
      <c r="B422">
        <v>152182395.17763066</v>
      </c>
    </row>
    <row r="423" spans="1:2" x14ac:dyDescent="0.25">
      <c r="A423">
        <f ca="1">27850.8352323989*((RANDBETWEEN(2979,3282)))</f>
        <v>84527284.930330515</v>
      </c>
      <c r="B423">
        <v>152401803.21190366</v>
      </c>
    </row>
    <row r="424" spans="1:2" x14ac:dyDescent="0.25">
      <c r="A424">
        <f ca="1">31819.4158594365*((RANDBETWEEN(2979,3282)))</f>
        <v>95999177.647920057</v>
      </c>
      <c r="B424">
        <v>194667519.36752015</v>
      </c>
    </row>
    <row r="425" spans="1:2" x14ac:dyDescent="0.25">
      <c r="A425">
        <f ca="1">26655.0946105813*((RANDBETWEEN(2979,3282)))</f>
        <v>83910237.834109828</v>
      </c>
      <c r="B425">
        <v>182015130.24758428</v>
      </c>
    </row>
    <row r="426" spans="1:2" x14ac:dyDescent="0.25">
      <c r="A426">
        <f ca="1">26858.6142288064*((RANDBETWEEN(2979,3282)))</f>
        <v>85490969.090290695</v>
      </c>
      <c r="B426">
        <v>163554996.96356416</v>
      </c>
    </row>
    <row r="427" spans="1:2" x14ac:dyDescent="0.25">
      <c r="A427">
        <f ca="1">29803.6020864361*((RANDBETWEEN(2979,3282)))</f>
        <v>94477418.614002451</v>
      </c>
      <c r="B427">
        <v>150219484.08736229</v>
      </c>
    </row>
    <row r="428" spans="1:2" x14ac:dyDescent="0.25">
      <c r="A428">
        <f ca="1">32134.3366591023*((RANDBETWEEN(2979,3282)))</f>
        <v>99295100.276626214</v>
      </c>
      <c r="B428">
        <v>201638536.36969537</v>
      </c>
    </row>
    <row r="429" spans="1:2" x14ac:dyDescent="0.25">
      <c r="A429">
        <f ca="1">26752.7798215131*((RANDBETWEEN(2979,3282)))</f>
        <v>85261109.291162282</v>
      </c>
      <c r="B429">
        <v>172836354.39204326</v>
      </c>
    </row>
    <row r="430" spans="1:2" x14ac:dyDescent="0.25">
      <c r="A430">
        <f ca="1">26279.5450103527*((RANDBETWEEN(2979,3282)))</f>
        <v>78391882.765882179</v>
      </c>
      <c r="B430">
        <v>151536688.07788944</v>
      </c>
    </row>
    <row r="431" spans="1:2" x14ac:dyDescent="0.25">
      <c r="A431">
        <f ca="1">27179.9890743293*((RANDBETWEEN(2979,3282)))</f>
        <v>82273826.927994847</v>
      </c>
      <c r="B431">
        <v>171617267.25876543</v>
      </c>
    </row>
    <row r="432" spans="1:2" x14ac:dyDescent="0.25">
      <c r="A432">
        <f ca="1">27852.5905320587*((RANDBETWEEN(2979,3282)))</f>
        <v>90493066.638658822</v>
      </c>
      <c r="B432">
        <v>162389508.24843422</v>
      </c>
    </row>
    <row r="433" spans="1:2" x14ac:dyDescent="0.25">
      <c r="A433">
        <f ca="1">29955.0101366716*((RANDBETWEEN(2979,3282)))</f>
        <v>96544997.67049244</v>
      </c>
      <c r="B433">
        <v>166874602.62892002</v>
      </c>
    </row>
    <row r="434" spans="1:2" x14ac:dyDescent="0.25">
      <c r="A434">
        <f ca="1">27452.2096429923*((RANDBETWEEN(2979,3282)))</f>
        <v>85705798.505422041</v>
      </c>
      <c r="B434">
        <v>155335540.82269204</v>
      </c>
    </row>
    <row r="435" spans="1:2" x14ac:dyDescent="0.25">
      <c r="A435">
        <f ca="1">27522.07113609*((RANDBETWEEN(2979,3282)))</f>
        <v>86969744.790044561</v>
      </c>
      <c r="B435">
        <v>145980252.29549274</v>
      </c>
    </row>
    <row r="436" spans="1:2" x14ac:dyDescent="0.25">
      <c r="A436">
        <f ca="1">26247.6913754972*((RANDBETWEEN(2979,3282)))</f>
        <v>82627732.450065047</v>
      </c>
      <c r="B436">
        <v>202529866.48968446</v>
      </c>
    </row>
    <row r="437" spans="1:2" x14ac:dyDescent="0.25">
      <c r="A437">
        <f ca="1">27641.0590491905*((RANDBETWEEN(2979,3282)))</f>
        <v>84664563.867670625</v>
      </c>
      <c r="B437">
        <v>183122558.56645125</v>
      </c>
    </row>
    <row r="438" spans="1:2" x14ac:dyDescent="0.25">
      <c r="A438">
        <f ca="1">28424.6417309094*((RANDBETWEEN(2979,3282)))</f>
        <v>88741731.483899236</v>
      </c>
      <c r="B438">
        <v>142960230.68386865</v>
      </c>
    </row>
    <row r="439" spans="1:2" x14ac:dyDescent="0.25">
      <c r="A439">
        <f ca="1">27695.4866669048*((RANDBETWEEN(2979,3282)))</f>
        <v>84665102.740727946</v>
      </c>
      <c r="B439">
        <v>148082845.70274115</v>
      </c>
    </row>
    <row r="440" spans="1:2" x14ac:dyDescent="0.25">
      <c r="A440">
        <f ca="1">27982.6201044356*((RANDBETWEEN(2979,3282)))</f>
        <v>85123130.35769324</v>
      </c>
      <c r="B440">
        <v>149368011.87273753</v>
      </c>
    </row>
    <row r="441" spans="1:2" x14ac:dyDescent="0.25">
      <c r="A441">
        <f ca="1">33896.5666568345*((RANDBETWEEN(2979,3282)))</f>
        <v>108943565.23506619</v>
      </c>
      <c r="B441">
        <v>192423287.6461409</v>
      </c>
    </row>
    <row r="442" spans="1:2" x14ac:dyDescent="0.25">
      <c r="A442">
        <f ca="1">35209.3714193959*((RANDBETWEEN(2979,3282)))</f>
        <v>106966070.37212479</v>
      </c>
      <c r="B442">
        <v>153542339.29857349</v>
      </c>
    </row>
    <row r="443" spans="1:2" x14ac:dyDescent="0.25">
      <c r="A443">
        <f ca="1">25460.3155755315*((RANDBETWEEN(2979,3282)))</f>
        <v>78545073.550514787</v>
      </c>
      <c r="B443">
        <v>165257919.62178379</v>
      </c>
    </row>
    <row r="444" spans="1:2" x14ac:dyDescent="0.25">
      <c r="A444">
        <f ca="1">27283.2933669055*((RANDBETWEEN(2979,3282)))</f>
        <v>87688504.881234124</v>
      </c>
      <c r="B444">
        <v>144561016.63153696</v>
      </c>
    </row>
    <row r="445" spans="1:2" x14ac:dyDescent="0.25">
      <c r="A445">
        <f ca="1">28518.8028583094*((RANDBETWEEN(2979,3282)))</f>
        <v>88550882.875050753</v>
      </c>
      <c r="B445">
        <v>163136656.21231335</v>
      </c>
    </row>
    <row r="446" spans="1:2" x14ac:dyDescent="0.25">
      <c r="A446">
        <f ca="1">27905.6483538569*((RANDBETWEEN(2979,3282)))</f>
        <v>84526208.863832682</v>
      </c>
      <c r="B446">
        <v>181704035.78604332</v>
      </c>
    </row>
    <row r="447" spans="1:2" x14ac:dyDescent="0.25">
      <c r="A447">
        <f ca="1">26751.3009707233*((RANDBETWEEN(2979,3282)))</f>
        <v>79879384.698579669</v>
      </c>
      <c r="B447">
        <v>201596639.76093578</v>
      </c>
    </row>
    <row r="448" spans="1:2" x14ac:dyDescent="0.25">
      <c r="A448">
        <f ca="1">27733.6526878922*((RANDBETWEEN(2979,3282)))</f>
        <v>85863388.721714169</v>
      </c>
      <c r="B448">
        <v>167331757.76105335</v>
      </c>
    </row>
    <row r="449" spans="1:2" x14ac:dyDescent="0.25">
      <c r="A449">
        <f ca="1">27390.0522337343*((RANDBETWEEN(2979,3282)))</f>
        <v>87538606.939014941</v>
      </c>
      <c r="B449">
        <v>203609870.4077197</v>
      </c>
    </row>
    <row r="450" spans="1:2" x14ac:dyDescent="0.25">
      <c r="A450">
        <f ca="1">26609.9796695827*((RANDBETWEEN(2979,3282)))</f>
        <v>81213657.951566383</v>
      </c>
      <c r="B450">
        <v>143475609.61746916</v>
      </c>
    </row>
    <row r="451" spans="1:2" x14ac:dyDescent="0.25">
      <c r="A451">
        <f ca="1">29065.2582622391*((RANDBETWEEN(2979,3282)))</f>
        <v>88794363.991140381</v>
      </c>
      <c r="B451">
        <v>201336071.48304138</v>
      </c>
    </row>
    <row r="452" spans="1:2" x14ac:dyDescent="0.25">
      <c r="A452">
        <f ca="1">28696.0008512943*((RANDBETWEEN(2979,3282)))</f>
        <v>86748010.573462665</v>
      </c>
      <c r="B452">
        <v>173334874.24157923</v>
      </c>
    </row>
    <row r="453" spans="1:2" x14ac:dyDescent="0.25">
      <c r="A453">
        <f ca="1">25936.9400211544*((RANDBETWEEN(2979,3282)))</f>
        <v>79937649.145197839</v>
      </c>
      <c r="B453">
        <v>143709666.85779259</v>
      </c>
    </row>
    <row r="454" spans="1:2" x14ac:dyDescent="0.25">
      <c r="A454">
        <f ca="1">31305.7246054583*((RANDBETWEEN(2979,3282)))</f>
        <v>97266886.349159092</v>
      </c>
      <c r="B454">
        <v>173755181.20278633</v>
      </c>
    </row>
    <row r="455" spans="1:2" x14ac:dyDescent="0.25">
      <c r="A455">
        <f ca="1">25992.9891718883*((RANDBETWEEN(2979,3282)))</f>
        <v>83515474.209276989</v>
      </c>
      <c r="B455">
        <v>162665730.62754363</v>
      </c>
    </row>
    <row r="456" spans="1:2" x14ac:dyDescent="0.25">
      <c r="A456">
        <f ca="1">30259.9725526109*((RANDBETWEEN(2979,3282)))</f>
        <v>90144458.234227821</v>
      </c>
      <c r="B456">
        <v>190602228.12789419</v>
      </c>
    </row>
    <row r="457" spans="1:2" x14ac:dyDescent="0.25">
      <c r="A457">
        <f ca="1">26007.1052689706*((RANDBETWEEN(2979,3282)))</f>
        <v>85199276.861147732</v>
      </c>
      <c r="B457">
        <v>149141463.54326528</v>
      </c>
    </row>
    <row r="458" spans="1:2" x14ac:dyDescent="0.25">
      <c r="A458">
        <f ca="1">27361.9732448387*((RANDBETWEEN(2979,3282)))</f>
        <v>87667762.276463136</v>
      </c>
      <c r="B458">
        <v>198989522.15840557</v>
      </c>
    </row>
    <row r="459" spans="1:2" x14ac:dyDescent="0.25">
      <c r="A459">
        <f ca="1">26674.2009185518*((RANDBETWEEN(2979,3282)))</f>
        <v>79542467.139121473</v>
      </c>
      <c r="B459">
        <v>148459054.01485911</v>
      </c>
    </row>
    <row r="460" spans="1:2" x14ac:dyDescent="0.25">
      <c r="A460">
        <f ca="1">33261.849976456*((RANDBETWEEN(2979,3282)))</f>
        <v>101481904.2781672</v>
      </c>
      <c r="B460">
        <v>168945057.96333146</v>
      </c>
    </row>
    <row r="461" spans="1:2" x14ac:dyDescent="0.25">
      <c r="A461">
        <f ca="1">26639.938545774*((RANDBETWEEN(2979,3282)))</f>
        <v>86766279.843585759</v>
      </c>
      <c r="B461">
        <v>176575332.06420904</v>
      </c>
    </row>
    <row r="462" spans="1:2" x14ac:dyDescent="0.25">
      <c r="A462">
        <f ca="1">26407.3306587459*((RANDBETWEEN(2979,3282)))</f>
        <v>80304692.533246234</v>
      </c>
      <c r="B462">
        <v>161828277.15030256</v>
      </c>
    </row>
    <row r="463" spans="1:2" x14ac:dyDescent="0.25">
      <c r="A463">
        <f ca="1">25010.5614495592*((RANDBETWEEN(2979,3282)))</f>
        <v>81484409.202663735</v>
      </c>
      <c r="B463">
        <v>152111445.07915884</v>
      </c>
    </row>
    <row r="464" spans="1:2" x14ac:dyDescent="0.25">
      <c r="A464">
        <f ca="1">27442.7478908369*((RANDBETWEEN(2979,3282)))</f>
        <v>83535724.579707459</v>
      </c>
      <c r="B464">
        <v>203040026.24195689</v>
      </c>
    </row>
    <row r="465" spans="1:2" x14ac:dyDescent="0.25">
      <c r="A465">
        <f ca="1">26194.318077736*((RANDBETWEEN(2979,3282)))</f>
        <v>78163845.143964216</v>
      </c>
      <c r="B465">
        <v>156542407.78788224</v>
      </c>
    </row>
    <row r="466" spans="1:2" x14ac:dyDescent="0.25">
      <c r="A466">
        <f ca="1">32472.173665313*((RANDBETWEEN(2979,3282)))</f>
        <v>98845296.637212709</v>
      </c>
      <c r="B466">
        <v>158274228.76171297</v>
      </c>
    </row>
    <row r="467" spans="1:2" x14ac:dyDescent="0.25">
      <c r="A467">
        <f ca="1">28579.3561166501*((RANDBETWEEN(2979,3282)))</f>
        <v>86481131.608983323</v>
      </c>
      <c r="B467">
        <v>169448135.85657108</v>
      </c>
    </row>
    <row r="468" spans="1:2" x14ac:dyDescent="0.25">
      <c r="A468">
        <f ca="1">31809.5768045329*((RANDBETWEEN(2979,3282)))</f>
        <v>102235979.84976862</v>
      </c>
      <c r="B468">
        <v>169548307.00149477</v>
      </c>
    </row>
    <row r="469" spans="1:2" x14ac:dyDescent="0.25">
      <c r="A469">
        <f ca="1">27185.9688389607*((RANDBETWEEN(2979,3282)))</f>
        <v>82862833.021152079</v>
      </c>
      <c r="B469">
        <v>203486128.6294052</v>
      </c>
    </row>
    <row r="470" spans="1:2" x14ac:dyDescent="0.25">
      <c r="A470">
        <f ca="1">31458.9752751542*((RANDBETWEEN(2979,3282)))</f>
        <v>101581031.16347291</v>
      </c>
      <c r="B470">
        <v>160356658.87971815</v>
      </c>
    </row>
    <row r="471" spans="1:2" x14ac:dyDescent="0.25">
      <c r="A471">
        <f ca="1">27197.7885524566*((RANDBETWEEN(2979,3282)))</f>
        <v>84557924.609587461</v>
      </c>
      <c r="B471">
        <v>173465486.79873633</v>
      </c>
    </row>
    <row r="472" spans="1:2" x14ac:dyDescent="0.25">
      <c r="A472">
        <f ca="1">27181.4910950277*((RANDBETWEEN(2979,3282)))</f>
        <v>88367027.549935192</v>
      </c>
      <c r="B472">
        <v>178704308.24382299</v>
      </c>
    </row>
    <row r="473" spans="1:2" x14ac:dyDescent="0.25">
      <c r="A473">
        <f ca="1">28054.2924126998*((RANDBETWEEN(2979,3282)))</f>
        <v>84948397.425654948</v>
      </c>
      <c r="B473">
        <v>142979805.22479111</v>
      </c>
    </row>
    <row r="474" spans="1:2" x14ac:dyDescent="0.25">
      <c r="A474">
        <f ca="1">31477.0309570991*((RANDBETWEEN(2979,3282)))</f>
        <v>97358456.750307411</v>
      </c>
      <c r="B474">
        <v>202771695.52005625</v>
      </c>
    </row>
    <row r="475" spans="1:2" x14ac:dyDescent="0.25">
      <c r="A475">
        <f ca="1">30178.7774854085*((RANDBETWEEN(2979,3282)))</f>
        <v>97326557.390442401</v>
      </c>
      <c r="B475">
        <v>193138868.47879636</v>
      </c>
    </row>
    <row r="476" spans="1:2" x14ac:dyDescent="0.25">
      <c r="A476">
        <f ca="1">26830.2117200237*((RANDBETWEEN(2979,3282)))</f>
        <v>86876225.549436882</v>
      </c>
      <c r="B476">
        <v>160226889.58488369</v>
      </c>
    </row>
    <row r="477" spans="1:2" x14ac:dyDescent="0.25">
      <c r="A477">
        <f ca="1">27160.9320645029*((RANDBETWEEN(2979,3282)))</f>
        <v>81075382.212541044</v>
      </c>
      <c r="B477">
        <v>151767285.95760661</v>
      </c>
    </row>
    <row r="478" spans="1:2" x14ac:dyDescent="0.25">
      <c r="A478">
        <f ca="1">28267.0410023475*((RANDBETWEEN(2979,3282)))</f>
        <v>90567599.371521339</v>
      </c>
      <c r="B478">
        <v>159995614.43983468</v>
      </c>
    </row>
    <row r="479" spans="1:2" x14ac:dyDescent="0.25">
      <c r="A479">
        <f ca="1">30860.2555269346*((RANDBETWEEN(2979,3282)))</f>
        <v>99493463.818837166</v>
      </c>
      <c r="B479">
        <v>202037594.04413411</v>
      </c>
    </row>
    <row r="480" spans="1:2" x14ac:dyDescent="0.25">
      <c r="A480">
        <f ca="1">26213.3563201638*((RANDBETWEEN(2979,3282)))</f>
        <v>81340044.661468327</v>
      </c>
      <c r="B480">
        <v>144458839.17972106</v>
      </c>
    </row>
    <row r="481" spans="1:2" x14ac:dyDescent="0.25">
      <c r="A481">
        <f ca="1">25695.2611716739*((RANDBETWEEN(2979,3282)))</f>
        <v>82507483.622244984</v>
      </c>
      <c r="B481">
        <v>187073577.12453324</v>
      </c>
    </row>
    <row r="482" spans="1:2" x14ac:dyDescent="0.25">
      <c r="A482">
        <f ca="1">26945.9947068671*((RANDBETWEEN(2979,3282)))</f>
        <v>80918822.104721799</v>
      </c>
      <c r="B482">
        <v>150131669.76223806</v>
      </c>
    </row>
    <row r="483" spans="1:2" x14ac:dyDescent="0.25">
      <c r="A483">
        <f ca="1">30235.3458893731*((RANDBETWEEN(2979,3282)))</f>
        <v>92278275.654366642</v>
      </c>
      <c r="B483">
        <v>196111677.05769017</v>
      </c>
    </row>
    <row r="484" spans="1:2" x14ac:dyDescent="0.25">
      <c r="A484">
        <f ca="1">25603.6545955563*((RANDBETWEEN(2979,3282)))</f>
        <v>79550554.828393504</v>
      </c>
      <c r="B484">
        <v>149164921.0020144</v>
      </c>
    </row>
    <row r="485" spans="1:2" x14ac:dyDescent="0.25">
      <c r="A485">
        <f ca="1">28233.270357782*((RANDBETWEEN(2979,3282)))</f>
        <v>86422040.56517081</v>
      </c>
      <c r="B485">
        <v>145273019.43311369</v>
      </c>
    </row>
    <row r="486" spans="1:2" x14ac:dyDescent="0.25">
      <c r="A486">
        <f ca="1">28158.2360067377*((RANDBETWEEN(2979,3282)))</f>
        <v>84812606.852294013</v>
      </c>
      <c r="B486">
        <v>166275372.69655085</v>
      </c>
    </row>
    <row r="487" spans="1:2" x14ac:dyDescent="0.25">
      <c r="A487">
        <f ca="1">31594.6627958787*((RANDBETWEEN(2979,3282)))</f>
        <v>100344649.03971085</v>
      </c>
      <c r="B487">
        <v>182708846.59962842</v>
      </c>
    </row>
    <row r="488" spans="1:2" x14ac:dyDescent="0.25">
      <c r="A488">
        <f ca="1">27281.9761159708*((RANDBETWEEN(2979,3282)))</f>
        <v>86920375.905482918</v>
      </c>
      <c r="B488">
        <v>151480120.43968076</v>
      </c>
    </row>
    <row r="489" spans="1:2" x14ac:dyDescent="0.25">
      <c r="A489">
        <f ca="1">26251.586269303*((RANDBETWEEN(2979,3282)))</f>
        <v>85606422.824196979</v>
      </c>
      <c r="B489">
        <v>170359145.93864542</v>
      </c>
    </row>
    <row r="490" spans="1:2" x14ac:dyDescent="0.25">
      <c r="A490">
        <f ca="1">26266.8873653731*((RANDBETWEEN(2979,3282)))</f>
        <v>84054039.569194049</v>
      </c>
      <c r="B490">
        <v>180307640.01066113</v>
      </c>
    </row>
    <row r="491" spans="1:2" x14ac:dyDescent="0.25">
      <c r="A491">
        <f ca="1">26141.976513486*((RANDBETWEEN(2979,3282)))</f>
        <v>80334293.825942606</v>
      </c>
      <c r="B491">
        <v>165823863.46794254</v>
      </c>
    </row>
    <row r="492" spans="1:2" x14ac:dyDescent="0.25">
      <c r="A492">
        <f ca="1">26885.9669517357*((RANDBETWEEN(2979,3282)))</f>
        <v>84905883.633581191</v>
      </c>
      <c r="B492">
        <v>179468492.78420255</v>
      </c>
    </row>
    <row r="493" spans="1:2" x14ac:dyDescent="0.25">
      <c r="A493">
        <f ca="1">28678.5080479464*((RANDBETWEEN(2979,3282)))</f>
        <v>87956984.183051497</v>
      </c>
      <c r="B493">
        <v>175870143.74915797</v>
      </c>
    </row>
    <row r="494" spans="1:2" x14ac:dyDescent="0.25">
      <c r="A494">
        <f ca="1">26752.4439397174*((RANDBETWEEN(2979,3282)))</f>
        <v>86998947.691961139</v>
      </c>
      <c r="B494">
        <v>199735285.45649111</v>
      </c>
    </row>
    <row r="495" spans="1:2" x14ac:dyDescent="0.25">
      <c r="A495">
        <f ca="1">27252.3074724698*((RANDBETWEEN(2979,3282)))</f>
        <v>84863685.46927087</v>
      </c>
      <c r="B495">
        <v>180472229.11073455</v>
      </c>
    </row>
    <row r="496" spans="1:2" x14ac:dyDescent="0.25">
      <c r="A496">
        <f ca="1">33171.8157291509*((RANDBETWEEN(2979,3282)))</f>
        <v>99780821.713285819</v>
      </c>
      <c r="B496">
        <v>160387749.22970086</v>
      </c>
    </row>
    <row r="497" spans="1:2" x14ac:dyDescent="0.25">
      <c r="A497">
        <f ca="1">26863.7796691242*((RANDBETWEEN(2979,3282)))</f>
        <v>82901624.05891721</v>
      </c>
      <c r="B497">
        <v>166376962.55941135</v>
      </c>
    </row>
    <row r="498" spans="1:2" x14ac:dyDescent="0.25">
      <c r="A498">
        <f ca="1">31111.7987769724*((RANDBETWEEN(2979,3282)))</f>
        <v>98282172.336455807</v>
      </c>
      <c r="B498">
        <v>201949114.98572999</v>
      </c>
    </row>
    <row r="499" spans="1:2" x14ac:dyDescent="0.25">
      <c r="A499">
        <f ca="1">26420.7546622559*((RANDBETWEEN(2979,3282)))</f>
        <v>80054886.626635268</v>
      </c>
      <c r="B499">
        <v>147925530.47789252</v>
      </c>
    </row>
    <row r="500" spans="1:2" x14ac:dyDescent="0.25">
      <c r="A500">
        <f ca="1">30820.378541627*((RANDBETWEEN(2979,3282)))</f>
        <v>99457361.55383049</v>
      </c>
      <c r="B500">
        <v>156556862.67490134</v>
      </c>
    </row>
    <row r="501" spans="1:2" x14ac:dyDescent="0.25">
      <c r="A501">
        <f ca="1">25933.4417921972*((RANDBETWEEN(2979,3282)))</f>
        <v>81534740.994668096</v>
      </c>
      <c r="B501">
        <v>166264985.35477835</v>
      </c>
    </row>
    <row r="502" spans="1:2" x14ac:dyDescent="0.25">
      <c r="A502">
        <f ca="1">28910.2516257544*((RANDBETWEEN(2979,3282)))</f>
        <v>90546908.091862753</v>
      </c>
      <c r="B502">
        <v>172376724.67419517</v>
      </c>
    </row>
    <row r="503" spans="1:2" x14ac:dyDescent="0.25">
      <c r="A503">
        <f ca="1">28402.3701247127*((RANDBETWEEN(2979,3282)))</f>
        <v>90376341.736835852</v>
      </c>
      <c r="B503">
        <v>147565342.7478905</v>
      </c>
    </row>
    <row r="504" spans="1:2" x14ac:dyDescent="0.25">
      <c r="A504">
        <f ca="1">27478.9151802392*((RANDBETWEEN(2979,3282)))</f>
        <v>86860850.88473621</v>
      </c>
      <c r="B504">
        <v>150515467.18829274</v>
      </c>
    </row>
    <row r="505" spans="1:2" x14ac:dyDescent="0.25">
      <c r="A505">
        <f ca="1">25351.4209806715*((RANDBETWEEN(2979,3282)))</f>
        <v>78487999.356158927</v>
      </c>
      <c r="B505">
        <v>152960355.4399913</v>
      </c>
    </row>
    <row r="506" spans="1:2" x14ac:dyDescent="0.25">
      <c r="A506">
        <f ca="1">31303.9799435744*((RANDBETWEEN(2979,3282)))</f>
        <v>102270102.47565772</v>
      </c>
      <c r="B506">
        <v>154572837.01617652</v>
      </c>
    </row>
    <row r="507" spans="1:2" x14ac:dyDescent="0.25">
      <c r="A507">
        <f ca="1">29176.4195010092*((RANDBETWEEN(2979,3282)))</f>
        <v>88492080.346560806</v>
      </c>
      <c r="B507">
        <v>198138503.09428334</v>
      </c>
    </row>
    <row r="508" spans="1:2" x14ac:dyDescent="0.25">
      <c r="A508">
        <f ca="1">27084.2675571418*((RANDBETWEEN(2979,3282)))</f>
        <v>87807195.420253724</v>
      </c>
      <c r="B508">
        <v>199478234.96110547</v>
      </c>
    </row>
    <row r="509" spans="1:2" x14ac:dyDescent="0.25">
      <c r="A509">
        <f ca="1">26005.2195157266*((RANDBETWEEN(2979,3282)))</f>
        <v>83632785.962576792</v>
      </c>
      <c r="B509">
        <v>147972617.46656182</v>
      </c>
    </row>
    <row r="510" spans="1:2" x14ac:dyDescent="0.25">
      <c r="A510">
        <f ca="1">31428.8403383292*((RANDBETWEEN(2979,3282)))</f>
        <v>94632238.258709103</v>
      </c>
      <c r="B510">
        <v>194585691.23290136</v>
      </c>
    </row>
    <row r="511" spans="1:2" x14ac:dyDescent="0.25">
      <c r="A511">
        <f ca="1">26625.7669920867*((RANDBETWEEN(2979,3282)))</f>
        <v>83791288.724096715</v>
      </c>
      <c r="B511">
        <v>147483767.29363564</v>
      </c>
    </row>
    <row r="512" spans="1:2" x14ac:dyDescent="0.25">
      <c r="A512">
        <f ca="1">27334.9046701982*((RANDBETWEEN(2979,3282)))</f>
        <v>82387402.675977424</v>
      </c>
      <c r="B512">
        <v>153889252.65520081</v>
      </c>
    </row>
    <row r="513" spans="1:2" x14ac:dyDescent="0.25">
      <c r="A513">
        <f ca="1">29790.4211268564*((RANDBETWEEN(2979,3282)))</f>
        <v>92737580.967903912</v>
      </c>
      <c r="B513">
        <v>168325553.59624645</v>
      </c>
    </row>
    <row r="514" spans="1:2" x14ac:dyDescent="0.25">
      <c r="A514">
        <f ca="1">24701.4728472925*((RANDBETWEEN(2979,3282)))</f>
        <v>80922025.047730386</v>
      </c>
      <c r="B514">
        <v>150416272.21498302</v>
      </c>
    </row>
    <row r="515" spans="1:2" x14ac:dyDescent="0.25">
      <c r="A515">
        <f ca="1">28058.4670129259*((RANDBETWEEN(2979,3282)))</f>
        <v>91863421.000319377</v>
      </c>
      <c r="B515">
        <v>196225958.85302383</v>
      </c>
    </row>
    <row r="516" spans="1:2" x14ac:dyDescent="0.25">
      <c r="A516">
        <f ca="1">27188.7329260278*((RANDBETWEEN(2979,3282)))</f>
        <v>85399810.120653361</v>
      </c>
      <c r="B516">
        <v>147431073.33787268</v>
      </c>
    </row>
    <row r="517" spans="1:2" x14ac:dyDescent="0.25">
      <c r="A517">
        <f ca="1">28025.4718778976*((RANDBETWEEN(2979,3282)))</f>
        <v>89485331.706126943</v>
      </c>
      <c r="B517">
        <v>144376061.61799255</v>
      </c>
    </row>
    <row r="518" spans="1:2" x14ac:dyDescent="0.25">
      <c r="A518">
        <f ca="1">31521.4178172732*((RANDBETWEEN(2979,3282)))</f>
        <v>95825110.164510399</v>
      </c>
      <c r="B518">
        <v>194135050.1917026</v>
      </c>
    </row>
    <row r="519" spans="1:2" x14ac:dyDescent="0.25">
      <c r="A519">
        <f ca="1">26800.3733910013*((RANDBETWEEN(2979,3282)))</f>
        <v>83456362.739578053</v>
      </c>
      <c r="B519">
        <v>151045364.25057763</v>
      </c>
    </row>
    <row r="520" spans="1:2" x14ac:dyDescent="0.25">
      <c r="A520">
        <f ca="1">30607.3440608179*((RANDBETWEEN(2979,3282)))</f>
        <v>96413133.791576415</v>
      </c>
      <c r="B520">
        <v>180979315.79387161</v>
      </c>
    </row>
    <row r="521" spans="1:2" x14ac:dyDescent="0.25">
      <c r="A521">
        <f ca="1">29121.0036753586*((RANDBETWEEN(2979,3282)))</f>
        <v>89576207.305403203</v>
      </c>
      <c r="B521">
        <v>166171477.92733577</v>
      </c>
    </row>
    <row r="522" spans="1:2" x14ac:dyDescent="0.25">
      <c r="A522">
        <f ca="1">27002.1869453602*((RANDBETWEEN(2979,3282)))</f>
        <v>88189142.563546568</v>
      </c>
      <c r="B522">
        <v>161146918.50271967</v>
      </c>
    </row>
    <row r="523" spans="1:2" x14ac:dyDescent="0.25">
      <c r="A523">
        <f ca="1">32212.9550470895*((RANDBETWEEN(2979,3282)))</f>
        <v>102598261.8249799</v>
      </c>
      <c r="B523">
        <v>198460162.43160382</v>
      </c>
    </row>
    <row r="524" spans="1:2" x14ac:dyDescent="0.25">
      <c r="A524">
        <f ca="1">27038.8030211871*((RANDBETWEEN(2979,3282)))</f>
        <v>88092420.243027642</v>
      </c>
      <c r="B524">
        <v>143167753.40357649</v>
      </c>
    </row>
    <row r="525" spans="1:2" x14ac:dyDescent="0.25">
      <c r="A525">
        <f ca="1">28346.4142976672*((RANDBETWEEN(2979,3282)))</f>
        <v>92210885.710311323</v>
      </c>
      <c r="B525">
        <v>152727828.1619685</v>
      </c>
    </row>
    <row r="526" spans="1:2" x14ac:dyDescent="0.25">
      <c r="A526">
        <f ca="1">31809.5172142898*((RANDBETWEEN(2979,3282)))</f>
        <v>102681121.56772733</v>
      </c>
      <c r="B526">
        <v>177625916.34848261</v>
      </c>
    </row>
    <row r="527" spans="1:2" x14ac:dyDescent="0.25">
      <c r="A527">
        <f ca="1">29194.7714172259*((RANDBETWEEN(2979,3282)))</f>
        <v>89803116.879386857</v>
      </c>
      <c r="B527">
        <v>167865625.29698119</v>
      </c>
    </row>
    <row r="528" spans="1:2" x14ac:dyDescent="0.25">
      <c r="A528">
        <f ca="1">28313.2571062406*((RANDBETWEEN(2979,3282)))</f>
        <v>89639771.998357698</v>
      </c>
      <c r="B528">
        <v>202052941.4591862</v>
      </c>
    </row>
    <row r="529" spans="1:2" x14ac:dyDescent="0.25">
      <c r="A529">
        <f ca="1">29082.9812318953*((RANDBETWEEN(2979,3282)))</f>
        <v>92047635.598948658</v>
      </c>
      <c r="B529">
        <v>157137266.9662213</v>
      </c>
    </row>
    <row r="530" spans="1:2" x14ac:dyDescent="0.25">
      <c r="A530">
        <f ca="1">26369.405128009*((RANDBETWEEN(2979,3282)))</f>
        <v>82720823.886564106</v>
      </c>
      <c r="B530">
        <v>183611824.05135947</v>
      </c>
    </row>
    <row r="531" spans="1:2" x14ac:dyDescent="0.25">
      <c r="A531">
        <f ca="1">27495.1135071254*((RANDBETWEEN(2979,3282)))</f>
        <v>82210389.386304915</v>
      </c>
      <c r="B531">
        <v>144140876.67475823</v>
      </c>
    </row>
    <row r="532" spans="1:2" x14ac:dyDescent="0.25">
      <c r="A532">
        <f ca="1">27284.8244620542*((RANDBETWEEN(2979,3282)))</f>
        <v>83982689.69420293</v>
      </c>
      <c r="B532">
        <v>150817063.34661365</v>
      </c>
    </row>
    <row r="533" spans="1:2" x14ac:dyDescent="0.25">
      <c r="A533">
        <f ca="1">30829.4430165599*((RANDBETWEEN(2979,3282)))</f>
        <v>95078002.263070717</v>
      </c>
      <c r="B533">
        <v>197519654.32998937</v>
      </c>
    </row>
    <row r="534" spans="1:2" x14ac:dyDescent="0.25">
      <c r="A534">
        <f ca="1">30193.2201474939*((RANDBETWEEN(2979,3282)))</f>
        <v>96890043.453307912</v>
      </c>
      <c r="B534">
        <v>192807633.91880572</v>
      </c>
    </row>
    <row r="535" spans="1:2" x14ac:dyDescent="0.25">
      <c r="A535">
        <f ca="1">31675.6360820078*((RANDBETWEEN(2979,3282)))</f>
        <v>101045279.10160497</v>
      </c>
      <c r="B535">
        <v>164300639.29632175</v>
      </c>
    </row>
    <row r="536" spans="1:2" x14ac:dyDescent="0.25">
      <c r="A536">
        <f ca="1">28469.7623607369*((RANDBETWEEN(2979,3282)))</f>
        <v>87231351.873297751</v>
      </c>
      <c r="B536">
        <v>179345177.0407882</v>
      </c>
    </row>
    <row r="537" spans="1:2" x14ac:dyDescent="0.25">
      <c r="A537">
        <f ca="1">27032.185039998*((RANDBETWEEN(2979,3282)))</f>
        <v>86097509.352393568</v>
      </c>
      <c r="B537">
        <v>143843603.21824521</v>
      </c>
    </row>
    <row r="538" spans="1:2" x14ac:dyDescent="0.25">
      <c r="A538">
        <f ca="1">26785.022180888*((RANDBETWEEN(2979,3282)))</f>
        <v>87399527.376237482</v>
      </c>
      <c r="B538">
        <v>166866975.92137936</v>
      </c>
    </row>
    <row r="539" spans="1:2" x14ac:dyDescent="0.25">
      <c r="A539">
        <f ca="1">27342.9114801174*((RANDBETWEEN(2979,3282)))</f>
        <v>83915395.332480371</v>
      </c>
      <c r="B539">
        <v>200902417.62203264</v>
      </c>
    </row>
    <row r="540" spans="1:2" x14ac:dyDescent="0.25">
      <c r="A540">
        <f ca="1">27413.8510880827*((RANDBETWEEN(2979,3282)))</f>
        <v>89944845.419999182</v>
      </c>
      <c r="B540">
        <v>154052989.408012</v>
      </c>
    </row>
    <row r="541" spans="1:2" x14ac:dyDescent="0.25">
      <c r="A541">
        <f ca="1">28155.4133156941*((RANDBETWEEN(2979,3282)))</f>
        <v>91195383.729533136</v>
      </c>
      <c r="B541">
        <v>165251998.99686977</v>
      </c>
    </row>
    <row r="542" spans="1:2" x14ac:dyDescent="0.25">
      <c r="A542">
        <f ca="1">29419.6654007108*((RANDBETWEEN(2979,3282)))</f>
        <v>90347792.445582896</v>
      </c>
      <c r="B542">
        <v>177970190.21534243</v>
      </c>
    </row>
    <row r="543" spans="1:2" x14ac:dyDescent="0.25">
      <c r="A543">
        <f ca="1">26173.2564945629*((RANDBETWEEN(2979,3282)))</f>
        <v>79802259.051922306</v>
      </c>
      <c r="B543">
        <v>164439486.48540112</v>
      </c>
    </row>
    <row r="544" spans="1:2" x14ac:dyDescent="0.25">
      <c r="A544">
        <f ca="1">28585.9987443896*((RANDBETWEEN(2979,3282)))</f>
        <v>89731450.05863902</v>
      </c>
      <c r="B544">
        <v>160532055.98543</v>
      </c>
    </row>
    <row r="545" spans="1:2" x14ac:dyDescent="0.25">
      <c r="A545">
        <f ca="1">30158.179939246*((RANDBETWEEN(2979,3282)))</f>
        <v>95510955.867591962</v>
      </c>
      <c r="B545">
        <v>195549544.53895506</v>
      </c>
    </row>
    <row r="546" spans="1:2" x14ac:dyDescent="0.25">
      <c r="A546">
        <f ca="1">28118.3442120546*((RANDBETWEEN(2979,3282)))</f>
        <v>89022677.775364995</v>
      </c>
      <c r="B546">
        <v>156333278.19438511</v>
      </c>
    </row>
    <row r="547" spans="1:2" x14ac:dyDescent="0.25">
      <c r="A547">
        <f ca="1">28076.5746836156*((RANDBETWEEN(2979,3282)))</f>
        <v>86756615.772372216</v>
      </c>
      <c r="B547">
        <v>174049470.3863261</v>
      </c>
    </row>
    <row r="548" spans="1:2" x14ac:dyDescent="0.25">
      <c r="A548">
        <f ca="1">28118.1298750554*((RANDBETWEEN(2979,3282)))</f>
        <v>87194320.742546737</v>
      </c>
      <c r="B548">
        <v>201301529.21353471</v>
      </c>
    </row>
    <row r="549" spans="1:2" x14ac:dyDescent="0.25">
      <c r="A549">
        <f ca="1">31428.0624347306*((RANDBETWEEN(2979,3282)))</f>
        <v>97081284.860882968</v>
      </c>
      <c r="B549">
        <v>190331554.7782304</v>
      </c>
    </row>
    <row r="550" spans="1:2" x14ac:dyDescent="0.25">
      <c r="A550">
        <f ca="1">28702.957507107*((RANDBETWEEN(2979,3282)))</f>
        <v>87716238.141719088</v>
      </c>
      <c r="B550">
        <v>156323395.66561446</v>
      </c>
    </row>
    <row r="551" spans="1:2" x14ac:dyDescent="0.25">
      <c r="A551">
        <f ca="1">25895.1977284253*((RANDBETWEEN(2979,3282)))</f>
        <v>81362711.262712404</v>
      </c>
      <c r="B551">
        <v>148663952.28175709</v>
      </c>
    </row>
    <row r="552" spans="1:2" x14ac:dyDescent="0.25">
      <c r="A552">
        <f ca="1">28574.7810762197*((RANDBETWEEN(2979,3282)))</f>
        <v>93010912.403095096</v>
      </c>
      <c r="B552">
        <v>178135364.07170603</v>
      </c>
    </row>
    <row r="553" spans="1:2" x14ac:dyDescent="0.25">
      <c r="A553">
        <f ca="1">27862.1974714554*((RANDBETWEEN(2979,3282)))</f>
        <v>83586592.41436623</v>
      </c>
      <c r="B553">
        <v>180794763.91418564</v>
      </c>
    </row>
    <row r="554" spans="1:2" x14ac:dyDescent="0.25">
      <c r="A554">
        <f ca="1">31476.1258405871*((RANDBETWEEN(2979,3282)))</f>
        <v>97355657.224935934</v>
      </c>
      <c r="B554">
        <v>159705824.7338683</v>
      </c>
    </row>
    <row r="555" spans="1:2" x14ac:dyDescent="0.25">
      <c r="A555">
        <f ca="1">25244.1360000465*((RANDBETWEEN(2979,3282)))</f>
        <v>76944126.528141856</v>
      </c>
      <c r="B555">
        <v>155781395.78230321</v>
      </c>
    </row>
    <row r="556" spans="1:2" x14ac:dyDescent="0.25">
      <c r="A556">
        <f ca="1">29210.1178931884*((RANDBETWEEN(2979,3282)))</f>
        <v>88623497.687933892</v>
      </c>
      <c r="B556">
        <v>181115394.52329975</v>
      </c>
    </row>
    <row r="557" spans="1:2" x14ac:dyDescent="0.25">
      <c r="A557">
        <f ca="1">28600.285299711*((RANDBETWEEN(2979,3282)))</f>
        <v>93522932.930055067</v>
      </c>
      <c r="B557">
        <v>182553070.25207824</v>
      </c>
    </row>
    <row r="558" spans="1:2" x14ac:dyDescent="0.25">
      <c r="A558">
        <f ca="1">28226.5318983973*((RANDBETWEEN(2979,3282)))</f>
        <v>85554618.184042215</v>
      </c>
      <c r="B558">
        <v>184873035.13364694</v>
      </c>
    </row>
    <row r="559" spans="1:2" x14ac:dyDescent="0.25">
      <c r="A559">
        <f ca="1">29837.6134034344*((RANDBETWEEN(2979,3282)))</f>
        <v>90437806.225809634</v>
      </c>
      <c r="B559">
        <v>163303413.08933121</v>
      </c>
    </row>
    <row r="560" spans="1:2" x14ac:dyDescent="0.25">
      <c r="A560">
        <f ca="1">31200.1455869761*((RANDBETWEEN(2979,3282)))</f>
        <v>96158848.699060366</v>
      </c>
      <c r="B560">
        <v>179432272.73088568</v>
      </c>
    </row>
    <row r="561" spans="1:2" x14ac:dyDescent="0.25">
      <c r="A561">
        <f ca="1">25785.5475273584*((RANDBETWEEN(2979,3282)))</f>
        <v>84086670.486715883</v>
      </c>
      <c r="B561">
        <v>169154189.81981289</v>
      </c>
    </row>
    <row r="562" spans="1:2" x14ac:dyDescent="0.25">
      <c r="A562">
        <f ca="1">25667.2801911994*((RANDBETWEEN(2979,3282)))</f>
        <v>81904291.090117171</v>
      </c>
      <c r="B562">
        <v>150683372.35630146</v>
      </c>
    </row>
    <row r="563" spans="1:2" x14ac:dyDescent="0.25">
      <c r="A563">
        <f ca="1">33508.1567007447*((RANDBETWEEN(2979,3282)))</f>
        <v>103707744.98880489</v>
      </c>
      <c r="B563">
        <v>199843100.16954905</v>
      </c>
    </row>
    <row r="564" spans="1:2" x14ac:dyDescent="0.25">
      <c r="A564">
        <f ca="1">29181.2825809137*((RANDBETWEEN(2979,3282)))</f>
        <v>92913203.737629071</v>
      </c>
      <c r="B564">
        <v>167587116.02882883</v>
      </c>
    </row>
    <row r="565" spans="1:2" x14ac:dyDescent="0.25">
      <c r="A565">
        <f ca="1">34023.2747855997*((RANDBETWEEN(2979,3282)))</f>
        <v>104689616.51529041</v>
      </c>
      <c r="B565">
        <v>179462781.54926285</v>
      </c>
    </row>
    <row r="566" spans="1:2" x14ac:dyDescent="0.25">
      <c r="A566">
        <f ca="1">27932.7655005075*((RANDBETWEEN(2979,3282)))</f>
        <v>90530092.987144873</v>
      </c>
      <c r="B566">
        <v>170449952.28909829</v>
      </c>
    </row>
    <row r="567" spans="1:2" x14ac:dyDescent="0.25">
      <c r="A567">
        <f ca="1">26797.4487977511*((RANDBETWEEN(2979,3282)))</f>
        <v>81008687.715601563</v>
      </c>
      <c r="B567">
        <v>174471248.42012703</v>
      </c>
    </row>
    <row r="568" spans="1:2" x14ac:dyDescent="0.25">
      <c r="A568">
        <f ca="1">26680.1067493523*((RANDBETWEEN(2979,3282)))</f>
        <v>87297309.283880696</v>
      </c>
      <c r="B568">
        <v>169354199.67635792</v>
      </c>
    </row>
    <row r="569" spans="1:2" x14ac:dyDescent="0.25">
      <c r="A569">
        <f ca="1">28760.7772370818*((RANDBETWEEN(2979,3282)))</f>
        <v>89100887.880479261</v>
      </c>
      <c r="B569">
        <v>180566564.61084038</v>
      </c>
    </row>
    <row r="570" spans="1:2" x14ac:dyDescent="0.25">
      <c r="A570">
        <f ca="1">26631.2522475272*((RANDBETWEEN(2979,3282)))</f>
        <v>84394438.372413769</v>
      </c>
      <c r="B570">
        <v>184350067.99919105</v>
      </c>
    </row>
    <row r="571" spans="1:2" x14ac:dyDescent="0.25">
      <c r="A571">
        <f ca="1">29675.9869988197*((RANDBETWEEN(2979,3282)))</f>
        <v>96684365.642154559</v>
      </c>
      <c r="B571">
        <v>144274215.24420145</v>
      </c>
    </row>
    <row r="572" spans="1:2" x14ac:dyDescent="0.25">
      <c r="A572">
        <f ca="1">26823.1539513406*((RANDBETWEEN(2979,3282)))</f>
        <v>80657223.931681067</v>
      </c>
      <c r="B572">
        <v>145175399.00056672</v>
      </c>
    </row>
    <row r="573" spans="1:2" x14ac:dyDescent="0.25">
      <c r="A573">
        <f ca="1">27798.9860321692*((RANDBETWEEN(2979,3282)))</f>
        <v>83091169.250153601</v>
      </c>
      <c r="B573">
        <v>145328967.73164815</v>
      </c>
    </row>
    <row r="574" spans="1:2" x14ac:dyDescent="0.25">
      <c r="A574">
        <f ca="1">26910.2624863438*((RANDBETWEEN(2979,3282)))</f>
        <v>84417493.41966036</v>
      </c>
      <c r="B574">
        <v>164080629.40425959</v>
      </c>
    </row>
    <row r="575" spans="1:2" x14ac:dyDescent="0.25">
      <c r="A575">
        <f ca="1">27043.7920416338*((RANDBETWEEN(2979,3282)))</f>
        <v>88162762.0557262</v>
      </c>
      <c r="B575">
        <v>144639260.82786402</v>
      </c>
    </row>
    <row r="576" spans="1:2" x14ac:dyDescent="0.25">
      <c r="A576">
        <f ca="1">29012.3752106503*((RANDBETWEEN(2979,3282)))</f>
        <v>94232194.684192255</v>
      </c>
      <c r="B576">
        <v>164401335.81613427</v>
      </c>
    </row>
    <row r="577" spans="1:2" x14ac:dyDescent="0.25">
      <c r="A577">
        <f ca="1">27671.0765163212*((RANDBETWEEN(2979,3282)))</f>
        <v>83732677.538388044</v>
      </c>
      <c r="B577">
        <v>157898501.81252232</v>
      </c>
    </row>
    <row r="578" spans="1:2" x14ac:dyDescent="0.25">
      <c r="A578">
        <f ca="1">26635.4381252355*((RANDBETWEEN(2979,3282)))</f>
        <v>85553027.258256376</v>
      </c>
      <c r="B578">
        <v>172762631.10599789</v>
      </c>
    </row>
    <row r="579" spans="1:2" x14ac:dyDescent="0.25">
      <c r="A579">
        <f ca="1">25088.8891685103*((RANDBETWEEN(2979,3282)))</f>
        <v>76345489.739776745</v>
      </c>
      <c r="B579">
        <v>146861203.32435864</v>
      </c>
    </row>
    <row r="580" spans="1:2" x14ac:dyDescent="0.25">
      <c r="A580">
        <f ca="1">26780.393296194*((RANDBETWEEN(2979,3282)))</f>
        <v>87866470.4048125</v>
      </c>
      <c r="B580">
        <v>145070093.76721752</v>
      </c>
    </row>
    <row r="581" spans="1:2" x14ac:dyDescent="0.25">
      <c r="A581">
        <f ca="1">26421.9449670043*((RANDBETWEEN(2979,3282)))</f>
        <v>83625455.820568621</v>
      </c>
      <c r="B581">
        <v>196797787.04935589</v>
      </c>
    </row>
    <row r="582" spans="1:2" x14ac:dyDescent="0.25">
      <c r="A582">
        <f ca="1">27758.6862248834*((RANDBETWEEN(2979,3282)))</f>
        <v>86329514.159387469</v>
      </c>
      <c r="B582">
        <v>170438749.32792813</v>
      </c>
    </row>
    <row r="583" spans="1:2" x14ac:dyDescent="0.25">
      <c r="A583">
        <f ca="1">30643.1939816143*((RANDBETWEEN(2979,3282)))</f>
        <v>94656826.209206626</v>
      </c>
      <c r="B583">
        <v>154347466.26891312</v>
      </c>
    </row>
    <row r="584" spans="1:2" x14ac:dyDescent="0.25">
      <c r="A584">
        <f ca="1">25663.3275344411*((RANDBETWEEN(2979,3282)))</f>
        <v>78119169.014838785</v>
      </c>
      <c r="B584">
        <v>161614086.35953239</v>
      </c>
    </row>
    <row r="585" spans="1:2" x14ac:dyDescent="0.25">
      <c r="A585">
        <f ca="1">27578.3442528784*((RANDBETWEEN(2979,3282)))</f>
        <v>82983237.856911197</v>
      </c>
      <c r="B585">
        <v>177620791.51197228</v>
      </c>
    </row>
    <row r="586" spans="1:2" x14ac:dyDescent="0.25">
      <c r="A586">
        <f ca="1">27703.255160717*((RANDBETWEEN(2979,3282)))</f>
        <v>82638810.144418895</v>
      </c>
      <c r="B586">
        <v>158831300.01878187</v>
      </c>
    </row>
    <row r="587" spans="1:2" x14ac:dyDescent="0.25">
      <c r="A587">
        <f ca="1">29188.4340511142*((RANDBETWEEN(2979,3282)))</f>
        <v>90834406.767067373</v>
      </c>
      <c r="B587">
        <v>171789371.02252203</v>
      </c>
    </row>
    <row r="588" spans="1:2" x14ac:dyDescent="0.25">
      <c r="A588">
        <f ca="1">27780.9859508791*((RANDBETWEEN(2979,3282)))</f>
        <v>89426993.775879726</v>
      </c>
      <c r="B588">
        <v>192435175.48307043</v>
      </c>
    </row>
    <row r="589" spans="1:2" x14ac:dyDescent="0.25">
      <c r="A589">
        <f ca="1">26931.8659022828*((RANDBETWEEN(2979,3282)))</f>
        <v>88390383.891292274</v>
      </c>
      <c r="B589">
        <v>148675078.84629351</v>
      </c>
    </row>
    <row r="590" spans="1:2" x14ac:dyDescent="0.25">
      <c r="A590">
        <f ca="1">27350.3210469994*((RANDBETWEEN(2979,3282)))</f>
        <v>86427014.50851801</v>
      </c>
      <c r="B590">
        <v>186319764.16324562</v>
      </c>
    </row>
    <row r="591" spans="1:2" x14ac:dyDescent="0.25">
      <c r="A591">
        <f ca="1">27852.5151751209*((RANDBETWEEN(2979,3282)))</f>
        <v>83139757.797735795</v>
      </c>
      <c r="B591">
        <v>167732537.83654222</v>
      </c>
    </row>
    <row r="592" spans="1:2" x14ac:dyDescent="0.25">
      <c r="A592">
        <f ca="1">27920.066275215*((RANDBETWEEN(2979,3282)))</f>
        <v>87278127.176322103</v>
      </c>
      <c r="B592">
        <v>186112537.43948275</v>
      </c>
    </row>
    <row r="593" spans="1:2" x14ac:dyDescent="0.25">
      <c r="A593">
        <f ca="1">27672.8317706194*((RANDBETWEEN(2979,3282)))</f>
        <v>85536723.002984628</v>
      </c>
      <c r="B593">
        <v>150314798.90552396</v>
      </c>
    </row>
    <row r="594" spans="1:2" x14ac:dyDescent="0.25">
      <c r="A594">
        <f ca="1">26390.4649176988*((RANDBETWEEN(2979,3282)))</f>
        <v>85716230.052685633</v>
      </c>
      <c r="B594">
        <v>185413605.45105827</v>
      </c>
    </row>
    <row r="595" spans="1:2" x14ac:dyDescent="0.25">
      <c r="A595">
        <f ca="1">33241.0587167688*((RANDBETWEEN(2979,3282)))</f>
        <v>105540361.42574115</v>
      </c>
      <c r="B595">
        <v>191881260.4105587</v>
      </c>
    </row>
    <row r="596" spans="1:2" x14ac:dyDescent="0.25">
      <c r="A596">
        <f ca="1">27842.0137876792*((RANDBETWEEN(2979,3282)))</f>
        <v>90403018.768594474</v>
      </c>
      <c r="B596">
        <v>188641005.42171043</v>
      </c>
    </row>
    <row r="597" spans="1:2" x14ac:dyDescent="0.25">
      <c r="A597">
        <f ca="1">30843.875083446*((RANDBETWEEN(2979,3282)))</f>
        <v>98607868.641776845</v>
      </c>
      <c r="B597">
        <v>158911330.09132287</v>
      </c>
    </row>
    <row r="598" spans="1:2" x14ac:dyDescent="0.25">
      <c r="A598">
        <f ca="1">28422.9081137221*((RANDBETWEEN(2979,3282)))</f>
        <v>85211878.524938837</v>
      </c>
      <c r="B598">
        <v>153876828.99813309</v>
      </c>
    </row>
    <row r="599" spans="1:2" x14ac:dyDescent="0.25">
      <c r="A599">
        <f ca="1">27547.4051492398*((RANDBETWEEN(2979,3282)))</f>
        <v>83193163.550704077</v>
      </c>
      <c r="B599">
        <v>200251592.12571231</v>
      </c>
    </row>
    <row r="600" spans="1:2" x14ac:dyDescent="0.25">
      <c r="A600">
        <f ca="1">28933.4370868837*((RANDBETWEEN(2979,3282)))</f>
        <v>92818466.174722955</v>
      </c>
      <c r="B600">
        <v>192782572.72720838</v>
      </c>
    </row>
    <row r="601" spans="1:2" x14ac:dyDescent="0.25">
      <c r="A601">
        <f ca="1">27614.0722361734*((RANDBETWEEN(2979,3282)))</f>
        <v>88033662.288920805</v>
      </c>
      <c r="B601">
        <v>148520780.28555745</v>
      </c>
    </row>
    <row r="602" spans="1:2" x14ac:dyDescent="0.25">
      <c r="A602">
        <f ca="1">27453.2544415972*((RANDBETWEEN(2979,3282)))</f>
        <v>83650066.283546552</v>
      </c>
      <c r="B602">
        <v>197328106.40995669</v>
      </c>
    </row>
    <row r="603" spans="1:2" x14ac:dyDescent="0.25">
      <c r="A603">
        <f ca="1">29014.1568835787*((RANDBETWEEN(2979,3282)))</f>
        <v>86578244.140598789</v>
      </c>
      <c r="B603">
        <v>194381862.13331226</v>
      </c>
    </row>
    <row r="604" spans="1:2" x14ac:dyDescent="0.25">
      <c r="A604">
        <f ca="1">33878.7483177845*((RANDBETWEEN(2979,3282)))</f>
        <v>101602366.20503573</v>
      </c>
      <c r="B604">
        <v>194218829.38154864</v>
      </c>
    </row>
    <row r="605" spans="1:2" x14ac:dyDescent="0.25">
      <c r="A605">
        <f ca="1">31446.7759613656*((RANDBETWEEN(2979,3282)))</f>
        <v>98994450.726378977</v>
      </c>
      <c r="B605">
        <v>166478951.81364191</v>
      </c>
    </row>
    <row r="606" spans="1:2" x14ac:dyDescent="0.25">
      <c r="A606">
        <f ca="1">28787.607286861*((RANDBETWEEN(2979,3282)))</f>
        <v>86103733.395001113</v>
      </c>
      <c r="B606">
        <v>181593798.51185507</v>
      </c>
    </row>
    <row r="607" spans="1:2" x14ac:dyDescent="0.25">
      <c r="A607">
        <f ca="1">28136.7749359713*((RANDBETWEEN(2979,3282)))</f>
        <v>84438461.582849741</v>
      </c>
      <c r="B607">
        <v>202989488.2575542</v>
      </c>
    </row>
    <row r="608" spans="1:2" x14ac:dyDescent="0.25">
      <c r="A608">
        <f ca="1">29930.8734853018*((RANDBETWEEN(2979,3282)))</f>
        <v>89463380.847567216</v>
      </c>
      <c r="B608">
        <v>188971853.69368008</v>
      </c>
    </row>
    <row r="609" spans="1:2" x14ac:dyDescent="0.25">
      <c r="A609">
        <f ca="1">27216.0477608491*((RANDBETWEEN(2979,3282)))</f>
        <v>83498834.530285016</v>
      </c>
      <c r="B609">
        <v>145327700.98411518</v>
      </c>
    </row>
    <row r="610" spans="1:2" x14ac:dyDescent="0.25">
      <c r="A610">
        <f ca="1">29877.8347295895*((RANDBETWEEN(2979,3282)))</f>
        <v>97312107.714272991</v>
      </c>
      <c r="B610">
        <v>171530200.55221468</v>
      </c>
    </row>
    <row r="611" spans="1:2" x14ac:dyDescent="0.25">
      <c r="A611">
        <f ca="1">26763.4736516311*((RANDBETWEEN(2979,3282)))</f>
        <v>80558055.691409767</v>
      </c>
      <c r="B611">
        <v>159588007.55168468</v>
      </c>
    </row>
    <row r="612" spans="1:2" x14ac:dyDescent="0.25">
      <c r="A612">
        <f ca="1">29307.195903357*((RANDBETWEEN(2979,3282)))</f>
        <v>87775051.730554238</v>
      </c>
      <c r="B612">
        <v>154370871.6127359</v>
      </c>
    </row>
    <row r="613" spans="1:2" x14ac:dyDescent="0.25">
      <c r="A613">
        <f ca="1">28787.8333299947*((RANDBETWEEN(2979,3282)))</f>
        <v>94337729.822392672</v>
      </c>
      <c r="B613">
        <v>163833167.98009995</v>
      </c>
    </row>
    <row r="614" spans="1:2" x14ac:dyDescent="0.25">
      <c r="A614">
        <f ca="1">30911.8575770255*((RANDBETWEEN(2979,3282)))</f>
        <v>94744843.473583311</v>
      </c>
      <c r="B614">
        <v>185135820.83344561</v>
      </c>
    </row>
    <row r="615" spans="1:2" x14ac:dyDescent="0.25">
      <c r="A615">
        <f ca="1">32900.9701132317*((RANDBETWEEN(2979,3282)))</f>
        <v>107421667.41970138</v>
      </c>
      <c r="B615">
        <v>196887465.32205898</v>
      </c>
    </row>
    <row r="616" spans="1:2" x14ac:dyDescent="0.25">
      <c r="A616">
        <f ca="1">27767.8251008047*((RANDBETWEEN(2979,3282)))</f>
        <v>84386420.48134543</v>
      </c>
      <c r="B616">
        <v>171500880.40475866</v>
      </c>
    </row>
    <row r="617" spans="1:2" x14ac:dyDescent="0.25">
      <c r="A617">
        <f ca="1">27110.5172377408*((RANDBETWEEN(2979,3282)))</f>
        <v>81439993.782173276</v>
      </c>
      <c r="B617">
        <v>158441512.94693473</v>
      </c>
    </row>
    <row r="618" spans="1:2" x14ac:dyDescent="0.25">
      <c r="A618">
        <f ca="1">28951.4485391238*((RANDBETWEEN(2979,3282)))</f>
        <v>93107858.501822144</v>
      </c>
      <c r="B618">
        <v>178642304.82944328</v>
      </c>
    </row>
    <row r="619" spans="1:2" x14ac:dyDescent="0.25">
      <c r="A619">
        <f ca="1">26254.6369202549*((RANDBETWEEN(2979,3282)))</f>
        <v>82019485.738876283</v>
      </c>
      <c r="B619">
        <v>144736409.99325144</v>
      </c>
    </row>
    <row r="620" spans="1:2" x14ac:dyDescent="0.25">
      <c r="A620">
        <f ca="1">25378.1456068422*((RANDBETWEEN(2979,3282)))</f>
        <v>81514603.689177051</v>
      </c>
      <c r="B620">
        <v>147600905.47936976</v>
      </c>
    </row>
    <row r="621" spans="1:2" x14ac:dyDescent="0.25">
      <c r="A621">
        <f ca="1">26143.8782016176*((RANDBETWEEN(2979,3282)))</f>
        <v>79634253.002127185</v>
      </c>
      <c r="B621">
        <v>203574499.04952979</v>
      </c>
    </row>
    <row r="622" spans="1:2" x14ac:dyDescent="0.25">
      <c r="A622">
        <f ca="1">27675.6689834776*((RANDBETWEEN(2979,3282)))</f>
        <v>85075006.455210194</v>
      </c>
      <c r="B622">
        <v>171099225.64609954</v>
      </c>
    </row>
    <row r="623" spans="1:2" x14ac:dyDescent="0.25">
      <c r="A623">
        <f ca="1">25504.2286619413*((RANDBETWEEN(2979,3282)))</f>
        <v>79675210.339904621</v>
      </c>
      <c r="B623">
        <v>144978196.01957032</v>
      </c>
    </row>
    <row r="624" spans="1:2" x14ac:dyDescent="0.25">
      <c r="A624">
        <f ca="1">26332.5451697761*((RANDBETWEEN(2979,3282)))</f>
        <v>78786975.147970065</v>
      </c>
      <c r="B624">
        <v>174925004.6787377</v>
      </c>
    </row>
    <row r="625" spans="1:2" x14ac:dyDescent="0.25">
      <c r="A625">
        <f ca="1">27198.2277733106*((RANDBETWEEN(2979,3282)))</f>
        <v>81213908.131105453</v>
      </c>
      <c r="B625">
        <v>157636914.22419453</v>
      </c>
    </row>
    <row r="626" spans="1:2" x14ac:dyDescent="0.25">
      <c r="A626">
        <f ca="1">28019.7766506636*((RANDBETWEEN(2979,3282)))</f>
        <v>85348239.677921623</v>
      </c>
      <c r="B626">
        <v>172060275.15952712</v>
      </c>
    </row>
    <row r="627" spans="1:2" x14ac:dyDescent="0.25">
      <c r="A627">
        <f ca="1">26322.6376189183*((RANDBETWEEN(2979,3282)))</f>
        <v>83969214.004349336</v>
      </c>
      <c r="B627">
        <v>155068919.70464998</v>
      </c>
    </row>
    <row r="628" spans="1:2" x14ac:dyDescent="0.25">
      <c r="A628">
        <f ca="1">25965.8947014007*((RANDBETWEEN(2979,3282)))</f>
        <v>78702626.839945525</v>
      </c>
      <c r="B628">
        <v>148550060.19388098</v>
      </c>
    </row>
    <row r="629" spans="1:2" x14ac:dyDescent="0.25">
      <c r="A629">
        <f ca="1">27410.9630984999*((RANDBETWEEN(2979,3282)))</f>
        <v>85933369.313797221</v>
      </c>
      <c r="B629">
        <v>149966675.12200192</v>
      </c>
    </row>
    <row r="630" spans="1:2" x14ac:dyDescent="0.25">
      <c r="A630">
        <f ca="1">28697.3411162384*((RANDBETWEEN(2979,3282)))</f>
        <v>90769689.950662151</v>
      </c>
      <c r="B630">
        <v>178638190.47150695</v>
      </c>
    </row>
    <row r="631" spans="1:2" x14ac:dyDescent="0.25">
      <c r="A631">
        <f ca="1">30751.059082756*((RANDBETWEEN(2979,3282)))</f>
        <v>94498004.561309233</v>
      </c>
      <c r="B631">
        <v>202949228.86021006</v>
      </c>
    </row>
    <row r="632" spans="1:2" x14ac:dyDescent="0.25">
      <c r="A632">
        <f ca="1">29134.3412514513*((RANDBETWEEN(2979,3282)))</f>
        <v>95298430.233497322</v>
      </c>
      <c r="B632">
        <v>176890193.46847427</v>
      </c>
    </row>
    <row r="633" spans="1:2" x14ac:dyDescent="0.25">
      <c r="A633">
        <f ca="1">25669.3698744514*((RANDBETWEEN(2979,3282)))</f>
        <v>78907642.994063511</v>
      </c>
      <c r="B633">
        <v>183704774.63706371</v>
      </c>
    </row>
    <row r="634" spans="1:2" x14ac:dyDescent="0.25">
      <c r="A634">
        <f ca="1">27671.7392677086*((RANDBETWEEN(2979,3282)))</f>
        <v>89573420.009572804</v>
      </c>
      <c r="B634">
        <v>165483730.65343735</v>
      </c>
    </row>
    <row r="635" spans="1:2" x14ac:dyDescent="0.25">
      <c r="A635">
        <f ca="1">28266.9280790341*((RANDBETWEEN(2979,3282)))</f>
        <v>86270664.497212216</v>
      </c>
      <c r="B635">
        <v>150662818.17496255</v>
      </c>
    </row>
    <row r="636" spans="1:2" x14ac:dyDescent="0.25">
      <c r="A636">
        <f ca="1">28229.4348632588*((RANDBETWEEN(2979,3282)))</f>
        <v>88358131.121999934</v>
      </c>
      <c r="B636">
        <v>147946195.04835117</v>
      </c>
    </row>
    <row r="637" spans="1:2" x14ac:dyDescent="0.25">
      <c r="A637">
        <f ca="1">26785.1892869182*((RANDBETWEEN(2979,3282)))</f>
        <v>80060930.778598532</v>
      </c>
      <c r="B637">
        <v>147371945.32447457</v>
      </c>
    </row>
    <row r="638" spans="1:2" x14ac:dyDescent="0.25">
      <c r="A638">
        <f ca="1">26842.2349924478*((RANDBETWEEN(2979,3282)))</f>
        <v>85948836.445818007</v>
      </c>
      <c r="B638">
        <v>152650247.61402422</v>
      </c>
    </row>
    <row r="639" spans="1:2" x14ac:dyDescent="0.25">
      <c r="A639">
        <f ca="1">31063.8505881509*((RANDBETWEEN(2979,3282)))</f>
        <v>93533254.120922402</v>
      </c>
      <c r="B639">
        <v>194991517.53023019</v>
      </c>
    </row>
    <row r="640" spans="1:2" x14ac:dyDescent="0.25">
      <c r="A640">
        <f ca="1">25492.7206429792*((RANDBETWEEN(2979,3282)))</f>
        <v>83233732.899327025</v>
      </c>
      <c r="B640">
        <v>168035868.96700096</v>
      </c>
    </row>
    <row r="641" spans="1:2" x14ac:dyDescent="0.25">
      <c r="A641">
        <f ca="1">26388.2703607345*((RANDBETWEEN(2979,3282)))</f>
        <v>80167565.355911285</v>
      </c>
      <c r="B641">
        <v>156746506.25638402</v>
      </c>
    </row>
    <row r="642" spans="1:2" x14ac:dyDescent="0.25">
      <c r="A642">
        <f ca="1">25371.9259760178*((RANDBETWEEN(2979,3282)))</f>
        <v>77308258.44892624</v>
      </c>
      <c r="B642">
        <v>184943708.89849156</v>
      </c>
    </row>
    <row r="643" spans="1:2" x14ac:dyDescent="0.25">
      <c r="A643">
        <f ca="1">25926.531884901*((RANDBETWEEN(2979,3282)))</f>
        <v>80631514.162042156</v>
      </c>
      <c r="B643">
        <v>157377993.36083135</v>
      </c>
    </row>
    <row r="644" spans="1:2" x14ac:dyDescent="0.25">
      <c r="A644">
        <f ca="1">25799.6238465998*((RANDBETWEEN(2979,3282)))</f>
        <v>78843650.475209072</v>
      </c>
      <c r="B644">
        <v>150300555.42657849</v>
      </c>
    </row>
    <row r="645" spans="1:2" x14ac:dyDescent="0.25">
      <c r="A645">
        <f ca="1">27511.3701606534*((RANDBETWEEN(2979,3282)))</f>
        <v>88283986.845536828</v>
      </c>
      <c r="B645">
        <v>160709044.29460409</v>
      </c>
    </row>
    <row r="646" spans="1:2" x14ac:dyDescent="0.25">
      <c r="A646">
        <f ca="1">32430.4643275249*((RANDBETWEEN(2979,3282)))</f>
        <v>98912916.198950872</v>
      </c>
      <c r="B646">
        <v>174745251.46892276</v>
      </c>
    </row>
    <row r="647" spans="1:2" x14ac:dyDescent="0.25">
      <c r="A647">
        <f ca="1">27466.3476473954*((RANDBETWEEN(2979,3282)))</f>
        <v>85337942.140457407</v>
      </c>
      <c r="B647">
        <v>148804873.68151829</v>
      </c>
    </row>
    <row r="648" spans="1:2" x14ac:dyDescent="0.25">
      <c r="A648">
        <f ca="1">29541.2167669074*((RANDBETWEEN(2979,3282)))</f>
        <v>95240882.856509313</v>
      </c>
      <c r="B648">
        <v>187997182.10124326</v>
      </c>
    </row>
    <row r="649" spans="1:2" x14ac:dyDescent="0.25">
      <c r="A649">
        <f ca="1">26835.1398616727*((RANDBETWEEN(2979,3282)))</f>
        <v>83242603.850908592</v>
      </c>
      <c r="B649">
        <v>146413453.66099453</v>
      </c>
    </row>
    <row r="650" spans="1:2" x14ac:dyDescent="0.25">
      <c r="A650">
        <f ca="1">29625.9128958137*((RANDBETWEEN(2979,3282)))</f>
        <v>92817985.102584243</v>
      </c>
      <c r="B650">
        <v>193907730.3407014</v>
      </c>
    </row>
    <row r="651" spans="1:2" x14ac:dyDescent="0.25">
      <c r="A651">
        <f ca="1">27919.1419931858*((RANDBETWEEN(2979,3282)))</f>
        <v>83561991.985605195</v>
      </c>
      <c r="B651">
        <v>203368437.85742623</v>
      </c>
    </row>
    <row r="652" spans="1:2" x14ac:dyDescent="0.25">
      <c r="A652">
        <f ca="1">26565.5228471841*((RANDBETWEEN(2979,3282)))</f>
        <v>79882527.201482475</v>
      </c>
      <c r="B652">
        <v>154885904.40041825</v>
      </c>
    </row>
    <row r="653" spans="1:2" x14ac:dyDescent="0.25">
      <c r="A653">
        <f ca="1">29617.2117149381*((RANDBETWEEN(2979,3282)))</f>
        <v>96996368.36642231</v>
      </c>
      <c r="B653">
        <v>149903608.50134766</v>
      </c>
    </row>
    <row r="654" spans="1:2" x14ac:dyDescent="0.25">
      <c r="A654">
        <f ca="1">27017.702119214*((RANDBETWEEN(2979,3282)))</f>
        <v>84484354.526782304</v>
      </c>
      <c r="B654">
        <v>166918456.36405104</v>
      </c>
    </row>
    <row r="655" spans="1:2" x14ac:dyDescent="0.25">
      <c r="A655">
        <f ca="1">25411.3343849153*((RANDBETWEEN(2979,3282)))</f>
        <v>79664533.296709552</v>
      </c>
      <c r="B655">
        <v>147293392.31801164</v>
      </c>
    </row>
    <row r="656" spans="1:2" x14ac:dyDescent="0.25">
      <c r="A656">
        <f ca="1">31508.1060151013*((RANDBETWEEN(2979,3282)))</f>
        <v>101802690.53479232</v>
      </c>
      <c r="B656">
        <v>176761720.22185037</v>
      </c>
    </row>
    <row r="657" spans="1:2" x14ac:dyDescent="0.25">
      <c r="A657">
        <f ca="1">29665.7121238417*((RANDBETWEEN(2979,3282)))</f>
        <v>91578053.326299176</v>
      </c>
      <c r="B657">
        <v>191825705.76349151</v>
      </c>
    </row>
    <row r="658" spans="1:2" x14ac:dyDescent="0.25">
      <c r="A658">
        <f ca="1">28564.3172823964*((RANDBETWEEN(2979,3282)))</f>
        <v>90977350.544432536</v>
      </c>
      <c r="B658">
        <v>143478567.34717041</v>
      </c>
    </row>
    <row r="659" spans="1:2" x14ac:dyDescent="0.25">
      <c r="A659">
        <f ca="1">26554.7382033938*((RANDBETWEEN(2979,3282)))</f>
        <v>80567075.709096923</v>
      </c>
      <c r="B659">
        <v>157229594.38677448</v>
      </c>
    </row>
    <row r="660" spans="1:2" x14ac:dyDescent="0.25">
      <c r="A660">
        <f ca="1">29635.0968377211*((RANDBETWEEN(2979,3282)))</f>
        <v>96640050.787808448</v>
      </c>
      <c r="B660">
        <v>178960163.40475968</v>
      </c>
    </row>
    <row r="661" spans="1:2" x14ac:dyDescent="0.25">
      <c r="A661">
        <f ca="1">26715.7092998289*((RANDBETWEEN(2979,3282)))</f>
        <v>85089534.119954959</v>
      </c>
      <c r="B661">
        <v>163643944.41260082</v>
      </c>
    </row>
    <row r="662" spans="1:2" x14ac:dyDescent="0.25">
      <c r="A662">
        <f ca="1">27212.7401490136*((RANDBETWEEN(2979,3282)))</f>
        <v>86128322.571627945</v>
      </c>
      <c r="B662">
        <v>146456434.03297514</v>
      </c>
    </row>
    <row r="663" spans="1:2" x14ac:dyDescent="0.25">
      <c r="A663">
        <f ca="1">29679.9028514432*((RANDBETWEEN(2979,3282)))</f>
        <v>90968902.23967348</v>
      </c>
      <c r="B663">
        <v>181628844.68114254</v>
      </c>
    </row>
    <row r="664" spans="1:2" x14ac:dyDescent="0.25">
      <c r="A664">
        <f ca="1">27058.226367582*((RANDBETWEEN(2979,3282)))</f>
        <v>83447570.117622927</v>
      </c>
      <c r="B664">
        <v>171769343.00017524</v>
      </c>
    </row>
    <row r="665" spans="1:2" x14ac:dyDescent="0.25">
      <c r="A665">
        <f ca="1">26663.4356023782*((RANDBETWEEN(2979,3282)))</f>
        <v>85376320.798815116</v>
      </c>
      <c r="B665">
        <v>154150305.45588264</v>
      </c>
    </row>
    <row r="666" spans="1:2" x14ac:dyDescent="0.25">
      <c r="A666">
        <f ca="1">27382.1025203535*((RANDBETWEEN(2979,3282)))</f>
        <v>84336875.762688771</v>
      </c>
      <c r="B666">
        <v>151234169.47270596</v>
      </c>
    </row>
    <row r="667" spans="1:2" x14ac:dyDescent="0.25">
      <c r="A667">
        <f ca="1">26670.328284041*((RANDBETWEEN(2979,3282)))</f>
        <v>86331852.655440703</v>
      </c>
      <c r="B667">
        <v>150446619.11466685</v>
      </c>
    </row>
    <row r="668" spans="1:2" x14ac:dyDescent="0.25">
      <c r="A668">
        <f ca="1">26030.7841330691*((RANDBETWEEN(2979,3282)))</f>
        <v>80825584.73317942</v>
      </c>
      <c r="B668">
        <v>144509777.01545328</v>
      </c>
    </row>
    <row r="669" spans="1:2" x14ac:dyDescent="0.25">
      <c r="A669">
        <f ca="1">26279.9617171019*((RANDBETWEEN(2979,3282)))</f>
        <v>85488715.465732411</v>
      </c>
      <c r="B669">
        <v>167377469.33940676</v>
      </c>
    </row>
    <row r="670" spans="1:2" x14ac:dyDescent="0.25">
      <c r="A670">
        <f ca="1">27826.3341613883*((RANDBETWEEN(2979,3282)))</f>
        <v>85009450.863041326</v>
      </c>
      <c r="B670">
        <v>171559741.12157515</v>
      </c>
    </row>
    <row r="671" spans="1:2" x14ac:dyDescent="0.25">
      <c r="A671">
        <f ca="1">26655.7715421475*((RANDBETWEEN(2979,3282)))</f>
        <v>79647445.367936701</v>
      </c>
      <c r="B671">
        <v>176803157.82826602</v>
      </c>
    </row>
    <row r="672" spans="1:2" x14ac:dyDescent="0.25">
      <c r="A672">
        <f ca="1">27098.4974090559*((RANDBETWEEN(2979,3282)))</f>
        <v>82189742.641666666</v>
      </c>
      <c r="B672">
        <v>168265649.47172955</v>
      </c>
    </row>
    <row r="673" spans="1:2" x14ac:dyDescent="0.25">
      <c r="A673">
        <f ca="1">27516.196674825*((RANDBETWEEN(2979,3282)))</f>
        <v>81970749.894303769</v>
      </c>
      <c r="B673">
        <v>148825327.06692371</v>
      </c>
    </row>
    <row r="674" spans="1:2" x14ac:dyDescent="0.25">
      <c r="A674">
        <f ca="1">27403.9390139583*((RANDBETWEEN(2979,3282)))</f>
        <v>83170954.907363385</v>
      </c>
      <c r="B674">
        <v>188452394.00205868</v>
      </c>
    </row>
    <row r="675" spans="1:2" x14ac:dyDescent="0.25">
      <c r="A675">
        <f ca="1">26154.068578565*((RANDBETWEEN(2979,3282)))</f>
        <v>85183801.360386357</v>
      </c>
      <c r="B675">
        <v>185953226.40395057</v>
      </c>
    </row>
    <row r="676" spans="1:2" x14ac:dyDescent="0.25">
      <c r="A676">
        <f ca="1">29657.7803912594*((RANDBETWEEN(2979,3282)))</f>
        <v>96743679.636288315</v>
      </c>
      <c r="B676">
        <v>152841741.51239741</v>
      </c>
    </row>
    <row r="677" spans="1:2" x14ac:dyDescent="0.25">
      <c r="A677">
        <f ca="1">27054.0189333657*((RANDBETWEEN(2979,3282)))</f>
        <v>84895511.412901491</v>
      </c>
      <c r="B677">
        <v>193679776.58270335</v>
      </c>
    </row>
    <row r="678" spans="1:2" x14ac:dyDescent="0.25">
      <c r="A678">
        <f ca="1">32027.1877106396*((RANDBETWEEN(2979,3282)))</f>
        <v>102647136.61259988</v>
      </c>
      <c r="B678">
        <v>199212174.66802603</v>
      </c>
    </row>
    <row r="679" spans="1:2" x14ac:dyDescent="0.25">
      <c r="A679">
        <f ca="1">26453.6162860616*((RANDBETWEEN(2979,3282)))</f>
        <v>86820768.650854036</v>
      </c>
      <c r="B679">
        <v>178004320.05807662</v>
      </c>
    </row>
    <row r="680" spans="1:2" x14ac:dyDescent="0.25">
      <c r="A680">
        <f ca="1">26651.6271667556*((RANDBETWEEN(2979,3282)))</f>
        <v>82033708.419273674</v>
      </c>
      <c r="B680">
        <v>155711097.87578148</v>
      </c>
    </row>
    <row r="681" spans="1:2" x14ac:dyDescent="0.25">
      <c r="A681">
        <f ca="1">30061.9862181267*((RANDBETWEEN(2979,3282)))</f>
        <v>89795152.833544478</v>
      </c>
      <c r="B681">
        <v>198484701.20906448</v>
      </c>
    </row>
    <row r="682" spans="1:2" x14ac:dyDescent="0.25">
      <c r="A682">
        <f ca="1">26105.1811978213*((RANDBETWEEN(2979,3282)))</f>
        <v>84371945.631358564</v>
      </c>
      <c r="B682">
        <v>156037548.40734595</v>
      </c>
    </row>
    <row r="683" spans="1:2" x14ac:dyDescent="0.25">
      <c r="A683">
        <f ca="1">32588.2513890633*((RANDBETWEEN(2979,3282)))</f>
        <v>97960283.67552422</v>
      </c>
      <c r="B683">
        <v>201650378.95538226</v>
      </c>
    </row>
    <row r="684" spans="1:2" x14ac:dyDescent="0.25">
      <c r="A684">
        <f ca="1">27930.3076548759*((RANDBETWEEN(2979,3282)))</f>
        <v>90801430.18600142</v>
      </c>
      <c r="B684">
        <v>145876760.29308084</v>
      </c>
    </row>
    <row r="685" spans="1:2" x14ac:dyDescent="0.25">
      <c r="A685">
        <f ca="1">27533.4029424838*((RANDBETWEEN(2979,3282)))</f>
        <v>82077074.171544135</v>
      </c>
      <c r="B685">
        <v>184118709.99871868</v>
      </c>
    </row>
    <row r="686" spans="1:2" x14ac:dyDescent="0.25">
      <c r="A686">
        <f ca="1">28125.0487589784*((RANDBETWEEN(2979,3282)))</f>
        <v>90984532.735295191</v>
      </c>
      <c r="B686">
        <v>161490048.3654063</v>
      </c>
    </row>
    <row r="687" spans="1:2" x14ac:dyDescent="0.25">
      <c r="A687">
        <f ca="1">32753.7013761002*((RANDBETWEEN(2979,3282)))</f>
        <v>98457626.33655706</v>
      </c>
      <c r="B687">
        <v>199141598.16534603</v>
      </c>
    </row>
    <row r="688" spans="1:2" x14ac:dyDescent="0.25">
      <c r="A688">
        <f ca="1">28206.6515267321*((RANDBETWEEN(2979,3282)))</f>
        <v>86904693.353861675</v>
      </c>
      <c r="B688">
        <v>153968171.65491179</v>
      </c>
    </row>
    <row r="689" spans="1:2" x14ac:dyDescent="0.25">
      <c r="A689">
        <f ca="1">25550.8952313076*((RANDBETWEEN(2979,3282)))</f>
        <v>83117062.187443584</v>
      </c>
      <c r="B689">
        <v>162765636.71116519</v>
      </c>
    </row>
    <row r="690" spans="1:2" x14ac:dyDescent="0.25">
      <c r="A690">
        <f ca="1">27797.5207779295*((RANDBETWEEN(2979,3282)))</f>
        <v>88896471.447818398</v>
      </c>
      <c r="B690">
        <v>144932544.03876382</v>
      </c>
    </row>
    <row r="691" spans="1:2" x14ac:dyDescent="0.25">
      <c r="A691">
        <f ca="1">27765.2993712547*((RANDBETWEEN(2979,3282)))</f>
        <v>86100193.350260705</v>
      </c>
      <c r="B691">
        <v>148248100.40451053</v>
      </c>
    </row>
    <row r="692" spans="1:2" x14ac:dyDescent="0.25">
      <c r="A692">
        <f ca="1">29380.5691921753*((RANDBETWEEN(2979,3282)))</f>
        <v>91902420.433124289</v>
      </c>
      <c r="B692">
        <v>161825302.03990865</v>
      </c>
    </row>
    <row r="693" spans="1:2" x14ac:dyDescent="0.25">
      <c r="A693">
        <f ca="1">28465.9468429816*((RANDBETWEEN(2979,3282)))</f>
        <v>89866994.183292925</v>
      </c>
      <c r="B693">
        <v>151394316.08274108</v>
      </c>
    </row>
    <row r="694" spans="1:2" x14ac:dyDescent="0.25">
      <c r="A694">
        <f ca="1">26838.6065339131*((RANDBETWEEN(2979,3282)))</f>
        <v>86312958.613064647</v>
      </c>
      <c r="B694">
        <v>151468660.48057055</v>
      </c>
    </row>
    <row r="695" spans="1:2" x14ac:dyDescent="0.25">
      <c r="A695">
        <f ca="1">30414.3633513042*((RANDBETWEEN(2979,3282)))</f>
        <v>95257786.01628463</v>
      </c>
      <c r="B695">
        <v>163666298.54860047</v>
      </c>
    </row>
    <row r="696" spans="1:2" x14ac:dyDescent="0.25">
      <c r="A696">
        <f ca="1">29549.585993468*((RANDBETWEEN(2979,3282)))</f>
        <v>92519753.745548233</v>
      </c>
      <c r="B696">
        <v>167388760.87808907</v>
      </c>
    </row>
    <row r="697" spans="1:2" x14ac:dyDescent="0.25">
      <c r="A697">
        <f ca="1">32757.5230096166*((RANDBETWEEN(2979,3282)))</f>
        <v>103087924.91126332</v>
      </c>
      <c r="B697">
        <v>175123171.17688939</v>
      </c>
    </row>
    <row r="698" spans="1:2" x14ac:dyDescent="0.25">
      <c r="A698">
        <f ca="1">30804.9935564176*((RANDBETWEEN(2979,3282)))</f>
        <v>99376909.213003024</v>
      </c>
      <c r="B698">
        <v>203156953.39534181</v>
      </c>
    </row>
    <row r="699" spans="1:2" x14ac:dyDescent="0.25">
      <c r="A699">
        <f ca="1">26168.4476563534*((RANDBETWEEN(2979,3282)))</f>
        <v>81540882.897197142</v>
      </c>
      <c r="B699">
        <v>170918427.89516652</v>
      </c>
    </row>
    <row r="700" spans="1:2" x14ac:dyDescent="0.25">
      <c r="A700">
        <f ca="1">26135.4464158446*((RANDBETWEEN(2979,3282)))</f>
        <v>82823229.691811442</v>
      </c>
      <c r="B700">
        <v>146099497.18693337</v>
      </c>
    </row>
    <row r="701" spans="1:2" x14ac:dyDescent="0.25">
      <c r="A701">
        <f ca="1">28651.4413113804*((RANDBETWEEN(2979,3282)))</f>
        <v>86985775.821350992</v>
      </c>
      <c r="B701">
        <v>188084275.57565004</v>
      </c>
    </row>
    <row r="702" spans="1:2" x14ac:dyDescent="0.25">
      <c r="A702">
        <f ca="1">27335.8023166935*((RANDBETWEEN(2979,3282)))</f>
        <v>86189784.704534456</v>
      </c>
      <c r="B702">
        <v>145543325.69684881</v>
      </c>
    </row>
    <row r="703" spans="1:2" x14ac:dyDescent="0.25">
      <c r="A703">
        <f ca="1">25190.8155974212*((RANDBETWEEN(2979,3282)))</f>
        <v>78141909.983200431</v>
      </c>
      <c r="B703">
        <v>173265899.5971306</v>
      </c>
    </row>
    <row r="704" spans="1:2" x14ac:dyDescent="0.25">
      <c r="A704">
        <f ca="1">27664.3291772781*((RANDBETWEEN(2979,3282)))</f>
        <v>86423364.349816829</v>
      </c>
      <c r="B704">
        <v>152330280.78448334</v>
      </c>
    </row>
    <row r="705" spans="1:2" x14ac:dyDescent="0.25">
      <c r="A705">
        <f ca="1">26172.6086266508*((RANDBETWEEN(2979,3282)))</f>
        <v>85427394.557388082</v>
      </c>
      <c r="B705">
        <v>190338227.76663443</v>
      </c>
    </row>
    <row r="706" spans="1:2" x14ac:dyDescent="0.25">
      <c r="A706">
        <f ca="1">30086.7915047462*((RANDBETWEEN(2979,3282)))</f>
        <v>92908012.166656375</v>
      </c>
      <c r="B706">
        <v>184153740.33570778</v>
      </c>
    </row>
    <row r="707" spans="1:2" x14ac:dyDescent="0.25">
      <c r="A707">
        <f ca="1">26854.6708617197*((RANDBETWEEN(2979,3282)))</f>
        <v>80402884.559988812</v>
      </c>
      <c r="B707">
        <v>149673436.85968423</v>
      </c>
    </row>
    <row r="708" spans="1:2" x14ac:dyDescent="0.25">
      <c r="A708">
        <f ca="1">26695.5715022645*((RANDBETWEEN(2979,3282)))</f>
        <v>87134345.383391231</v>
      </c>
      <c r="B708">
        <v>156244572.18981066</v>
      </c>
    </row>
    <row r="709" spans="1:2" x14ac:dyDescent="0.25">
      <c r="A709">
        <f ca="1">27829.8719977508*((RANDBETWEEN(2979,3282)))</f>
        <v>83294806.889268175</v>
      </c>
      <c r="B709">
        <v>176640174.55473891</v>
      </c>
    </row>
    <row r="710" spans="1:2" x14ac:dyDescent="0.25">
      <c r="A710">
        <f ca="1">29010.008467708*((RANDBETWEEN(2979,3282)))</f>
        <v>90395186.385378137</v>
      </c>
      <c r="B710">
        <v>157277286.92269185</v>
      </c>
    </row>
    <row r="711" spans="1:2" x14ac:dyDescent="0.25">
      <c r="A711">
        <f ca="1">24797.6799160554*((RANDBETWEEN(2979,3282)))</f>
        <v>74169860.628921673</v>
      </c>
      <c r="B711">
        <v>146561057.70189431</v>
      </c>
    </row>
    <row r="712" spans="1:2" x14ac:dyDescent="0.25">
      <c r="A712">
        <f ca="1">33544.990352913*((RANDBETWEEN(2979,3282)))</f>
        <v>109524393.5022611</v>
      </c>
      <c r="B712">
        <v>192518150.12876981</v>
      </c>
    </row>
    <row r="713" spans="1:2" x14ac:dyDescent="0.25">
      <c r="A713">
        <f ca="1">26620.7320031513*((RANDBETWEEN(2979,3282)))</f>
        <v>83402753.365873009</v>
      </c>
      <c r="B713">
        <v>186832884.41541958</v>
      </c>
    </row>
    <row r="714" spans="1:2" x14ac:dyDescent="0.25">
      <c r="A714">
        <f ca="1">26182.8580568972*((RANDBETWEEN(2979,3282)))</f>
        <v>83313854.337046951</v>
      </c>
      <c r="B714">
        <v>149039514.35801533</v>
      </c>
    </row>
    <row r="715" spans="1:2" x14ac:dyDescent="0.25">
      <c r="A715">
        <f ca="1">27532.6055950982*((RANDBETWEEN(2979,3282)))</f>
        <v>83010805.869221047</v>
      </c>
      <c r="B715">
        <v>160601781.96583968</v>
      </c>
    </row>
    <row r="716" spans="1:2" x14ac:dyDescent="0.25">
      <c r="A716">
        <f ca="1">28439.2783992675*((RANDBETWEEN(2979,3282)))</f>
        <v>92768926.138410598</v>
      </c>
      <c r="B716">
        <v>181622709.79379407</v>
      </c>
    </row>
    <row r="717" spans="1:2" x14ac:dyDescent="0.25">
      <c r="A717">
        <f ca="1">28982.4448024997*((RANDBETWEEN(2979,3282)))</f>
        <v>90251333.114984155</v>
      </c>
      <c r="B717">
        <v>158384980.0879721</v>
      </c>
    </row>
    <row r="718" spans="1:2" x14ac:dyDescent="0.25">
      <c r="A718">
        <f ca="1">28845.6230571743*((RANDBETWEEN(2979,3282)))</f>
        <v>91209860.106785074</v>
      </c>
      <c r="B718">
        <v>159269028.56085393</v>
      </c>
    </row>
    <row r="719" spans="1:2" x14ac:dyDescent="0.25">
      <c r="A719">
        <f ca="1">26131.0203826641*((RANDBETWEEN(2979,3282)))</f>
        <v>83279561.959550411</v>
      </c>
      <c r="B719">
        <v>174445325.91609737</v>
      </c>
    </row>
    <row r="720" spans="1:2" x14ac:dyDescent="0.25">
      <c r="A720">
        <f ca="1">25249.8820656052*((RANDBETWEEN(2979,3282)))</f>
        <v>77188889.474554971</v>
      </c>
      <c r="B720">
        <v>149458872.42512494</v>
      </c>
    </row>
    <row r="721" spans="1:2" x14ac:dyDescent="0.25">
      <c r="A721">
        <f ca="1">29729.614523247*((RANDBETWEEN(2979,3282)))</f>
        <v>92994234.228716612</v>
      </c>
      <c r="B721">
        <v>166109613.28389749</v>
      </c>
    </row>
    <row r="722" spans="1:2" x14ac:dyDescent="0.25">
      <c r="A722">
        <f ca="1">29349.3578361408*((RANDBETWEEN(2979,3282)))</f>
        <v>90718865.071511194</v>
      </c>
      <c r="B722">
        <v>201016014.19667262</v>
      </c>
    </row>
    <row r="723" spans="1:2" x14ac:dyDescent="0.25">
      <c r="A723">
        <f ca="1">33613.4450584384*((RANDBETWEEN(2979,3282)))</f>
        <v>102890755.32388005</v>
      </c>
      <c r="B723">
        <v>159559854.68135953</v>
      </c>
    </row>
    <row r="724" spans="1:2" x14ac:dyDescent="0.25">
      <c r="A724">
        <f ca="1">26859.5400681654*((RANDBETWEEN(2979,3282)))</f>
        <v>83694326.852403343</v>
      </c>
      <c r="B724">
        <v>202841470.50515842</v>
      </c>
    </row>
    <row r="725" spans="1:2" x14ac:dyDescent="0.25">
      <c r="A725">
        <f ca="1">26478.5841974548*((RANDBETWEEN(2979,3282)))</f>
        <v>84652033.67926316</v>
      </c>
      <c r="B725">
        <v>143247035.56478727</v>
      </c>
    </row>
    <row r="726" spans="1:2" x14ac:dyDescent="0.25">
      <c r="A726">
        <f ca="1">28878.4454104467*((RANDBETWEEN(2979,3282)))</f>
        <v>88252529.174325094</v>
      </c>
      <c r="B726">
        <v>183193363.67613482</v>
      </c>
    </row>
    <row r="727" spans="1:2" x14ac:dyDescent="0.25">
      <c r="A727">
        <f ca="1">28454.3069216403*((RANDBETWEEN(2979,3282)))</f>
        <v>89005072.050890848</v>
      </c>
      <c r="B727">
        <v>172718367.71450669</v>
      </c>
    </row>
    <row r="728" spans="1:2" x14ac:dyDescent="0.25">
      <c r="A728">
        <f ca="1">26840.028496968*((RANDBETWEEN(2979,3282)))</f>
        <v>83391968.540079698</v>
      </c>
      <c r="B728">
        <v>163996485.08581942</v>
      </c>
    </row>
    <row r="729" spans="1:2" x14ac:dyDescent="0.25">
      <c r="A729">
        <f ca="1">27996.9606258929*((RANDBETWEEN(2979,3282)))</f>
        <v>85278742.066469625</v>
      </c>
      <c r="B729">
        <v>166303730.63185909</v>
      </c>
    </row>
    <row r="730" spans="1:2" x14ac:dyDescent="0.25">
      <c r="A730">
        <f ca="1">27765.2041679011*((RANDBETWEEN(2979,3282)))</f>
        <v>88015697.212246463</v>
      </c>
      <c r="B730">
        <v>176747912.51756677</v>
      </c>
    </row>
    <row r="731" spans="1:2" x14ac:dyDescent="0.25">
      <c r="A731">
        <f ca="1">28751.8010075644*((RANDBETWEEN(2979,3282)))</f>
        <v>94162148.29977347</v>
      </c>
      <c r="B731">
        <v>183241356.33780068</v>
      </c>
    </row>
    <row r="732" spans="1:2" x14ac:dyDescent="0.25">
      <c r="A732">
        <f ca="1">32241.3140807749*((RANDBETWEEN(2979,3282)))</f>
        <v>100173762.84896751</v>
      </c>
      <c r="B732">
        <v>202418707.91368479</v>
      </c>
    </row>
    <row r="733" spans="1:2" x14ac:dyDescent="0.25">
      <c r="A733">
        <f ca="1">26410.5085706961*((RANDBETWEEN(2979,3282)))</f>
        <v>79865377.91778487</v>
      </c>
      <c r="B733">
        <v>165026901.50825331</v>
      </c>
    </row>
    <row r="734" spans="1:2" x14ac:dyDescent="0.25">
      <c r="A734">
        <f ca="1">26191.2313004345*((RANDBETWEEN(2979,3282)))</f>
        <v>79333239.609016001</v>
      </c>
      <c r="B734">
        <v>161929072.33584747</v>
      </c>
    </row>
    <row r="735" spans="1:2" x14ac:dyDescent="0.25">
      <c r="A735">
        <f ca="1">26486.3887060001*((RANDBETWEEN(2979,3282)))</f>
        <v>82531587.207896248</v>
      </c>
      <c r="B735">
        <v>200386241.56335753</v>
      </c>
    </row>
    <row r="736" spans="1:2" x14ac:dyDescent="0.25">
      <c r="A736">
        <f ca="1">24794.4129368045*((RANDBETWEEN(2979,3282)))</f>
        <v>76317203.019484296</v>
      </c>
      <c r="B736">
        <v>161836755.90988255</v>
      </c>
    </row>
    <row r="737" spans="1:2" x14ac:dyDescent="0.25">
      <c r="A737">
        <f ca="1">27091.7246809122*((RANDBETWEEN(2979,3282)))</f>
        <v>83848887.887423337</v>
      </c>
      <c r="B737">
        <v>147515338.26710203</v>
      </c>
    </row>
    <row r="738" spans="1:2" x14ac:dyDescent="0.25">
      <c r="A738">
        <f ca="1">32005.0026656476*((RANDBETWEEN(2979,3282)))</f>
        <v>96335058.023599252</v>
      </c>
      <c r="B738">
        <v>187359072.25784335</v>
      </c>
    </row>
    <row r="739" spans="1:2" x14ac:dyDescent="0.25">
      <c r="A739">
        <f ca="1">31388.3404022614*((RANDBETWEEN(2979,3282)))</f>
        <v>95922768.269310758</v>
      </c>
      <c r="B739">
        <v>150309566.25003499</v>
      </c>
    </row>
    <row r="740" spans="1:2" x14ac:dyDescent="0.25">
      <c r="A740">
        <f ca="1">26512.6998589994*((RANDBETWEEN(2979,3282)))</f>
        <v>83117314.057963237</v>
      </c>
      <c r="B740">
        <v>145894224.4691397</v>
      </c>
    </row>
    <row r="741" spans="1:2" x14ac:dyDescent="0.25">
      <c r="A741">
        <f ca="1">25457.9242389754*((RANDBETWEEN(2979,3282)))</f>
        <v>83221954.33721073</v>
      </c>
      <c r="B741">
        <v>143195715.71145004</v>
      </c>
    </row>
    <row r="742" spans="1:2" x14ac:dyDescent="0.25">
      <c r="A742">
        <f ca="1">26024.5496908701*((RANDBETWEEN(2979,3282)))</f>
        <v>77839428.125392541</v>
      </c>
      <c r="B742">
        <v>147743929.5290097</v>
      </c>
    </row>
    <row r="743" spans="1:2" x14ac:dyDescent="0.25">
      <c r="A743">
        <f ca="1">26970.9370355498*((RANDBETWEEN(2979,3282)))</f>
        <v>84149323.55091539</v>
      </c>
      <c r="B743">
        <v>169970417.02793473</v>
      </c>
    </row>
    <row r="744" spans="1:2" x14ac:dyDescent="0.25">
      <c r="A744">
        <f ca="1">26642.5607782264*((RANDBETWEEN(2979,3282)))</f>
        <v>84376989.984642878</v>
      </c>
      <c r="B744">
        <v>181267361.41980651</v>
      </c>
    </row>
    <row r="745" spans="1:2" x14ac:dyDescent="0.25">
      <c r="A745">
        <f ca="1">25870.3398091594*((RANDBETWEEN(2979,3282)))</f>
        <v>81103515.301714674</v>
      </c>
      <c r="B745">
        <v>193498345.51906317</v>
      </c>
    </row>
    <row r="746" spans="1:2" x14ac:dyDescent="0.25">
      <c r="A746">
        <f ca="1">31710.3930450118*((RANDBETWEEN(2979,3282)))</f>
        <v>97541169.006456226</v>
      </c>
      <c r="B746">
        <v>178166250.92205101</v>
      </c>
    </row>
    <row r="747" spans="1:2" x14ac:dyDescent="0.25">
      <c r="A747">
        <f ca="1">27750.6654447505*((RANDBETWEEN(2979,3282)))</f>
        <v>87747604.136301309</v>
      </c>
      <c r="B747">
        <v>193247147.00883332</v>
      </c>
    </row>
    <row r="748" spans="1:2" x14ac:dyDescent="0.25">
      <c r="A748">
        <f ca="1">27828.2855768771*((RANDBETWEEN(2979,3282)))</f>
        <v>83484856.730631232</v>
      </c>
      <c r="B748">
        <v>167293094.76015824</v>
      </c>
    </row>
    <row r="749" spans="1:2" x14ac:dyDescent="0.25">
      <c r="A749">
        <f ca="1">27350.4894926957*((RANDBETWEEN(2979,3282)))</f>
        <v>82707880.225911915</v>
      </c>
      <c r="B749">
        <v>173734245.51133895</v>
      </c>
    </row>
    <row r="750" spans="1:2" x14ac:dyDescent="0.25">
      <c r="A750">
        <f ca="1">28019.064886009*((RANDBETWEEN(2979,3282)))</f>
        <v>87951844.677182168</v>
      </c>
      <c r="B750">
        <v>191307607.64635664</v>
      </c>
    </row>
    <row r="751" spans="1:2" x14ac:dyDescent="0.25">
      <c r="A751">
        <f ca="1">32234.8066361413*((RANDBETWEEN(2979,3282)))</f>
        <v>104634182.34091462</v>
      </c>
      <c r="B751">
        <v>184016592.95140326</v>
      </c>
    </row>
    <row r="752" spans="1:2" x14ac:dyDescent="0.25">
      <c r="A752">
        <f ca="1">27705.6922411276*((RANDBETWEEN(2979,3282)))</f>
        <v>83283310.876829699</v>
      </c>
      <c r="B752">
        <v>187193302.87860811</v>
      </c>
    </row>
    <row r="753" spans="1:2" x14ac:dyDescent="0.25">
      <c r="A753">
        <f ca="1">27092.4632076213*((RANDBETWEEN(2979,3282)))</f>
        <v>87725395.866277888</v>
      </c>
      <c r="B753">
        <v>174254838.17910999</v>
      </c>
    </row>
    <row r="754" spans="1:2" x14ac:dyDescent="0.25">
      <c r="A754">
        <f ca="1">29292.5651226476*((RANDBETWEEN(2979,3282)))</f>
        <v>90279685.708000034</v>
      </c>
      <c r="B754">
        <v>163390667.51205525</v>
      </c>
    </row>
    <row r="755" spans="1:2" x14ac:dyDescent="0.25">
      <c r="A755">
        <f ca="1">27792.6133721965*((RANDBETWEEN(2979,3282)))</f>
        <v>89492215.058472887</v>
      </c>
      <c r="B755">
        <v>171532827.91116834</v>
      </c>
    </row>
    <row r="756" spans="1:2" x14ac:dyDescent="0.25">
      <c r="A756">
        <f ca="1">26291.1482922506*((RANDBETWEEN(2979,3282)))</f>
        <v>81081901.333301157</v>
      </c>
      <c r="B756">
        <v>176878694.36736393</v>
      </c>
    </row>
    <row r="757" spans="1:2" x14ac:dyDescent="0.25">
      <c r="A757">
        <f ca="1">25473.5645710172*((RANDBETWEEN(2979,3282)))</f>
        <v>79808677.800996855</v>
      </c>
      <c r="B757">
        <v>143173932.54824519</v>
      </c>
    </row>
    <row r="758" spans="1:2" x14ac:dyDescent="0.25">
      <c r="A758">
        <f ca="1">28167.1682980328*((RANDBETWEEN(2979,3282)))</f>
        <v>86050699.15049012</v>
      </c>
      <c r="B758">
        <v>154157601.75136364</v>
      </c>
    </row>
    <row r="759" spans="1:2" x14ac:dyDescent="0.25">
      <c r="A759">
        <f ca="1">27633.5451893696*((RANDBETWEEN(2979,3282)))</f>
        <v>85995592.629318312</v>
      </c>
      <c r="B759">
        <v>176695522.25313875</v>
      </c>
    </row>
    <row r="760" spans="1:2" x14ac:dyDescent="0.25">
      <c r="A760">
        <f ca="1">27490.5976294262*((RANDBETWEEN(2979,3282)))</f>
        <v>89784291.8577061</v>
      </c>
      <c r="B760">
        <v>177533610.80540016</v>
      </c>
    </row>
    <row r="761" spans="1:2" x14ac:dyDescent="0.25">
      <c r="A761">
        <f ca="1">33592.638592381*((RANDBETWEEN(2979,3282)))</f>
        <v>106723812.80799437</v>
      </c>
      <c r="B761">
        <v>173147240.12667745</v>
      </c>
    </row>
    <row r="762" spans="1:2" x14ac:dyDescent="0.25">
      <c r="A762">
        <f ca="1">26705.644162558*((RANDBETWEEN(2979,3282)))</f>
        <v>82707379.971442237</v>
      </c>
      <c r="B762">
        <v>199170469.93543988</v>
      </c>
    </row>
    <row r="763" spans="1:2" x14ac:dyDescent="0.25">
      <c r="A763">
        <f ca="1">28127.3198113658*((RANDBETWEEN(2979,3282)))</f>
        <v>88488548.126556888</v>
      </c>
      <c r="B763">
        <v>154926791.25106442</v>
      </c>
    </row>
    <row r="764" spans="1:2" x14ac:dyDescent="0.25">
      <c r="A764">
        <f ca="1">26733.8561242968*((RANDBETWEEN(2979,3282)))</f>
        <v>84131445.223162055</v>
      </c>
      <c r="B764">
        <v>154107182.08232814</v>
      </c>
    </row>
    <row r="765" spans="1:2" x14ac:dyDescent="0.25">
      <c r="A765">
        <f ca="1">25344.0557566246*((RANDBETWEEN(2979,3282)))</f>
        <v>80315312.692743316</v>
      </c>
      <c r="B765">
        <v>147067407.13428307</v>
      </c>
    </row>
    <row r="766" spans="1:2" x14ac:dyDescent="0.25">
      <c r="A766">
        <f ca="1">27394.1699319471*((RANDBETWEEN(2979,3282)))</f>
        <v>81689414.737066194</v>
      </c>
      <c r="B766">
        <v>163966629.41599989</v>
      </c>
    </row>
    <row r="767" spans="1:2" x14ac:dyDescent="0.25">
      <c r="A767">
        <f ca="1">27284.7773995059*((RANDBETWEEN(2979,3282)))</f>
        <v>89494069.870379195</v>
      </c>
      <c r="B767">
        <v>151990438.54090384</v>
      </c>
    </row>
    <row r="768" spans="1:2" x14ac:dyDescent="0.25">
      <c r="A768">
        <f ca="1">29759.4318475876*((RANDBETWEEN(2979,3282)))</f>
        <v>91629290.658722326</v>
      </c>
      <c r="B768">
        <v>178736404.25300324</v>
      </c>
    </row>
    <row r="769" spans="1:2" x14ac:dyDescent="0.25">
      <c r="A769">
        <f ca="1">27132.207744188*((RANDBETWEEN(2979,3282)))</f>
        <v>87528502.182750642</v>
      </c>
      <c r="B769">
        <v>145591792.13551828</v>
      </c>
    </row>
    <row r="770" spans="1:2" x14ac:dyDescent="0.25">
      <c r="A770">
        <f ca="1">28210.7282614491*((RANDBETWEEN(2979,3282)))</f>
        <v>91656656.121448219</v>
      </c>
      <c r="B770">
        <v>170458461.11063439</v>
      </c>
    </row>
    <row r="771" spans="1:2" x14ac:dyDescent="0.25">
      <c r="A771">
        <f ca="1">26329.8551781735*((RANDBETWEEN(2979,3282)))</f>
        <v>78936905.824164063</v>
      </c>
      <c r="B771">
        <v>143838078.26428655</v>
      </c>
    </row>
    <row r="772" spans="1:2" x14ac:dyDescent="0.25">
      <c r="A772">
        <f ca="1">25784.9469783061*((RANDBETWEEN(2979,3282)))</f>
        <v>84419916.406974077</v>
      </c>
      <c r="B772">
        <v>147634148.00320202</v>
      </c>
    </row>
    <row r="773" spans="1:2" x14ac:dyDescent="0.25">
      <c r="A773">
        <f ca="1">28127.5068483432*((RANDBETWEEN(2979,3282)))</f>
        <v>88798539.120219409</v>
      </c>
      <c r="B773">
        <v>143155180.27548078</v>
      </c>
    </row>
    <row r="774" spans="1:2" x14ac:dyDescent="0.25">
      <c r="A774">
        <f ca="1">30884.3258724621*((RANDBETWEEN(2979,3282)))</f>
        <v>100590249.36660922</v>
      </c>
      <c r="B774">
        <v>194354118.91625881</v>
      </c>
    </row>
    <row r="775" spans="1:2" x14ac:dyDescent="0.25">
      <c r="A775">
        <f ca="1">28950.5360700543*((RANDBETWEEN(2979,3282)))</f>
        <v>90065117.713938922</v>
      </c>
      <c r="B775">
        <v>169085009.24907213</v>
      </c>
    </row>
    <row r="776" spans="1:2" x14ac:dyDescent="0.25">
      <c r="A776">
        <f ca="1">26219.4052493087*((RANDBETWEEN(2979,3282)))</f>
        <v>82119177.240834877</v>
      </c>
      <c r="B776">
        <v>144669423.76705095</v>
      </c>
    </row>
    <row r="777" spans="1:2" x14ac:dyDescent="0.25">
      <c r="A777">
        <f ca="1">31184.3172011174*((RANDBETWEEN(2979,3282)))</f>
        <v>96796120.592268527</v>
      </c>
      <c r="B777">
        <v>198585025.15622681</v>
      </c>
    </row>
    <row r="778" spans="1:2" x14ac:dyDescent="0.25">
      <c r="A778">
        <f ca="1">27404.5502690868*((RANDBETWEEN(2979,3282)))</f>
        <v>82816550.913180262</v>
      </c>
      <c r="B778">
        <v>143282033.22356862</v>
      </c>
    </row>
    <row r="779" spans="1:2" x14ac:dyDescent="0.25">
      <c r="A779">
        <f ca="1">26824.9378347144*((RANDBETWEEN(2979,3282)))</f>
        <v>86778673.895301133</v>
      </c>
      <c r="B779">
        <v>152141517.28240597</v>
      </c>
    </row>
    <row r="780" spans="1:2" x14ac:dyDescent="0.25">
      <c r="A780">
        <f ca="1">27635.3175699798*((RANDBETWEEN(2979,3282)))</f>
        <v>87742133.284685761</v>
      </c>
      <c r="B780">
        <v>200859619.99574241</v>
      </c>
    </row>
    <row r="781" spans="1:2" x14ac:dyDescent="0.25">
      <c r="A781">
        <f ca="1">26880.2415364119*((RANDBETWEEN(2979,3282)))</f>
        <v>84914683.013525337</v>
      </c>
      <c r="B781">
        <v>172773199.63654906</v>
      </c>
    </row>
    <row r="782" spans="1:2" x14ac:dyDescent="0.25">
      <c r="A782">
        <f ca="1">29846.4944885437*((RANDBETWEEN(2979,3282)))</f>
        <v>94076150.627889857</v>
      </c>
      <c r="B782">
        <v>195505691.64496803</v>
      </c>
    </row>
    <row r="783" spans="1:2" x14ac:dyDescent="0.25">
      <c r="A783">
        <f ca="1">28075.8496392433*((RANDBETWEEN(2979,3282)))</f>
        <v>85041748.557268068</v>
      </c>
      <c r="B783">
        <v>164035706.25844416</v>
      </c>
    </row>
    <row r="784" spans="1:2" x14ac:dyDescent="0.25">
      <c r="A784">
        <f ca="1">26671.2125216019*((RANDBETWEEN(2979,3282)))</f>
        <v>85507907.344255701</v>
      </c>
      <c r="B784">
        <v>143193389.81953984</v>
      </c>
    </row>
    <row r="785" spans="1:2" x14ac:dyDescent="0.25">
      <c r="A785">
        <f ca="1">32434.8423825219*((RANDBETWEEN(2979,3282)))</f>
        <v>99218182.848134428</v>
      </c>
      <c r="B785">
        <v>157066686.9173736</v>
      </c>
    </row>
    <row r="786" spans="1:2" x14ac:dyDescent="0.25">
      <c r="A786">
        <f ca="1">26422.9445137764*((RANDBETWEEN(2979,3282)))</f>
        <v>85029035.445332348</v>
      </c>
      <c r="B786">
        <v>170509341.61076102</v>
      </c>
    </row>
    <row r="787" spans="1:2" x14ac:dyDescent="0.25">
      <c r="A787">
        <f ca="1">25145.3977144225*((RANDBETWEEN(2979,3282)))</f>
        <v>77548406.551278904</v>
      </c>
      <c r="B787">
        <v>154849639.49424446</v>
      </c>
    </row>
    <row r="788" spans="1:2" x14ac:dyDescent="0.25">
      <c r="A788">
        <f ca="1">25467.3929733456*((RANDBETWEEN(2979,3282)))</f>
        <v>80502429.188745603</v>
      </c>
      <c r="B788">
        <v>144460872.03805116</v>
      </c>
    </row>
    <row r="789" spans="1:2" x14ac:dyDescent="0.25">
      <c r="A789">
        <f ca="1">26804.1571211984*((RANDBETWEEN(2979,3282)))</f>
        <v>82664020.561775833</v>
      </c>
      <c r="B789">
        <v>156327819.88199529</v>
      </c>
    </row>
    <row r="790" spans="1:2" x14ac:dyDescent="0.25">
      <c r="A790">
        <f ca="1">32015.2188674298*((RANDBETWEEN(2979,3282)))</f>
        <v>99471285.02110453</v>
      </c>
      <c r="B790">
        <v>188869565.74001521</v>
      </c>
    </row>
    <row r="791" spans="1:2" x14ac:dyDescent="0.25">
      <c r="A791">
        <f ca="1">26797.864687325*((RANDBETWEEN(2979,3282)))</f>
        <v>87682613.25692755</v>
      </c>
      <c r="B791">
        <v>156304720.96289596</v>
      </c>
    </row>
    <row r="792" spans="1:2" x14ac:dyDescent="0.25">
      <c r="A792">
        <f ca="1">27720.4108996378*((RANDBETWEEN(2979,3282)))</f>
        <v>87402455.566558108</v>
      </c>
      <c r="B792">
        <v>202025443.88401562</v>
      </c>
    </row>
    <row r="793" spans="1:2" x14ac:dyDescent="0.25">
      <c r="A793">
        <f ca="1">25836.1449665508*((RANDBETWEEN(2979,3282)))</f>
        <v>84794227.780219838</v>
      </c>
      <c r="B793">
        <v>174315237.57922918</v>
      </c>
    </row>
    <row r="794" spans="1:2" x14ac:dyDescent="0.25">
      <c r="A794">
        <f ca="1">30928.0169485974*((RANDBETWEEN(2979,3282)))</f>
        <v>100175846.89650704</v>
      </c>
      <c r="B794">
        <v>198649255.33249655</v>
      </c>
    </row>
    <row r="795" spans="1:2" x14ac:dyDescent="0.25">
      <c r="A795">
        <f ca="1">29214.4880270408*((RANDBETWEEN(2979,3282)))</f>
        <v>95326874.432234123</v>
      </c>
      <c r="B795">
        <v>169489181.90419725</v>
      </c>
    </row>
    <row r="796" spans="1:2" x14ac:dyDescent="0.25">
      <c r="A796">
        <f ca="1">27258.9694083104*((RANDBETWEEN(2979,3282)))</f>
        <v>83139856.695346668</v>
      </c>
      <c r="B796">
        <v>158734971.24808821</v>
      </c>
    </row>
    <row r="797" spans="1:2" x14ac:dyDescent="0.25">
      <c r="A797">
        <f ca="1">26426.2597689665*((RANDBETWEEN(2979,3282)))</f>
        <v>81657142.686106563</v>
      </c>
      <c r="B797">
        <v>182204754.61373407</v>
      </c>
    </row>
    <row r="798" spans="1:2" x14ac:dyDescent="0.25">
      <c r="A798">
        <f ca="1">25638.3084184201*((RANDBETWEEN(2979,3282)))</f>
        <v>78196840.676181212</v>
      </c>
      <c r="B798">
        <v>181114257.83464888</v>
      </c>
    </row>
    <row r="799" spans="1:2" x14ac:dyDescent="0.25">
      <c r="A799">
        <f ca="1">28474.4722815535*((RANDBETWEEN(2979,3282)))</f>
        <v>90748143.161311045</v>
      </c>
      <c r="B799">
        <v>174556691.13103712</v>
      </c>
    </row>
    <row r="800" spans="1:2" x14ac:dyDescent="0.25">
      <c r="A800">
        <f ca="1">28167.3367997232*((RANDBETWEEN(2979,3282)))</f>
        <v>89572131.023119926</v>
      </c>
      <c r="B800">
        <v>186757207.71719015</v>
      </c>
    </row>
    <row r="801" spans="1:2" x14ac:dyDescent="0.25">
      <c r="A801">
        <f ca="1">28921.3554047097*((RANDBETWEEN(2979,3282)))</f>
        <v>93300292.535593405</v>
      </c>
      <c r="B801">
        <v>183784263.12801278</v>
      </c>
    </row>
    <row r="802" spans="1:2" x14ac:dyDescent="0.25">
      <c r="A802">
        <f ca="1">31361.3659416683*((RANDBETWEEN(2979,3282)))</f>
        <v>97565209.444529951</v>
      </c>
      <c r="B802">
        <v>149401463.03454345</v>
      </c>
    </row>
    <row r="803" spans="1:2" x14ac:dyDescent="0.25">
      <c r="A803">
        <f ca="1">26844.4577517574*((RANDBETWEEN(2979,3282)))</f>
        <v>80425995.424265221</v>
      </c>
      <c r="B803">
        <v>172675116.75065824</v>
      </c>
    </row>
    <row r="804" spans="1:2" x14ac:dyDescent="0.25">
      <c r="A804">
        <f ca="1">26470.9167957596*((RANDBETWEEN(2979,3282)))</f>
        <v>83542213.407417595</v>
      </c>
      <c r="B804">
        <v>144504820.49720049</v>
      </c>
    </row>
    <row r="805" spans="1:2" x14ac:dyDescent="0.25">
      <c r="A805">
        <f ca="1">27056.2613728656*((RANDBETWEEN(2979,3282)))</f>
        <v>87310555.450237259</v>
      </c>
      <c r="B805">
        <v>187660167.40158939</v>
      </c>
    </row>
    <row r="806" spans="1:2" x14ac:dyDescent="0.25">
      <c r="A806">
        <f ca="1">25220.1739095012*((RANDBETWEEN(2979,3282)))</f>
        <v>77526814.597806767</v>
      </c>
      <c r="B806">
        <v>149416966.04931819</v>
      </c>
    </row>
    <row r="807" spans="1:2" x14ac:dyDescent="0.25">
      <c r="A807">
        <f ca="1">26557.3600904369*((RANDBETWEEN(2979,3282)))</f>
        <v>79247162.509863734</v>
      </c>
      <c r="B807">
        <v>179681083.49906978</v>
      </c>
    </row>
    <row r="808" spans="1:2" x14ac:dyDescent="0.25">
      <c r="A808">
        <f ca="1">30698.3576263686*((RANDBETWEEN(2979,3282)))</f>
        <v>91542502.441831261</v>
      </c>
      <c r="B808">
        <v>166562087.06533372</v>
      </c>
    </row>
    <row r="809" spans="1:2" x14ac:dyDescent="0.25">
      <c r="A809">
        <f ca="1">28703.4634502565*((RANDBETWEEN(2979,3282)))</f>
        <v>87430749.669481426</v>
      </c>
      <c r="B809">
        <v>173099535.91389441</v>
      </c>
    </row>
    <row r="810" spans="1:2" x14ac:dyDescent="0.25">
      <c r="A810">
        <f ca="1">29848.653951423*((RANDBETWEEN(2979,3282)))</f>
        <v>89993691.663540214</v>
      </c>
      <c r="B810">
        <v>156301376.37291628</v>
      </c>
    </row>
    <row r="811" spans="1:2" x14ac:dyDescent="0.25">
      <c r="A811">
        <f ca="1">29082.0302299799*((RANDBETWEEN(2979,3282)))</f>
        <v>94313024.035824805</v>
      </c>
      <c r="B811">
        <v>149375160.71933198</v>
      </c>
    </row>
    <row r="812" spans="1:2" x14ac:dyDescent="0.25">
      <c r="A812">
        <f ca="1">26707.2633908712*((RANDBETWEEN(2979,3282)))</f>
        <v>82285078.5072743</v>
      </c>
      <c r="B812">
        <v>159392450.49963078</v>
      </c>
    </row>
    <row r="813" spans="1:2" x14ac:dyDescent="0.25">
      <c r="A813">
        <f ca="1">27371.7295350685*((RANDBETWEEN(2979,3282)))</f>
        <v>85618769.985694379</v>
      </c>
      <c r="B813">
        <v>150442683.75253028</v>
      </c>
    </row>
    <row r="814" spans="1:2" x14ac:dyDescent="0.25">
      <c r="A814">
        <f ca="1">30710.8253873484*((RANDBETWEEN(2979,3282)))</f>
        <v>96923364.922471598</v>
      </c>
      <c r="B814">
        <v>170239684.53315642</v>
      </c>
    </row>
    <row r="815" spans="1:2" x14ac:dyDescent="0.25">
      <c r="A815">
        <f ca="1">27193.9646522955*((RANDBETWEEN(2979,3282)))</f>
        <v>83621441.305808619</v>
      </c>
      <c r="B815">
        <v>145961998.41751856</v>
      </c>
    </row>
    <row r="816" spans="1:2" x14ac:dyDescent="0.25">
      <c r="A816">
        <f ca="1">29906.2363425086*((RANDBETWEEN(2979,3282)))</f>
        <v>89688802.791183159</v>
      </c>
      <c r="B816">
        <v>183506826.10867891</v>
      </c>
    </row>
    <row r="817" spans="1:2" x14ac:dyDescent="0.25">
      <c r="A817">
        <f ca="1">29327.6723802431*((RANDBETWEEN(2979,3282)))</f>
        <v>90681162.999711692</v>
      </c>
      <c r="B817">
        <v>171739044.26881203</v>
      </c>
    </row>
    <row r="818" spans="1:2" x14ac:dyDescent="0.25">
      <c r="A818">
        <f ca="1">31541.1094560861*((RANDBETWEEN(2979,3282)))</f>
        <v>94907198.353362963</v>
      </c>
      <c r="B818">
        <v>197960036.96633583</v>
      </c>
    </row>
    <row r="819" spans="1:2" x14ac:dyDescent="0.25">
      <c r="A819">
        <f ca="1">28714.0673494277*((RANDBETWEEN(2979,3282)))</f>
        <v>92114728.05696404</v>
      </c>
      <c r="B819">
        <v>155162573.74895033</v>
      </c>
    </row>
    <row r="820" spans="1:2" x14ac:dyDescent="0.25">
      <c r="A820">
        <f ca="1">30350.5278100466*((RANDBETWEEN(2979,3282)))</f>
        <v>95725564.712887093</v>
      </c>
      <c r="B820">
        <v>183232719.38976151</v>
      </c>
    </row>
    <row r="821" spans="1:2" x14ac:dyDescent="0.25">
      <c r="A821">
        <f ca="1">27651.7212829331*((RANDBETWEEN(2979,3282)))</f>
        <v>86190415.238902524</v>
      </c>
      <c r="B821">
        <v>143712633.08292437</v>
      </c>
    </row>
    <row r="822" spans="1:2" x14ac:dyDescent="0.25">
      <c r="A822">
        <f ca="1">30015.862379285*((RANDBETWEEN(2979,3282)))</f>
        <v>98452028.604054943</v>
      </c>
      <c r="B822">
        <v>194160201.37237912</v>
      </c>
    </row>
    <row r="823" spans="1:2" x14ac:dyDescent="0.25">
      <c r="A823">
        <f ca="1">29864.2972470578*((RANDBETWEEN(2979,3282)))</f>
        <v>95087922.434631944</v>
      </c>
      <c r="B823">
        <v>193821546.46754494</v>
      </c>
    </row>
    <row r="824" spans="1:2" x14ac:dyDescent="0.25">
      <c r="A824">
        <f ca="1">27055.2177950577*((RANDBETWEEN(2979,3282)))</f>
        <v>87713016.091577113</v>
      </c>
      <c r="B824">
        <v>149449719.45959759</v>
      </c>
    </row>
    <row r="825" spans="1:2" x14ac:dyDescent="0.25">
      <c r="A825">
        <f ca="1">26507.6287233128*((RANDBETWEEN(2979,3282)))</f>
        <v>82147141.413546354</v>
      </c>
      <c r="B825">
        <v>177223764.63670209</v>
      </c>
    </row>
    <row r="826" spans="1:2" x14ac:dyDescent="0.25">
      <c r="A826">
        <f ca="1">27734.6227020845*((RANDBETWEEN(2979,3282)))</f>
        <v>84230049.146230713</v>
      </c>
      <c r="B826">
        <v>149512093.39549744</v>
      </c>
    </row>
    <row r="827" spans="1:2" x14ac:dyDescent="0.25">
      <c r="A827">
        <f ca="1">29686.249944332*((RANDBETWEEN(2979,3282)))</f>
        <v>93452314.824757144</v>
      </c>
      <c r="B827">
        <v>151108392.36669502</v>
      </c>
    </row>
    <row r="828" spans="1:2" x14ac:dyDescent="0.25">
      <c r="A828">
        <f ca="1">33723.609012753*((RANDBETWEEN(2979,3282)))</f>
        <v>107375971.09660552</v>
      </c>
      <c r="B828">
        <v>154032567.35207784</v>
      </c>
    </row>
    <row r="829" spans="1:2" x14ac:dyDescent="0.25">
      <c r="A829">
        <f ca="1">26385.1889390617*((RANDBETWEEN(2979,3282)))</f>
        <v>85303315.839986414</v>
      </c>
      <c r="B829">
        <v>155609454.5953871</v>
      </c>
    </row>
    <row r="830" spans="1:2" x14ac:dyDescent="0.25">
      <c r="A830">
        <f ca="1">28561.9745706976*((RANDBETWEEN(2979,3282)))</f>
        <v>90113029.770550877</v>
      </c>
      <c r="B830">
        <v>179442819.73727265</v>
      </c>
    </row>
    <row r="831" spans="1:2" x14ac:dyDescent="0.25">
      <c r="A831">
        <f ca="1">28655.2842964753*((RANDBETWEEN(2979,3282)))</f>
        <v>90464732.523972496</v>
      </c>
      <c r="B831">
        <v>143463122.5844059</v>
      </c>
    </row>
    <row r="832" spans="1:2" x14ac:dyDescent="0.25">
      <c r="A832">
        <f ca="1">31748.3531372254*((RANDBETWEEN(2979,3282)))</f>
        <v>97848424.368928537</v>
      </c>
      <c r="B832">
        <v>175912778.39610046</v>
      </c>
    </row>
    <row r="833" spans="1:2" x14ac:dyDescent="0.25">
      <c r="A833">
        <f ca="1">30153.896350392*((RANDBETWEEN(2979,3282)))</f>
        <v>98271548.20592761</v>
      </c>
      <c r="B833">
        <v>172537871.69308424</v>
      </c>
    </row>
    <row r="834" spans="1:2" x14ac:dyDescent="0.25">
      <c r="A834">
        <f ca="1">26133.4282664459*((RANDBETWEEN(2979,3282)))</f>
        <v>79785356.497459412</v>
      </c>
      <c r="B834">
        <v>151012410.05021483</v>
      </c>
    </row>
    <row r="835" spans="1:2" x14ac:dyDescent="0.25">
      <c r="A835">
        <f ca="1">27787.4639824166*((RANDBETWEEN(2979,3282)))</f>
        <v>90281470.478871495</v>
      </c>
      <c r="B835">
        <v>152323984.63950062</v>
      </c>
    </row>
    <row r="836" spans="1:2" x14ac:dyDescent="0.25">
      <c r="A836">
        <f ca="1">26480.4793363773*((RANDBETWEEN(2979,3282)))</f>
        <v>82751497.926179156</v>
      </c>
      <c r="B836">
        <v>174422059.2418322</v>
      </c>
    </row>
    <row r="837" spans="1:2" x14ac:dyDescent="0.25">
      <c r="A837">
        <f ca="1">30078.6310296047*((RANDBETWEEN(2979,3282)))</f>
        <v>91138252.019702226</v>
      </c>
      <c r="B837">
        <v>161508914.97796428</v>
      </c>
    </row>
    <row r="838" spans="1:2" x14ac:dyDescent="0.25">
      <c r="A838">
        <f ca="1">26844.9238227888*((RANDBETWEEN(2979,3282)))</f>
        <v>81286429.335404411</v>
      </c>
      <c r="B838">
        <v>194271886.0327203</v>
      </c>
    </row>
    <row r="839" spans="1:2" x14ac:dyDescent="0.25">
      <c r="A839">
        <f ca="1">29804.8344027001*((RANDBETWEEN(2979,3282)))</f>
        <v>93140107.508437827</v>
      </c>
      <c r="B839">
        <v>166641223.00419217</v>
      </c>
    </row>
    <row r="840" spans="1:2" x14ac:dyDescent="0.25">
      <c r="A840">
        <f ca="1">25748.2415880808*((RANDBETWEEN(2979,3282)))</f>
        <v>82059645.941213369</v>
      </c>
      <c r="B840">
        <v>145127469.53797823</v>
      </c>
    </row>
    <row r="841" spans="1:2" x14ac:dyDescent="0.25">
      <c r="A841">
        <f ca="1">28825.8390655985*((RANDBETWEEN(2979,3282)))</f>
        <v>87659376.598485187</v>
      </c>
      <c r="B841">
        <v>150460157.15606785</v>
      </c>
    </row>
    <row r="842" spans="1:2" x14ac:dyDescent="0.25">
      <c r="A842">
        <f ca="1">29090.34051821*((RANDBETWEEN(2979,3282)))</f>
        <v>88958261.304686129</v>
      </c>
      <c r="B842">
        <v>168272470.36560646</v>
      </c>
    </row>
    <row r="843" spans="1:2" x14ac:dyDescent="0.25">
      <c r="A843">
        <f ca="1">28328.8668246142*((RANDBETWEEN(2979,3282)))</f>
        <v>92578736.782839298</v>
      </c>
      <c r="B843">
        <v>170110020.38514426</v>
      </c>
    </row>
    <row r="844" spans="1:2" x14ac:dyDescent="0.25">
      <c r="A844">
        <f ca="1">31819.7400161138*((RANDBETWEEN(2979,3282)))</f>
        <v>95554679.268389642</v>
      </c>
      <c r="B844">
        <v>195825436.60380277</v>
      </c>
    </row>
    <row r="845" spans="1:2" x14ac:dyDescent="0.25">
      <c r="A845">
        <f ca="1">29955.7331444353*((RANDBETWEEN(2979,3282)))</f>
        <v>90196712.49789463</v>
      </c>
      <c r="B845">
        <v>189721357.9012531</v>
      </c>
    </row>
    <row r="846" spans="1:2" x14ac:dyDescent="0.25">
      <c r="A846">
        <f ca="1">26407.5520750925*((RANDBETWEEN(2979,3282)))</f>
        <v>78852950.496226251</v>
      </c>
      <c r="B846">
        <v>144597011.86909387</v>
      </c>
    </row>
    <row r="847" spans="1:2" x14ac:dyDescent="0.25">
      <c r="A847">
        <f ca="1">28723.8728675028*((RANDBETWEEN(2979,3282)))</f>
        <v>88842938.77918613</v>
      </c>
      <c r="B847">
        <v>195252089.83735093</v>
      </c>
    </row>
    <row r="848" spans="1:2" x14ac:dyDescent="0.25">
      <c r="A848">
        <f ca="1">29147.9939919278*((RANDBETWEEN(2979,3282)))</f>
        <v>87356537.99380748</v>
      </c>
      <c r="B848">
        <v>167223997.69651476</v>
      </c>
    </row>
    <row r="849" spans="1:2" x14ac:dyDescent="0.25">
      <c r="A849">
        <f ca="1">27573.4565480356*((RANDBETWEEN(2979,3282)))</f>
        <v>82747943.10065487</v>
      </c>
      <c r="B849">
        <v>143161219.55062422</v>
      </c>
    </row>
    <row r="850" spans="1:2" x14ac:dyDescent="0.25">
      <c r="A850">
        <f ca="1">27913.9556528243*((RANDBETWEEN(2979,3282)))</f>
        <v>90804097.738637552</v>
      </c>
      <c r="B850">
        <v>190095081.44493139</v>
      </c>
    </row>
    <row r="851" spans="1:2" x14ac:dyDescent="0.25">
      <c r="A851">
        <f ca="1">29142.0867423116*((RANDBETWEEN(2979,3282)))</f>
        <v>87163981.446253896</v>
      </c>
      <c r="B851">
        <v>157647336.21771163</v>
      </c>
    </row>
    <row r="852" spans="1:2" x14ac:dyDescent="0.25">
      <c r="A852">
        <f ca="1">26908.4335157639*((RANDBETWEEN(2979,3282)))</f>
        <v>85757177.614739567</v>
      </c>
      <c r="B852">
        <v>143545681.23057643</v>
      </c>
    </row>
    <row r="853" spans="1:2" x14ac:dyDescent="0.25">
      <c r="A853">
        <f ca="1">27667.1981795106*((RANDBETWEEN(2979,3282)))</f>
        <v>83776276.087558001</v>
      </c>
      <c r="B853">
        <v>169986592.71798807</v>
      </c>
    </row>
    <row r="854" spans="1:2" x14ac:dyDescent="0.25">
      <c r="A854">
        <f ca="1">28463.0576967635*((RANDBETWEEN(2979,3282)))</f>
        <v>93330366.187687576</v>
      </c>
      <c r="B854">
        <v>177867189.55809534</v>
      </c>
    </row>
    <row r="855" spans="1:2" x14ac:dyDescent="0.25">
      <c r="A855">
        <f ca="1">31218.7494332823*((RANDBETWEEN(2979,3282)))</f>
        <v>98869779.455205142</v>
      </c>
      <c r="B855">
        <v>165912245.30315253</v>
      </c>
    </row>
    <row r="856" spans="1:2" x14ac:dyDescent="0.25">
      <c r="A856">
        <f ca="1">28196.4095050358*((RANDBETWEEN(2979,3282)))</f>
        <v>91187188.33928591</v>
      </c>
      <c r="B856">
        <v>175801696.96338668</v>
      </c>
    </row>
    <row r="857" spans="1:2" x14ac:dyDescent="0.25">
      <c r="A857">
        <f ca="1">26997.1184663478*((RANDBETWEEN(2979,3282)))</f>
        <v>85580865.538322538</v>
      </c>
      <c r="B857">
        <v>150187427.78093329</v>
      </c>
    </row>
    <row r="858" spans="1:2" x14ac:dyDescent="0.25">
      <c r="A858">
        <f ca="1">32592.6305056409*((RANDBETWEEN(2979,3282)))</f>
        <v>103351231.33338717</v>
      </c>
      <c r="B858">
        <v>203392274.69841018</v>
      </c>
    </row>
    <row r="859" spans="1:2" x14ac:dyDescent="0.25">
      <c r="A859">
        <f ca="1">29081.8757224997*((RANDBETWEEN(2979,3282)))</f>
        <v>91549744.774429157</v>
      </c>
      <c r="B859">
        <v>187175734.31639093</v>
      </c>
    </row>
    <row r="860" spans="1:2" x14ac:dyDescent="0.25">
      <c r="A860">
        <f ca="1">26252.6186208692*((RANDBETWEEN(2979,3282)))</f>
        <v>82065685.808837071</v>
      </c>
      <c r="B860">
        <v>145561613.23128152</v>
      </c>
    </row>
    <row r="861" spans="1:2" x14ac:dyDescent="0.25">
      <c r="A861">
        <f ca="1">26501.8840116725*((RANDBETWEEN(2979,3282)))</f>
        <v>85919107.965842128</v>
      </c>
      <c r="B861">
        <v>153339351.06768948</v>
      </c>
    </row>
    <row r="862" spans="1:2" x14ac:dyDescent="0.25">
      <c r="A862">
        <f ca="1">30616.7006704425*((RANDBETWEEN(2979,3282)))</f>
        <v>97116174.526643574</v>
      </c>
      <c r="B862">
        <v>155161203.43882152</v>
      </c>
    </row>
    <row r="863" spans="1:2" x14ac:dyDescent="0.25">
      <c r="A863">
        <f ca="1">26877.9057969307*((RANDBETWEEN(2979,3282)))</f>
        <v>87971385.673354313</v>
      </c>
      <c r="B863">
        <v>175130222.70080686</v>
      </c>
    </row>
    <row r="864" spans="1:2" x14ac:dyDescent="0.25">
      <c r="A864">
        <f ca="1">27169.5906670865*((RANDBETWEEN(2979,3282)))</f>
        <v>83247625.803952962</v>
      </c>
      <c r="B864">
        <v>190892622.98843378</v>
      </c>
    </row>
    <row r="865" spans="1:2" x14ac:dyDescent="0.25">
      <c r="A865">
        <f ca="1">27632.8618465454*((RANDBETWEEN(2979,3282)))</f>
        <v>83478875.638413802</v>
      </c>
      <c r="B865">
        <v>196904825.03770384</v>
      </c>
    </row>
    <row r="866" spans="1:2" x14ac:dyDescent="0.25">
      <c r="A866">
        <f ca="1">31004.9491240284*((RANDBETWEEN(2979,3282)))</f>
        <v>95991322.487992033</v>
      </c>
      <c r="B866">
        <v>160321156.15229419</v>
      </c>
    </row>
    <row r="867" spans="1:2" x14ac:dyDescent="0.25">
      <c r="A867">
        <f ca="1">28548.3896530076*((RANDBETWEEN(2979,3282)))</f>
        <v>85502427.01075764</v>
      </c>
      <c r="B867">
        <v>174414315.32603157</v>
      </c>
    </row>
    <row r="868" spans="1:2" x14ac:dyDescent="0.25">
      <c r="A868">
        <f ca="1">26162.8162543315*((RANDBETWEEN(2979,3282)))</f>
        <v>83982640.176403955</v>
      </c>
      <c r="B868">
        <v>201625577.56676066</v>
      </c>
    </row>
    <row r="869" spans="1:2" x14ac:dyDescent="0.25">
      <c r="A869">
        <f ca="1">32555.243197042*((RANDBETWEEN(2979,3282)))</f>
        <v>105837095.63358359</v>
      </c>
      <c r="B869">
        <v>169704039.61227736</v>
      </c>
    </row>
    <row r="870" spans="1:2" x14ac:dyDescent="0.25">
      <c r="A870">
        <f ca="1">27750.2959314174*((RANDBETWEEN(2979,3282)))</f>
        <v>88301441.653770268</v>
      </c>
      <c r="B870">
        <v>182963527.69659328</v>
      </c>
    </row>
    <row r="871" spans="1:2" x14ac:dyDescent="0.25">
      <c r="A871">
        <f ca="1">30601.3908656021*((RANDBETWEEN(2979,3282)))</f>
        <v>97006409.043958664</v>
      </c>
      <c r="B871">
        <v>181106386.3664546</v>
      </c>
    </row>
    <row r="872" spans="1:2" x14ac:dyDescent="0.25">
      <c r="A872">
        <f ca="1">28723.082440193*((RANDBETWEEN(2979,3282)))</f>
        <v>87892632.266990677</v>
      </c>
      <c r="B872">
        <v>164336356.22241956</v>
      </c>
    </row>
    <row r="873" spans="1:2" x14ac:dyDescent="0.25">
      <c r="A873">
        <f ca="1">29414.1941491337*((RANDBETWEEN(2979,3282)))</f>
        <v>90625132.173480853</v>
      </c>
      <c r="B873">
        <v>185356666.43321288</v>
      </c>
    </row>
    <row r="874" spans="1:2" x14ac:dyDescent="0.25">
      <c r="A874">
        <f ca="1">27144.6152642257*((RANDBETWEEN(2979,3282)))</f>
        <v>82492485.787981927</v>
      </c>
      <c r="B874">
        <v>145032035.29204768</v>
      </c>
    </row>
    <row r="875" spans="1:2" x14ac:dyDescent="0.25">
      <c r="A875">
        <f ca="1">25190.8395766217*((RANDBETWEEN(2979,3282)))</f>
        <v>80963358.39926222</v>
      </c>
      <c r="B875">
        <v>144037150.70931417</v>
      </c>
    </row>
    <row r="876" spans="1:2" x14ac:dyDescent="0.25">
      <c r="A876">
        <f ca="1">30093.4141151966*((RANDBETWEEN(2979,3282)))</f>
        <v>92627528.646575078</v>
      </c>
      <c r="B876">
        <v>155802570.49894035</v>
      </c>
    </row>
    <row r="877" spans="1:2" x14ac:dyDescent="0.25">
      <c r="A877">
        <f ca="1">30072.3526740386*((RANDBETWEEN(2979,3282)))</f>
        <v>90517781.548856184</v>
      </c>
      <c r="B877">
        <v>174286530.83186066</v>
      </c>
    </row>
    <row r="878" spans="1:2" x14ac:dyDescent="0.25">
      <c r="A878">
        <f ca="1">29873.311420922*((RANDBETWEEN(2979,3282)))</f>
        <v>94788017.138585523</v>
      </c>
      <c r="B878">
        <v>165872834.68686956</v>
      </c>
    </row>
    <row r="879" spans="1:2" x14ac:dyDescent="0.25">
      <c r="A879">
        <f ca="1">26550.8515276759*((RANDBETWEEN(2979,3282)))</f>
        <v>85201682.552311882</v>
      </c>
      <c r="B879">
        <v>173849916.4093233</v>
      </c>
    </row>
    <row r="880" spans="1:2" x14ac:dyDescent="0.25">
      <c r="A880">
        <f ca="1">27555.7476893901*((RANDBETWEEN(2979,3282)))</f>
        <v>86993495.455404416</v>
      </c>
      <c r="B880">
        <v>147024981.78808957</v>
      </c>
    </row>
    <row r="881" spans="1:2" x14ac:dyDescent="0.25">
      <c r="A881">
        <f ca="1">27346.3963028135*((RANDBETWEEN(2979,3282)))</f>
        <v>81546953.774989754</v>
      </c>
      <c r="B881">
        <v>180802074.39032027</v>
      </c>
    </row>
    <row r="882" spans="1:2" x14ac:dyDescent="0.25">
      <c r="A882">
        <f ca="1">26635.619199536*((RANDBETWEEN(2979,3282)))</f>
        <v>83822293.620939836</v>
      </c>
      <c r="B882">
        <v>144004991.65466493</v>
      </c>
    </row>
    <row r="883" spans="1:2" x14ac:dyDescent="0.25">
      <c r="A883">
        <f ca="1">27432.7100461082*((RANDBETWEEN(2979,3282)))</f>
        <v>84794506.752520591</v>
      </c>
      <c r="B883">
        <v>182145656.82371902</v>
      </c>
    </row>
    <row r="884" spans="1:2" x14ac:dyDescent="0.25">
      <c r="A884">
        <f ca="1">29450.3148861486*((RANDBETWEEN(2979,3282)))</f>
        <v>87850289.305381387</v>
      </c>
      <c r="B884">
        <v>165400346.19135529</v>
      </c>
    </row>
    <row r="885" spans="1:2" x14ac:dyDescent="0.25">
      <c r="A885">
        <f ca="1">27157.6265051172*((RANDBETWEEN(2979,3282)))</f>
        <v>88751123.418723106</v>
      </c>
      <c r="B885">
        <v>158940671.78608048</v>
      </c>
    </row>
    <row r="886" spans="1:2" x14ac:dyDescent="0.25">
      <c r="A886">
        <f ca="1">27472.9868172315*((RANDBETWEEN(2979,3282)))</f>
        <v>84039866.673911124</v>
      </c>
      <c r="B886">
        <v>170833149.07252744</v>
      </c>
    </row>
    <row r="887" spans="1:2" x14ac:dyDescent="0.25">
      <c r="A887">
        <f ca="1">26799.1356704891*((RANDBETWEEN(2979,3282)))</f>
        <v>82407342.186753854</v>
      </c>
      <c r="B887">
        <v>160531316.00617072</v>
      </c>
    </row>
    <row r="888" spans="1:2" x14ac:dyDescent="0.25">
      <c r="A888">
        <f ca="1">26279.8819674884*((RANDBETWEEN(2979,3282)))</f>
        <v>85908934.151719704</v>
      </c>
      <c r="B888">
        <v>184135497.06404465</v>
      </c>
    </row>
    <row r="889" spans="1:2" x14ac:dyDescent="0.25">
      <c r="A889">
        <f ca="1">25681.7480229972*((RANDBETWEEN(2979,3282)))</f>
        <v>83003409.610327095</v>
      </c>
      <c r="B889">
        <v>202326077.88069087</v>
      </c>
    </row>
    <row r="890" spans="1:2" x14ac:dyDescent="0.25">
      <c r="A890">
        <f ca="1">26960.0451883951*((RANDBETWEEN(2979,3282)))</f>
        <v>85921664.015415177</v>
      </c>
      <c r="B890">
        <v>144521915.13305759</v>
      </c>
    </row>
    <row r="891" spans="1:2" x14ac:dyDescent="0.25">
      <c r="A891">
        <f ca="1">29186.8373502944*((RANDBETWEEN(2979,3282)))</f>
        <v>90566756.297963366</v>
      </c>
      <c r="B891">
        <v>188611926.92326495</v>
      </c>
    </row>
    <row r="892" spans="1:2" x14ac:dyDescent="0.25">
      <c r="A892">
        <f ca="1">25781.5103737077*((RANDBETWEEN(2979,3282)))</f>
        <v>81650043.353532374</v>
      </c>
      <c r="B892">
        <v>168000904.45571154</v>
      </c>
    </row>
    <row r="893" spans="1:2" x14ac:dyDescent="0.25">
      <c r="A893">
        <f ca="1">27941.4526428128*((RANDBETWEEN(2979,3282)))</f>
        <v>88937643.762073129</v>
      </c>
      <c r="B893">
        <v>161795524.86510417</v>
      </c>
    </row>
    <row r="894" spans="1:2" x14ac:dyDescent="0.25">
      <c r="A894">
        <f ca="1">29519.4665121891*((RANDBETWEEN(2979,3282)))</f>
        <v>88027049.139348015</v>
      </c>
      <c r="B894">
        <v>178778073.86283138</v>
      </c>
    </row>
    <row r="895" spans="1:2" x14ac:dyDescent="0.25">
      <c r="A895">
        <f ca="1">26662.517133015*((RANDBETWEEN(2979,3282)))</f>
        <v>84573504.345923677</v>
      </c>
      <c r="B895">
        <v>145719487.66314337</v>
      </c>
    </row>
    <row r="896" spans="1:2" x14ac:dyDescent="0.25">
      <c r="A896">
        <f ca="1">26473.9800143215*((RANDBETWEEN(2979,3282)))</f>
        <v>83684250.825270131</v>
      </c>
      <c r="B896">
        <v>164353926.3220824</v>
      </c>
    </row>
    <row r="897" spans="1:2" x14ac:dyDescent="0.25">
      <c r="A897">
        <f ca="1">26798.386229913*((RANDBETWEEN(2979,3282)))</f>
        <v>87737916.516735241</v>
      </c>
      <c r="B897">
        <v>145505002.75839913</v>
      </c>
    </row>
    <row r="898" spans="1:2" x14ac:dyDescent="0.25">
      <c r="A898">
        <f ca="1">27798.9956602587*((RANDBETWEEN(2979,3282)))</f>
        <v>87678032.312455982</v>
      </c>
      <c r="B898">
        <v>166709588.78507769</v>
      </c>
    </row>
    <row r="899" spans="1:2" x14ac:dyDescent="0.25">
      <c r="A899">
        <f ca="1">25585.587036876*((RANDBETWEEN(2979,3282)))</f>
        <v>76859103.458775386</v>
      </c>
      <c r="B899">
        <v>151525127.64986652</v>
      </c>
    </row>
    <row r="900" spans="1:2" x14ac:dyDescent="0.25">
      <c r="A900">
        <f ca="1">28706.7580496771*((RANDBETWEEN(2979,3282)))</f>
        <v>94100752.88684158</v>
      </c>
      <c r="B900">
        <v>190159054.19965294</v>
      </c>
    </row>
    <row r="901" spans="1:2" x14ac:dyDescent="0.25">
      <c r="A901">
        <f ca="1">25407.445270017*((RANDBETWEEN(2979,3282)))</f>
        <v>79652340.921503395</v>
      </c>
      <c r="B901">
        <v>144607150.16084734</v>
      </c>
    </row>
    <row r="902" spans="1:2" x14ac:dyDescent="0.25">
      <c r="A902">
        <f ca="1">27851.6458052177*((RANDBETWEEN(2979,3282)))</f>
        <v>83248569.311795756</v>
      </c>
      <c r="B902">
        <v>154015548.09082186</v>
      </c>
    </row>
    <row r="903" spans="1:2" x14ac:dyDescent="0.25">
      <c r="A903">
        <f ca="1">26440.5230843997*((RANDBETWEEN(2979,3282)))</f>
        <v>84556792.823910147</v>
      </c>
      <c r="B903">
        <v>182134050.97626853</v>
      </c>
    </row>
    <row r="904" spans="1:2" x14ac:dyDescent="0.25">
      <c r="A904">
        <f ca="1">30288.4064205224*((RANDBETWEEN(2979,3282)))</f>
        <v>95741652.695271432</v>
      </c>
      <c r="B904">
        <v>193958339.10447255</v>
      </c>
    </row>
    <row r="905" spans="1:2" x14ac:dyDescent="0.25">
      <c r="A905">
        <f ca="1">27374.5454526905*((RANDBETWEEN(2979,3282)))</f>
        <v>84505221.81245546</v>
      </c>
      <c r="B905">
        <v>180454451.11368704</v>
      </c>
    </row>
    <row r="906" spans="1:2" x14ac:dyDescent="0.25">
      <c r="A906">
        <f ca="1">27728.4198665253*((RANDBETWEEN(2979,3282)))</f>
        <v>83795284.836639419</v>
      </c>
      <c r="B906">
        <v>159950587.84669498</v>
      </c>
    </row>
    <row r="907" spans="1:2" x14ac:dyDescent="0.25">
      <c r="A907">
        <f ca="1">26423.1964653678*((RANDBETWEEN(2979,3282)))</f>
        <v>80088708.486529827</v>
      </c>
      <c r="B907">
        <v>158135611.37574449</v>
      </c>
    </row>
    <row r="908" spans="1:2" x14ac:dyDescent="0.25">
      <c r="A908">
        <f ca="1">27296.9222524793*((RANDBETWEEN(2979,3282)))</f>
        <v>88742294.24281022</v>
      </c>
      <c r="B908">
        <v>144036374.99012128</v>
      </c>
    </row>
    <row r="909" spans="1:2" x14ac:dyDescent="0.25">
      <c r="A909">
        <f ca="1">26867.270873265*((RANDBETWEEN(2979,3282)))</f>
        <v>86539479.482786566</v>
      </c>
      <c r="B909">
        <v>157444772.78633329</v>
      </c>
    </row>
    <row r="910" spans="1:2" x14ac:dyDescent="0.25">
      <c r="A910">
        <f ca="1">27898.7094728295*((RANDBETWEEN(2979,3282)))</f>
        <v>87322960.649956241</v>
      </c>
      <c r="B910">
        <v>150362124.15669999</v>
      </c>
    </row>
    <row r="911" spans="1:2" x14ac:dyDescent="0.25">
      <c r="A911">
        <f ca="1">30005.1177087793*((RANDBETWEEN(2979,3282)))</f>
        <v>92895844.426380828</v>
      </c>
      <c r="B911">
        <v>164004385.48457226</v>
      </c>
    </row>
    <row r="912" spans="1:2" x14ac:dyDescent="0.25">
      <c r="A912">
        <f ca="1">25617.0315273215*((RANDBETWEEN(2979,3282)))</f>
        <v>77004796.771128371</v>
      </c>
      <c r="B912">
        <v>154204350.02079242</v>
      </c>
    </row>
    <row r="913" spans="1:2" x14ac:dyDescent="0.25">
      <c r="A913">
        <f ca="1">26682.9209780057*((RANDBETWEEN(2979,3282)))</f>
        <v>82316811.217147633</v>
      </c>
      <c r="B913">
        <v>159457633.25263539</v>
      </c>
    </row>
    <row r="914" spans="1:2" x14ac:dyDescent="0.25">
      <c r="A914">
        <f ca="1">26734.2579596414*((RANDBETWEEN(2979,3282)))</f>
        <v>85763499.534529701</v>
      </c>
      <c r="B914">
        <v>165714110.64821279</v>
      </c>
    </row>
    <row r="915" spans="1:2" x14ac:dyDescent="0.25">
      <c r="A915">
        <f ca="1">29532.8628810428*((RANDBETWEEN(2979,3282)))</f>
        <v>94505161.219337076</v>
      </c>
      <c r="B915">
        <v>146189853.31455365</v>
      </c>
    </row>
    <row r="916" spans="1:2" x14ac:dyDescent="0.25">
      <c r="A916">
        <f ca="1">30747.8126682658*((RANDBETWEEN(2979,3282)))</f>
        <v>98761974.290469661</v>
      </c>
      <c r="B916">
        <v>154498839.74967176</v>
      </c>
    </row>
    <row r="917" spans="1:2" x14ac:dyDescent="0.25">
      <c r="A917">
        <f ca="1">24798.0517892646*((RANDBETWEEN(2979,3282)))</f>
        <v>75435673.542942896</v>
      </c>
      <c r="B917">
        <v>154878412.11925519</v>
      </c>
    </row>
    <row r="918" spans="1:2" x14ac:dyDescent="0.25">
      <c r="A918">
        <f ca="1">28475.8226132211*((RANDBETWEEN(2979,3282)))</f>
        <v>85484419.48488988</v>
      </c>
      <c r="B918">
        <v>178962397.51877117</v>
      </c>
    </row>
    <row r="919" spans="1:2" x14ac:dyDescent="0.25">
      <c r="A919">
        <f ca="1">26990.3838218696*((RANDBETWEEN(2979,3282)))</f>
        <v>86693112.835845143</v>
      </c>
      <c r="B919">
        <v>152583619.96882254</v>
      </c>
    </row>
    <row r="920" spans="1:2" x14ac:dyDescent="0.25">
      <c r="A920">
        <f ca="1">26641.4009213212*((RANDBETWEEN(2979,3282)))</f>
        <v>83920412.902161807</v>
      </c>
      <c r="B920">
        <v>176977968.64046097</v>
      </c>
    </row>
    <row r="921" spans="1:2" x14ac:dyDescent="0.25">
      <c r="A921">
        <f ca="1">28597.6026445266*((RANDBETWEEN(2979,3282)))</f>
        <v>89481898.674723759</v>
      </c>
      <c r="B921">
        <v>148607219.79899219</v>
      </c>
    </row>
    <row r="922" spans="1:2" x14ac:dyDescent="0.25">
      <c r="A922">
        <f ca="1">30508.0248678533*((RANDBETWEEN(2979,3282)))</f>
        <v>91066454.230542168</v>
      </c>
      <c r="B922">
        <v>162758239.94833893</v>
      </c>
    </row>
    <row r="923" spans="1:2" x14ac:dyDescent="0.25">
      <c r="A923">
        <f ca="1">28079.2257204786*((RANDBETWEEN(2979,3282)))</f>
        <v>84490390.192920193</v>
      </c>
      <c r="B923">
        <v>189999987.41288584</v>
      </c>
    </row>
    <row r="924" spans="1:2" x14ac:dyDescent="0.25">
      <c r="A924">
        <f ca="1">27397.5338430953*((RANDBETWEEN(2979,3282)))</f>
        <v>83836453.559871569</v>
      </c>
      <c r="B924">
        <v>143850781.8636345</v>
      </c>
    </row>
    <row r="925" spans="1:2" x14ac:dyDescent="0.25">
      <c r="A925">
        <f ca="1">25358.0854928377*((RANDBETWEEN(2979,3282)))</f>
        <v>75541736.683163509</v>
      </c>
      <c r="B925">
        <v>146807206.10617605</v>
      </c>
    </row>
    <row r="926" spans="1:2" x14ac:dyDescent="0.25">
      <c r="A926">
        <f ca="1">27898.9157844261*((RANDBETWEEN(2979,3282)))</f>
        <v>91480544.857133165</v>
      </c>
      <c r="B926">
        <v>191654136.80268043</v>
      </c>
    </row>
    <row r="927" spans="1:2" x14ac:dyDescent="0.25">
      <c r="A927">
        <f ca="1">27617.6964242716*((RANDBETWEEN(2979,3282)))</f>
        <v>85283446.558150783</v>
      </c>
      <c r="B927">
        <v>162543060.24859121</v>
      </c>
    </row>
    <row r="928" spans="1:2" x14ac:dyDescent="0.25">
      <c r="A928">
        <f ca="1">27845.9827276977*((RANDBETWEEN(2979,3282)))</f>
        <v>83510102.200365514</v>
      </c>
      <c r="B928">
        <v>166052928.43848109</v>
      </c>
    </row>
    <row r="929" spans="1:2" x14ac:dyDescent="0.25">
      <c r="A929">
        <f ca="1">30658.0150945132*((RANDBETWEEN(2979,3282)))</f>
        <v>94947872.747707292</v>
      </c>
      <c r="B929">
        <v>163223133.03957751</v>
      </c>
    </row>
    <row r="930" spans="1:2" x14ac:dyDescent="0.25">
      <c r="A930">
        <f ca="1">27997.3256216127*((RANDBETWEEN(2979,3282)))</f>
        <v>85979786.983972475</v>
      </c>
      <c r="B930">
        <v>154818716.6844393</v>
      </c>
    </row>
    <row r="931" spans="1:2" x14ac:dyDescent="0.25">
      <c r="A931">
        <f ca="1">26837.8967194323*((RANDBETWEEN(2979,3282)))</f>
        <v>84593050.459650666</v>
      </c>
      <c r="B931">
        <v>189904422.99156988</v>
      </c>
    </row>
    <row r="932" spans="1:2" x14ac:dyDescent="0.25">
      <c r="A932">
        <f ca="1">27327.3603968599*((RANDBETWEEN(2979,3282)))</f>
        <v>84988090.834234133</v>
      </c>
      <c r="B932">
        <v>162286768.099733</v>
      </c>
    </row>
    <row r="933" spans="1:2" x14ac:dyDescent="0.25">
      <c r="A933">
        <f ca="1">31227.4971656679*((RANDBETWEEN(2979,3282)))</f>
        <v>97242426.173889741</v>
      </c>
      <c r="B933">
        <v>189673277.6371094</v>
      </c>
    </row>
    <row r="934" spans="1:2" x14ac:dyDescent="0.25">
      <c r="A934">
        <f ca="1">26314.8691975128*((RANDBETWEEN(2979,3282)))</f>
        <v>84733878.815991282</v>
      </c>
      <c r="B934">
        <v>167373819.45206025</v>
      </c>
    </row>
    <row r="935" spans="1:2" x14ac:dyDescent="0.25">
      <c r="A935">
        <f ca="1">29412.5280909165*((RANDBETWEEN(2979,3282)))</f>
        <v>88884659.890749693</v>
      </c>
      <c r="B935">
        <v>191424357.10547978</v>
      </c>
    </row>
    <row r="936" spans="1:2" x14ac:dyDescent="0.25">
      <c r="A936">
        <f ca="1">27253.3503757252*((RANDBETWEEN(2979,3282)))</f>
        <v>88791415.524112776</v>
      </c>
      <c r="B936">
        <v>162754878.90943921</v>
      </c>
    </row>
    <row r="937" spans="1:2" x14ac:dyDescent="0.25">
      <c r="A937">
        <f ca="1">26107.030779622*((RANDBETWEEN(2979,3282)))</f>
        <v>84430137.541297466</v>
      </c>
      <c r="B937">
        <v>178121146.20265809</v>
      </c>
    </row>
    <row r="938" spans="1:2" x14ac:dyDescent="0.25">
      <c r="A938">
        <f ca="1">25276.9581226752*((RANDBETWEEN(2979,3282)))</f>
        <v>78712447.594010651</v>
      </c>
      <c r="B938">
        <v>160222844.28389862</v>
      </c>
    </row>
    <row r="939" spans="1:2" x14ac:dyDescent="0.25">
      <c r="A939">
        <f ca="1">27114.0308689053*((RANDBETWEEN(2979,3282)))</f>
        <v>86575100.56441468</v>
      </c>
      <c r="B939">
        <v>163680008.52181712</v>
      </c>
    </row>
    <row r="940" spans="1:2" x14ac:dyDescent="0.25">
      <c r="A940">
        <f ca="1">25575.0789059389*((RANDBETWEEN(2979,3282)))</f>
        <v>83937408.969291419</v>
      </c>
      <c r="B940">
        <v>143191587.74057776</v>
      </c>
    </row>
    <row r="941" spans="1:2" x14ac:dyDescent="0.25">
      <c r="A941">
        <f ca="1">26183.2403472003*((RANDBETWEEN(2979,3282)))</f>
        <v>85043164.647706732</v>
      </c>
      <c r="B941">
        <v>152728839.47523421</v>
      </c>
    </row>
    <row r="942" spans="1:2" x14ac:dyDescent="0.25">
      <c r="A942">
        <f ca="1">26461.3159242245*((RANDBETWEEN(2979,3282)))</f>
        <v>85999276.753729746</v>
      </c>
      <c r="B942">
        <v>144182499.29643396</v>
      </c>
    </row>
    <row r="943" spans="1:2" x14ac:dyDescent="0.25">
      <c r="A943">
        <f ca="1">28232.9712990641*((RANDBETWEEN(2979,3282)))</f>
        <v>90571371.927397713</v>
      </c>
      <c r="B943">
        <v>183583578.70114195</v>
      </c>
    </row>
    <row r="944" spans="1:2" x14ac:dyDescent="0.25">
      <c r="A944">
        <f ca="1">26357.7175768677*((RANDBETWEEN(2979,3282)))</f>
        <v>84924566.032667831</v>
      </c>
      <c r="B944">
        <v>150197337.26365826</v>
      </c>
    </row>
    <row r="945" spans="1:2" x14ac:dyDescent="0.25">
      <c r="A945">
        <f ca="1">26115.2462113218*((RANDBETWEEN(2979,3282)))</f>
        <v>82054103.595973045</v>
      </c>
      <c r="B945">
        <v>167387946.19893423</v>
      </c>
    </row>
    <row r="946" spans="1:2" x14ac:dyDescent="0.25">
      <c r="A946">
        <f ca="1">26508.0273121739*((RANDBETWEEN(2979,3282)))</f>
        <v>83659334.197220847</v>
      </c>
      <c r="B946">
        <v>150007173.36961997</v>
      </c>
    </row>
    <row r="947" spans="1:2" x14ac:dyDescent="0.25">
      <c r="A947">
        <f ca="1">26417.117197748*((RANDBETWEEN(2979,3282)))</f>
        <v>80202367.812362805</v>
      </c>
      <c r="B947">
        <v>168247502.06438783</v>
      </c>
    </row>
    <row r="948" spans="1:2" x14ac:dyDescent="0.25">
      <c r="A948">
        <f ca="1">27152.385289053*((RANDBETWEEN(2979,3282)))</f>
        <v>82326032.196408689</v>
      </c>
      <c r="B948">
        <v>180562472.91383013</v>
      </c>
    </row>
    <row r="949" spans="1:2" x14ac:dyDescent="0.25">
      <c r="A949">
        <f ca="1">26442.085004708*((RANDBETWEEN(2979,3282)))</f>
        <v>86174755.030343235</v>
      </c>
      <c r="B949">
        <v>143724519.50132501</v>
      </c>
    </row>
    <row r="950" spans="1:2" x14ac:dyDescent="0.25">
      <c r="A950">
        <f ca="1">28063.400406829*((RANDBETWEEN(2979,3282)))</f>
        <v>85874005.24489665</v>
      </c>
      <c r="B950">
        <v>150630224.2278291</v>
      </c>
    </row>
    <row r="951" spans="1:2" x14ac:dyDescent="0.25">
      <c r="A951">
        <f ca="1">30276.7236989976*((RANDBETWEEN(2979,3282)))</f>
        <v>94947805.520056471</v>
      </c>
      <c r="B951">
        <v>151503280.41468358</v>
      </c>
    </row>
    <row r="952" spans="1:2" x14ac:dyDescent="0.25">
      <c r="A952">
        <f ca="1">31224.9525421591*((RANDBETWEEN(2979,3282)))</f>
        <v>101574770.61964357</v>
      </c>
      <c r="B952">
        <v>163565910.89819092</v>
      </c>
    </row>
    <row r="953" spans="1:2" x14ac:dyDescent="0.25">
      <c r="A953">
        <f ca="1">30414.1253124795*((RANDBETWEEN(2979,3282)))</f>
        <v>96351948.989934981</v>
      </c>
      <c r="B953">
        <v>148469594.54399431</v>
      </c>
    </row>
    <row r="954" spans="1:2" x14ac:dyDescent="0.25">
      <c r="A954">
        <f ca="1">27454.475090052*((RANDBETWEEN(2979,3282)))</f>
        <v>89721224.594289914</v>
      </c>
      <c r="B954">
        <v>169407532.4876613</v>
      </c>
    </row>
    <row r="955" spans="1:2" x14ac:dyDescent="0.25">
      <c r="A955">
        <f ca="1">25192.6279650805*((RANDBETWEEN(2979,3282)))</f>
        <v>80389675.836571962</v>
      </c>
      <c r="B955">
        <v>187524576.78102776</v>
      </c>
    </row>
    <row r="956" spans="1:2" x14ac:dyDescent="0.25">
      <c r="A956">
        <f ca="1">26205.9626201723*((RANDBETWEEN(2979,3282)))</f>
        <v>82837047.842364535</v>
      </c>
      <c r="B956">
        <v>163289915.70538628</v>
      </c>
    </row>
    <row r="957" spans="1:2" x14ac:dyDescent="0.25">
      <c r="A957">
        <f ca="1">26243.4674443637*((RANDBETWEEN(2979,3282)))</f>
        <v>80934853.598417729</v>
      </c>
      <c r="B957">
        <v>183976089.96727678</v>
      </c>
    </row>
    <row r="958" spans="1:2" x14ac:dyDescent="0.25">
      <c r="A958">
        <f ca="1">31292.6630472974*((RANDBETWEEN(2979,3282)))</f>
        <v>95943304.903013721</v>
      </c>
      <c r="B958">
        <v>158859404.9519389</v>
      </c>
    </row>
    <row r="959" spans="1:2" x14ac:dyDescent="0.25">
      <c r="A959">
        <f ca="1">26715.4825700705*((RANDBETWEEN(2979,3282)))</f>
        <v>87199335.108710155</v>
      </c>
      <c r="B959">
        <v>200954671.76072696</v>
      </c>
    </row>
    <row r="960" spans="1:2" x14ac:dyDescent="0.25">
      <c r="A960">
        <f ca="1">26230.2162512683*((RANDBETWEEN(2979,3282)))</f>
        <v>85195742.384119332</v>
      </c>
      <c r="B960">
        <v>147666647.50660053</v>
      </c>
    </row>
    <row r="961" spans="1:2" x14ac:dyDescent="0.25">
      <c r="A961">
        <f ca="1">30282.9398546145*((RANDBETWEEN(2979,3282)))</f>
        <v>92211551.857301041</v>
      </c>
      <c r="B961">
        <v>181700346.02369142</v>
      </c>
    </row>
    <row r="962" spans="1:2" x14ac:dyDescent="0.25">
      <c r="A962">
        <f ca="1">27470.5038781402*((RANDBETWEEN(2979,3282)))</f>
        <v>83263097.254643083</v>
      </c>
      <c r="B962">
        <v>193318921.188905</v>
      </c>
    </row>
    <row r="963" spans="1:2" x14ac:dyDescent="0.25">
      <c r="A963">
        <f ca="1">27782.2281619849*((RANDBETWEEN(2979,3282)))</f>
        <v>83402248.942278713</v>
      </c>
      <c r="B963">
        <v>148308973.36003202</v>
      </c>
    </row>
    <row r="964" spans="1:2" x14ac:dyDescent="0.25">
      <c r="A964">
        <f ca="1">25658.2802057778*((RANDBETWEEN(2979,3282)))</f>
        <v>83107169.58651419</v>
      </c>
      <c r="B964">
        <v>147646881.12168086</v>
      </c>
    </row>
    <row r="965" spans="1:2" x14ac:dyDescent="0.25">
      <c r="A965">
        <f ca="1">27780.1305936386*((RANDBETWEEN(2979,3282)))</f>
        <v>87007369.019276038</v>
      </c>
      <c r="B965">
        <v>197369856.35433859</v>
      </c>
    </row>
    <row r="966" spans="1:2" x14ac:dyDescent="0.25">
      <c r="A966">
        <f ca="1">28863.0189406844*((RANDBETWEEN(2979,3282)))</f>
        <v>86675645.87887539</v>
      </c>
      <c r="B966">
        <v>160808464.00638741</v>
      </c>
    </row>
    <row r="967" spans="1:2" x14ac:dyDescent="0.25">
      <c r="A967">
        <f ca="1">26108.6179460118*((RANDBETWEEN(2979,3282)))</f>
        <v>80362326.037824348</v>
      </c>
      <c r="B967">
        <v>162810951.44722736</v>
      </c>
    </row>
    <row r="968" spans="1:2" x14ac:dyDescent="0.25">
      <c r="A968">
        <f ca="1">30246.7725231003*((RANDBETWEEN(2979,3282)))</f>
        <v>90256369.208931282</v>
      </c>
      <c r="B968">
        <v>200421635.04166976</v>
      </c>
    </row>
    <row r="969" spans="1:2" x14ac:dyDescent="0.25">
      <c r="A969">
        <f ca="1">26121.0510921644*((RANDBETWEEN(2979,3282)))</f>
        <v>82829853.013253376</v>
      </c>
      <c r="B969">
        <v>160593077.16884232</v>
      </c>
    </row>
    <row r="970" spans="1:2" x14ac:dyDescent="0.25">
      <c r="A970">
        <f ca="1">30158.6542682941*((RANDBETWEEN(2979,3282)))</f>
        <v>97261660.015248582</v>
      </c>
      <c r="B970">
        <v>179312175.83209518</v>
      </c>
    </row>
    <row r="971" spans="1:2" x14ac:dyDescent="0.25">
      <c r="A971">
        <f ca="1">28090.0271471789*((RANDBETWEEN(2979,3282)))</f>
        <v>91657758.581244618</v>
      </c>
      <c r="B971">
        <v>153156148.7068601</v>
      </c>
    </row>
    <row r="972" spans="1:2" x14ac:dyDescent="0.25">
      <c r="A972">
        <f ca="1">31290.1426690412*((RANDBETWEEN(2979,3282)))</f>
        <v>101380062.24769355</v>
      </c>
      <c r="B972">
        <v>159486701.7268824</v>
      </c>
    </row>
    <row r="973" spans="1:2" x14ac:dyDescent="0.25">
      <c r="A973">
        <f ca="1">30872.1003921961*((RANDBETWEEN(2979,3282)))</f>
        <v>101291361.38679533</v>
      </c>
      <c r="B973">
        <v>149921640.56201628</v>
      </c>
    </row>
    <row r="974" spans="1:2" x14ac:dyDescent="0.25">
      <c r="A974">
        <f ca="1">27017.218345387*((RANDBETWEEN(2979,3282)))</f>
        <v>84023549.054153457</v>
      </c>
      <c r="B974">
        <v>163015711.6207372</v>
      </c>
    </row>
    <row r="975" spans="1:2" x14ac:dyDescent="0.25">
      <c r="A975">
        <f ca="1">27152.8380747963*((RANDBETWEEN(2979,3282)))</f>
        <v>84146645.19379361</v>
      </c>
      <c r="B975">
        <v>164339110.93870017</v>
      </c>
    </row>
    <row r="976" spans="1:2" x14ac:dyDescent="0.25">
      <c r="A976">
        <f ca="1">28260.4311285219*((RANDBETWEEN(2979,3282)))</f>
        <v>87098648.738104552</v>
      </c>
      <c r="B976">
        <v>187750017.33292234</v>
      </c>
    </row>
    <row r="977" spans="1:2" x14ac:dyDescent="0.25">
      <c r="A977">
        <f ca="1">26974.661925633*((RANDBETWEEN(2979,3282)))</f>
        <v>82083896.239701271</v>
      </c>
      <c r="B977">
        <v>181073569.2223447</v>
      </c>
    </row>
    <row r="978" spans="1:2" x14ac:dyDescent="0.25">
      <c r="A978">
        <f ca="1">28813.7252441379*((RANDBETWEEN(2979,3282)))</f>
        <v>89898822.761710152</v>
      </c>
      <c r="B978">
        <v>170863057.74984723</v>
      </c>
    </row>
    <row r="979" spans="1:2" x14ac:dyDescent="0.25">
      <c r="A979">
        <f ca="1">26353.8509369268*((RANDBETWEEN(2979,3282)))</f>
        <v>78982491.257969558</v>
      </c>
      <c r="B979">
        <v>195779239.95421356</v>
      </c>
    </row>
    <row r="980" spans="1:2" x14ac:dyDescent="0.25">
      <c r="A980">
        <f ca="1">33461.0265008953*((RANDBETWEEN(2979,3282)))</f>
        <v>107409895.067874</v>
      </c>
      <c r="B980">
        <v>179085667.10329574</v>
      </c>
    </row>
    <row r="981" spans="1:2" x14ac:dyDescent="0.25">
      <c r="A981">
        <f ca="1">27682.8066117947*((RANDBETWEEN(2979,3282)))</f>
        <v>86868647.14781183</v>
      </c>
      <c r="B981">
        <v>197148837.19019306</v>
      </c>
    </row>
    <row r="982" spans="1:2" x14ac:dyDescent="0.25">
      <c r="A982">
        <f ca="1">28316.2893676813*((RANDBETWEEN(2979,3282)))</f>
        <v>92169521.891802728</v>
      </c>
      <c r="B982">
        <v>144502479.02664486</v>
      </c>
    </row>
    <row r="983" spans="1:2" x14ac:dyDescent="0.25">
      <c r="A983">
        <f ca="1">27169.1701568613*((RANDBETWEEN(2979,3282)))</f>
        <v>84794980.059563965</v>
      </c>
      <c r="B983">
        <v>153028871.00997126</v>
      </c>
    </row>
    <row r="984" spans="1:2" x14ac:dyDescent="0.25">
      <c r="A984">
        <f ca="1">27528.0073664934*((RANDBETWEEN(2979,3282)))</f>
        <v>87098615.307585225</v>
      </c>
      <c r="B984">
        <v>158947518.80581516</v>
      </c>
    </row>
    <row r="985" spans="1:2" x14ac:dyDescent="0.25">
      <c r="A985">
        <f ca="1">26126.699643307*((RANDBETWEEN(2979,3282)))</f>
        <v>79111646.519933522</v>
      </c>
      <c r="B985">
        <v>175231090.44673941</v>
      </c>
    </row>
    <row r="986" spans="1:2" x14ac:dyDescent="0.25">
      <c r="A986">
        <f ca="1">28434.856105069*((RANDBETWEEN(2979,3282)))</f>
        <v>89029534.46497117</v>
      </c>
      <c r="B986">
        <v>185541997.26942447</v>
      </c>
    </row>
    <row r="987" spans="1:2" x14ac:dyDescent="0.25">
      <c r="A987">
        <f ca="1">30236.8337977379*((RANDBETWEEN(2979,3282)))</f>
        <v>98178999.34125489</v>
      </c>
      <c r="B987">
        <v>161771655.4245199</v>
      </c>
    </row>
    <row r="988" spans="1:2" x14ac:dyDescent="0.25">
      <c r="A988">
        <f ca="1">30784.5191903044*((RANDBETWEEN(2979,3282)))</f>
        <v>99218505.35035108</v>
      </c>
      <c r="B988">
        <v>150575201.26260665</v>
      </c>
    </row>
    <row r="989" spans="1:2" x14ac:dyDescent="0.25">
      <c r="A989">
        <f ca="1">25646.2222692793*((RANDBETWEEN(2979,3282)))</f>
        <v>76836081.918760702</v>
      </c>
      <c r="B989">
        <v>174949128.03707868</v>
      </c>
    </row>
    <row r="990" spans="1:2" x14ac:dyDescent="0.25">
      <c r="A990">
        <f ca="1">27832.2647627379*((RANDBETWEEN(2979,3282)))</f>
        <v>91345492.951305911</v>
      </c>
      <c r="B990">
        <v>175289944.75952363</v>
      </c>
    </row>
    <row r="991" spans="1:2" x14ac:dyDescent="0.25">
      <c r="A991">
        <f ca="1">30517.9823934829*((RANDBETWEEN(2979,3282)))</f>
        <v>99915874.356263056</v>
      </c>
      <c r="B991">
        <v>195742067.94621506</v>
      </c>
    </row>
    <row r="992" spans="1:2" x14ac:dyDescent="0.25">
      <c r="A992">
        <f ca="1">27135.3674319027*((RANDBETWEEN(2979,3282)))</f>
        <v>81867403.542050302</v>
      </c>
      <c r="B992">
        <v>148917287.26542813</v>
      </c>
    </row>
    <row r="993" spans="1:2" x14ac:dyDescent="0.25">
      <c r="A993">
        <f ca="1">26253.5809084804*((RANDBETWEEN(2979,3282)))</f>
        <v>79443335.829061821</v>
      </c>
      <c r="B993">
        <v>194712108.57921553</v>
      </c>
    </row>
    <row r="994" spans="1:2" x14ac:dyDescent="0.25">
      <c r="A994">
        <f ca="1">29428.8396435455*((RANDBETWEEN(2979,3282)))</f>
        <v>90022820.469605789</v>
      </c>
      <c r="B994">
        <v>198042625.25430465</v>
      </c>
    </row>
    <row r="995" spans="1:2" x14ac:dyDescent="0.25">
      <c r="A995">
        <f ca="1">27603.3010431773*((RANDBETWEEN(2979,3282)))</f>
        <v>85570233.233849555</v>
      </c>
      <c r="B995">
        <v>152315589.04835048</v>
      </c>
    </row>
    <row r="996" spans="1:2" x14ac:dyDescent="0.25">
      <c r="A996">
        <f ca="1">28326.0437764258*((RANDBETWEEN(2979,3282)))</f>
        <v>89028755.589306384</v>
      </c>
      <c r="B996">
        <v>163479458.88366026</v>
      </c>
    </row>
    <row r="997" spans="1:2" x14ac:dyDescent="0.25">
      <c r="A997">
        <f ca="1">28465.2640491183*((RANDBETWEEN(2979,3282)))</f>
        <v>93052948.176567629</v>
      </c>
      <c r="B997">
        <v>189242233.65822217</v>
      </c>
    </row>
    <row r="998" spans="1:2" x14ac:dyDescent="0.25">
      <c r="A998">
        <f ca="1">31366.0684924751*((RANDBETWEEN(2979,3282)))</f>
        <v>93627714.45003812</v>
      </c>
      <c r="B998">
        <v>144053894.92401403</v>
      </c>
    </row>
    <row r="999" spans="1:2" x14ac:dyDescent="0.25">
      <c r="A999">
        <f ca="1">28432.0816333169*((RANDBETWEEN(2979,3282)))</f>
        <v>90442451.675581217</v>
      </c>
      <c r="B999">
        <v>168622267.85492259</v>
      </c>
    </row>
    <row r="1000" spans="1:2" x14ac:dyDescent="0.25">
      <c r="A1000">
        <f ca="1">25809.731232372*((RANDBETWEEN(2979,3282)))</f>
        <v>84526869.786018372</v>
      </c>
      <c r="B1000">
        <v>149495082.09577861</v>
      </c>
    </row>
    <row r="1001" spans="1:2" x14ac:dyDescent="0.25">
      <c r="A1001">
        <f ca="1">31016.6892450852*((RANDBETWEEN(2979,3282)))</f>
        <v>97020203.958626449</v>
      </c>
      <c r="B1001">
        <v>195941283.85699129</v>
      </c>
    </row>
    <row r="1002" spans="1:2" x14ac:dyDescent="0.25">
      <c r="A1002">
        <f ca="1">26788.4868211308*((RANDBETWEEN(2979,3282)))</f>
        <v>83955117.697423905</v>
      </c>
      <c r="B1002">
        <v>190339222.27528608</v>
      </c>
    </row>
    <row r="1003" spans="1:2" x14ac:dyDescent="0.25">
      <c r="A1003">
        <f ca="1">27085.5723404248*((RANDBETWEEN(2979,3282)))</f>
        <v>81473401.599998012</v>
      </c>
      <c r="B1003">
        <v>167586431.11698335</v>
      </c>
    </row>
    <row r="1004" spans="1:2" x14ac:dyDescent="0.25">
      <c r="A1004">
        <f ca="1">27937.927266053*((RANDBETWEEN(2979,3282)))</f>
        <v>85294491.94325994</v>
      </c>
      <c r="B1004">
        <v>143620696.8274467</v>
      </c>
    </row>
    <row r="1005" spans="1:2" x14ac:dyDescent="0.25">
      <c r="A1005">
        <f ca="1">26653.7165889147*((RANDBETWEEN(2979,3282)))</f>
        <v>79454729.151554793</v>
      </c>
      <c r="B1005">
        <v>165019713.36299706</v>
      </c>
    </row>
    <row r="1006" spans="1:2" x14ac:dyDescent="0.25">
      <c r="A1006">
        <f ca="1">26312.0932974815*((RANDBETWEEN(2979,3282)))</f>
        <v>79883515.251153708</v>
      </c>
      <c r="B1006">
        <v>146307452.43548805</v>
      </c>
    </row>
    <row r="1007" spans="1:2" x14ac:dyDescent="0.25">
      <c r="A1007">
        <f ca="1">28097.8252586216*((RANDBETWEEN(2979,3282)))</f>
        <v>84967823.582071826</v>
      </c>
      <c r="B1007">
        <v>153924718.87498084</v>
      </c>
    </row>
    <row r="1008" spans="1:2" x14ac:dyDescent="0.25">
      <c r="A1008">
        <f ca="1">28037.831383241*((RANDBETWEEN(2979,3282)))</f>
        <v>88795811.990724131</v>
      </c>
      <c r="B1008">
        <v>173921749.00444365</v>
      </c>
    </row>
    <row r="1009" spans="1:2" x14ac:dyDescent="0.25">
      <c r="A1009">
        <f ca="1">26864.1637402221*((RANDBETWEEN(2979,3282)))</f>
        <v>85857867.31374988</v>
      </c>
      <c r="B1009">
        <v>194762452.47270855</v>
      </c>
    </row>
    <row r="1010" spans="1:2" x14ac:dyDescent="0.25">
      <c r="A1010">
        <f ca="1">26998.0506789098*((RANDBETWEEN(2979,3282)))</f>
        <v>87257699.794236526</v>
      </c>
      <c r="B1010">
        <v>148002213.68819869</v>
      </c>
    </row>
    <row r="1011" spans="1:2" x14ac:dyDescent="0.25">
      <c r="A1011">
        <f ca="1">29348.3304230669*((RANDBETWEEN(2979,3282)))</f>
        <v>94677713.944813922</v>
      </c>
      <c r="B1011">
        <v>181713530.53955698</v>
      </c>
    </row>
    <row r="1012" spans="1:2" x14ac:dyDescent="0.25">
      <c r="A1012">
        <f ca="1">26666.1529741772*((RANDBETWEEN(2979,3282)))</f>
        <v>79758463.545764059</v>
      </c>
      <c r="B1012">
        <v>176729703.0938639</v>
      </c>
    </row>
    <row r="1013" spans="1:2" x14ac:dyDescent="0.25">
      <c r="A1013">
        <f ca="1">27172.1442447546*((RANDBETWEEN(2979,3282)))</f>
        <v>87494304.468109936</v>
      </c>
      <c r="B1013">
        <v>146014801.38919014</v>
      </c>
    </row>
    <row r="1014" spans="1:2" x14ac:dyDescent="0.25">
      <c r="A1014">
        <f ca="1">26649.9744379404*((RANDBETWEEN(2979,3282)))</f>
        <v>79550173.697252154</v>
      </c>
      <c r="B1014">
        <v>161570981.82866526</v>
      </c>
    </row>
    <row r="1015" spans="1:2" x14ac:dyDescent="0.25">
      <c r="A1015">
        <f ca="1">27077.8876152932*((RANDBETWEEN(2979,3282)))</f>
        <v>83264504.417026654</v>
      </c>
      <c r="B1015">
        <v>187101019.64639211</v>
      </c>
    </row>
    <row r="1016" spans="1:2" x14ac:dyDescent="0.25">
      <c r="A1016">
        <f ca="1">27899.2408023749*((RANDBETWEEN(2979,3282)))</f>
        <v>88468492.584330857</v>
      </c>
      <c r="B1016">
        <v>157275235.90433463</v>
      </c>
    </row>
    <row r="1017" spans="1:2" x14ac:dyDescent="0.25">
      <c r="A1017">
        <f ca="1">27004.2879940486*((RANDBETWEEN(2979,3282)))</f>
        <v>84658442.861342445</v>
      </c>
      <c r="B1017">
        <v>190319550.94144562</v>
      </c>
    </row>
    <row r="1018" spans="1:2" x14ac:dyDescent="0.25">
      <c r="A1018">
        <f ca="1">30907.2366514046*((RANDBETWEEN(2979,3282)))</f>
        <v>95008845.466417864</v>
      </c>
      <c r="B1018">
        <v>154906427.38554582</v>
      </c>
    </row>
    <row r="1019" spans="1:2" x14ac:dyDescent="0.25">
      <c r="A1019">
        <f ca="1">31210.7625888702*((RANDBETWEEN(2979,3282)))</f>
        <v>97471211.565041512</v>
      </c>
      <c r="B1019">
        <v>198692090.71868303</v>
      </c>
    </row>
    <row r="1020" spans="1:2" x14ac:dyDescent="0.25">
      <c r="A1020">
        <f ca="1">25667.3523961423*((RANDBETWEEN(2979,3282)))</f>
        <v>81211502.981394202</v>
      </c>
      <c r="B1020">
        <v>144877047.14055264</v>
      </c>
    </row>
    <row r="1021" spans="1:2" x14ac:dyDescent="0.25">
      <c r="A1021">
        <f ca="1">26377.3204195148*((RANDBETWEEN(2979,3282)))</f>
        <v>85198744.955032736</v>
      </c>
      <c r="B1021">
        <v>147531711.14226446</v>
      </c>
    </row>
    <row r="1022" spans="1:2" x14ac:dyDescent="0.25">
      <c r="A1022">
        <f ca="1">30572.804318802*((RANDBETWEEN(2979,3282)))</f>
        <v>94531110.953735709</v>
      </c>
      <c r="B1022">
        <v>167644464.17862016</v>
      </c>
    </row>
    <row r="1023" spans="1:2" x14ac:dyDescent="0.25">
      <c r="A1023">
        <f ca="1">30336.6756336798*((RANDBETWEEN(2979,3282)))</f>
        <v>97077362.027775258</v>
      </c>
      <c r="B1023">
        <v>161571226.89695078</v>
      </c>
    </row>
    <row r="1024" spans="1:2" x14ac:dyDescent="0.25">
      <c r="A1024">
        <f ca="1">27889.7713473741*((RANDBETWEEN(2979,3282)))</f>
        <v>91060103.449176297</v>
      </c>
      <c r="B1024">
        <v>192914837.72403818</v>
      </c>
    </row>
    <row r="1025" spans="1:2" x14ac:dyDescent="0.25">
      <c r="A1025">
        <f ca="1">25806.3731362962*((RANDBETWEEN(2979,3282)))</f>
        <v>78193310.60297747</v>
      </c>
      <c r="B1025">
        <v>167335288.87280464</v>
      </c>
    </row>
    <row r="1026" spans="1:2" x14ac:dyDescent="0.25">
      <c r="A1026">
        <f ca="1">29931.9467819175*((RANDBETWEEN(2979,3282)))</f>
        <v>96291072.797428533</v>
      </c>
      <c r="B1026">
        <v>180146901.42238623</v>
      </c>
    </row>
    <row r="1027" spans="1:2" x14ac:dyDescent="0.25">
      <c r="A1027">
        <f ca="1">31518.8201581844*((RANDBETWEEN(2979,3282)))</f>
        <v>102310090.2334667</v>
      </c>
      <c r="B1027">
        <v>146124198.00144717</v>
      </c>
    </row>
    <row r="1028" spans="1:2" x14ac:dyDescent="0.25">
      <c r="A1028">
        <f ca="1">27520.3652713917*((RANDBETWEEN(2979,3282)))</f>
        <v>89853992.611093998</v>
      </c>
      <c r="B1028">
        <v>188818702.50718528</v>
      </c>
    </row>
    <row r="1029" spans="1:2" x14ac:dyDescent="0.25">
      <c r="A1029">
        <f ca="1">26783.5464933401*((RANDBETWEEN(2979,3282)))</f>
        <v>84314604.361034647</v>
      </c>
      <c r="B1029">
        <v>149702601.52372986</v>
      </c>
    </row>
    <row r="1030" spans="1:2" x14ac:dyDescent="0.25">
      <c r="A1030">
        <f ca="1">28457.427627531*((RANDBETWEEN(2979,3282)))</f>
        <v>86880526.546852067</v>
      </c>
      <c r="B1030">
        <v>190137376.92976156</v>
      </c>
    </row>
    <row r="1031" spans="1:2" x14ac:dyDescent="0.25">
      <c r="A1031">
        <f ca="1">27260.0905134554*((RANDBETWEEN(2979,3282)))</f>
        <v>83116015.975525409</v>
      </c>
      <c r="B1031">
        <v>155117191.74923187</v>
      </c>
    </row>
    <row r="1032" spans="1:2" x14ac:dyDescent="0.25">
      <c r="A1032">
        <f ca="1">26435.763255582*((RANDBETWEEN(2979,3282)))</f>
        <v>84541570.891351312</v>
      </c>
      <c r="B1032">
        <v>159862108.95569479</v>
      </c>
    </row>
    <row r="1033" spans="1:2" x14ac:dyDescent="0.25">
      <c r="A1033">
        <f ca="1">26782.4698350331*((RANDBETWEEN(2979,3282)))</f>
        <v>87257286.722537965</v>
      </c>
      <c r="B1033">
        <v>152034418.80462572</v>
      </c>
    </row>
    <row r="1034" spans="1:2" x14ac:dyDescent="0.25">
      <c r="A1034">
        <f ca="1">28456.2475228714*((RANDBETWEEN(2979,3282)))</f>
        <v>87815979.855581135</v>
      </c>
      <c r="B1034">
        <v>146925228.60064292</v>
      </c>
    </row>
    <row r="1035" spans="1:2" x14ac:dyDescent="0.25">
      <c r="A1035">
        <f ca="1">27932.9618973454*((RANDBETWEEN(2979,3282)))</f>
        <v>88659221.062174246</v>
      </c>
      <c r="B1035">
        <v>152388151.25579864</v>
      </c>
    </row>
    <row r="1036" spans="1:2" x14ac:dyDescent="0.25">
      <c r="A1036">
        <f ca="1">27358.5883521875*((RANDBETWEEN(2979,3282)))</f>
        <v>83033315.64888899</v>
      </c>
      <c r="B1036">
        <v>152363453.01644316</v>
      </c>
    </row>
    <row r="1037" spans="1:2" x14ac:dyDescent="0.25">
      <c r="A1037">
        <f ca="1">31610.7123634599*((RANDBETWEEN(2979,3282)))</f>
        <v>96001733.447827742</v>
      </c>
      <c r="B1037">
        <v>184755478.71251959</v>
      </c>
    </row>
    <row r="1038" spans="1:2" x14ac:dyDescent="0.25">
      <c r="A1038">
        <f ca="1">31693.2431311507*((RANDBETWEEN(2979,3282)))</f>
        <v>99516783.4318133</v>
      </c>
      <c r="B1038">
        <v>161736153.03526476</v>
      </c>
    </row>
    <row r="1039" spans="1:2" x14ac:dyDescent="0.25">
      <c r="A1039">
        <f ca="1">28896.0716089293*((RANDBETWEEN(2979,3282)))</f>
        <v>92120676.289266497</v>
      </c>
      <c r="B1039">
        <v>161555668.37699848</v>
      </c>
    </row>
    <row r="1040" spans="1:2" x14ac:dyDescent="0.25">
      <c r="A1040">
        <f ca="1">28598.074177027*((RANDBETWEEN(2979,3282)))</f>
        <v>93058133.372045919</v>
      </c>
      <c r="B1040">
        <v>203250574.91048953</v>
      </c>
    </row>
    <row r="1041" spans="1:2" x14ac:dyDescent="0.25">
      <c r="A1041">
        <f ca="1">28123.2701471867*((RANDBETWEEN(2979,3282)))</f>
        <v>87294630.53686747</v>
      </c>
      <c r="B1041">
        <v>172418941.1524238</v>
      </c>
    </row>
    <row r="1042" spans="1:2" x14ac:dyDescent="0.25">
      <c r="A1042">
        <f ca="1">30600.8528975928*((RANDBETWEEN(2979,3282)))</f>
        <v>91649554.428290427</v>
      </c>
      <c r="B1042">
        <v>183653275.98847944</v>
      </c>
    </row>
    <row r="1043" spans="1:2" x14ac:dyDescent="0.25">
      <c r="A1043">
        <f ca="1">27269.5147955848*((RANDBETWEEN(2979,3282)))</f>
        <v>86771596.079550967</v>
      </c>
      <c r="B1043">
        <v>165153933.72296715</v>
      </c>
    </row>
    <row r="1044" spans="1:2" x14ac:dyDescent="0.25">
      <c r="A1044">
        <f ca="1">31751.402091312*((RANDBETWEEN(2979,3282)))</f>
        <v>95095449.263479456</v>
      </c>
      <c r="B1044">
        <v>165313083.59971452</v>
      </c>
    </row>
    <row r="1045" spans="1:2" x14ac:dyDescent="0.25">
      <c r="A1045">
        <f ca="1">27709.3491382453*((RANDBETWEEN(2979,3282)))</f>
        <v>84956864.457859993</v>
      </c>
      <c r="B1045">
        <v>170403180.88703173</v>
      </c>
    </row>
    <row r="1046" spans="1:2" x14ac:dyDescent="0.25">
      <c r="A1046">
        <f ca="1">27306.7662308405*((RANDBETWEEN(2979,3282)))</f>
        <v>83476784.367679343</v>
      </c>
      <c r="B1046">
        <v>161281755.09740666</v>
      </c>
    </row>
    <row r="1047" spans="1:2" x14ac:dyDescent="0.25">
      <c r="A1047">
        <f ca="1">31238.1898421594*((RANDBETWEEN(2979,3282)))</f>
        <v>97713057.826274738</v>
      </c>
      <c r="B1047">
        <v>143560189.04796872</v>
      </c>
    </row>
    <row r="1048" spans="1:2" x14ac:dyDescent="0.25">
      <c r="A1048">
        <f ca="1">30054.1930114823*((RANDBETWEEN(2979,3282)))</f>
        <v>97435693.743225709</v>
      </c>
      <c r="B1048">
        <v>184333050.95454356</v>
      </c>
    </row>
    <row r="1049" spans="1:2" x14ac:dyDescent="0.25">
      <c r="A1049">
        <f ca="1">26475.3600686148*((RANDBETWEEN(2979,3282)))</f>
        <v>85144757.980665252</v>
      </c>
      <c r="B1049">
        <v>156700427.67940849</v>
      </c>
    </row>
    <row r="1050" spans="1:2" x14ac:dyDescent="0.25">
      <c r="A1050">
        <f ca="1">26921.8543734758*((RANDBETWEEN(2979,3282)))</f>
        <v>86661449.228218734</v>
      </c>
      <c r="B1050">
        <v>164963522.59525418</v>
      </c>
    </row>
    <row r="1051" spans="1:2" x14ac:dyDescent="0.25">
      <c r="A1051">
        <f ca="1">24367.8411511434*((RANDBETWEEN(2979,3282)))</f>
        <v>75954560.868113831</v>
      </c>
      <c r="B1051">
        <v>163581119.6073322</v>
      </c>
    </row>
    <row r="1052" spans="1:2" x14ac:dyDescent="0.25">
      <c r="A1052">
        <f ca="1">26347.1849387317*((RANDBETWEEN(2979,3282)))</f>
        <v>86102600.379775062</v>
      </c>
      <c r="B1052">
        <v>145837442.72231126</v>
      </c>
    </row>
    <row r="1053" spans="1:2" x14ac:dyDescent="0.25">
      <c r="A1053">
        <f ca="1">26374.9606646759*((RANDBETWEEN(2979,3282)))</f>
        <v>86457121.058807641</v>
      </c>
      <c r="B1053">
        <v>145555768.37185273</v>
      </c>
    </row>
    <row r="1054" spans="1:2" x14ac:dyDescent="0.25">
      <c r="A1054">
        <f ca="1">29626.1091843312*((RANDBETWEEN(2979,3282)))</f>
        <v>90685520.213237882</v>
      </c>
      <c r="B1054">
        <v>158160647.92457753</v>
      </c>
    </row>
    <row r="1055" spans="1:2" x14ac:dyDescent="0.25">
      <c r="A1055">
        <f ca="1">27401.6842013746*((RANDBETWEEN(2979,3282)))</f>
        <v>82643479.551345795</v>
      </c>
      <c r="B1055">
        <v>183412456.92887738</v>
      </c>
    </row>
    <row r="1056" spans="1:2" x14ac:dyDescent="0.25">
      <c r="A1056">
        <f ca="1">27239.9887168983*((RANDBETWEEN(2979,3282)))</f>
        <v>83654005.349594802</v>
      </c>
      <c r="B1056">
        <v>166596788.07921836</v>
      </c>
    </row>
    <row r="1057" spans="1:2" x14ac:dyDescent="0.25">
      <c r="A1057">
        <f ca="1">28176.5965214479*((RANDBETWEEN(2979,3282)))</f>
        <v>84557966.160865188</v>
      </c>
      <c r="B1057">
        <v>147012313.57274622</v>
      </c>
    </row>
    <row r="1058" spans="1:2" x14ac:dyDescent="0.25">
      <c r="A1058">
        <f ca="1">28537.3975199564*((RANDBETWEEN(2979,3282)))</f>
        <v>88351782.721785113</v>
      </c>
      <c r="B1058">
        <v>191408147.20358303</v>
      </c>
    </row>
    <row r="1059" spans="1:2" x14ac:dyDescent="0.25">
      <c r="A1059">
        <f ca="1">31545.7150956051*((RANDBETWEEN(2979,3282)))</f>
        <v>100630831.15498021</v>
      </c>
      <c r="B1059">
        <v>158955482.21435139</v>
      </c>
    </row>
    <row r="1060" spans="1:2" x14ac:dyDescent="0.25">
      <c r="A1060">
        <f ca="1">32356.1252077376*((RANDBETWEEN(2979,3282)))</f>
        <v>104413216.04536933</v>
      </c>
      <c r="B1060">
        <v>178209373.43810576</v>
      </c>
    </row>
    <row r="1061" spans="1:2" x14ac:dyDescent="0.25">
      <c r="A1061">
        <f ca="1">28059.6525564045*((RANDBETWEEN(2979,3282)))</f>
        <v>88079249.374553725</v>
      </c>
      <c r="B1061">
        <v>149371675.17711413</v>
      </c>
    </row>
    <row r="1062" spans="1:2" x14ac:dyDescent="0.25">
      <c r="A1062">
        <f ca="1">27143.9958047163*((RANDBETWEEN(2979,3282)))</f>
        <v>80861963.502249956</v>
      </c>
      <c r="B1062">
        <v>160734693.33524817</v>
      </c>
    </row>
    <row r="1063" spans="1:2" x14ac:dyDescent="0.25">
      <c r="A1063">
        <f ca="1">26438.6895229283*((RANDBETWEEN(2979,3282)))</f>
        <v>81616234.557279721</v>
      </c>
      <c r="B1063">
        <v>146858997.87035885</v>
      </c>
    </row>
    <row r="1064" spans="1:2" x14ac:dyDescent="0.25">
      <c r="A1064">
        <f ca="1">34483.0771299278*((RANDBETWEEN(2979,3282)))</f>
        <v>104966486.78350037</v>
      </c>
      <c r="B1064">
        <v>181324487.46011132</v>
      </c>
    </row>
    <row r="1065" spans="1:2" x14ac:dyDescent="0.25">
      <c r="A1065">
        <f ca="1">29704.7725186051*((RANDBETWEEN(2979,3282)))</f>
        <v>94758224.334350377</v>
      </c>
      <c r="B1065">
        <v>190823777.60422456</v>
      </c>
    </row>
    <row r="1066" spans="1:2" x14ac:dyDescent="0.25">
      <c r="A1066">
        <f ca="1">32152.6994713662*((RANDBETWEEN(2979,3282)))</f>
        <v>97551290.196125031</v>
      </c>
      <c r="B1066">
        <v>167684753.1477612</v>
      </c>
    </row>
    <row r="1067" spans="1:2" x14ac:dyDescent="0.25">
      <c r="A1067">
        <f ca="1">29025.7287644124*((RANDBETWEEN(2979,3282)))</f>
        <v>87367443.580881387</v>
      </c>
      <c r="B1067">
        <v>158800436.33009481</v>
      </c>
    </row>
    <row r="1068" spans="1:2" x14ac:dyDescent="0.25">
      <c r="A1068">
        <f ca="1">28340.3965868314*((RANDBETWEEN(2979,3282)))</f>
        <v>93013181.597980514</v>
      </c>
      <c r="B1068">
        <v>151986278.79465476</v>
      </c>
    </row>
    <row r="1069" spans="1:2" x14ac:dyDescent="0.25">
      <c r="A1069">
        <f ca="1">28823.672897486*((RANDBETWEEN(2979,3282)))</f>
        <v>88171615.393409744</v>
      </c>
      <c r="B1069">
        <v>146603733.81333259</v>
      </c>
    </row>
    <row r="1070" spans="1:2" x14ac:dyDescent="0.25">
      <c r="A1070">
        <f ca="1">27426.7111130471*((RANDBETWEEN(2979,3282)))</f>
        <v>86010166.050515696</v>
      </c>
      <c r="B1070">
        <v>167015181.57443818</v>
      </c>
    </row>
    <row r="1071" spans="1:2" x14ac:dyDescent="0.25">
      <c r="A1071">
        <f ca="1">31947.804575349*((RANDBETWEEN(2979,3282)))</f>
        <v>102201026.83654161</v>
      </c>
      <c r="B1071">
        <v>176163682.45575199</v>
      </c>
    </row>
    <row r="1072" spans="1:2" x14ac:dyDescent="0.25">
      <c r="A1072">
        <f ca="1">28289.8482660865*((RANDBETWEEN(2979,3282)))</f>
        <v>89028152.493374169</v>
      </c>
      <c r="B1072">
        <v>152968935.68470171</v>
      </c>
    </row>
    <row r="1073" spans="1:2" x14ac:dyDescent="0.25">
      <c r="A1073">
        <f ca="1">27914.2763406996*((RANDBETWEEN(2979,3282)))</f>
        <v>87985799.02588515</v>
      </c>
      <c r="B1073">
        <v>168804078.64890093</v>
      </c>
    </row>
    <row r="1074" spans="1:2" x14ac:dyDescent="0.25">
      <c r="A1074">
        <f ca="1">32911.9909073553*((RANDBETWEEN(2979,3282)))</f>
        <v>106437378.59438701</v>
      </c>
      <c r="B1074">
        <v>203236013.19884479</v>
      </c>
    </row>
    <row r="1075" spans="1:2" x14ac:dyDescent="0.25">
      <c r="A1075">
        <f ca="1">29304.8061672104*((RANDBETWEEN(2979,3282)))</f>
        <v>89965754.933335826</v>
      </c>
      <c r="B1075">
        <v>180435972.5724774</v>
      </c>
    </row>
    <row r="1076" spans="1:2" x14ac:dyDescent="0.25">
      <c r="A1076">
        <f ca="1">31247.9783973381*((RANDBETWEEN(2979,3282)))</f>
        <v>95212590.176689044</v>
      </c>
      <c r="B1076">
        <v>180956513.88753557</v>
      </c>
    </row>
    <row r="1077" spans="1:2" x14ac:dyDescent="0.25">
      <c r="A1077">
        <f ca="1">26911.1230018626*((RANDBETWEEN(2979,3282)))</f>
        <v>84608570.717856139</v>
      </c>
      <c r="B1077">
        <v>169861563.84869814</v>
      </c>
    </row>
    <row r="1078" spans="1:2" x14ac:dyDescent="0.25">
      <c r="A1078">
        <f ca="1">25396.6639078813*((RANDBETWEEN(2979,3282)))</f>
        <v>82107414.414180234</v>
      </c>
      <c r="B1078">
        <v>167208638.64254671</v>
      </c>
    </row>
    <row r="1079" spans="1:2" x14ac:dyDescent="0.25">
      <c r="A1079">
        <f ca="1">29764.6877403043*((RANDBETWEEN(2979,3282)))</f>
        <v>96050647.337961942</v>
      </c>
      <c r="B1079">
        <v>173834564.25548914</v>
      </c>
    </row>
    <row r="1080" spans="1:2" x14ac:dyDescent="0.25">
      <c r="A1080">
        <f ca="1">26428.1525457368*((RANDBETWEEN(2979,3282)))</f>
        <v>85865067.621098861</v>
      </c>
      <c r="B1080">
        <v>149647796.01278076</v>
      </c>
    </row>
    <row r="1081" spans="1:2" x14ac:dyDescent="0.25">
      <c r="A1081">
        <f ca="1">26592.1772399589*((RANDBETWEEN(2979,3282)))</f>
        <v>85679995.067147449</v>
      </c>
      <c r="B1081">
        <v>143760052.38412124</v>
      </c>
    </row>
    <row r="1082" spans="1:2" x14ac:dyDescent="0.25">
      <c r="A1082">
        <f ca="1">26827.3149538462*((RANDBETWEEN(2979,3282)))</f>
        <v>85337688.868184686</v>
      </c>
      <c r="B1082">
        <v>146443307.8076947</v>
      </c>
    </row>
    <row r="1083" spans="1:2" x14ac:dyDescent="0.25">
      <c r="A1083">
        <f ca="1">27189.1384542708*((RANDBETWEEN(2979,3282)))</f>
        <v>85319516.469501883</v>
      </c>
      <c r="B1083">
        <v>147518084.44523746</v>
      </c>
    </row>
    <row r="1084" spans="1:2" x14ac:dyDescent="0.25">
      <c r="A1084">
        <f ca="1">29795.6014879213*((RANDBETWEEN(2979,3282)))</f>
        <v>95584289.573251665</v>
      </c>
      <c r="B1084">
        <v>199603120.5870319</v>
      </c>
    </row>
    <row r="1085" spans="1:2" x14ac:dyDescent="0.25">
      <c r="A1085">
        <f ca="1">27943.2959611913*((RANDBETWEEN(2979,3282)))</f>
        <v>90871598.465794086</v>
      </c>
      <c r="B1085">
        <v>172271138.5505484</v>
      </c>
    </row>
    <row r="1086" spans="1:2" x14ac:dyDescent="0.25">
      <c r="A1086">
        <f ca="1">33432.4584839772*((RANDBETWEEN(2979,3282)))</f>
        <v>104810757.34726845</v>
      </c>
      <c r="B1086">
        <v>167295827.74808842</v>
      </c>
    </row>
    <row r="1087" spans="1:2" x14ac:dyDescent="0.25">
      <c r="A1087">
        <f ca="1">30422.581029509*((RANDBETWEEN(2979,3282)))</f>
        <v>98721275.440756738</v>
      </c>
      <c r="B1087">
        <v>170566958.5434081</v>
      </c>
    </row>
    <row r="1088" spans="1:2" x14ac:dyDescent="0.25">
      <c r="A1088">
        <f ca="1">27920.2009510253*((RANDBETWEEN(2979,3282)))</f>
        <v>89093361.234721765</v>
      </c>
      <c r="B1088">
        <v>146994694.77327374</v>
      </c>
    </row>
    <row r="1089" spans="1:2" x14ac:dyDescent="0.25">
      <c r="A1089">
        <f ca="1">33514.4259063589*((RANDBETWEEN(2979,3282)))</f>
        <v>102889287.5325219</v>
      </c>
      <c r="B1089">
        <v>188971044.2187013</v>
      </c>
    </row>
    <row r="1090" spans="1:2" x14ac:dyDescent="0.25">
      <c r="A1090">
        <f ca="1">26798.5061720061*((RANDBETWEEN(2979,3282)))</f>
        <v>81976630.380166531</v>
      </c>
      <c r="B1090">
        <v>187082391.22511292</v>
      </c>
    </row>
    <row r="1091" spans="1:2" x14ac:dyDescent="0.25">
      <c r="A1091">
        <f ca="1">30520.6007256502*((RANDBETWEEN(2979,3282)))</f>
        <v>91531281.576224849</v>
      </c>
      <c r="B1091">
        <v>201405621.46333796</v>
      </c>
    </row>
    <row r="1092" spans="1:2" x14ac:dyDescent="0.25">
      <c r="A1092">
        <f ca="1">27195.9774451503*((RANDBETWEEN(2979,3282)))</f>
        <v>81152796.696328431</v>
      </c>
      <c r="B1092">
        <v>172355101.80099723</v>
      </c>
    </row>
    <row r="1093" spans="1:2" x14ac:dyDescent="0.25">
      <c r="A1093">
        <f ca="1">29677.3788012141*((RANDBETWEEN(2979,3282)))</f>
        <v>95887610.906722859</v>
      </c>
      <c r="B1093">
        <v>152793317.49393985</v>
      </c>
    </row>
    <row r="1094" spans="1:2" x14ac:dyDescent="0.25">
      <c r="A1094">
        <f ca="1">28184.6791656696*((RANDBETWEEN(2979,3282)))</f>
        <v>90247342.688473985</v>
      </c>
      <c r="B1094">
        <v>188023747.24424773</v>
      </c>
    </row>
    <row r="1095" spans="1:2" x14ac:dyDescent="0.25">
      <c r="A1095">
        <f ca="1">29788.4151310169*((RANDBETWEEN(2979,3282)))</f>
        <v>96633618.685018748</v>
      </c>
      <c r="B1095">
        <v>172170989.29797977</v>
      </c>
    </row>
    <row r="1096" spans="1:2" x14ac:dyDescent="0.25">
      <c r="A1096">
        <f ca="1">33298.9311615886*((RANDBETWEEN(2979,3282)))</f>
        <v>103459779.11905581</v>
      </c>
      <c r="B1096">
        <v>173128709.6513283</v>
      </c>
    </row>
    <row r="1097" spans="1:2" x14ac:dyDescent="0.25">
      <c r="A1097">
        <f ca="1">28081.1270121349*((RANDBETWEEN(2979,3282)))</f>
        <v>83822164.131222636</v>
      </c>
      <c r="B1097">
        <v>193547534.71745852</v>
      </c>
    </row>
    <row r="1098" spans="1:2" x14ac:dyDescent="0.25">
      <c r="A1098">
        <f ca="1">26406.9480908613*((RANDBETWEEN(2979,3282)))</f>
        <v>83313921.226667523</v>
      </c>
      <c r="B1098">
        <v>147359547.59664947</v>
      </c>
    </row>
    <row r="1099" spans="1:2" x14ac:dyDescent="0.25">
      <c r="A1099">
        <f ca="1">27586.6917681317*((RANDBETWEEN(2979,3282)))</f>
        <v>88608453.959239155</v>
      </c>
      <c r="B1099">
        <v>170530768.88734719</v>
      </c>
    </row>
    <row r="1100" spans="1:2" x14ac:dyDescent="0.25">
      <c r="A1100">
        <f ca="1">29462.3175667788*((RANDBETWEEN(2979,3282)))</f>
        <v>91922430.808349743</v>
      </c>
      <c r="B1100">
        <v>166254806.13485014</v>
      </c>
    </row>
    <row r="1101" spans="1:2" x14ac:dyDescent="0.25">
      <c r="A1101">
        <f ca="1">25952.1963885086*((RANDBETWEEN(2979,3282)))</f>
        <v>80348000.018822521</v>
      </c>
      <c r="B1101">
        <v>166379749.49063307</v>
      </c>
    </row>
    <row r="1102" spans="1:2" x14ac:dyDescent="0.25">
      <c r="A1102">
        <f ca="1">32947.1030198672*((RANDBETWEEN(2979,3282)))</f>
        <v>106419142.75417094</v>
      </c>
      <c r="B1102">
        <v>193963177.74751717</v>
      </c>
    </row>
    <row r="1103" spans="1:2" x14ac:dyDescent="0.25">
      <c r="A1103">
        <f ca="1">27101.9442091219*((RANDBETWEEN(2979,3282)))</f>
        <v>88514949.786992058</v>
      </c>
      <c r="B1103">
        <v>151831021.93386322</v>
      </c>
    </row>
    <row r="1104" spans="1:2" x14ac:dyDescent="0.25">
      <c r="A1104">
        <f ca="1">31232.9290653336*((RANDBETWEEN(2979,3282)))</f>
        <v>99476879.073087543</v>
      </c>
      <c r="B1104">
        <v>193302676.04417992</v>
      </c>
    </row>
    <row r="1105" spans="1:2" x14ac:dyDescent="0.25">
      <c r="A1105">
        <f ca="1">30069.0889994787*((RANDBETWEEN(2979,3282)))</f>
        <v>94898044.882354692</v>
      </c>
      <c r="B1105">
        <v>170685467.30068353</v>
      </c>
    </row>
    <row r="1106" spans="1:2" x14ac:dyDescent="0.25">
      <c r="A1106">
        <f ca="1">25729.0189675553*((RANDBETWEEN(2979,3282)))</f>
        <v>82795983.037592962</v>
      </c>
      <c r="B1106">
        <v>158185195.14344829</v>
      </c>
    </row>
    <row r="1107" spans="1:2" x14ac:dyDescent="0.25">
      <c r="A1107">
        <f ca="1">29189.8228263979*((RANDBETWEEN(2979,3282)))</f>
        <v>92181460.485764697</v>
      </c>
      <c r="B1107">
        <v>145751254.50765666</v>
      </c>
    </row>
    <row r="1108" spans="1:2" x14ac:dyDescent="0.25">
      <c r="A1108">
        <f ca="1">27550.2618687373*((RANDBETWEEN(2979,3282)))</f>
        <v>84276251.05646731</v>
      </c>
      <c r="B1108">
        <v>181317712.11264956</v>
      </c>
    </row>
    <row r="1109" spans="1:2" x14ac:dyDescent="0.25">
      <c r="A1109">
        <f ca="1">30324.2168767857*((RANDBETWEEN(2979,3282)))</f>
        <v>96218740.150041088</v>
      </c>
      <c r="B1109">
        <v>160602337.48859641</v>
      </c>
    </row>
    <row r="1110" spans="1:2" x14ac:dyDescent="0.25">
      <c r="A1110">
        <f ca="1">27294.188286796*((RANDBETWEEN(2979,3282)))</f>
        <v>83929628.981897801</v>
      </c>
      <c r="B1110">
        <v>169147314.58683294</v>
      </c>
    </row>
    <row r="1111" spans="1:2" x14ac:dyDescent="0.25">
      <c r="A1111">
        <f ca="1">26485.1791471631*((RANDBETWEEN(2979,3282)))</f>
        <v>81177074.086055011</v>
      </c>
      <c r="B1111">
        <v>154663435.69148448</v>
      </c>
    </row>
    <row r="1112" spans="1:2" x14ac:dyDescent="0.25">
      <c r="A1112">
        <f ca="1">28433.5679761173*((RANDBETWEEN(2979,3282)))</f>
        <v>87376354.390608385</v>
      </c>
      <c r="B1112">
        <v>174107901.94393173</v>
      </c>
    </row>
    <row r="1113" spans="1:2" x14ac:dyDescent="0.25">
      <c r="A1113">
        <f ca="1">27970.613536184*((RANDBETWEEN(2979,3282)))</f>
        <v>90904493.992598146</v>
      </c>
      <c r="B1113">
        <v>157687548.91498619</v>
      </c>
    </row>
    <row r="1114" spans="1:2" x14ac:dyDescent="0.25">
      <c r="A1114">
        <f ca="1">27991.1290437452*((RANDBETWEEN(2979,3282)))</f>
        <v>87304331.487441182</v>
      </c>
      <c r="B1114">
        <v>170170918.88950533</v>
      </c>
    </row>
    <row r="1115" spans="1:2" x14ac:dyDescent="0.25">
      <c r="A1115">
        <f ca="1">30085.823261074*((RANDBETWEEN(2979,3282)))</f>
        <v>97447981.542618677</v>
      </c>
      <c r="B1115">
        <v>194384835.51727578</v>
      </c>
    </row>
    <row r="1116" spans="1:2" x14ac:dyDescent="0.25">
      <c r="A1116">
        <f ca="1">27915.0962222011*((RANDBETWEEN(2979,3282)))</f>
        <v>84750232.130602509</v>
      </c>
      <c r="B1116">
        <v>152224777.78921571</v>
      </c>
    </row>
    <row r="1117" spans="1:2" x14ac:dyDescent="0.25">
      <c r="A1117">
        <f ca="1">26200.8283251889*((RANDBETWEEN(2979,3282)))</f>
        <v>85886315.249969229</v>
      </c>
      <c r="B1117">
        <v>152058950.75958389</v>
      </c>
    </row>
    <row r="1118" spans="1:2" x14ac:dyDescent="0.25">
      <c r="A1118">
        <f ca="1">30058.0075689424*((RANDBETWEEN(2979,3282)))</f>
        <v>98289684.75044173</v>
      </c>
      <c r="B1118">
        <v>202811994.87225139</v>
      </c>
    </row>
    <row r="1119" spans="1:2" x14ac:dyDescent="0.25">
      <c r="A1119">
        <f ca="1">27006.4531272932*((RANDBETWEEN(2979,3282)))</f>
        <v>86150585.476065293</v>
      </c>
      <c r="B1119">
        <v>163428474.5008277</v>
      </c>
    </row>
    <row r="1120" spans="1:2" x14ac:dyDescent="0.25">
      <c r="A1120">
        <f ca="1">28183.3893426504*((RANDBETWEEN(2979,3282)))</f>
        <v>87650340.855642796</v>
      </c>
      <c r="B1120">
        <v>166080121.55444214</v>
      </c>
    </row>
    <row r="1121" spans="1:2" x14ac:dyDescent="0.25">
      <c r="A1121">
        <f ca="1">29627.7019194061*((RANDBETWEEN(2979,3282)))</f>
        <v>93623538.065323323</v>
      </c>
      <c r="B1121">
        <v>201176289.90569592</v>
      </c>
    </row>
    <row r="1122" spans="1:2" x14ac:dyDescent="0.25">
      <c r="A1122">
        <f ca="1">27653.0386582709*((RANDBETWEEN(2979,3282)))</f>
        <v>90508395.528520569</v>
      </c>
      <c r="B1122">
        <v>165362429.03665829</v>
      </c>
    </row>
    <row r="1123" spans="1:2" x14ac:dyDescent="0.25">
      <c r="A1123">
        <f ca="1">30005.8136199637*((RANDBETWEEN(2979,3282)))</f>
        <v>90917615.268490151</v>
      </c>
      <c r="B1123">
        <v>175268804.05830035</v>
      </c>
    </row>
    <row r="1124" spans="1:2" x14ac:dyDescent="0.25">
      <c r="A1124">
        <f ca="1">26615.5497567523*((RANDBETWEEN(2979,3282)))</f>
        <v>81017733.459554121</v>
      </c>
      <c r="B1124">
        <v>153287219.5816887</v>
      </c>
    </row>
    <row r="1125" spans="1:2" x14ac:dyDescent="0.25">
      <c r="A1125">
        <f ca="1">31932.5753260893*((RANDBETWEEN(2979,3282)))</f>
        <v>102184241.04348578</v>
      </c>
      <c r="B1125">
        <v>150650961.82707971</v>
      </c>
    </row>
    <row r="1126" spans="1:2" x14ac:dyDescent="0.25">
      <c r="A1126">
        <f ca="1">25971.8409112888*((RANDBETWEEN(2979,3282)))</f>
        <v>81499636.779624164</v>
      </c>
      <c r="B1126">
        <v>149244121.15409905</v>
      </c>
    </row>
    <row r="1127" spans="1:2" x14ac:dyDescent="0.25">
      <c r="A1127">
        <f ca="1">27340.5141581771*((RANDBETWEEN(2979,3282)))</f>
        <v>82705055.328485832</v>
      </c>
      <c r="B1127">
        <v>187573104.70829237</v>
      </c>
    </row>
    <row r="1128" spans="1:2" x14ac:dyDescent="0.25">
      <c r="A1128">
        <f ca="1">28999.3922183959*((RANDBETWEEN(2979,3282)))</f>
        <v>91261087.311291829</v>
      </c>
      <c r="B1128">
        <v>142905100.92075926</v>
      </c>
    </row>
    <row r="1129" spans="1:2" x14ac:dyDescent="0.25">
      <c r="A1129">
        <f ca="1">25734.8830593112*((RANDBETWEEN(2979,3282)))</f>
        <v>84127332.720888242</v>
      </c>
      <c r="B1129">
        <v>155850249.05089229</v>
      </c>
    </row>
    <row r="1130" spans="1:2" x14ac:dyDescent="0.25">
      <c r="A1130">
        <f ca="1">29329.0781642235*((RANDBETWEEN(2979,3282)))</f>
        <v>88603145.134119317</v>
      </c>
      <c r="B1130">
        <v>170731804.18190861</v>
      </c>
    </row>
    <row r="1131" spans="1:2" x14ac:dyDescent="0.25">
      <c r="A1131">
        <f ca="1">30561.9924373141*((RANDBETWEEN(2979,3282)))</f>
        <v>91472043.364881143</v>
      </c>
      <c r="B1131">
        <v>176320737.12969592</v>
      </c>
    </row>
    <row r="1132" spans="1:2" x14ac:dyDescent="0.25">
      <c r="A1132">
        <f ca="1">28116.6880846616*((RANDBETWEEN(2979,3282)))</f>
        <v>88989317.787953913</v>
      </c>
      <c r="B1132">
        <v>160818479.50481731</v>
      </c>
    </row>
    <row r="1133" spans="1:2" x14ac:dyDescent="0.25">
      <c r="A1133">
        <f ca="1">25686.604296381*((RANDBETWEEN(2979,3282)))</f>
        <v>77393738.744995907</v>
      </c>
      <c r="B1133">
        <v>157214541.43271971</v>
      </c>
    </row>
    <row r="1134" spans="1:2" x14ac:dyDescent="0.25">
      <c r="A1134">
        <f ca="1">27282.3445372832*((RANDBETWEEN(2979,3282)))</f>
        <v>88804031.468856752</v>
      </c>
      <c r="B1134">
        <v>149977384.17349929</v>
      </c>
    </row>
    <row r="1135" spans="1:2" x14ac:dyDescent="0.25">
      <c r="A1135">
        <f ca="1">30271.6516353336*((RANDBETWEEN(2979,3282)))</f>
        <v>94841084.573500127</v>
      </c>
      <c r="B1135">
        <v>159538984.20118028</v>
      </c>
    </row>
    <row r="1136" spans="1:2" x14ac:dyDescent="0.25">
      <c r="A1136">
        <f ca="1">28028.442928856*((RANDBETWEEN(2979,3282)))</f>
        <v>86047319.79158777</v>
      </c>
      <c r="B1136">
        <v>149635557.8687219</v>
      </c>
    </row>
    <row r="1137" spans="1:2" x14ac:dyDescent="0.25">
      <c r="A1137">
        <f ca="1">31645.6512741847*((RANDBETWEEN(2979,3282)))</f>
        <v>101898997.1028747</v>
      </c>
      <c r="B1137">
        <v>167599700.15150902</v>
      </c>
    </row>
    <row r="1138" spans="1:2" x14ac:dyDescent="0.25">
      <c r="A1138">
        <f ca="1">27302.6442528254*((RANDBETWEEN(2979,3282)))</f>
        <v>83901025.788932294</v>
      </c>
      <c r="B1138">
        <v>153506601.06773394</v>
      </c>
    </row>
    <row r="1139" spans="1:2" x14ac:dyDescent="0.25">
      <c r="A1139">
        <f ca="1">27697.6105013734*((RANDBETWEEN(2979,3282)))</f>
        <v>87662937.236846805</v>
      </c>
      <c r="B1139">
        <v>158501159.63466448</v>
      </c>
    </row>
    <row r="1140" spans="1:2" x14ac:dyDescent="0.25">
      <c r="A1140">
        <f ca="1">30393.3912850658*((RANDBETWEEN(2979,3282)))</f>
        <v>98596161.328753412</v>
      </c>
      <c r="B1140">
        <v>184211944.79716</v>
      </c>
    </row>
    <row r="1141" spans="1:2" x14ac:dyDescent="0.25">
      <c r="A1141">
        <f ca="1">26488.9780980874*((RANDBETWEEN(2979,3282)))</f>
        <v>84552818.089095011</v>
      </c>
      <c r="B1141">
        <v>170798814.6892322</v>
      </c>
    </row>
    <row r="1142" spans="1:2" x14ac:dyDescent="0.25">
      <c r="A1142">
        <f ca="1">26978.6033550934*((RANDBETWEEN(2979,3282)))</f>
        <v>86871102.803400755</v>
      </c>
      <c r="B1142">
        <v>202528231.05026323</v>
      </c>
    </row>
    <row r="1143" spans="1:2" x14ac:dyDescent="0.25">
      <c r="A1143">
        <f ca="1">28429.5548784562*((RANDBETWEEN(2979,3282)))</f>
        <v>91827462.257413417</v>
      </c>
      <c r="B1143">
        <v>163504969.66096494</v>
      </c>
    </row>
    <row r="1144" spans="1:2" x14ac:dyDescent="0.25">
      <c r="A1144">
        <f ca="1">27287.7133899102*((RANDBETWEEN(2979,3282)))</f>
        <v>88903370.224327296</v>
      </c>
      <c r="B1144">
        <v>164775119.07064065</v>
      </c>
    </row>
    <row r="1145" spans="1:2" x14ac:dyDescent="0.25">
      <c r="A1145">
        <f ca="1">27620.4021301739*((RANDBETWEEN(2979,3282)))</f>
        <v>86783303.493006289</v>
      </c>
      <c r="B1145">
        <v>162666651.09802169</v>
      </c>
    </row>
    <row r="1146" spans="1:2" x14ac:dyDescent="0.25">
      <c r="A1146">
        <f ca="1">31484.2398729162*((RANDBETWEEN(2979,3282)))</f>
        <v>102197842.62748604</v>
      </c>
      <c r="B1146">
        <v>185617576.27551508</v>
      </c>
    </row>
    <row r="1147" spans="1:2" x14ac:dyDescent="0.25">
      <c r="A1147">
        <f ca="1">25998.0085459481*((RANDBETWEEN(2979,3282)))</f>
        <v>78357997.757487595</v>
      </c>
      <c r="B1147">
        <v>156124725.83139598</v>
      </c>
    </row>
    <row r="1148" spans="1:2" x14ac:dyDescent="0.25">
      <c r="A1148">
        <f ca="1">27270.5406824034*((RANDBETWEEN(2979,3282)))</f>
        <v>84893193.144321799</v>
      </c>
      <c r="B1148">
        <v>189402070.09023827</v>
      </c>
    </row>
    <row r="1149" spans="1:2" x14ac:dyDescent="0.25">
      <c r="A1149">
        <f ca="1">28294.3392318661*((RANDBETWEEN(2979,3282)))</f>
        <v>90089176.114261746</v>
      </c>
      <c r="B1149">
        <v>151620229.54763639</v>
      </c>
    </row>
    <row r="1150" spans="1:2" x14ac:dyDescent="0.25">
      <c r="A1150">
        <f ca="1">26231.3090499317*((RANDBETWEEN(2979,3282)))</f>
        <v>81080976.273338869</v>
      </c>
      <c r="B1150">
        <v>146555665.1047985</v>
      </c>
    </row>
    <row r="1151" spans="1:2" x14ac:dyDescent="0.25">
      <c r="A1151">
        <f ca="1">27909.984478185*((RANDBETWEEN(2979,3282)))</f>
        <v>91237739.25918673</v>
      </c>
      <c r="B1151">
        <v>142930655.25142646</v>
      </c>
    </row>
    <row r="1152" spans="1:2" x14ac:dyDescent="0.25">
      <c r="A1152">
        <f ca="1">26319.6438618577*((RANDBETWEEN(2979,3282)))</f>
        <v>83801746.056154862</v>
      </c>
      <c r="B1152">
        <v>184507848.03477782</v>
      </c>
    </row>
    <row r="1153" spans="1:2" x14ac:dyDescent="0.25">
      <c r="A1153">
        <f ca="1">31164.9968668844*((RANDBETWEEN(2979,3282)))</f>
        <v>99696824.977163047</v>
      </c>
      <c r="B1153">
        <v>155722656.66784883</v>
      </c>
    </row>
    <row r="1154" spans="1:2" x14ac:dyDescent="0.25">
      <c r="A1154">
        <f ca="1">27101.9196419394*((RANDBETWEEN(2979,3282)))</f>
        <v>86102798.702441558</v>
      </c>
      <c r="B1154">
        <v>168933049.88476151</v>
      </c>
    </row>
    <row r="1155" spans="1:2" x14ac:dyDescent="0.25">
      <c r="A1155">
        <f ca="1">27811.8211172319*((RANDBETWEEN(2979,3282)))</f>
        <v>90471854.094355449</v>
      </c>
      <c r="B1155">
        <v>174998246.45742255</v>
      </c>
    </row>
    <row r="1156" spans="1:2" x14ac:dyDescent="0.25">
      <c r="A1156">
        <f ca="1">27174.6457147779*((RANDBETWEEN(2979,3282)))</f>
        <v>86822993.058715448</v>
      </c>
      <c r="B1156">
        <v>144004566.05604962</v>
      </c>
    </row>
    <row r="1157" spans="1:2" x14ac:dyDescent="0.25">
      <c r="A1157">
        <f ca="1">27947.0019488811*((RANDBETWEEN(2979,3282)))</f>
        <v>88899413.199390829</v>
      </c>
      <c r="B1157">
        <v>172774005.57546228</v>
      </c>
    </row>
    <row r="1158" spans="1:2" x14ac:dyDescent="0.25">
      <c r="A1158">
        <f ca="1">29738.1737463561*((RANDBETWEEN(2979,3282)))</f>
        <v>90404048.188922435</v>
      </c>
      <c r="B1158">
        <v>162723909.75145918</v>
      </c>
    </row>
    <row r="1159" spans="1:2" x14ac:dyDescent="0.25">
      <c r="A1159">
        <f ca="1">27295.4551969164*((RANDBETWEEN(2979,3282)))</f>
        <v>83496797.447367162</v>
      </c>
      <c r="B1159">
        <v>144486664.65463823</v>
      </c>
    </row>
    <row r="1160" spans="1:2" x14ac:dyDescent="0.25">
      <c r="A1160">
        <f ca="1">28913.982690617*((RANDBETWEEN(2979,3282)))</f>
        <v>94693293.311770752</v>
      </c>
      <c r="B1160">
        <v>164264852.60344595</v>
      </c>
    </row>
    <row r="1161" spans="1:2" x14ac:dyDescent="0.25">
      <c r="A1161">
        <f ca="1">27421.4563955228*((RANDBETWEEN(2979,3282)))</f>
        <v>89503633.674986333</v>
      </c>
      <c r="B1161">
        <v>194785714.35466081</v>
      </c>
    </row>
    <row r="1162" spans="1:2" x14ac:dyDescent="0.25">
      <c r="A1162">
        <f ca="1">27865.8428587714*((RANDBETWEEN(2979,3282)))</f>
        <v>87136490.619378194</v>
      </c>
      <c r="B1162">
        <v>163416108.91343746</v>
      </c>
    </row>
    <row r="1163" spans="1:2" x14ac:dyDescent="0.25">
      <c r="A1163">
        <f ca="1">31811.4764934679*((RANDBETWEEN(2979,3282)))</f>
        <v>99251806.659619853</v>
      </c>
      <c r="B1163">
        <v>190899100.10016581</v>
      </c>
    </row>
    <row r="1164" spans="1:2" x14ac:dyDescent="0.25">
      <c r="A1164">
        <f ca="1">27180.4298865174*((RANDBETWEEN(2979,3282)))</f>
        <v>83335198.032062426</v>
      </c>
      <c r="B1164">
        <v>160856600.17055842</v>
      </c>
    </row>
    <row r="1165" spans="1:2" x14ac:dyDescent="0.25">
      <c r="A1165">
        <f ca="1">27393.1464814926*((RANDBETWEEN(2979,3282)))</f>
        <v>88808580.892999098</v>
      </c>
      <c r="B1165">
        <v>149590018.50877601</v>
      </c>
    </row>
    <row r="1166" spans="1:2" x14ac:dyDescent="0.25">
      <c r="A1166">
        <f ca="1">25915.6941959589*((RANDBETWEEN(2979,3282)))</f>
        <v>83759523.641339108</v>
      </c>
      <c r="B1166">
        <v>149822925.59785709</v>
      </c>
    </row>
    <row r="1167" spans="1:2" x14ac:dyDescent="0.25">
      <c r="A1167">
        <f ca="1">32580.3015670072*((RANDBETWEEN(2979,3282)))</f>
        <v>102106665.11100049</v>
      </c>
      <c r="B1167">
        <v>144899640.79358461</v>
      </c>
    </row>
    <row r="1168" spans="1:2" x14ac:dyDescent="0.25">
      <c r="A1168">
        <f ca="1">30462.9920066089*((RANDBETWEEN(2979,3282)))</f>
        <v>93369070.500256285</v>
      </c>
      <c r="B1168">
        <v>149394096.41884536</v>
      </c>
    </row>
    <row r="1169" spans="1:2" x14ac:dyDescent="0.25">
      <c r="A1169">
        <f ca="1">31999.7600725569*((RANDBETWEEN(2979,3282)))</f>
        <v>100159249.02710325</v>
      </c>
      <c r="B1169">
        <v>161630764.93355581</v>
      </c>
    </row>
    <row r="1170" spans="1:2" x14ac:dyDescent="0.25">
      <c r="A1170">
        <f ca="1">26744.7223852747*((RANDBETWEEN(2979,3282)))</f>
        <v>86947092.474528074</v>
      </c>
      <c r="B1170">
        <v>190499249.17277461</v>
      </c>
    </row>
    <row r="1171" spans="1:2" x14ac:dyDescent="0.25">
      <c r="A1171">
        <f ca="1">25540.0881075417*((RANDBETWEEN(2979,3282)))</f>
        <v>83694868.728414163</v>
      </c>
      <c r="B1171">
        <v>150376555.82226115</v>
      </c>
    </row>
    <row r="1172" spans="1:2" x14ac:dyDescent="0.25">
      <c r="A1172">
        <f ca="1">27117.701521012*((RANDBETWEEN(2979,3282)))</f>
        <v>87698646.718952686</v>
      </c>
      <c r="B1172">
        <v>147705371.99764156</v>
      </c>
    </row>
    <row r="1173" spans="1:2" x14ac:dyDescent="0.25">
      <c r="A1173">
        <f ca="1">28679.6673506648*((RANDBETWEEN(2979,3282)))</f>
        <v>86641275.066358373</v>
      </c>
      <c r="B1173">
        <v>159388816.70042223</v>
      </c>
    </row>
    <row r="1174" spans="1:2" x14ac:dyDescent="0.25">
      <c r="A1174">
        <f ca="1">26042.8704301888*((RANDBETWEEN(2979,3282)))</f>
        <v>84873714.73198536</v>
      </c>
      <c r="B1174">
        <v>188278022.97598782</v>
      </c>
    </row>
    <row r="1175" spans="1:2" x14ac:dyDescent="0.25">
      <c r="A1175">
        <f ca="1">26998.0206138773*((RANDBETWEEN(2979,3282)))</f>
        <v>83585871.820564002</v>
      </c>
      <c r="B1175">
        <v>167855483.4887186</v>
      </c>
    </row>
    <row r="1176" spans="1:2" x14ac:dyDescent="0.25">
      <c r="A1176">
        <f ca="1">27048.5857695654*((RANDBETWEEN(2979,3282)))</f>
        <v>86717765.97722666</v>
      </c>
      <c r="B1176">
        <v>187318002.24377957</v>
      </c>
    </row>
    <row r="1177" spans="1:2" x14ac:dyDescent="0.25">
      <c r="A1177">
        <f ca="1">28359.1806755661*((RANDBETWEEN(2979,3282)))</f>
        <v>89189623.224655271</v>
      </c>
      <c r="B1177">
        <v>197386926.1212863</v>
      </c>
    </row>
    <row r="1178" spans="1:2" x14ac:dyDescent="0.25">
      <c r="A1178">
        <f ca="1">32800.7942007406*((RANDBETWEEN(2979,3282)))</f>
        <v>104011318.41054858</v>
      </c>
      <c r="B1178">
        <v>177799887.69132701</v>
      </c>
    </row>
    <row r="1179" spans="1:2" x14ac:dyDescent="0.25">
      <c r="A1179">
        <f ca="1">25853.1194597197*((RANDBETWEEN(2979,3282)))</f>
        <v>78645189.396467209</v>
      </c>
      <c r="B1179">
        <v>194204679.37072936</v>
      </c>
    </row>
    <row r="1180" spans="1:2" x14ac:dyDescent="0.25">
      <c r="A1180">
        <f ca="1">31882.6701197721*((RANDBETWEEN(2979,3282)))</f>
        <v>100207232.18644373</v>
      </c>
      <c r="B1180">
        <v>169669772.78413016</v>
      </c>
    </row>
    <row r="1181" spans="1:2" x14ac:dyDescent="0.25">
      <c r="A1181">
        <f ca="1">31449.7786969642*((RANDBETWEEN(2979,3282)))</f>
        <v>98217658.870619103</v>
      </c>
      <c r="B1181">
        <v>194496851.6979337</v>
      </c>
    </row>
    <row r="1182" spans="1:2" x14ac:dyDescent="0.25">
      <c r="A1182">
        <f ca="1">28975.8691655279*((RANDBETWEEN(2979,3282)))</f>
        <v>91824529.38555783</v>
      </c>
      <c r="B1182">
        <v>152466236.86931059</v>
      </c>
    </row>
    <row r="1183" spans="1:2" x14ac:dyDescent="0.25">
      <c r="A1183">
        <f ca="1">24677.2722444777*((RANDBETWEEN(2979,3282)))</f>
        <v>75685193.973812953</v>
      </c>
      <c r="B1183">
        <v>144361031.40142483</v>
      </c>
    </row>
    <row r="1184" spans="1:2" x14ac:dyDescent="0.25">
      <c r="A1184">
        <f ca="1">27859.1558339214*((RANDBETWEEN(2979,3282)))</f>
        <v>82992425.229251906</v>
      </c>
      <c r="B1184">
        <v>175899681.17225385</v>
      </c>
    </row>
    <row r="1185" spans="1:2" x14ac:dyDescent="0.25">
      <c r="A1185">
        <f ca="1">27892.487416892*((RANDBETWEEN(2979,3282)))</f>
        <v>86048323.681111857</v>
      </c>
      <c r="B1185">
        <v>194512765.8708109</v>
      </c>
    </row>
    <row r="1186" spans="1:2" x14ac:dyDescent="0.25">
      <c r="A1186">
        <f ca="1">28312.2248006359*((RANDBETWEEN(2979,3282)))</f>
        <v>85531231.122721091</v>
      </c>
      <c r="B1186">
        <v>191444774.66280615</v>
      </c>
    </row>
    <row r="1187" spans="1:2" x14ac:dyDescent="0.25">
      <c r="A1187">
        <f ca="1">26868.4770756225*((RANDBETWEEN(2979,3282)))</f>
        <v>82271276.805556104</v>
      </c>
      <c r="B1187">
        <v>186937991.00173211</v>
      </c>
    </row>
    <row r="1188" spans="1:2" x14ac:dyDescent="0.25">
      <c r="A1188">
        <f ca="1">26371.1791198659*((RANDBETWEEN(2979,3282)))</f>
        <v>85020681.482447684</v>
      </c>
      <c r="B1188">
        <v>144920586.74241138</v>
      </c>
    </row>
    <row r="1189" spans="1:2" x14ac:dyDescent="0.25">
      <c r="A1189">
        <f ca="1">28943.5746799651*((RANDBETWEEN(2979,3282)))</f>
        <v>89898742.955971539</v>
      </c>
      <c r="B1189">
        <v>186828043.34549445</v>
      </c>
    </row>
    <row r="1190" spans="1:2" x14ac:dyDescent="0.25">
      <c r="A1190">
        <f ca="1">26951.6218922738*((RANDBETWEEN(2979,3282)))</f>
        <v>83981253.816325068</v>
      </c>
      <c r="B1190">
        <v>153531990.89267203</v>
      </c>
    </row>
    <row r="1191" spans="1:2" x14ac:dyDescent="0.25">
      <c r="A1191">
        <f ca="1">28956.4505175939*((RANDBETWEEN(2979,3282)))</f>
        <v>87129959.607440084</v>
      </c>
      <c r="B1191">
        <v>194960293.17721507</v>
      </c>
    </row>
    <row r="1192" spans="1:2" x14ac:dyDescent="0.25">
      <c r="A1192">
        <f ca="1">33257.5874639498*((RANDBETWEEN(2979,3282)))</f>
        <v>100936777.95308778</v>
      </c>
      <c r="B1192">
        <v>185537846.63067472</v>
      </c>
    </row>
    <row r="1193" spans="1:2" x14ac:dyDescent="0.25">
      <c r="A1193">
        <f ca="1">25811.8852107518*((RANDBETWEEN(2979,3282)))</f>
        <v>80533081.857545599</v>
      </c>
      <c r="B1193">
        <v>145375355.09873509</v>
      </c>
    </row>
    <row r="1194" spans="1:2" x14ac:dyDescent="0.25">
      <c r="A1194">
        <f ca="1">25693.2798490529*((RANDBETWEEN(2979,3282)))</f>
        <v>81344924.002101436</v>
      </c>
      <c r="B1194">
        <v>144498465.53096947</v>
      </c>
    </row>
    <row r="1195" spans="1:2" x14ac:dyDescent="0.25">
      <c r="A1195">
        <f ca="1">27969.2868674685*((RANDBETWEEN(2979,3282)))</f>
        <v>89809380.131441414</v>
      </c>
      <c r="B1195">
        <v>156629863.0500643</v>
      </c>
    </row>
    <row r="1196" spans="1:2" x14ac:dyDescent="0.25">
      <c r="A1196">
        <f ca="1">26559.5149547364*((RANDBETWEEN(2979,3282)))</f>
        <v>84990447.855156615</v>
      </c>
      <c r="B1196">
        <v>159159790.52205727</v>
      </c>
    </row>
    <row r="1197" spans="1:2" x14ac:dyDescent="0.25">
      <c r="A1197">
        <f ca="1">27216.3813571075*((RANDBETWEEN(2979,3282)))</f>
        <v>83309343.334106043</v>
      </c>
      <c r="B1197">
        <v>160905731.21015725</v>
      </c>
    </row>
    <row r="1198" spans="1:2" x14ac:dyDescent="0.25">
      <c r="A1198">
        <f ca="1">28551.9175877596*((RANDBETWEEN(2979,3282)))</f>
        <v>91908622.714998022</v>
      </c>
      <c r="B1198">
        <v>183616787.05210793</v>
      </c>
    </row>
    <row r="1199" spans="1:2" x14ac:dyDescent="0.25">
      <c r="A1199">
        <f ca="1">29744.5884716135*((RANDBETWEEN(2979,3282)))</f>
        <v>91494354.138683125</v>
      </c>
      <c r="B1199">
        <v>190773506.79176319</v>
      </c>
    </row>
    <row r="1200" spans="1:2" x14ac:dyDescent="0.25">
      <c r="A1200">
        <f ca="1">28500.5440092416*((RANDBETWEEN(2979,3282)))</f>
        <v>92541266.398007587</v>
      </c>
      <c r="B1200">
        <v>152615949.74815622</v>
      </c>
    </row>
    <row r="1201" spans="1:2" x14ac:dyDescent="0.25">
      <c r="A1201">
        <f ca="1">29476.221655725*((RANDBETWEEN(2979,3282)))</f>
        <v>96063006.376007676</v>
      </c>
      <c r="B1201">
        <v>180978500.81135115</v>
      </c>
    </row>
    <row r="1202" spans="1:2" x14ac:dyDescent="0.25">
      <c r="A1202">
        <f ca="1">26458.9735269315*((RANDBETWEEN(2979,3282)))</f>
        <v>81520097.436475858</v>
      </c>
      <c r="B1202">
        <v>151532451.90550506</v>
      </c>
    </row>
    <row r="1203" spans="1:2" x14ac:dyDescent="0.25">
      <c r="A1203">
        <f ca="1">26341.6823167137*((RANDBETWEEN(2979,3282)))</f>
        <v>83002640.979964957</v>
      </c>
      <c r="B1203">
        <v>166856949.45701703</v>
      </c>
    </row>
    <row r="1204" spans="1:2" x14ac:dyDescent="0.25">
      <c r="A1204">
        <f ca="1">27760.4030692007*((RANDBETWEEN(2979,3282)))</f>
        <v>87528550.877189904</v>
      </c>
      <c r="B1204">
        <v>152164266.59488201</v>
      </c>
    </row>
    <row r="1205" spans="1:2" x14ac:dyDescent="0.25">
      <c r="A1205">
        <f ca="1">29832.3907337124*((RANDBETWEEN(2979,3282)))</f>
        <v>93912366.029726699</v>
      </c>
      <c r="B1205">
        <v>183916772.65967605</v>
      </c>
    </row>
    <row r="1206" spans="1:2" x14ac:dyDescent="0.25">
      <c r="A1206">
        <f ca="1">30880.8852115547*((RANDBETWEEN(2979,3282)))</f>
        <v>94032295.469184071</v>
      </c>
      <c r="B1206">
        <v>152679095.40275645</v>
      </c>
    </row>
    <row r="1207" spans="1:2" x14ac:dyDescent="0.25">
      <c r="A1207">
        <f ca="1">32496.3749438773*((RANDBETWEEN(2979,3282)))</f>
        <v>102688544.82265238</v>
      </c>
      <c r="B1207">
        <v>170999836.90994686</v>
      </c>
    </row>
    <row r="1208" spans="1:2" x14ac:dyDescent="0.25">
      <c r="A1208">
        <f ca="1">26118.4822577762*((RANDBETWEEN(2979,3282)))</f>
        <v>81124005.892653003</v>
      </c>
      <c r="B1208">
        <v>175083130.90225083</v>
      </c>
    </row>
    <row r="1209" spans="1:2" x14ac:dyDescent="0.25">
      <c r="A1209">
        <f ca="1">26415.0253582234*((RANDBETWEEN(2979,3282)))</f>
        <v>84950721.552046388</v>
      </c>
      <c r="B1209">
        <v>201542285.57232881</v>
      </c>
    </row>
    <row r="1210" spans="1:2" x14ac:dyDescent="0.25">
      <c r="A1210">
        <f ca="1">27402.4653312322*((RANDBETWEEN(2979,3282)))</f>
        <v>89660866.563791782</v>
      </c>
      <c r="B1210">
        <v>144736022.3031522</v>
      </c>
    </row>
    <row r="1211" spans="1:2" x14ac:dyDescent="0.25">
      <c r="A1211">
        <f ca="1">28261.6562360515*((RANDBETWEEN(2979,3282)))</f>
        <v>92019952.704583779</v>
      </c>
      <c r="B1211">
        <v>162048423.00367573</v>
      </c>
    </row>
    <row r="1212" spans="1:2" x14ac:dyDescent="0.25">
      <c r="A1212">
        <f ca="1">27545.3095698085*((RANDBETWEEN(2979,3282)))</f>
        <v>85610822.142964795</v>
      </c>
      <c r="B1212">
        <v>164312664.0812549</v>
      </c>
    </row>
    <row r="1213" spans="1:2" x14ac:dyDescent="0.25">
      <c r="A1213">
        <f ca="1">30972.1326409882*((RANDBETWEEN(2979,3282)))</f>
        <v>99389573.644931257</v>
      </c>
      <c r="B1213">
        <v>196130155.40762013</v>
      </c>
    </row>
    <row r="1214" spans="1:2" x14ac:dyDescent="0.25">
      <c r="A1214">
        <f ca="1">29118.0914994144*((RANDBETWEEN(2979,3282)))</f>
        <v>88198699.15172635</v>
      </c>
      <c r="B1214">
        <v>198666878.66721749</v>
      </c>
    </row>
    <row r="1215" spans="1:2" x14ac:dyDescent="0.25">
      <c r="A1215">
        <f ca="1">28072.6655313658*((RANDBETWEEN(2979,3282)))</f>
        <v>84554868.580473796</v>
      </c>
      <c r="B1215">
        <v>179537815.46466979</v>
      </c>
    </row>
    <row r="1216" spans="1:2" x14ac:dyDescent="0.25">
      <c r="A1216">
        <f ca="1">30048.8317602848*((RANDBETWEEN(2979,3282)))</f>
        <v>93361720.279204994</v>
      </c>
      <c r="B1216">
        <v>187474502.97827551</v>
      </c>
    </row>
    <row r="1217" spans="1:2" x14ac:dyDescent="0.25">
      <c r="A1217">
        <f ca="1">29810.4422991132*((RANDBETWEEN(2979,3282)))</f>
        <v>94320239.434394032</v>
      </c>
      <c r="B1217">
        <v>159804294.40282178</v>
      </c>
    </row>
    <row r="1218" spans="1:2" x14ac:dyDescent="0.25">
      <c r="A1218">
        <f ca="1">27559.8100298981*((RANDBETWEEN(2979,3282)))</f>
        <v>82183353.509156242</v>
      </c>
      <c r="B1218">
        <v>154070609.99728858</v>
      </c>
    </row>
    <row r="1219" spans="1:2" x14ac:dyDescent="0.25">
      <c r="A1219">
        <f ca="1">27531.4805857074*((RANDBETWEEN(2979,3282)))</f>
        <v>86035876.830335706</v>
      </c>
      <c r="B1219">
        <v>197823060.31872377</v>
      </c>
    </row>
    <row r="1220" spans="1:2" x14ac:dyDescent="0.25">
      <c r="A1220">
        <f ca="1">31802.8908211861*((RANDBETWEEN(2979,3282)))</f>
        <v>98016509.510895416</v>
      </c>
      <c r="B1220">
        <v>186446838.61150706</v>
      </c>
    </row>
    <row r="1221" spans="1:2" x14ac:dyDescent="0.25">
      <c r="A1221">
        <f ca="1">31117.9141980907*((RANDBETWEEN(2979,3282)))</f>
        <v>95998765.301109806</v>
      </c>
      <c r="B1221">
        <v>187668345.83106303</v>
      </c>
    </row>
    <row r="1222" spans="1:2" x14ac:dyDescent="0.25">
      <c r="A1222">
        <f ca="1">26373.8593424471*((RANDBETWEEN(2979,3282)))</f>
        <v>79728176.792217687</v>
      </c>
      <c r="B1222">
        <v>146810644.08096606</v>
      </c>
    </row>
    <row r="1223" spans="1:2" x14ac:dyDescent="0.25">
      <c r="A1223">
        <f ca="1">30476.7515496678*((RANDBETWEEN(2979,3282)))</f>
        <v>97251314.194989875</v>
      </c>
      <c r="B1223">
        <v>175929041.02093515</v>
      </c>
    </row>
    <row r="1224" spans="1:2" x14ac:dyDescent="0.25">
      <c r="A1224">
        <f ca="1">32262.6529754037*((RANDBETWEEN(2979,3282)))</f>
        <v>99239920.552341819</v>
      </c>
      <c r="B1224">
        <v>149932558.22027019</v>
      </c>
    </row>
    <row r="1225" spans="1:2" x14ac:dyDescent="0.25">
      <c r="A1225">
        <f ca="1">28808.1146823258*((RANDBETWEEN(2979,3282)))</f>
        <v>90860793.708055541</v>
      </c>
      <c r="B1225">
        <v>166558690.97321022</v>
      </c>
    </row>
    <row r="1226" spans="1:2" x14ac:dyDescent="0.25">
      <c r="A1226">
        <f ca="1">28581.2785533433*((RANDBETWEEN(2979,3282)))</f>
        <v>88344732.008384213</v>
      </c>
      <c r="B1226">
        <v>171754141.65419713</v>
      </c>
    </row>
    <row r="1227" spans="1:2" x14ac:dyDescent="0.25">
      <c r="A1227">
        <f ca="1">29143.0890060299*((RANDBETWEEN(2979,3282)))</f>
        <v>87079549.950017333</v>
      </c>
      <c r="B1227">
        <v>148834954.2100507</v>
      </c>
    </row>
    <row r="1228" spans="1:2" x14ac:dyDescent="0.25">
      <c r="A1228">
        <f ca="1">26269.9912715111*((RANDBETWEEN(2979,3282)))</f>
        <v>85141041.710967407</v>
      </c>
      <c r="B1228">
        <v>197637871.06011993</v>
      </c>
    </row>
    <row r="1229" spans="1:2" x14ac:dyDescent="0.25">
      <c r="A1229">
        <f ca="1">25606.6032635432*((RANDBETWEEN(2979,3282)))</f>
        <v>79124404.0843485</v>
      </c>
      <c r="B1229">
        <v>147836546.66611326</v>
      </c>
    </row>
    <row r="1230" spans="1:2" x14ac:dyDescent="0.25">
      <c r="A1230">
        <f ca="1">28923.4651543494*((RANDBETWEEN(2979,3282)))</f>
        <v>92757552.749998674</v>
      </c>
      <c r="B1230">
        <v>186369416.22387633</v>
      </c>
    </row>
    <row r="1231" spans="1:2" x14ac:dyDescent="0.25">
      <c r="A1231">
        <f ca="1">28429.4501127663*((RANDBETWEEN(2979,3282)))</f>
        <v>86994117.345064804</v>
      </c>
      <c r="B1231">
        <v>149512106.83779246</v>
      </c>
    </row>
    <row r="1232" spans="1:2" x14ac:dyDescent="0.25">
      <c r="A1232">
        <f ca="1">26565.0159535055*((RANDBETWEEN(2979,3282)))</f>
        <v>86601952.008428007</v>
      </c>
      <c r="B1232">
        <v>155057000.93951464</v>
      </c>
    </row>
    <row r="1233" spans="1:2" x14ac:dyDescent="0.25">
      <c r="A1233">
        <f ca="1">26370.0664118848*((RANDBETWEEN(2979,3282)))</f>
        <v>80033151.560070485</v>
      </c>
      <c r="B1233">
        <v>146687977.94542843</v>
      </c>
    </row>
    <row r="1234" spans="1:2" x14ac:dyDescent="0.25">
      <c r="A1234">
        <f ca="1">27842.3383224429*((RANDBETWEEN(2979,3282)))</f>
        <v>89373906.015041769</v>
      </c>
      <c r="B1234">
        <v>182079435.72224045</v>
      </c>
    </row>
    <row r="1235" spans="1:2" x14ac:dyDescent="0.25">
      <c r="A1235">
        <f ca="1">26325.2157563518*((RANDBETWEEN(2979,3282)))</f>
        <v>82898104.416751936</v>
      </c>
      <c r="B1235">
        <v>159754592.83087283</v>
      </c>
    </row>
    <row r="1236" spans="1:2" x14ac:dyDescent="0.25">
      <c r="A1236">
        <f ca="1">26037.0841395809*((RANDBETWEEN(2979,3282)))</f>
        <v>84698634.70605652</v>
      </c>
      <c r="B1236">
        <v>173141261.90592432</v>
      </c>
    </row>
    <row r="1237" spans="1:2" x14ac:dyDescent="0.25">
      <c r="A1237">
        <f ca="1">27457.5707526664*((RANDBETWEEN(2979,3282)))</f>
        <v>86820838.719931304</v>
      </c>
      <c r="B1237">
        <v>184913014.88118774</v>
      </c>
    </row>
    <row r="1238" spans="1:2" x14ac:dyDescent="0.25">
      <c r="A1238">
        <f ca="1">26813.778826597*((RANDBETWEEN(2979,3282)))</f>
        <v>81218936.065762267</v>
      </c>
      <c r="B1238">
        <v>194949702.55893439</v>
      </c>
    </row>
    <row r="1239" spans="1:2" x14ac:dyDescent="0.25">
      <c r="A1239">
        <f ca="1">31737.2066243853*((RANDBETWEEN(2979,3282)))</f>
        <v>97338012.716989592</v>
      </c>
      <c r="B1239">
        <v>176428523.76211166</v>
      </c>
    </row>
    <row r="1240" spans="1:2" x14ac:dyDescent="0.25">
      <c r="A1240">
        <f ca="1">27319.7158159927*((RANDBETWEEN(2979,3282)))</f>
        <v>81522031.994922251</v>
      </c>
      <c r="B1240">
        <v>203337803.01926062</v>
      </c>
    </row>
    <row r="1241" spans="1:2" x14ac:dyDescent="0.25">
      <c r="A1241">
        <f ca="1">30349.5732484919*((RANDBETWEEN(2979,3282)))</f>
        <v>94174725.790070504</v>
      </c>
      <c r="B1241">
        <v>162559196.31339142</v>
      </c>
    </row>
    <row r="1242" spans="1:2" x14ac:dyDescent="0.25">
      <c r="A1242">
        <f ca="1">25804.4319554418*((RANDBETWEEN(2979,3282)))</f>
        <v>83709577.263453156</v>
      </c>
      <c r="B1242">
        <v>173234174.0944908</v>
      </c>
    </row>
    <row r="1243" spans="1:2" x14ac:dyDescent="0.25">
      <c r="A1243">
        <f ca="1">27456.5832149816*((RANDBETWEEN(2979,3282)))</f>
        <v>85087951.383227885</v>
      </c>
      <c r="B1243">
        <v>182117439.05246812</v>
      </c>
    </row>
    <row r="1244" spans="1:2" x14ac:dyDescent="0.25">
      <c r="A1244">
        <f ca="1">26544.3662709757*((RANDBETWEEN(2979,3282)))</f>
        <v>80455974.167327479</v>
      </c>
      <c r="B1244">
        <v>158828768.45689702</v>
      </c>
    </row>
    <row r="1245" spans="1:2" x14ac:dyDescent="0.25">
      <c r="A1245">
        <f ca="1">26171.3666110232*((RANDBETWEEN(2979,3282)))</f>
        <v>78697299.399346665</v>
      </c>
      <c r="B1245">
        <v>152318228.50711724</v>
      </c>
    </row>
    <row r="1246" spans="1:2" x14ac:dyDescent="0.25">
      <c r="A1246">
        <f ca="1">29585.926807608*((RANDBETWEEN(2979,3282)))</f>
        <v>89852459.714705348</v>
      </c>
      <c r="B1246">
        <v>157000954.01272252</v>
      </c>
    </row>
    <row r="1247" spans="1:2" x14ac:dyDescent="0.25">
      <c r="A1247">
        <f ca="1">27608.2315736901*((RANDBETWEEN(2979,3282)))</f>
        <v>82935127.647365138</v>
      </c>
      <c r="B1247">
        <v>174234220.48530641</v>
      </c>
    </row>
    <row r="1248" spans="1:2" x14ac:dyDescent="0.25">
      <c r="A1248">
        <f ca="1">26147.3582131859*((RANDBETWEEN(2979,3282)))</f>
        <v>81449020.834074214</v>
      </c>
      <c r="B1248">
        <v>147097147.99571896</v>
      </c>
    </row>
    <row r="1249" spans="1:2" x14ac:dyDescent="0.25">
      <c r="A1249">
        <f ca="1">27964.9665867876*((RANDBETWEEN(2979,3282)))</f>
        <v>85460937.88922292</v>
      </c>
      <c r="B1249">
        <v>178336025.77070051</v>
      </c>
    </row>
    <row r="1250" spans="1:2" x14ac:dyDescent="0.25">
      <c r="A1250">
        <f ca="1">30677.726234054*((RANDBETWEEN(2979,3282)))</f>
        <v>95407728.58790791</v>
      </c>
      <c r="B1250">
        <v>165026879.64102477</v>
      </c>
    </row>
    <row r="1251" spans="1:2" x14ac:dyDescent="0.25">
      <c r="A1251">
        <f ca="1">27084.2914895711*((RANDBETWEEN(2979,3282)))</f>
        <v>85884288.313429922</v>
      </c>
      <c r="B1251">
        <v>196501611.58721286</v>
      </c>
    </row>
    <row r="1252" spans="1:2" x14ac:dyDescent="0.25">
      <c r="A1252">
        <f ca="1">24826.8178500073*((RANDBETWEEN(2979,3282)))</f>
        <v>76565906.24942252</v>
      </c>
      <c r="B1252">
        <v>145477038.24396694</v>
      </c>
    </row>
    <row r="1253" spans="1:2" x14ac:dyDescent="0.25">
      <c r="A1253">
        <f ca="1">28540.08234957*((RANDBETWEEN(2979,3282)))</f>
        <v>91157023.024526477</v>
      </c>
      <c r="B1253">
        <v>182453798.25801563</v>
      </c>
    </row>
    <row r="1254" spans="1:2" x14ac:dyDescent="0.25">
      <c r="A1254">
        <f ca="1">26331.171057395*((RANDBETWEEN(2979,3282)))</f>
        <v>80336402.896112099</v>
      </c>
      <c r="B1254">
        <v>173144152.60318586</v>
      </c>
    </row>
    <row r="1255" spans="1:2" x14ac:dyDescent="0.25">
      <c r="A1255">
        <f ca="1">25512.0107297467*((RANDBETWEEN(2979,3282)))</f>
        <v>82505842.700000912</v>
      </c>
      <c r="B1255">
        <v>150402644.75090873</v>
      </c>
    </row>
    <row r="1256" spans="1:2" x14ac:dyDescent="0.25">
      <c r="A1256">
        <f ca="1">29755.1339990219*((RANDBETWEEN(2979,3282)))</f>
        <v>91675567.85098654</v>
      </c>
      <c r="B1256">
        <v>153731036.04541966</v>
      </c>
    </row>
    <row r="1257" spans="1:2" x14ac:dyDescent="0.25">
      <c r="A1257">
        <f ca="1">27002.5641070099*((RANDBETWEEN(2979,3282)))</f>
        <v>80818674.372280732</v>
      </c>
      <c r="B1257">
        <v>146391023.67976928</v>
      </c>
    </row>
    <row r="1258" spans="1:2" x14ac:dyDescent="0.25">
      <c r="A1258">
        <f ca="1">25807.1772792655*((RANDBETWEEN(2979,3282)))</f>
        <v>83176532.371073022</v>
      </c>
      <c r="B1258">
        <v>182694892.73064178</v>
      </c>
    </row>
    <row r="1259" spans="1:2" x14ac:dyDescent="0.25">
      <c r="A1259">
        <f ca="1">26158.7331291223*((RANDBETWEEN(2979,3282)))</f>
        <v>85015882.669647619</v>
      </c>
      <c r="B1259">
        <v>180841141.42643878</v>
      </c>
    </row>
    <row r="1260" spans="1:2" x14ac:dyDescent="0.25">
      <c r="A1260">
        <f ca="1">26721.3543077341*((RANDBETWEEN(2979,3282)))</f>
        <v>85080792.115825504</v>
      </c>
      <c r="B1260">
        <v>199606152.43753111</v>
      </c>
    </row>
    <row r="1261" spans="1:2" x14ac:dyDescent="0.25">
      <c r="A1261">
        <f ca="1">25174.2264906629*((RANDBETWEEN(2979,3282)))</f>
        <v>75245762.980591387</v>
      </c>
      <c r="B1261">
        <v>158406913.65230748</v>
      </c>
    </row>
    <row r="1262" spans="1:2" x14ac:dyDescent="0.25">
      <c r="A1262">
        <f ca="1">25710.6991416697*((RANDBETWEEN(2979,3282)))</f>
        <v>82994136.829309911</v>
      </c>
      <c r="B1262">
        <v>148153998.75676966</v>
      </c>
    </row>
    <row r="1263" spans="1:2" x14ac:dyDescent="0.25">
      <c r="A1263">
        <f ca="1">26596.1107374853*((RANDBETWEEN(2979,3282)))</f>
        <v>79655351.65876843</v>
      </c>
      <c r="B1263">
        <v>178692445.65005696</v>
      </c>
    </row>
    <row r="1264" spans="1:2" x14ac:dyDescent="0.25">
      <c r="A1264">
        <f ca="1">30328.4810007854*((RANDBETWEEN(2979,3282)))</f>
        <v>98082307.556539878</v>
      </c>
      <c r="B1264">
        <v>164955983.32829943</v>
      </c>
    </row>
    <row r="1265" spans="1:2" x14ac:dyDescent="0.25">
      <c r="A1265">
        <f ca="1">28899.6729739116*((RANDBETWEEN(2979,3282)))</f>
        <v>92796849.919230267</v>
      </c>
      <c r="B1265">
        <v>162074198.5274981</v>
      </c>
    </row>
    <row r="1266" spans="1:2" x14ac:dyDescent="0.25">
      <c r="A1266">
        <f ca="1">26374.206897198*((RANDBETWEEN(2979,3282)))</f>
        <v>85505178.760715932</v>
      </c>
      <c r="B1266">
        <v>157252673.44956452</v>
      </c>
    </row>
    <row r="1267" spans="1:2" x14ac:dyDescent="0.25">
      <c r="A1267">
        <f ca="1">25433.9184158501*((RANDBETWEEN(2979,3282)))</f>
        <v>80676389.215076447</v>
      </c>
      <c r="B1267">
        <v>155915977.83160514</v>
      </c>
    </row>
    <row r="1268" spans="1:2" x14ac:dyDescent="0.25">
      <c r="A1268">
        <f ca="1">32554.9918416531*((RANDBETWEEN(2979,3282)))</f>
        <v>97306870.614701197</v>
      </c>
      <c r="B1268">
        <v>172027134.04652044</v>
      </c>
    </row>
    <row r="1269" spans="1:2" x14ac:dyDescent="0.25">
      <c r="A1269">
        <f ca="1">25845.0020067857*((RANDBETWEEN(2979,3282)))</f>
        <v>79137396.1447777</v>
      </c>
      <c r="B1269">
        <v>158928334.18031105</v>
      </c>
    </row>
    <row r="1270" spans="1:2" x14ac:dyDescent="0.25">
      <c r="A1270">
        <f ca="1">29009.8019376108*((RANDBETWEEN(2979,3282)))</f>
        <v>94658983.722423971</v>
      </c>
      <c r="B1270">
        <v>173348637.7124818</v>
      </c>
    </row>
    <row r="1271" spans="1:2" x14ac:dyDescent="0.25">
      <c r="A1271">
        <f ca="1">27219.7405391886*((RANDBETWEEN(2979,3282)))</f>
        <v>84108998.266092807</v>
      </c>
      <c r="B1271">
        <v>150958591.34461185</v>
      </c>
    </row>
    <row r="1272" spans="1:2" x14ac:dyDescent="0.25">
      <c r="A1272">
        <f ca="1">27319.9980536208*((RANDBETWEEN(2979,3282)))</f>
        <v>87178113.789103955</v>
      </c>
      <c r="B1272">
        <v>156675659.23429635</v>
      </c>
    </row>
    <row r="1273" spans="1:2" x14ac:dyDescent="0.25">
      <c r="A1273">
        <f ca="1">26805.3635567045*((RANDBETWEEN(2979,3282)))</f>
        <v>85964800.926351264</v>
      </c>
      <c r="B1273">
        <v>147099354.31707501</v>
      </c>
    </row>
    <row r="1274" spans="1:2" x14ac:dyDescent="0.25">
      <c r="A1274">
        <f ca="1">29406.5354982131*((RANDBETWEEN(2979,3282)))</f>
        <v>93424563.277823135</v>
      </c>
      <c r="B1274">
        <v>189791405.84024549</v>
      </c>
    </row>
    <row r="1275" spans="1:2" x14ac:dyDescent="0.25">
      <c r="A1275">
        <f ca="1">26952.2412443855*((RANDBETWEEN(2979,3282)))</f>
        <v>80479392.355735242</v>
      </c>
      <c r="B1275">
        <v>196690315.48347849</v>
      </c>
    </row>
    <row r="1276" spans="1:2" x14ac:dyDescent="0.25">
      <c r="A1276">
        <f ca="1">27482.4552430361*((RANDBETWEEN(2979,3282)))</f>
        <v>87531619.949069917</v>
      </c>
      <c r="B1276">
        <v>154306168.30745348</v>
      </c>
    </row>
    <row r="1277" spans="1:2" x14ac:dyDescent="0.25">
      <c r="A1277">
        <f ca="1">26420.7980963273*((RANDBETWEEN(2979,3282)))</f>
        <v>80266384.616642401</v>
      </c>
      <c r="B1277">
        <v>160773878.95646179</v>
      </c>
    </row>
    <row r="1278" spans="1:2" x14ac:dyDescent="0.25">
      <c r="A1278">
        <f ca="1">29894.3075822499*((RANDBETWEEN(2979,3282)))</f>
        <v>94824743.650896564</v>
      </c>
      <c r="B1278">
        <v>163934032.3096357</v>
      </c>
    </row>
    <row r="1279" spans="1:2" x14ac:dyDescent="0.25">
      <c r="A1279">
        <f ca="1">26594.6563907924*((RANDBETWEEN(2979,3282)))</f>
        <v>86592201.208420023</v>
      </c>
      <c r="B1279">
        <v>192555700.04074961</v>
      </c>
    </row>
    <row r="1280" spans="1:2" x14ac:dyDescent="0.25">
      <c r="A1280">
        <f ca="1">26002.0266756079*((RANDBETWEEN(2979,3282)))</f>
        <v>79540199.600684524</v>
      </c>
      <c r="B1280">
        <v>144309169.6478889</v>
      </c>
    </row>
    <row r="1281" spans="1:2" x14ac:dyDescent="0.25">
      <c r="A1281">
        <f ca="1">25504.6377576552*((RANDBETWEEN(2979,3282)))</f>
        <v>83451174.743047953</v>
      </c>
      <c r="B1281">
        <v>145694385.81493327</v>
      </c>
    </row>
    <row r="1282" spans="1:2" x14ac:dyDescent="0.25">
      <c r="A1282">
        <f ca="1">27329.9905858862*((RANDBETWEEN(2979,3282)))</f>
        <v>82509241.578790531</v>
      </c>
      <c r="B1282">
        <v>159097017.83746618</v>
      </c>
    </row>
    <row r="1283" spans="1:2" x14ac:dyDescent="0.25">
      <c r="A1283">
        <f ca="1">29614.2300766935*((RANDBETWEEN(2979,3282)))</f>
        <v>94084408.953655154</v>
      </c>
      <c r="B1283">
        <v>181280757.2730391</v>
      </c>
    </row>
    <row r="1284" spans="1:2" x14ac:dyDescent="0.25">
      <c r="A1284">
        <f ca="1">25927.6595442921*((RANDBETWEEN(2979,3282)))</f>
        <v>79934974.375052422</v>
      </c>
      <c r="B1284">
        <v>164297857.33699644</v>
      </c>
    </row>
    <row r="1285" spans="1:2" x14ac:dyDescent="0.25">
      <c r="A1285">
        <f ca="1">30566.100071049*((RANDBETWEEN(2979,3282)))</f>
        <v>97139066.025793761</v>
      </c>
      <c r="B1285">
        <v>166765234.02331954</v>
      </c>
    </row>
    <row r="1286" spans="1:2" x14ac:dyDescent="0.25">
      <c r="A1286">
        <f ca="1">31502.2924983861*((RANDBETWEEN(2979,3282)))</f>
        <v>98759686.982440263</v>
      </c>
      <c r="B1286">
        <v>151878812.77967906</v>
      </c>
    </row>
    <row r="1287" spans="1:2" x14ac:dyDescent="0.25">
      <c r="A1287">
        <f ca="1">26699.5429661121*((RANDBETWEEN(2979,3282)))</f>
        <v>87360904.585118726</v>
      </c>
      <c r="B1287">
        <v>181223413.68773505</v>
      </c>
    </row>
    <row r="1288" spans="1:2" x14ac:dyDescent="0.25">
      <c r="A1288">
        <f ca="1">27357.4731750539*((RANDBETWEEN(2979,3282)))</f>
        <v>84206302.43281585</v>
      </c>
      <c r="B1288">
        <v>145173852.19804156</v>
      </c>
    </row>
    <row r="1289" spans="1:2" x14ac:dyDescent="0.25">
      <c r="A1289">
        <f ca="1">25393.7233240646*((RANDBETWEEN(2979,3282)))</f>
        <v>83037475.269691348</v>
      </c>
      <c r="B1289">
        <v>152707243.28847209</v>
      </c>
    </row>
    <row r="1290" spans="1:2" x14ac:dyDescent="0.25">
      <c r="A1290">
        <f ca="1">26113.4060415058*((RANDBETWEEN(2979,3282)))</f>
        <v>78131310.876185447</v>
      </c>
      <c r="B1290">
        <v>155365192.84525862</v>
      </c>
    </row>
    <row r="1291" spans="1:2" x14ac:dyDescent="0.25">
      <c r="A1291">
        <f ca="1">25879.3709508062*((RANDBETWEEN(2979,3282)))</f>
        <v>80174291.205597758</v>
      </c>
      <c r="B1291">
        <v>177997369.20980775</v>
      </c>
    </row>
    <row r="1292" spans="1:2" x14ac:dyDescent="0.25">
      <c r="A1292">
        <f ca="1">25874.2505121047*((RANDBETWEEN(2979,3282)))</f>
        <v>82694104.636686489</v>
      </c>
      <c r="B1292">
        <v>147407359.36817947</v>
      </c>
    </row>
    <row r="1293" spans="1:2" x14ac:dyDescent="0.25">
      <c r="A1293">
        <f ca="1">30481.7792789254*((RANDBETWEEN(2979,3282)))</f>
        <v>92786536.12504904</v>
      </c>
      <c r="B1293">
        <v>173941116.25246125</v>
      </c>
    </row>
    <row r="1294" spans="1:2" x14ac:dyDescent="0.25">
      <c r="A1294">
        <f ca="1">27007.5577164121*((RANDBETWEEN(2979,3282)))</f>
        <v>81157710.937818453</v>
      </c>
      <c r="B1294">
        <v>182628841.94763699</v>
      </c>
    </row>
    <row r="1295" spans="1:2" x14ac:dyDescent="0.25">
      <c r="A1295">
        <f ca="1">27553.8974558428*((RANDBETWEEN(2979,3282)))</f>
        <v>89329735.551842421</v>
      </c>
      <c r="B1295">
        <v>176121192.1077621</v>
      </c>
    </row>
    <row r="1296" spans="1:2" x14ac:dyDescent="0.25">
      <c r="A1296">
        <f ca="1">26676.583750479*((RANDBETWEEN(2979,3282)))</f>
        <v>80296517.088941768</v>
      </c>
      <c r="B1296">
        <v>149617687.06411141</v>
      </c>
    </row>
    <row r="1297" spans="1:2" x14ac:dyDescent="0.25">
      <c r="A1297">
        <f ca="1">30236.9505994998*((RANDBETWEEN(2979,3282)))</f>
        <v>98330563.349573329</v>
      </c>
      <c r="B1297">
        <v>148684841.98545608</v>
      </c>
    </row>
    <row r="1298" spans="1:2" x14ac:dyDescent="0.25">
      <c r="A1298">
        <f ca="1">27958.5239394178*((RANDBETWEEN(2979,3282)))</f>
        <v>90921119.85098657</v>
      </c>
      <c r="B1298">
        <v>152808344.57908627</v>
      </c>
    </row>
    <row r="1299" spans="1:2" x14ac:dyDescent="0.25">
      <c r="A1299">
        <f ca="1">26065.9821372639*((RANDBETWEEN(2979,3282)))</f>
        <v>79266651.679419488</v>
      </c>
      <c r="B1299">
        <v>172741944.93435693</v>
      </c>
    </row>
    <row r="1300" spans="1:2" x14ac:dyDescent="0.25">
      <c r="A1300">
        <f ca="1">26836.6474267773*((RANDBETWEEN(2979,3282)))</f>
        <v>86172474.887381762</v>
      </c>
      <c r="B1300">
        <v>146270610.27378342</v>
      </c>
    </row>
    <row r="1301" spans="1:2" x14ac:dyDescent="0.25">
      <c r="A1301">
        <f ca="1">26649.1241186212*((RANDBETWEEN(2979,3282)))</f>
        <v>81413074.182387844</v>
      </c>
      <c r="B1301">
        <v>161821958.63474959</v>
      </c>
    </row>
    <row r="1302" spans="1:2" x14ac:dyDescent="0.25">
      <c r="A1302">
        <f ca="1">26879.905209458*((RANDBETWEEN(2979,3282)))</f>
        <v>80478436.197117284</v>
      </c>
      <c r="B1302">
        <v>164623776.50123876</v>
      </c>
    </row>
    <row r="1303" spans="1:2" x14ac:dyDescent="0.25">
      <c r="A1303">
        <f ca="1">28607.1623053764*((RANDBETWEEN(2979,3282)))</f>
        <v>86593880.298374385</v>
      </c>
      <c r="B1303">
        <v>142997179.99798489</v>
      </c>
    </row>
    <row r="1304" spans="1:2" x14ac:dyDescent="0.25">
      <c r="A1304">
        <f ca="1">32643.8299701214*((RANDBETWEEN(2979,3282)))</f>
        <v>98192640.550125077</v>
      </c>
      <c r="B1304">
        <v>167228377.62944564</v>
      </c>
    </row>
    <row r="1305" spans="1:2" x14ac:dyDescent="0.25">
      <c r="A1305">
        <f ca="1">26587.4315830207*((RANDBETWEEN(2979,3282)))</f>
        <v>85930578.876322836</v>
      </c>
      <c r="B1305">
        <v>189243197.2305648</v>
      </c>
    </row>
    <row r="1306" spans="1:2" x14ac:dyDescent="0.25">
      <c r="A1306">
        <f ca="1">27485.7784980753*((RANDBETWEEN(2979,3282)))</f>
        <v>86937517.389412105</v>
      </c>
      <c r="B1306">
        <v>162865078.29963675</v>
      </c>
    </row>
    <row r="1307" spans="1:2" x14ac:dyDescent="0.25">
      <c r="A1307">
        <f ca="1">25512.2981318748*((RANDBETWEEN(2979,3282)))</f>
        <v>79368759.48826237</v>
      </c>
      <c r="B1307">
        <v>144437765.25736645</v>
      </c>
    </row>
    <row r="1308" spans="1:2" x14ac:dyDescent="0.25">
      <c r="A1308">
        <f ca="1">26597.7860259879*((RANDBETWEEN(2979,3282)))</f>
        <v>80591291.658743396</v>
      </c>
      <c r="B1308">
        <v>165284918.16529441</v>
      </c>
    </row>
    <row r="1309" spans="1:2" x14ac:dyDescent="0.25">
      <c r="A1309">
        <f ca="1">26591.4791355995*((RANDBETWEEN(2979,3282)))</f>
        <v>80173309.593832567</v>
      </c>
      <c r="B1309">
        <v>146333834.27027214</v>
      </c>
    </row>
    <row r="1310" spans="1:2" x14ac:dyDescent="0.25">
      <c r="A1310">
        <f ca="1">28132.827275212*((RANDBETWEEN(2979,3282)))</f>
        <v>89856250.317027003</v>
      </c>
      <c r="B1310">
        <v>155638504.61086604</v>
      </c>
    </row>
    <row r="1311" spans="1:2" x14ac:dyDescent="0.25">
      <c r="A1311">
        <f ca="1">25006.9302992214*((RANDBETWEEN(2979,3282)))</f>
        <v>80947433.37857978</v>
      </c>
      <c r="B1311">
        <v>143537730.00612274</v>
      </c>
    </row>
    <row r="1312" spans="1:2" x14ac:dyDescent="0.25">
      <c r="A1312">
        <f ca="1">30088.9557064029*((RANDBETWEEN(2979,3282)))</f>
        <v>90146511.296383142</v>
      </c>
      <c r="B1312">
        <v>162253424.46587503</v>
      </c>
    </row>
    <row r="1313" spans="1:2" x14ac:dyDescent="0.25">
      <c r="A1313">
        <f ca="1">26541.906943957*((RANDBETWEEN(2979,3282)))</f>
        <v>84058219.291511878</v>
      </c>
      <c r="B1313">
        <v>184020884.93686694</v>
      </c>
    </row>
    <row r="1314" spans="1:2" x14ac:dyDescent="0.25">
      <c r="A1314">
        <f ca="1">27145.0156254492*((RANDBETWEEN(2979,3282)))</f>
        <v>83280907.938878208</v>
      </c>
      <c r="B1314">
        <v>194005757.63930517</v>
      </c>
    </row>
    <row r="1315" spans="1:2" x14ac:dyDescent="0.25">
      <c r="A1315">
        <f ca="1">27730.2044565457*((RANDBETWEEN(2979,3282)))</f>
        <v>83246073.778550223</v>
      </c>
      <c r="B1315">
        <v>182885613.1558902</v>
      </c>
    </row>
    <row r="1316" spans="1:2" x14ac:dyDescent="0.25">
      <c r="A1316">
        <f ca="1">25833.7751382616*((RANDBETWEEN(2979,3282)))</f>
        <v>82926418.193819791</v>
      </c>
      <c r="B1316">
        <v>196037092.89239705</v>
      </c>
    </row>
    <row r="1317" spans="1:2" x14ac:dyDescent="0.25">
      <c r="A1317">
        <f ca="1">29264.6770605148*((RANDBETWEEN(2979,3282)))</f>
        <v>93207996.437739581</v>
      </c>
      <c r="B1317">
        <v>179508184.04703405</v>
      </c>
    </row>
    <row r="1318" spans="1:2" x14ac:dyDescent="0.25">
      <c r="A1318">
        <f ca="1">25580.57101013*((RANDBETWEEN(2979,3282)))</f>
        <v>79760220.409585387</v>
      </c>
      <c r="B1318">
        <v>146127285.1904512</v>
      </c>
    </row>
    <row r="1319" spans="1:2" x14ac:dyDescent="0.25">
      <c r="A1319">
        <f ca="1">29407.904489181*((RANDBETWEEN(2979,3282)))</f>
        <v>88841279.46181573</v>
      </c>
      <c r="B1319">
        <v>194385508.58329266</v>
      </c>
    </row>
    <row r="1320" spans="1:2" x14ac:dyDescent="0.25">
      <c r="A1320">
        <f ca="1">28709.9918171011*((RANDBETWEEN(2979,3282)))</f>
        <v>92360043.675614178</v>
      </c>
      <c r="B1320">
        <v>190751477.07624498</v>
      </c>
    </row>
    <row r="1321" spans="1:2" x14ac:dyDescent="0.25">
      <c r="A1321">
        <f ca="1">32845.9072395763*((RANDBETWEEN(2979,3282)))</f>
        <v>104811290.0014879</v>
      </c>
      <c r="B1321">
        <v>172954114.18632212</v>
      </c>
    </row>
    <row r="1322" spans="1:2" x14ac:dyDescent="0.25">
      <c r="A1322">
        <f ca="1">28914.7453472183*((RANDBETWEEN(2979,3282)))</f>
        <v>87582763.65672414</v>
      </c>
      <c r="B1322">
        <v>176122459.94764647</v>
      </c>
    </row>
    <row r="1323" spans="1:2" x14ac:dyDescent="0.25">
      <c r="A1323">
        <f ca="1">28768.9993924251*((RANDBETWEEN(2979,3282)))</f>
        <v>86306998.17727524</v>
      </c>
      <c r="B1323">
        <v>155275049.22723734</v>
      </c>
    </row>
    <row r="1324" spans="1:2" x14ac:dyDescent="0.25">
      <c r="A1324">
        <f ca="1">26119.5108139542*((RANDBETWEEN(2979,3282)))</f>
        <v>80996603.034071967</v>
      </c>
      <c r="B1324">
        <v>186850175.37769717</v>
      </c>
    </row>
    <row r="1325" spans="1:2" x14ac:dyDescent="0.25">
      <c r="A1325">
        <f ca="1">26190.6343330886*((RANDBETWEEN(2979,3282)))</f>
        <v>84569558.261543021</v>
      </c>
      <c r="B1325">
        <v>146701734.61583805</v>
      </c>
    </row>
    <row r="1326" spans="1:2" x14ac:dyDescent="0.25">
      <c r="A1326">
        <f ca="1">29307.4195827572*((RANDBETWEEN(2979,3282)))</f>
        <v>90647848.769467995</v>
      </c>
      <c r="B1326">
        <v>146863048.85483992</v>
      </c>
    </row>
    <row r="1327" spans="1:2" x14ac:dyDescent="0.25">
      <c r="A1327">
        <f ca="1">26914.2647466407*((RANDBETWEEN(2979,3282)))</f>
        <v>87686674.544555381</v>
      </c>
      <c r="B1327">
        <v>142927511.19800171</v>
      </c>
    </row>
    <row r="1328" spans="1:2" x14ac:dyDescent="0.25">
      <c r="A1328">
        <f ca="1">29029.2206314966*((RANDBETWEEN(2979,3282)))</f>
        <v>89584174.868798509</v>
      </c>
      <c r="B1328">
        <v>198640256.49634132</v>
      </c>
    </row>
    <row r="1329" spans="1:2" x14ac:dyDescent="0.25">
      <c r="A1329">
        <f ca="1">26878.0680954043*((RANDBETWEEN(2979,3282)))</f>
        <v>83725182.11718446</v>
      </c>
      <c r="B1329">
        <v>146021888.3176327</v>
      </c>
    </row>
    <row r="1330" spans="1:2" x14ac:dyDescent="0.25">
      <c r="A1330">
        <f ca="1">26797.5167009589*((RANDBETWEEN(2979,3282)))</f>
        <v>82804326.605963036</v>
      </c>
      <c r="B1330">
        <v>159880136.58825183</v>
      </c>
    </row>
    <row r="1331" spans="1:2" x14ac:dyDescent="0.25">
      <c r="A1331">
        <f ca="1">29442.6814451656*((RANDBETWEEN(2979,3282)))</f>
        <v>96307011.007136822</v>
      </c>
      <c r="B1331">
        <v>157176068.17953703</v>
      </c>
    </row>
    <row r="1332" spans="1:2" x14ac:dyDescent="0.25">
      <c r="A1332">
        <f ca="1">27162.0462108353*((RANDBETWEEN(2979,3282)))</f>
        <v>85641931.702763572</v>
      </c>
      <c r="B1332">
        <v>195249824.66421291</v>
      </c>
    </row>
    <row r="1333" spans="1:2" x14ac:dyDescent="0.25">
      <c r="A1333">
        <f ca="1">26682.4436661741*((RANDBETWEEN(2979,3282)))</f>
        <v>82848987.583470657</v>
      </c>
      <c r="B1333">
        <v>145740372.3115283</v>
      </c>
    </row>
    <row r="1334" spans="1:2" x14ac:dyDescent="0.25">
      <c r="A1334">
        <f ca="1">27365.5420861709*((RANDBETWEEN(2979,3282)))</f>
        <v>88883280.695883214</v>
      </c>
      <c r="B1334">
        <v>151854020.3466295</v>
      </c>
    </row>
    <row r="1335" spans="1:2" x14ac:dyDescent="0.25">
      <c r="A1335">
        <f ca="1">28864.5576228999*((RANDBETWEEN(2979,3282)))</f>
        <v>91587241.337461501</v>
      </c>
      <c r="B1335">
        <v>165062915.25528467</v>
      </c>
    </row>
    <row r="1336" spans="1:2" x14ac:dyDescent="0.25">
      <c r="A1336">
        <f ca="1">27773.5470708499*((RANDBETWEEN(2979,3282)))</f>
        <v>90264027.98026216</v>
      </c>
      <c r="B1336">
        <v>195363623.04757941</v>
      </c>
    </row>
    <row r="1337" spans="1:2" x14ac:dyDescent="0.25">
      <c r="A1337">
        <f ca="1">26028.5027719576*((RANDBETWEEN(2979,3282)))</f>
        <v>79491047.465558603</v>
      </c>
      <c r="B1337">
        <v>153726283.21022519</v>
      </c>
    </row>
    <row r="1338" spans="1:2" x14ac:dyDescent="0.25">
      <c r="A1338">
        <f ca="1">27415.7957258956*((RANDBETWEEN(2979,3282)))</f>
        <v>83206940.028093278</v>
      </c>
      <c r="B1338">
        <v>149985465.24373174</v>
      </c>
    </row>
    <row r="1339" spans="1:2" x14ac:dyDescent="0.25">
      <c r="A1339">
        <f ca="1">27238.7065610949*((RANDBETWEEN(2979,3282)))</f>
        <v>88253409.257947445</v>
      </c>
      <c r="B1339">
        <v>162742151.2483803</v>
      </c>
    </row>
    <row r="1340" spans="1:2" x14ac:dyDescent="0.25">
      <c r="A1340">
        <f ca="1">26720.6469744244*((RANDBETWEEN(2979,3282)))</f>
        <v>86548175.550160572</v>
      </c>
      <c r="B1340">
        <v>143685326.16775769</v>
      </c>
    </row>
    <row r="1341" spans="1:2" x14ac:dyDescent="0.25">
      <c r="A1341">
        <f ca="1">28579.4968045127*((RANDBETWEEN(2979,3282)))</f>
        <v>85995705.884778693</v>
      </c>
      <c r="B1341">
        <v>195297419.99349749</v>
      </c>
    </row>
    <row r="1342" spans="1:2" x14ac:dyDescent="0.25">
      <c r="A1342">
        <f ca="1">28823.2512604421*((RANDBETWEEN(2979,3282)))</f>
        <v>90274422.947704643</v>
      </c>
      <c r="B1342">
        <v>162883703.13037324</v>
      </c>
    </row>
    <row r="1343" spans="1:2" x14ac:dyDescent="0.25">
      <c r="A1343">
        <f ca="1">27913.1903487919*((RANDBETWEEN(2979,3282)))</f>
        <v>84437400.805095524</v>
      </c>
      <c r="B1343">
        <v>151632435.67226389</v>
      </c>
    </row>
    <row r="1344" spans="1:2" x14ac:dyDescent="0.25">
      <c r="A1344">
        <f ca="1">27404.0335064229*((RANDBETWEEN(2979,3282)))</f>
        <v>87364058.818476185</v>
      </c>
      <c r="B1344">
        <v>199395458.22300917</v>
      </c>
    </row>
    <row r="1345" spans="1:2" x14ac:dyDescent="0.25">
      <c r="A1345">
        <f ca="1">27251.0801648257*((RANDBETWEEN(2979,3282)))</f>
        <v>81289972.131675124</v>
      </c>
      <c r="B1345">
        <v>182958325.12375179</v>
      </c>
    </row>
    <row r="1346" spans="1:2" x14ac:dyDescent="0.25">
      <c r="A1346">
        <f ca="1">25148.6147293173*((RANDBETWEEN(2979,3282)))</f>
        <v>78916353.020597711</v>
      </c>
      <c r="B1346">
        <v>166803051.96434513</v>
      </c>
    </row>
    <row r="1347" spans="1:2" x14ac:dyDescent="0.25">
      <c r="A1347">
        <f ca="1">26644.6116542863*((RANDBETWEEN(2979,3282)))</f>
        <v>87341037.002750367</v>
      </c>
      <c r="B1347">
        <v>190175816.01878524</v>
      </c>
    </row>
    <row r="1348" spans="1:2" x14ac:dyDescent="0.25">
      <c r="A1348">
        <f ca="1">26149.9782339068*((RANDBETWEEN(2979,3282)))</f>
        <v>83444580.544396475</v>
      </c>
      <c r="B1348">
        <v>162934352.07266691</v>
      </c>
    </row>
    <row r="1349" spans="1:2" x14ac:dyDescent="0.25">
      <c r="A1349">
        <f ca="1">30485.423960289*((RANDBETWEEN(2979,3282)))</f>
        <v>99443452.958462656</v>
      </c>
      <c r="B1349">
        <v>159225790.11491334</v>
      </c>
    </row>
    <row r="1350" spans="1:2" x14ac:dyDescent="0.25">
      <c r="A1350">
        <f ca="1">26670.9400142985*((RANDBETWEEN(2979,3282)))</f>
        <v>80172845.682981178</v>
      </c>
      <c r="B1350">
        <v>194753442.83288115</v>
      </c>
    </row>
    <row r="1351" spans="1:2" x14ac:dyDescent="0.25">
      <c r="A1351">
        <f ca="1">27015.0171486299*((RANDBETWEEN(2979,3282)))</f>
        <v>88150000.955979466</v>
      </c>
      <c r="B1351">
        <v>178425919.94343066</v>
      </c>
    </row>
    <row r="1352" spans="1:2" x14ac:dyDescent="0.25">
      <c r="A1352">
        <f ca="1">32812.6556227671*((RANDBETWEEN(2979,3282)))</f>
        <v>98273903.590187371</v>
      </c>
      <c r="B1352">
        <v>183533481.90463984</v>
      </c>
    </row>
    <row r="1353" spans="1:2" x14ac:dyDescent="0.25">
      <c r="A1353">
        <f ca="1">31245.4787780108*((RANDBETWEEN(2979,3282)))</f>
        <v>93267754.152362332</v>
      </c>
      <c r="B1353">
        <v>180084801.03009462</v>
      </c>
    </row>
    <row r="1354" spans="1:2" x14ac:dyDescent="0.25">
      <c r="A1354">
        <f ca="1">29539.2039870121*((RANDBETWEEN(2979,3282)))</f>
        <v>95234393.654126972</v>
      </c>
      <c r="B1354">
        <v>158188551.94659525</v>
      </c>
    </row>
    <row r="1355" spans="1:2" x14ac:dyDescent="0.25">
      <c r="A1355">
        <f ca="1">28932.7051070105*((RANDBETWEEN(2979,3282)))</f>
        <v>93915560.777356237</v>
      </c>
      <c r="B1355">
        <v>178568814.11475384</v>
      </c>
    </row>
    <row r="1356" spans="1:2" x14ac:dyDescent="0.25">
      <c r="A1356">
        <f ca="1">26927.9517195195*((RANDBETWEEN(2979,3282)))</f>
        <v>84392200.688974202</v>
      </c>
      <c r="B1356">
        <v>161128776.0765155</v>
      </c>
    </row>
    <row r="1357" spans="1:2" x14ac:dyDescent="0.25">
      <c r="A1357">
        <f ca="1">27263.845381848*((RANDBETWEEN(2979,3282)))</f>
        <v>84245282.229910165</v>
      </c>
      <c r="B1357">
        <v>154333448.69052958</v>
      </c>
    </row>
    <row r="1358" spans="1:2" x14ac:dyDescent="0.25">
      <c r="A1358">
        <f ca="1">26061.7379180033*((RANDBETWEEN(2979,3282)))</f>
        <v>82589647.462152347</v>
      </c>
      <c r="B1358">
        <v>147695826.71166861</v>
      </c>
    </row>
    <row r="1359" spans="1:2" x14ac:dyDescent="0.25">
      <c r="A1359">
        <f ca="1">26493.1801295724*((RANDBETWEEN(2979,3282)))</f>
        <v>79903431.270790309</v>
      </c>
      <c r="B1359">
        <v>196031511.71938083</v>
      </c>
    </row>
    <row r="1360" spans="1:2" x14ac:dyDescent="0.25">
      <c r="A1360">
        <f ca="1">31453.0812748482*((RANDBETWEEN(2979,3282)))</f>
        <v>95491554.750439107</v>
      </c>
      <c r="B1360">
        <v>169929607.23081264</v>
      </c>
    </row>
    <row r="1361" spans="1:2" x14ac:dyDescent="0.25">
      <c r="A1361">
        <f ca="1">27549.4818669805*((RANDBETWEEN(2979,3282)))</f>
        <v>84301414.512960464</v>
      </c>
      <c r="B1361">
        <v>155462079.07433578</v>
      </c>
    </row>
    <row r="1362" spans="1:2" x14ac:dyDescent="0.25">
      <c r="A1362">
        <f ca="1">28668.7280899557*((RANDBETWEEN(2979,3282)))</f>
        <v>92657329.186736748</v>
      </c>
      <c r="B1362">
        <v>177859679.27859384</v>
      </c>
    </row>
    <row r="1363" spans="1:2" x14ac:dyDescent="0.25">
      <c r="A1363">
        <f ca="1">25297.2761232243*((RANDBETWEEN(2979,3282)))</f>
        <v>79129879.713445619</v>
      </c>
      <c r="B1363">
        <v>174666533.70785654</v>
      </c>
    </row>
    <row r="1364" spans="1:2" x14ac:dyDescent="0.25">
      <c r="A1364">
        <f ca="1">26794.1108196823*((RANDBETWEEN(2979,3282)))</f>
        <v>83704802.200687557</v>
      </c>
      <c r="B1364">
        <v>196098035.89638877</v>
      </c>
    </row>
    <row r="1365" spans="1:2" x14ac:dyDescent="0.25">
      <c r="A1365">
        <f ca="1">28100.0225085675*((RANDBETWEEN(2979,3282)))</f>
        <v>84974468.065908089</v>
      </c>
      <c r="B1365">
        <v>197898897.21759692</v>
      </c>
    </row>
    <row r="1366" spans="1:2" x14ac:dyDescent="0.25">
      <c r="A1366">
        <f ca="1">32554.093322358*((RANDBETWEEN(2979,3282)))</f>
        <v>106712317.91068964</v>
      </c>
      <c r="B1366">
        <v>162003293.09587991</v>
      </c>
    </row>
    <row r="1367" spans="1:2" x14ac:dyDescent="0.25">
      <c r="A1367">
        <f ca="1">28030.8395766973*((RANDBETWEEN(2979,3282)))</f>
        <v>88297144.666596413</v>
      </c>
      <c r="B1367">
        <v>182902661.66113335</v>
      </c>
    </row>
    <row r="1368" spans="1:2" x14ac:dyDescent="0.25">
      <c r="A1368">
        <f ca="1">26243.8548559301*((RANDBETWEEN(2979,3282)))</f>
        <v>82012046.424781471</v>
      </c>
      <c r="B1368">
        <v>158976769.22525012</v>
      </c>
    </row>
    <row r="1369" spans="1:2" x14ac:dyDescent="0.25">
      <c r="A1369">
        <f ca="1">25506.1244778402*((RANDBETWEEN(2979,3282)))</f>
        <v>80293279.856241018</v>
      </c>
      <c r="B1369">
        <v>147765645.93467355</v>
      </c>
    </row>
    <row r="1370" spans="1:2" x14ac:dyDescent="0.25">
      <c r="A1370">
        <f ca="1">26969.6769488769*((RANDBETWEEN(2979,3282)))</f>
        <v>82419332.755767778</v>
      </c>
      <c r="B1370">
        <v>143247302.95957616</v>
      </c>
    </row>
    <row r="1371" spans="1:2" x14ac:dyDescent="0.25">
      <c r="A1371">
        <f ca="1">29340.063391695*((RANDBETWEEN(2979,3282)))</f>
        <v>90690135.943729281</v>
      </c>
      <c r="B1371">
        <v>179412717.03122061</v>
      </c>
    </row>
    <row r="1372" spans="1:2" x14ac:dyDescent="0.25">
      <c r="A1372">
        <f ca="1">27150.6399076022*((RANDBETWEEN(2979,3282)))</f>
        <v>81696275.481975064</v>
      </c>
      <c r="B1372">
        <v>145806092.53118896</v>
      </c>
    </row>
    <row r="1373" spans="1:2" x14ac:dyDescent="0.25">
      <c r="A1373">
        <f ca="1">25905.6507120057*((RANDBETWEEN(2979,3282)))</f>
        <v>82017290.154209942</v>
      </c>
      <c r="B1373">
        <v>162051467.54703727</v>
      </c>
    </row>
    <row r="1374" spans="1:2" x14ac:dyDescent="0.25">
      <c r="A1374">
        <f ca="1">27855.171514252*((RANDBETWEEN(2979,3282)))</f>
        <v>90139335.020119354</v>
      </c>
      <c r="B1374">
        <v>203120794.5452154</v>
      </c>
    </row>
    <row r="1375" spans="1:2" x14ac:dyDescent="0.25">
      <c r="A1375">
        <f ca="1">29333.7652394544*((RANDBETWEEN(2979,3282)))</f>
        <v>95481405.854424044</v>
      </c>
      <c r="B1375">
        <v>160333952.31664056</v>
      </c>
    </row>
    <row r="1376" spans="1:2" x14ac:dyDescent="0.25">
      <c r="A1376">
        <f ca="1">28111.1697549408*((RANDBETWEEN(2979,3282)))</f>
        <v>92064080.947431102</v>
      </c>
      <c r="B1376">
        <v>151104363.86391765</v>
      </c>
    </row>
    <row r="1377" spans="1:2" x14ac:dyDescent="0.25">
      <c r="A1377">
        <f ca="1">27085.830214446*((RANDBETWEEN(2979,3282)))</f>
        <v>82665953.814489141</v>
      </c>
      <c r="B1377">
        <v>145822242.60331851</v>
      </c>
    </row>
    <row r="1378" spans="1:2" x14ac:dyDescent="0.25">
      <c r="A1378">
        <f ca="1">26741.3760774474*((RANDBETWEEN(2979,3282)))</f>
        <v>84689938.037276059</v>
      </c>
      <c r="B1378">
        <v>163807538.21672058</v>
      </c>
    </row>
    <row r="1379" spans="1:2" x14ac:dyDescent="0.25">
      <c r="A1379">
        <f ca="1">27153.3492197265*((RANDBETWEEN(2979,3282)))</f>
        <v>82519028.27874878</v>
      </c>
      <c r="B1379">
        <v>190022236.95128226</v>
      </c>
    </row>
    <row r="1380" spans="1:2" x14ac:dyDescent="0.25">
      <c r="A1380">
        <f ca="1">27922.050791879*((RANDBETWEEN(2979,3282)))</f>
        <v>85329787.219982326</v>
      </c>
      <c r="B1380">
        <v>159463072.0108031</v>
      </c>
    </row>
    <row r="1381" spans="1:2" x14ac:dyDescent="0.25">
      <c r="A1381">
        <f ca="1">26606.1982847029*((RANDBETWEEN(2979,3282)))</f>
        <v>83782918.398529395</v>
      </c>
      <c r="B1381">
        <v>143659723.48152488</v>
      </c>
    </row>
    <row r="1382" spans="1:2" x14ac:dyDescent="0.25">
      <c r="A1382">
        <f ca="1">30624.5539182867*((RANDBETWEEN(2979,3282)))</f>
        <v>95824229.210319042</v>
      </c>
      <c r="B1382">
        <v>177234062.07860997</v>
      </c>
    </row>
    <row r="1383" spans="1:2" x14ac:dyDescent="0.25">
      <c r="A1383">
        <f ca="1">26366.7935642402*((RANDBETWEEN(2979,3282)))</f>
        <v>86403982.51001516</v>
      </c>
      <c r="B1383">
        <v>158850424.96324748</v>
      </c>
    </row>
    <row r="1384" spans="1:2" x14ac:dyDescent="0.25">
      <c r="A1384">
        <f ca="1">26089.2231439809*((RANDBETWEEN(2979,3282)))</f>
        <v>84450815.317066073</v>
      </c>
      <c r="B1384">
        <v>155883059.45388803</v>
      </c>
    </row>
    <row r="1385" spans="1:2" x14ac:dyDescent="0.25">
      <c r="A1385">
        <f ca="1">30231.215647803*((RANDBETWEEN(2979,3282)))</f>
        <v>99188618.540441781</v>
      </c>
      <c r="B1385">
        <v>169202843.75744563</v>
      </c>
    </row>
    <row r="1386" spans="1:2" x14ac:dyDescent="0.25">
      <c r="A1386">
        <f ca="1">29079.6937446007*((RANDBETWEEN(2979,3282)))</f>
        <v>91397477.439279974</v>
      </c>
      <c r="B1386">
        <v>172826538.3896125</v>
      </c>
    </row>
    <row r="1387" spans="1:2" x14ac:dyDescent="0.25">
      <c r="A1387">
        <f ca="1">31323.3417388628*((RANDBETWEEN(2979,3282)))</f>
        <v>100986453.76609382</v>
      </c>
      <c r="B1387">
        <v>159612710.54918334</v>
      </c>
    </row>
    <row r="1388" spans="1:2" x14ac:dyDescent="0.25">
      <c r="A1388">
        <f ca="1">26672.596703935*((RANDBETWEEN(2979,3282)))</f>
        <v>79511010.774430096</v>
      </c>
      <c r="B1388">
        <v>166991122.77591836</v>
      </c>
    </row>
    <row r="1389" spans="1:2" x14ac:dyDescent="0.25">
      <c r="A1389">
        <f ca="1">25841.9419739661*((RANDBETWEEN(2979,3282)))</f>
        <v>79231394.092180073</v>
      </c>
      <c r="B1389">
        <v>149874022.38152471</v>
      </c>
    </row>
    <row r="1390" spans="1:2" x14ac:dyDescent="0.25">
      <c r="A1390">
        <f ca="1">28898.2107060698*((RANDBETWEEN(2979,3282)))</f>
        <v>90075722.770819634</v>
      </c>
      <c r="B1390">
        <v>147881778.60739416</v>
      </c>
    </row>
    <row r="1391" spans="1:2" x14ac:dyDescent="0.25">
      <c r="A1391">
        <f ca="1">26244.418016723*((RANDBETWEEN(2979,3282)))</f>
        <v>81751362.122092143</v>
      </c>
      <c r="B1391">
        <v>160276988.996131</v>
      </c>
    </row>
    <row r="1392" spans="1:2" x14ac:dyDescent="0.25">
      <c r="A1392">
        <f ca="1">26028.321269443*((RANDBETWEEN(2979,3282)))</f>
        <v>83446797.989834338</v>
      </c>
      <c r="B1392">
        <v>203063878.31480861</v>
      </c>
    </row>
    <row r="1393" spans="1:2" x14ac:dyDescent="0.25">
      <c r="A1393">
        <f ca="1">33461.6497753819*((RANDBETWEEN(2979,3282)))</f>
        <v>103262651.20682847</v>
      </c>
      <c r="B1393">
        <v>192301775.13678211</v>
      </c>
    </row>
    <row r="1394" spans="1:2" x14ac:dyDescent="0.25">
      <c r="A1394">
        <f ca="1">26479.9533821874*((RANDBETWEEN(2979,3282)))</f>
        <v>79969459.21420604</v>
      </c>
      <c r="B1394">
        <v>168022145.87176657</v>
      </c>
    </row>
    <row r="1395" spans="1:2" x14ac:dyDescent="0.25">
      <c r="A1395">
        <f ca="1">26587.5794054009*((RANDBETWEEN(2979,3282)))</f>
        <v>85957644.217661187</v>
      </c>
      <c r="B1395">
        <v>169878145.90528381</v>
      </c>
    </row>
    <row r="1396" spans="1:2" x14ac:dyDescent="0.25">
      <c r="A1396">
        <f ca="1">30978.8947048111*((RANDBETWEEN(2979,3282)))</f>
        <v>96065552.479619265</v>
      </c>
      <c r="B1396">
        <v>202407818.18499094</v>
      </c>
    </row>
    <row r="1397" spans="1:2" x14ac:dyDescent="0.25">
      <c r="A1397">
        <f ca="1">27205.1869417439*((RANDBETWEEN(2979,3282)))</f>
        <v>88444062.747609571</v>
      </c>
      <c r="B1397">
        <v>197950572.73572487</v>
      </c>
    </row>
    <row r="1398" spans="1:2" x14ac:dyDescent="0.25">
      <c r="A1398">
        <f ca="1">26658.777067351*((RANDBETWEEN(2979,3282)))</f>
        <v>79549790.768975481</v>
      </c>
      <c r="B1398">
        <v>182239704.0141497</v>
      </c>
    </row>
    <row r="1399" spans="1:2" x14ac:dyDescent="0.25">
      <c r="A1399">
        <f ca="1">27220.3213815773*((RANDBETWEEN(2979,3282)))</f>
        <v>83593606.962823898</v>
      </c>
      <c r="B1399">
        <v>165490753.55145735</v>
      </c>
    </row>
    <row r="1400" spans="1:2" x14ac:dyDescent="0.25">
      <c r="A1400">
        <f ca="1">27812.609651876*((RANDBETWEEN(2979,3282)))</f>
        <v>83827205.490754247</v>
      </c>
      <c r="B1400">
        <v>144468167.56712484</v>
      </c>
    </row>
    <row r="1401" spans="1:2" x14ac:dyDescent="0.25">
      <c r="A1401">
        <f ca="1">25824.0670371444*((RANDBETWEEN(2979,3282)))</f>
        <v>80364496.619593456</v>
      </c>
      <c r="B1401">
        <v>181597525.45674539</v>
      </c>
    </row>
    <row r="1402" spans="1:2" x14ac:dyDescent="0.25">
      <c r="A1402">
        <f ca="1">26536.008113005*((RANDBETWEEN(2979,3282)))</f>
        <v>83429209.507287621</v>
      </c>
      <c r="B1402">
        <v>160615431.08542192</v>
      </c>
    </row>
    <row r="1403" spans="1:2" x14ac:dyDescent="0.25">
      <c r="A1403">
        <f ca="1">27036.9682749018*((RANDBETWEEN(2979,3282)))</f>
        <v>87140148.750008538</v>
      </c>
      <c r="B1403">
        <v>152624397.09097704</v>
      </c>
    </row>
    <row r="1404" spans="1:2" x14ac:dyDescent="0.25">
      <c r="A1404">
        <f ca="1">28820.7478902085*((RANDBETWEEN(2979,3282)))</f>
        <v>88105026.300367519</v>
      </c>
      <c r="B1404">
        <v>167890084.86494383</v>
      </c>
    </row>
    <row r="1405" spans="1:2" x14ac:dyDescent="0.25">
      <c r="A1405">
        <f ca="1">25977.1798259661*((RANDBETWEEN(2979,3282)))</f>
        <v>78658900.513025239</v>
      </c>
      <c r="B1405">
        <v>143045883.78748474</v>
      </c>
    </row>
    <row r="1406" spans="1:2" x14ac:dyDescent="0.25">
      <c r="A1406">
        <f ca="1">26246.0577509731*((RANDBETWEEN(2979,3282)))</f>
        <v>86060823.365440875</v>
      </c>
      <c r="B1406">
        <v>144025136.5024839</v>
      </c>
    </row>
    <row r="1407" spans="1:2" x14ac:dyDescent="0.25">
      <c r="A1407">
        <f ca="1">30752.7471607561*((RANDBETWEEN(2979,3282)))</f>
        <v>96655884.326256275</v>
      </c>
      <c r="B1407">
        <v>167868575.03836948</v>
      </c>
    </row>
    <row r="1408" spans="1:2" x14ac:dyDescent="0.25">
      <c r="A1408">
        <f ca="1">26826.8438702117*((RANDBETWEEN(2979,3282)))</f>
        <v>82331583.837679744</v>
      </c>
      <c r="B1408">
        <v>178140687.64834484</v>
      </c>
    </row>
    <row r="1409" spans="1:2" x14ac:dyDescent="0.25">
      <c r="A1409">
        <f ca="1">28433.5640047248*((RANDBETWEEN(2979,3282)))</f>
        <v>93205222.80748789</v>
      </c>
      <c r="B1409">
        <v>182419063.84650409</v>
      </c>
    </row>
    <row r="1410" spans="1:2" x14ac:dyDescent="0.25">
      <c r="A1410">
        <f ca="1">26022.142369102*((RANDBETWEEN(2979,3282)))</f>
        <v>80928862.767907307</v>
      </c>
      <c r="B1410">
        <v>148569747.42862636</v>
      </c>
    </row>
    <row r="1411" spans="1:2" x14ac:dyDescent="0.25">
      <c r="A1411">
        <f ca="1">25823.1334291273*((RANDBETWEEN(2979,3282)))</f>
        <v>83925183.644663736</v>
      </c>
      <c r="B1411">
        <v>148643261.03398943</v>
      </c>
    </row>
    <row r="1412" spans="1:2" x14ac:dyDescent="0.25">
      <c r="A1412">
        <f ca="1">27745.5221680407*((RANDBETWEEN(2979,3282)))</f>
        <v>89701273.169275656</v>
      </c>
      <c r="B1412">
        <v>199097992.0012264</v>
      </c>
    </row>
    <row r="1413" spans="1:2" x14ac:dyDescent="0.25">
      <c r="A1413">
        <f ca="1">25182.6555708959*((RANDBETWEEN(2979,3282)))</f>
        <v>80357853.92672883</v>
      </c>
      <c r="B1413">
        <v>143401578.52603826</v>
      </c>
    </row>
    <row r="1414" spans="1:2" x14ac:dyDescent="0.25">
      <c r="A1414">
        <f ca="1">27372.9936641378*((RANDBETWEEN(2979,3282)))</f>
        <v>87456714.756920174</v>
      </c>
      <c r="B1414">
        <v>151119674.99351835</v>
      </c>
    </row>
    <row r="1415" spans="1:2" x14ac:dyDescent="0.25">
      <c r="A1415">
        <f ca="1">32297.0026141283*((RANDBETWEEN(2979,3282)))</f>
        <v>96212770.787488282</v>
      </c>
      <c r="B1415">
        <v>172681923.61575815</v>
      </c>
    </row>
    <row r="1416" spans="1:2" x14ac:dyDescent="0.25">
      <c r="A1416">
        <f ca="1">27655.2141335388*((RANDBETWEEN(2979,3282)))</f>
        <v>88800892.582793012</v>
      </c>
      <c r="B1416">
        <v>151559278.32357904</v>
      </c>
    </row>
    <row r="1417" spans="1:2" x14ac:dyDescent="0.25">
      <c r="A1417">
        <f ca="1">27567.3756540412*((RANDBETWEEN(2979,3282)))</f>
        <v>83832389.363939375</v>
      </c>
      <c r="B1417">
        <v>172003703.01175538</v>
      </c>
    </row>
    <row r="1418" spans="1:2" x14ac:dyDescent="0.25">
      <c r="A1418">
        <f ca="1">28612.0106913449*((RANDBETWEEN(2979,3282)))</f>
        <v>87238020.597910717</v>
      </c>
      <c r="B1418">
        <v>197805987.00767189</v>
      </c>
    </row>
    <row r="1419" spans="1:2" x14ac:dyDescent="0.25">
      <c r="A1419">
        <f ca="1">27604.9077091242*((RANDBETWEEN(2979,3282)))</f>
        <v>83118377.112172917</v>
      </c>
      <c r="B1419">
        <v>184144353.77343199</v>
      </c>
    </row>
    <row r="1420" spans="1:2" x14ac:dyDescent="0.25">
      <c r="A1420">
        <f ca="1">27463.1403199096*((RANDBETWEEN(2979,3282)))</f>
        <v>85630071.517478019</v>
      </c>
      <c r="B1420">
        <v>156156250.30015159</v>
      </c>
    </row>
    <row r="1421" spans="1:2" x14ac:dyDescent="0.25">
      <c r="A1421">
        <f ca="1">27950.606728084*((RANDBETWEEN(2979,3282)))</f>
        <v>85333202.340840593</v>
      </c>
      <c r="B1421">
        <v>155639463.1347498</v>
      </c>
    </row>
    <row r="1422" spans="1:2" x14ac:dyDescent="0.25">
      <c r="A1422">
        <f ca="1">27098.919794518*((RANDBETWEEN(2979,3282)))</f>
        <v>82028430.218006</v>
      </c>
      <c r="B1422">
        <v>203426842.76437759</v>
      </c>
    </row>
    <row r="1423" spans="1:2" x14ac:dyDescent="0.25">
      <c r="A1423">
        <f ca="1">27228.0958094249*((RANDBETWEEN(2979,3282)))</f>
        <v>88110118.039298892</v>
      </c>
      <c r="B1423">
        <v>178694231.11089101</v>
      </c>
    </row>
    <row r="1424" spans="1:2" x14ac:dyDescent="0.25">
      <c r="A1424">
        <f ca="1">27980.3645536419*((RANDBETWEEN(2979,3282)))</f>
        <v>88837657.457813084</v>
      </c>
      <c r="B1424">
        <v>186135054.60921195</v>
      </c>
    </row>
    <row r="1425" spans="1:2" x14ac:dyDescent="0.25">
      <c r="A1425">
        <f ca="1">26959.3758514543*((RANDBETWEEN(2979,3282)))</f>
        <v>80527655.668294102</v>
      </c>
      <c r="B1425">
        <v>150724145.06200671</v>
      </c>
    </row>
    <row r="1426" spans="1:2" x14ac:dyDescent="0.25">
      <c r="A1426">
        <f ca="1">27523.4177212028*((RANDBETWEEN(2979,3282)))</f>
        <v>85350118.353449926</v>
      </c>
      <c r="B1426">
        <v>154850569.96592981</v>
      </c>
    </row>
    <row r="1427" spans="1:2" x14ac:dyDescent="0.25">
      <c r="A1427">
        <f ca="1">27142.97554584*((RANDBETWEEN(2979,3282)))</f>
        <v>85418944.042758539</v>
      </c>
      <c r="B1427">
        <v>198753652.87886727</v>
      </c>
    </row>
    <row r="1428" spans="1:2" x14ac:dyDescent="0.25">
      <c r="A1428">
        <f ca="1">26134.8333489606*((RANDBETWEEN(2979,3282)))</f>
        <v>77934073.046600387</v>
      </c>
      <c r="B1428">
        <v>153590093.32749778</v>
      </c>
    </row>
    <row r="1429" spans="1:2" x14ac:dyDescent="0.25">
      <c r="A1429">
        <f ca="1">27061.6321198026*((RANDBETWEEN(2979,3282)))</f>
        <v>81699067.369684055</v>
      </c>
      <c r="B1429">
        <v>183617562.27548984</v>
      </c>
    </row>
    <row r="1430" spans="1:2" x14ac:dyDescent="0.25">
      <c r="A1430">
        <f ca="1">26220.9870628729*((RANDBETWEEN(2979,3282)))</f>
        <v>85427975.850840062</v>
      </c>
      <c r="B1430">
        <v>152763041.1699878</v>
      </c>
    </row>
    <row r="1431" spans="1:2" x14ac:dyDescent="0.25">
      <c r="A1431">
        <f ca="1">26485.5858071875*((RANDBETWEEN(2979,3282)))</f>
        <v>83614994.393290848</v>
      </c>
      <c r="B1431">
        <v>143102891.0558601</v>
      </c>
    </row>
    <row r="1432" spans="1:2" x14ac:dyDescent="0.25">
      <c r="A1432">
        <f ca="1">27392.9938371837*((RANDBETWEEN(2979,3282)))</f>
        <v>84562171.975386158</v>
      </c>
      <c r="B1432">
        <v>161249852.42083102</v>
      </c>
    </row>
    <row r="1433" spans="1:2" x14ac:dyDescent="0.25">
      <c r="A1433">
        <f ca="1">27073.5399222661*((RANDBETWEEN(2979,3282)))</f>
        <v>85714827.393894494</v>
      </c>
      <c r="B1433">
        <v>188869383.22407281</v>
      </c>
    </row>
    <row r="1434" spans="1:2" x14ac:dyDescent="0.25">
      <c r="A1434">
        <f ca="1">27198.8859273139*((RANDBETWEEN(2979,3282)))</f>
        <v>88613970.351188794</v>
      </c>
      <c r="B1434">
        <v>150581322.39571017</v>
      </c>
    </row>
    <row r="1435" spans="1:2" x14ac:dyDescent="0.25">
      <c r="A1435">
        <f ca="1">34151.7895229121*((RANDBETWEEN(2979,3282)))</f>
        <v>107817199.52383359</v>
      </c>
      <c r="B1435">
        <v>152208055.08654481</v>
      </c>
    </row>
    <row r="1436" spans="1:2" x14ac:dyDescent="0.25">
      <c r="A1436">
        <f ca="1">26317.584063924*((RANDBETWEEN(2979,3282)))</f>
        <v>79900185.218073145</v>
      </c>
      <c r="B1436">
        <v>147526948.9076592</v>
      </c>
    </row>
    <row r="1437" spans="1:2" x14ac:dyDescent="0.25">
      <c r="A1437">
        <f ca="1">28282.4341387435*((RANDBETWEEN(2979,3282)))</f>
        <v>85639210.572115228</v>
      </c>
      <c r="B1437">
        <v>168870357.7244257</v>
      </c>
    </row>
    <row r="1438" spans="1:2" x14ac:dyDescent="0.25">
      <c r="A1438">
        <f ca="1">29486.6703968424*((RANDBETWEEN(2979,3282)))</f>
        <v>88548471.201717705</v>
      </c>
      <c r="B1438">
        <v>179409883.5854789</v>
      </c>
    </row>
    <row r="1439" spans="1:2" x14ac:dyDescent="0.25">
      <c r="A1439">
        <f ca="1">27557.391774609*((RANDBETWEEN(2979,3282)))</f>
        <v>86723111.914694548</v>
      </c>
      <c r="B1439">
        <v>151766235.34152806</v>
      </c>
    </row>
    <row r="1440" spans="1:2" x14ac:dyDescent="0.25">
      <c r="A1440">
        <f ca="1">28109.5113346054*((RANDBETWEEN(2979,3282)))</f>
        <v>89416355.555379629</v>
      </c>
      <c r="B1440">
        <v>144599328.26494241</v>
      </c>
    </row>
    <row r="1441" spans="1:2" x14ac:dyDescent="0.25">
      <c r="A1441">
        <f ca="1">26863.2638889157*((RANDBETWEEN(2979,3282)))</f>
        <v>87063838.263975918</v>
      </c>
      <c r="B1441">
        <v>169480665.36498082</v>
      </c>
    </row>
    <row r="1442" spans="1:2" x14ac:dyDescent="0.25">
      <c r="A1442">
        <f ca="1">26490.7473081175*((RANDBETWEEN(2979,3282)))</f>
        <v>84982317.364440784</v>
      </c>
      <c r="B1442">
        <v>156685012.7336089</v>
      </c>
    </row>
    <row r="1443" spans="1:2" x14ac:dyDescent="0.25">
      <c r="A1443">
        <f ca="1">32675.4541554157*((RANDBETWEEN(2979,3282)))</f>
        <v>101555311.51503201</v>
      </c>
      <c r="B1443">
        <v>183807002.88130382</v>
      </c>
    </row>
    <row r="1444" spans="1:2" x14ac:dyDescent="0.25">
      <c r="A1444">
        <f ca="1">27077.394094975*((RANDBETWEEN(2979,3282)))</f>
        <v>85375023.581456065</v>
      </c>
      <c r="B1444">
        <v>150514773.70926923</v>
      </c>
    </row>
    <row r="1445" spans="1:2" x14ac:dyDescent="0.25">
      <c r="A1445">
        <f ca="1">27321.3706136881*((RANDBETWEEN(2979,3282)))</f>
        <v>83548751.33665815</v>
      </c>
      <c r="B1445">
        <v>179728676.89712292</v>
      </c>
    </row>
    <row r="1446" spans="1:2" x14ac:dyDescent="0.25">
      <c r="A1446">
        <f ca="1">26925.4105623019*((RANDBETWEEN(2979,3282)))</f>
        <v>86026686.746554583</v>
      </c>
      <c r="B1446">
        <v>151451191.49451312</v>
      </c>
    </row>
    <row r="1447" spans="1:2" x14ac:dyDescent="0.25">
      <c r="A1447">
        <f ca="1">26264.1168157125*((RANDBETWEEN(2979,3282)))</f>
        <v>82154157.399548829</v>
      </c>
      <c r="B1447">
        <v>143225666.4401978</v>
      </c>
    </row>
    <row r="1448" spans="1:2" x14ac:dyDescent="0.25">
      <c r="A1448">
        <f ca="1">27724.1096129233*((RANDBETWEEN(2979,3282)))</f>
        <v>84170396.784835279</v>
      </c>
      <c r="B1448">
        <v>162782868.67130962</v>
      </c>
    </row>
    <row r="1449" spans="1:2" x14ac:dyDescent="0.25">
      <c r="A1449">
        <f ca="1">28148.7299418367*((RANDBETWEEN(2979,3282)))</f>
        <v>91032992.631899953</v>
      </c>
      <c r="B1449">
        <v>165224814.75058734</v>
      </c>
    </row>
    <row r="1450" spans="1:2" x14ac:dyDescent="0.25">
      <c r="A1450">
        <f ca="1">29723.8690500162*((RANDBETWEEN(2979,3282)))</f>
        <v>92114270.186000124</v>
      </c>
      <c r="B1450">
        <v>180906088.81593034</v>
      </c>
    </row>
    <row r="1451" spans="1:2" x14ac:dyDescent="0.25">
      <c r="A1451">
        <f ca="1">27564.9570020666*((RANDBETWEEN(2979,3282)))</f>
        <v>88511076.93363595</v>
      </c>
      <c r="B1451">
        <v>154797573.95366323</v>
      </c>
    </row>
    <row r="1452" spans="1:2" x14ac:dyDescent="0.25">
      <c r="A1452">
        <f ca="1">29459.6405659172*((RANDBETWEEN(2979,3282)))</f>
        <v>95773291.479796797</v>
      </c>
      <c r="B1452">
        <v>165353392.63597935</v>
      </c>
    </row>
    <row r="1453" spans="1:2" x14ac:dyDescent="0.25">
      <c r="A1453">
        <f ca="1">27565.7691793049*((RANDBETWEEN(2979,3282)))</f>
        <v>84489082.534569606</v>
      </c>
      <c r="B1453">
        <v>200606974.44124424</v>
      </c>
    </row>
    <row r="1454" spans="1:2" x14ac:dyDescent="0.25">
      <c r="A1454">
        <f ca="1">30755.931372611*((RANDBETWEEN(2979,3282)))</f>
        <v>98480492.255100504</v>
      </c>
      <c r="B1454">
        <v>182029472.61617821</v>
      </c>
    </row>
    <row r="1455" spans="1:2" x14ac:dyDescent="0.25">
      <c r="A1455">
        <f ca="1">26209.215897214*((RANDBETWEEN(2979,3282)))</f>
        <v>84052955.382365286</v>
      </c>
      <c r="B1455">
        <v>165850085.8222034</v>
      </c>
    </row>
    <row r="1456" spans="1:2" x14ac:dyDescent="0.25">
      <c r="A1456">
        <f ca="1">31701.0373886053*((RANDBETWEEN(2979,3282)))</f>
        <v>96846669.222189248</v>
      </c>
      <c r="B1456">
        <v>154881025.3066152</v>
      </c>
    </row>
    <row r="1457" spans="1:2" x14ac:dyDescent="0.25">
      <c r="A1457">
        <f ca="1">26146.7248637075*((RANDBETWEEN(2979,3282)))</f>
        <v>84297040.960593075</v>
      </c>
      <c r="B1457">
        <v>146650810.71033129</v>
      </c>
    </row>
    <row r="1458" spans="1:2" x14ac:dyDescent="0.25">
      <c r="A1458">
        <f ca="1">29352.6854920592*((RANDBETWEEN(2979,3282)))</f>
        <v>92989307.638843432</v>
      </c>
      <c r="B1458">
        <v>190238187.50865427</v>
      </c>
    </row>
    <row r="1459" spans="1:2" x14ac:dyDescent="0.25">
      <c r="A1459">
        <f ca="1">30255.4867167388*((RANDBETWEEN(2979,3282)))</f>
        <v>94608906.963242233</v>
      </c>
      <c r="B1459">
        <v>183964911.64884382</v>
      </c>
    </row>
    <row r="1460" spans="1:2" x14ac:dyDescent="0.25">
      <c r="A1460">
        <f ca="1">29457.3208915425*((RANDBETWEEN(2979,3282)))</f>
        <v>95706835.576621488</v>
      </c>
      <c r="B1460">
        <v>180478798.67371595</v>
      </c>
    </row>
    <row r="1461" spans="1:2" x14ac:dyDescent="0.25">
      <c r="A1461">
        <f ca="1">30098.6462118582*((RANDBETWEEN(2979,3282)))</f>
        <v>94660242.336294174</v>
      </c>
      <c r="B1461">
        <v>175861352.68671578</v>
      </c>
    </row>
    <row r="1462" spans="1:2" x14ac:dyDescent="0.25">
      <c r="A1462">
        <f ca="1">29764.764309858*((RANDBETWEEN(2979,3282)))</f>
        <v>97122425.943066731</v>
      </c>
      <c r="B1462">
        <v>166859566.52710611</v>
      </c>
    </row>
    <row r="1463" spans="1:2" x14ac:dyDescent="0.25">
      <c r="A1463">
        <f ca="1">28880.4486196836*((RANDBETWEEN(2979,3282)))</f>
        <v>87507759.317641214</v>
      </c>
      <c r="B1463">
        <v>200872877.47012571</v>
      </c>
    </row>
    <row r="1464" spans="1:2" x14ac:dyDescent="0.25">
      <c r="A1464">
        <f ca="1">28307.9299371641*((RANDBETWEEN(2979,3282)))</f>
        <v>90189064.779804662</v>
      </c>
      <c r="B1464">
        <v>191055327.241384</v>
      </c>
    </row>
    <row r="1465" spans="1:2" x14ac:dyDescent="0.25">
      <c r="A1465">
        <f ca="1">26922.6636146598*((RANDBETWEEN(2979,3282)))</f>
        <v>82975649.26038152</v>
      </c>
      <c r="B1465">
        <v>173847581.17673394</v>
      </c>
    </row>
    <row r="1466" spans="1:2" x14ac:dyDescent="0.25">
      <c r="A1466">
        <f ca="1">32967.4453012894*((RANDBETWEEN(2979,3282)))</f>
        <v>101869405.98098417</v>
      </c>
      <c r="B1466">
        <v>154411077.81261164</v>
      </c>
    </row>
    <row r="1467" spans="1:2" x14ac:dyDescent="0.25">
      <c r="A1467">
        <f ca="1">27593.4329401327*((RANDBETWEEN(2979,3282)))</f>
        <v>86670972.864956766</v>
      </c>
      <c r="B1467">
        <v>160070297.26722357</v>
      </c>
    </row>
    <row r="1468" spans="1:2" x14ac:dyDescent="0.25">
      <c r="A1468">
        <f ca="1">30660.5435831185*((RANDBETWEEN(2979,3282)))</f>
        <v>94710419.128253102</v>
      </c>
      <c r="B1468">
        <v>149236932.43217307</v>
      </c>
    </row>
    <row r="1469" spans="1:2" x14ac:dyDescent="0.25">
      <c r="A1469">
        <f ca="1">26624.5460336841*((RANDBETWEEN(2979,3282)))</f>
        <v>85198547.307789266</v>
      </c>
      <c r="B1469">
        <v>169252369.1503253</v>
      </c>
    </row>
    <row r="1470" spans="1:2" x14ac:dyDescent="0.25">
      <c r="A1470">
        <f ca="1">27401.3647993347*((RANDBETWEEN(2979,3282)))</f>
        <v>84999033.607536092</v>
      </c>
      <c r="B1470">
        <v>150738276.39776504</v>
      </c>
    </row>
    <row r="1471" spans="1:2" x14ac:dyDescent="0.25">
      <c r="A1471">
        <f ca="1">28016.832550008*((RANDBETWEEN(2979,3282)))</f>
        <v>90718503.796925962</v>
      </c>
      <c r="B1471">
        <v>155799152.62522894</v>
      </c>
    </row>
    <row r="1472" spans="1:2" x14ac:dyDescent="0.25">
      <c r="A1472">
        <f ca="1">26390.5433211621*((RANDBETWEEN(2979,3282)))</f>
        <v>85426188.730601713</v>
      </c>
      <c r="B1472">
        <v>170761860.60364205</v>
      </c>
    </row>
    <row r="1473" spans="1:2" x14ac:dyDescent="0.25">
      <c r="A1473">
        <f ca="1">28580.6994010566*((RANDBETWEEN(2979,3282)))</f>
        <v>93401725.642652869</v>
      </c>
      <c r="B1473">
        <v>156052851.1437242</v>
      </c>
    </row>
    <row r="1474" spans="1:2" x14ac:dyDescent="0.25">
      <c r="A1474">
        <f ca="1">26072.2165091752*((RANDBETWEEN(2979,3282)))</f>
        <v>78164505.094507262</v>
      </c>
      <c r="B1474">
        <v>168089542.93319696</v>
      </c>
    </row>
    <row r="1475" spans="1:2" x14ac:dyDescent="0.25">
      <c r="A1475">
        <f ca="1">25976.6634351802*((RANDBETWEEN(2979,3282)))</f>
        <v>83203252.982882082</v>
      </c>
      <c r="B1475">
        <v>154033256.64570922</v>
      </c>
    </row>
    <row r="1476" spans="1:2" x14ac:dyDescent="0.25">
      <c r="A1476">
        <f ca="1">26932.1168948636*((RANDBETWEEN(2979,3282)))</f>
        <v>85832656.543930441</v>
      </c>
      <c r="B1476">
        <v>143518332.62548533</v>
      </c>
    </row>
    <row r="1477" spans="1:2" x14ac:dyDescent="0.25">
      <c r="A1477">
        <f ca="1">26463.8750573484*((RANDBETWEEN(2979,3282)))</f>
        <v>85742955.185808882</v>
      </c>
      <c r="B1477">
        <v>157484984.76267797</v>
      </c>
    </row>
    <row r="1478" spans="1:2" x14ac:dyDescent="0.25">
      <c r="A1478">
        <f ca="1">30921.1539292507*((RANDBETWEEN(2979,3282)))</f>
        <v>92825304.095610648</v>
      </c>
      <c r="B1478">
        <v>177638040.31144106</v>
      </c>
    </row>
    <row r="1479" spans="1:2" x14ac:dyDescent="0.25">
      <c r="A1479">
        <f ca="1">25963.6880686816*((RANDBETWEEN(2979,3282)))</f>
        <v>81889472.168621674</v>
      </c>
      <c r="B1479">
        <v>156312292.76860088</v>
      </c>
    </row>
    <row r="1480" spans="1:2" x14ac:dyDescent="0.25">
      <c r="A1480">
        <f ca="1">29588.5918131791*((RANDBETWEEN(2979,3282)))</f>
        <v>90984919.825525671</v>
      </c>
      <c r="B1480">
        <v>164915837.91682085</v>
      </c>
    </row>
    <row r="1481" spans="1:2" x14ac:dyDescent="0.25">
      <c r="A1481">
        <f ca="1">28594.6252800975*((RANDBETWEEN(2979,3282)))</f>
        <v>91559990.146872163</v>
      </c>
      <c r="B1481">
        <v>189474612.56940833</v>
      </c>
    </row>
    <row r="1482" spans="1:2" x14ac:dyDescent="0.25">
      <c r="A1482">
        <f ca="1">31733.7572157731*((RANDBETWEEN(2979,3282)))</f>
        <v>99072790.027643561</v>
      </c>
      <c r="B1482">
        <v>153005067.9852224</v>
      </c>
    </row>
    <row r="1483" spans="1:2" x14ac:dyDescent="0.25">
      <c r="A1483">
        <f ca="1">28104.6254548852*((RANDBETWEEN(2979,3282)))</f>
        <v>86843292.655595362</v>
      </c>
      <c r="B1483">
        <v>191265847.81556821</v>
      </c>
    </row>
    <row r="1484" spans="1:2" x14ac:dyDescent="0.25">
      <c r="A1484">
        <f ca="1">25764.2836570602*((RANDBETWEEN(2979,3282)))</f>
        <v>79044822.259860724</v>
      </c>
      <c r="B1484">
        <v>158095954.40341473</v>
      </c>
    </row>
    <row r="1485" spans="1:2" x14ac:dyDescent="0.25">
      <c r="A1485">
        <f ca="1">29605.8967154148*((RANDBETWEEN(2979,3282)))</f>
        <v>94294781.038596272</v>
      </c>
      <c r="B1485">
        <v>199750749.19452098</v>
      </c>
    </row>
    <row r="1486" spans="1:2" x14ac:dyDescent="0.25">
      <c r="A1486">
        <f ca="1">28796.3569621593*((RANDBETWEEN(2979,3282)))</f>
        <v>87886481.448510036</v>
      </c>
      <c r="B1486">
        <v>147159090.72952223</v>
      </c>
    </row>
    <row r="1487" spans="1:2" x14ac:dyDescent="0.25">
      <c r="A1487">
        <f ca="1">27688.7641287211*((RANDBETWEEN(2979,3282)))</f>
        <v>83758511.489381224</v>
      </c>
      <c r="B1487">
        <v>185750815.87903816</v>
      </c>
    </row>
    <row r="1488" spans="1:2" x14ac:dyDescent="0.25">
      <c r="A1488">
        <f ca="1">28411.8950862683*((RANDBETWEEN(2979,3282)))</f>
        <v>90889652.380972385</v>
      </c>
      <c r="B1488">
        <v>164923300.02277565</v>
      </c>
    </row>
    <row r="1489" spans="1:2" x14ac:dyDescent="0.25">
      <c r="A1489">
        <f ca="1">29396.0917010206*((RANDBETWEEN(2979,3282)))</f>
        <v>94743603.552389488</v>
      </c>
      <c r="B1489">
        <v>156371656.90316343</v>
      </c>
    </row>
    <row r="1490" spans="1:2" x14ac:dyDescent="0.25">
      <c r="A1490">
        <f ca="1">31198.1391128404*((RANDBETWEEN(2979,3282)))</f>
        <v>94530361.511906356</v>
      </c>
      <c r="B1490">
        <v>196019096.91738242</v>
      </c>
    </row>
    <row r="1491" spans="1:2" x14ac:dyDescent="0.25">
      <c r="A1491">
        <f ca="1">27880.3622502441*((RANDBETWEEN(2979,3282)))</f>
        <v>84867822.689743131</v>
      </c>
      <c r="B1491">
        <v>159475976.76093313</v>
      </c>
    </row>
    <row r="1492" spans="1:2" x14ac:dyDescent="0.25">
      <c r="A1492">
        <f ca="1">25621.9372701088*((RANDBETWEEN(2979,3282)))</f>
        <v>82989454.817882314</v>
      </c>
      <c r="B1492">
        <v>198776194.51858014</v>
      </c>
    </row>
    <row r="1493" spans="1:2" x14ac:dyDescent="0.25">
      <c r="A1493">
        <f ca="1">26956.3353447041*((RANDBETWEEN(2979,3282)))</f>
        <v>86556792.791844979</v>
      </c>
      <c r="B1493">
        <v>160237465.92256266</v>
      </c>
    </row>
    <row r="1494" spans="1:2" x14ac:dyDescent="0.25">
      <c r="A1494">
        <f ca="1">27978.059948763*((RANDBETWEEN(2979,3282)))</f>
        <v>83822267.606493846</v>
      </c>
      <c r="B1494">
        <v>144525623.28450891</v>
      </c>
    </row>
    <row r="1495" spans="1:2" x14ac:dyDescent="0.25">
      <c r="A1495">
        <f ca="1">26366.9422586255*((RANDBETWEEN(2979,3282)))</f>
        <v>80630109.426876634</v>
      </c>
      <c r="B1495">
        <v>194617541.31518093</v>
      </c>
    </row>
    <row r="1496" spans="1:2" x14ac:dyDescent="0.25">
      <c r="A1496">
        <f ca="1">28002.6059773341*((RANDBETWEEN(2979,3282)))</f>
        <v>90924461.608403862</v>
      </c>
      <c r="B1496">
        <v>176249464.67664182</v>
      </c>
    </row>
    <row r="1497" spans="1:2" x14ac:dyDescent="0.25">
      <c r="A1497">
        <f ca="1">26640.1386561767*((RANDBETWEEN(2979,3282)))</f>
        <v>83596755.103082478</v>
      </c>
      <c r="B1497">
        <v>167607886.66697842</v>
      </c>
    </row>
    <row r="1498" spans="1:2" x14ac:dyDescent="0.25">
      <c r="A1498">
        <f ca="1">26363.6540872616*((RANDBETWEEN(2979,3282)))</f>
        <v>81753691.324598223</v>
      </c>
      <c r="B1498">
        <v>166049241.9870339</v>
      </c>
    </row>
    <row r="1499" spans="1:2" x14ac:dyDescent="0.25">
      <c r="A1499">
        <f ca="1">26035.1505987382*((RANDBETWEEN(2979,3282)))</f>
        <v>80865177.759680837</v>
      </c>
      <c r="B1499">
        <v>173375997.3186636</v>
      </c>
    </row>
    <row r="1500" spans="1:2" x14ac:dyDescent="0.25">
      <c r="A1500">
        <f ca="1">32563.1785691722*((RANDBETWEEN(2979,3282)))</f>
        <v>101010979.92157224</v>
      </c>
      <c r="B1500">
        <v>169860578.69001734</v>
      </c>
    </row>
    <row r="1501" spans="1:2" x14ac:dyDescent="0.25">
      <c r="A1501">
        <f ca="1">31926.4520465172*((RANDBETWEEN(2979,3282)))</f>
        <v>101398411.69973873</v>
      </c>
      <c r="B1501">
        <v>191812204.36028942</v>
      </c>
    </row>
    <row r="1502" spans="1:2" x14ac:dyDescent="0.25">
      <c r="A1502">
        <f ca="1">30473.6370226796*((RANDBETWEEN(2979,3282)))</f>
        <v>91938962.89742431</v>
      </c>
      <c r="B1502">
        <v>159504066.18022695</v>
      </c>
    </row>
    <row r="1503" spans="1:2" x14ac:dyDescent="0.25">
      <c r="A1503">
        <f ca="1">25534.6802603766*((RANDBETWEEN(2979,3282)))</f>
        <v>78544676.480918288</v>
      </c>
      <c r="B1503">
        <v>166449360.13655022</v>
      </c>
    </row>
    <row r="1504" spans="1:2" x14ac:dyDescent="0.25">
      <c r="A1504">
        <f ca="1">25365.2884642144*((RANDBETWEEN(2979,3282)))</f>
        <v>78074357.892851919</v>
      </c>
      <c r="B1504">
        <v>153197986.40365183</v>
      </c>
    </row>
    <row r="1505" spans="1:2" x14ac:dyDescent="0.25">
      <c r="A1505">
        <f ca="1">29163.2787557304*((RANDBETWEEN(2979,3282)))</f>
        <v>87139876.922122687</v>
      </c>
      <c r="B1505">
        <v>173973046.91806173</v>
      </c>
    </row>
    <row r="1506" spans="1:2" x14ac:dyDescent="0.25">
      <c r="A1506">
        <f ca="1">28448.800384683*((RANDBETWEEN(2979,3282)))</f>
        <v>92174113.246372879</v>
      </c>
      <c r="B1506">
        <v>163159053.97289708</v>
      </c>
    </row>
    <row r="1507" spans="1:2" x14ac:dyDescent="0.25">
      <c r="A1507">
        <f ca="1">28786.8851177095*((RANDBETWEEN(2979,3282)))</f>
        <v>92578622.538553655</v>
      </c>
      <c r="B1507">
        <v>179759502.91036746</v>
      </c>
    </row>
    <row r="1508" spans="1:2" x14ac:dyDescent="0.25">
      <c r="A1508">
        <f ca="1">28367.8008535101*((RANDBETWEEN(2979,3282)))</f>
        <v>87741608.039906651</v>
      </c>
      <c r="B1508">
        <v>167365428.9052085</v>
      </c>
    </row>
    <row r="1509" spans="1:2" x14ac:dyDescent="0.25">
      <c r="A1509">
        <f ca="1">25915.5628256257*((RANDBETWEEN(2979,3282)))</f>
        <v>82981632.167653546</v>
      </c>
      <c r="B1509">
        <v>201575214.02833575</v>
      </c>
    </row>
    <row r="1510" spans="1:2" x14ac:dyDescent="0.25">
      <c r="A1510">
        <f ca="1">33584.1630855201*((RANDBETWEEN(2979,3282)))</f>
        <v>108711935.90782847</v>
      </c>
      <c r="B1510">
        <v>179384977.98612902</v>
      </c>
    </row>
    <row r="1511" spans="1:2" x14ac:dyDescent="0.25">
      <c r="A1511">
        <f ca="1">29247.4745971912*((RANDBETWEEN(2979,3282)))</f>
        <v>90199211.657737628</v>
      </c>
      <c r="B1511">
        <v>193857274.7069886</v>
      </c>
    </row>
    <row r="1512" spans="1:2" x14ac:dyDescent="0.25">
      <c r="A1512">
        <f ca="1">27496.0432545938*((RANDBETWEEN(2979,3282)))</f>
        <v>82405641.634017631</v>
      </c>
      <c r="B1512">
        <v>154833093.53010046</v>
      </c>
    </row>
    <row r="1513" spans="1:2" x14ac:dyDescent="0.25">
      <c r="A1513">
        <f ca="1">28189.57197876*((RANDBETWEEN(2979,3282)))</f>
        <v>89699218.03641431</v>
      </c>
      <c r="B1513">
        <v>150342873.90701315</v>
      </c>
    </row>
    <row r="1514" spans="1:2" x14ac:dyDescent="0.25">
      <c r="A1514">
        <f ca="1">29682.8821581903*((RANDBETWEEN(2979,3282)))</f>
        <v>93827590.502039492</v>
      </c>
      <c r="B1514">
        <v>174302442.97075677</v>
      </c>
    </row>
    <row r="1515" spans="1:2" x14ac:dyDescent="0.25">
      <c r="A1515">
        <f ca="1">26486.7578954829*((RANDBETWEEN(2979,3282)))</f>
        <v>83539234.402352989</v>
      </c>
      <c r="B1515">
        <v>159519160.14217693</v>
      </c>
    </row>
    <row r="1516" spans="1:2" x14ac:dyDescent="0.25">
      <c r="A1516">
        <f ca="1">27283.3662020934*((RANDBETWEEN(2979,3282)))</f>
        <v>87961572.635549024</v>
      </c>
      <c r="B1516">
        <v>158502044.50697678</v>
      </c>
    </row>
    <row r="1517" spans="1:2" x14ac:dyDescent="0.25">
      <c r="A1517">
        <f ca="1">26826.4438105768*((RANDBETWEEN(2979,3282)))</f>
        <v>84020422.014726549</v>
      </c>
      <c r="B1517">
        <v>164609402.01820135</v>
      </c>
    </row>
    <row r="1518" spans="1:2" x14ac:dyDescent="0.25">
      <c r="A1518">
        <f ca="1">30561.3854451659*((RANDBETWEEN(2979,3282)))</f>
        <v>92142577.117175117</v>
      </c>
      <c r="B1518">
        <v>177723157.06120923</v>
      </c>
    </row>
    <row r="1519" spans="1:2" x14ac:dyDescent="0.25">
      <c r="A1519">
        <f ca="1">26947.164206075*((RANDBETWEEN(2979,3282)))</f>
        <v>82188850.828528628</v>
      </c>
      <c r="B1519">
        <v>201933818.26929975</v>
      </c>
    </row>
    <row r="1520" spans="1:2" x14ac:dyDescent="0.25">
      <c r="A1520">
        <f ca="1">26792.629887894*((RANDBETWEEN(2979,3282)))</f>
        <v>84423576.776753947</v>
      </c>
      <c r="B1520">
        <v>156459757.45513433</v>
      </c>
    </row>
    <row r="1521" spans="1:2" x14ac:dyDescent="0.25">
      <c r="A1521">
        <f ca="1">28424.6604593367*((RANDBETWEEN(2979,3282)))</f>
        <v>87974324.121647134</v>
      </c>
      <c r="B1521">
        <v>165116276.44904742</v>
      </c>
    </row>
    <row r="1522" spans="1:2" x14ac:dyDescent="0.25">
      <c r="A1522">
        <f ca="1">27515.6692029068*((RANDBETWEEN(2979,3282)))</f>
        <v>86619326.650750667</v>
      </c>
      <c r="B1522">
        <v>180740961.97767407</v>
      </c>
    </row>
    <row r="1523" spans="1:2" x14ac:dyDescent="0.25">
      <c r="A1523">
        <f ca="1">26813.4551470307*((RANDBETWEEN(2979,3282)))</f>
        <v>84784145.174910963</v>
      </c>
      <c r="B1523">
        <v>190268448.69255775</v>
      </c>
    </row>
    <row r="1524" spans="1:2" x14ac:dyDescent="0.25">
      <c r="A1524">
        <f ca="1">28375.3661576909*((RANDBETWEEN(2979,3282)))</f>
        <v>85977359.457803309</v>
      </c>
      <c r="B1524">
        <v>144456069.17538366</v>
      </c>
    </row>
    <row r="1525" spans="1:2" x14ac:dyDescent="0.25">
      <c r="A1525">
        <f ca="1">26131.0900130707*((RANDBETWEEN(2979,3282)))</f>
        <v>85396402.162714899</v>
      </c>
      <c r="B1525">
        <v>144090241.5240728</v>
      </c>
    </row>
    <row r="1526" spans="1:2" x14ac:dyDescent="0.25">
      <c r="A1526">
        <f ca="1">26833.3576915965*((RANDBETWEEN(2979,3282)))</f>
        <v>82244241.324743241</v>
      </c>
      <c r="B1526">
        <v>162138266.10658082</v>
      </c>
    </row>
    <row r="1527" spans="1:2" x14ac:dyDescent="0.25">
      <c r="A1527">
        <f ca="1">27934.7516059308*((RANDBETWEEN(2979,3282)))</f>
        <v>89866095.916279271</v>
      </c>
      <c r="B1527">
        <v>193434146.17789158</v>
      </c>
    </row>
    <row r="1528" spans="1:2" x14ac:dyDescent="0.25">
      <c r="A1528">
        <f ca="1">30237.4743153026*((RANDBETWEEN(2979,3282)))</f>
        <v>90893847.791799605</v>
      </c>
      <c r="B1528">
        <v>186718776.4743576</v>
      </c>
    </row>
    <row r="1529" spans="1:2" x14ac:dyDescent="0.25">
      <c r="A1529">
        <f ca="1">27784.3268381515*((RANDBETWEEN(2979,3282)))</f>
        <v>90743611.453402698</v>
      </c>
      <c r="B1529">
        <v>169478465.59343582</v>
      </c>
    </row>
    <row r="1530" spans="1:2" x14ac:dyDescent="0.25">
      <c r="A1530">
        <f ca="1">28660.483118163*((RANDBETWEEN(2979,3282)))</f>
        <v>85694844.523307368</v>
      </c>
      <c r="B1530">
        <v>153129145.45980817</v>
      </c>
    </row>
    <row r="1531" spans="1:2" x14ac:dyDescent="0.25">
      <c r="A1531">
        <f ca="1">30036.9721556379*((RANDBETWEEN(2979,3282)))</f>
        <v>96088273.925885692</v>
      </c>
      <c r="B1531">
        <v>171762686.68172854</v>
      </c>
    </row>
    <row r="1532" spans="1:2" x14ac:dyDescent="0.25">
      <c r="A1532">
        <f ca="1">30525.5926133548*((RANDBETWEEN(2979,3282)))</f>
        <v>95819835.213320792</v>
      </c>
      <c r="B1532">
        <v>194905763.17094475</v>
      </c>
    </row>
    <row r="1533" spans="1:2" x14ac:dyDescent="0.25">
      <c r="A1533">
        <f ca="1">30977.0252599606*((RANDBETWEEN(2979,3282)))</f>
        <v>100303607.79175237</v>
      </c>
      <c r="B1533">
        <v>194971562.26834533</v>
      </c>
    </row>
    <row r="1534" spans="1:2" x14ac:dyDescent="0.25">
      <c r="A1534">
        <f ca="1">29208.2141516748*((RANDBETWEEN(2979,3282)))</f>
        <v>87098894.600294232</v>
      </c>
      <c r="B1534">
        <v>190932016.05931771</v>
      </c>
    </row>
    <row r="1535" spans="1:2" x14ac:dyDescent="0.25">
      <c r="A1535">
        <f ca="1">26282.9790201548*((RANDBETWEEN(2979,3282)))</f>
        <v>81976611.563862786</v>
      </c>
      <c r="B1535">
        <v>153614338.91342705</v>
      </c>
    </row>
    <row r="1536" spans="1:2" x14ac:dyDescent="0.25">
      <c r="A1536">
        <f ca="1">25947.3466441706*((RANDBETWEEN(2979,3282)))</f>
        <v>83290982.727787763</v>
      </c>
      <c r="B1536">
        <v>144904622.29650134</v>
      </c>
    </row>
    <row r="1537" spans="1:2" x14ac:dyDescent="0.25">
      <c r="A1537">
        <f ca="1">27344.3304566553*((RANDBETWEEN(2979,3282)))</f>
        <v>83892405.841018304</v>
      </c>
      <c r="B1537">
        <v>175125820.40859851</v>
      </c>
    </row>
    <row r="1538" spans="1:2" x14ac:dyDescent="0.25">
      <c r="A1538">
        <f ca="1">26499.1233424091*((RANDBETWEEN(2979,3282)))</f>
        <v>83127749.925137356</v>
      </c>
      <c r="B1538">
        <v>149157235.59339046</v>
      </c>
    </row>
    <row r="1539" spans="1:2" x14ac:dyDescent="0.25">
      <c r="A1539">
        <f ca="1">27466.1231786172*((RANDBETWEEN(2979,3282)))</f>
        <v>84211133.665640429</v>
      </c>
      <c r="B1539">
        <v>153762655.17179117</v>
      </c>
    </row>
    <row r="1540" spans="1:2" x14ac:dyDescent="0.25">
      <c r="A1540">
        <f ca="1">29927.4018386159*((RANDBETWEEN(2979,3282)))</f>
        <v>90261043.945265621</v>
      </c>
      <c r="B1540">
        <v>158900097.31932396</v>
      </c>
    </row>
    <row r="1541" spans="1:2" x14ac:dyDescent="0.25">
      <c r="A1541">
        <f ca="1">29448.6285626847*((RANDBETWEEN(2979,3282)))</f>
        <v>95531351.05734922</v>
      </c>
      <c r="B1541">
        <v>154963618.54538345</v>
      </c>
    </row>
    <row r="1542" spans="1:2" x14ac:dyDescent="0.25">
      <c r="A1542">
        <f ca="1">26944.1026538554*((RANDBETWEEN(2979,3282)))</f>
        <v>88430544.909953371</v>
      </c>
      <c r="B1542">
        <v>150548456.8783417</v>
      </c>
    </row>
    <row r="1543" spans="1:2" x14ac:dyDescent="0.25">
      <c r="A1543">
        <f ca="1">29782.60048671*((RANDBETWEEN(2979,3282)))</f>
        <v>97389103.591541812</v>
      </c>
      <c r="B1543">
        <v>144702217.05883121</v>
      </c>
    </row>
    <row r="1544" spans="1:2" x14ac:dyDescent="0.25">
      <c r="A1544">
        <f ca="1">28384.1185482017*((RANDBETWEEN(2979,3282)))</f>
        <v>89551894.019576252</v>
      </c>
      <c r="B1544">
        <v>154372606.69807827</v>
      </c>
    </row>
    <row r="1545" spans="1:2" x14ac:dyDescent="0.25">
      <c r="A1545">
        <f ca="1">27045.5712809085*((RANDBETWEEN(2979,3282)))</f>
        <v>88628337.087536991</v>
      </c>
      <c r="B1545">
        <v>151864478.21745443</v>
      </c>
    </row>
    <row r="1546" spans="1:2" x14ac:dyDescent="0.25">
      <c r="A1546">
        <f ca="1">27568.6659629745*((RANDBETWEEN(2979,3282)))</f>
        <v>88081887.751703575</v>
      </c>
      <c r="B1546">
        <v>143150891.11331046</v>
      </c>
    </row>
    <row r="1547" spans="1:2" x14ac:dyDescent="0.25">
      <c r="A1547">
        <f ca="1">27490.3111350571*((RANDBETWEEN(2979,3282)))</f>
        <v>87144286.298130974</v>
      </c>
      <c r="B1547">
        <v>164427503.27768025</v>
      </c>
    </row>
    <row r="1548" spans="1:2" x14ac:dyDescent="0.25">
      <c r="A1548">
        <f ca="1">25640.5773155643*((RANDBETWEEN(2979,3282)))</f>
        <v>80075522.956507266</v>
      </c>
      <c r="B1548">
        <v>153014910.12969846</v>
      </c>
    </row>
    <row r="1549" spans="1:2" x14ac:dyDescent="0.25">
      <c r="A1549">
        <f ca="1">26596.4897870983*((RANDBETWEEN(2979,3282)))</f>
        <v>84364065.60467577</v>
      </c>
      <c r="B1549">
        <v>156766217.59601581</v>
      </c>
    </row>
    <row r="1550" spans="1:2" x14ac:dyDescent="0.25">
      <c r="A1550">
        <f ca="1">26192.1178045617*((RANDBETWEEN(2979,3282)))</f>
        <v>85333919.807261959</v>
      </c>
      <c r="B1550">
        <v>153789487.98296189</v>
      </c>
    </row>
    <row r="1551" spans="1:2" x14ac:dyDescent="0.25">
      <c r="A1551">
        <f ca="1">27441.8993278841*((RANDBETWEEN(2979,3282)))</f>
        <v>85838261.09762162</v>
      </c>
      <c r="B1551">
        <v>201961295.18832254</v>
      </c>
    </row>
    <row r="1552" spans="1:2" x14ac:dyDescent="0.25">
      <c r="A1552">
        <f ca="1">29725.2572002185*((RANDBETWEEN(2979,3282)))</f>
        <v>91969945.777476057</v>
      </c>
      <c r="B1552">
        <v>201074069.23090443</v>
      </c>
    </row>
    <row r="1553" spans="1:2" x14ac:dyDescent="0.25">
      <c r="A1553">
        <f ca="1">28643.219880564*((RANDBETWEEN(2979,3282)))</f>
        <v>88221117.232137203</v>
      </c>
      <c r="B1553">
        <v>150231122.47756571</v>
      </c>
    </row>
    <row r="1554" spans="1:2" x14ac:dyDescent="0.25">
      <c r="A1554">
        <f ca="1">27079.1835374028*((RANDBETWEEN(2979,3282)))</f>
        <v>86165962.016015798</v>
      </c>
      <c r="B1554">
        <v>154230952.00200057</v>
      </c>
    </row>
    <row r="1555" spans="1:2" x14ac:dyDescent="0.25">
      <c r="A1555">
        <f ca="1">27300.6721418319*((RANDBETWEEN(2979,3282)))</f>
        <v>83348952.049012795</v>
      </c>
      <c r="B1555">
        <v>196497372.59757206</v>
      </c>
    </row>
    <row r="1556" spans="1:2" x14ac:dyDescent="0.25">
      <c r="A1556">
        <f ca="1">30287.8881967125*((RANDBETWEEN(2979,3282)))</f>
        <v>90469922.043580338</v>
      </c>
      <c r="B1556">
        <v>167982561.18650997</v>
      </c>
    </row>
    <row r="1557" spans="1:2" x14ac:dyDescent="0.25">
      <c r="A1557">
        <f ca="1">30733.1902149236*((RANDBETWEEN(2979,3282)))</f>
        <v>91707839.601331905</v>
      </c>
      <c r="B1557">
        <v>203355449.86224654</v>
      </c>
    </row>
    <row r="1558" spans="1:2" x14ac:dyDescent="0.25">
      <c r="A1558">
        <f ca="1">32659.543807268*((RANDBETWEEN(2979,3282)))</f>
        <v>99578949.068360001</v>
      </c>
      <c r="B1558">
        <v>150701164.47449949</v>
      </c>
    </row>
    <row r="1559" spans="1:2" x14ac:dyDescent="0.25">
      <c r="A1559">
        <f ca="1">25679.8702267714*((RANDBETWEEN(2979,3282)))</f>
        <v>80223914.588433847</v>
      </c>
      <c r="B1559">
        <v>160181885.51702774</v>
      </c>
    </row>
    <row r="1560" spans="1:2" x14ac:dyDescent="0.25">
      <c r="A1560">
        <f ca="1">27677.1940108936*((RANDBETWEEN(2979,3282)))</f>
        <v>86601940.060086206</v>
      </c>
      <c r="B1560">
        <v>162126244.27807719</v>
      </c>
    </row>
    <row r="1561" spans="1:2" x14ac:dyDescent="0.25">
      <c r="A1561">
        <f ca="1">26096.008605347*((RANDBETWEEN(2979,3282)))</f>
        <v>85307852.130879328</v>
      </c>
      <c r="B1561">
        <v>182428408.25140697</v>
      </c>
    </row>
    <row r="1562" spans="1:2" x14ac:dyDescent="0.25">
      <c r="A1562">
        <f ca="1">28706.413694238*((RANDBETWEEN(2979,3282)))</f>
        <v>89851074.862964958</v>
      </c>
      <c r="B1562">
        <v>189110338.56257665</v>
      </c>
    </row>
    <row r="1563" spans="1:2" x14ac:dyDescent="0.25">
      <c r="A1563">
        <f ca="1">25575.7407858673*((RANDBETWEEN(2979,3282)))</f>
        <v>78210615.3231823</v>
      </c>
      <c r="B1563">
        <v>145956687.76733685</v>
      </c>
    </row>
    <row r="1564" spans="1:2" x14ac:dyDescent="0.25">
      <c r="A1564">
        <f ca="1">27377.5260919868*((RANDBETWEEN(2979,3282)))</f>
        <v>86348717.294126317</v>
      </c>
      <c r="B1564">
        <v>148573476.5842506</v>
      </c>
    </row>
    <row r="1565" spans="1:2" x14ac:dyDescent="0.25">
      <c r="A1565">
        <f ca="1">26169.6679556488*((RANDBETWEEN(2979,3282)))</f>
        <v>80157692.948152408</v>
      </c>
      <c r="B1565">
        <v>147563032.15133888</v>
      </c>
    </row>
    <row r="1566" spans="1:2" x14ac:dyDescent="0.25">
      <c r="A1566">
        <f ca="1">29612.3013033492*((RANDBETWEEN(2979,3282)))</f>
        <v>93337973.70815663</v>
      </c>
      <c r="B1566">
        <v>158121353.20371673</v>
      </c>
    </row>
    <row r="1567" spans="1:2" x14ac:dyDescent="0.25">
      <c r="A1567">
        <f ca="1">30305.8225128965*((RANDBETWEEN(2979,3282)))</f>
        <v>94342025.482646674</v>
      </c>
      <c r="B1567">
        <v>193896622.60021842</v>
      </c>
    </row>
    <row r="1568" spans="1:2" x14ac:dyDescent="0.25">
      <c r="A1568">
        <f ca="1">27603.8916960751*((RANDBETWEEN(2979,3282)))</f>
        <v>83915830.756068423</v>
      </c>
      <c r="B1568">
        <v>169399717.17079672</v>
      </c>
    </row>
    <row r="1569" spans="1:2" x14ac:dyDescent="0.25">
      <c r="A1569">
        <f ca="1">27449.6077981125*((RANDBETWEEN(2979,3282)))</f>
        <v>88360287.502123982</v>
      </c>
      <c r="B1569">
        <v>148056076.75588983</v>
      </c>
    </row>
    <row r="1570" spans="1:2" x14ac:dyDescent="0.25">
      <c r="A1570">
        <f ca="1">30033.0568496761*((RANDBETWEEN(2979,3282)))</f>
        <v>89918972.207930371</v>
      </c>
      <c r="B1570">
        <v>177352445.26842922</v>
      </c>
    </row>
    <row r="1571" spans="1:2" x14ac:dyDescent="0.25">
      <c r="A1571">
        <f ca="1">25429.4123920758*((RANDBETWEEN(2979,3282)))</f>
        <v>76923972.486029297</v>
      </c>
      <c r="B1571">
        <v>155184322.35842955</v>
      </c>
    </row>
    <row r="1572" spans="1:2" x14ac:dyDescent="0.25">
      <c r="A1572">
        <f ca="1">28190.1028631675*((RANDBETWEEN(2979,3282)))</f>
        <v>87361128.772956178</v>
      </c>
      <c r="B1572">
        <v>190718410.64742923</v>
      </c>
    </row>
    <row r="1573" spans="1:2" x14ac:dyDescent="0.25">
      <c r="A1573">
        <f ca="1">29057.9703544092*((RANDBETWEEN(2979,3282)))</f>
        <v>91125795.03142713</v>
      </c>
      <c r="B1573">
        <v>192560807.13531974</v>
      </c>
    </row>
    <row r="1574" spans="1:2" x14ac:dyDescent="0.25">
      <c r="A1574">
        <f ca="1">27656.0024505292*((RANDBETWEEN(2979,3282)))</f>
        <v>84046591.447158381</v>
      </c>
      <c r="B1574">
        <v>183979361.97741696</v>
      </c>
    </row>
    <row r="1575" spans="1:2" x14ac:dyDescent="0.25">
      <c r="A1575">
        <f ca="1">30819.2260716287*((RANDBETWEEN(2979,3282)))</f>
        <v>97111381.351702005</v>
      </c>
      <c r="B1575">
        <v>196394794.57666308</v>
      </c>
    </row>
    <row r="1576" spans="1:2" x14ac:dyDescent="0.25">
      <c r="A1576">
        <f ca="1">31865.5655018129*((RANDBETWEEN(2979,3282)))</f>
        <v>102862045.43985218</v>
      </c>
      <c r="B1576">
        <v>147847965.9920657</v>
      </c>
    </row>
    <row r="1577" spans="1:2" x14ac:dyDescent="0.25">
      <c r="A1577">
        <f ca="1">28115.3939436092*((RANDBETWEEN(2979,3282)))</f>
        <v>86342374.800823882</v>
      </c>
      <c r="B1577">
        <v>167922385.66773137</v>
      </c>
    </row>
    <row r="1578" spans="1:2" x14ac:dyDescent="0.25">
      <c r="A1578">
        <f ca="1">27489.5021028796*((RANDBETWEEN(2979,3282)))</f>
        <v>89918161.378519222</v>
      </c>
      <c r="B1578">
        <v>144458171.72760591</v>
      </c>
    </row>
    <row r="1579" spans="1:2" x14ac:dyDescent="0.25">
      <c r="A1579">
        <f ca="1">28420.8824572343*((RANDBETWEEN(2979,3282)))</f>
        <v>84694229.722558185</v>
      </c>
      <c r="B1579">
        <v>158199204.67131543</v>
      </c>
    </row>
    <row r="1580" spans="1:2" x14ac:dyDescent="0.25">
      <c r="A1580">
        <f ca="1">27721.1302429408*((RANDBETWEEN(2979,3282)))</f>
        <v>87099791.223320052</v>
      </c>
      <c r="B1580">
        <v>182120141.8452518</v>
      </c>
    </row>
    <row r="1581" spans="1:2" x14ac:dyDescent="0.25">
      <c r="A1581">
        <f ca="1">31733.4720301735*((RANDBETWEEN(2979,3282)))</f>
        <v>95073482.202399731</v>
      </c>
      <c r="B1581">
        <v>159941965.44822791</v>
      </c>
    </row>
    <row r="1582" spans="1:2" x14ac:dyDescent="0.25">
      <c r="A1582">
        <f ca="1">30281.0854948105*((RANDBETWEEN(2979,3282)))</f>
        <v>96990316.839877918</v>
      </c>
      <c r="B1582">
        <v>197189430.49108192</v>
      </c>
    </row>
    <row r="1583" spans="1:2" x14ac:dyDescent="0.25">
      <c r="A1583">
        <f ca="1">27208.6957875968*((RANDBETWEEN(2979,3282)))</f>
        <v>83857200.41737327</v>
      </c>
      <c r="B1583">
        <v>169690204.6256876</v>
      </c>
    </row>
    <row r="1584" spans="1:2" x14ac:dyDescent="0.25">
      <c r="A1584">
        <f ca="1">27899.4443412352*((RANDBETWEEN(2979,3282)))</f>
        <v>84256321.91053021</v>
      </c>
      <c r="B1584">
        <v>160216992.67205769</v>
      </c>
    </row>
    <row r="1585" spans="1:2" x14ac:dyDescent="0.25">
      <c r="A1585">
        <f ca="1">26165.8031637218*((RANDBETWEEN(2979,3282)))</f>
        <v>79517875.814550638</v>
      </c>
      <c r="B1585">
        <v>193503924.9964332</v>
      </c>
    </row>
    <row r="1586" spans="1:2" x14ac:dyDescent="0.25">
      <c r="A1586">
        <f ca="1">27878.6367264039*((RANDBETWEEN(2979,3282)))</f>
        <v>83831060.636296511</v>
      </c>
      <c r="B1586">
        <v>153637725.26530749</v>
      </c>
    </row>
    <row r="1587" spans="1:2" x14ac:dyDescent="0.25">
      <c r="A1587">
        <f ca="1">30148.8874388265*((RANDBETWEEN(2979,3282)))</f>
        <v>90024577.892336026</v>
      </c>
      <c r="B1587">
        <v>159555978.00266463</v>
      </c>
    </row>
    <row r="1588" spans="1:2" x14ac:dyDescent="0.25">
      <c r="A1588">
        <f ca="1">32888.049670181*((RANDBETWEEN(2979,3282)))</f>
        <v>100111223.19603111</v>
      </c>
      <c r="B1588">
        <v>157376288.79914424</v>
      </c>
    </row>
    <row r="1589" spans="1:2" x14ac:dyDescent="0.25">
      <c r="A1589">
        <f ca="1">27403.6293736932*((RANDBETWEEN(2979,3282)))</f>
        <v>84951251.058448866</v>
      </c>
      <c r="B1589">
        <v>155232274.96858281</v>
      </c>
    </row>
    <row r="1590" spans="1:2" x14ac:dyDescent="0.25">
      <c r="A1590">
        <f ca="1">28296.8259151511*((RANDBETWEEN(2979,3282)))</f>
        <v>85654492.045162529</v>
      </c>
      <c r="B1590">
        <v>170901015.35868421</v>
      </c>
    </row>
    <row r="1591" spans="1:2" x14ac:dyDescent="0.25">
      <c r="A1591">
        <f ca="1">26039.1726293741*((RANDBETWEEN(2979,3282)))</f>
        <v>81997354.609899178</v>
      </c>
      <c r="B1591">
        <v>157991568.24087536</v>
      </c>
    </row>
    <row r="1592" spans="1:2" x14ac:dyDescent="0.25">
      <c r="A1592">
        <f ca="1">27912.4992967385*((RANDBETWEEN(2979,3282)))</f>
        <v>85942585.334657982</v>
      </c>
      <c r="B1592">
        <v>191414605.454328</v>
      </c>
    </row>
    <row r="1593" spans="1:2" x14ac:dyDescent="0.25">
      <c r="A1593">
        <f ca="1">28275.0497944385*((RANDBETWEEN(2979,3282)))</f>
        <v>91922186.881719723</v>
      </c>
      <c r="B1593">
        <v>162889157.28483126</v>
      </c>
    </row>
    <row r="1594" spans="1:2" x14ac:dyDescent="0.25">
      <c r="A1594">
        <f ca="1">25955.4935977817*((RANDBETWEEN(2979,3282)))</f>
        <v>82720158.096130401</v>
      </c>
      <c r="B1594">
        <v>167908079.79395914</v>
      </c>
    </row>
    <row r="1595" spans="1:2" x14ac:dyDescent="0.25">
      <c r="A1595">
        <f ca="1">31676.8674307167*((RANDBETWEEN(2979,3282)))</f>
        <v>95442401.568749458</v>
      </c>
      <c r="B1595">
        <v>179932813.53224295</v>
      </c>
    </row>
    <row r="1596" spans="1:2" x14ac:dyDescent="0.25">
      <c r="A1596">
        <f ca="1">26694.2168284432*((RANDBETWEEN(2979,3282)))</f>
        <v>85314716.983704507</v>
      </c>
      <c r="B1596">
        <v>161216153.14795056</v>
      </c>
    </row>
    <row r="1597" spans="1:2" x14ac:dyDescent="0.25">
      <c r="A1597">
        <f ca="1">26302.3934240643*((RANDBETWEEN(2979,3282)))</f>
        <v>84009844.596461356</v>
      </c>
      <c r="B1597">
        <v>152005091.18102121</v>
      </c>
    </row>
    <row r="1598" spans="1:2" x14ac:dyDescent="0.25">
      <c r="A1598">
        <f ca="1">27481.1238560804*((RANDBETWEEN(2979,3282)))</f>
        <v>89918237.257095233</v>
      </c>
      <c r="B1598">
        <v>144879275.04519069</v>
      </c>
    </row>
    <row r="1599" spans="1:2" x14ac:dyDescent="0.25">
      <c r="A1599">
        <f ca="1">27881.462251483*((RANDBETWEEN(2979,3282)))</f>
        <v>89387967.978254393</v>
      </c>
      <c r="B1599">
        <v>145659813.38615525</v>
      </c>
    </row>
    <row r="1600" spans="1:2" x14ac:dyDescent="0.25">
      <c r="A1600">
        <f ca="1">27039.404515695*((RANDBETWEEN(2979,3282)))</f>
        <v>82794656.627058089</v>
      </c>
      <c r="B1600">
        <v>163251479.52497897</v>
      </c>
    </row>
    <row r="1601" spans="1:2" x14ac:dyDescent="0.25">
      <c r="A1601">
        <f ca="1">28634.4326470069*((RANDBETWEEN(2979,3282)))</f>
        <v>88566300.177192345</v>
      </c>
      <c r="B1601">
        <v>144686555.89542082</v>
      </c>
    </row>
    <row r="1602" spans="1:2" x14ac:dyDescent="0.25">
      <c r="A1602">
        <f ca="1">29500.3637964289*((RANDBETWEEN(2979,3282)))</f>
        <v>91657630.315504432</v>
      </c>
      <c r="B1602">
        <v>189385998.55341524</v>
      </c>
    </row>
    <row r="1603" spans="1:2" x14ac:dyDescent="0.25">
      <c r="A1603">
        <f ca="1">26660.8255047006*((RANDBETWEEN(2979,3282)))</f>
        <v>84194886.943844348</v>
      </c>
      <c r="B1603">
        <v>192020656.63760257</v>
      </c>
    </row>
    <row r="1604" spans="1:2" x14ac:dyDescent="0.25">
      <c r="A1604">
        <f ca="1">28269.3276620663*((RANDBETWEEN(2979,3282)))</f>
        <v>90659733.81224665</v>
      </c>
      <c r="B1604">
        <v>160566634.19540754</v>
      </c>
    </row>
    <row r="1605" spans="1:2" x14ac:dyDescent="0.25">
      <c r="A1605">
        <f ca="1">27241.4818009795*((RANDBETWEEN(2979,3282)))</f>
        <v>83604107.647206143</v>
      </c>
      <c r="B1605">
        <v>160284386.31714827</v>
      </c>
    </row>
    <row r="1606" spans="1:2" x14ac:dyDescent="0.25">
      <c r="A1606">
        <f ca="1">27815.787251626*((RANDBETWEEN(2979,3282)))</f>
        <v>90123150.695268288</v>
      </c>
      <c r="B1606">
        <v>151030319.61368537</v>
      </c>
    </row>
    <row r="1607" spans="1:2" x14ac:dyDescent="0.25">
      <c r="A1607">
        <f ca="1">26594.0228114291*((RANDBETWEEN(2979,3282)))</f>
        <v>80101196.708024338</v>
      </c>
      <c r="B1607">
        <v>169140101.32853973</v>
      </c>
    </row>
    <row r="1608" spans="1:2" x14ac:dyDescent="0.25">
      <c r="A1608">
        <f ca="1">27601.6646884885*((RANDBETWEEN(2979,3282)))</f>
        <v>87166057.086246774</v>
      </c>
      <c r="B1608">
        <v>159736028.28199089</v>
      </c>
    </row>
    <row r="1609" spans="1:2" x14ac:dyDescent="0.25">
      <c r="A1609">
        <f ca="1">30625.7364578746*((RANDBETWEEN(2979,3282)))</f>
        <v>97420467.672499076</v>
      </c>
      <c r="B1609">
        <v>170680342.38411248</v>
      </c>
    </row>
    <row r="1610" spans="1:2" x14ac:dyDescent="0.25">
      <c r="A1610">
        <f ca="1">27699.0843296673*((RANDBETWEEN(2979,3282)))</f>
        <v>85700966.915990725</v>
      </c>
      <c r="B1610">
        <v>157691482.47687989</v>
      </c>
    </row>
    <row r="1611" spans="1:2" x14ac:dyDescent="0.25">
      <c r="A1611">
        <f ca="1">29035.3316451259*((RANDBETWEEN(2979,3282)))</f>
        <v>94858428.484626412</v>
      </c>
      <c r="B1611">
        <v>202507094.06608644</v>
      </c>
    </row>
    <row r="1612" spans="1:2" x14ac:dyDescent="0.25">
      <c r="A1612">
        <f ca="1">32243.9698747282*((RANDBETWEEN(2979,3282)))</f>
        <v>96989861.383182362</v>
      </c>
      <c r="B1612">
        <v>149368474.23923945</v>
      </c>
    </row>
    <row r="1613" spans="1:2" x14ac:dyDescent="0.25">
      <c r="A1613">
        <f ca="1">27078.5459031166*((RANDBETWEEN(2979,3282)))</f>
        <v>86922132.349004164</v>
      </c>
      <c r="B1613">
        <v>174623566.67287537</v>
      </c>
    </row>
    <row r="1614" spans="1:2" x14ac:dyDescent="0.25">
      <c r="A1614">
        <f ca="1">26975.4269089031*((RANDBETWEEN(2979,3282)))</f>
        <v>81061157.861253932</v>
      </c>
      <c r="B1614">
        <v>156652990.29362723</v>
      </c>
    </row>
    <row r="1615" spans="1:2" x14ac:dyDescent="0.25">
      <c r="A1615">
        <f ca="1">30115.1020097884*((RANDBETWEEN(2979,3282)))</f>
        <v>94200039.086618185</v>
      </c>
      <c r="B1615">
        <v>165301436.22831708</v>
      </c>
    </row>
    <row r="1616" spans="1:2" x14ac:dyDescent="0.25">
      <c r="A1616">
        <f ca="1">28604.5022540089*((RANDBETWEEN(2979,3282)))</f>
        <v>88616747.982919648</v>
      </c>
      <c r="B1616">
        <v>186185257.30003577</v>
      </c>
    </row>
    <row r="1617" spans="1:2" x14ac:dyDescent="0.25">
      <c r="A1617">
        <f ca="1">26664.6706512286*((RANDBETWEEN(2979,3282)))</f>
        <v>82553820.33620362</v>
      </c>
      <c r="B1617">
        <v>166208243.81868419</v>
      </c>
    </row>
    <row r="1618" spans="1:2" x14ac:dyDescent="0.25">
      <c r="A1618">
        <f ca="1">28834.1171991225*((RANDBETWEEN(2979,3282)))</f>
        <v>88722578.621699825</v>
      </c>
      <c r="B1618">
        <v>200521725.81498587</v>
      </c>
    </row>
    <row r="1619" spans="1:2" x14ac:dyDescent="0.25">
      <c r="A1619">
        <f ca="1">27249.8864150904*((RANDBETWEEN(2979,3282)))</f>
        <v>88398631.530553371</v>
      </c>
      <c r="B1619">
        <v>202695219.59254003</v>
      </c>
    </row>
    <row r="1620" spans="1:2" x14ac:dyDescent="0.25">
      <c r="A1620">
        <f ca="1">26830.5454765797*((RANDBETWEEN(2979,3282)))</f>
        <v>85347965.160999969</v>
      </c>
      <c r="B1620">
        <v>182693687.67652822</v>
      </c>
    </row>
    <row r="1621" spans="1:2" x14ac:dyDescent="0.25">
      <c r="A1621">
        <f ca="1">27700.1441587574*((RANDBETWEEN(2979,3282)))</f>
        <v>87947957.704054832</v>
      </c>
      <c r="B1621">
        <v>160715897.58238709</v>
      </c>
    </row>
    <row r="1622" spans="1:2" x14ac:dyDescent="0.25">
      <c r="A1622">
        <f ca="1">27089.3419537137*((RANDBETWEEN(2979,3282)))</f>
        <v>85168891.102475792</v>
      </c>
      <c r="B1622">
        <v>161531459.27052486</v>
      </c>
    </row>
    <row r="1623" spans="1:2" x14ac:dyDescent="0.25">
      <c r="A1623">
        <f ca="1">29700.9184525467*((RANDBETWEEN(2979,3282)))</f>
        <v>96795293.236849681</v>
      </c>
      <c r="B1623">
        <v>160197603.44069523</v>
      </c>
    </row>
    <row r="1624" spans="1:2" x14ac:dyDescent="0.25">
      <c r="A1624">
        <f ca="1">26907.0998549431*((RANDBETWEEN(2979,3282)))</f>
        <v>83788708.948292866</v>
      </c>
      <c r="B1624">
        <v>150251909.45458201</v>
      </c>
    </row>
    <row r="1625" spans="1:2" x14ac:dyDescent="0.25">
      <c r="A1625">
        <f ca="1">29137.4075632388*((RANDBETWEEN(2979,3282)))</f>
        <v>94492612.727583513</v>
      </c>
      <c r="B1625">
        <v>164269543.70236599</v>
      </c>
    </row>
    <row r="1626" spans="1:2" x14ac:dyDescent="0.25">
      <c r="A1626">
        <f ca="1">27121.7210833197*((RANDBETWEEN(2979,3282)))</f>
        <v>83968848.473957673</v>
      </c>
      <c r="B1626">
        <v>160912940.11481705</v>
      </c>
    </row>
    <row r="1627" spans="1:2" x14ac:dyDescent="0.25">
      <c r="A1627">
        <f ca="1">26915.0143504361*((RANDBETWEEN(2979,3282)))</f>
        <v>84405485.002967745</v>
      </c>
      <c r="B1627">
        <v>155438865.24401671</v>
      </c>
    </row>
    <row r="1628" spans="1:2" x14ac:dyDescent="0.25">
      <c r="A1628">
        <f ca="1">26165.438592303*((RANDBETWEEN(2979,3282)))</f>
        <v>83677072.618185014</v>
      </c>
      <c r="B1628">
        <v>173176081.67837188</v>
      </c>
    </row>
    <row r="1629" spans="1:2" x14ac:dyDescent="0.25">
      <c r="A1629">
        <f ca="1">30080.6859328293*((RANDBETWEEN(2979,3282)))</f>
        <v>91716011.409196541</v>
      </c>
      <c r="B1629">
        <v>201209188.71181813</v>
      </c>
    </row>
    <row r="1630" spans="1:2" x14ac:dyDescent="0.25">
      <c r="A1630">
        <f ca="1">30829.8734228148*((RANDBETWEEN(2979,3282)))</f>
        <v>94956010.142269507</v>
      </c>
      <c r="B1630">
        <v>187036073.70876038</v>
      </c>
    </row>
    <row r="1631" spans="1:2" x14ac:dyDescent="0.25">
      <c r="A1631">
        <f ca="1">27747.5392901124*((RANDBETWEEN(2979,3282)))</f>
        <v>83908558.813299879</v>
      </c>
      <c r="B1631">
        <v>158183231.29862076</v>
      </c>
    </row>
    <row r="1632" spans="1:2" x14ac:dyDescent="0.25">
      <c r="A1632">
        <f ca="1">27043.2328046304*((RANDBETWEEN(2979,3282)))</f>
        <v>80967439.017063528</v>
      </c>
      <c r="B1632">
        <v>181792699.06627023</v>
      </c>
    </row>
    <row r="1633" spans="1:2" x14ac:dyDescent="0.25">
      <c r="A1633">
        <f ca="1">24948.3866948098*((RANDBETWEEN(2979,3282)))</f>
        <v>75643508.4586633</v>
      </c>
      <c r="B1633">
        <v>171339020.51567137</v>
      </c>
    </row>
    <row r="1634" spans="1:2" x14ac:dyDescent="0.25">
      <c r="A1634">
        <f ca="1">27616.3068834913*((RANDBETWEEN(2979,3282)))</f>
        <v>86770436.227929518</v>
      </c>
      <c r="B1634">
        <v>152166832.31750354</v>
      </c>
    </row>
    <row r="1635" spans="1:2" x14ac:dyDescent="0.25">
      <c r="A1635">
        <f ca="1">26648.6545657093*((RANDBETWEEN(2979,3282)))</f>
        <v>81251747.770847678</v>
      </c>
      <c r="B1635">
        <v>149097631.55330455</v>
      </c>
    </row>
    <row r="1636" spans="1:2" x14ac:dyDescent="0.25">
      <c r="A1636">
        <f ca="1">26707.9181050443*((RANDBETWEEN(2979,3282)))</f>
        <v>83542367.832578421</v>
      </c>
      <c r="B1636">
        <v>202731025.26660883</v>
      </c>
    </row>
    <row r="1637" spans="1:2" x14ac:dyDescent="0.25">
      <c r="A1637">
        <f ca="1">27025.1813283602*((RANDBETWEEN(2979,3282)))</f>
        <v>82561928.958140552</v>
      </c>
      <c r="B1637">
        <v>146701445.80843556</v>
      </c>
    </row>
    <row r="1638" spans="1:2" x14ac:dyDescent="0.25">
      <c r="A1638">
        <f ca="1">29003.7669644413*((RANDBETWEEN(2979,3282)))</f>
        <v>86837278.291537225</v>
      </c>
      <c r="B1638">
        <v>171587331.69029057</v>
      </c>
    </row>
    <row r="1639" spans="1:2" x14ac:dyDescent="0.25">
      <c r="A1639">
        <f ca="1">26691.1223156073*((RANDBETWEEN(2979,3282)))</f>
        <v>83089463.76848565</v>
      </c>
      <c r="B1639">
        <v>177870081.87434262</v>
      </c>
    </row>
    <row r="1640" spans="1:2" x14ac:dyDescent="0.25">
      <c r="A1640">
        <f ca="1">27806.1414676294*((RANDBETWEEN(2979,3282)))</f>
        <v>85058986.749478459</v>
      </c>
      <c r="B1640">
        <v>147783174.9479754</v>
      </c>
    </row>
    <row r="1641" spans="1:2" x14ac:dyDescent="0.25">
      <c r="A1641">
        <f ca="1">27401.2407154718*((RANDBETWEEN(2979,3282)))</f>
        <v>83491580.46004273</v>
      </c>
      <c r="B1641">
        <v>198251938.31127983</v>
      </c>
    </row>
    <row r="1642" spans="1:2" x14ac:dyDescent="0.25">
      <c r="A1642">
        <f ca="1">26095.7785240669*((RANDBETWEEN(2979,3282)))</f>
        <v>82932384.149484545</v>
      </c>
      <c r="B1642">
        <v>172753332.64523131</v>
      </c>
    </row>
    <row r="1643" spans="1:2" x14ac:dyDescent="0.25">
      <c r="A1643">
        <f ca="1">28453.72874206*((RANDBETWEEN(2979,3282)))</f>
        <v>86271705.545925841</v>
      </c>
      <c r="B1643">
        <v>156164768.62465066</v>
      </c>
    </row>
    <row r="1644" spans="1:2" x14ac:dyDescent="0.25">
      <c r="A1644">
        <f ca="1">27745.5307122874*((RANDBETWEEN(2979,3282)))</f>
        <v>82986882.360451639</v>
      </c>
      <c r="B1644">
        <v>198717912.4871431</v>
      </c>
    </row>
    <row r="1645" spans="1:2" x14ac:dyDescent="0.25">
      <c r="A1645">
        <f ca="1">31632.1698846608*((RANDBETWEEN(2979,3282)))</f>
        <v>96351589.468676895</v>
      </c>
      <c r="B1645">
        <v>201670002.62896061</v>
      </c>
    </row>
    <row r="1646" spans="1:2" x14ac:dyDescent="0.25">
      <c r="A1646">
        <f ca="1">29665.6646440593*((RANDBETWEEN(2979,3282)))</f>
        <v>88967328.267533928</v>
      </c>
      <c r="B1646">
        <v>170882123.59772715</v>
      </c>
    </row>
    <row r="1647" spans="1:2" x14ac:dyDescent="0.25">
      <c r="A1647">
        <f ca="1">26048.3453921861*((RANDBETWEEN(2979,3282)))</f>
        <v>80437290.571070746</v>
      </c>
      <c r="B1647">
        <v>154243135.27920124</v>
      </c>
    </row>
    <row r="1648" spans="1:2" x14ac:dyDescent="0.25">
      <c r="A1648">
        <f ca="1">28612.431528496*((RANDBETWEEN(2979,3282)))</f>
        <v>88069064.244710788</v>
      </c>
      <c r="B1648">
        <v>162427404.75953183</v>
      </c>
    </row>
    <row r="1649" spans="1:2" x14ac:dyDescent="0.25">
      <c r="A1649">
        <f ca="1">31928.8545321692*((RANDBETWEEN(2979,3282)))</f>
        <v>102778982.73905258</v>
      </c>
      <c r="B1649">
        <v>156998881.47117126</v>
      </c>
    </row>
    <row r="1650" spans="1:2" x14ac:dyDescent="0.25">
      <c r="A1650">
        <f ca="1">33058.0935571762*((RANDBETWEEN(2979,3282)))</f>
        <v>100529662.50737287</v>
      </c>
      <c r="B1650">
        <v>160577293.10183221</v>
      </c>
    </row>
    <row r="1651" spans="1:2" x14ac:dyDescent="0.25">
      <c r="A1651">
        <f ca="1">28382.5922682696*((RANDBETWEEN(2979,3282)))</f>
        <v>86339845.680076152</v>
      </c>
      <c r="B1651">
        <v>158195205.42463204</v>
      </c>
    </row>
    <row r="1652" spans="1:2" x14ac:dyDescent="0.25">
      <c r="A1652">
        <f ca="1">28618.5575348342*((RANDBETWEEN(2979,3282)))</f>
        <v>86571136.542873517</v>
      </c>
      <c r="B1652">
        <v>186634207.57103193</v>
      </c>
    </row>
    <row r="1653" spans="1:2" x14ac:dyDescent="0.25">
      <c r="A1653">
        <f ca="1">26668.2529083799*((RANDBETWEEN(2979,3282)))</f>
        <v>81204830.106016919</v>
      </c>
      <c r="B1653">
        <v>170608737.49905202</v>
      </c>
    </row>
    <row r="1654" spans="1:2" x14ac:dyDescent="0.25">
      <c r="A1654">
        <f ca="1">27552.2959279002*((RANDBETWEEN(2979,3282)))</f>
        <v>82160946.456998378</v>
      </c>
      <c r="B1654">
        <v>192394684.48591325</v>
      </c>
    </row>
    <row r="1655" spans="1:2" x14ac:dyDescent="0.25">
      <c r="A1655">
        <f ca="1">31786.633665259*((RANDBETWEEN(2979,3282)))</f>
        <v>101939734.16448553</v>
      </c>
      <c r="B1655">
        <v>160164475.53708601</v>
      </c>
    </row>
    <row r="1656" spans="1:2" x14ac:dyDescent="0.25">
      <c r="A1656">
        <f ca="1">29367.3489553098*((RANDBETWEEN(2979,3282)))</f>
        <v>88454455.0533932</v>
      </c>
      <c r="B1656">
        <v>163805747.86572516</v>
      </c>
    </row>
    <row r="1657" spans="1:2" x14ac:dyDescent="0.25">
      <c r="A1657">
        <f ca="1">26527.4647095568*((RANDBETWEEN(2979,3282)))</f>
        <v>84569557.494067043</v>
      </c>
      <c r="B1657">
        <v>152918816.20728722</v>
      </c>
    </row>
    <row r="1658" spans="1:2" x14ac:dyDescent="0.25">
      <c r="A1658">
        <f ca="1">32758.0309312804*((RANDBETWEEN(2979,3282)))</f>
        <v>99846478.278542578</v>
      </c>
      <c r="B1658">
        <v>176733877.44771406</v>
      </c>
    </row>
    <row r="1659" spans="1:2" x14ac:dyDescent="0.25">
      <c r="A1659">
        <f ca="1">27698.1500612099*((RANDBETWEEN(2979,3282)))</f>
        <v>90794535.900646061</v>
      </c>
      <c r="B1659">
        <v>151653126.69703805</v>
      </c>
    </row>
    <row r="1660" spans="1:2" x14ac:dyDescent="0.25">
      <c r="A1660">
        <f ca="1">32587.7349620702*((RANDBETWEEN(2979,3282)))</f>
        <v>98186845.440717563</v>
      </c>
      <c r="B1660">
        <v>173853734.8369559</v>
      </c>
    </row>
    <row r="1661" spans="1:2" x14ac:dyDescent="0.25">
      <c r="A1661">
        <f ca="1">31179.4482049397*((RANDBETWEEN(2979,3282)))</f>
        <v>94723163.646606892</v>
      </c>
      <c r="B1661">
        <v>182294578.09837699</v>
      </c>
    </row>
    <row r="1662" spans="1:2" x14ac:dyDescent="0.25">
      <c r="A1662">
        <f ca="1">27818.9203757149*((RANDBETWEEN(2979,3282)))</f>
        <v>90077664.176564798</v>
      </c>
      <c r="B1662">
        <v>202310648.29652369</v>
      </c>
    </row>
    <row r="1663" spans="1:2" x14ac:dyDescent="0.25">
      <c r="A1663">
        <f ca="1">29537.7537331812*((RANDBETWEEN(2979,3282)))</f>
        <v>89292629.535406902</v>
      </c>
      <c r="B1663">
        <v>196944369.20353812</v>
      </c>
    </row>
    <row r="1664" spans="1:2" x14ac:dyDescent="0.25">
      <c r="A1664">
        <f ca="1">26736.5375856395*((RANDBETWEEN(2979,3282)))</f>
        <v>85530183.736460626</v>
      </c>
      <c r="B1664">
        <v>179837825.72475418</v>
      </c>
    </row>
    <row r="1665" spans="1:2" x14ac:dyDescent="0.25">
      <c r="A1665">
        <f ca="1">30431.9114266155*((RANDBETWEEN(2979,3282)))</f>
        <v>99755805.656445712</v>
      </c>
      <c r="B1665">
        <v>171362818.16679835</v>
      </c>
    </row>
    <row r="1666" spans="1:2" x14ac:dyDescent="0.25">
      <c r="A1666">
        <f ca="1">26977.8200843862*((RANDBETWEEN(2979,3282)))</f>
        <v>82147462.156956062</v>
      </c>
      <c r="B1666">
        <v>148704820.68038955</v>
      </c>
    </row>
    <row r="1667" spans="1:2" x14ac:dyDescent="0.25">
      <c r="A1667">
        <f ca="1">29061.7944324296*((RANDBETWEEN(2979,3282)))</f>
        <v>87592248.419342771</v>
      </c>
      <c r="B1667">
        <v>203225218.50547791</v>
      </c>
    </row>
    <row r="1668" spans="1:2" x14ac:dyDescent="0.25">
      <c r="A1668">
        <f ca="1">24777.0218899577*((RANDBETWEEN(2979,3282)))</f>
        <v>75223038.457911462</v>
      </c>
      <c r="B1668">
        <v>156321332.56338948</v>
      </c>
    </row>
    <row r="1669" spans="1:2" x14ac:dyDescent="0.25">
      <c r="A1669">
        <f ca="1">31591.043560855*((RANDBETWEEN(2979,3282)))</f>
        <v>103113166.18263073</v>
      </c>
      <c r="B1669">
        <v>145821705.62350842</v>
      </c>
    </row>
    <row r="1670" spans="1:2" x14ac:dyDescent="0.25">
      <c r="A1670">
        <f ca="1">30646.9802841419*((RANDBETWEEN(2979,3282)))</f>
        <v>95679872.447090894</v>
      </c>
      <c r="B1670">
        <v>170919971.61025643</v>
      </c>
    </row>
    <row r="1671" spans="1:2" x14ac:dyDescent="0.25">
      <c r="A1671">
        <f ca="1">33583.6938018453*((RANDBETWEEN(2979,3282)))</f>
        <v>105284880.06878515</v>
      </c>
      <c r="B1671">
        <v>158573894.22388864</v>
      </c>
    </row>
    <row r="1672" spans="1:2" x14ac:dyDescent="0.25">
      <c r="A1672">
        <f ca="1">28571.6815175189*((RANDBETWEEN(2979,3282)))</f>
        <v>88200780.844580784</v>
      </c>
      <c r="B1672">
        <v>186641215.20857754</v>
      </c>
    </row>
    <row r="1673" spans="1:2" x14ac:dyDescent="0.25">
      <c r="A1673">
        <f ca="1">31595.9005627301*((RANDBETWEEN(2979,3282)))</f>
        <v>95198448.395505846</v>
      </c>
      <c r="B1673">
        <v>177218307.20161676</v>
      </c>
    </row>
    <row r="1674" spans="1:2" x14ac:dyDescent="0.25">
      <c r="A1674">
        <f ca="1">26859.0937865582*((RANDBETWEEN(2979,3282)))</f>
        <v>80765295.016180456</v>
      </c>
      <c r="B1674">
        <v>153090663.61711138</v>
      </c>
    </row>
    <row r="1675" spans="1:2" x14ac:dyDescent="0.25">
      <c r="A1675">
        <f ca="1">26158.1383145248*((RANDBETWEEN(2979,3282)))</f>
        <v>84621577.447487846</v>
      </c>
      <c r="B1675">
        <v>143022868.35816392</v>
      </c>
    </row>
    <row r="1676" spans="1:2" x14ac:dyDescent="0.25">
      <c r="A1676">
        <f ca="1">29382.8471394965*((RANDBETWEEN(2979,3282)))</f>
        <v>89529535.234045804</v>
      </c>
      <c r="B1676">
        <v>169909257.9814451</v>
      </c>
    </row>
    <row r="1677" spans="1:2" x14ac:dyDescent="0.25">
      <c r="A1677">
        <f ca="1">26252.4828066396*((RANDBETWEEN(2979,3282)))</f>
        <v>78757448.419918835</v>
      </c>
      <c r="B1677">
        <v>199652088.56023327</v>
      </c>
    </row>
    <row r="1678" spans="1:2" x14ac:dyDescent="0.25">
      <c r="A1678">
        <f ca="1">31953.9136065221*((RANDBETWEEN(2979,3282)))</f>
        <v>99344717.402677089</v>
      </c>
      <c r="B1678">
        <v>185509993.94246385</v>
      </c>
    </row>
    <row r="1679" spans="1:2" x14ac:dyDescent="0.25">
      <c r="A1679">
        <f ca="1">25884.6135657574*((RANDBETWEEN(2979,3282)))</f>
        <v>78171532.968587369</v>
      </c>
      <c r="B1679">
        <v>147256348.35235614</v>
      </c>
    </row>
    <row r="1680" spans="1:2" x14ac:dyDescent="0.25">
      <c r="A1680">
        <f ca="1">27405.4087189629*((RANDBETWEEN(2979,3282)))</f>
        <v>85450064.385726377</v>
      </c>
      <c r="B1680">
        <v>160396703.43526679</v>
      </c>
    </row>
    <row r="1681" spans="1:2" x14ac:dyDescent="0.25">
      <c r="A1681">
        <f ca="1">27309.8630078673*((RANDBETWEEN(2979,3282)))</f>
        <v>84660575.324388638</v>
      </c>
      <c r="B1681">
        <v>174929443.13161039</v>
      </c>
    </row>
    <row r="1682" spans="1:2" x14ac:dyDescent="0.25">
      <c r="A1682">
        <f ca="1">33036.3663910108*((RANDBETWEEN(2979,3282)))</f>
        <v>102710063.10965244</v>
      </c>
      <c r="B1682">
        <v>190272479.93474156</v>
      </c>
    </row>
    <row r="1683" spans="1:2" x14ac:dyDescent="0.25">
      <c r="A1683">
        <f ca="1">26441.5831621718*((RANDBETWEEN(2979,3282)))</f>
        <v>83317428.544003502</v>
      </c>
      <c r="B1683">
        <v>198339573.16873524</v>
      </c>
    </row>
    <row r="1684" spans="1:2" x14ac:dyDescent="0.25">
      <c r="A1684">
        <f ca="1">26014.1251528275*((RANDBETWEEN(2979,3282)))</f>
        <v>78692728.587303281</v>
      </c>
      <c r="B1684">
        <v>148731446.57328427</v>
      </c>
    </row>
    <row r="1685" spans="1:2" x14ac:dyDescent="0.25">
      <c r="A1685">
        <f ca="1">27489.9094118274*((RANDBETWEEN(2979,3282)))</f>
        <v>86593214.647256196</v>
      </c>
      <c r="B1685">
        <v>153914451.7311174</v>
      </c>
    </row>
    <row r="1686" spans="1:2" x14ac:dyDescent="0.25">
      <c r="A1686">
        <f ca="1">32553.9061329227*((RANDBETWEEN(2979,3282)))</f>
        <v>102284373.06964301</v>
      </c>
      <c r="B1686">
        <v>180061701.43276557</v>
      </c>
    </row>
    <row r="1687" spans="1:2" x14ac:dyDescent="0.25">
      <c r="A1687">
        <f ca="1">29204.7497762564*((RANDBETWEEN(2979,3282)))</f>
        <v>92257804.543194041</v>
      </c>
      <c r="B1687">
        <v>185194042.05441886</v>
      </c>
    </row>
    <row r="1688" spans="1:2" x14ac:dyDescent="0.25">
      <c r="A1688">
        <f ca="1">25849.5476492877*((RANDBETWEEN(2979,3282)))</f>
        <v>79978500.426896125</v>
      </c>
      <c r="B1688">
        <v>151276531.49646339</v>
      </c>
    </row>
    <row r="1689" spans="1:2" x14ac:dyDescent="0.25">
      <c r="A1689">
        <f ca="1">27046.55649222*((RANDBETWEEN(2979,3282)))</f>
        <v>86846492.896518558</v>
      </c>
      <c r="B1689">
        <v>176155497.22874087</v>
      </c>
    </row>
    <row r="1690" spans="1:2" x14ac:dyDescent="0.25">
      <c r="A1690">
        <f ca="1">26842.7657683467*((RANDBETWEEN(2979,3282)))</f>
        <v>82541504.737666205</v>
      </c>
      <c r="B1690">
        <v>149008338.16282088</v>
      </c>
    </row>
    <row r="1691" spans="1:2" x14ac:dyDescent="0.25">
      <c r="A1691">
        <f ca="1">29018.0895504154*((RANDBETWEEN(2979,3282)))</f>
        <v>90681529.845048159</v>
      </c>
      <c r="B1691">
        <v>151381518.78173032</v>
      </c>
    </row>
    <row r="1692" spans="1:2" x14ac:dyDescent="0.25">
      <c r="A1692">
        <f ca="1">26038.2508479224*((RANDBETWEEN(2979,3282)))</f>
        <v>84520162.252356187</v>
      </c>
      <c r="B1692">
        <v>155292493.28326881</v>
      </c>
    </row>
    <row r="1693" spans="1:2" x14ac:dyDescent="0.25">
      <c r="A1693">
        <f ca="1">32616.6118210814*((RANDBETWEEN(2979,3282)))</f>
        <v>98143384.969634071</v>
      </c>
      <c r="B1693">
        <v>167989129.12977466</v>
      </c>
    </row>
    <row r="1694" spans="1:2" x14ac:dyDescent="0.25">
      <c r="A1694">
        <f ca="1">27674.9959366376*((RANDBETWEEN(2979,3282)))</f>
        <v>90414211.724994913</v>
      </c>
      <c r="B1694">
        <v>164987970.06346977</v>
      </c>
    </row>
    <row r="1695" spans="1:2" x14ac:dyDescent="0.25">
      <c r="A1695">
        <f ca="1">26277.2530491828*((RANDBETWEEN(2979,3282)))</f>
        <v>81065325.656729057</v>
      </c>
      <c r="B1695">
        <v>158065266.95884532</v>
      </c>
    </row>
    <row r="1696" spans="1:2" x14ac:dyDescent="0.25">
      <c r="A1696">
        <f ca="1">28079.2815365601*((RANDBETWEEN(2979,3282)))</f>
        <v>91875409.187624708</v>
      </c>
      <c r="B1696">
        <v>201946305.38263628</v>
      </c>
    </row>
    <row r="1697" spans="1:2" x14ac:dyDescent="0.25">
      <c r="A1697">
        <f ca="1">29734.7048203069*((RANDBETWEEN(2979,3282)))</f>
        <v>96132300.684052229</v>
      </c>
      <c r="B1697">
        <v>184291515.65123212</v>
      </c>
    </row>
    <row r="1698" spans="1:2" x14ac:dyDescent="0.25">
      <c r="A1698">
        <f ca="1">26934.0919390809*((RANDBETWEEN(2979,3282)))</f>
        <v>80290528.070400283</v>
      </c>
      <c r="B1698">
        <v>144762522.08189082</v>
      </c>
    </row>
    <row r="1699" spans="1:2" x14ac:dyDescent="0.25">
      <c r="A1699">
        <f ca="1">26594.6383502014*((RANDBETWEEN(2979,3282)))</f>
        <v>82124243.225421906</v>
      </c>
      <c r="B1699">
        <v>154399034.55292064</v>
      </c>
    </row>
    <row r="1700" spans="1:2" x14ac:dyDescent="0.25">
      <c r="A1700">
        <f ca="1">28221.8424923792*((RANDBETWEEN(2979,3282)))</f>
        <v>89435018.858349711</v>
      </c>
      <c r="B1700">
        <v>173990127.82527387</v>
      </c>
    </row>
    <row r="1701" spans="1:2" x14ac:dyDescent="0.25">
      <c r="A1701">
        <f ca="1">25921.9027303588*((RANDBETWEEN(2979,3282)))</f>
        <v>78102692.926571205</v>
      </c>
      <c r="B1701">
        <v>145809952.31950045</v>
      </c>
    </row>
    <row r="1702" spans="1:2" x14ac:dyDescent="0.25">
      <c r="A1702">
        <f ca="1">25855.8635284521*((RANDBETWEEN(2979,3282)))</f>
        <v>80179032.801730067</v>
      </c>
      <c r="B1702">
        <v>188206682.47956288</v>
      </c>
    </row>
    <row r="1703" spans="1:2" x14ac:dyDescent="0.25">
      <c r="A1703">
        <f ca="1">30942.1821028021*((RANDBETWEEN(2979,3282)))</f>
        <v>92300529.212658748</v>
      </c>
      <c r="B1703">
        <v>184772015.66646919</v>
      </c>
    </row>
    <row r="1704" spans="1:2" x14ac:dyDescent="0.25">
      <c r="A1704">
        <f ca="1">26491.2386499368*((RANDBETWEEN(2979,3282)))</f>
        <v>84904419.873047426</v>
      </c>
      <c r="B1704">
        <v>146486828.21607032</v>
      </c>
    </row>
    <row r="1705" spans="1:2" x14ac:dyDescent="0.25">
      <c r="A1705">
        <f ca="1">28048.6373561544*((RANDBETWEEN(2979,3282)))</f>
        <v>90428806.836241782</v>
      </c>
      <c r="B1705">
        <v>163074488.54122192</v>
      </c>
    </row>
    <row r="1706" spans="1:2" x14ac:dyDescent="0.25">
      <c r="A1706">
        <f ca="1">28125.9960590082*((RANDBETWEEN(2979,3282)))</f>
        <v>87415595.75139755</v>
      </c>
      <c r="B1706">
        <v>162202084.27524173</v>
      </c>
    </row>
    <row r="1707" spans="1:2" x14ac:dyDescent="0.25">
      <c r="A1707">
        <f ca="1">25463.1276653374*((RANDBETWEEN(2979,3282)))</f>
        <v>77866244.400601909</v>
      </c>
      <c r="B1707">
        <v>145206516.1333836</v>
      </c>
    </row>
    <row r="1708" spans="1:2" x14ac:dyDescent="0.25">
      <c r="A1708">
        <f ca="1">29324.3227849373*((RANDBETWEEN(2979,3282)))</f>
        <v>95304049.051046252</v>
      </c>
      <c r="B1708">
        <v>144640775.24547717</v>
      </c>
    </row>
    <row r="1709" spans="1:2" x14ac:dyDescent="0.25">
      <c r="A1709">
        <f ca="1">27194.7814315609*((RANDBETWEEN(2979,3282)))</f>
        <v>82101045.14188239</v>
      </c>
      <c r="B1709">
        <v>156440712.2825757</v>
      </c>
    </row>
    <row r="1710" spans="1:2" x14ac:dyDescent="0.25">
      <c r="A1710">
        <f ca="1">26511.9493892615*((RANDBETWEEN(2979,3282)))</f>
        <v>83459616.67739518</v>
      </c>
      <c r="B1710">
        <v>155715526.66385937</v>
      </c>
    </row>
    <row r="1711" spans="1:2" x14ac:dyDescent="0.25">
      <c r="A1711">
        <f ca="1">26422.1288583281*((RANDBETWEEN(2979,3282)))</f>
        <v>79741984.894434229</v>
      </c>
      <c r="B1711">
        <v>188977371.85781616</v>
      </c>
    </row>
    <row r="1712" spans="1:2" x14ac:dyDescent="0.25">
      <c r="A1712">
        <f ca="1">28694.5758592653*((RANDBETWEEN(2979,3282)))</f>
        <v>89469687.529189095</v>
      </c>
      <c r="B1712">
        <v>179313923.20557779</v>
      </c>
    </row>
    <row r="1713" spans="1:2" x14ac:dyDescent="0.25">
      <c r="A1713">
        <f ca="1">27265.5091115064*((RANDBETWEEN(2979,3282)))</f>
        <v>85504636.573684201</v>
      </c>
      <c r="B1713">
        <v>179681350.57994407</v>
      </c>
    </row>
    <row r="1714" spans="1:2" x14ac:dyDescent="0.25">
      <c r="A1714">
        <f ca="1">27436.1365667424*((RANDBETWEEN(2979,3282)))</f>
        <v>82335845.836793914</v>
      </c>
      <c r="B1714">
        <v>143366202.51602516</v>
      </c>
    </row>
    <row r="1715" spans="1:2" x14ac:dyDescent="0.25">
      <c r="A1715">
        <f ca="1">27978.290330881*((RANDBETWEEN(2979,3282)))</f>
        <v>89502550.768488392</v>
      </c>
      <c r="B1715">
        <v>157623277.56114519</v>
      </c>
    </row>
    <row r="1716" spans="1:2" x14ac:dyDescent="0.25">
      <c r="A1716">
        <f ca="1">26788.6609107169*((RANDBETWEEN(2979,3282)))</f>
        <v>84250338.564204693</v>
      </c>
      <c r="B1716">
        <v>162493528.48355258</v>
      </c>
    </row>
    <row r="1717" spans="1:2" x14ac:dyDescent="0.25">
      <c r="A1717">
        <f ca="1">27423.4719373548*((RANDBETWEEN(2979,3282)))</f>
        <v>88358426.582157135</v>
      </c>
      <c r="B1717">
        <v>146423769.69117275</v>
      </c>
    </row>
    <row r="1718" spans="1:2" x14ac:dyDescent="0.25">
      <c r="A1718">
        <f ca="1">27091.0346376637*((RANDBETWEEN(2979,3282)))</f>
        <v>83359113.580091149</v>
      </c>
      <c r="B1718">
        <v>163935623.50720751</v>
      </c>
    </row>
    <row r="1719" spans="1:2" x14ac:dyDescent="0.25">
      <c r="A1719">
        <f ca="1">25583.9970059256*((RANDBETWEEN(2979,3282)))</f>
        <v>82687478.323151499</v>
      </c>
      <c r="B1719">
        <v>197490419.50759548</v>
      </c>
    </row>
    <row r="1720" spans="1:2" x14ac:dyDescent="0.25">
      <c r="A1720">
        <f ca="1">26195.8239362232*((RANDBETWEEN(2979,3282)))</f>
        <v>78718450.928350613</v>
      </c>
      <c r="B1720">
        <v>152922243.81490389</v>
      </c>
    </row>
    <row r="1721" spans="1:2" x14ac:dyDescent="0.25">
      <c r="A1721">
        <f ca="1">25770.5386491489*((RANDBETWEEN(2979,3282)))</f>
        <v>78471290.186658442</v>
      </c>
      <c r="B1721">
        <v>144111611.40351275</v>
      </c>
    </row>
    <row r="1722" spans="1:2" x14ac:dyDescent="0.25">
      <c r="A1722">
        <f ca="1">25550.4902389155*((RANDBETWEEN(2979,3282)))</f>
        <v>78593307.97490415</v>
      </c>
      <c r="B1722">
        <v>196440470.36875764</v>
      </c>
    </row>
    <row r="1723" spans="1:2" x14ac:dyDescent="0.25">
      <c r="A1723">
        <f ca="1">26551.1447126061*((RANDBETWEEN(2979,3282)))</f>
        <v>84087475.304823369</v>
      </c>
      <c r="B1723">
        <v>148361321.8406066</v>
      </c>
    </row>
    <row r="1724" spans="1:2" x14ac:dyDescent="0.25">
      <c r="A1724">
        <f ca="1">26205.0993570052*((RANDBETWEEN(2979,3282)))</f>
        <v>85323803.50640887</v>
      </c>
      <c r="B1724">
        <v>166587198.17655903</v>
      </c>
    </row>
    <row r="1725" spans="1:2" x14ac:dyDescent="0.25">
      <c r="A1725">
        <f ca="1">31080.0454073519*((RANDBETWEEN(2979,3282)))</f>
        <v>93550936.676129222</v>
      </c>
      <c r="B1725">
        <v>174754452.56220353</v>
      </c>
    </row>
    <row r="1726" spans="1:2" x14ac:dyDescent="0.25">
      <c r="A1726">
        <f ca="1">26805.4762464792*((RANDBETWEEN(2979,3282)))</f>
        <v>86233217.084923699</v>
      </c>
      <c r="B1726">
        <v>143461310.99462706</v>
      </c>
    </row>
    <row r="1727" spans="1:2" x14ac:dyDescent="0.25">
      <c r="A1727">
        <f ca="1">26673.4704758193*((RANDBETWEEN(2979,3282)))</f>
        <v>82581064.593136653</v>
      </c>
      <c r="B1727">
        <v>154793011.54479057</v>
      </c>
    </row>
    <row r="1728" spans="1:2" x14ac:dyDescent="0.25">
      <c r="A1728">
        <f ca="1">30006.4295937043*((RANDBETWEEN(2979,3282)))</f>
        <v>89719224.485176012</v>
      </c>
      <c r="B1728">
        <v>183462822.37783876</v>
      </c>
    </row>
    <row r="1729" spans="1:2" x14ac:dyDescent="0.25">
      <c r="A1729">
        <f ca="1">28296.605691483*((RANDBETWEEN(2979,3282)))</f>
        <v>89756833.253383949</v>
      </c>
      <c r="B1729">
        <v>143656743.80304727</v>
      </c>
    </row>
    <row r="1730" spans="1:2" x14ac:dyDescent="0.25">
      <c r="A1730">
        <f ca="1">31932.1669689546*((RANDBETWEEN(2979,3282)))</f>
        <v>99819953.94495216</v>
      </c>
      <c r="B1730">
        <v>197240734.00257105</v>
      </c>
    </row>
    <row r="1731" spans="1:2" x14ac:dyDescent="0.25">
      <c r="A1731">
        <f ca="1">27070.4925691702*((RANDBETWEEN(2979,3282)))</f>
        <v>83837315.48672016</v>
      </c>
      <c r="B1731">
        <v>152511339.49035859</v>
      </c>
    </row>
    <row r="1732" spans="1:2" x14ac:dyDescent="0.25">
      <c r="A1732">
        <f ca="1">29339.3965513728*((RANDBETWEEN(2979,3282)))</f>
        <v>87460741.119642362</v>
      </c>
      <c r="B1732">
        <v>149139056.772477</v>
      </c>
    </row>
    <row r="1733" spans="1:2" x14ac:dyDescent="0.25">
      <c r="A1733">
        <f ca="1">26686.280373558*((RANDBETWEEN(2979,3282)))</f>
        <v>87184077.980414107</v>
      </c>
      <c r="B1733">
        <v>162309105.11720747</v>
      </c>
    </row>
    <row r="1734" spans="1:2" x14ac:dyDescent="0.25">
      <c r="A1734">
        <f ca="1">26172.611012589*((RANDBETWEEN(2979,3282)))</f>
        <v>80978058.472950518</v>
      </c>
      <c r="B1734">
        <v>150200671.75318432</v>
      </c>
    </row>
    <row r="1735" spans="1:2" x14ac:dyDescent="0.25">
      <c r="A1735">
        <f ca="1">32852.9659966393*((RANDBETWEEN(2979,3282)))</f>
        <v>102501253.90951459</v>
      </c>
      <c r="B1735">
        <v>202809913.85514891</v>
      </c>
    </row>
    <row r="1736" spans="1:2" x14ac:dyDescent="0.25">
      <c r="A1736">
        <f ca="1">27724.8994007047*((RANDBETWEEN(2979,3282)))</f>
        <v>89246451.170868367</v>
      </c>
      <c r="B1736">
        <v>174502369.50011802</v>
      </c>
    </row>
    <row r="1737" spans="1:2" x14ac:dyDescent="0.25">
      <c r="A1737">
        <f ca="1">26294.6926335466*((RANDBETWEEN(2979,3282)))</f>
        <v>84405963.353684619</v>
      </c>
      <c r="B1737">
        <v>142995443.06253976</v>
      </c>
    </row>
    <row r="1738" spans="1:2" x14ac:dyDescent="0.25">
      <c r="A1738">
        <f ca="1">25256.326679901*((RANDBETWEEN(2979,3282)))</f>
        <v>80744476.395643622</v>
      </c>
      <c r="B1738">
        <v>193993162.39352089</v>
      </c>
    </row>
    <row r="1739" spans="1:2" x14ac:dyDescent="0.25">
      <c r="A1739">
        <f ca="1">29323.7179134747*((RANDBETWEEN(2979,3282)))</f>
        <v>89583958.225665167</v>
      </c>
      <c r="B1739">
        <v>146629579.8002744</v>
      </c>
    </row>
    <row r="1740" spans="1:2" x14ac:dyDescent="0.25">
      <c r="A1740">
        <f ca="1">26771.5807481449*((RANDBETWEEN(2979,3282)))</f>
        <v>83821819.322441712</v>
      </c>
      <c r="B1740">
        <v>161758004.64168987</v>
      </c>
    </row>
    <row r="1741" spans="1:2" x14ac:dyDescent="0.25">
      <c r="A1741">
        <f ca="1">27292.0160451029*((RANDBETWEEN(2979,3282)))</f>
        <v>88016751.745456919</v>
      </c>
      <c r="B1741">
        <v>152924207.14821801</v>
      </c>
    </row>
    <row r="1742" spans="1:2" x14ac:dyDescent="0.25">
      <c r="A1742">
        <f ca="1">28229.7316700106*((RANDBETWEEN(2979,3282)))</f>
        <v>89318871.003913507</v>
      </c>
      <c r="B1742">
        <v>191950588.75069606</v>
      </c>
    </row>
    <row r="1743" spans="1:2" x14ac:dyDescent="0.25">
      <c r="A1743">
        <f ca="1">26471.0532249556*((RANDBETWEEN(2979,3282)))</f>
        <v>80657299.176439688</v>
      </c>
      <c r="B1743">
        <v>157504241.0604552</v>
      </c>
    </row>
    <row r="1744" spans="1:2" x14ac:dyDescent="0.25">
      <c r="A1744">
        <f ca="1">27766.7537882493*((RANDBETWEEN(2979,3282)))</f>
        <v>86493438.050396502</v>
      </c>
      <c r="B1744">
        <v>160074896.9111276</v>
      </c>
    </row>
    <row r="1745" spans="1:2" x14ac:dyDescent="0.25">
      <c r="A1745">
        <f ca="1">30229.1440006003*((RANDBETWEEN(2979,3282)))</f>
        <v>91171098.305810422</v>
      </c>
      <c r="B1745">
        <v>198641541.25390366</v>
      </c>
    </row>
    <row r="1746" spans="1:2" x14ac:dyDescent="0.25">
      <c r="A1746">
        <f ca="1">27578.9385560006*((RANDBETWEEN(2979,3282)))</f>
        <v>85136183.322373986</v>
      </c>
      <c r="B1746">
        <v>144348430.08449018</v>
      </c>
    </row>
    <row r="1747" spans="1:2" x14ac:dyDescent="0.25">
      <c r="A1747">
        <f ca="1">29931.6708832887*((RANDBETWEEN(2979,3282)))</f>
        <v>95272508.421508059</v>
      </c>
      <c r="B1747">
        <v>179849163.91947323</v>
      </c>
    </row>
    <row r="1748" spans="1:2" x14ac:dyDescent="0.25">
      <c r="A1748">
        <f ca="1">25446.9226960765*((RANDBETWEEN(2979,3282)))</f>
        <v>79267164.198278382</v>
      </c>
      <c r="B1748">
        <v>149433204.19773686</v>
      </c>
    </row>
    <row r="1749" spans="1:2" x14ac:dyDescent="0.25">
      <c r="A1749">
        <f ca="1">29163.5854904066*((RANDBETWEEN(2979,3282)))</f>
        <v>94373362.646955788</v>
      </c>
      <c r="B1749">
        <v>191969714.44187373</v>
      </c>
    </row>
    <row r="1750" spans="1:2" x14ac:dyDescent="0.25">
      <c r="A1750">
        <f ca="1">26231.2900887738*((RANDBETWEEN(2979,3282)))</f>
        <v>82471176.039104775</v>
      </c>
      <c r="B1750">
        <v>162214260.4740946</v>
      </c>
    </row>
    <row r="1751" spans="1:2" x14ac:dyDescent="0.25">
      <c r="A1751">
        <f ca="1">28188.3793665639*((RANDBETWEEN(2979,3282)))</f>
        <v>88737018.245943114</v>
      </c>
      <c r="B1751">
        <v>192770456.56681642</v>
      </c>
    </row>
    <row r="1752" spans="1:2" x14ac:dyDescent="0.25">
      <c r="A1752">
        <f ca="1">31144.2856075197*((RANDBETWEEN(2979,3282)))</f>
        <v>97512758.237144306</v>
      </c>
      <c r="B1752">
        <v>162416032.42345247</v>
      </c>
    </row>
    <row r="1753" spans="1:2" x14ac:dyDescent="0.25">
      <c r="A1753">
        <f ca="1">26808.9877982929*((RANDBETWEEN(2979,3282)))</f>
        <v>84957682.332790181</v>
      </c>
      <c r="B1753">
        <v>150232610.83769816</v>
      </c>
    </row>
    <row r="1754" spans="1:2" x14ac:dyDescent="0.25">
      <c r="A1754">
        <f ca="1">27187.9526208971*((RANDBETWEEN(2979,3282)))</f>
        <v>87572395.39190954</v>
      </c>
      <c r="B1754">
        <v>166139317.64709458</v>
      </c>
    </row>
    <row r="1755" spans="1:2" x14ac:dyDescent="0.25">
      <c r="A1755">
        <f ca="1">26439.8145088122*((RANDBETWEEN(2979,3282)))</f>
        <v>81011591.655000463</v>
      </c>
      <c r="B1755">
        <v>161596191.33870536</v>
      </c>
    </row>
    <row r="1756" spans="1:2" x14ac:dyDescent="0.25">
      <c r="A1756">
        <f ca="1">26780.9965258233*((RANDBETWEEN(2979,3282)))</f>
        <v>85056444.966014817</v>
      </c>
      <c r="B1756">
        <v>202672415.66535228</v>
      </c>
    </row>
    <row r="1757" spans="1:2" x14ac:dyDescent="0.25">
      <c r="A1757">
        <f ca="1">29241.0757547534*((RANDBETWEEN(2979,3282)))</f>
        <v>91553808.188132748</v>
      </c>
      <c r="B1757">
        <v>154739190.19628859</v>
      </c>
    </row>
    <row r="1758" spans="1:2" x14ac:dyDescent="0.25">
      <c r="A1758">
        <f ca="1">27546.6142358018*((RANDBETWEEN(2979,3282)))</f>
        <v>83163228.377885714</v>
      </c>
      <c r="B1758">
        <v>152185545.18074581</v>
      </c>
    </row>
    <row r="1759" spans="1:2" x14ac:dyDescent="0.25">
      <c r="A1759">
        <f ca="1">28390.8493297748*((RANDBETWEEN(2979,3282)))</f>
        <v>87358643.387717009</v>
      </c>
      <c r="B1759">
        <v>185608262.93998551</v>
      </c>
    </row>
    <row r="1760" spans="1:2" x14ac:dyDescent="0.25">
      <c r="A1760">
        <f ca="1">27437.6255645248*((RANDBETWEEN(2979,3282)))</f>
        <v>88513780.071157113</v>
      </c>
      <c r="B1760">
        <v>165355259.84831491</v>
      </c>
    </row>
    <row r="1761" spans="1:2" x14ac:dyDescent="0.25">
      <c r="A1761">
        <f ca="1">26254.5601782811*((RANDBETWEEN(2979,3282)))</f>
        <v>82596846.320872307</v>
      </c>
      <c r="B1761">
        <v>186709645.99990043</v>
      </c>
    </row>
    <row r="1762" spans="1:2" x14ac:dyDescent="0.25">
      <c r="A1762">
        <f ca="1">25925.9844349069*((RANDBETWEEN(2979,3282)))</f>
        <v>81070553.327953845</v>
      </c>
      <c r="B1762">
        <v>176690920.76252985</v>
      </c>
    </row>
    <row r="1763" spans="1:2" x14ac:dyDescent="0.25">
      <c r="A1763">
        <f ca="1">25756.9595330861*((RANDBETWEEN(2979,3282)))</f>
        <v>78790539.211710289</v>
      </c>
      <c r="B1763">
        <v>188865823.72728235</v>
      </c>
    </row>
    <row r="1764" spans="1:2" x14ac:dyDescent="0.25">
      <c r="A1764">
        <f ca="1">30197.2094696498*((RANDBETWEEN(2979,3282)))</f>
        <v>92675235.862355337</v>
      </c>
      <c r="B1764">
        <v>202977608.33237946</v>
      </c>
    </row>
    <row r="1765" spans="1:2" x14ac:dyDescent="0.25">
      <c r="A1765">
        <f ca="1">26349.1851759258*((RANDBETWEEN(2979,3282)))</f>
        <v>79416444.120240256</v>
      </c>
      <c r="B1765">
        <v>172857756.03125384</v>
      </c>
    </row>
    <row r="1766" spans="1:2" x14ac:dyDescent="0.25">
      <c r="A1766">
        <f ca="1">27848.9337725549*((RANDBETWEEN(2979,3282)))</f>
        <v>87696292.449775532</v>
      </c>
      <c r="B1766">
        <v>170150466.86437646</v>
      </c>
    </row>
    <row r="1767" spans="1:2" x14ac:dyDescent="0.25">
      <c r="A1767">
        <f ca="1">26949.0632574709*((RANDBETWEEN(2979,3282)))</f>
        <v>86937678.06860131</v>
      </c>
      <c r="B1767">
        <v>180801372.16814929</v>
      </c>
    </row>
    <row r="1768" spans="1:2" x14ac:dyDescent="0.25">
      <c r="A1768">
        <f ca="1">26879.139152002*((RANDBETWEEN(2979,3282)))</f>
        <v>80556780.038550019</v>
      </c>
      <c r="B1768">
        <v>193140007.85465679</v>
      </c>
    </row>
    <row r="1769" spans="1:2" x14ac:dyDescent="0.25">
      <c r="A1769">
        <f ca="1">32359.6787816247*((RANDBETWEEN(2979,3282)))</f>
        <v>96399483.090460002</v>
      </c>
      <c r="B1769">
        <v>177546047.71311706</v>
      </c>
    </row>
    <row r="1770" spans="1:2" x14ac:dyDescent="0.25">
      <c r="A1770">
        <f ca="1">27337.7880044883*((RANDBETWEEN(2979,3282)))</f>
        <v>88574433.134541988</v>
      </c>
      <c r="B1770">
        <v>174328011.80981505</v>
      </c>
    </row>
    <row r="1771" spans="1:2" x14ac:dyDescent="0.25">
      <c r="A1771">
        <f ca="1">32954.4830271968*((RANDBETWEEN(2979,3282)))</f>
        <v>104696392.57740422</v>
      </c>
      <c r="B1771">
        <v>170120123.25900918</v>
      </c>
    </row>
    <row r="1772" spans="1:2" x14ac:dyDescent="0.25">
      <c r="A1772">
        <f ca="1">26469.1320286651*((RANDBETWEEN(2979,3282)))</f>
        <v>86712876.525906846</v>
      </c>
      <c r="B1772">
        <v>165347764.74773997</v>
      </c>
    </row>
    <row r="1773" spans="1:2" x14ac:dyDescent="0.25">
      <c r="A1773">
        <f ca="1">28037.1659221258*((RANDBETWEEN(2979,3282)))</f>
        <v>85737653.38986063</v>
      </c>
      <c r="B1773">
        <v>158754269.80093217</v>
      </c>
    </row>
    <row r="1774" spans="1:2" x14ac:dyDescent="0.25">
      <c r="A1774">
        <f ca="1">27831.4296232369*((RANDBETWEEN(2979,3282)))</f>
        <v>90869617.719868347</v>
      </c>
      <c r="B1774">
        <v>166162518.30977738</v>
      </c>
    </row>
    <row r="1775" spans="1:2" x14ac:dyDescent="0.25">
      <c r="A1775">
        <f ca="1">30269.1357190057*((RANDBETWEEN(2979,3282)))</f>
        <v>98616844.172520548</v>
      </c>
      <c r="B1775">
        <v>183291871.22503421</v>
      </c>
    </row>
    <row r="1776" spans="1:2" x14ac:dyDescent="0.25">
      <c r="A1776">
        <f ca="1">31900.9645591643*((RANDBETWEEN(2979,3282)))</f>
        <v>98414475.665021822</v>
      </c>
      <c r="B1776">
        <v>184690174.12029234</v>
      </c>
    </row>
    <row r="1777" spans="1:2" x14ac:dyDescent="0.25">
      <c r="A1777">
        <f ca="1">27866.6822199607*((RANDBETWEEN(2979,3282)))</f>
        <v>91207650.905931309</v>
      </c>
      <c r="B1777">
        <v>147634029.96617165</v>
      </c>
    </row>
    <row r="1778" spans="1:2" x14ac:dyDescent="0.25">
      <c r="A1778">
        <f ca="1">26300.9309506687*((RANDBETWEEN(2979,3282)))</f>
        <v>85109812.556363985</v>
      </c>
      <c r="B1778">
        <v>144482298.61837471</v>
      </c>
    </row>
    <row r="1779" spans="1:2" x14ac:dyDescent="0.25">
      <c r="A1779">
        <f ca="1">26499.1886509695*((RANDBETWEEN(2979,3282)))</f>
        <v>79391569.198304698</v>
      </c>
      <c r="B1779">
        <v>190778511.69377714</v>
      </c>
    </row>
    <row r="1780" spans="1:2" x14ac:dyDescent="0.25">
      <c r="A1780">
        <f ca="1">24101.0660486458*((RANDBETWEEN(2979,3282)))</f>
        <v>77774140.138979971</v>
      </c>
      <c r="B1780">
        <v>144377358.53111354</v>
      </c>
    </row>
    <row r="1781" spans="1:2" x14ac:dyDescent="0.25">
      <c r="A1781">
        <f ca="1">30190.8665323546*((RANDBETWEEN(2979,3282)))</f>
        <v>95252183.909578666</v>
      </c>
      <c r="B1781">
        <v>174756458.20283502</v>
      </c>
    </row>
    <row r="1782" spans="1:2" x14ac:dyDescent="0.25">
      <c r="A1782">
        <f ca="1">26750.7902084108*((RANDBETWEEN(2979,3282)))</f>
        <v>87608837.932545289</v>
      </c>
      <c r="B1782">
        <v>156350369.80026025</v>
      </c>
    </row>
    <row r="1783" spans="1:2" x14ac:dyDescent="0.25">
      <c r="A1783">
        <f ca="1">26449.362712475*((RANDBETWEEN(2979,3282)))</f>
        <v>85933979.452831417</v>
      </c>
      <c r="B1783">
        <v>150040326.44770899</v>
      </c>
    </row>
    <row r="1784" spans="1:2" x14ac:dyDescent="0.25">
      <c r="A1784">
        <f ca="1">28303.5465022219*((RANDBETWEEN(2979,3282)))</f>
        <v>85731442.355230168</v>
      </c>
      <c r="B1784">
        <v>156827752.04957452</v>
      </c>
    </row>
    <row r="1785" spans="1:2" x14ac:dyDescent="0.25">
      <c r="A1785">
        <f ca="1">30671.8075021017*((RANDBETWEEN(2979,3282)))</f>
        <v>92812889.501359805</v>
      </c>
      <c r="B1785">
        <v>187741616.01395229</v>
      </c>
    </row>
    <row r="1786" spans="1:2" x14ac:dyDescent="0.25">
      <c r="A1786">
        <f ca="1">26420.7843774421*((RANDBETWEEN(2979,3282)))</f>
        <v>84652193.145324558</v>
      </c>
      <c r="B1786">
        <v>150641177.71889538</v>
      </c>
    </row>
    <row r="1787" spans="1:2" x14ac:dyDescent="0.25">
      <c r="A1787">
        <f ca="1">26079.934249625*((RANDBETWEEN(2979,3282)))</f>
        <v>84003468.21804218</v>
      </c>
      <c r="B1787">
        <v>156550715.84150332</v>
      </c>
    </row>
    <row r="1788" spans="1:2" x14ac:dyDescent="0.25">
      <c r="A1788">
        <f ca="1">27959.134424231*((RANDBETWEEN(2979,3282)))</f>
        <v>87176581.134752139</v>
      </c>
      <c r="B1788">
        <v>200233759.29270369</v>
      </c>
    </row>
    <row r="1789" spans="1:2" x14ac:dyDescent="0.25">
      <c r="A1789">
        <f ca="1">28265.6692657785*((RANDBETWEEN(2979,3282)))</f>
        <v>84910070.474398732</v>
      </c>
      <c r="B1789">
        <v>156657806.93450862</v>
      </c>
    </row>
    <row r="1790" spans="1:2" x14ac:dyDescent="0.25">
      <c r="A1790">
        <f ca="1">25016.4522044131*((RANDBETWEEN(2979,3282)))</f>
        <v>77225787.955023244</v>
      </c>
      <c r="B1790">
        <v>143784110.02930015</v>
      </c>
    </row>
    <row r="1791" spans="1:2" x14ac:dyDescent="0.25">
      <c r="A1791">
        <f ca="1">27524.1645361685*((RANDBETWEEN(2979,3282)))</f>
        <v>85820345.023773447</v>
      </c>
      <c r="B1791">
        <v>162267431.69793946</v>
      </c>
    </row>
    <row r="1792" spans="1:2" x14ac:dyDescent="0.25">
      <c r="A1792">
        <f ca="1">26319.1796739038*((RANDBETWEEN(2979,3282)))</f>
        <v>81378903.55171068</v>
      </c>
      <c r="B1792">
        <v>143875621.54666504</v>
      </c>
    </row>
    <row r="1793" spans="1:2" x14ac:dyDescent="0.25">
      <c r="A1793">
        <f ca="1">26339.6347809321*((RANDBETWEEN(2979,3282)))</f>
        <v>80678301.333995178</v>
      </c>
      <c r="B1793">
        <v>160331523.73289362</v>
      </c>
    </row>
    <row r="1794" spans="1:2" x14ac:dyDescent="0.25">
      <c r="A1794">
        <f ca="1">25890.9729385999*((RANDBETWEEN(2979,3282)))</f>
        <v>83006459.241151348</v>
      </c>
      <c r="B1794">
        <v>152846031.00816754</v>
      </c>
    </row>
    <row r="1795" spans="1:2" x14ac:dyDescent="0.25">
      <c r="A1795">
        <f ca="1">27538.4866665263*((RANDBETWEEN(2979,3282)))</f>
        <v>83551768.546240687</v>
      </c>
      <c r="B1795">
        <v>192855945.08697063</v>
      </c>
    </row>
    <row r="1796" spans="1:2" x14ac:dyDescent="0.25">
      <c r="A1796">
        <f ca="1">32443.5010249651*((RANDBETWEEN(2979,3282)))</f>
        <v>99763765.651767805</v>
      </c>
      <c r="B1796">
        <v>153151597.68486753</v>
      </c>
    </row>
    <row r="1797" spans="1:2" x14ac:dyDescent="0.25">
      <c r="A1797">
        <f ca="1">26936.6952582211*((RANDBETWEEN(2979,3282)))</f>
        <v>87436512.808185771</v>
      </c>
      <c r="B1797">
        <v>152558128.48907387</v>
      </c>
    </row>
    <row r="1798" spans="1:2" x14ac:dyDescent="0.25">
      <c r="A1798">
        <f ca="1">26402.1987862614*((RANDBETWEEN(2979,3282)))</f>
        <v>78810563.376990333</v>
      </c>
      <c r="B1798">
        <v>153330537.65843439</v>
      </c>
    </row>
    <row r="1799" spans="1:2" x14ac:dyDescent="0.25">
      <c r="A1799">
        <f ca="1">28576.6392262114*((RANDBETWEEN(2979,3282)))</f>
        <v>89644917.252625078</v>
      </c>
      <c r="B1799">
        <v>180572253.42622411</v>
      </c>
    </row>
    <row r="1800" spans="1:2" x14ac:dyDescent="0.25">
      <c r="A1800">
        <f ca="1">27272.9092230268*((RANDBETWEEN(2979,3282)))</f>
        <v>87546038.605916172</v>
      </c>
      <c r="B1800">
        <v>191640248.94966531</v>
      </c>
    </row>
    <row r="1801" spans="1:2" x14ac:dyDescent="0.25">
      <c r="A1801">
        <f ca="1">27585.2126120162*((RANDBETWEEN(2979,3282)))</f>
        <v>90065719.178233042</v>
      </c>
      <c r="B1801">
        <v>184435977.89772385</v>
      </c>
    </row>
    <row r="1802" spans="1:2" x14ac:dyDescent="0.25">
      <c r="A1802">
        <f ca="1">30096.4276570478*((RANDBETWEEN(2979,3282)))</f>
        <v>97723100.602434188</v>
      </c>
      <c r="B1802">
        <v>178882213.94605777</v>
      </c>
    </row>
    <row r="1803" spans="1:2" x14ac:dyDescent="0.25">
      <c r="A1803">
        <f ca="1">31202.9017463864*((RANDBETWEEN(2979,3282)))</f>
        <v>95012835.817746505</v>
      </c>
      <c r="B1803">
        <v>154290532.55358943</v>
      </c>
    </row>
    <row r="1804" spans="1:2" x14ac:dyDescent="0.25">
      <c r="A1804">
        <f ca="1">27974.8548445471*((RANDBETWEEN(2979,3282)))</f>
        <v>90134982.309130803</v>
      </c>
      <c r="B1804">
        <v>163215448.69740805</v>
      </c>
    </row>
    <row r="1805" spans="1:2" x14ac:dyDescent="0.25">
      <c r="A1805">
        <f ca="1">27549.4497676058*((RANDBETWEEN(2979,3282)))</f>
        <v>84687008.585620329</v>
      </c>
      <c r="B1805">
        <v>169717452.39197287</v>
      </c>
    </row>
    <row r="1806" spans="1:2" x14ac:dyDescent="0.25">
      <c r="A1806">
        <f ca="1">29283.7430151445*((RANDBETWEEN(2979,3282)))</f>
        <v>94879327.369068295</v>
      </c>
      <c r="B1806">
        <v>183279987.9563694</v>
      </c>
    </row>
    <row r="1807" spans="1:2" x14ac:dyDescent="0.25">
      <c r="A1807">
        <f ca="1">31349.5452004213*((RANDBETWEEN(2979,3282)))</f>
        <v>96525249.672097296</v>
      </c>
      <c r="B1807">
        <v>173276925.9750323</v>
      </c>
    </row>
    <row r="1808" spans="1:2" x14ac:dyDescent="0.25">
      <c r="A1808">
        <f ca="1">29545.7234728357*((RANDBETWEEN(2979,3282)))</f>
        <v>96319058.521444291</v>
      </c>
      <c r="B1808">
        <v>157635290.95354617</v>
      </c>
    </row>
    <row r="1809" spans="1:2" x14ac:dyDescent="0.25">
      <c r="A1809">
        <f ca="1">28949.1585248189*((RANDBETWEEN(2979,3282)))</f>
        <v>86239543.245435581</v>
      </c>
      <c r="B1809">
        <v>190890529.98597369</v>
      </c>
    </row>
    <row r="1810" spans="1:2" x14ac:dyDescent="0.25">
      <c r="A1810">
        <f ca="1">27650.355822067*((RANDBETWEEN(2979,3282)))</f>
        <v>90167810.33576037</v>
      </c>
      <c r="B1810">
        <v>152600919.4687573</v>
      </c>
    </row>
    <row r="1811" spans="1:2" x14ac:dyDescent="0.25">
      <c r="A1811">
        <f ca="1">28559.4379646311*((RANDBETWEEN(2979,3282)))</f>
        <v>91047488.231243804</v>
      </c>
      <c r="B1811">
        <v>156320907.37307212</v>
      </c>
    </row>
    <row r="1812" spans="1:2" x14ac:dyDescent="0.25">
      <c r="A1812">
        <f ca="1">31155.5907973706*((RANDBETWEEN(2979,3282)))</f>
        <v>100414469.13992536</v>
      </c>
      <c r="B1812">
        <v>165491651.12658006</v>
      </c>
    </row>
    <row r="1813" spans="1:2" x14ac:dyDescent="0.25">
      <c r="A1813">
        <f ca="1">26551.7674990513*((RANDBETWEEN(2979,3282)))</f>
        <v>86293244.371916652</v>
      </c>
      <c r="B1813">
        <v>148404470.54099035</v>
      </c>
    </row>
    <row r="1814" spans="1:2" x14ac:dyDescent="0.25">
      <c r="A1814">
        <f ca="1">26566.9716890804*((RANDBETWEEN(2979,3282)))</f>
        <v>82915518.64162007</v>
      </c>
      <c r="B1814">
        <v>163003557.19792545</v>
      </c>
    </row>
    <row r="1815" spans="1:2" x14ac:dyDescent="0.25">
      <c r="A1815">
        <f ca="1">26578.4856919642*((RANDBETWEEN(2979,3282)))</f>
        <v>86858491.241339102</v>
      </c>
      <c r="B1815">
        <v>173194991.08348739</v>
      </c>
    </row>
    <row r="1816" spans="1:2" x14ac:dyDescent="0.25">
      <c r="A1816">
        <f ca="1">25696.1674303465*((RANDBETWEEN(2979,3282)))</f>
        <v>78476095.332278118</v>
      </c>
      <c r="B1816">
        <v>148341142.52086613</v>
      </c>
    </row>
    <row r="1817" spans="1:2" x14ac:dyDescent="0.25">
      <c r="A1817">
        <f ca="1">28191.3148134664*((RANDBETWEEN(2979,3282)))</f>
        <v>85814362.292191595</v>
      </c>
      <c r="B1817">
        <v>149619239.0077056</v>
      </c>
    </row>
    <row r="1818" spans="1:2" x14ac:dyDescent="0.25">
      <c r="A1818">
        <f ca="1">26566.3931758933*((RANDBETWEEN(2979,3282)))</f>
        <v>83099677.854194373</v>
      </c>
      <c r="B1818">
        <v>160154782.30846661</v>
      </c>
    </row>
    <row r="1819" spans="1:2" x14ac:dyDescent="0.25">
      <c r="A1819">
        <f ca="1">32658.9070572536*((RANDBETWEEN(2979,3282)))</f>
        <v>97682791.008245409</v>
      </c>
      <c r="B1819">
        <v>178103193.81189799</v>
      </c>
    </row>
    <row r="1820" spans="1:2" x14ac:dyDescent="0.25">
      <c r="A1820">
        <f ca="1">26667.354412248*((RANDBETWEEN(2979,3282)))</f>
        <v>82962139.576503456</v>
      </c>
      <c r="B1820">
        <v>147182061.57889566</v>
      </c>
    </row>
    <row r="1821" spans="1:2" x14ac:dyDescent="0.25">
      <c r="A1821">
        <f ca="1">25844.7934752969*((RANDBETWEEN(2979,3282)))</f>
        <v>79601963.903914496</v>
      </c>
      <c r="B1821">
        <v>173248858.68649986</v>
      </c>
    </row>
    <row r="1822" spans="1:2" x14ac:dyDescent="0.25">
      <c r="A1822">
        <f ca="1">28746.5655159684*((RANDBETWEEN(2979,3282)))</f>
        <v>88970620.271922186</v>
      </c>
      <c r="B1822">
        <v>173540886.25539994</v>
      </c>
    </row>
    <row r="1823" spans="1:2" x14ac:dyDescent="0.25">
      <c r="A1823">
        <f ca="1">28906.9999958107*((RANDBETWEEN(2979,3282)))</f>
        <v>90941421.986820444</v>
      </c>
      <c r="B1823">
        <v>164738559.1488972</v>
      </c>
    </row>
    <row r="1824" spans="1:2" x14ac:dyDescent="0.25">
      <c r="A1824">
        <f ca="1">27349.2687791181*((RANDBETWEEN(2979,3282)))</f>
        <v>84153700.033346355</v>
      </c>
      <c r="B1824">
        <v>152687356.76915833</v>
      </c>
    </row>
    <row r="1825" spans="1:2" x14ac:dyDescent="0.25">
      <c r="A1825">
        <f ca="1">31996.3342484265*((RANDBETWEEN(2979,3282)))</f>
        <v>102132298.92097723</v>
      </c>
      <c r="B1825">
        <v>186803948.55777594</v>
      </c>
    </row>
    <row r="1826" spans="1:2" x14ac:dyDescent="0.25">
      <c r="A1826">
        <f ca="1">25964.1859438549*((RANDBETWEEN(2979,3282)))</f>
        <v>83371001.065718114</v>
      </c>
      <c r="B1826">
        <v>145937805.61396939</v>
      </c>
    </row>
    <row r="1827" spans="1:2" x14ac:dyDescent="0.25">
      <c r="A1827">
        <f ca="1">34322.3403771584*((RANDBETWEEN(2979,3282)))</f>
        <v>107978082.82654059</v>
      </c>
      <c r="B1827">
        <v>184461484.76246807</v>
      </c>
    </row>
    <row r="1828" spans="1:2" x14ac:dyDescent="0.25">
      <c r="A1828">
        <f ca="1">26498.184546077*((RANDBETWEEN(2979,3282)))</f>
        <v>79600546.376415282</v>
      </c>
      <c r="B1828">
        <v>167808283.99637118</v>
      </c>
    </row>
    <row r="1829" spans="1:2" x14ac:dyDescent="0.25">
      <c r="A1829">
        <f ca="1">30925.5530981064*((RANDBETWEEN(2979,3282)))</f>
        <v>96487725.66609183</v>
      </c>
      <c r="B1829">
        <v>199668360.96767563</v>
      </c>
    </row>
    <row r="1830" spans="1:2" x14ac:dyDescent="0.25">
      <c r="A1830">
        <f ca="1">30114.1196144391*((RANDBETWEEN(2979,3282)))</f>
        <v>92420233.096713617</v>
      </c>
      <c r="B1830">
        <v>158366605.77198595</v>
      </c>
    </row>
    <row r="1831" spans="1:2" x14ac:dyDescent="0.25">
      <c r="A1831">
        <f ca="1">27295.5468631118*((RANDBETWEEN(2979,3282)))</f>
        <v>87345749.961957678</v>
      </c>
      <c r="B1831">
        <v>178480609.657965</v>
      </c>
    </row>
    <row r="1832" spans="1:2" x14ac:dyDescent="0.25">
      <c r="A1832">
        <f ca="1">26817.9140979271*((RANDBETWEEN(2979,3282)))</f>
        <v>87131402.904165044</v>
      </c>
      <c r="B1832">
        <v>158517211.31967032</v>
      </c>
    </row>
    <row r="1833" spans="1:2" x14ac:dyDescent="0.25">
      <c r="A1833">
        <f ca="1">31489.1573486292*((RANDBETWEEN(2979,3282)))</f>
        <v>97301496.2072642</v>
      </c>
      <c r="B1833">
        <v>186298121.23395199</v>
      </c>
    </row>
    <row r="1834" spans="1:2" x14ac:dyDescent="0.25">
      <c r="A1834">
        <f ca="1">26373.4825084486*((RANDBETWEEN(2979,3282)))</f>
        <v>79146821.007854104</v>
      </c>
      <c r="B1834">
        <v>162056910.36157429</v>
      </c>
    </row>
    <row r="1835" spans="1:2" x14ac:dyDescent="0.25">
      <c r="A1835">
        <f ca="1">29726.3514545648*((RANDBETWEEN(2979,3282)))</f>
        <v>91200446.262604669</v>
      </c>
      <c r="B1835">
        <v>201250428.83711213</v>
      </c>
    </row>
    <row r="1836" spans="1:2" x14ac:dyDescent="0.25">
      <c r="A1836">
        <f ca="1">26985.3047349931*((RANDBETWEEN(2979,3282)))</f>
        <v>86595842.894592881</v>
      </c>
      <c r="B1836">
        <v>178619976.53704917</v>
      </c>
    </row>
    <row r="1837" spans="1:2" x14ac:dyDescent="0.25">
      <c r="A1837">
        <f ca="1">27831.2554293455*((RANDBETWEEN(2979,3282)))</f>
        <v>90368086.37908487</v>
      </c>
      <c r="B1837">
        <v>188621947.67148685</v>
      </c>
    </row>
    <row r="1838" spans="1:2" x14ac:dyDescent="0.25">
      <c r="A1838">
        <f ca="1">26884.3193856519*((RANDBETWEEN(2979,3282)))</f>
        <v>86379318.186099499</v>
      </c>
      <c r="B1838">
        <v>192363459.58172926</v>
      </c>
    </row>
    <row r="1839" spans="1:2" x14ac:dyDescent="0.25">
      <c r="A1839">
        <f ca="1">27711.6919281017*((RANDBETWEEN(2979,3282)))</f>
        <v>87374964.649304748</v>
      </c>
      <c r="B1839">
        <v>144010505.34563655</v>
      </c>
    </row>
    <row r="1840" spans="1:2" x14ac:dyDescent="0.25">
      <c r="A1840">
        <f ca="1">26753.7310225579*((RANDBETWEEN(2979,3282)))</f>
        <v>83926454.217764169</v>
      </c>
      <c r="B1840">
        <v>157837841.70284286</v>
      </c>
    </row>
    <row r="1841" spans="1:2" x14ac:dyDescent="0.25">
      <c r="A1841">
        <f ca="1">24717.8257850746*((RANDBETWEEN(2979,3282)))</f>
        <v>75809571.682823852</v>
      </c>
      <c r="B1841">
        <v>147902146.24917597</v>
      </c>
    </row>
    <row r="1842" spans="1:2" x14ac:dyDescent="0.25">
      <c r="A1842">
        <f ca="1">32003.598317909*((RANDBETWEEN(2979,3282)))</f>
        <v>100299277.12832698</v>
      </c>
      <c r="B1842">
        <v>157506624.96789604</v>
      </c>
    </row>
    <row r="1843" spans="1:2" x14ac:dyDescent="0.25">
      <c r="A1843">
        <f ca="1">29273.1979555729*((RANDBETWEEN(2979,3282)))</f>
        <v>88844155.795163676</v>
      </c>
      <c r="B1843">
        <v>169514651.53144681</v>
      </c>
    </row>
    <row r="1844" spans="1:2" x14ac:dyDescent="0.25">
      <c r="A1844">
        <f ca="1">29276.8644233805*((RANDBETWEEN(2979,3282)))</f>
        <v>91109602.085560039</v>
      </c>
      <c r="B1844">
        <v>148927183.87048706</v>
      </c>
    </row>
    <row r="1845" spans="1:2" x14ac:dyDescent="0.25">
      <c r="A1845">
        <f ca="1">31806.6231810093*((RANDBETWEEN(2979,3282)))</f>
        <v>103721398.19327122</v>
      </c>
      <c r="B1845">
        <v>188213157.06859666</v>
      </c>
    </row>
    <row r="1846" spans="1:2" x14ac:dyDescent="0.25">
      <c r="A1846">
        <f ca="1">27823.5998486654*((RANDBETWEEN(2979,3282)))</f>
        <v>84388978.341002151</v>
      </c>
      <c r="B1846">
        <v>160306939.28359574</v>
      </c>
    </row>
    <row r="1847" spans="1:2" x14ac:dyDescent="0.25">
      <c r="A1847">
        <f ca="1">29550.1611312097*((RANDBETWEEN(2979,3282)))</f>
        <v>93053457.402179286</v>
      </c>
      <c r="B1847">
        <v>174515050.75270745</v>
      </c>
    </row>
    <row r="1848" spans="1:2" x14ac:dyDescent="0.25">
      <c r="A1848">
        <f ca="1">26523.3322275264*((RANDBETWEEN(2979,3282)))</f>
        <v>85113373.118132189</v>
      </c>
      <c r="B1848">
        <v>173570617.43540496</v>
      </c>
    </row>
    <row r="1849" spans="1:2" x14ac:dyDescent="0.25">
      <c r="A1849">
        <f ca="1">28222.4744042447*((RANDBETWEEN(2979,3282)))</f>
        <v>91186814.800114512</v>
      </c>
      <c r="B1849">
        <v>154024389.01456907</v>
      </c>
    </row>
    <row r="1850" spans="1:2" x14ac:dyDescent="0.25">
      <c r="A1850">
        <f ca="1">26574.8460052978*((RANDBETWEEN(2979,3282)))</f>
        <v>86740297.361292124</v>
      </c>
      <c r="B1850">
        <v>173356169.98140123</v>
      </c>
    </row>
    <row r="1851" spans="1:2" x14ac:dyDescent="0.25">
      <c r="A1851">
        <f ca="1">27341.2287759794*((RANDBETWEEN(2979,3282)))</f>
        <v>87136496.109046429</v>
      </c>
      <c r="B1851">
        <v>156765734.22514904</v>
      </c>
    </row>
    <row r="1852" spans="1:2" x14ac:dyDescent="0.25">
      <c r="A1852">
        <f ca="1">25898.0834853246*((RANDBETWEEN(2979,3282)))</f>
        <v>83728503.908054575</v>
      </c>
      <c r="B1852">
        <v>149024766.99369049</v>
      </c>
    </row>
    <row r="1853" spans="1:2" x14ac:dyDescent="0.25">
      <c r="A1853">
        <f ca="1">26467.7665997677*((RANDBETWEEN(2979,3282)))</f>
        <v>85437950.584050238</v>
      </c>
      <c r="B1853">
        <v>199993436.01307252</v>
      </c>
    </row>
    <row r="1854" spans="1:2" x14ac:dyDescent="0.25">
      <c r="A1854">
        <f ca="1">26361.1727542555*((RANDBETWEEN(2979,3282)))</f>
        <v>82457748.375311181</v>
      </c>
      <c r="B1854">
        <v>145749682.86303842</v>
      </c>
    </row>
    <row r="1855" spans="1:2" x14ac:dyDescent="0.25">
      <c r="A1855">
        <f ca="1">28074.559538216*((RANDBETWEEN(2979,3282)))</f>
        <v>86160823.222784966</v>
      </c>
      <c r="B1855">
        <v>188727458.53773859</v>
      </c>
    </row>
    <row r="1856" spans="1:2" x14ac:dyDescent="0.25">
      <c r="A1856">
        <f ca="1">27008.5255872996*((RANDBETWEEN(2979,3282)))</f>
        <v>84239591.306787372</v>
      </c>
      <c r="B1856">
        <v>172254322.21609557</v>
      </c>
    </row>
    <row r="1857" spans="1:2" x14ac:dyDescent="0.25">
      <c r="A1857">
        <f ca="1">26907.803609885*((RANDBETWEEN(2979,3282)))</f>
        <v>82418602.457077846</v>
      </c>
      <c r="B1857">
        <v>151212507.00214875</v>
      </c>
    </row>
    <row r="1858" spans="1:2" x14ac:dyDescent="0.25">
      <c r="A1858">
        <f ca="1">29376.2025611459*((RANDBETWEEN(2979,3282)))</f>
        <v>94033224.398228019</v>
      </c>
      <c r="B1858">
        <v>192876895.94694749</v>
      </c>
    </row>
    <row r="1859" spans="1:2" x14ac:dyDescent="0.25">
      <c r="A1859">
        <f ca="1">30071.23987511*((RANDBETWEEN(2979,3282)))</f>
        <v>90093434.665829524</v>
      </c>
      <c r="B1859">
        <v>164607821.78164712</v>
      </c>
    </row>
    <row r="1860" spans="1:2" x14ac:dyDescent="0.25">
      <c r="A1860">
        <f ca="1">32985.0873067954*((RANDBETWEEN(2979,3282)))</f>
        <v>106805712.69940358</v>
      </c>
      <c r="B1860">
        <v>181337403.16511595</v>
      </c>
    </row>
    <row r="1861" spans="1:2" x14ac:dyDescent="0.25">
      <c r="A1861">
        <f ca="1">25514.726273551*((RANDBETWEEN(2979,3282)))</f>
        <v>82514624.768663943</v>
      </c>
      <c r="B1861">
        <v>166648078.3059389</v>
      </c>
    </row>
    <row r="1862" spans="1:2" x14ac:dyDescent="0.25">
      <c r="A1862">
        <f ca="1">25335.6955777113*((RANDBETWEEN(2979,3282)))</f>
        <v>78160620.857239321</v>
      </c>
      <c r="B1862">
        <v>157629755.86505699</v>
      </c>
    </row>
    <row r="1863" spans="1:2" x14ac:dyDescent="0.25">
      <c r="A1863">
        <f ca="1">32304.7054892755*((RANDBETWEEN(2979,3282)))</f>
        <v>104667245.78525259</v>
      </c>
      <c r="B1863">
        <v>174577634.9269914</v>
      </c>
    </row>
    <row r="1864" spans="1:2" x14ac:dyDescent="0.25">
      <c r="A1864">
        <f ca="1">26954.9553800206*((RANDBETWEEN(2979,3282)))</f>
        <v>80703136.407781571</v>
      </c>
      <c r="B1864">
        <v>202591237.76280248</v>
      </c>
    </row>
    <row r="1865" spans="1:2" x14ac:dyDescent="0.25">
      <c r="A1865">
        <f ca="1">31142.125329722*((RANDBETWEEN(2979,3282)))</f>
        <v>94204929.12240915</v>
      </c>
      <c r="B1865">
        <v>192260751.44036683</v>
      </c>
    </row>
    <row r="1866" spans="1:2" x14ac:dyDescent="0.25">
      <c r="A1866">
        <f ca="1">27365.0805228031*((RANDBETWEEN(2979,3282)))</f>
        <v>88033464.041857451</v>
      </c>
      <c r="B1866">
        <v>155205729.53909537</v>
      </c>
    </row>
    <row r="1867" spans="1:2" x14ac:dyDescent="0.25">
      <c r="A1867">
        <f ca="1">27231.8481599092*((RANDBETWEEN(2979,3282)))</f>
        <v>86134335.729792729</v>
      </c>
      <c r="B1867">
        <v>151895431.91728914</v>
      </c>
    </row>
    <row r="1868" spans="1:2" x14ac:dyDescent="0.25">
      <c r="A1868">
        <f ca="1">26404.5794911893*((RANDBETWEEN(2979,3282)))</f>
        <v>83280043.7152109</v>
      </c>
      <c r="B1868">
        <v>182198823.76023525</v>
      </c>
    </row>
    <row r="1869" spans="1:2" x14ac:dyDescent="0.25">
      <c r="A1869">
        <f ca="1">27455.2748507844*((RANDBETWEEN(2979,3282)))</f>
        <v>84507335.99071452</v>
      </c>
      <c r="B1869">
        <v>187782100.00178647</v>
      </c>
    </row>
    <row r="1870" spans="1:2" x14ac:dyDescent="0.25">
      <c r="A1870">
        <f ca="1">26711.0905151677*((RANDBETWEEN(2979,3282)))</f>
        <v>84220068.394323632</v>
      </c>
      <c r="B1870">
        <v>172436864.10218942</v>
      </c>
    </row>
    <row r="1871" spans="1:2" x14ac:dyDescent="0.25">
      <c r="A1871">
        <f ca="1">27757.4403100212*((RANDBETWEEN(2979,3282)))</f>
        <v>83716439.975023925</v>
      </c>
      <c r="B1871">
        <v>157670456.11240676</v>
      </c>
    </row>
    <row r="1872" spans="1:2" x14ac:dyDescent="0.25">
      <c r="A1872">
        <f ca="1">28808.377879679*((RANDBETWEEN(2979,3282)))</f>
        <v>86194666.615999624</v>
      </c>
      <c r="B1872">
        <v>166758507.28204995</v>
      </c>
    </row>
    <row r="1873" spans="1:2" x14ac:dyDescent="0.25">
      <c r="A1873">
        <f ca="1">27579.1577918552*((RANDBETWEEN(2979,3282)))</f>
        <v>90376900.083909437</v>
      </c>
      <c r="B1873">
        <v>202271298.42588148</v>
      </c>
    </row>
    <row r="1874" spans="1:2" x14ac:dyDescent="0.25">
      <c r="A1874">
        <f ca="1">26962.6996966281*((RANDBETWEEN(2979,3282)))</f>
        <v>81643054.681390002</v>
      </c>
      <c r="B1874">
        <v>159060107.50867873</v>
      </c>
    </row>
    <row r="1875" spans="1:2" x14ac:dyDescent="0.25">
      <c r="A1875">
        <f ca="1">28397.7160011066*((RANDBETWEEN(2979,3282)))</f>
        <v>85079557.139315411</v>
      </c>
      <c r="B1875">
        <v>180902878.27801999</v>
      </c>
    </row>
    <row r="1876" spans="1:2" x14ac:dyDescent="0.25">
      <c r="A1876">
        <f ca="1">27219.5322929123*((RANDBETWEEN(2979,3282)))</f>
        <v>84516647.769492686</v>
      </c>
      <c r="B1876">
        <v>162730778.11498743</v>
      </c>
    </row>
    <row r="1877" spans="1:2" x14ac:dyDescent="0.25">
      <c r="A1877">
        <f ca="1">26567.350236934*((RANDBETWEEN(2979,3282)))</f>
        <v>81296091.72501801</v>
      </c>
      <c r="B1877">
        <v>177082926.80208898</v>
      </c>
    </row>
    <row r="1878" spans="1:2" x14ac:dyDescent="0.25">
      <c r="A1878">
        <f ca="1">27150.0563026245*((RANDBETWEEN(2979,3282)))</f>
        <v>83730773.63729392</v>
      </c>
      <c r="B1878">
        <v>186717133.38064536</v>
      </c>
    </row>
    <row r="1879" spans="1:2" x14ac:dyDescent="0.25">
      <c r="A1879">
        <f ca="1">25692.5898570685*((RANDBETWEEN(2979,3282)))</f>
        <v>78799173.091628969</v>
      </c>
      <c r="B1879">
        <v>194783512.51797473</v>
      </c>
    </row>
    <row r="1880" spans="1:2" x14ac:dyDescent="0.25">
      <c r="A1880">
        <f ca="1">26640.2564871353*((RANDBETWEEN(2979,3282)))</f>
        <v>80347013.565199956</v>
      </c>
      <c r="B1880">
        <v>142922534.71277547</v>
      </c>
    </row>
    <row r="1881" spans="1:2" x14ac:dyDescent="0.25">
      <c r="A1881">
        <f ca="1">31020.8872128096*((RANDBETWEEN(2979,3282)))</f>
        <v>92814494.540726259</v>
      </c>
      <c r="B1881">
        <v>198212407.92805162</v>
      </c>
    </row>
    <row r="1882" spans="1:2" x14ac:dyDescent="0.25">
      <c r="A1882">
        <f ca="1">25883.285419903*((RANDBETWEEN(2979,3282)))</f>
        <v>80264068.087119177</v>
      </c>
      <c r="B1882">
        <v>156857945.99643981</v>
      </c>
    </row>
    <row r="1883" spans="1:2" x14ac:dyDescent="0.25">
      <c r="A1883">
        <f ca="1">24826.2881954253*((RANDBETWEEN(2979,3282)))</f>
        <v>78004197.510026261</v>
      </c>
      <c r="B1883">
        <v>165958742.44716734</v>
      </c>
    </row>
    <row r="1884" spans="1:2" x14ac:dyDescent="0.25">
      <c r="A1884">
        <f ca="1">25848.1174773334*((RANDBETWEEN(2979,3282)))</f>
        <v>77492656.197045654</v>
      </c>
      <c r="B1884">
        <v>151708162.72800294</v>
      </c>
    </row>
    <row r="1885" spans="1:2" x14ac:dyDescent="0.25">
      <c r="A1885">
        <f ca="1">31019.0145427101*((RANDBETWEEN(2979,3282)))</f>
        <v>97927028.911335841</v>
      </c>
      <c r="B1885">
        <v>202581295.35217091</v>
      </c>
    </row>
    <row r="1886" spans="1:2" x14ac:dyDescent="0.25">
      <c r="A1886">
        <f ca="1">31190.983993747*((RANDBETWEEN(2979,3282)))</f>
        <v>94882973.308978453</v>
      </c>
      <c r="B1886">
        <v>161826416.11467847</v>
      </c>
    </row>
    <row r="1887" spans="1:2" x14ac:dyDescent="0.25">
      <c r="A1887">
        <f ca="1">28395.5372725407*((RANDBETWEEN(2979,3282)))</f>
        <v>92370682.747574911</v>
      </c>
      <c r="B1887">
        <v>201232679.04740086</v>
      </c>
    </row>
    <row r="1888" spans="1:2" x14ac:dyDescent="0.25">
      <c r="A1888">
        <f ca="1">27473.9539122164*((RANDBETWEEN(2979,3282)))</f>
        <v>86323163.192183897</v>
      </c>
      <c r="B1888">
        <v>151658009.88029242</v>
      </c>
    </row>
    <row r="1889" spans="1:2" x14ac:dyDescent="0.25">
      <c r="A1889">
        <f ca="1">32952.9119903719*((RANDBETWEEN(2979,3282)))</f>
        <v>99979134.978788421</v>
      </c>
      <c r="B1889">
        <v>201998866.15087861</v>
      </c>
    </row>
    <row r="1890" spans="1:2" x14ac:dyDescent="0.25">
      <c r="A1890">
        <f ca="1">25771.6392254983*((RANDBETWEEN(2979,3282)))</f>
        <v>80355971.105103806</v>
      </c>
      <c r="B1890">
        <v>152326506.65529919</v>
      </c>
    </row>
    <row r="1891" spans="1:2" x14ac:dyDescent="0.25">
      <c r="A1891">
        <f ca="1">26303.2761386409*((RANDBETWEEN(2979,3282)))</f>
        <v>84144180.367512375</v>
      </c>
      <c r="B1891">
        <v>161061175.35922974</v>
      </c>
    </row>
    <row r="1892" spans="1:2" x14ac:dyDescent="0.25">
      <c r="A1892">
        <f ca="1">29985.5665560757*((RANDBETWEEN(2979,3282)))</f>
        <v>89866742.968558922</v>
      </c>
      <c r="B1892">
        <v>202175011.45430899</v>
      </c>
    </row>
    <row r="1893" spans="1:2" x14ac:dyDescent="0.25">
      <c r="A1893">
        <f ca="1">26063.8617334243*((RANDBETWEEN(2979,3282)))</f>
        <v>83091591.206156626</v>
      </c>
      <c r="B1893">
        <v>148198038.73695019</v>
      </c>
    </row>
    <row r="1894" spans="1:2" x14ac:dyDescent="0.25">
      <c r="A1894">
        <f ca="1">25700.3119920851*((RANDBETWEEN(2979,3282)))</f>
        <v>78385951.575859502</v>
      </c>
      <c r="B1894">
        <v>152592639.77927366</v>
      </c>
    </row>
    <row r="1895" spans="1:2" x14ac:dyDescent="0.25">
      <c r="A1895">
        <f ca="1">31223.8101793214*((RANDBETWEEN(2979,3282)))</f>
        <v>94139787.690654039</v>
      </c>
      <c r="B1895">
        <v>171171826.89601541</v>
      </c>
    </row>
    <row r="1896" spans="1:2" x14ac:dyDescent="0.25">
      <c r="A1896">
        <f ca="1">32098.6152025703*((RANDBETWEEN(2979,3282)))</f>
        <v>95846464.994874954</v>
      </c>
      <c r="B1896">
        <v>165803585.23372948</v>
      </c>
    </row>
    <row r="1897" spans="1:2" x14ac:dyDescent="0.25">
      <c r="A1897">
        <f ca="1">27768.3061890937*((RANDBETWEEN(2979,3282)))</f>
        <v>89469482.541259959</v>
      </c>
      <c r="B1897">
        <v>160713458.02114686</v>
      </c>
    </row>
    <row r="1898" spans="1:2" x14ac:dyDescent="0.25">
      <c r="A1898">
        <f ca="1">30789.5347580474*((RANDBETWEEN(2979,3282)))</f>
        <v>92276235.669867963</v>
      </c>
      <c r="B1898">
        <v>166437176.1134063</v>
      </c>
    </row>
    <row r="1899" spans="1:2" x14ac:dyDescent="0.25">
      <c r="A1899">
        <f ca="1">26725.4539657451*((RANDBETWEEN(2979,3282)))</f>
        <v>85949059.953836113</v>
      </c>
      <c r="B1899">
        <v>146568866.28918725</v>
      </c>
    </row>
    <row r="1900" spans="1:2" x14ac:dyDescent="0.25">
      <c r="A1900">
        <f ca="1">30742.6834133038*((RANDBETWEEN(2979,3282)))</f>
        <v>97608019.837239563</v>
      </c>
      <c r="B1900">
        <v>160775327.92345101</v>
      </c>
    </row>
    <row r="1901" spans="1:2" x14ac:dyDescent="0.25">
      <c r="A1901">
        <f ca="1">29032.8989533169*((RANDBETWEEN(2979,3282)))</f>
        <v>87214828.455763876</v>
      </c>
      <c r="B1901">
        <v>189314004.91627938</v>
      </c>
    </row>
    <row r="1902" spans="1:2" x14ac:dyDescent="0.25">
      <c r="A1902">
        <f ca="1">27120.8564490277*((RANDBETWEEN(2979,3282)))</f>
        <v>87383399.478767395</v>
      </c>
      <c r="B1902">
        <v>149731090.74791032</v>
      </c>
    </row>
    <row r="1903" spans="1:2" x14ac:dyDescent="0.25">
      <c r="A1903">
        <f ca="1">30983.965983351*((RANDBETWEEN(2979,3282)))</f>
        <v>94253224.521353826</v>
      </c>
      <c r="B1903">
        <v>192730122.23914516</v>
      </c>
    </row>
    <row r="1904" spans="1:2" x14ac:dyDescent="0.25">
      <c r="A1904">
        <f ca="1">26757.1376608523*((RANDBETWEEN(2979,3282)))</f>
        <v>80244655.844895974</v>
      </c>
      <c r="B1904">
        <v>150967048.97579172</v>
      </c>
    </row>
    <row r="1905" spans="1:2" x14ac:dyDescent="0.25">
      <c r="A1905">
        <f ca="1">26245.3039850469*((RANDBETWEEN(2979,3282)))</f>
        <v>82987651.200718194</v>
      </c>
      <c r="B1905">
        <v>168844554.60631835</v>
      </c>
    </row>
    <row r="1906" spans="1:2" x14ac:dyDescent="0.25">
      <c r="A1906">
        <f ca="1">26657.1943599517*((RANDBETWEEN(2979,3282)))</f>
        <v>85862823.033404544</v>
      </c>
      <c r="B1906">
        <v>159661038.85796466</v>
      </c>
    </row>
    <row r="1907" spans="1:2" x14ac:dyDescent="0.25">
      <c r="A1907">
        <f ca="1">27763.8217087064*((RANDBETWEEN(2979,3282)))</f>
        <v>87122872.521920666</v>
      </c>
      <c r="B1907">
        <v>168133472.01436964</v>
      </c>
    </row>
    <row r="1908" spans="1:2" x14ac:dyDescent="0.25">
      <c r="A1908">
        <f ca="1">30634.3447667439*((RANDBETWEEN(2979,3282)))</f>
        <v>95487252.637940794</v>
      </c>
      <c r="B1908">
        <v>154677120.42781684</v>
      </c>
    </row>
    <row r="1909" spans="1:2" x14ac:dyDescent="0.25">
      <c r="A1909">
        <f ca="1">26927.4297229785*((RANDBETWEEN(2979,3282)))</f>
        <v>87756493.467186868</v>
      </c>
      <c r="B1909">
        <v>153688992.63543108</v>
      </c>
    </row>
    <row r="1910" spans="1:2" x14ac:dyDescent="0.25">
      <c r="A1910">
        <f ca="1">27053.8009703444*((RANDBETWEEN(2979,3282)))</f>
        <v>83596244.998364046</v>
      </c>
      <c r="B1910">
        <v>151478751.19489595</v>
      </c>
    </row>
    <row r="1911" spans="1:2" x14ac:dyDescent="0.25">
      <c r="A1911">
        <f ca="1">29877.6182312263*((RANDBETWEEN(2979,3282)))</f>
        <v>91694410.351633474</v>
      </c>
      <c r="B1911">
        <v>158995265.18885139</v>
      </c>
    </row>
    <row r="1912" spans="1:2" x14ac:dyDescent="0.25">
      <c r="A1912">
        <f ca="1">26473.4837835473*((RANDBETWEEN(2979,3282)))</f>
        <v>83047318.628987819</v>
      </c>
      <c r="B1912">
        <v>165278259.85508603</v>
      </c>
    </row>
    <row r="1913" spans="1:2" x14ac:dyDescent="0.25">
      <c r="A1913">
        <f ca="1">25471.3972353689*((RANDBETWEEN(2979,3282)))</f>
        <v>79674530.552233845</v>
      </c>
      <c r="B1913">
        <v>169232780.74775189</v>
      </c>
    </row>
    <row r="1914" spans="1:2" x14ac:dyDescent="0.25">
      <c r="A1914">
        <f ca="1">27869.9255151556*((RANDBETWEEN(2979,3282)))</f>
        <v>86982037.532800496</v>
      </c>
      <c r="B1914">
        <v>178120426.21920192</v>
      </c>
    </row>
    <row r="1915" spans="1:2" x14ac:dyDescent="0.25">
      <c r="A1915">
        <f ca="1">30043.6901194785*((RANDBETWEEN(2979,3282)))</f>
        <v>90491594.639869258</v>
      </c>
      <c r="B1915">
        <v>195319956.69010395</v>
      </c>
    </row>
    <row r="1916" spans="1:2" x14ac:dyDescent="0.25">
      <c r="A1916">
        <f ca="1">30393.4193809207*((RANDBETWEEN(2979,3282)))</f>
        <v>92912683.047474608</v>
      </c>
      <c r="B1916">
        <v>202400859.31334594</v>
      </c>
    </row>
    <row r="1917" spans="1:2" x14ac:dyDescent="0.25">
      <c r="A1917">
        <f ca="1">30671.9390532614*((RANDBETWEEN(2979,3282)))</f>
        <v>99867833.557418972</v>
      </c>
      <c r="B1917">
        <v>168959666.49606848</v>
      </c>
    </row>
    <row r="1918" spans="1:2" x14ac:dyDescent="0.25">
      <c r="A1918">
        <f ca="1">27255.5676036956*((RANDBETWEEN(2979,3282)))</f>
        <v>88008227.792333022</v>
      </c>
      <c r="B1918">
        <v>156515125.3505677</v>
      </c>
    </row>
    <row r="1919" spans="1:2" x14ac:dyDescent="0.25">
      <c r="A1919">
        <f ca="1">27732.5453728576*((RANDBETWEEN(2979,3282)))</f>
        <v>89520656.463584244</v>
      </c>
      <c r="B1919">
        <v>177237837.65360719</v>
      </c>
    </row>
    <row r="1920" spans="1:2" x14ac:dyDescent="0.25">
      <c r="A1920">
        <f ca="1">26202.8015574333*((RANDBETWEEN(2979,3282)))</f>
        <v>85342524.672560394</v>
      </c>
      <c r="B1920">
        <v>165216422.67794025</v>
      </c>
    </row>
    <row r="1921" spans="1:2" x14ac:dyDescent="0.25">
      <c r="A1921">
        <f ca="1">26404.3429860278*((RANDBETWEEN(2979,3282)))</f>
        <v>84361875.840358853</v>
      </c>
      <c r="B1921">
        <v>145520158.69054344</v>
      </c>
    </row>
    <row r="1922" spans="1:2" x14ac:dyDescent="0.25">
      <c r="A1922">
        <f ca="1">27623.8098933537*((RANDBETWEEN(2979,3282)))</f>
        <v>83893510.64611508</v>
      </c>
      <c r="B1922">
        <v>155299539.96173745</v>
      </c>
    </row>
    <row r="1923" spans="1:2" x14ac:dyDescent="0.25">
      <c r="A1923">
        <f ca="1">28016.2925837571*((RANDBETWEEN(2979,3282)))</f>
        <v>85001431.699119061</v>
      </c>
      <c r="B1923">
        <v>168794890.89671433</v>
      </c>
    </row>
    <row r="1924" spans="1:2" x14ac:dyDescent="0.25">
      <c r="A1924">
        <f ca="1">28007.8589151333*((RANDBETWEEN(2979,3282)))</f>
        <v>89961242.835408136</v>
      </c>
      <c r="B1924">
        <v>147290530.21984428</v>
      </c>
    </row>
    <row r="1925" spans="1:2" x14ac:dyDescent="0.25">
      <c r="A1925">
        <f ca="1">25178.3769624112*((RANDBETWEEN(2979,3282)))</f>
        <v>77071011.881940573</v>
      </c>
      <c r="B1925">
        <v>166018849.82506302</v>
      </c>
    </row>
    <row r="1926" spans="1:2" x14ac:dyDescent="0.25">
      <c r="A1926">
        <f ca="1">30680.8382833572*((RANDBETWEEN(2979,3282)))</f>
        <v>98792299.272410035</v>
      </c>
      <c r="B1926">
        <v>184981078.48943621</v>
      </c>
    </row>
    <row r="1927" spans="1:2" x14ac:dyDescent="0.25">
      <c r="A1927">
        <f ca="1">26941.1245396497*((RANDBETWEEN(2979,3282)))</f>
        <v>85457247.0397688</v>
      </c>
      <c r="B1927">
        <v>153651825.76664746</v>
      </c>
    </row>
    <row r="1928" spans="1:2" x14ac:dyDescent="0.25">
      <c r="A1928">
        <f ca="1">27279.3334218722*((RANDBETWEEN(2979,3282)))</f>
        <v>87184749.616303474</v>
      </c>
      <c r="B1928">
        <v>185532490.89333993</v>
      </c>
    </row>
    <row r="1929" spans="1:2" x14ac:dyDescent="0.25">
      <c r="A1929">
        <f ca="1">25725.8982206385*((RANDBETWEEN(2979,3282)))</f>
        <v>78515441.36938867</v>
      </c>
      <c r="B1929">
        <v>146861338.0250985</v>
      </c>
    </row>
    <row r="1930" spans="1:2" x14ac:dyDescent="0.25">
      <c r="A1930">
        <f ca="1">26121.9586937142*((RANDBETWEEN(2979,3282)))</f>
        <v>82597633.389524296</v>
      </c>
      <c r="B1930">
        <v>144448316.24123871</v>
      </c>
    </row>
    <row r="1931" spans="1:2" x14ac:dyDescent="0.25">
      <c r="A1931">
        <f ca="1">27381.9746663371*((RANDBETWEEN(2979,3282)))</f>
        <v>82584035.593672812</v>
      </c>
      <c r="B1931">
        <v>157727498.57467836</v>
      </c>
    </row>
    <row r="1932" spans="1:2" x14ac:dyDescent="0.25">
      <c r="A1932">
        <f ca="1">29605.6595212448*((RANDBETWEEN(2979,3282)))</f>
        <v>92784136.939581335</v>
      </c>
      <c r="B1932">
        <v>146801581.26795781</v>
      </c>
    </row>
    <row r="1933" spans="1:2" x14ac:dyDescent="0.25">
      <c r="A1933">
        <f ca="1">26480.3091645461*((RANDBETWEEN(2979,3282)))</f>
        <v>79255565.32948634</v>
      </c>
      <c r="B1933">
        <v>149868486.37073687</v>
      </c>
    </row>
    <row r="1934" spans="1:2" x14ac:dyDescent="0.25">
      <c r="A1934">
        <f ca="1">27825.9489740291*((RANDBETWEEN(2979,3282)))</f>
        <v>89432600.002529383</v>
      </c>
      <c r="B1934">
        <v>167461599.88414291</v>
      </c>
    </row>
    <row r="1935" spans="1:2" x14ac:dyDescent="0.25">
      <c r="A1935">
        <f ca="1">25928.445254526*((RANDBETWEEN(2979,3282)))</f>
        <v>83359951.493301108</v>
      </c>
      <c r="B1935">
        <v>144375783.69534615</v>
      </c>
    </row>
    <row r="1936" spans="1:2" x14ac:dyDescent="0.25">
      <c r="A1936">
        <f ca="1">26082.7451271976*((RANDBETWEEN(2979,3282)))</f>
        <v>81560744.01274693</v>
      </c>
      <c r="B1936">
        <v>146263464.88751632</v>
      </c>
    </row>
    <row r="1937" spans="1:2" x14ac:dyDescent="0.25">
      <c r="A1937">
        <f ca="1">26873.5678586253*((RANDBETWEEN(2979,3282)))</f>
        <v>86989739.158370033</v>
      </c>
      <c r="B1937">
        <v>169337745.97808814</v>
      </c>
    </row>
    <row r="1938" spans="1:2" x14ac:dyDescent="0.25">
      <c r="A1938">
        <f ca="1">27064.4959758544*((RANDBETWEEN(2979,3282)))</f>
        <v>84684807.908448383</v>
      </c>
      <c r="B1938">
        <v>179072135.32507068</v>
      </c>
    </row>
    <row r="1939" spans="1:2" x14ac:dyDescent="0.25">
      <c r="A1939">
        <f ca="1">27601.1431382592*((RANDBETWEEN(2979,3282)))</f>
        <v>85591144.871741772</v>
      </c>
      <c r="B1939">
        <v>145646882.10326296</v>
      </c>
    </row>
    <row r="1940" spans="1:2" x14ac:dyDescent="0.25">
      <c r="A1940">
        <f ca="1">27525.573442243*((RANDBETWEEN(2979,3282)))</f>
        <v>86953286.504045501</v>
      </c>
      <c r="B1940">
        <v>202886274.48153597</v>
      </c>
    </row>
    <row r="1941" spans="1:2" x14ac:dyDescent="0.25">
      <c r="A1941">
        <f ca="1">26524.7420781659*((RANDBETWEEN(2979,3282)))</f>
        <v>79865998.397357449</v>
      </c>
      <c r="B1941">
        <v>158856790.84222043</v>
      </c>
    </row>
    <row r="1942" spans="1:2" x14ac:dyDescent="0.25">
      <c r="A1942">
        <f ca="1">26277.8208868258*((RANDBETWEEN(2979,3282)))</f>
        <v>82617468.868180439</v>
      </c>
      <c r="B1942">
        <v>147197586.30408338</v>
      </c>
    </row>
    <row r="1943" spans="1:2" x14ac:dyDescent="0.25">
      <c r="A1943">
        <f ca="1">28748.968570073*((RANDBETWEEN(2979,3282)))</f>
        <v>86965629.924470976</v>
      </c>
      <c r="B1943">
        <v>160434227.43114153</v>
      </c>
    </row>
    <row r="1944" spans="1:2" x14ac:dyDescent="0.25">
      <c r="A1944">
        <f ca="1">27151.04476897*((RANDBETWEEN(2979,3282)))</f>
        <v>89109728.931759477</v>
      </c>
      <c r="B1944">
        <v>188380530.00681594</v>
      </c>
    </row>
    <row r="1945" spans="1:2" x14ac:dyDescent="0.25">
      <c r="A1945">
        <f ca="1">27599.1931025731*((RANDBETWEEN(2979,3282)))</f>
        <v>87268648.590336129</v>
      </c>
      <c r="B1945">
        <v>148002236.53987956</v>
      </c>
    </row>
    <row r="1946" spans="1:2" x14ac:dyDescent="0.25">
      <c r="A1946">
        <f ca="1">26878.9832087466*((RANDBETWEEN(2979,3282)))</f>
        <v>81147650.307206005</v>
      </c>
      <c r="B1946">
        <v>144195010.06739205</v>
      </c>
    </row>
    <row r="1947" spans="1:2" x14ac:dyDescent="0.25">
      <c r="A1947">
        <f ca="1">28496.4044013053*((RANDBETWEEN(2979,3282)))</f>
        <v>87398472.29880327</v>
      </c>
      <c r="B1947">
        <v>172439829.90312949</v>
      </c>
    </row>
    <row r="1948" spans="1:2" x14ac:dyDescent="0.25">
      <c r="A1948">
        <f ca="1">26217.9704983808*((RANDBETWEEN(2979,3282)))</f>
        <v>81931157.807440057</v>
      </c>
      <c r="B1948">
        <v>159807076.37360936</v>
      </c>
    </row>
    <row r="1949" spans="1:2" x14ac:dyDescent="0.25">
      <c r="A1949">
        <f ca="1">26978.1664905766*((RANDBETWEEN(2979,3282)))</f>
        <v>80637739.640333459</v>
      </c>
      <c r="B1949">
        <v>150213616.6924164</v>
      </c>
    </row>
    <row r="1950" spans="1:2" x14ac:dyDescent="0.25">
      <c r="A1950">
        <f ca="1">26391.8562639015*((RANDBETWEEN(2979,3282)))</f>
        <v>81471660.286663935</v>
      </c>
      <c r="B1950">
        <v>156870547.18141001</v>
      </c>
    </row>
    <row r="1951" spans="1:2" x14ac:dyDescent="0.25">
      <c r="A1951">
        <f ca="1">30384.5096651805*((RANDBETWEEN(2979,3282)))</f>
        <v>91973910.756501272</v>
      </c>
      <c r="B1951">
        <v>148569721.24601147</v>
      </c>
    </row>
    <row r="1952" spans="1:2" x14ac:dyDescent="0.25">
      <c r="A1952">
        <f ca="1">28472.3104578213*((RANDBETWEEN(2979,3282)))</f>
        <v>90456530.324498326</v>
      </c>
      <c r="B1952">
        <v>175534946.38610342</v>
      </c>
    </row>
    <row r="1953" spans="1:2" x14ac:dyDescent="0.25">
      <c r="A1953">
        <f ca="1">31117.1847376345*((RANDBETWEEN(2979,3282)))</f>
        <v>98828178.726727292</v>
      </c>
      <c r="B1953">
        <v>147799279.88533926</v>
      </c>
    </row>
    <row r="1954" spans="1:2" x14ac:dyDescent="0.25">
      <c r="A1954">
        <f ca="1">26163.8927398446*((RANDBETWEEN(2979,3282)))</f>
        <v>81212723.064477608</v>
      </c>
      <c r="B1954">
        <v>144951425.8809506</v>
      </c>
    </row>
    <row r="1955" spans="1:2" x14ac:dyDescent="0.25">
      <c r="A1955">
        <f ca="1">29390.1984190822*((RANDBETWEEN(2979,3282)))</f>
        <v>95312413.473083436</v>
      </c>
      <c r="B1955">
        <v>161028601.68066043</v>
      </c>
    </row>
    <row r="1956" spans="1:2" x14ac:dyDescent="0.25">
      <c r="A1956">
        <f ca="1">28673.7721687373*((RANDBETWEEN(2979,3282)))</f>
        <v>93046390.687552407</v>
      </c>
      <c r="B1956">
        <v>149263632.18850473</v>
      </c>
    </row>
    <row r="1957" spans="1:2" x14ac:dyDescent="0.25">
      <c r="A1957">
        <f ca="1">28802.2081674415*((RANDBETWEEN(2979,3282)))</f>
        <v>92138263.92764546</v>
      </c>
      <c r="B1957">
        <v>197293185.91292167</v>
      </c>
    </row>
    <row r="1958" spans="1:2" x14ac:dyDescent="0.25">
      <c r="A1958">
        <f ca="1">27726.9922603062*((RANDBETWEEN(2979,3282)))</f>
        <v>85482317.138523906</v>
      </c>
      <c r="B1958">
        <v>201740115.54861167</v>
      </c>
    </row>
    <row r="1959" spans="1:2" x14ac:dyDescent="0.25">
      <c r="A1959">
        <f ca="1">26899.2651613352*((RANDBETWEEN(2979,3282)))</f>
        <v>86131447.046595275</v>
      </c>
      <c r="B1959">
        <v>152120776.39976162</v>
      </c>
    </row>
    <row r="1960" spans="1:2" x14ac:dyDescent="0.25">
      <c r="A1960">
        <f ca="1">27732.08462658*((RANDBETWEEN(2979,3282)))</f>
        <v>84499661.857189208</v>
      </c>
      <c r="B1960">
        <v>170890770.36849552</v>
      </c>
    </row>
    <row r="1961" spans="1:2" x14ac:dyDescent="0.25">
      <c r="A1961">
        <f ca="1">27056.3735864996*((RANDBETWEEN(2979,3282)))</f>
        <v>80736218.782114923</v>
      </c>
      <c r="B1961">
        <v>176291504.01093867</v>
      </c>
    </row>
    <row r="1962" spans="1:2" x14ac:dyDescent="0.25">
      <c r="A1962">
        <f ca="1">26027.333310758*((RANDBETWEEN(2979,3282)))</f>
        <v>85395680.592597097</v>
      </c>
      <c r="B1962">
        <v>195263733.91859064</v>
      </c>
    </row>
    <row r="1963" spans="1:2" x14ac:dyDescent="0.25">
      <c r="A1963">
        <f ca="1">28745.4203591664*((RANDBETWEEN(2979,3282)))</f>
        <v>88535894.706232414</v>
      </c>
      <c r="B1963">
        <v>189514184.11680639</v>
      </c>
    </row>
    <row r="1964" spans="1:2" x14ac:dyDescent="0.25">
      <c r="A1964">
        <f ca="1">27331.3848311234*((RANDBETWEEN(2979,3282)))</f>
        <v>81830166.184383333</v>
      </c>
      <c r="B1964">
        <v>156741706.15854639</v>
      </c>
    </row>
    <row r="1965" spans="1:2" x14ac:dyDescent="0.25">
      <c r="A1965">
        <f ca="1">29888.1797712734*((RANDBETWEEN(2979,3282)))</f>
        <v>89305881.156564772</v>
      </c>
      <c r="B1965">
        <v>190930415.74147382</v>
      </c>
    </row>
    <row r="1966" spans="1:2" x14ac:dyDescent="0.25">
      <c r="A1966">
        <f ca="1">33639.3232850953*((RANDBETWEEN(2979,3282)))</f>
        <v>104584656.09336159</v>
      </c>
      <c r="B1966">
        <v>192548717.49299419</v>
      </c>
    </row>
    <row r="1967" spans="1:2" x14ac:dyDescent="0.25">
      <c r="A1967">
        <f ca="1">26838.573055424*((RANDBETWEEN(2979,3282)))</f>
        <v>81535584.942377999</v>
      </c>
      <c r="B1967">
        <v>169190235.22255552</v>
      </c>
    </row>
    <row r="1968" spans="1:2" x14ac:dyDescent="0.25">
      <c r="A1968">
        <f ca="1">26935.1521769457*((RANDBETWEEN(2979,3282)))</f>
        <v>84495572.379078716</v>
      </c>
      <c r="B1968">
        <v>203453126.71347803</v>
      </c>
    </row>
    <row r="1969" spans="1:2" x14ac:dyDescent="0.25">
      <c r="A1969">
        <f ca="1">29166.8192045745*((RANDBETWEEN(2979,3282)))</f>
        <v>91700479.579182252</v>
      </c>
      <c r="B1969">
        <v>170155388.27272707</v>
      </c>
    </row>
    <row r="1970" spans="1:2" x14ac:dyDescent="0.25">
      <c r="A1970">
        <f ca="1">32997.4144988897*((RANDBETWEEN(2979,3282)))</f>
        <v>104469814.30348463</v>
      </c>
      <c r="B1970">
        <v>203042225.87355518</v>
      </c>
    </row>
    <row r="1971" spans="1:2" x14ac:dyDescent="0.25">
      <c r="A1971">
        <f ca="1">30354.7292377411*((RANDBETWEEN(2979,3282)))</f>
        <v>97286907.206960112</v>
      </c>
      <c r="B1971">
        <v>160088228.01272845</v>
      </c>
    </row>
    <row r="1972" spans="1:2" x14ac:dyDescent="0.25">
      <c r="A1972">
        <f ca="1">26408.8680615834*((RANDBETWEEN(2979,3282)))</f>
        <v>80705500.796198934</v>
      </c>
      <c r="B1972">
        <v>202330864.57280165</v>
      </c>
    </row>
    <row r="1973" spans="1:2" x14ac:dyDescent="0.25">
      <c r="A1973">
        <f ca="1">25698.8795803779*((RANDBETWEEN(2979,3282)))</f>
        <v>83264369.840424478</v>
      </c>
      <c r="B1973">
        <v>166335063.05886057</v>
      </c>
    </row>
    <row r="1974" spans="1:2" x14ac:dyDescent="0.25">
      <c r="A1974">
        <f ca="1">30614.0927627619*((RANDBETWEEN(2979,3282)))</f>
        <v>93770966.132339582</v>
      </c>
      <c r="B1974">
        <v>180971846.35568416</v>
      </c>
    </row>
    <row r="1975" spans="1:2" x14ac:dyDescent="0.25">
      <c r="A1975">
        <f ca="1">32857.0435081568*((RANDBETWEEN(2979,3282)))</f>
        <v>98439702.350437731</v>
      </c>
      <c r="B1975">
        <v>196086113.31357929</v>
      </c>
    </row>
    <row r="1976" spans="1:2" x14ac:dyDescent="0.25">
      <c r="A1976">
        <f ca="1">26733.5262532378*((RANDBETWEEN(2979,3282)))</f>
        <v>85467083.431601256</v>
      </c>
      <c r="B1976">
        <v>188112724.03656015</v>
      </c>
    </row>
    <row r="1977" spans="1:2" x14ac:dyDescent="0.25">
      <c r="A1977">
        <f ca="1">26620.1676225992*((RANDBETWEEN(2979,3282)))</f>
        <v>79966983.538288072</v>
      </c>
      <c r="B1977">
        <v>163694429.55978346</v>
      </c>
    </row>
    <row r="1978" spans="1:2" x14ac:dyDescent="0.25">
      <c r="A1978">
        <f ca="1">28011.7140986931*((RANDBETWEEN(2979,3282)))</f>
        <v>91150117.677147403</v>
      </c>
      <c r="B1978">
        <v>166760161.32650423</v>
      </c>
    </row>
    <row r="1979" spans="1:2" x14ac:dyDescent="0.25">
      <c r="A1979">
        <f ca="1">29085.6469228841*((RANDBETWEEN(2979,3282)))</f>
        <v>95313664.966291249</v>
      </c>
      <c r="B1979">
        <v>198836491.93017685</v>
      </c>
    </row>
    <row r="1980" spans="1:2" x14ac:dyDescent="0.25">
      <c r="A1980">
        <f ca="1">30862.0439739745*((RANDBETWEEN(2979,3282)))</f>
        <v>96598197.638540253</v>
      </c>
      <c r="B1980">
        <v>157874277.61721841</v>
      </c>
    </row>
    <row r="1981" spans="1:2" x14ac:dyDescent="0.25">
      <c r="A1981">
        <f ca="1">28986.0074600019*((RANDBETWEEN(2979,3282)))</f>
        <v>86871064.357625633</v>
      </c>
      <c r="B1981">
        <v>173247753.25499791</v>
      </c>
    </row>
    <row r="1982" spans="1:2" x14ac:dyDescent="0.25">
      <c r="A1982">
        <f ca="1">24157.9389275761*((RANDBETWEEN(2979,3282)))</f>
        <v>78803196.781753212</v>
      </c>
      <c r="B1982">
        <v>168024613.46715498</v>
      </c>
    </row>
    <row r="1983" spans="1:2" x14ac:dyDescent="0.25">
      <c r="A1983">
        <f ca="1">26291.0611504524*((RANDBETWEEN(2979,3282)))</f>
        <v>78557690.717551768</v>
      </c>
      <c r="B1983">
        <v>158418109.24329495</v>
      </c>
    </row>
    <row r="1984" spans="1:2" x14ac:dyDescent="0.25">
      <c r="A1984">
        <f ca="1">30114.6285749642*((RANDBETWEEN(2979,3282)))</f>
        <v>94770736.12541233</v>
      </c>
      <c r="B1984">
        <v>175954792.4606787</v>
      </c>
    </row>
    <row r="1985" spans="1:2" x14ac:dyDescent="0.25">
      <c r="A1985">
        <f ca="1">29717.7311738697*((RANDBETWEEN(2979,3282)))</f>
        <v>92422143.950734869</v>
      </c>
      <c r="B1985">
        <v>201464650.58041155</v>
      </c>
    </row>
    <row r="1986" spans="1:2" x14ac:dyDescent="0.25">
      <c r="A1986">
        <f ca="1">26087.1116943913*((RANDBETWEEN(2979,3282)))</f>
        <v>80739610.69414103</v>
      </c>
      <c r="B1986">
        <v>158509843.97159597</v>
      </c>
    </row>
    <row r="1987" spans="1:2" x14ac:dyDescent="0.25">
      <c r="A1987">
        <f ca="1">28123.4159110046*((RANDBETWEEN(2979,3282)))</f>
        <v>90276165.074324802</v>
      </c>
      <c r="B1987">
        <v>175176281.85501474</v>
      </c>
    </row>
    <row r="1988" spans="1:2" x14ac:dyDescent="0.25">
      <c r="A1988">
        <f ca="1">26969.6072866371*((RANDBETWEEN(2979,3282)))</f>
        <v>84657597.272753775</v>
      </c>
      <c r="B1988">
        <v>169607408.64367318</v>
      </c>
    </row>
    <row r="1989" spans="1:2" x14ac:dyDescent="0.25">
      <c r="A1989">
        <f ca="1">26437.7754692078*((RANDBETWEEN(2979,3282)))</f>
        <v>82670923.892212704</v>
      </c>
      <c r="B1989">
        <v>150326347.7420001</v>
      </c>
    </row>
    <row r="1990" spans="1:2" x14ac:dyDescent="0.25">
      <c r="A1990">
        <f ca="1">27882.1009185563*((RANDBETWEEN(2979,3282)))</f>
        <v>88665080.921009079</v>
      </c>
      <c r="B1990">
        <v>203330536.58273184</v>
      </c>
    </row>
    <row r="1991" spans="1:2" x14ac:dyDescent="0.25">
      <c r="A1991">
        <f ca="1">27237.6287600304*((RANDBETWEEN(2979,3282)))</f>
        <v>85825768.222855896</v>
      </c>
      <c r="B1991">
        <v>173823348.52275184</v>
      </c>
    </row>
    <row r="1992" spans="1:2" x14ac:dyDescent="0.25">
      <c r="A1992">
        <f ca="1">25875.0387789111*((RANDBETWEEN(2979,3282)))</f>
        <v>84326751.380471379</v>
      </c>
      <c r="B1992">
        <v>150127547.12153965</v>
      </c>
    </row>
    <row r="1993" spans="1:2" x14ac:dyDescent="0.25">
      <c r="A1993">
        <f ca="1">25822.8576363363*((RANDBETWEEN(2979,3282)))</f>
        <v>82013395.853004068</v>
      </c>
      <c r="B1993">
        <v>158841519.09282577</v>
      </c>
    </row>
    <row r="1994" spans="1:2" x14ac:dyDescent="0.25">
      <c r="A1994">
        <f ca="1">26621.9112164409*((RANDBETWEEN(2979,3282)))</f>
        <v>79812489.826889917</v>
      </c>
      <c r="B1994">
        <v>170584859.83728659</v>
      </c>
    </row>
    <row r="1995" spans="1:2" x14ac:dyDescent="0.25">
      <c r="A1995">
        <f ca="1">26310.4685721067*((RANDBETWEEN(2979,3282)))</f>
        <v>85640575.202207208</v>
      </c>
      <c r="B1995">
        <v>146884046.22168258</v>
      </c>
    </row>
    <row r="1996" spans="1:2" x14ac:dyDescent="0.25">
      <c r="A1996">
        <f ca="1">26460.9841727791*((RANDBETWEEN(2979,3282)))</f>
        <v>81949667.983096853</v>
      </c>
      <c r="B1996">
        <v>146630757.24500671</v>
      </c>
    </row>
    <row r="1997" spans="1:2" x14ac:dyDescent="0.25">
      <c r="A1997">
        <f ca="1">27511.1131271532*((RANDBETWEEN(2979,3282)))</f>
        <v>86109784.08798945</v>
      </c>
      <c r="B1997">
        <v>161428006.38642183</v>
      </c>
    </row>
    <row r="1998" spans="1:2" x14ac:dyDescent="0.25">
      <c r="A1998">
        <f ca="1">27617.3243592373*((RANDBETWEEN(2979,3282)))</f>
        <v>87850708.786733776</v>
      </c>
      <c r="B1998">
        <v>172170411.86125913</v>
      </c>
    </row>
    <row r="1999" spans="1:2" x14ac:dyDescent="0.25">
      <c r="A1999">
        <f ca="1">27925.5205077221*((RANDBETWEEN(2979,3282)))</f>
        <v>86122305.245814949</v>
      </c>
      <c r="B1999">
        <v>148284440.7241717</v>
      </c>
    </row>
    <row r="2000" spans="1:2" x14ac:dyDescent="0.25">
      <c r="A2000">
        <f ca="1">27386.0473969618*((RANDBETWEEN(2979,3282)))</f>
        <v>89497602.893271148</v>
      </c>
      <c r="B2000">
        <v>184143158.05113152</v>
      </c>
    </row>
    <row r="2001" spans="1:2" x14ac:dyDescent="0.25">
      <c r="A2001">
        <f ca="1">25875.0383807621*((RANDBETWEEN(2979,3282)))</f>
        <v>79099992.329989746</v>
      </c>
      <c r="B2001">
        <v>178022082.86985981</v>
      </c>
    </row>
    <row r="2002" spans="1:2" x14ac:dyDescent="0.25">
      <c r="A2002">
        <f ca="1">32087.3077400255*((RANDBETWEEN(2979,3282)))</f>
        <v>103930789.76994266</v>
      </c>
      <c r="B2002">
        <v>200640869.16615596</v>
      </c>
    </row>
    <row r="2003" spans="1:2" x14ac:dyDescent="0.25">
      <c r="A2003">
        <f ca="1">27272.1498054253*((RANDBETWEEN(2979,3282)))</f>
        <v>86289081.984365642</v>
      </c>
      <c r="B2003">
        <v>168674086.99079686</v>
      </c>
    </row>
    <row r="2004" spans="1:2" x14ac:dyDescent="0.25">
      <c r="A2004">
        <f ca="1">26408.4462666444*((RANDBETWEEN(2979,3282)))</f>
        <v>83160197.293663144</v>
      </c>
      <c r="B2004">
        <v>169094563.43887687</v>
      </c>
    </row>
    <row r="2005" spans="1:2" x14ac:dyDescent="0.25">
      <c r="A2005">
        <f ca="1">27221.2008549187*((RANDBETWEEN(2979,3282)))</f>
        <v>86536197.517786428</v>
      </c>
      <c r="B2005">
        <v>194841405.05977392</v>
      </c>
    </row>
    <row r="2006" spans="1:2" x14ac:dyDescent="0.25">
      <c r="A2006">
        <f ca="1">30001.6280419156*((RANDBETWEEN(2979,3282)))</f>
        <v>94745141.356369525</v>
      </c>
      <c r="B2006">
        <v>181792116.41968855</v>
      </c>
    </row>
    <row r="2007" spans="1:2" x14ac:dyDescent="0.25">
      <c r="A2007">
        <f ca="1">28986.2311302185*((RANDBETWEEN(2979,3282)))</f>
        <v>94176264.942079917</v>
      </c>
      <c r="B2007">
        <v>146019372.78364664</v>
      </c>
    </row>
    <row r="2008" spans="1:2" x14ac:dyDescent="0.25">
      <c r="A2008">
        <f ca="1">34365.7191783533*((RANDBETWEEN(2979,3282)))</f>
        <v>107117946.67892717</v>
      </c>
      <c r="B2008">
        <v>195710073.21530974</v>
      </c>
    </row>
    <row r="2009" spans="1:2" x14ac:dyDescent="0.25">
      <c r="A2009">
        <f ca="1">31779.9834103898*((RANDBETWEEN(2979,3282)))</f>
        <v>95053930.380475909</v>
      </c>
      <c r="B2009">
        <v>145712407.0643006</v>
      </c>
    </row>
    <row r="2010" spans="1:2" x14ac:dyDescent="0.25">
      <c r="A2010">
        <f ca="1">29905.9279636413*((RANDBETWEEN(2979,3282)))</f>
        <v>95998028.763288587</v>
      </c>
      <c r="B2010">
        <v>148206094.99628419</v>
      </c>
    </row>
    <row r="2011" spans="1:2" x14ac:dyDescent="0.25">
      <c r="A2011">
        <f ca="1">30725.2338879245*((RANDBETWEEN(2979,3282)))</f>
        <v>94695170.842583448</v>
      </c>
      <c r="B2011">
        <v>189974322.87777105</v>
      </c>
    </row>
    <row r="2012" spans="1:2" x14ac:dyDescent="0.25">
      <c r="A2012">
        <f ca="1">28243.8436211894*((RANDBETWEEN(2979,3282)))</f>
        <v>85635333.859446213</v>
      </c>
      <c r="B2012">
        <v>173732471.69193771</v>
      </c>
    </row>
    <row r="2013" spans="1:2" x14ac:dyDescent="0.25">
      <c r="A2013">
        <f ca="1">26370.3605511608*((RANDBETWEEN(2979,3282)))</f>
        <v>85571819.988516822</v>
      </c>
      <c r="B2013">
        <v>176367789.57585615</v>
      </c>
    </row>
    <row r="2014" spans="1:2" x14ac:dyDescent="0.25">
      <c r="A2014">
        <f ca="1">27384.3993178181*((RANDBETWEEN(2979,3282)))</f>
        <v>83905799.509794682</v>
      </c>
      <c r="B2014">
        <v>156829277.35969287</v>
      </c>
    </row>
    <row r="2015" spans="1:2" x14ac:dyDescent="0.25">
      <c r="A2015">
        <f ca="1">28843.3303376169*((RANDBETWEEN(2979,3282)))</f>
        <v>88664397.457834497</v>
      </c>
      <c r="B2015">
        <v>168451389.06526172</v>
      </c>
    </row>
    <row r="2016" spans="1:2" x14ac:dyDescent="0.25">
      <c r="A2016">
        <f ca="1">28573.3509769065*((RANDBETWEEN(2979,3282)))</f>
        <v>85634332.877788886</v>
      </c>
      <c r="B2016">
        <v>174915623.21555719</v>
      </c>
    </row>
    <row r="2017" spans="1:2" x14ac:dyDescent="0.25">
      <c r="A2017">
        <f ca="1">32830.2122859574*((RANDBETWEEN(2979,3282)))</f>
        <v>101642337.23732416</v>
      </c>
      <c r="B2017">
        <v>180937561.44937798</v>
      </c>
    </row>
    <row r="2018" spans="1:2" x14ac:dyDescent="0.25">
      <c r="A2018">
        <f ca="1">26854.1023767784*((RANDBETWEEN(2979,3282)))</f>
        <v>85530316.070039362</v>
      </c>
      <c r="B2018">
        <v>170853332.17624158</v>
      </c>
    </row>
    <row r="2019" spans="1:2" x14ac:dyDescent="0.25">
      <c r="A2019">
        <f ca="1">30225.3519026747*((RANDBETWEEN(2979,3282)))</f>
        <v>91885069.784131184</v>
      </c>
      <c r="B2019">
        <v>148338137.24603343</v>
      </c>
    </row>
    <row r="2020" spans="1:2" x14ac:dyDescent="0.25">
      <c r="A2020">
        <f ca="1">26928.062693234*((RANDBETWEEN(2979,3282)))</f>
        <v>80595691.640849248</v>
      </c>
      <c r="B2020">
        <v>153263657.44263026</v>
      </c>
    </row>
    <row r="2021" spans="1:2" x14ac:dyDescent="0.25">
      <c r="A2021">
        <f ca="1">28479.2800986183*((RANDBETWEEN(2979,3282)))</f>
        <v>91361530.556367651</v>
      </c>
      <c r="B2021">
        <v>166783388.05530983</v>
      </c>
    </row>
    <row r="2022" spans="1:2" x14ac:dyDescent="0.25">
      <c r="A2022">
        <f ca="1">26956.2355857545*((RANDBETWEEN(2979,3282)))</f>
        <v>82351299.714479893</v>
      </c>
      <c r="B2022">
        <v>156501046.84636524</v>
      </c>
    </row>
    <row r="2023" spans="1:2" x14ac:dyDescent="0.25">
      <c r="A2023">
        <f ca="1">27711.8443949734*((RANDBETWEEN(2979,3282)))</f>
        <v>83856041.139189512</v>
      </c>
      <c r="B2023">
        <v>150681447.46814704</v>
      </c>
    </row>
    <row r="2024" spans="1:2" x14ac:dyDescent="0.25">
      <c r="A2024">
        <f ca="1">26502.4880444842*((RANDBETWEEN(2979,3282)))</f>
        <v>79666479.061719537</v>
      </c>
      <c r="B2024">
        <v>153139876.7302056</v>
      </c>
    </row>
    <row r="2025" spans="1:2" x14ac:dyDescent="0.25">
      <c r="A2025">
        <f ca="1">29273.3762949736*((RANDBETWEEN(2979,3282)))</f>
        <v>94113904.788340122</v>
      </c>
      <c r="B2025">
        <v>165253720.31796664</v>
      </c>
    </row>
    <row r="2026" spans="1:2" x14ac:dyDescent="0.25">
      <c r="A2026">
        <f ca="1">27969.0139687049*((RANDBETWEEN(2979,3282)))</f>
        <v>89528813.713824302</v>
      </c>
      <c r="B2026">
        <v>158435920.79170331</v>
      </c>
    </row>
    <row r="2027" spans="1:2" x14ac:dyDescent="0.25">
      <c r="A2027">
        <f ca="1">29048.699447318*((RANDBETWEEN(2979,3282)))</f>
        <v>94408273.203783512</v>
      </c>
      <c r="B2027">
        <v>166439148.78780219</v>
      </c>
    </row>
    <row r="2028" spans="1:2" x14ac:dyDescent="0.25">
      <c r="A2028">
        <f ca="1">26125.7314073851*((RANDBETWEEN(2979,3282)))</f>
        <v>84960878.536816344</v>
      </c>
      <c r="B2028">
        <v>145792176.33060429</v>
      </c>
    </row>
    <row r="2029" spans="1:2" x14ac:dyDescent="0.25">
      <c r="A2029">
        <f ca="1">25584.1666429425*((RANDBETWEEN(2979,3282)))</f>
        <v>81511154.924414784</v>
      </c>
      <c r="B2029">
        <v>148595775.41175532</v>
      </c>
    </row>
    <row r="2030" spans="1:2" x14ac:dyDescent="0.25">
      <c r="A2030">
        <f ca="1">27310.788199228*((RANDBETWEEN(2979,3282)))</f>
        <v>83215971.64304778</v>
      </c>
      <c r="B2030">
        <v>159048885.72139201</v>
      </c>
    </row>
    <row r="2031" spans="1:2" x14ac:dyDescent="0.25">
      <c r="A2031">
        <f ca="1">27111.5684644027*((RANDBETWEEN(2979,3282)))</f>
        <v>81036478.140099704</v>
      </c>
      <c r="B2031">
        <v>163608171.26238835</v>
      </c>
    </row>
    <row r="2032" spans="1:2" x14ac:dyDescent="0.25">
      <c r="A2032">
        <f ca="1">28716.6829348398*((RANDBETWEEN(2979,3282)))</f>
        <v>93817403.148121655</v>
      </c>
      <c r="B2032">
        <v>144571742.75497368</v>
      </c>
    </row>
    <row r="2033" spans="1:2" x14ac:dyDescent="0.25">
      <c r="A2033">
        <f ca="1">26026.7394417768*((RANDBETWEEN(2979,3282)))</f>
        <v>81099320.100576475</v>
      </c>
      <c r="B2033">
        <v>158713802.056813</v>
      </c>
    </row>
    <row r="2034" spans="1:2" x14ac:dyDescent="0.25">
      <c r="A2034">
        <f ca="1">30197.4772275819*((RANDBETWEEN(2979,3282)))</f>
        <v>94336918.858965963</v>
      </c>
      <c r="B2034">
        <v>194160878.06285125</v>
      </c>
    </row>
    <row r="2035" spans="1:2" x14ac:dyDescent="0.25">
      <c r="A2035">
        <f ca="1">27947.2173645799*((RANDBETWEEN(2979,3282)))</f>
        <v>90716667.565426499</v>
      </c>
      <c r="B2035">
        <v>188265166.01162919</v>
      </c>
    </row>
    <row r="2036" spans="1:2" x14ac:dyDescent="0.25">
      <c r="A2036">
        <f ca="1">32213.2928249887*((RANDBETWEEN(2979,3282)))</f>
        <v>105691813.75878777</v>
      </c>
      <c r="B2036">
        <v>161737554.57802796</v>
      </c>
    </row>
    <row r="2037" spans="1:2" x14ac:dyDescent="0.25">
      <c r="A2037">
        <f ca="1">27182.9024187423*((RANDBETWEEN(2979,3282)))</f>
        <v>83723339.449726358</v>
      </c>
      <c r="B2037">
        <v>147833809.25320232</v>
      </c>
    </row>
    <row r="2038" spans="1:2" x14ac:dyDescent="0.25">
      <c r="A2038">
        <f ca="1">31159.9355151662*((RANDBETWEEN(2979,3282)))</f>
        <v>101924149.07010853</v>
      </c>
      <c r="B2038">
        <v>195072257.86257124</v>
      </c>
    </row>
    <row r="2039" spans="1:2" x14ac:dyDescent="0.25">
      <c r="A2039">
        <f ca="1">27397.035369143*((RANDBETWEEN(2979,3282)))</f>
        <v>81999326.859844968</v>
      </c>
      <c r="B2039">
        <v>160304603.2766884</v>
      </c>
    </row>
    <row r="2040" spans="1:2" x14ac:dyDescent="0.25">
      <c r="A2040">
        <f ca="1">26651.1784074201*((RANDBETWEEN(2979,3282)))</f>
        <v>84724096.157188565</v>
      </c>
      <c r="B2040">
        <v>143423816.16182104</v>
      </c>
    </row>
    <row r="2041" spans="1:2" x14ac:dyDescent="0.25">
      <c r="A2041">
        <f ca="1">27290.5330452594*((RANDBETWEEN(2979,3282)))</f>
        <v>82663024.59409067</v>
      </c>
      <c r="B2041">
        <v>160880698.69574201</v>
      </c>
    </row>
    <row r="2042" spans="1:2" x14ac:dyDescent="0.25">
      <c r="A2042">
        <f ca="1">31941.0917970158*((RANDBETWEEN(2979,3282)))</f>
        <v>101732377.37349534</v>
      </c>
      <c r="B2042">
        <v>200086710.97632399</v>
      </c>
    </row>
    <row r="2043" spans="1:2" x14ac:dyDescent="0.25">
      <c r="A2043">
        <f ca="1">26522.3917903515*((RANDBETWEEN(2979,3282)))</f>
        <v>86065161.359690577</v>
      </c>
      <c r="B2043">
        <v>154863363.58364576</v>
      </c>
    </row>
    <row r="2044" spans="1:2" x14ac:dyDescent="0.25">
      <c r="A2044">
        <f ca="1">27598.0956609351*((RANDBETWEEN(2979,3282)))</f>
        <v>85471302.261916131</v>
      </c>
      <c r="B2044">
        <v>160681820.27231935</v>
      </c>
    </row>
    <row r="2045" spans="1:2" x14ac:dyDescent="0.25">
      <c r="A2045">
        <f ca="1">25896.2567412429*((RANDBETWEEN(2979,3282)))</f>
        <v>84836137.084311754</v>
      </c>
      <c r="B2045">
        <v>150668059.66044736</v>
      </c>
    </row>
    <row r="2046" spans="1:2" x14ac:dyDescent="0.25">
      <c r="A2046">
        <f ca="1">30873.3141388632*((RANDBETWEEN(2979,3282)))</f>
        <v>96787839.825336024</v>
      </c>
      <c r="B2046">
        <v>159986330.91930294</v>
      </c>
    </row>
    <row r="2047" spans="1:2" x14ac:dyDescent="0.25">
      <c r="A2047">
        <f ca="1">27280.5015951124*((RANDBETWEEN(2979,3282)))</f>
        <v>88006898.145832688</v>
      </c>
      <c r="B2047">
        <v>167236550.32034761</v>
      </c>
    </row>
    <row r="2048" spans="1:2" x14ac:dyDescent="0.25">
      <c r="A2048">
        <f ca="1">28521.4708580363*((RANDBETWEEN(2979,3282)))</f>
        <v>85421805.219818681</v>
      </c>
      <c r="B2048">
        <v>179332486.1046052</v>
      </c>
    </row>
    <row r="2049" spans="1:2" x14ac:dyDescent="0.25">
      <c r="A2049">
        <f ca="1">27277.6199131927*((RANDBETWEEN(2979,3282)))</f>
        <v>86906497.043431908</v>
      </c>
      <c r="B2049">
        <v>166727002.86325556</v>
      </c>
    </row>
    <row r="2050" spans="1:2" x14ac:dyDescent="0.25">
      <c r="A2050">
        <f ca="1">26246.2931494941*((RANDBETWEEN(2979,3282)))</f>
        <v>79316297.897771209</v>
      </c>
      <c r="B2050">
        <v>154483409.87885696</v>
      </c>
    </row>
    <row r="2051" spans="1:2" x14ac:dyDescent="0.25">
      <c r="A2051">
        <f ca="1">30759.6194013826*((RANDBETWEEN(2979,3282)))</f>
        <v>99445849.524670079</v>
      </c>
      <c r="B2051">
        <v>156666714.81985813</v>
      </c>
    </row>
    <row r="2052" spans="1:2" x14ac:dyDescent="0.25">
      <c r="A2052">
        <f ca="1">28405.9863702051*((RANDBETWEEN(2979,3282)))</f>
        <v>89876540.875328958</v>
      </c>
      <c r="B2052">
        <v>161571055.30389309</v>
      </c>
    </row>
    <row r="2053" spans="1:2" x14ac:dyDescent="0.25">
      <c r="A2053">
        <f ca="1">27004.6023332912*((RANDBETWEEN(2979,3282)))</f>
        <v>83228184.391203552</v>
      </c>
      <c r="B2053">
        <v>143380634.60638696</v>
      </c>
    </row>
    <row r="2054" spans="1:2" x14ac:dyDescent="0.25">
      <c r="A2054">
        <f ca="1">27581.5189673063*((RANDBETWEEN(2979,3282)))</f>
        <v>86633551.076308995</v>
      </c>
      <c r="B2054">
        <v>196894722.779989</v>
      </c>
    </row>
    <row r="2055" spans="1:2" x14ac:dyDescent="0.25">
      <c r="A2055">
        <f ca="1">27080.2233781653*((RANDBETWEEN(2979,3282)))</f>
        <v>80753226.113688916</v>
      </c>
      <c r="B2055">
        <v>169825304.94875669</v>
      </c>
    </row>
    <row r="2056" spans="1:2" x14ac:dyDescent="0.25">
      <c r="A2056">
        <f ca="1">26052.0112471429*((RANDBETWEEN(2979,3282)))</f>
        <v>81933575.372264475</v>
      </c>
      <c r="B2056">
        <v>160525462.93420506</v>
      </c>
    </row>
    <row r="2057" spans="1:2" x14ac:dyDescent="0.25">
      <c r="A2057">
        <f ca="1">27205.4136049875*((RANDBETWEEN(2979,3282)))</f>
        <v>81072132.542862609</v>
      </c>
      <c r="B2057">
        <v>163081467.86292803</v>
      </c>
    </row>
    <row r="2058" spans="1:2" x14ac:dyDescent="0.25">
      <c r="A2058">
        <f ca="1">26144.6830459199*((RANDBETWEEN(2979,3282)))</f>
        <v>84551904.970505059</v>
      </c>
      <c r="B2058">
        <v>157953544.25664604</v>
      </c>
    </row>
    <row r="2059" spans="1:2" x14ac:dyDescent="0.25">
      <c r="A2059">
        <f ca="1">28369.5011344637*((RANDBETWEEN(2979,3282)))</f>
        <v>92768268.709696367</v>
      </c>
      <c r="B2059">
        <v>170318901.82513511</v>
      </c>
    </row>
    <row r="2060" spans="1:2" x14ac:dyDescent="0.25">
      <c r="A2060">
        <f ca="1">26235.2698737882*((RANDBETWEEN(2979,3282)))</f>
        <v>82063924.165209368</v>
      </c>
      <c r="B2060">
        <v>168860409.55128425</v>
      </c>
    </row>
    <row r="2061" spans="1:2" x14ac:dyDescent="0.25">
      <c r="A2061">
        <f ca="1">26578.1638782333*((RANDBETWEEN(2979,3282)))</f>
        <v>83402278.24989602</v>
      </c>
      <c r="B2061">
        <v>163141229.25904015</v>
      </c>
    </row>
    <row r="2062" spans="1:2" x14ac:dyDescent="0.25">
      <c r="A2062">
        <f ca="1">32543.5351174138*((RANDBETWEEN(2979,3282)))</f>
        <v>101405655.42586134</v>
      </c>
      <c r="B2062">
        <v>158608460.70243618</v>
      </c>
    </row>
    <row r="2063" spans="1:2" x14ac:dyDescent="0.25">
      <c r="A2063">
        <f ca="1">25511.1424058469*((RANDBETWEEN(2979,3282)))</f>
        <v>79773342.303083301</v>
      </c>
      <c r="B2063">
        <v>148107347.78856197</v>
      </c>
    </row>
    <row r="2064" spans="1:2" x14ac:dyDescent="0.25">
      <c r="A2064">
        <f ca="1">26414.0601801955*((RANDBETWEEN(2979,3282)))</f>
        <v>85898523.705995619</v>
      </c>
      <c r="B2064">
        <v>153944971.96115509</v>
      </c>
    </row>
    <row r="2065" spans="1:2" x14ac:dyDescent="0.25">
      <c r="A2065">
        <f ca="1">27841.5075827434*((RANDBETWEEN(2979,3282)))</f>
        <v>85946733.907928884</v>
      </c>
      <c r="B2065">
        <v>187042928.2246725</v>
      </c>
    </row>
    <row r="2066" spans="1:2" x14ac:dyDescent="0.25">
      <c r="A2066">
        <f ca="1">26337.7219067067*((RANDBETWEEN(2979,3282)))</f>
        <v>81251872.082190305</v>
      </c>
      <c r="B2066">
        <v>184884795.03890708</v>
      </c>
    </row>
    <row r="2067" spans="1:2" x14ac:dyDescent="0.25">
      <c r="A2067">
        <f ca="1">28877.2075653002*((RANDBETWEEN(2979,3282)))</f>
        <v>89952501.565910161</v>
      </c>
      <c r="B2067">
        <v>147022323.09882581</v>
      </c>
    </row>
    <row r="2068" spans="1:2" x14ac:dyDescent="0.25">
      <c r="A2068">
        <f ca="1">31844.0201358788*((RANDBETWEEN(2979,3282)))</f>
        <v>99098590.66285488</v>
      </c>
      <c r="B2068">
        <v>168936512.9886626</v>
      </c>
    </row>
    <row r="2069" spans="1:2" x14ac:dyDescent="0.25">
      <c r="A2069">
        <f ca="1">26484.2301645083*((RANDBETWEEN(2979,3282)))</f>
        <v>85994295.344158471</v>
      </c>
      <c r="B2069">
        <v>178711059.26584917</v>
      </c>
    </row>
    <row r="2070" spans="1:2" x14ac:dyDescent="0.25">
      <c r="A2070">
        <f ca="1">27550.4232709634*((RANDBETWEEN(2979,3282)))</f>
        <v>84359396.055689931</v>
      </c>
      <c r="B2070">
        <v>193060727.91442603</v>
      </c>
    </row>
    <row r="2071" spans="1:2" x14ac:dyDescent="0.25">
      <c r="A2071">
        <f ca="1">32485.1597016477*((RANDBETWEEN(2979,3282)))</f>
        <v>101223757.63033438</v>
      </c>
      <c r="B2071">
        <v>175409526.38553697</v>
      </c>
    </row>
    <row r="2072" spans="1:2" x14ac:dyDescent="0.25">
      <c r="A2072">
        <f ca="1">31037.4471487688*((RANDBETWEEN(2979,3282)))</f>
        <v>97612771.282878026</v>
      </c>
      <c r="B2072">
        <v>186982447.1225853</v>
      </c>
    </row>
    <row r="2073" spans="1:2" x14ac:dyDescent="0.25">
      <c r="A2073">
        <f ca="1">26426.2914880832*((RANDBETWEEN(2979,3282)))</f>
        <v>86070431.376687124</v>
      </c>
      <c r="B2073">
        <v>178306574.05756611</v>
      </c>
    </row>
    <row r="2074" spans="1:2" x14ac:dyDescent="0.25">
      <c r="A2074">
        <f ca="1">26435.461670927*((RANDBETWEEN(2979,3282)))</f>
        <v>79755787.861186638</v>
      </c>
      <c r="B2074">
        <v>158720790.06038439</v>
      </c>
    </row>
    <row r="2075" spans="1:2" x14ac:dyDescent="0.25">
      <c r="A2075">
        <f ca="1">27923.0067906594*((RANDBETWEEN(2979,3282)))</f>
        <v>91029002.137549803</v>
      </c>
      <c r="B2075">
        <v>164331568.27375424</v>
      </c>
    </row>
    <row r="2076" spans="1:2" x14ac:dyDescent="0.25">
      <c r="A2076">
        <f ca="1">26741.6491792914*((RANDBETWEEN(2979,3282)))</f>
        <v>84423386.459022924</v>
      </c>
      <c r="B2076">
        <v>154349070.40406683</v>
      </c>
    </row>
    <row r="2077" spans="1:2" x14ac:dyDescent="0.25">
      <c r="A2077">
        <f ca="1">27216.0781684369*((RANDBETWEEN(2979,3282)))</f>
        <v>86601560.731966242</v>
      </c>
      <c r="B2077">
        <v>183773856.46210748</v>
      </c>
    </row>
    <row r="2078" spans="1:2" x14ac:dyDescent="0.25">
      <c r="A2078">
        <f ca="1">24841.0998156151*((RANDBETWEEN(2979,3282)))</f>
        <v>79516360.509783983</v>
      </c>
      <c r="B2078">
        <v>164537336.47798088</v>
      </c>
    </row>
    <row r="2079" spans="1:2" x14ac:dyDescent="0.25">
      <c r="A2079">
        <f ca="1">26816.3398580614*((RANDBETWEEN(2979,3282)))</f>
        <v>87743064.015576944</v>
      </c>
      <c r="B2079">
        <v>158939015.57918611</v>
      </c>
    </row>
    <row r="2080" spans="1:2" x14ac:dyDescent="0.25">
      <c r="A2080">
        <f ca="1">30329.7338556161*((RANDBETWEEN(2979,3282)))</f>
        <v>90776893.429858938</v>
      </c>
      <c r="B2080">
        <v>189265761.65379432</v>
      </c>
    </row>
    <row r="2081" spans="1:2" x14ac:dyDescent="0.25">
      <c r="A2081">
        <f ca="1">27645.9945001046*((RANDBETWEEN(2979,3282)))</f>
        <v>87029590.686329231</v>
      </c>
      <c r="B2081">
        <v>178998948.89012644</v>
      </c>
    </row>
    <row r="2082" spans="1:2" x14ac:dyDescent="0.25">
      <c r="A2082">
        <f ca="1">27290.9487816067*((RANDBETWEEN(2979,3282)))</f>
        <v>84629232.171762273</v>
      </c>
      <c r="B2082">
        <v>146135224.13135266</v>
      </c>
    </row>
    <row r="2083" spans="1:2" x14ac:dyDescent="0.25">
      <c r="A2083">
        <f ca="1">27534.9883192532*((RANDBETWEEN(2979,3282)))</f>
        <v>89075687.212784231</v>
      </c>
      <c r="B2083">
        <v>151230500.0497078</v>
      </c>
    </row>
    <row r="2084" spans="1:2" x14ac:dyDescent="0.25">
      <c r="A2084">
        <f ca="1">26136.1166752979*((RANDBETWEEN(2979,3282)))</f>
        <v>85517373.761574611</v>
      </c>
      <c r="B2084">
        <v>168931421.86569694</v>
      </c>
    </row>
    <row r="2085" spans="1:2" x14ac:dyDescent="0.25">
      <c r="A2085">
        <f ca="1">31610.3071683892*((RANDBETWEEN(2979,3282)))</f>
        <v>97106863.621291548</v>
      </c>
      <c r="B2085">
        <v>146715831.41701353</v>
      </c>
    </row>
    <row r="2086" spans="1:2" x14ac:dyDescent="0.25">
      <c r="A2086">
        <f ca="1">27918.4005180981*((RANDBETWEEN(2979,3282)))</f>
        <v>91181496.092108235</v>
      </c>
      <c r="B2086">
        <v>192266176.86551255</v>
      </c>
    </row>
    <row r="2087" spans="1:2" x14ac:dyDescent="0.25">
      <c r="A2087">
        <f ca="1">32051.5721793349*((RANDBETWEEN(2979,3282)))</f>
        <v>102020154.24682306</v>
      </c>
      <c r="B2087">
        <v>156778955.73449877</v>
      </c>
    </row>
    <row r="2088" spans="1:2" x14ac:dyDescent="0.25">
      <c r="A2088">
        <f ca="1">25435.5267315559*((RANDBETWEEN(2979,3282)))</f>
        <v>77552921.004513964</v>
      </c>
      <c r="B2088">
        <v>168436112.55011076</v>
      </c>
    </row>
    <row r="2089" spans="1:2" x14ac:dyDescent="0.25">
      <c r="A2089">
        <f ca="1">26418.8003036157*((RANDBETWEEN(2979,3282)))</f>
        <v>85411981.381589621</v>
      </c>
      <c r="B2089">
        <v>150777784.85217881</v>
      </c>
    </row>
    <row r="2090" spans="1:2" x14ac:dyDescent="0.25">
      <c r="A2090">
        <f ca="1">29600.0484080976*((RANDBETWEEN(2979,3282)))</f>
        <v>88267344.352946997</v>
      </c>
      <c r="B2090">
        <v>185851075.41960654</v>
      </c>
    </row>
    <row r="2091" spans="1:2" x14ac:dyDescent="0.25">
      <c r="A2091">
        <f ca="1">27174.2020509771*((RANDBETWEEN(2979,3282)))</f>
        <v>81250864.132421553</v>
      </c>
      <c r="B2091">
        <v>198463302.94983476</v>
      </c>
    </row>
    <row r="2092" spans="1:2" x14ac:dyDescent="0.25">
      <c r="A2092">
        <f ca="1">26619.0030815632*((RANDBETWEEN(2979,3282)))</f>
        <v>86405284.002754256</v>
      </c>
      <c r="B2092">
        <v>153906689.53961432</v>
      </c>
    </row>
    <row r="2093" spans="1:2" x14ac:dyDescent="0.25">
      <c r="A2093">
        <f ca="1">30523.2034370595*((RANDBETWEEN(2979,3282)))</f>
        <v>92180074.379919797</v>
      </c>
      <c r="B2093">
        <v>153516315.47885251</v>
      </c>
    </row>
    <row r="2094" spans="1:2" x14ac:dyDescent="0.25">
      <c r="A2094">
        <f ca="1">26301.8712455825*((RANDBETWEEN(2979,3282)))</f>
        <v>86270137.685510561</v>
      </c>
      <c r="B2094">
        <v>175496108.81208983</v>
      </c>
    </row>
    <row r="2095" spans="1:2" x14ac:dyDescent="0.25">
      <c r="A2095">
        <f ca="1">26330.2107442219*((RANDBETWEEN(2979,3282)))</f>
        <v>83835391.009602398</v>
      </c>
      <c r="B2095">
        <v>149841069.94061631</v>
      </c>
    </row>
    <row r="2096" spans="1:2" x14ac:dyDescent="0.25">
      <c r="A2096">
        <f ca="1">28153.9941218082*((RANDBETWEEN(2979,3282)))</f>
        <v>88910313.436670288</v>
      </c>
      <c r="B2096">
        <v>148225396.42265001</v>
      </c>
    </row>
    <row r="2097" spans="1:2" x14ac:dyDescent="0.25">
      <c r="A2097">
        <f ca="1">26340.302661253*((RANDBETWEEN(2979,3282)))</f>
        <v>83077314.593591958</v>
      </c>
      <c r="B2097">
        <v>187504250.99055046</v>
      </c>
    </row>
    <row r="2098" spans="1:2" x14ac:dyDescent="0.25">
      <c r="A2098">
        <f ca="1">28491.3733423336*((RANDBETWEEN(2979,3282)))</f>
        <v>85645068.267054677</v>
      </c>
      <c r="B2098">
        <v>160975163.97596812</v>
      </c>
    </row>
    <row r="2099" spans="1:2" x14ac:dyDescent="0.25">
      <c r="A2099">
        <f ca="1">27957.6600872099*((RANDBETWEEN(2979,3282)))</f>
        <v>83817064.941455364</v>
      </c>
      <c r="B2099">
        <v>182945756.78693509</v>
      </c>
    </row>
    <row r="2100" spans="1:2" x14ac:dyDescent="0.25">
      <c r="A2100">
        <f ca="1">31788.7396148644*((RANDBETWEEN(2979,3282)))</f>
        <v>98004684.232626975</v>
      </c>
      <c r="B2100">
        <v>185104785.50343028</v>
      </c>
    </row>
    <row r="2101" spans="1:2" x14ac:dyDescent="0.25">
      <c r="A2101">
        <f ca="1">27601.1804426607*((RANDBETWEEN(2979,3282)))</f>
        <v>85729266.454904124</v>
      </c>
      <c r="B2101">
        <v>152999121.96769938</v>
      </c>
    </row>
    <row r="2102" spans="1:2" x14ac:dyDescent="0.25">
      <c r="A2102">
        <f ca="1">29033.6647280566*((RANDBETWEEN(2979,3282)))</f>
        <v>89133350.715133667</v>
      </c>
      <c r="B2102">
        <v>186127941.43739289</v>
      </c>
    </row>
    <row r="2103" spans="1:2" x14ac:dyDescent="0.25">
      <c r="A2103">
        <f ca="1">29063.0546466928*((RANDBETWEEN(2979,3282)))</f>
        <v>94629305.929631665</v>
      </c>
      <c r="B2103">
        <v>182792906.56999919</v>
      </c>
    </row>
    <row r="2104" spans="1:2" x14ac:dyDescent="0.25">
      <c r="A2104">
        <f ca="1">32937.7178822691*((RANDBETWEEN(2979,3282)))</f>
        <v>99274281.697159156</v>
      </c>
      <c r="B2104">
        <v>188827594.69824624</v>
      </c>
    </row>
    <row r="2105" spans="1:2" x14ac:dyDescent="0.25">
      <c r="A2105">
        <f ca="1">26600.9645943649*((RANDBETWEEN(2979,3282)))</f>
        <v>85442298.277100042</v>
      </c>
      <c r="B2105">
        <v>178349394.40531361</v>
      </c>
    </row>
    <row r="2106" spans="1:2" x14ac:dyDescent="0.25">
      <c r="A2106">
        <f ca="1">28258.6221119612*((RANDBETWEEN(2979,3282)))</f>
        <v>84182435.271532536</v>
      </c>
      <c r="B2106">
        <v>188878605.03472695</v>
      </c>
    </row>
    <row r="2107" spans="1:2" x14ac:dyDescent="0.25">
      <c r="A2107">
        <f ca="1">26588.3373408743*((RANDBETWEEN(2979,3282)))</f>
        <v>85029502.81611599</v>
      </c>
      <c r="B2107">
        <v>151649703.79340845</v>
      </c>
    </row>
    <row r="2108" spans="1:2" x14ac:dyDescent="0.25">
      <c r="A2108">
        <f ca="1">28063.2685729672*((RANDBETWEEN(2979,3282)))</f>
        <v>90784673.833548784</v>
      </c>
      <c r="B2108">
        <v>180247115.47039211</v>
      </c>
    </row>
    <row r="2109" spans="1:2" x14ac:dyDescent="0.25">
      <c r="A2109">
        <f ca="1">28483.0307037905*((RANDBETWEEN(2979,3282)))</f>
        <v>87556836.383451983</v>
      </c>
      <c r="B2109">
        <v>153341615.58851439</v>
      </c>
    </row>
    <row r="2110" spans="1:2" x14ac:dyDescent="0.25">
      <c r="A2110">
        <f ca="1">25883.3199349595*((RANDBETWEEN(2979,3282)))</f>
        <v>77520543.205203831</v>
      </c>
      <c r="B2110">
        <v>160027324.23432115</v>
      </c>
    </row>
    <row r="2111" spans="1:2" x14ac:dyDescent="0.25">
      <c r="A2111">
        <f ca="1">28621.246897009*((RANDBETWEEN(2979,3282)))</f>
        <v>86808241.838628262</v>
      </c>
      <c r="B2111">
        <v>147183683.51211768</v>
      </c>
    </row>
    <row r="2112" spans="1:2" x14ac:dyDescent="0.25">
      <c r="A2112">
        <f ca="1">29216.93929553*((RANDBETWEEN(2979,3282)))</f>
        <v>92880650.02049014</v>
      </c>
      <c r="B2112">
        <v>171797845.98403782</v>
      </c>
    </row>
    <row r="2113" spans="1:2" x14ac:dyDescent="0.25">
      <c r="A2113">
        <f ca="1">31405.5660558493*((RANDBETWEEN(2979,3282)))</f>
        <v>95944004.300619528</v>
      </c>
      <c r="B2113">
        <v>171665266.51322544</v>
      </c>
    </row>
    <row r="2114" spans="1:2" x14ac:dyDescent="0.25">
      <c r="A2114">
        <f ca="1">27660.8304933282*((RANDBETWEEN(2979,3282)))</f>
        <v>87131616.053983763</v>
      </c>
      <c r="B2114">
        <v>153766107.458648</v>
      </c>
    </row>
    <row r="2115" spans="1:2" x14ac:dyDescent="0.25">
      <c r="A2115">
        <f ca="1">26042.9800164531*((RANDBETWEEN(2979,3282)))</f>
        <v>82764590.492287949</v>
      </c>
      <c r="B2115">
        <v>159285106.28743276</v>
      </c>
    </row>
    <row r="2116" spans="1:2" x14ac:dyDescent="0.25">
      <c r="A2116">
        <f ca="1">26695.7679488851*((RANDBETWEEN(2979,3282)))</f>
        <v>81208526.100508437</v>
      </c>
      <c r="B2116">
        <v>179785328.21316615</v>
      </c>
    </row>
    <row r="2117" spans="1:2" x14ac:dyDescent="0.25">
      <c r="A2117">
        <f ca="1">29542.0025009336*((RANDBETWEEN(2979,3282)))</f>
        <v>96927310.205563083</v>
      </c>
      <c r="B2117">
        <v>171465101.98702517</v>
      </c>
    </row>
    <row r="2118" spans="1:2" x14ac:dyDescent="0.25">
      <c r="A2118">
        <f ca="1">29910.2927261049*((RANDBETWEEN(2979,3282)))</f>
        <v>92751817.743651271</v>
      </c>
      <c r="B2118">
        <v>173290555.16003501</v>
      </c>
    </row>
    <row r="2119" spans="1:2" x14ac:dyDescent="0.25">
      <c r="A2119">
        <f ca="1">28293.8735858178*((RANDBETWEEN(2979,3282)))</f>
        <v>90427219.980273634</v>
      </c>
      <c r="B2119">
        <v>181724578.02871302</v>
      </c>
    </row>
    <row r="2120" spans="1:2" x14ac:dyDescent="0.25">
      <c r="A2120">
        <f ca="1">27277.3095839807*((RANDBETWEEN(2979,3282)))</f>
        <v>86250852.904546857</v>
      </c>
      <c r="B2120">
        <v>157045098.22385699</v>
      </c>
    </row>
    <row r="2121" spans="1:2" x14ac:dyDescent="0.25">
      <c r="A2121">
        <f ca="1">28021.5881537328*((RANDBETWEEN(2979,3282)))</f>
        <v>87819657.2737986</v>
      </c>
      <c r="B2121">
        <v>201886750.76112914</v>
      </c>
    </row>
    <row r="2122" spans="1:2" x14ac:dyDescent="0.25">
      <c r="A2122">
        <f ca="1">29209.1967308349*((RANDBETWEEN(2979,3282)))</f>
        <v>93586266.325594887</v>
      </c>
      <c r="B2122">
        <v>196973408.42183453</v>
      </c>
    </row>
    <row r="2123" spans="1:2" x14ac:dyDescent="0.25">
      <c r="A2123">
        <f ca="1">27211.2329729427*((RANDBETWEEN(2979,3282)))</f>
        <v>87021523.047470897</v>
      </c>
      <c r="B2123">
        <v>162762514.29550648</v>
      </c>
    </row>
    <row r="2124" spans="1:2" x14ac:dyDescent="0.25">
      <c r="A2124">
        <f ca="1">33409.5399469285*((RANDBETWEEN(2979,3282)))</f>
        <v>100829991.5598301</v>
      </c>
      <c r="B2124">
        <v>160697921.80091</v>
      </c>
    </row>
    <row r="2125" spans="1:2" x14ac:dyDescent="0.25">
      <c r="A2125">
        <f ca="1">29397.7958647014*((RANDBETWEEN(2979,3282)))</f>
        <v>93984753.379450321</v>
      </c>
      <c r="B2125">
        <v>188199039.56412736</v>
      </c>
    </row>
    <row r="2126" spans="1:2" x14ac:dyDescent="0.25">
      <c r="A2126">
        <f ca="1">27107.1436752473*((RANDBETWEEN(2979,3282)))</f>
        <v>86065181.168910295</v>
      </c>
      <c r="B2126">
        <v>176290707.86308563</v>
      </c>
    </row>
    <row r="2127" spans="1:2" x14ac:dyDescent="0.25">
      <c r="A2127">
        <f ca="1">27172.1926515158*((RANDBETWEEN(2979,3282)))</f>
        <v>85836956.586138323</v>
      </c>
      <c r="B2127">
        <v>148031339.50217274</v>
      </c>
    </row>
    <row r="2128" spans="1:2" x14ac:dyDescent="0.25">
      <c r="A2128">
        <f ca="1">29141.2965735872*((RANDBETWEEN(2979,3282)))</f>
        <v>88035856.948806807</v>
      </c>
      <c r="B2128">
        <v>156216498.10403556</v>
      </c>
    </row>
    <row r="2129" spans="1:2" x14ac:dyDescent="0.25">
      <c r="A2129">
        <f ca="1">29411.7929800073*((RANDBETWEEN(2979,3282)))</f>
        <v>95882445.114823803</v>
      </c>
      <c r="B2129">
        <v>146139593.8042134</v>
      </c>
    </row>
    <row r="2130" spans="1:2" x14ac:dyDescent="0.25">
      <c r="A2130">
        <f ca="1">27293.3574763647*((RANDBETWEEN(2979,3282)))</f>
        <v>84691288.249159753</v>
      </c>
      <c r="B2130">
        <v>145164262.046296</v>
      </c>
    </row>
    <row r="2131" spans="1:2" x14ac:dyDescent="0.25">
      <c r="A2131">
        <f ca="1">25617.5241454086*((RANDBETWEEN(2979,3282)))</f>
        <v>79747352.664657041</v>
      </c>
      <c r="B2131">
        <v>149847732.33038738</v>
      </c>
    </row>
    <row r="2132" spans="1:2" x14ac:dyDescent="0.25">
      <c r="A2132">
        <f ca="1">27697.5030178663*((RANDBETWEEN(2979,3282)))</f>
        <v>87828782.069654137</v>
      </c>
      <c r="B2132">
        <v>189637389.34700683</v>
      </c>
    </row>
    <row r="2133" spans="1:2" x14ac:dyDescent="0.25">
      <c r="A2133">
        <f ca="1">29219.4474962085*((RANDBETWEEN(2979,3282)))</f>
        <v>92070479.060552865</v>
      </c>
      <c r="B2133">
        <v>150837588.47682962</v>
      </c>
    </row>
    <row r="2134" spans="1:2" x14ac:dyDescent="0.25">
      <c r="A2134">
        <f ca="1">28573.9092743801*((RANDBETWEEN(2979,3282)))</f>
        <v>93322387.690125421</v>
      </c>
      <c r="B2134">
        <v>200508370.98849657</v>
      </c>
    </row>
    <row r="2135" spans="1:2" x14ac:dyDescent="0.25">
      <c r="A2135">
        <f ca="1">28852.040594497*((RANDBETWEEN(2979,3282)))</f>
        <v>88316096.259755403</v>
      </c>
      <c r="B2135">
        <v>171433239.28517228</v>
      </c>
    </row>
    <row r="2136" spans="1:2" x14ac:dyDescent="0.25">
      <c r="A2136">
        <f ca="1">26863.8871597037*((RANDBETWEEN(2979,3282)))</f>
        <v>80403614.26899305</v>
      </c>
      <c r="B2136">
        <v>193175639.23819652</v>
      </c>
    </row>
    <row r="2137" spans="1:2" x14ac:dyDescent="0.25">
      <c r="A2137">
        <f ca="1">27215.4853458624*((RANDBETWEEN(2979,3282)))</f>
        <v>87906017.667135626</v>
      </c>
      <c r="B2137">
        <v>155101853.77896881</v>
      </c>
    </row>
    <row r="2138" spans="1:2" x14ac:dyDescent="0.25">
      <c r="A2138">
        <f ca="1">26336.8286188951*((RANDBETWEEN(2979,3282)))</f>
        <v>84277851.580464408</v>
      </c>
      <c r="B2138">
        <v>172535968.86175326</v>
      </c>
    </row>
    <row r="2139" spans="1:2" x14ac:dyDescent="0.25">
      <c r="A2139">
        <f ca="1">31443.8348302223*((RANDBETWEEN(2979,3282)))</f>
        <v>102223907.03305283</v>
      </c>
      <c r="B2139">
        <v>163649959.90969294</v>
      </c>
    </row>
    <row r="2140" spans="1:2" x14ac:dyDescent="0.25">
      <c r="A2140">
        <f ca="1">27450.6382957788*((RANDBETWEEN(2979,3282)))</f>
        <v>86579313.184886292</v>
      </c>
      <c r="B2140">
        <v>158754826.93961412</v>
      </c>
    </row>
    <row r="2141" spans="1:2" x14ac:dyDescent="0.25">
      <c r="A2141">
        <f ca="1">25555.6369945793*((RANDBETWEEN(2979,3282)))</f>
        <v>83132487.143366545</v>
      </c>
      <c r="B2141">
        <v>172557666.82166898</v>
      </c>
    </row>
    <row r="2142" spans="1:2" x14ac:dyDescent="0.25">
      <c r="A2142">
        <f ca="1">26470.0620226271*((RANDBETWEEN(2979,3282)))</f>
        <v>82877764.192845583</v>
      </c>
      <c r="B2142">
        <v>158009069.46758518</v>
      </c>
    </row>
    <row r="2143" spans="1:2" x14ac:dyDescent="0.25">
      <c r="A2143">
        <f ca="1">27921.3684356216*((RANDBETWEEN(2979,3282)))</f>
        <v>88650344.783098504</v>
      </c>
      <c r="B2143">
        <v>164451944.09049088</v>
      </c>
    </row>
    <row r="2144" spans="1:2" x14ac:dyDescent="0.25">
      <c r="A2144">
        <f ca="1">26523.2651842326*((RANDBETWEEN(2979,3282)))</f>
        <v>85378390.628044844</v>
      </c>
      <c r="B2144">
        <v>179844360.04937685</v>
      </c>
    </row>
    <row r="2145" spans="1:2" x14ac:dyDescent="0.25">
      <c r="A2145">
        <f ca="1">32327.6480504718*((RANDBETWEEN(2979,3282)))</f>
        <v>102058384.89533962</v>
      </c>
      <c r="B2145">
        <v>173054096.28964081</v>
      </c>
    </row>
    <row r="2146" spans="1:2" x14ac:dyDescent="0.25">
      <c r="A2146">
        <f ca="1">29854.5527850808*((RANDBETWEEN(2979,3282)))</f>
        <v>93086495.583881915</v>
      </c>
      <c r="B2146">
        <v>159319292.88284048</v>
      </c>
    </row>
    <row r="2147" spans="1:2" x14ac:dyDescent="0.25">
      <c r="A2147">
        <f ca="1">27453.2518299916*((RANDBETWEEN(2979,3282)))</f>
        <v>88179844.877933145</v>
      </c>
      <c r="B2147">
        <v>182354790.57825929</v>
      </c>
    </row>
    <row r="2148" spans="1:2" x14ac:dyDescent="0.25">
      <c r="A2148">
        <f ca="1">26710.7592829736*((RANDBETWEEN(2979,3282)))</f>
        <v>83524544.277858436</v>
      </c>
      <c r="B2148">
        <v>179805089.06415316</v>
      </c>
    </row>
    <row r="2149" spans="1:2" x14ac:dyDescent="0.25">
      <c r="A2149">
        <f ca="1">29558.0381734905*((RANDBETWEEN(2979,3282)))</f>
        <v>90743177.192615882</v>
      </c>
      <c r="B2149">
        <v>174025179.56350064</v>
      </c>
    </row>
    <row r="2150" spans="1:2" x14ac:dyDescent="0.25">
      <c r="A2150">
        <f ca="1">26853.4174503944*((RANDBETWEEN(2979,3282)))</f>
        <v>87300460.131232336</v>
      </c>
      <c r="B2150">
        <v>152112716.73975107</v>
      </c>
    </row>
    <row r="2151" spans="1:2" x14ac:dyDescent="0.25">
      <c r="A2151">
        <f ca="1">31850.5869513155*((RANDBETWEEN(2979,3282)))</f>
        <v>98513865.440418869</v>
      </c>
      <c r="B2151">
        <v>200318063.33561534</v>
      </c>
    </row>
    <row r="2152" spans="1:2" x14ac:dyDescent="0.25">
      <c r="A2152">
        <f ca="1">31862.9482822163*((RANDBETWEEN(2979,3282)))</f>
        <v>97245718.157324135</v>
      </c>
      <c r="B2152">
        <v>174934296.10435969</v>
      </c>
    </row>
    <row r="2153" spans="1:2" x14ac:dyDescent="0.25">
      <c r="A2153">
        <f ca="1">26226.2236510303*((RANDBETWEEN(2979,3282)))</f>
        <v>79937529.688340425</v>
      </c>
      <c r="B2153">
        <v>152741795.67771685</v>
      </c>
    </row>
    <row r="2154" spans="1:2" x14ac:dyDescent="0.25">
      <c r="A2154">
        <f ca="1">27997.8419598541*((RANDBETWEEN(2979,3282)))</f>
        <v>90321038.162489295</v>
      </c>
      <c r="B2154">
        <v>183306368.46917975</v>
      </c>
    </row>
    <row r="2155" spans="1:2" x14ac:dyDescent="0.25">
      <c r="A2155">
        <f ca="1">27293.4268745828*((RANDBETWEEN(2979,3282)))</f>
        <v>85646773.532441109</v>
      </c>
      <c r="B2155">
        <v>154349299.64107549</v>
      </c>
    </row>
    <row r="2156" spans="1:2" x14ac:dyDescent="0.25">
      <c r="A2156">
        <f ca="1">29606.3137776135*((RANDBETWEEN(2979,3282)))</f>
        <v>93852014.675034806</v>
      </c>
      <c r="B2156">
        <v>173977620.04926965</v>
      </c>
    </row>
    <row r="2157" spans="1:2" x14ac:dyDescent="0.25">
      <c r="A2157">
        <f ca="1">26549.4515883633*((RANDBETWEEN(2979,3282)))</f>
        <v>82781190.052516669</v>
      </c>
      <c r="B2157">
        <v>175192871.67164445</v>
      </c>
    </row>
    <row r="2158" spans="1:2" x14ac:dyDescent="0.25">
      <c r="A2158">
        <f ca="1">29825.2517988125*((RANDBETWEEN(2979,3282)))</f>
        <v>94188145.180649951</v>
      </c>
      <c r="B2158">
        <v>152039021.48369935</v>
      </c>
    </row>
    <row r="2159" spans="1:2" x14ac:dyDescent="0.25">
      <c r="A2159">
        <f ca="1">33448.4566248863*((RANDBETWEEN(2979,3282)))</f>
        <v>104325736.21302029</v>
      </c>
      <c r="B2159">
        <v>193109367.04490831</v>
      </c>
    </row>
    <row r="2160" spans="1:2" x14ac:dyDescent="0.25">
      <c r="A2160">
        <f ca="1">25557.6205407251*((RANDBETWEEN(2979,3282)))</f>
        <v>77746281.684885725</v>
      </c>
      <c r="B2160">
        <v>146833769.91838712</v>
      </c>
    </row>
    <row r="2161" spans="1:2" x14ac:dyDescent="0.25">
      <c r="A2161">
        <f ca="1">26189.8555233372*((RANDBETWEEN(2979,3282)))</f>
        <v>83309930.419735536</v>
      </c>
      <c r="B2161">
        <v>150454167.61226833</v>
      </c>
    </row>
    <row r="2162" spans="1:2" x14ac:dyDescent="0.25">
      <c r="A2162">
        <f ca="1">27546.0706999096*((RANDBETWEEN(2979,3282)))</f>
        <v>82335205.322029889</v>
      </c>
      <c r="B2162">
        <v>144714776.33498022</v>
      </c>
    </row>
    <row r="2163" spans="1:2" x14ac:dyDescent="0.25">
      <c r="A2163">
        <f ca="1">28165.2160264499*((RANDBETWEEN(2979,3282)))</f>
        <v>91931265.110332608</v>
      </c>
      <c r="B2163">
        <v>147945463.27691868</v>
      </c>
    </row>
    <row r="2164" spans="1:2" x14ac:dyDescent="0.25">
      <c r="A2164">
        <f ca="1">26702.6730587853*((RANDBETWEEN(2979,3282)))</f>
        <v>83045313.212822139</v>
      </c>
      <c r="B2164">
        <v>144358197.66495222</v>
      </c>
    </row>
    <row r="2165" spans="1:2" x14ac:dyDescent="0.25">
      <c r="A2165">
        <f ca="1">26640.8167825749*((RANDBETWEEN(2979,3282)))</f>
        <v>84451389.200762361</v>
      </c>
      <c r="B2165">
        <v>191645567.15867418</v>
      </c>
    </row>
    <row r="2166" spans="1:2" x14ac:dyDescent="0.25">
      <c r="A2166">
        <f ca="1">26901.6787361031*((RANDBETWEEN(2979,3282)))</f>
        <v>82130825.181322798</v>
      </c>
      <c r="B2166">
        <v>179779735.14298055</v>
      </c>
    </row>
    <row r="2167" spans="1:2" x14ac:dyDescent="0.25">
      <c r="A2167">
        <f ca="1">31815.5154495641*((RANDBETWEEN(2979,3282)))</f>
        <v>98373573.770052075</v>
      </c>
      <c r="B2167">
        <v>171281284.5200243</v>
      </c>
    </row>
    <row r="2168" spans="1:2" x14ac:dyDescent="0.25">
      <c r="A2168">
        <f ca="1">30886.9950121192*((RANDBETWEEN(2979,3282)))</f>
        <v>93525820.89669691</v>
      </c>
      <c r="B2168">
        <v>168766568.21048361</v>
      </c>
    </row>
    <row r="2169" spans="1:2" x14ac:dyDescent="0.25">
      <c r="A2169">
        <f ca="1">27018.8170422816*((RANDBETWEEN(2979,3282)))</f>
        <v>81515771.016563639</v>
      </c>
      <c r="B2169">
        <v>164659777.48352385</v>
      </c>
    </row>
    <row r="2170" spans="1:2" x14ac:dyDescent="0.25">
      <c r="A2170">
        <f ca="1">30239.3710525293*((RANDBETWEEN(2979,3282)))</f>
        <v>92139363.597056732</v>
      </c>
      <c r="B2170">
        <v>202917694.17665589</v>
      </c>
    </row>
    <row r="2171" spans="1:2" x14ac:dyDescent="0.25">
      <c r="A2171">
        <f ca="1">30091.9717111274*((RANDBETWEEN(2979,3282)))</f>
        <v>93646215.965028524</v>
      </c>
      <c r="B2171">
        <v>182323998.14226449</v>
      </c>
    </row>
    <row r="2172" spans="1:2" x14ac:dyDescent="0.25">
      <c r="A2172">
        <f ca="1">30758.5740615781*((RANDBETWEEN(2979,3282)))</f>
        <v>98888815.607973695</v>
      </c>
      <c r="B2172">
        <v>144605240.21999419</v>
      </c>
    </row>
    <row r="2173" spans="1:2" x14ac:dyDescent="0.25">
      <c r="A2173">
        <f ca="1">26761.2194733891*((RANDBETWEEN(2979,3282)))</f>
        <v>87616232.555875778</v>
      </c>
      <c r="B2173">
        <v>152710671.74459055</v>
      </c>
    </row>
    <row r="2174" spans="1:2" x14ac:dyDescent="0.25">
      <c r="A2174">
        <f ca="1">25591.2457560859*((RANDBETWEEN(2979,3282)))</f>
        <v>80382102.919865817</v>
      </c>
      <c r="B2174">
        <v>149509067.91728771</v>
      </c>
    </row>
    <row r="2175" spans="1:2" x14ac:dyDescent="0.25">
      <c r="A2175">
        <f ca="1">31639.2922579577*((RANDBETWEEN(2979,3282)))</f>
        <v>95329187.57322669</v>
      </c>
      <c r="B2175">
        <v>190184934.35609716</v>
      </c>
    </row>
    <row r="2176" spans="1:2" x14ac:dyDescent="0.25">
      <c r="A2176">
        <f ca="1">26372.3751381427*((RANDBETWEEN(2979,3282)))</f>
        <v>85367378.322168022</v>
      </c>
      <c r="B2176">
        <v>146712814.35435271</v>
      </c>
    </row>
    <row r="2177" spans="1:2" x14ac:dyDescent="0.25">
      <c r="A2177">
        <f ca="1">27094.423840527*((RANDBETWEEN(2979,3282)))</f>
        <v>83179881.190417796</v>
      </c>
      <c r="B2177">
        <v>142998157.79417413</v>
      </c>
    </row>
    <row r="2178" spans="1:2" x14ac:dyDescent="0.25">
      <c r="A2178">
        <f ca="1">26886.0407803784*((RANDBETWEEN(2979,3282)))</f>
        <v>86465507.149696872</v>
      </c>
      <c r="B2178">
        <v>180199927.04127651</v>
      </c>
    </row>
    <row r="2179" spans="1:2" x14ac:dyDescent="0.25">
      <c r="A2179">
        <f ca="1">27973.7173545886*((RANDBETWEEN(2979,3282)))</f>
        <v>86159049.45213297</v>
      </c>
      <c r="B2179">
        <v>149444817.88597861</v>
      </c>
    </row>
    <row r="2180" spans="1:2" x14ac:dyDescent="0.25">
      <c r="A2180">
        <f ca="1">29086.661507904*((RANDBETWEEN(2979,3282)))</f>
        <v>89586917.444344386</v>
      </c>
      <c r="B2180">
        <v>178668640.97375423</v>
      </c>
    </row>
    <row r="2181" spans="1:2" x14ac:dyDescent="0.25">
      <c r="A2181">
        <f ca="1">26885.2093487489*((RANDBETWEEN(2979,3282)))</f>
        <v>86328407.218832776</v>
      </c>
      <c r="B2181">
        <v>166213043.91805869</v>
      </c>
    </row>
    <row r="2182" spans="1:2" x14ac:dyDescent="0.25">
      <c r="A2182">
        <f ca="1">33595.7526552509*((RANDBETWEEN(2979,3282)))</f>
        <v>100417704.68654492</v>
      </c>
      <c r="B2182">
        <v>176185731.19832313</v>
      </c>
    </row>
    <row r="2183" spans="1:2" x14ac:dyDescent="0.25">
      <c r="A2183">
        <f ca="1">27651.8061198078*((RANDBETWEEN(2979,3282)))</f>
        <v>90255495.175052702</v>
      </c>
      <c r="B2183">
        <v>155064494.92539644</v>
      </c>
    </row>
    <row r="2184" spans="1:2" x14ac:dyDescent="0.25">
      <c r="A2184">
        <f ca="1">27533.8496949479*((RANDBETWEEN(2979,3282)))</f>
        <v>89842951.554614976</v>
      </c>
      <c r="B2184">
        <v>188630813.61737776</v>
      </c>
    </row>
    <row r="2185" spans="1:2" x14ac:dyDescent="0.25">
      <c r="A2185">
        <f ca="1">29240.4189041319*((RANDBETWEEN(2979,3282)))</f>
        <v>91230106.980891615</v>
      </c>
      <c r="B2185">
        <v>184926187.96486035</v>
      </c>
    </row>
    <row r="2186" spans="1:2" x14ac:dyDescent="0.25">
      <c r="A2186">
        <f ca="1">27315.7276066687*((RANDBETWEEN(2979,3282)))</f>
        <v>83258337.745126322</v>
      </c>
      <c r="B2186">
        <v>190797845.36345932</v>
      </c>
    </row>
    <row r="2187" spans="1:2" x14ac:dyDescent="0.25">
      <c r="A2187">
        <f ca="1">29170.9837069459*((RANDBETWEEN(2979,3282)))</f>
        <v>90838443.263429552</v>
      </c>
      <c r="B2187">
        <v>154538507.04292077</v>
      </c>
    </row>
    <row r="2188" spans="1:2" x14ac:dyDescent="0.25">
      <c r="A2188">
        <f ca="1">26528.5630619134*((RANDBETWEEN(2979,3282)))</f>
        <v>80885588.775773972</v>
      </c>
      <c r="B2188">
        <v>160353127.28254235</v>
      </c>
    </row>
    <row r="2189" spans="1:2" x14ac:dyDescent="0.25">
      <c r="A2189">
        <f ca="1">27595.213692593*((RANDBETWEEN(2979,3282)))</f>
        <v>87366446.550749287</v>
      </c>
      <c r="B2189">
        <v>169560176.5375573</v>
      </c>
    </row>
    <row r="2190" spans="1:2" x14ac:dyDescent="0.25">
      <c r="A2190">
        <f ca="1">27504.32212782*((RANDBETWEEN(2979,3282)))</f>
        <v>86006015.293692991</v>
      </c>
      <c r="B2190">
        <v>143161439.42727536</v>
      </c>
    </row>
    <row r="2191" spans="1:2" x14ac:dyDescent="0.25">
      <c r="A2191">
        <f ca="1">31732.3305529223*((RANDBETWEEN(2979,3282)))</f>
        <v>99576053.275070235</v>
      </c>
      <c r="B2191">
        <v>166575672.13763601</v>
      </c>
    </row>
    <row r="2192" spans="1:2" x14ac:dyDescent="0.25">
      <c r="A2192">
        <f ca="1">25974.8253294854*((RANDBETWEEN(2979,3282)))</f>
        <v>80054411.665473893</v>
      </c>
      <c r="B2192">
        <v>189377395.74949726</v>
      </c>
    </row>
    <row r="2193" spans="1:2" x14ac:dyDescent="0.25">
      <c r="A2193">
        <f ca="1">27231.7308209446*((RANDBETWEEN(2979,3282)))</f>
        <v>83492486.697016135</v>
      </c>
      <c r="B2193">
        <v>149258866.18897933</v>
      </c>
    </row>
    <row r="2194" spans="1:2" x14ac:dyDescent="0.25">
      <c r="A2194">
        <f ca="1">26163.0237601742*((RANDBETWEEN(2979,3282)))</f>
        <v>83486208.818715751</v>
      </c>
      <c r="B2194">
        <v>164027761.76223549</v>
      </c>
    </row>
    <row r="2195" spans="1:2" x14ac:dyDescent="0.25">
      <c r="A2195">
        <f ca="1">25411.6634215389*((RANDBETWEEN(2979,3282)))</f>
        <v>82816611.090795293</v>
      </c>
      <c r="B2195">
        <v>144896932.26597223</v>
      </c>
    </row>
    <row r="2196" spans="1:2" x14ac:dyDescent="0.25">
      <c r="A2196">
        <f ca="1">26888.0134898984*((RANDBETWEEN(2979,3282)))</f>
        <v>86310523.302573889</v>
      </c>
      <c r="B2196">
        <v>169253542.86890483</v>
      </c>
    </row>
    <row r="2197" spans="1:2" x14ac:dyDescent="0.25">
      <c r="A2197">
        <f ca="1">25823.7592779462*((RANDBETWEEN(2979,3282)))</f>
        <v>78865760.834847599</v>
      </c>
      <c r="B2197">
        <v>155741150.18666175</v>
      </c>
    </row>
    <row r="2198" spans="1:2" x14ac:dyDescent="0.25">
      <c r="A2198">
        <f ca="1">26220.770626945*((RANDBETWEEN(2979,3282)))</f>
        <v>78190338.00954999</v>
      </c>
      <c r="B2198">
        <v>166730123.34477738</v>
      </c>
    </row>
    <row r="2199" spans="1:2" x14ac:dyDescent="0.25">
      <c r="A2199">
        <f ca="1">26640.0744193326*((RANDBETWEEN(2979,3282)))</f>
        <v>82451030.327834263</v>
      </c>
      <c r="B2199">
        <v>152081062.83934176</v>
      </c>
    </row>
    <row r="2200" spans="1:2" x14ac:dyDescent="0.25">
      <c r="A2200">
        <f ca="1">26877.0917031585*((RANDBETWEEN(2979,3282)))</f>
        <v>85334766.157528281</v>
      </c>
      <c r="B2200">
        <v>190985284.86125329</v>
      </c>
    </row>
    <row r="2201" spans="1:2" x14ac:dyDescent="0.25">
      <c r="A2201">
        <f ca="1">27294.8586620993*((RANDBETWEEN(2979,3282)))</f>
        <v>84750536.145818189</v>
      </c>
      <c r="B2201">
        <v>145113704.21937743</v>
      </c>
    </row>
    <row r="2202" spans="1:2" x14ac:dyDescent="0.25">
      <c r="A2202">
        <f ca="1">27533.1413060953*((RANDBETWEEN(2979,3282)))</f>
        <v>87280057.940322146</v>
      </c>
      <c r="B2202">
        <v>172240066.21675044</v>
      </c>
    </row>
    <row r="2203" spans="1:2" x14ac:dyDescent="0.25">
      <c r="A2203">
        <f ca="1">26304.6901465611*((RANDBETWEEN(2979,3282)))</f>
        <v>81781281.665658489</v>
      </c>
      <c r="B2203">
        <v>151021001.01478851</v>
      </c>
    </row>
    <row r="2204" spans="1:2" x14ac:dyDescent="0.25">
      <c r="A2204">
        <f ca="1">25513.4752941584*((RANDBETWEEN(2979,3282)))</f>
        <v>82051336.546013489</v>
      </c>
      <c r="B2204">
        <v>147528054.77275649</v>
      </c>
    </row>
    <row r="2205" spans="1:2" x14ac:dyDescent="0.25">
      <c r="A2205">
        <f ca="1">28323.6027593935*((RANDBETWEEN(2979,3282)))</f>
        <v>85792192.758202955</v>
      </c>
      <c r="B2205">
        <v>175205492.84884921</v>
      </c>
    </row>
    <row r="2206" spans="1:2" x14ac:dyDescent="0.25">
      <c r="A2206">
        <f ca="1">28088.1639148171*((RANDBETWEEN(2979,3282)))</f>
        <v>91314620.887070268</v>
      </c>
      <c r="B2206">
        <v>152819897.94577703</v>
      </c>
    </row>
    <row r="2207" spans="1:2" x14ac:dyDescent="0.25">
      <c r="A2207">
        <f ca="1">26140.0827457943*((RANDBETWEEN(2979,3282)))</f>
        <v>81557058.166878223</v>
      </c>
      <c r="B2207">
        <v>143747565.95720527</v>
      </c>
    </row>
    <row r="2208" spans="1:2" x14ac:dyDescent="0.25">
      <c r="A2208">
        <f ca="1">29921.8944102251*((RANDBETWEEN(2979,3282)))</f>
        <v>96139046.7400534</v>
      </c>
      <c r="B2208">
        <v>179807682.29793099</v>
      </c>
    </row>
    <row r="2209" spans="1:2" x14ac:dyDescent="0.25">
      <c r="A2209">
        <f ca="1">29433.0437112438*((RANDBETWEEN(2979,3282)))</f>
        <v>88828925.920533717</v>
      </c>
      <c r="B2209">
        <v>175319798.07632142</v>
      </c>
    </row>
    <row r="2210" spans="1:2" x14ac:dyDescent="0.25">
      <c r="A2210">
        <f ca="1">28481.4027096056*((RANDBETWEEN(2979,3282)))</f>
        <v>92564558.806218073</v>
      </c>
      <c r="B2210">
        <v>193147961.9867776</v>
      </c>
    </row>
    <row r="2211" spans="1:2" x14ac:dyDescent="0.25">
      <c r="A2211">
        <f ca="1">26274.5677190802*((RANDBETWEEN(2979,3282)))</f>
        <v>80400177.220385432</v>
      </c>
      <c r="B2211">
        <v>148971391.86309239</v>
      </c>
    </row>
    <row r="2212" spans="1:2" x14ac:dyDescent="0.25">
      <c r="A2212">
        <f ca="1">27247.509079581*((RANDBETWEEN(2979,3282)))</f>
        <v>85775158.582521051</v>
      </c>
      <c r="B2212">
        <v>163907503.66124609</v>
      </c>
    </row>
    <row r="2213" spans="1:2" x14ac:dyDescent="0.25">
      <c r="A2213">
        <f ca="1">26551.0768890091*((RANDBETWEEN(2979,3282)))</f>
        <v>80794926.97325477</v>
      </c>
      <c r="B2213">
        <v>146228601.71577096</v>
      </c>
    </row>
    <row r="2214" spans="1:2" x14ac:dyDescent="0.25">
      <c r="A2214">
        <f ca="1">30598.6898548207*((RANDBETWEEN(2979,3282)))</f>
        <v>99445742.028167427</v>
      </c>
      <c r="B2214">
        <v>166645658.15285093</v>
      </c>
    </row>
    <row r="2215" spans="1:2" x14ac:dyDescent="0.25">
      <c r="A2215">
        <f ca="1">26532.5707039947*((RANDBETWEEN(2979,3282)))</f>
        <v>83046946.30350326</v>
      </c>
      <c r="B2215">
        <v>192093999.47552931</v>
      </c>
    </row>
    <row r="2216" spans="1:2" x14ac:dyDescent="0.25">
      <c r="A2216">
        <f ca="1">28444.4975848476*((RANDBETWEEN(2979,3282)))</f>
        <v>86897940.121709555</v>
      </c>
      <c r="B2216">
        <v>191353587.82624713</v>
      </c>
    </row>
    <row r="2217" spans="1:2" x14ac:dyDescent="0.25">
      <c r="A2217">
        <f ca="1">24930.2300836733*((RANDBETWEEN(2979,3282)))</f>
        <v>79776736.267754614</v>
      </c>
      <c r="B2217">
        <v>154878997.14559957</v>
      </c>
    </row>
    <row r="2218" spans="1:2" x14ac:dyDescent="0.25">
      <c r="A2218">
        <f ca="1">31812.6221119615*((RANDBETWEEN(2979,3282)))</f>
        <v>96646745.976138979</v>
      </c>
      <c r="B2218">
        <v>166458336.40686449</v>
      </c>
    </row>
    <row r="2219" spans="1:2" x14ac:dyDescent="0.25">
      <c r="A2219">
        <f ca="1">29688.77790615*((RANDBETWEEN(2979,3282)))</f>
        <v>92777430.956718668</v>
      </c>
      <c r="B2219">
        <v>167267023.42835432</v>
      </c>
    </row>
    <row r="2220" spans="1:2" x14ac:dyDescent="0.25">
      <c r="A2220">
        <f ca="1">28000.8016628864*((RANDBETWEEN(2979,3282)))</f>
        <v>91534620.635975495</v>
      </c>
      <c r="B2220">
        <v>178726583.29895473</v>
      </c>
    </row>
    <row r="2221" spans="1:2" x14ac:dyDescent="0.25">
      <c r="A2221">
        <f ca="1">26484.6335868547*((RANDBETWEEN(2979,3282)))</f>
        <v>79612808.562085137</v>
      </c>
      <c r="B2221">
        <v>153142309.24246591</v>
      </c>
    </row>
    <row r="2222" spans="1:2" x14ac:dyDescent="0.25">
      <c r="A2222">
        <f ca="1">29114.7954575923*((RANDBETWEEN(2979,3282)))</f>
        <v>88887470.532029316</v>
      </c>
      <c r="B2222">
        <v>146218402.75060198</v>
      </c>
    </row>
    <row r="2223" spans="1:2" x14ac:dyDescent="0.25">
      <c r="A2223">
        <f ca="1">26500.7013589444*((RANDBETWEEN(2979,3282)))</f>
        <v>85517763.285313442</v>
      </c>
      <c r="B2223">
        <v>150221189.2685447</v>
      </c>
    </row>
    <row r="2224" spans="1:2" x14ac:dyDescent="0.25">
      <c r="A2224">
        <f ca="1">27886.9608883207*((RANDBETWEEN(2979,3282)))</f>
        <v>83409900.016967237</v>
      </c>
      <c r="B2224">
        <v>176694248.95571119</v>
      </c>
    </row>
    <row r="2225" spans="1:2" x14ac:dyDescent="0.25">
      <c r="A2225">
        <f ca="1">27775.7330962326*((RANDBETWEEN(2979,3282)))</f>
        <v>82827236.092965603</v>
      </c>
      <c r="B2225">
        <v>148206776.50315079</v>
      </c>
    </row>
    <row r="2226" spans="1:2" x14ac:dyDescent="0.25">
      <c r="A2226">
        <f ca="1">32793.0198005874*((RANDBETWEEN(2979,3282)))</f>
        <v>106380556.23310563</v>
      </c>
      <c r="B2226">
        <v>162793920.79400289</v>
      </c>
    </row>
    <row r="2227" spans="1:2" x14ac:dyDescent="0.25">
      <c r="A2227">
        <f ca="1">25642.045035662*((RANDBETWEEN(2979,3282)))</f>
        <v>81669913.438583449</v>
      </c>
      <c r="B2227">
        <v>173737126.1472775</v>
      </c>
    </row>
    <row r="2228" spans="1:2" x14ac:dyDescent="0.25">
      <c r="A2228">
        <f ca="1">25506.9254824331*((RANDBETWEEN(2979,3282)))</f>
        <v>82412876.233741328</v>
      </c>
      <c r="B2228">
        <v>196512954.21491855</v>
      </c>
    </row>
    <row r="2229" spans="1:2" x14ac:dyDescent="0.25">
      <c r="A2229">
        <f ca="1">31944.906627636*((RANDBETWEEN(2979,3282)))</f>
        <v>96026389.322673708</v>
      </c>
      <c r="B2229">
        <v>192964224.58897236</v>
      </c>
    </row>
    <row r="2230" spans="1:2" x14ac:dyDescent="0.25">
      <c r="A2230">
        <f ca="1">27503.1936856167*((RANDBETWEEN(2979,3282)))</f>
        <v>83307173.673732892</v>
      </c>
      <c r="B2230">
        <v>144715778.62882087</v>
      </c>
    </row>
    <row r="2231" spans="1:2" x14ac:dyDescent="0.25">
      <c r="A2231">
        <f ca="1">27005.848845523*((RANDBETWEEN(2979,3282)))</f>
        <v>84393277.64225924</v>
      </c>
      <c r="B2231">
        <v>177490238.73370713</v>
      </c>
    </row>
    <row r="2232" spans="1:2" x14ac:dyDescent="0.25">
      <c r="A2232">
        <f ca="1">28444.5187351193*((RANDBETWEEN(2979,3282)))</f>
        <v>91278460.620997846</v>
      </c>
      <c r="B2232">
        <v>167637980.24185771</v>
      </c>
    </row>
    <row r="2233" spans="1:2" x14ac:dyDescent="0.25">
      <c r="A2233">
        <f ca="1">30389.5299008201*((RANDBETWEEN(2979,3282)))</f>
        <v>91594043.121071726</v>
      </c>
      <c r="B2233">
        <v>155564641.20372686</v>
      </c>
    </row>
    <row r="2234" spans="1:2" x14ac:dyDescent="0.25">
      <c r="A2234">
        <f ca="1">26315.7594472851*((RANDBETWEEN(2979,3282)))</f>
        <v>81342012.451558277</v>
      </c>
      <c r="B2234">
        <v>148448606.78963012</v>
      </c>
    </row>
    <row r="2235" spans="1:2" x14ac:dyDescent="0.25">
      <c r="A2235">
        <f ca="1">28183.2922298289*((RANDBETWEEN(2979,3282)))</f>
        <v>86325424.09996599</v>
      </c>
      <c r="B2235">
        <v>174607079.80220443</v>
      </c>
    </row>
    <row r="2236" spans="1:2" x14ac:dyDescent="0.25">
      <c r="A2236">
        <f ca="1">26431.1309712909*((RANDBETWEEN(2979,3282)))</f>
        <v>82385835.237513885</v>
      </c>
      <c r="B2236">
        <v>191277337.27531594</v>
      </c>
    </row>
    <row r="2237" spans="1:2" x14ac:dyDescent="0.25">
      <c r="A2237">
        <f ca="1">30616.9159711329*((RANDBETWEEN(2979,3282)))</f>
        <v>94759354.930656269</v>
      </c>
      <c r="B2237">
        <v>201598895.35726714</v>
      </c>
    </row>
    <row r="2238" spans="1:2" x14ac:dyDescent="0.25">
      <c r="A2238">
        <f ca="1">29535.9105654165*((RANDBETWEEN(2979,3282)))</f>
        <v>89493809.013212055</v>
      </c>
      <c r="B2238">
        <v>163994074.82733667</v>
      </c>
    </row>
    <row r="2239" spans="1:2" x14ac:dyDescent="0.25">
      <c r="A2239">
        <f ca="1">27047.8691060522*((RANDBETWEEN(2979,3282)))</f>
        <v>81982091.260444179</v>
      </c>
      <c r="B2239">
        <v>202710335.30758595</v>
      </c>
    </row>
    <row r="2240" spans="1:2" x14ac:dyDescent="0.25">
      <c r="A2240">
        <f ca="1">26103.6816247079*((RANDBETWEEN(2979,3282)))</f>
        <v>81156346.171216816</v>
      </c>
      <c r="B2240">
        <v>149384772.34394446</v>
      </c>
    </row>
    <row r="2241" spans="1:2" x14ac:dyDescent="0.25">
      <c r="A2241">
        <f ca="1">25775.8853866721*((RANDBETWEEN(2979,3282)))</f>
        <v>80910504.228763729</v>
      </c>
      <c r="B2241">
        <v>173291829.05345005</v>
      </c>
    </row>
    <row r="2242" spans="1:2" x14ac:dyDescent="0.25">
      <c r="A2242">
        <f ca="1">26817.7595067398*((RANDBETWEEN(2979,3282)))</f>
        <v>82840059.11631909</v>
      </c>
      <c r="B2242">
        <v>175937040.65058449</v>
      </c>
    </row>
    <row r="2243" spans="1:2" x14ac:dyDescent="0.25">
      <c r="A2243">
        <f ca="1">27434.1231108384*((RANDBETWEEN(2979,3282)))</f>
        <v>90011357.926660836</v>
      </c>
      <c r="B2243">
        <v>148284385.28708935</v>
      </c>
    </row>
    <row r="2244" spans="1:2" x14ac:dyDescent="0.25">
      <c r="A2244">
        <f ca="1">31182.0819255598*((RANDBETWEEN(2979,3282)))</f>
        <v>97568734.345076486</v>
      </c>
      <c r="B2244">
        <v>160978229.05413514</v>
      </c>
    </row>
    <row r="2245" spans="1:2" x14ac:dyDescent="0.25">
      <c r="A2245">
        <f ca="1">30675.1761073399*((RANDBETWEEN(2979,3282)))</f>
        <v>100185125.16657203</v>
      </c>
      <c r="B2245">
        <v>159218855.78498679</v>
      </c>
    </row>
    <row r="2246" spans="1:2" x14ac:dyDescent="0.25">
      <c r="A2246">
        <f ca="1">27290.9692227234*((RANDBETWEEN(2979,3282)))</f>
        <v>82609763.837183848</v>
      </c>
      <c r="B2246">
        <v>171976501.02154902</v>
      </c>
    </row>
    <row r="2247" spans="1:2" x14ac:dyDescent="0.25">
      <c r="A2247">
        <f ca="1">32271.1123871433*((RANDBETWEEN(2979,3282)))</f>
        <v>102783492.9530513</v>
      </c>
      <c r="B2247">
        <v>153124996.58048889</v>
      </c>
    </row>
    <row r="2248" spans="1:2" x14ac:dyDescent="0.25">
      <c r="A2248">
        <f ca="1">28992.7330925162*((RANDBETWEEN(2979,3282)))</f>
        <v>87210141.1422887</v>
      </c>
      <c r="B2248">
        <v>169194880.27007186</v>
      </c>
    </row>
    <row r="2249" spans="1:2" x14ac:dyDescent="0.25">
      <c r="A2249">
        <f ca="1">27723.8270588607*((RANDBETWEEN(2979,3282)))</f>
        <v>82866519.078934535</v>
      </c>
      <c r="B2249">
        <v>160486596.96296722</v>
      </c>
    </row>
    <row r="2250" spans="1:2" x14ac:dyDescent="0.25">
      <c r="A2250">
        <f ca="1">29518.7188596417*((RANDBETWEEN(2979,3282)))</f>
        <v>88703750.173223317</v>
      </c>
      <c r="B2250">
        <v>190004812.91401103</v>
      </c>
    </row>
    <row r="2251" spans="1:2" x14ac:dyDescent="0.25">
      <c r="A2251">
        <f ca="1">26357.828342271*((RANDBETWEEN(2979,3282)))</f>
        <v>83211664.0765495</v>
      </c>
      <c r="B2251">
        <v>153412232.1560384</v>
      </c>
    </row>
    <row r="2252" spans="1:2" x14ac:dyDescent="0.25">
      <c r="A2252">
        <f ca="1">27446.4008239392*((RANDBETWEEN(2979,3282)))</f>
        <v>89585052.289337516</v>
      </c>
      <c r="B2252">
        <v>189405800.60857698</v>
      </c>
    </row>
    <row r="2253" spans="1:2" x14ac:dyDescent="0.25">
      <c r="A2253">
        <f ca="1">26861.1676338492*((RANDBETWEEN(2979,3282)))</f>
        <v>85123040.231668189</v>
      </c>
      <c r="B2253">
        <v>172329129.31939906</v>
      </c>
    </row>
    <row r="2254" spans="1:2" x14ac:dyDescent="0.25">
      <c r="A2254">
        <f ca="1">27832.6168883881*((RANDBETWEEN(2979,3282)))</f>
        <v>87450082.263315335</v>
      </c>
      <c r="B2254">
        <v>147717290.32191843</v>
      </c>
    </row>
    <row r="2255" spans="1:2" x14ac:dyDescent="0.25">
      <c r="A2255">
        <f ca="1">27544.7432476597*((RANDBETWEEN(2979,3282)))</f>
        <v>87785096.730291337</v>
      </c>
      <c r="B2255">
        <v>192141672.29647961</v>
      </c>
    </row>
    <row r="2256" spans="1:2" x14ac:dyDescent="0.25">
      <c r="A2256">
        <f ca="1">27950.4508823428*((RANDBETWEEN(2979,3282)))</f>
        <v>89413492.372614592</v>
      </c>
      <c r="B2256">
        <v>176196962.09081364</v>
      </c>
    </row>
    <row r="2257" spans="1:2" x14ac:dyDescent="0.25">
      <c r="A2257">
        <f ca="1">26481.1769178896*((RANDBETWEEN(2979,3282)))</f>
        <v>82833121.399158716</v>
      </c>
      <c r="B2257">
        <v>143497842.90531877</v>
      </c>
    </row>
    <row r="2258" spans="1:2" x14ac:dyDescent="0.25">
      <c r="A2258">
        <f ca="1">28051.7586472296*((RANDBETWEEN(2979,3282)))</f>
        <v>86960451.806411773</v>
      </c>
      <c r="B2258">
        <v>143395533.43055117</v>
      </c>
    </row>
    <row r="2259" spans="1:2" x14ac:dyDescent="0.25">
      <c r="A2259">
        <f ca="1">29412.8224451963*((RANDBETWEEN(2979,3282)))</f>
        <v>92944518.926820174</v>
      </c>
      <c r="B2259">
        <v>180075799.12926012</v>
      </c>
    </row>
    <row r="2260" spans="1:2" x14ac:dyDescent="0.25">
      <c r="A2260">
        <f ca="1">26646.3619571695*((RANDBETWEEN(2979,3282)))</f>
        <v>82070794.828082055</v>
      </c>
      <c r="B2260">
        <v>147577434.20438161</v>
      </c>
    </row>
    <row r="2261" spans="1:2" x14ac:dyDescent="0.25">
      <c r="A2261">
        <f ca="1">28237.26059455*((RANDBETWEEN(2979,3282)))</f>
        <v>88354388.400346905</v>
      </c>
      <c r="B2261">
        <v>195927073.84485435</v>
      </c>
    </row>
    <row r="2262" spans="1:2" x14ac:dyDescent="0.25">
      <c r="A2262">
        <f ca="1">27660.5222429999*((RANDBETWEEN(2979,3282)))</f>
        <v>83424135.084887654</v>
      </c>
      <c r="B2262">
        <v>152071974.50917977</v>
      </c>
    </row>
    <row r="2263" spans="1:2" x14ac:dyDescent="0.25">
      <c r="A2263">
        <f ca="1">29557.5197085024*((RANDBETWEEN(2979,3282)))</f>
        <v>95884593.934381947</v>
      </c>
      <c r="B2263">
        <v>188989669.7552672</v>
      </c>
    </row>
    <row r="2264" spans="1:2" x14ac:dyDescent="0.25">
      <c r="A2264">
        <f ca="1">34461.4842279239*((RANDBETWEEN(2979,3282)))</f>
        <v>108174598.99145317</v>
      </c>
      <c r="B2264">
        <v>162083642.63356194</v>
      </c>
    </row>
    <row r="2265" spans="1:2" x14ac:dyDescent="0.25">
      <c r="A2265">
        <f ca="1">34512.167586533*((RANDBETWEEN(2979,3282)))</f>
        <v>104847965.1278874</v>
      </c>
      <c r="B2265">
        <v>154846038.30006221</v>
      </c>
    </row>
    <row r="2266" spans="1:2" x14ac:dyDescent="0.25">
      <c r="A2266">
        <f ca="1">29284.552646084*((RANDBETWEEN(2979,3282)))</f>
        <v>89288601.017910078</v>
      </c>
      <c r="B2266">
        <v>171464521.23248717</v>
      </c>
    </row>
    <row r="2267" spans="1:2" x14ac:dyDescent="0.25">
      <c r="A2267">
        <f ca="1">30878.3261703325*((RANDBETWEEN(2979,3282)))</f>
        <v>93345180.012915105</v>
      </c>
      <c r="B2267">
        <v>154077506.57366297</v>
      </c>
    </row>
    <row r="2268" spans="1:2" x14ac:dyDescent="0.25">
      <c r="A2268">
        <f ca="1">28748.3211287615*((RANDBETWEEN(2979,3282)))</f>
        <v>87193657.983533636</v>
      </c>
      <c r="B2268">
        <v>149754468.53360772</v>
      </c>
    </row>
    <row r="2269" spans="1:2" x14ac:dyDescent="0.25">
      <c r="A2269">
        <f ca="1">26441.7070043233*((RANDBETWEEN(2979,3282)))</f>
        <v>81043831.968251035</v>
      </c>
      <c r="B2269">
        <v>172145706.95714587</v>
      </c>
    </row>
    <row r="2270" spans="1:2" x14ac:dyDescent="0.25">
      <c r="A2270">
        <f ca="1">30032.4538395044*((RANDBETWEEN(2979,3282)))</f>
        <v>93400931.440858826</v>
      </c>
      <c r="B2270">
        <v>182261028.52286375</v>
      </c>
    </row>
    <row r="2271" spans="1:2" x14ac:dyDescent="0.25">
      <c r="A2271">
        <f ca="1">27511.4309891694*((RANDBETWEEN(2979,3282)))</f>
        <v>86248336.151045963</v>
      </c>
      <c r="B2271">
        <v>144298721.87963402</v>
      </c>
    </row>
    <row r="2272" spans="1:2" x14ac:dyDescent="0.25">
      <c r="A2272">
        <f ca="1">26111.0551987602*((RANDBETWEEN(2979,3282)))</f>
        <v>79012053.03144829</v>
      </c>
      <c r="B2272">
        <v>145020894.15148002</v>
      </c>
    </row>
    <row r="2273" spans="1:2" x14ac:dyDescent="0.25">
      <c r="A2273">
        <f ca="1">27493.6628380928*((RANDBETWEEN(2979,3282)))</f>
        <v>88584581.664335161</v>
      </c>
      <c r="B2273">
        <v>163183026.73538092</v>
      </c>
    </row>
    <row r="2274" spans="1:2" x14ac:dyDescent="0.25">
      <c r="A2274">
        <f ca="1">28169.6654983262*((RANDBETWEEN(2979,3282)))</f>
        <v>91326055.545573503</v>
      </c>
      <c r="B2274">
        <v>181461544.85337108</v>
      </c>
    </row>
    <row r="2275" spans="1:2" x14ac:dyDescent="0.25">
      <c r="A2275">
        <f ca="1">27540.7341772132*((RANDBETWEEN(2979,3282)))</f>
        <v>85045787.139234483</v>
      </c>
      <c r="B2275">
        <v>167280352.93552926</v>
      </c>
    </row>
    <row r="2276" spans="1:2" x14ac:dyDescent="0.25">
      <c r="A2276">
        <f ca="1">26858.6116314281*((RANDBETWEEN(2979,3282)))</f>
        <v>83207978.834164113</v>
      </c>
      <c r="B2276">
        <v>143199376.17765808</v>
      </c>
    </row>
    <row r="2277" spans="1:2" x14ac:dyDescent="0.25">
      <c r="A2277">
        <f ca="1">32087.5481899341*((RANDBETWEEN(2979,3282)))</f>
        <v>104733757.29194494</v>
      </c>
      <c r="B2277">
        <v>194932472.33881429</v>
      </c>
    </row>
    <row r="2278" spans="1:2" x14ac:dyDescent="0.25">
      <c r="A2278">
        <f ca="1">31283.2331480504*((RANDBETWEEN(2979,3282)))</f>
        <v>97728820.354509309</v>
      </c>
      <c r="B2278">
        <v>194180900.31001279</v>
      </c>
    </row>
    <row r="2279" spans="1:2" x14ac:dyDescent="0.25">
      <c r="A2279">
        <f ca="1">34105.8359302131*((RANDBETWEEN(2979,3282)))</f>
        <v>102010555.26726742</v>
      </c>
      <c r="B2279">
        <v>147361328.17667025</v>
      </c>
    </row>
    <row r="2280" spans="1:2" x14ac:dyDescent="0.25">
      <c r="A2280">
        <f ca="1">27607.8165517045*((RANDBETWEEN(2979,3282)))</f>
        <v>90608853.922694102</v>
      </c>
      <c r="B2280">
        <v>170852215.71012825</v>
      </c>
    </row>
    <row r="2281" spans="1:2" x14ac:dyDescent="0.25">
      <c r="A2281">
        <f ca="1">25639.8973804*((RANDBETWEEN(2979,3282)))</f>
        <v>78996523.829012394</v>
      </c>
      <c r="B2281">
        <v>148714015.94889441</v>
      </c>
    </row>
    <row r="2282" spans="1:2" x14ac:dyDescent="0.25">
      <c r="A2282">
        <f ca="1">29007.9798978811*((RANDBETWEEN(2979,3282)))</f>
        <v>92941567.592811182</v>
      </c>
      <c r="B2282">
        <v>184807708.15604168</v>
      </c>
    </row>
    <row r="2283" spans="1:2" x14ac:dyDescent="0.25">
      <c r="A2283">
        <f ca="1">26744.9285114816*((RANDBETWEEN(2979,3282)))</f>
        <v>83497666.812845677</v>
      </c>
      <c r="B2283">
        <v>148769003.23087409</v>
      </c>
    </row>
    <row r="2284" spans="1:2" x14ac:dyDescent="0.25">
      <c r="A2284">
        <f ca="1">28120.8068689109*((RANDBETWEEN(2979,3282)))</f>
        <v>85880944.177653775</v>
      </c>
      <c r="B2284">
        <v>171233296.76588169</v>
      </c>
    </row>
    <row r="2285" spans="1:2" x14ac:dyDescent="0.25">
      <c r="A2285">
        <f ca="1">25858.6286833062*((RANDBETWEEN(2979,3282)))</f>
        <v>80885790.52138184</v>
      </c>
      <c r="B2285">
        <v>151917523.35738161</v>
      </c>
    </row>
    <row r="2286" spans="1:2" x14ac:dyDescent="0.25">
      <c r="A2286">
        <f ca="1">27246.6212051598*((RANDBETWEEN(2979,3282)))</f>
        <v>83592633.857430264</v>
      </c>
      <c r="B2286">
        <v>145672392.31937653</v>
      </c>
    </row>
    <row r="2287" spans="1:2" x14ac:dyDescent="0.25">
      <c r="A2287">
        <f ca="1">27247.0240660927*((RANDBETWEEN(2979,3282)))</f>
        <v>82558482.920260757</v>
      </c>
      <c r="B2287">
        <v>184237698.18332624</v>
      </c>
    </row>
    <row r="2288" spans="1:2" x14ac:dyDescent="0.25">
      <c r="A2288">
        <f ca="1">26939.803091097*((RANDBETWEEN(2979,3282)))</f>
        <v>83190111.945307523</v>
      </c>
      <c r="B2288">
        <v>143371911.84046948</v>
      </c>
    </row>
    <row r="2289" spans="1:2" x14ac:dyDescent="0.25">
      <c r="A2289">
        <f ca="1">28124.7373028281*((RANDBETWEEN(2979,3282)))</f>
        <v>90561654.115106374</v>
      </c>
      <c r="B2289">
        <v>168454957.47950038</v>
      </c>
    </row>
    <row r="2290" spans="1:2" x14ac:dyDescent="0.25">
      <c r="A2290">
        <f ca="1">31494.7021468624*((RANDBETWEEN(2979,3282)))</f>
        <v>96499767.377986312</v>
      </c>
      <c r="B2290">
        <v>159864160.08926415</v>
      </c>
    </row>
    <row r="2291" spans="1:2" x14ac:dyDescent="0.25">
      <c r="A2291">
        <f ca="1">25962.4128668557*((RANDBETWEEN(2979,3282)))</f>
        <v>79548833.024045929</v>
      </c>
      <c r="B2291">
        <v>151656146.74421552</v>
      </c>
    </row>
    <row r="2292" spans="1:2" x14ac:dyDescent="0.25">
      <c r="A2292">
        <f ca="1">30510.564663491*((RANDBETWEEN(2979,3282)))</f>
        <v>98640655.557066262</v>
      </c>
      <c r="B2292">
        <v>166054927.61526448</v>
      </c>
    </row>
    <row r="2293" spans="1:2" x14ac:dyDescent="0.25">
      <c r="A2293">
        <f ca="1">28416.0906828243*((RANDBETWEEN(2979,3282)))</f>
        <v>88033048.935389563</v>
      </c>
      <c r="B2293">
        <v>183438585.07328022</v>
      </c>
    </row>
    <row r="2294" spans="1:2" x14ac:dyDescent="0.25">
      <c r="A2294">
        <f ca="1">28289.3570273917*((RANDBETWEEN(2979,3282)))</f>
        <v>90271338.27440685</v>
      </c>
      <c r="B2294">
        <v>165439115.49589267</v>
      </c>
    </row>
    <row r="2295" spans="1:2" x14ac:dyDescent="0.25">
      <c r="A2295">
        <f ca="1">27930.4834006174*((RANDBETWEEN(2979,3282)))</f>
        <v>88567562.863357857</v>
      </c>
      <c r="B2295">
        <v>165211412.07992113</v>
      </c>
    </row>
    <row r="2296" spans="1:2" x14ac:dyDescent="0.25">
      <c r="A2296">
        <f ca="1">26575.9770889761*((RANDBETWEEN(2979,3282)))</f>
        <v>79674779.312750295</v>
      </c>
      <c r="B2296">
        <v>189110161.14051342</v>
      </c>
    </row>
    <row r="2297" spans="1:2" x14ac:dyDescent="0.25">
      <c r="A2297">
        <f ca="1">32970.2038989525*((RANDBETWEEN(2979,3282)))</f>
        <v>102405453.31014645</v>
      </c>
      <c r="B2297">
        <v>178191650.55642238</v>
      </c>
    </row>
    <row r="2298" spans="1:2" x14ac:dyDescent="0.25">
      <c r="A2298">
        <f ca="1">26465.6566978169*((RANDBETWEEN(2979,3282)))</f>
        <v>84478376.179431617</v>
      </c>
      <c r="B2298">
        <v>146743128.0523926</v>
      </c>
    </row>
    <row r="2299" spans="1:2" x14ac:dyDescent="0.25">
      <c r="A2299">
        <f ca="1">25554.0040381754*((RANDBETWEEN(2979,3282)))</f>
        <v>77633064.267976984</v>
      </c>
      <c r="B2299">
        <v>149517601.95549834</v>
      </c>
    </row>
    <row r="2300" spans="1:2" x14ac:dyDescent="0.25">
      <c r="A2300">
        <f ca="1">26826.0010036343*((RANDBETWEEN(2979,3282)))</f>
        <v>85521291.199586019</v>
      </c>
      <c r="B2300">
        <v>172187549.96084833</v>
      </c>
    </row>
    <row r="2301" spans="1:2" x14ac:dyDescent="0.25">
      <c r="A2301">
        <f ca="1">27639.8984778981*((RANDBETWEEN(2979,3282)))</f>
        <v>82477457.058048055</v>
      </c>
      <c r="B2301">
        <v>191720301.51592922</v>
      </c>
    </row>
    <row r="2302" spans="1:2" x14ac:dyDescent="0.25">
      <c r="A2302">
        <f ca="1">29482.6384922798*((RANDBETWEEN(2979,3282)))</f>
        <v>93695825.128465369</v>
      </c>
      <c r="B2302">
        <v>150437382.46515784</v>
      </c>
    </row>
    <row r="2303" spans="1:2" x14ac:dyDescent="0.25">
      <c r="A2303">
        <f ca="1">27337.798227654*((RANDBETWEEN(2979,3282)))</f>
        <v>88656479.652281851</v>
      </c>
      <c r="B2303">
        <v>145497254.80025446</v>
      </c>
    </row>
    <row r="2304" spans="1:2" x14ac:dyDescent="0.25">
      <c r="A2304">
        <f ca="1">30636.8671290094*((RANDBETWEEN(2979,3282)))</f>
        <v>93932634.617542967</v>
      </c>
      <c r="B2304">
        <v>172434073.88889462</v>
      </c>
    </row>
    <row r="2305" spans="1:2" x14ac:dyDescent="0.25">
      <c r="A2305">
        <f ca="1">26241.7038217079*((RANDBETWEEN(2979,3282)))</f>
        <v>84524528.00972122</v>
      </c>
      <c r="B2305">
        <v>143403739.79306319</v>
      </c>
    </row>
    <row r="2306" spans="1:2" x14ac:dyDescent="0.25">
      <c r="A2306">
        <f ca="1">28468.5608959819*((RANDBETWEEN(2979,3282)))</f>
        <v>88850378.5563595</v>
      </c>
      <c r="B2306">
        <v>147205405.28518078</v>
      </c>
    </row>
    <row r="2307" spans="1:2" x14ac:dyDescent="0.25">
      <c r="A2307">
        <f ca="1">30514.9375580239*((RANDBETWEEN(2979,3282)))</f>
        <v>92490775.738370612</v>
      </c>
      <c r="B2307">
        <v>177383558.26873499</v>
      </c>
    </row>
    <row r="2308" spans="1:2" x14ac:dyDescent="0.25">
      <c r="A2308">
        <f ca="1">31211.6508364949*((RANDBETWEEN(2979,3282)))</f>
        <v>95694921.464693248</v>
      </c>
      <c r="B2308">
        <v>186384990.58013341</v>
      </c>
    </row>
    <row r="2309" spans="1:2" x14ac:dyDescent="0.25">
      <c r="A2309">
        <f ca="1">25809.6683806356*((RANDBETWEEN(2979,3282)))</f>
        <v>81042358.71519576</v>
      </c>
      <c r="B2309">
        <v>149673192.05622518</v>
      </c>
    </row>
    <row r="2310" spans="1:2" x14ac:dyDescent="0.25">
      <c r="A2310">
        <f ca="1">26582.3103532592*((RANDBETWEEN(2979,3282)))</f>
        <v>80650729.611788273</v>
      </c>
      <c r="B2310">
        <v>146805364.02533561</v>
      </c>
    </row>
    <row r="2311" spans="1:2" x14ac:dyDescent="0.25">
      <c r="A2311">
        <f ca="1">29051.8747732692*((RANDBETWEEN(2979,3282)))</f>
        <v>94069970.515845731</v>
      </c>
      <c r="B2311">
        <v>182900445.09691083</v>
      </c>
    </row>
    <row r="2312" spans="1:2" x14ac:dyDescent="0.25">
      <c r="A2312">
        <f ca="1">28287.3105568556*((RANDBETWEEN(2979,3282)))</f>
        <v>90632543.024165392</v>
      </c>
      <c r="B2312">
        <v>159501743.39199752</v>
      </c>
    </row>
    <row r="2313" spans="1:2" x14ac:dyDescent="0.25">
      <c r="A2313">
        <f ca="1">31439.7993137836*((RANDBETWEEN(2979,3282)))</f>
        <v>98532331.049397796</v>
      </c>
      <c r="B2313">
        <v>167991169.2818017</v>
      </c>
    </row>
    <row r="2314" spans="1:2" x14ac:dyDescent="0.25">
      <c r="A2314">
        <f ca="1">30309.5976668238*((RANDBETWEEN(2979,3282)))</f>
        <v>93535418.399818376</v>
      </c>
      <c r="B2314">
        <v>173332579.52216917</v>
      </c>
    </row>
    <row r="2315" spans="1:2" x14ac:dyDescent="0.25">
      <c r="A2315">
        <f ca="1">28283.4362481976*((RANDBETWEEN(2979,3282)))</f>
        <v>87480668.315675154</v>
      </c>
      <c r="B2315">
        <v>168213675.16908246</v>
      </c>
    </row>
    <row r="2316" spans="1:2" x14ac:dyDescent="0.25">
      <c r="A2316">
        <f ca="1">27334.0597240118*((RANDBETWEEN(2979,3282)))</f>
        <v>86976978.041805461</v>
      </c>
      <c r="B2316">
        <v>143419376.46350545</v>
      </c>
    </row>
    <row r="2317" spans="1:2" x14ac:dyDescent="0.25">
      <c r="A2317">
        <f ca="1">27847.6384784394*((RANDBETWEEN(2979,3282)))</f>
        <v>87358041.906864315</v>
      </c>
      <c r="B2317">
        <v>155174805.13068974</v>
      </c>
    </row>
    <row r="2318" spans="1:2" x14ac:dyDescent="0.25">
      <c r="A2318">
        <f ca="1">29487.2837691109*((RANDBETWEEN(2979,3282)))</f>
        <v>89140058.834022343</v>
      </c>
      <c r="B2318">
        <v>162932642.63408121</v>
      </c>
    </row>
    <row r="2319" spans="1:2" x14ac:dyDescent="0.25">
      <c r="A2319">
        <f ca="1">26434.4159862314*((RANDBETWEEN(2979,3282)))</f>
        <v>86652015.602866426</v>
      </c>
      <c r="B2319">
        <v>179372002.39883769</v>
      </c>
    </row>
    <row r="2320" spans="1:2" x14ac:dyDescent="0.25">
      <c r="A2320">
        <f ca="1">28695.4829310056*((RANDBETWEEN(2979,3282)))</f>
        <v>90878594.442494735</v>
      </c>
      <c r="B2320">
        <v>145235917.01675621</v>
      </c>
    </row>
    <row r="2321" spans="1:2" x14ac:dyDescent="0.25">
      <c r="A2321">
        <f ca="1">28583.9372825627*((RANDBETWEEN(2979,3282)))</f>
        <v>91354263.55507037</v>
      </c>
      <c r="B2321">
        <v>186058503.7091307</v>
      </c>
    </row>
    <row r="2322" spans="1:2" x14ac:dyDescent="0.25">
      <c r="A2322">
        <f ca="1">27492.4456740863*((RANDBETWEEN(2979,3282)))</f>
        <v>81954980.554451317</v>
      </c>
      <c r="B2322">
        <v>186988850.77717391</v>
      </c>
    </row>
    <row r="2323" spans="1:2" x14ac:dyDescent="0.25">
      <c r="A2323">
        <f ca="1">26179.5069956068*((RANDBETWEEN(2979,3282)))</f>
        <v>78695598.02879405</v>
      </c>
      <c r="B2323">
        <v>184539140.46509522</v>
      </c>
    </row>
    <row r="2324" spans="1:2" x14ac:dyDescent="0.25">
      <c r="A2324">
        <f ca="1">28278.3238416817*((RANDBETWEEN(2979,3282)))</f>
        <v>84297683.372053251</v>
      </c>
      <c r="B2324">
        <v>149927232.17848256</v>
      </c>
    </row>
    <row r="2325" spans="1:2" x14ac:dyDescent="0.25">
      <c r="A2325">
        <f ca="1">29912.6190023159*((RANDBETWEEN(2979,3282)))</f>
        <v>95660555.56940639</v>
      </c>
      <c r="B2325">
        <v>186685371.3714782</v>
      </c>
    </row>
    <row r="2326" spans="1:2" x14ac:dyDescent="0.25">
      <c r="A2326">
        <f ca="1">30218.76913758*((RANDBETWEEN(2979,3282)))</f>
        <v>95702841.858715981</v>
      </c>
      <c r="B2326">
        <v>152054700.45706216</v>
      </c>
    </row>
    <row r="2327" spans="1:2" x14ac:dyDescent="0.25">
      <c r="A2327">
        <f ca="1">24961.8372572885*((RANDBETWEEN(2979,3282)))</f>
        <v>80277268.619439691</v>
      </c>
      <c r="B2327">
        <v>153003307.09243456</v>
      </c>
    </row>
    <row r="2328" spans="1:2" x14ac:dyDescent="0.25">
      <c r="A2328">
        <f ca="1">28417.7560339491*((RANDBETWEEN(2979,3282)))</f>
        <v>85651116.686322525</v>
      </c>
      <c r="B2328">
        <v>158111609.60822231</v>
      </c>
    </row>
    <row r="2329" spans="1:2" x14ac:dyDescent="0.25">
      <c r="A2329">
        <f ca="1">27885.4083181979*((RANDBETWEEN(2979,3282)))</f>
        <v>88759254.676824048</v>
      </c>
      <c r="B2329">
        <v>145455521.85825682</v>
      </c>
    </row>
    <row r="2330" spans="1:2" x14ac:dyDescent="0.25">
      <c r="A2330">
        <f ca="1">29150.535079783*((RANDBETWEEN(2979,3282)))</f>
        <v>95322249.710890457</v>
      </c>
      <c r="B2330">
        <v>202463968.77765962</v>
      </c>
    </row>
    <row r="2331" spans="1:2" x14ac:dyDescent="0.25">
      <c r="A2331">
        <f ca="1">26720.7321876853*((RANDBETWEEN(2979,3282)))</f>
        <v>85746829.590281978</v>
      </c>
      <c r="B2331">
        <v>146944348.75902987</v>
      </c>
    </row>
    <row r="2332" spans="1:2" x14ac:dyDescent="0.25">
      <c r="A2332">
        <f ca="1">27187.1224251402*((RANDBETWEEN(2979,3282)))</f>
        <v>83790711.31428206</v>
      </c>
      <c r="B2332">
        <v>151515704.6113556</v>
      </c>
    </row>
    <row r="2333" spans="1:2" x14ac:dyDescent="0.25">
      <c r="A2333">
        <f ca="1">27450.8168837591*((RANDBETWEEN(2979,3282)))</f>
        <v>85756351.944863379</v>
      </c>
      <c r="B2333">
        <v>178711415.24895784</v>
      </c>
    </row>
    <row r="2334" spans="1:2" x14ac:dyDescent="0.25">
      <c r="A2334">
        <f ca="1">32073.0250245055*((RANDBETWEEN(2979,3282)))</f>
        <v>97662361.199619204</v>
      </c>
      <c r="B2334">
        <v>179961703.7300204</v>
      </c>
    </row>
    <row r="2335" spans="1:2" x14ac:dyDescent="0.25">
      <c r="A2335">
        <f ca="1">27203.9623284208*((RANDBETWEEN(2979,3282)))</f>
        <v>86835047.752319291</v>
      </c>
      <c r="B2335">
        <v>157606878.00386846</v>
      </c>
    </row>
    <row r="2336" spans="1:2" x14ac:dyDescent="0.25">
      <c r="A2336">
        <f ca="1">28748.2749753111*((RANDBETWEEN(2979,3282)))</f>
        <v>86992280.075291455</v>
      </c>
      <c r="B2336">
        <v>145899129.8797991</v>
      </c>
    </row>
    <row r="2337" spans="1:2" x14ac:dyDescent="0.25">
      <c r="A2337">
        <f ca="1">28471.45184562*((RANDBETWEEN(2979,3282)))</f>
        <v>88489272.336187154</v>
      </c>
      <c r="B2337">
        <v>185113490.08769625</v>
      </c>
    </row>
    <row r="2338" spans="1:2" x14ac:dyDescent="0.25">
      <c r="A2338">
        <f ca="1">26940.6660541813*((RANDBETWEEN(2979,3282)))</f>
        <v>84997801.400942042</v>
      </c>
      <c r="B2338">
        <v>156178732.55428785</v>
      </c>
    </row>
    <row r="2339" spans="1:2" x14ac:dyDescent="0.25">
      <c r="A2339">
        <f ca="1">26311.1144433857*((RANDBETWEEN(2979,3282)))</f>
        <v>81485521.431165621</v>
      </c>
      <c r="B2339">
        <v>153001944.68366122</v>
      </c>
    </row>
    <row r="2340" spans="1:2" x14ac:dyDescent="0.25">
      <c r="A2340">
        <f ca="1">26007.1203477339*((RANDBETWEEN(2979,3282)))</f>
        <v>82494585.743011996</v>
      </c>
      <c r="B2340">
        <v>185686493.37866455</v>
      </c>
    </row>
    <row r="2341" spans="1:2" x14ac:dyDescent="0.25">
      <c r="A2341">
        <f ca="1">33741.733211279*((RANDBETWEEN(2979,3282)))</f>
        <v>100955265.76814671</v>
      </c>
      <c r="B2341">
        <v>165061755.5708074</v>
      </c>
    </row>
    <row r="2342" spans="1:2" x14ac:dyDescent="0.25">
      <c r="A2342">
        <f ca="1">27810.5978894389*((RANDBETWEEN(2979,3282)))</f>
        <v>91274382.273138419</v>
      </c>
      <c r="B2342">
        <v>190435358.00534385</v>
      </c>
    </row>
    <row r="2343" spans="1:2" x14ac:dyDescent="0.25">
      <c r="A2343">
        <f ca="1">27523.4778970084*((RANDBETWEEN(2979,3282)))</f>
        <v>89038450.996822178</v>
      </c>
      <c r="B2343">
        <v>148879502.69465441</v>
      </c>
    </row>
    <row r="2344" spans="1:2" x14ac:dyDescent="0.25">
      <c r="A2344">
        <f ca="1">28142.3725457902*((RANDBETWEEN(2979,3282)))</f>
        <v>90083734.51907438</v>
      </c>
      <c r="B2344">
        <v>183810046.19423378</v>
      </c>
    </row>
    <row r="2345" spans="1:2" x14ac:dyDescent="0.25">
      <c r="A2345">
        <f ca="1">29643.8170520428*((RANDBETWEEN(2979,3282)))</f>
        <v>91480819.422604144</v>
      </c>
      <c r="B2345">
        <v>202879861.63396326</v>
      </c>
    </row>
    <row r="2346" spans="1:2" x14ac:dyDescent="0.25">
      <c r="A2346">
        <f ca="1">26915.9277222094*((RANDBETWEEN(2979,3282)))</f>
        <v>83331712.227960348</v>
      </c>
      <c r="B2346">
        <v>145664735.27537578</v>
      </c>
    </row>
    <row r="2347" spans="1:2" x14ac:dyDescent="0.25">
      <c r="A2347">
        <f ca="1">31007.8985771017*((RANDBETWEEN(2979,3282)))</f>
        <v>96372548.777631953</v>
      </c>
      <c r="B2347">
        <v>185256228.3879962</v>
      </c>
    </row>
    <row r="2348" spans="1:2" x14ac:dyDescent="0.25">
      <c r="A2348">
        <f ca="1">27171.5566761736*((RANDBETWEEN(2979,3282)))</f>
        <v>83579708.335909903</v>
      </c>
      <c r="B2348">
        <v>157389036.36633888</v>
      </c>
    </row>
    <row r="2349" spans="1:2" x14ac:dyDescent="0.25">
      <c r="A2349">
        <f ca="1">27592.1958436209*((RANDBETWEEN(2979,3282)))</f>
        <v>88902055.008146614</v>
      </c>
      <c r="B2349">
        <v>164923078.82245818</v>
      </c>
    </row>
    <row r="2350" spans="1:2" x14ac:dyDescent="0.25">
      <c r="A2350">
        <f ca="1">27104.5555915636*((RANDBETWEEN(2979,3282)))</f>
        <v>86761682.448595077</v>
      </c>
      <c r="B2350">
        <v>175733029.80449486</v>
      </c>
    </row>
    <row r="2351" spans="1:2" x14ac:dyDescent="0.25">
      <c r="A2351">
        <f ca="1">26033.8213022893*((RANDBETWEEN(2979,3282)))</f>
        <v>83776836.9507671</v>
      </c>
      <c r="B2351">
        <v>167034370.39125043</v>
      </c>
    </row>
    <row r="2352" spans="1:2" x14ac:dyDescent="0.25">
      <c r="A2352">
        <f ca="1">27176.3957155143*((RANDBETWEEN(2979,3282)))</f>
        <v>82942359.723749608</v>
      </c>
      <c r="B2352">
        <v>155845150.03323156</v>
      </c>
    </row>
    <row r="2353" spans="1:2" x14ac:dyDescent="0.25">
      <c r="A2353">
        <f ca="1">30512.1373675327*((RANDBETWEEN(2979,3282)))</f>
        <v>94007895.22936818</v>
      </c>
      <c r="B2353">
        <v>154670412.21341187</v>
      </c>
    </row>
    <row r="2354" spans="1:2" x14ac:dyDescent="0.25">
      <c r="A2354">
        <f ca="1">26012.9514201733*((RANDBETWEEN(2979,3282)))</f>
        <v>85088364.095386773</v>
      </c>
      <c r="B2354">
        <v>145736991.6876885</v>
      </c>
    </row>
    <row r="2355" spans="1:2" x14ac:dyDescent="0.25">
      <c r="A2355">
        <f ca="1">27465.7061340828*((RANDBETWEEN(2979,3282)))</f>
        <v>83633075.178282022</v>
      </c>
      <c r="B2355">
        <v>159323684.12788695</v>
      </c>
    </row>
    <row r="2356" spans="1:2" x14ac:dyDescent="0.25">
      <c r="A2356">
        <f ca="1">26670.2807318811*((RANDBETWEEN(2979,3282)))</f>
        <v>84864833.288845792</v>
      </c>
      <c r="B2356">
        <v>165512345.00253808</v>
      </c>
    </row>
    <row r="2357" spans="1:2" x14ac:dyDescent="0.25">
      <c r="A2357">
        <f ca="1">27790.9505856744*((RANDBETWEEN(2979,3282)))</f>
        <v>88486386.664787203</v>
      </c>
      <c r="B2357">
        <v>165225311.98439872</v>
      </c>
    </row>
    <row r="2358" spans="1:2" x14ac:dyDescent="0.25">
      <c r="A2358">
        <f ca="1">30838.7404808678*((RANDBETWEEN(2979,3282)))</f>
        <v>92608737.664046124</v>
      </c>
      <c r="B2358">
        <v>191068895.63472152</v>
      </c>
    </row>
    <row r="2359" spans="1:2" x14ac:dyDescent="0.25">
      <c r="A2359">
        <f ca="1">28090.2366983216*((RANDBETWEEN(2979,3282)))</f>
        <v>88568516.309808016</v>
      </c>
      <c r="B2359">
        <v>177753786.59143558</v>
      </c>
    </row>
    <row r="2360" spans="1:2" x14ac:dyDescent="0.25">
      <c r="A2360">
        <f ca="1">26506.4795998908*((RANDBETWEEN(2979,3282)))</f>
        <v>83866501.45405452</v>
      </c>
      <c r="B2360">
        <v>155286940.91197366</v>
      </c>
    </row>
    <row r="2361" spans="1:2" x14ac:dyDescent="0.25">
      <c r="A2361">
        <f ca="1">25137.5875207446*((RANDBETWEEN(2979,3282)))</f>
        <v>75261937.03710939</v>
      </c>
      <c r="B2361">
        <v>165055245.50137144</v>
      </c>
    </row>
    <row r="2362" spans="1:2" x14ac:dyDescent="0.25">
      <c r="A2362">
        <f ca="1">28689.8594056307*((RANDBETWEEN(2979,3282)))</f>
        <v>89196772.892105743</v>
      </c>
      <c r="B2362">
        <v>176359349.24775162</v>
      </c>
    </row>
    <row r="2363" spans="1:2" x14ac:dyDescent="0.25">
      <c r="A2363">
        <f ca="1">26823.2373484109*((RANDBETWEEN(2979,3282)))</f>
        <v>86558586.923321918</v>
      </c>
      <c r="B2363">
        <v>180810243.76464266</v>
      </c>
    </row>
    <row r="2364" spans="1:2" x14ac:dyDescent="0.25">
      <c r="A2364">
        <f ca="1">25699.4742730231*((RANDBETWEEN(2979,3282)))</f>
        <v>78306298.109901369</v>
      </c>
      <c r="B2364">
        <v>149678551.87274852</v>
      </c>
    </row>
    <row r="2365" spans="1:2" x14ac:dyDescent="0.25">
      <c r="A2365">
        <f ca="1">26651.3243699645*((RANDBETWEEN(2979,3282)))</f>
        <v>81339841.977131724</v>
      </c>
      <c r="B2365">
        <v>146829950.71101946</v>
      </c>
    </row>
    <row r="2366" spans="1:2" x14ac:dyDescent="0.25">
      <c r="A2366">
        <f ca="1">27923.7491071552*((RANDBETWEEN(2979,3282)))</f>
        <v>88685827.16432482</v>
      </c>
      <c r="B2366">
        <v>171907742.27762461</v>
      </c>
    </row>
    <row r="2367" spans="1:2" x14ac:dyDescent="0.25">
      <c r="A2367">
        <f ca="1">33174.7818024396*((RANDBETWEEN(2979,3282)))</f>
        <v>104799135.71390684</v>
      </c>
      <c r="B2367">
        <v>201131257.97228953</v>
      </c>
    </row>
    <row r="2368" spans="1:2" x14ac:dyDescent="0.25">
      <c r="A2368">
        <f ca="1">27880.3793446951*((RANDBETWEEN(2979,3282)))</f>
        <v>85564884.208869144</v>
      </c>
      <c r="B2368">
        <v>164730834.98266476</v>
      </c>
    </row>
    <row r="2369" spans="1:2" x14ac:dyDescent="0.25">
      <c r="A2369">
        <f ca="1">26132.1424502355*((RANDBETWEEN(2979,3282)))</f>
        <v>82708230.854995251</v>
      </c>
      <c r="B2369">
        <v>192542889.44444665</v>
      </c>
    </row>
    <row r="2370" spans="1:2" x14ac:dyDescent="0.25">
      <c r="A2370">
        <f ca="1">27248.8554797444*((RANDBETWEEN(2979,3282)))</f>
        <v>89294499.407122403</v>
      </c>
      <c r="B2370">
        <v>164288225.06754056</v>
      </c>
    </row>
    <row r="2371" spans="1:2" x14ac:dyDescent="0.25">
      <c r="A2371">
        <f ca="1">27139.5233224726*((RANDBETWEEN(2979,3282)))</f>
        <v>85842312.26898098</v>
      </c>
      <c r="B2371">
        <v>154811847.41069669</v>
      </c>
    </row>
    <row r="2372" spans="1:2" x14ac:dyDescent="0.25">
      <c r="A2372">
        <f ca="1">28821.4257036686*((RANDBETWEEN(2979,3282)))</f>
        <v>92487955.083072454</v>
      </c>
      <c r="B2372">
        <v>191989008.65135962</v>
      </c>
    </row>
    <row r="2373" spans="1:2" x14ac:dyDescent="0.25">
      <c r="A2373">
        <f ca="1">30633.6320970591*((RANDBETWEEN(2979,3282)))</f>
        <v>95239962.189756885</v>
      </c>
      <c r="B2373">
        <v>192222093.71439034</v>
      </c>
    </row>
    <row r="2374" spans="1:2" x14ac:dyDescent="0.25">
      <c r="A2374">
        <f ca="1">25115.9800946726*((RANDBETWEEN(2979,3282)))</f>
        <v>77005594.970266074</v>
      </c>
      <c r="B2374">
        <v>150204493.284648</v>
      </c>
    </row>
    <row r="2375" spans="1:2" x14ac:dyDescent="0.25">
      <c r="A2375">
        <f ca="1">27781.6951590393*((RANDBETWEEN(2979,3282)))</f>
        <v>87262304.494542569</v>
      </c>
      <c r="B2375">
        <v>192997878.4203617</v>
      </c>
    </row>
    <row r="2376" spans="1:2" x14ac:dyDescent="0.25">
      <c r="A2376">
        <f ca="1">27410.421032508*((RANDBETWEEN(2979,3282)))</f>
        <v>87000676.357180536</v>
      </c>
      <c r="B2376">
        <v>176300490.10143504</v>
      </c>
    </row>
    <row r="2377" spans="1:2" x14ac:dyDescent="0.25">
      <c r="A2377">
        <f ca="1">26622.3841324079*((RANDBETWEEN(2979,3282)))</f>
        <v>86389636.509663552</v>
      </c>
      <c r="B2377">
        <v>188765686.14465159</v>
      </c>
    </row>
    <row r="2378" spans="1:2" x14ac:dyDescent="0.25">
      <c r="A2378">
        <f ca="1">27037.1554003936*((RANDBETWEEN(2979,3282)))</f>
        <v>80732946.02557525</v>
      </c>
      <c r="B2378">
        <v>173989673.30157512</v>
      </c>
    </row>
    <row r="2379" spans="1:2" x14ac:dyDescent="0.25">
      <c r="A2379">
        <f ca="1">26657.840991633*((RANDBETWEEN(2979,3282)))</f>
        <v>87491034.134539515</v>
      </c>
      <c r="B2379">
        <v>194296964.68993962</v>
      </c>
    </row>
    <row r="2380" spans="1:2" x14ac:dyDescent="0.25">
      <c r="A2380">
        <f ca="1">25354.9472300227*((RANDBETWEEN(2979,3282)))</f>
        <v>77281879.157109261</v>
      </c>
      <c r="B2380">
        <v>145127751.81888962</v>
      </c>
    </row>
    <row r="2381" spans="1:2" x14ac:dyDescent="0.25">
      <c r="A2381">
        <f ca="1">27078.1613982937*((RANDBETWEEN(2979,3282)))</f>
        <v>81153249.710686237</v>
      </c>
      <c r="B2381">
        <v>189822545.51574543</v>
      </c>
    </row>
    <row r="2382" spans="1:2" x14ac:dyDescent="0.25">
      <c r="A2382">
        <f ca="1">29028.4954991815*((RANDBETWEEN(2979,3282)))</f>
        <v>94749009.309328407</v>
      </c>
      <c r="B2382">
        <v>163949329.98898107</v>
      </c>
    </row>
    <row r="2383" spans="1:2" x14ac:dyDescent="0.25">
      <c r="A2383">
        <f ca="1">27424.558221183*((RANDBETWEEN(2979,3282)))</f>
        <v>81999429.081337288</v>
      </c>
      <c r="B2383">
        <v>191683454.76033381</v>
      </c>
    </row>
    <row r="2384" spans="1:2" x14ac:dyDescent="0.25">
      <c r="A2384">
        <f ca="1">27309.975768195*((RANDBETWEEN(2979,3282)))</f>
        <v>85316364.299841136</v>
      </c>
      <c r="B2384">
        <v>191622133.97034723</v>
      </c>
    </row>
    <row r="2385" spans="1:2" x14ac:dyDescent="0.25">
      <c r="A2385">
        <f ca="1">26321.6838224346*((RANDBETWEEN(2979,3282)))</f>
        <v>79149303.25406079</v>
      </c>
      <c r="B2385">
        <v>202858551.66338059</v>
      </c>
    </row>
    <row r="2386" spans="1:2" x14ac:dyDescent="0.25">
      <c r="A2386">
        <f ca="1">26626.3764894008*((RANDBETWEEN(2979,3282)))</f>
        <v>83952965.071080819</v>
      </c>
      <c r="B2386">
        <v>165137435.44836703</v>
      </c>
    </row>
    <row r="2387" spans="1:2" x14ac:dyDescent="0.25">
      <c r="A2387">
        <f ca="1">33290.3103947126*((RANDBETWEEN(2979,3282)))</f>
        <v>102434285.08453053</v>
      </c>
      <c r="B2387">
        <v>194468693.8046062</v>
      </c>
    </row>
    <row r="2388" spans="1:2" x14ac:dyDescent="0.25">
      <c r="A2388">
        <f ca="1">30750.3683412007*((RANDBETWEEN(2979,3282)))</f>
        <v>92558608.707014173</v>
      </c>
      <c r="B2388">
        <v>175392334.80440018</v>
      </c>
    </row>
    <row r="2389" spans="1:2" x14ac:dyDescent="0.25">
      <c r="A2389">
        <f ca="1">26106.5535779338*((RANDBETWEEN(2979,3282)))</f>
        <v>83593184.556543872</v>
      </c>
      <c r="B2389">
        <v>172180892.97931391</v>
      </c>
    </row>
    <row r="2390" spans="1:2" x14ac:dyDescent="0.25">
      <c r="A2390">
        <f ca="1">26243.9181056975*((RANDBETWEEN(2979,3282)))</f>
        <v>80831267.765548199</v>
      </c>
      <c r="B2390">
        <v>181508109.26918972</v>
      </c>
    </row>
    <row r="2391" spans="1:2" x14ac:dyDescent="0.25">
      <c r="A2391">
        <f ca="1">29361.5656009*((RANDBETWEEN(2979,3282)))</f>
        <v>89317882.557937726</v>
      </c>
      <c r="B2391">
        <v>179563977.40676758</v>
      </c>
    </row>
    <row r="2392" spans="1:2" x14ac:dyDescent="0.25">
      <c r="A2392">
        <f ca="1">27939.6523911735*((RANDBETWEEN(2979,3282)))</f>
        <v>86221767.279161498</v>
      </c>
      <c r="B2392">
        <v>194799539.03567848</v>
      </c>
    </row>
    <row r="2393" spans="1:2" x14ac:dyDescent="0.25">
      <c r="A2393">
        <f ca="1">26660.8069046103*((RANDBETWEEN(2979,3282)))</f>
        <v>83421664.804525524</v>
      </c>
      <c r="B2393">
        <v>147171860.43700877</v>
      </c>
    </row>
    <row r="2394" spans="1:2" x14ac:dyDescent="0.25">
      <c r="A2394">
        <f ca="1">27464.9562119525*((RANDBETWEEN(2979,3282)))</f>
        <v>88958993.170514226</v>
      </c>
      <c r="B2394">
        <v>146656433.15650916</v>
      </c>
    </row>
    <row r="2395" spans="1:2" x14ac:dyDescent="0.25">
      <c r="A2395">
        <f ca="1">26867.9457189707*((RANDBETWEEN(2979,3282)))</f>
        <v>84419085.449005961</v>
      </c>
      <c r="B2395">
        <v>165153121.81495345</v>
      </c>
    </row>
    <row r="2396" spans="1:2" x14ac:dyDescent="0.25">
      <c r="A2396">
        <f ca="1">27144.6160671397*((RANDBETWEEN(2979,3282)))</f>
        <v>84745491.361610278</v>
      </c>
      <c r="B2396">
        <v>164178284.30668342</v>
      </c>
    </row>
    <row r="2397" spans="1:2" x14ac:dyDescent="0.25">
      <c r="A2397">
        <f ca="1">28786.2409081003*((RANDBETWEEN(2979,3282)))</f>
        <v>88719194.478765205</v>
      </c>
      <c r="B2397">
        <v>157298667.51367295</v>
      </c>
    </row>
    <row r="2398" spans="1:2" x14ac:dyDescent="0.25">
      <c r="A2398">
        <f ca="1">29496.2520483538*((RANDBETWEEN(2979,3282)))</f>
        <v>89845583.739285603</v>
      </c>
      <c r="B2398">
        <v>165190270.531811</v>
      </c>
    </row>
    <row r="2399" spans="1:2" x14ac:dyDescent="0.25">
      <c r="A2399">
        <f ca="1">31626.08514469*((RANDBETWEEN(2979,3282)))</f>
        <v>94846629.348925442</v>
      </c>
      <c r="B2399">
        <v>151302676.34605524</v>
      </c>
    </row>
    <row r="2400" spans="1:2" x14ac:dyDescent="0.25">
      <c r="A2400">
        <f ca="1">30257.706441813*((RANDBETWEEN(2979,3282)))</f>
        <v>96340537.310732678</v>
      </c>
      <c r="B2400">
        <v>189561242.65677974</v>
      </c>
    </row>
    <row r="2401" spans="1:2" x14ac:dyDescent="0.25">
      <c r="A2401">
        <f ca="1">28545.6179181836*((RANDBETWEEN(2979,3282)))</f>
        <v>90889247.451496705</v>
      </c>
      <c r="B2401">
        <v>185098430.87337545</v>
      </c>
    </row>
    <row r="2402" spans="1:2" x14ac:dyDescent="0.25">
      <c r="A2402">
        <f ca="1">31371.8816804915*((RANDBETWEEN(2979,3282)))</f>
        <v>101833127.93487544</v>
      </c>
      <c r="B2402">
        <v>182704205.31544152</v>
      </c>
    </row>
    <row r="2403" spans="1:2" x14ac:dyDescent="0.25">
      <c r="A2403">
        <f ca="1">28025.8951694064*((RANDBETWEEN(2979,3282)))</f>
        <v>86347783.01694113</v>
      </c>
      <c r="B2403">
        <v>165648708.69327518</v>
      </c>
    </row>
    <row r="2404" spans="1:2" x14ac:dyDescent="0.25">
      <c r="A2404">
        <f ca="1">27152.8657265017*((RANDBETWEEN(2979,3282)))</f>
        <v>85042775.455403417</v>
      </c>
      <c r="B2404">
        <v>165594426.6953854</v>
      </c>
    </row>
    <row r="2405" spans="1:2" x14ac:dyDescent="0.25">
      <c r="A2405">
        <f ca="1">26525.6874454128*((RANDBETWEEN(2979,3282)))</f>
        <v>81831745.769098416</v>
      </c>
      <c r="B2405">
        <v>148362894.54669526</v>
      </c>
    </row>
    <row r="2406" spans="1:2" x14ac:dyDescent="0.25">
      <c r="A2406">
        <f ca="1">28768.1119051381*((RANDBETWEEN(2979,3282)))</f>
        <v>94100494.041706607</v>
      </c>
      <c r="B2406">
        <v>147664732.61391774</v>
      </c>
    </row>
    <row r="2407" spans="1:2" x14ac:dyDescent="0.25">
      <c r="A2407">
        <f ca="1">31369.1500695355*((RANDBETWEEN(2979,3282)))</f>
        <v>99471574.870497078</v>
      </c>
      <c r="B2407">
        <v>156843714.61877406</v>
      </c>
    </row>
    <row r="2408" spans="1:2" x14ac:dyDescent="0.25">
      <c r="A2408">
        <f ca="1">32551.9825806834*((RANDBETWEEN(2979,3282)))</f>
        <v>102213225.30334583</v>
      </c>
      <c r="B2408">
        <v>196922491.45598191</v>
      </c>
    </row>
    <row r="2409" spans="1:2" x14ac:dyDescent="0.25">
      <c r="A2409">
        <f ca="1">26513.3188230538*((RANDBETWEEN(2979,3282)))</f>
        <v>86035719.580809668</v>
      </c>
      <c r="B2409">
        <v>144405034.75179768</v>
      </c>
    </row>
    <row r="2410" spans="1:2" x14ac:dyDescent="0.25">
      <c r="A2410">
        <f ca="1">27017.5292960329*((RANDBETWEEN(2979,3282)))</f>
        <v>86780304.098857746</v>
      </c>
      <c r="B2410">
        <v>154647366.66049597</v>
      </c>
    </row>
    <row r="2411" spans="1:2" x14ac:dyDescent="0.25">
      <c r="A2411">
        <f ca="1">26278.9885097072*((RANDBETWEEN(2979,3282)))</f>
        <v>82148118.081344754</v>
      </c>
      <c r="B2411">
        <v>173195981.1893324</v>
      </c>
    </row>
    <row r="2412" spans="1:2" x14ac:dyDescent="0.25">
      <c r="A2412">
        <f ca="1">27039.8550526718*((RANDBETWEEN(2979,3282)))</f>
        <v>81822601.389384866</v>
      </c>
      <c r="B2412">
        <v>166018440.78136542</v>
      </c>
    </row>
    <row r="2413" spans="1:2" x14ac:dyDescent="0.25">
      <c r="A2413">
        <f ca="1">30127.6206285309*((RANDBETWEEN(2979,3282)))</f>
        <v>94359707.808558822</v>
      </c>
      <c r="B2413">
        <v>148191907.45737299</v>
      </c>
    </row>
    <row r="2414" spans="1:2" x14ac:dyDescent="0.25">
      <c r="A2414">
        <f ca="1">26531.4836639119*((RANDBETWEEN(2979,3282)))</f>
        <v>81823095.619504198</v>
      </c>
      <c r="B2414">
        <v>145977832.18229476</v>
      </c>
    </row>
    <row r="2415" spans="1:2" x14ac:dyDescent="0.25">
      <c r="A2415">
        <f ca="1">25567.1820690051*((RANDBETWEEN(2979,3282)))</f>
        <v>81457042.071850389</v>
      </c>
      <c r="B2415">
        <v>149415361.63967785</v>
      </c>
    </row>
    <row r="2416" spans="1:2" x14ac:dyDescent="0.25">
      <c r="A2416">
        <f ca="1">27278.1475843857*((RANDBETWEEN(2979,3282)))</f>
        <v>85735217.857724264</v>
      </c>
      <c r="B2416">
        <v>151894247.28769892</v>
      </c>
    </row>
    <row r="2417" spans="1:2" x14ac:dyDescent="0.25">
      <c r="A2417">
        <f ca="1">27747.9270876429*((RANDBETWEEN(2979,3282)))</f>
        <v>87627953.742776275</v>
      </c>
      <c r="B2417">
        <v>155397130.43895239</v>
      </c>
    </row>
    <row r="2418" spans="1:2" x14ac:dyDescent="0.25">
      <c r="A2418">
        <f ca="1">27195.2221432621*((RANDBETWEEN(2979,3282)))</f>
        <v>87867762.744879827</v>
      </c>
      <c r="B2418">
        <v>168755773.50929162</v>
      </c>
    </row>
    <row r="2419" spans="1:2" x14ac:dyDescent="0.25">
      <c r="A2419">
        <f ca="1">26732.2217183459*((RANDBETWEEN(2979,3282)))</f>
        <v>84153033.96935299</v>
      </c>
      <c r="B2419">
        <v>145807500.74397236</v>
      </c>
    </row>
    <row r="2420" spans="1:2" x14ac:dyDescent="0.25">
      <c r="A2420">
        <f ca="1">27445.7419444862*((RANDBETWEEN(2979,3282)))</f>
        <v>86371749.899298221</v>
      </c>
      <c r="B2420">
        <v>173876640.70860544</v>
      </c>
    </row>
    <row r="2421" spans="1:2" x14ac:dyDescent="0.25">
      <c r="A2421">
        <f ca="1">26569.8641520717*((RANDBETWEEN(2979,3282)))</f>
        <v>82127450.094053701</v>
      </c>
      <c r="B2421">
        <v>146370543.72731394</v>
      </c>
    </row>
    <row r="2422" spans="1:2" x14ac:dyDescent="0.25">
      <c r="A2422">
        <f ca="1">26429.7694341305*((RANDBETWEEN(2979,3282)))</f>
        <v>79527176.227298811</v>
      </c>
      <c r="B2422">
        <v>162793976.83001536</v>
      </c>
    </row>
    <row r="2423" spans="1:2" x14ac:dyDescent="0.25">
      <c r="A2423">
        <f ca="1">31272.4882953783*((RANDBETWEEN(2979,3282)))</f>
        <v>101479224.51850249</v>
      </c>
      <c r="B2423">
        <v>163227392.6423763</v>
      </c>
    </row>
    <row r="2424" spans="1:2" x14ac:dyDescent="0.25">
      <c r="A2424">
        <f ca="1">26474.5120523983*((RANDBETWEEN(2979,3282)))</f>
        <v>81382650.0490724</v>
      </c>
      <c r="B2424">
        <v>150149201.89285764</v>
      </c>
    </row>
    <row r="2425" spans="1:2" x14ac:dyDescent="0.25">
      <c r="A2425">
        <f ca="1">27567.842442356*((RANDBETWEEN(2979,3282)))</f>
        <v>82538120.27241376</v>
      </c>
      <c r="B2425">
        <v>199568071.37362352</v>
      </c>
    </row>
    <row r="2426" spans="1:2" x14ac:dyDescent="0.25">
      <c r="A2426">
        <f ca="1">28336.7509616762*((RANDBETWEEN(2979,3282)))</f>
        <v>85010252.885028735</v>
      </c>
      <c r="B2426">
        <v>144442914.53803879</v>
      </c>
    </row>
    <row r="2427" spans="1:2" x14ac:dyDescent="0.25">
      <c r="A2427">
        <f ca="1">26734.8725253669*((RANDBETWEEN(2979,3282)))</f>
        <v>83439537.151670262</v>
      </c>
      <c r="B2427">
        <v>192938356.76254168</v>
      </c>
    </row>
    <row r="2428" spans="1:2" x14ac:dyDescent="0.25">
      <c r="A2428">
        <f ca="1">25860.7981980753*((RANDBETWEEN(2979,3282)))</f>
        <v>82728693.435642794</v>
      </c>
      <c r="B2428">
        <v>149548502.0007441</v>
      </c>
    </row>
    <row r="2429" spans="1:2" x14ac:dyDescent="0.25">
      <c r="A2429">
        <f ca="1">26442.7253756811*((RANDBETWEEN(2979,3282)))</f>
        <v>85119132.984317586</v>
      </c>
      <c r="B2429">
        <v>164766986.70251784</v>
      </c>
    </row>
    <row r="2430" spans="1:2" x14ac:dyDescent="0.25">
      <c r="A2430">
        <f ca="1">29549.0684615546*((RANDBETWEEN(2979,3282)))</f>
        <v>90006462.533895344</v>
      </c>
      <c r="B2430">
        <v>186657950.69811225</v>
      </c>
    </row>
    <row r="2431" spans="1:2" x14ac:dyDescent="0.25">
      <c r="A2431">
        <f ca="1">28192.7136638104*((RANDBETWEEN(2979,3282)))</f>
        <v>90498610.860831395</v>
      </c>
      <c r="B2431">
        <v>150564525.90806144</v>
      </c>
    </row>
    <row r="2432" spans="1:2" x14ac:dyDescent="0.25">
      <c r="A2432">
        <f ca="1">33023.8466892741*((RANDBETWEEN(2979,3282)))</f>
        <v>102506020.1235068</v>
      </c>
      <c r="B2432">
        <v>146410209.28946164</v>
      </c>
    </row>
    <row r="2433" spans="1:2" x14ac:dyDescent="0.25">
      <c r="A2433">
        <f ca="1">26536.8195255258*((RANDBETWEEN(2979,3282)))</f>
        <v>79238943.103220031</v>
      </c>
      <c r="B2433">
        <v>152025527.32775855</v>
      </c>
    </row>
    <row r="2434" spans="1:2" x14ac:dyDescent="0.25">
      <c r="A2434">
        <f ca="1">29224.594239113*((RANDBETWEEN(2979,3282)))</f>
        <v>93460252.376683235</v>
      </c>
      <c r="B2434">
        <v>162443814.82144964</v>
      </c>
    </row>
    <row r="2435" spans="1:2" x14ac:dyDescent="0.25">
      <c r="A2435">
        <f ca="1">29468.0010323528*((RANDBETWEEN(2979,3282)))</f>
        <v>90142615.157967344</v>
      </c>
      <c r="B2435">
        <v>187972790.32380036</v>
      </c>
    </row>
    <row r="2436" spans="1:2" x14ac:dyDescent="0.25">
      <c r="A2436">
        <f ca="1">27770.5258092776*((RANDBETWEEN(2979,3282)))</f>
        <v>83617053.211734876</v>
      </c>
      <c r="B2436">
        <v>146435202.06797552</v>
      </c>
    </row>
    <row r="2437" spans="1:2" x14ac:dyDescent="0.25">
      <c r="A2437">
        <f ca="1">26401.2848607585*((RANDBETWEEN(2979,3282)))</f>
        <v>85460959.094275415</v>
      </c>
      <c r="B2437">
        <v>148117039.86992839</v>
      </c>
    </row>
    <row r="2438" spans="1:2" x14ac:dyDescent="0.25">
      <c r="A2438">
        <f ca="1">26335.9882308963*((RANDBETWEEN(2979,3282)))</f>
        <v>80219420.151310042</v>
      </c>
      <c r="B2438">
        <v>160773204.90446943</v>
      </c>
    </row>
    <row r="2439" spans="1:2" x14ac:dyDescent="0.25">
      <c r="A2439">
        <f ca="1">26082.7021827129*((RANDBETWEEN(2979,3282)))</f>
        <v>80073895.70092845</v>
      </c>
      <c r="B2439">
        <v>151788112.51212251</v>
      </c>
    </row>
    <row r="2440" spans="1:2" x14ac:dyDescent="0.25">
      <c r="A2440">
        <f ca="1">27833.0180640256*((RANDBETWEEN(2979,3282)))</f>
        <v>90958303.033235684</v>
      </c>
      <c r="B2440">
        <v>195891598.8235729</v>
      </c>
    </row>
    <row r="2441" spans="1:2" x14ac:dyDescent="0.25">
      <c r="A2441">
        <f ca="1">27284.2095390891*((RANDBETWEEN(2979,3282)))</f>
        <v>81634354.94095473</v>
      </c>
      <c r="B2441">
        <v>199197375.79483569</v>
      </c>
    </row>
    <row r="2442" spans="1:2" x14ac:dyDescent="0.25">
      <c r="A2442">
        <f ca="1">26902.5022116898*((RANDBETWEEN(2979,3282)))</f>
        <v>83505366.865085244</v>
      </c>
      <c r="B2442">
        <v>152923991.16394547</v>
      </c>
    </row>
    <row r="2443" spans="1:2" x14ac:dyDescent="0.25">
      <c r="A2443">
        <f ca="1">25749.8312149514*((RANDBETWEEN(2979,3282)))</f>
        <v>77738740.437938228</v>
      </c>
      <c r="B2443">
        <v>143525073.12921533</v>
      </c>
    </row>
    <row r="2444" spans="1:2" x14ac:dyDescent="0.25">
      <c r="A2444">
        <f ca="1">26156.9471094288*((RANDBETWEEN(2979,3282)))</f>
        <v>81557361.087198958</v>
      </c>
      <c r="B2444">
        <v>185075742.02213016</v>
      </c>
    </row>
    <row r="2445" spans="1:2" x14ac:dyDescent="0.25">
      <c r="A2445">
        <f ca="1">29939.3493466918*((RANDBETWEEN(2979,3282)))</f>
        <v>95356827.669213459</v>
      </c>
      <c r="B2445">
        <v>193167190.99942309</v>
      </c>
    </row>
    <row r="2446" spans="1:2" x14ac:dyDescent="0.25">
      <c r="A2446">
        <f ca="1">27039.2619322248*((RANDBETWEEN(2979,3282)))</f>
        <v>85119596.562643662</v>
      </c>
      <c r="B2446">
        <v>160019040.23490584</v>
      </c>
    </row>
    <row r="2447" spans="1:2" x14ac:dyDescent="0.25">
      <c r="A2447">
        <f ca="1">25645.895038532*((RANDBETWEEN(2979,3282)))</f>
        <v>80117776.100374073</v>
      </c>
      <c r="B2447">
        <v>171678375.89319259</v>
      </c>
    </row>
    <row r="2448" spans="1:2" x14ac:dyDescent="0.25">
      <c r="A2448">
        <f ca="1">26214.740701325*((RANDBETWEEN(2979,3282)))</f>
        <v>78408289.437662929</v>
      </c>
      <c r="B2448">
        <v>143624391.78471464</v>
      </c>
    </row>
    <row r="2449" spans="1:2" x14ac:dyDescent="0.25">
      <c r="A2449">
        <f ca="1">28098.9966409506*((RANDBETWEEN(2979,3282)))</f>
        <v>83763108.986673817</v>
      </c>
      <c r="B2449">
        <v>191404742.02675182</v>
      </c>
    </row>
    <row r="2450" spans="1:2" x14ac:dyDescent="0.25">
      <c r="A2450">
        <f ca="1">27717.1849053461*((RANDBETWEEN(2979,3282)))</f>
        <v>86976526.232975945</v>
      </c>
      <c r="B2450">
        <v>172664611.63507962</v>
      </c>
    </row>
    <row r="2451" spans="1:2" x14ac:dyDescent="0.25">
      <c r="A2451">
        <f ca="1">27231.831412521*((RANDBETWEEN(2979,3282)))</f>
        <v>84309750.05316487</v>
      </c>
      <c r="B2451">
        <v>147838108.42910212</v>
      </c>
    </row>
    <row r="2452" spans="1:2" x14ac:dyDescent="0.25">
      <c r="A2452">
        <f ca="1">27162.5039522665*((RANDBETWEEN(2979,3282)))</f>
        <v>81215886.817276761</v>
      </c>
      <c r="B2452">
        <v>182187486.40952566</v>
      </c>
    </row>
    <row r="2453" spans="1:2" x14ac:dyDescent="0.25">
      <c r="A2453">
        <f ca="1">26646.0282158991*((RANDBETWEEN(2979,3282)))</f>
        <v>86546299.645240337</v>
      </c>
      <c r="B2453">
        <v>162349289.3486684</v>
      </c>
    </row>
    <row r="2454" spans="1:2" x14ac:dyDescent="0.25">
      <c r="A2454">
        <f ca="1">28288.5946964315*((RANDBETWEEN(2979,3282)))</f>
        <v>90862966.164937839</v>
      </c>
      <c r="B2454">
        <v>184975330.7272698</v>
      </c>
    </row>
    <row r="2455" spans="1:2" x14ac:dyDescent="0.25">
      <c r="A2455">
        <f ca="1">27722.8313581294*((RANDBETWEEN(2979,3282)))</f>
        <v>89544745.286757812</v>
      </c>
      <c r="B2455">
        <v>162344479.09338859</v>
      </c>
    </row>
    <row r="2456" spans="1:2" x14ac:dyDescent="0.25">
      <c r="A2456">
        <f ca="1">31159.0449384943*((RANDBETWEEN(2979,3282)))</f>
        <v>101952395.03875348</v>
      </c>
      <c r="B2456">
        <v>174762844.97438967</v>
      </c>
    </row>
    <row r="2457" spans="1:2" x14ac:dyDescent="0.25">
      <c r="A2457">
        <f ca="1">26833.6912506356*((RANDBETWEEN(2979,3282)))</f>
        <v>82003760.46194236</v>
      </c>
      <c r="B2457">
        <v>148485890.38737819</v>
      </c>
    </row>
    <row r="2458" spans="1:2" x14ac:dyDescent="0.25">
      <c r="A2458">
        <f ca="1">26777.235104469*((RANDBETWEEN(2979,3282)))</f>
        <v>84883835.281166881</v>
      </c>
      <c r="B2458">
        <v>182681147.50206473</v>
      </c>
    </row>
    <row r="2459" spans="1:2" x14ac:dyDescent="0.25">
      <c r="A2459">
        <f ca="1">27049.018503544*((RANDBETWEEN(2979,3282)))</f>
        <v>81092957.473624885</v>
      </c>
      <c r="B2459">
        <v>185725868.0392234</v>
      </c>
    </row>
    <row r="2460" spans="1:2" x14ac:dyDescent="0.25">
      <c r="A2460">
        <f ca="1">26882.9134090133*((RANDBETWEEN(2979,3282)))</f>
        <v>86536098.263613656</v>
      </c>
      <c r="B2460">
        <v>151466773.62569907</v>
      </c>
    </row>
    <row r="2461" spans="1:2" x14ac:dyDescent="0.25">
      <c r="A2461">
        <f ca="1">28343.7989959836*((RANDBETWEEN(2979,3282)))</f>
        <v>90728500.586143404</v>
      </c>
      <c r="B2461">
        <v>174587608.77362877</v>
      </c>
    </row>
    <row r="2462" spans="1:2" x14ac:dyDescent="0.25">
      <c r="A2462">
        <f ca="1">30225.703155639*((RANDBETWEEN(2979,3282)))</f>
        <v>90828237.982695177</v>
      </c>
      <c r="B2462">
        <v>149648105.50962025</v>
      </c>
    </row>
    <row r="2463" spans="1:2" x14ac:dyDescent="0.25">
      <c r="A2463">
        <f ca="1">32805.5873599914*((RANDBETWEEN(2979,3282)))</f>
        <v>101500487.29181348</v>
      </c>
      <c r="B2463">
        <v>161360343.77577826</v>
      </c>
    </row>
    <row r="2464" spans="1:2" x14ac:dyDescent="0.25">
      <c r="A2464">
        <f ca="1">27555.3590373158*((RANDBETWEEN(2979,3282)))</f>
        <v>82748743.189059332</v>
      </c>
      <c r="B2464">
        <v>160201469.19205147</v>
      </c>
    </row>
    <row r="2465" spans="1:2" x14ac:dyDescent="0.25">
      <c r="A2465">
        <f ca="1">29758.4623029734*((RANDBETWEEN(2979,3282)))</f>
        <v>89543213.069646984</v>
      </c>
      <c r="B2465">
        <v>164256401.30410552</v>
      </c>
    </row>
    <row r="2466" spans="1:2" x14ac:dyDescent="0.25">
      <c r="A2466">
        <f ca="1">27745.7119239871*((RANDBETWEEN(2979,3282)))</f>
        <v>86427892.643219799</v>
      </c>
      <c r="B2466">
        <v>201769542.57521397</v>
      </c>
    </row>
    <row r="2467" spans="1:2" x14ac:dyDescent="0.25">
      <c r="A2467">
        <f ca="1">27984.9481746748*((RANDBETWEEN(2979,3282)))</f>
        <v>86949233.978714719</v>
      </c>
      <c r="B2467">
        <v>178356137.27495706</v>
      </c>
    </row>
    <row r="2468" spans="1:2" x14ac:dyDescent="0.25">
      <c r="A2468">
        <f ca="1">26153.9447413703*((RANDBETWEEN(2979,3282)))</f>
        <v>85601861.138505042</v>
      </c>
      <c r="B2468">
        <v>183639589.49195823</v>
      </c>
    </row>
    <row r="2469" spans="1:2" x14ac:dyDescent="0.25">
      <c r="A2469">
        <f ca="1">28247.8950414393*((RANDBETWEEN(2979,3282)))</f>
        <v>87342491.46813035</v>
      </c>
      <c r="B2469">
        <v>164693224.1792042</v>
      </c>
    </row>
    <row r="2470" spans="1:2" x14ac:dyDescent="0.25">
      <c r="A2470">
        <f ca="1">27384.4456071551*((RANDBETWEEN(2979,3282)))</f>
        <v>88725603.767182484</v>
      </c>
      <c r="B2470">
        <v>199180983.53304267</v>
      </c>
    </row>
    <row r="2471" spans="1:2" x14ac:dyDescent="0.25">
      <c r="A2471">
        <f ca="1">28417.922851104*((RANDBETWEEN(2979,3282)))</f>
        <v>91136278.583490625</v>
      </c>
      <c r="B2471">
        <v>182460610.87618294</v>
      </c>
    </row>
    <row r="2472" spans="1:2" x14ac:dyDescent="0.25">
      <c r="A2472">
        <f ca="1">27950.5624558551*((RANDBETWEEN(2979,3282)))</f>
        <v>90559822.356970504</v>
      </c>
      <c r="B2472">
        <v>183220617.97587013</v>
      </c>
    </row>
    <row r="2473" spans="1:2" x14ac:dyDescent="0.25">
      <c r="A2473">
        <f ca="1">28075.8064768947*((RANDBETWEEN(2979,3282)))</f>
        <v>88747624.273464188</v>
      </c>
      <c r="B2473">
        <v>172870470.17202687</v>
      </c>
    </row>
    <row r="2474" spans="1:2" x14ac:dyDescent="0.25">
      <c r="A2474">
        <f ca="1">26927.75845795*((RANDBETWEEN(2979,3282)))</f>
        <v>86518887.925393194</v>
      </c>
      <c r="B2474">
        <v>170557953.66042256</v>
      </c>
    </row>
    <row r="2475" spans="1:2" x14ac:dyDescent="0.25">
      <c r="A2475">
        <f ca="1">31580.4420403056*((RANDBETWEEN(2979,3282)))</f>
        <v>94393941.258473366</v>
      </c>
      <c r="B2475">
        <v>179492785.14595354</v>
      </c>
    </row>
    <row r="2476" spans="1:2" x14ac:dyDescent="0.25">
      <c r="A2476">
        <f ca="1">27142.7837729723*((RANDBETWEEN(2979,3282)))</f>
        <v>83328346.183025077</v>
      </c>
      <c r="B2476">
        <v>181527762.82603517</v>
      </c>
    </row>
    <row r="2477" spans="1:2" x14ac:dyDescent="0.25">
      <c r="A2477">
        <f ca="1">26715.6399978884*((RANDBETWEEN(2979,3282)))</f>
        <v>83887109.593369529</v>
      </c>
      <c r="B2477">
        <v>171861588.40051872</v>
      </c>
    </row>
    <row r="2478" spans="1:2" x14ac:dyDescent="0.25">
      <c r="A2478">
        <f ca="1">31319.6209050004*((RANDBETWEEN(2979,3282)))</f>
        <v>97811176.086316302</v>
      </c>
      <c r="B2478">
        <v>153718780.48572484</v>
      </c>
    </row>
    <row r="2479" spans="1:2" x14ac:dyDescent="0.25">
      <c r="A2479">
        <f ca="1">28791.165000826*((RANDBETWEEN(2979,3282)))</f>
        <v>89655687.812572137</v>
      </c>
      <c r="B2479">
        <v>184203893.87571913</v>
      </c>
    </row>
    <row r="2480" spans="1:2" x14ac:dyDescent="0.25">
      <c r="A2480">
        <f ca="1">25909.7731691512*((RANDBETWEEN(2979,3282)))</f>
        <v>82626266.636423036</v>
      </c>
      <c r="B2480">
        <v>157059441.16306788</v>
      </c>
    </row>
    <row r="2481" spans="1:2" x14ac:dyDescent="0.25">
      <c r="A2481">
        <f ca="1">29629.419251021*((RANDBETWEEN(2979,3282)))</f>
        <v>89095663.687820107</v>
      </c>
      <c r="B2481">
        <v>190549332.80625066</v>
      </c>
    </row>
    <row r="2482" spans="1:2" x14ac:dyDescent="0.25">
      <c r="A2482">
        <f ca="1">32796.7078866516*((RANDBETWEEN(2979,3282)))</f>
        <v>102358525.31423962</v>
      </c>
      <c r="B2482">
        <v>186231788.63105887</v>
      </c>
    </row>
    <row r="2483" spans="1:2" x14ac:dyDescent="0.25">
      <c r="A2483">
        <f ca="1">26017.2733066913*((RANDBETWEEN(2979,3282)))</f>
        <v>77843681.733620301</v>
      </c>
      <c r="B2483">
        <v>147639727.42618856</v>
      </c>
    </row>
    <row r="2484" spans="1:2" x14ac:dyDescent="0.25">
      <c r="A2484">
        <f ca="1">26482.4186778699*((RANDBETWEEN(2979,3282)))</f>
        <v>82942935.299088389</v>
      </c>
      <c r="B2484">
        <v>149784097.14659908</v>
      </c>
    </row>
    <row r="2485" spans="1:2" x14ac:dyDescent="0.25">
      <c r="A2485">
        <f ca="1">31670.4058130602*((RANDBETWEEN(2979,3282)))</f>
        <v>99001688.571626335</v>
      </c>
      <c r="B2485">
        <v>183541729.49639159</v>
      </c>
    </row>
    <row r="2486" spans="1:2" x14ac:dyDescent="0.25">
      <c r="A2486">
        <f ca="1">27374.9330291327*((RANDBETWEEN(2979,3282)))</f>
        <v>84396918.528816238</v>
      </c>
      <c r="B2486">
        <v>146516332.73786423</v>
      </c>
    </row>
    <row r="2487" spans="1:2" x14ac:dyDescent="0.25">
      <c r="A2487">
        <f ca="1">32619.7289459098*((RANDBETWEEN(2979,3282)))</f>
        <v>104448372.08480315</v>
      </c>
      <c r="B2487">
        <v>162871535.28268421</v>
      </c>
    </row>
    <row r="2488" spans="1:2" x14ac:dyDescent="0.25">
      <c r="A2488">
        <f ca="1">26609.7647795948*((RANDBETWEEN(2979,3282)))</f>
        <v>86934101.5349361</v>
      </c>
      <c r="B2488">
        <v>162833208.34325632</v>
      </c>
    </row>
    <row r="2489" spans="1:2" x14ac:dyDescent="0.25">
      <c r="A2489">
        <f ca="1">26555.6385381134*((RANDBETWEEN(2979,3282)))</f>
        <v>86332380.887406677</v>
      </c>
      <c r="B2489">
        <v>143661615.79458338</v>
      </c>
    </row>
    <row r="2490" spans="1:2" x14ac:dyDescent="0.25">
      <c r="A2490">
        <f ca="1">27778.1316673257*((RANDBETWEEN(2979,3282)))</f>
        <v>87445558.488741368</v>
      </c>
      <c r="B2490">
        <v>179936024.46654212</v>
      </c>
    </row>
    <row r="2491" spans="1:2" x14ac:dyDescent="0.25">
      <c r="A2491">
        <f ca="1">28074.12686215*((RANDBETWEEN(2979,3282)))</f>
        <v>86945570.892078534</v>
      </c>
      <c r="B2491">
        <v>174237690.52807236</v>
      </c>
    </row>
    <row r="2492" spans="1:2" x14ac:dyDescent="0.25">
      <c r="A2492">
        <f ca="1">28389.0927655037*((RANDBETWEEN(2979,3282)))</f>
        <v>92718776.972134978</v>
      </c>
      <c r="B2492">
        <v>189535086.18016934</v>
      </c>
    </row>
    <row r="2493" spans="1:2" x14ac:dyDescent="0.25">
      <c r="A2493">
        <f ca="1">27103.0848275678*((RANDBETWEEN(2979,3282)))</f>
        <v>87705582.502009407</v>
      </c>
      <c r="B2493">
        <v>180552099.16102669</v>
      </c>
    </row>
    <row r="2494" spans="1:2" x14ac:dyDescent="0.25">
      <c r="A2494">
        <f ca="1">26944.5250864037*((RANDBETWEEN(2979,3282)))</f>
        <v>83528027.767851442</v>
      </c>
      <c r="B2494">
        <v>161356189.02957451</v>
      </c>
    </row>
    <row r="2495" spans="1:2" x14ac:dyDescent="0.25">
      <c r="A2495">
        <f ca="1">26068.0982369516*((RANDBETWEEN(2979,3282)))</f>
        <v>82974756.688217059</v>
      </c>
      <c r="B2495">
        <v>143686971.23701194</v>
      </c>
    </row>
    <row r="2496" spans="1:2" x14ac:dyDescent="0.25">
      <c r="A2496">
        <f ca="1">26524.7546678534*((RANDBETWEEN(2979,3282)))</f>
        <v>81643194.867652759</v>
      </c>
      <c r="B2496">
        <v>150309885.46868142</v>
      </c>
    </row>
    <row r="2497" spans="1:2" x14ac:dyDescent="0.25">
      <c r="A2497">
        <f ca="1">29124.5302958494*((RANDBETWEEN(2979,3282)))</f>
        <v>90402542.038316518</v>
      </c>
      <c r="B2497">
        <v>180072217.42085868</v>
      </c>
    </row>
    <row r="2498" spans="1:2" x14ac:dyDescent="0.25">
      <c r="A2498">
        <f ca="1">25662.4115896583*((RANDBETWEEN(2979,3282)))</f>
        <v>79604800.751120195</v>
      </c>
      <c r="B2498">
        <v>155737575.19382751</v>
      </c>
    </row>
    <row r="2499" spans="1:2" x14ac:dyDescent="0.25">
      <c r="A2499">
        <f ca="1">31391.8594734479*((RANDBETWEEN(2979,3282)))</f>
        <v>96341616.72401157</v>
      </c>
      <c r="B2499">
        <v>159214786.33720249</v>
      </c>
    </row>
    <row r="2500" spans="1:2" x14ac:dyDescent="0.25">
      <c r="A2500">
        <f ca="1">26583.6712651623*((RANDBETWEEN(2979,3282)))</f>
        <v>80734609.632297799</v>
      </c>
      <c r="B2500">
        <v>194830731.82917666</v>
      </c>
    </row>
    <row r="2501" spans="1:2" x14ac:dyDescent="0.25">
      <c r="A2501">
        <f ca="1">33205.6007040008*((RANDBETWEEN(2979,3282)))</f>
        <v>99284746.104962423</v>
      </c>
      <c r="B2501">
        <v>169106372.97543639</v>
      </c>
    </row>
    <row r="2502" spans="1:2" x14ac:dyDescent="0.25">
      <c r="A2502">
        <f ca="1">29092.9370208337*((RANDBETWEEN(2979,3282)))</f>
        <v>88035227.425042927</v>
      </c>
      <c r="B2502">
        <v>156740515.42013058</v>
      </c>
    </row>
    <row r="2503" spans="1:2" x14ac:dyDescent="0.25">
      <c r="A2503">
        <f ca="1">27739.0409162688*((RANDBETWEEN(2979,3282)))</f>
        <v>83494513.157968998</v>
      </c>
      <c r="B2503">
        <v>168348655.20519555</v>
      </c>
    </row>
    <row r="2504" spans="1:2" x14ac:dyDescent="0.25">
      <c r="A2504">
        <f ca="1">25894.813457316*((RANDBETWEEN(2979,3282)))</f>
        <v>81542767.577088028</v>
      </c>
      <c r="B2504">
        <v>157856534.53535524</v>
      </c>
    </row>
    <row r="2505" spans="1:2" x14ac:dyDescent="0.25">
      <c r="A2505">
        <f ca="1">30987.5140625296*((RANDBETWEEN(2979,3282)))</f>
        <v>97176844.100092679</v>
      </c>
      <c r="B2505">
        <v>161038626.27097201</v>
      </c>
    </row>
    <row r="2506" spans="1:2" x14ac:dyDescent="0.25">
      <c r="A2506">
        <f ca="1">26569.4879567904*((RANDBETWEEN(2979,3282)))</f>
        <v>82843663.449272379</v>
      </c>
      <c r="B2506">
        <v>171465191.22247648</v>
      </c>
    </row>
    <row r="2507" spans="1:2" x14ac:dyDescent="0.25">
      <c r="A2507">
        <f ca="1">28110.5760442021*((RANDBETWEEN(2979,3282)))</f>
        <v>90459833.71024245</v>
      </c>
      <c r="B2507">
        <v>161336244.30270103</v>
      </c>
    </row>
    <row r="2508" spans="1:2" x14ac:dyDescent="0.25">
      <c r="A2508">
        <f ca="1">26186.03578239*((RANDBETWEEN(2979,3282)))</f>
        <v>83402523.966912091</v>
      </c>
      <c r="B2508">
        <v>154634610.6374504</v>
      </c>
    </row>
    <row r="2509" spans="1:2" x14ac:dyDescent="0.25">
      <c r="A2509">
        <f ca="1">25584.5266865789*((RANDBETWEEN(2979,3282)))</f>
        <v>82893866.464515537</v>
      </c>
      <c r="B2509">
        <v>171143525.82267794</v>
      </c>
    </row>
    <row r="2510" spans="1:2" x14ac:dyDescent="0.25">
      <c r="A2510">
        <f ca="1">26486.1125422335*((RANDBETWEEN(2979,3282)))</f>
        <v>79670226.527038425</v>
      </c>
      <c r="B2510">
        <v>199292384.51802278</v>
      </c>
    </row>
    <row r="2511" spans="1:2" x14ac:dyDescent="0.25">
      <c r="A2511">
        <f ca="1">26487.5579489552*((RANDBETWEEN(2979,3282)))</f>
        <v>86084563.334104553</v>
      </c>
      <c r="B2511">
        <v>157107254.08945957</v>
      </c>
    </row>
    <row r="2512" spans="1:2" x14ac:dyDescent="0.25">
      <c r="A2512">
        <f ca="1">27228.2498076613*((RANDBETWEEN(2979,3282)))</f>
        <v>86640290.887978569</v>
      </c>
      <c r="B2512">
        <v>164080482.8613809</v>
      </c>
    </row>
    <row r="2513" spans="1:2" x14ac:dyDescent="0.25">
      <c r="A2513">
        <f ca="1">27097.2411373335*((RANDBETWEEN(2979,3282)))</f>
        <v>85952448.887621909</v>
      </c>
      <c r="B2513">
        <v>158633013.74055827</v>
      </c>
    </row>
    <row r="2514" spans="1:2" x14ac:dyDescent="0.25">
      <c r="A2514">
        <f ca="1">29841.072126341*((RANDBETWEEN(2979,3282)))</f>
        <v>89493375.306896538</v>
      </c>
      <c r="B2514">
        <v>185164416.18658951</v>
      </c>
    </row>
    <row r="2515" spans="1:2" x14ac:dyDescent="0.25">
      <c r="A2515">
        <f ca="1">26865.9634674422*((RANDBETWEEN(2979,3282)))</f>
        <v>81377003.34288235</v>
      </c>
      <c r="B2515">
        <v>151831174.17858031</v>
      </c>
    </row>
    <row r="2516" spans="1:2" x14ac:dyDescent="0.25">
      <c r="A2516">
        <f ca="1">29057.1474263798*((RANDBETWEEN(2979,3282)))</f>
        <v>90483957.085746661</v>
      </c>
      <c r="B2516">
        <v>166409707.92637628</v>
      </c>
    </row>
    <row r="2517" spans="1:2" x14ac:dyDescent="0.25">
      <c r="A2517">
        <f ca="1">26343.6533613882*((RANDBETWEEN(2979,3282)))</f>
        <v>86249121.105184838</v>
      </c>
      <c r="B2517">
        <v>164446222.41978633</v>
      </c>
    </row>
    <row r="2518" spans="1:2" x14ac:dyDescent="0.25">
      <c r="A2518">
        <f ca="1">27914.5341022644*((RANDBETWEEN(2979,3282)))</f>
        <v>87093346.399064779</v>
      </c>
      <c r="B2518">
        <v>196567779.68598342</v>
      </c>
    </row>
    <row r="2519" spans="1:2" x14ac:dyDescent="0.25">
      <c r="A2519">
        <f ca="1">27127.8662403921*((RANDBETWEEN(2979,3282)))</f>
        <v>82902759.230638131</v>
      </c>
      <c r="B2519">
        <v>145924258.99986982</v>
      </c>
    </row>
    <row r="2520" spans="1:2" x14ac:dyDescent="0.25">
      <c r="A2520">
        <f ca="1">26742.6474172564*((RANDBETWEEN(2979,3282)))</f>
        <v>85148589.376544222</v>
      </c>
      <c r="B2520">
        <v>158719010.00388122</v>
      </c>
    </row>
    <row r="2521" spans="1:2" x14ac:dyDescent="0.25">
      <c r="A2521">
        <f ca="1">25876.7792993822*((RANDBETWEEN(2979,3282)))</f>
        <v>83167968.668214545</v>
      </c>
      <c r="B2521">
        <v>160217389.18036804</v>
      </c>
    </row>
    <row r="2522" spans="1:2" x14ac:dyDescent="0.25">
      <c r="A2522">
        <f ca="1">29471.5109111885*((RANDBETWEEN(2979,3282)))</f>
        <v>93513104.121201158</v>
      </c>
      <c r="B2522">
        <v>149044941.81655806</v>
      </c>
    </row>
    <row r="2523" spans="1:2" x14ac:dyDescent="0.25">
      <c r="A2523">
        <f ca="1">27314.2978723608*((RANDBETWEEN(2979,3282)))</f>
        <v>83035465.531976849</v>
      </c>
      <c r="B2523">
        <v>174284565.07852799</v>
      </c>
    </row>
    <row r="2524" spans="1:2" x14ac:dyDescent="0.25">
      <c r="A2524">
        <f ca="1">27615.2761178449*((RANDBETWEEN(2979,3282)))</f>
        <v>87264272.532389998</v>
      </c>
      <c r="B2524">
        <v>176114595.41744995</v>
      </c>
    </row>
    <row r="2525" spans="1:2" x14ac:dyDescent="0.25">
      <c r="A2525">
        <f ca="1">27932.4038881886*((RANDBETWEEN(2979,3282)))</f>
        <v>84691048.588987887</v>
      </c>
      <c r="B2525">
        <v>167897137.73887762</v>
      </c>
    </row>
    <row r="2526" spans="1:2" x14ac:dyDescent="0.25">
      <c r="A2526">
        <f ca="1">26398.3090074773*((RANDBETWEEN(2979,3282)))</f>
        <v>80620435.70883581</v>
      </c>
      <c r="B2526">
        <v>146357428.46588039</v>
      </c>
    </row>
    <row r="2527" spans="1:2" x14ac:dyDescent="0.25">
      <c r="A2527">
        <f ca="1">27448.9679853087*((RANDBETWEEN(2979,3282)))</f>
        <v>86244657.409839883</v>
      </c>
      <c r="B2527">
        <v>151966191.2690419</v>
      </c>
    </row>
    <row r="2528" spans="1:2" x14ac:dyDescent="0.25">
      <c r="A2528">
        <f ca="1">26579.8743242434*((RANDBETWEEN(2979,3282)))</f>
        <v>85268236.832172826</v>
      </c>
      <c r="B2528">
        <v>192160468.83916253</v>
      </c>
    </row>
    <row r="2529" spans="1:2" x14ac:dyDescent="0.25">
      <c r="A2529">
        <f ca="1">32729.1848455399*((RANDBETWEEN(2979,3282)))</f>
        <v>98645763.12445727</v>
      </c>
      <c r="B2529">
        <v>153946947.16855577</v>
      </c>
    </row>
    <row r="2530" spans="1:2" x14ac:dyDescent="0.25">
      <c r="A2530">
        <f ca="1">25898.4350068171*((RANDBETWEEN(2979,3282)))</f>
        <v>78213273.720587701</v>
      </c>
      <c r="B2530">
        <v>174126507.02210146</v>
      </c>
    </row>
    <row r="2531" spans="1:2" x14ac:dyDescent="0.25">
      <c r="A2531">
        <f ca="1">26349.8882079748*((RANDBETWEEN(2979,3282)))</f>
        <v>82422450.314545199</v>
      </c>
      <c r="B2531">
        <v>174572409.09410203</v>
      </c>
    </row>
    <row r="2532" spans="1:2" x14ac:dyDescent="0.25">
      <c r="A2532">
        <f ca="1">28843.4087989774*((RANDBETWEEN(2979,3282)))</f>
        <v>90049122.270407528</v>
      </c>
      <c r="B2532">
        <v>151612590.22417372</v>
      </c>
    </row>
    <row r="2533" spans="1:2" x14ac:dyDescent="0.25">
      <c r="A2533">
        <f ca="1">28306.0559379311*((RANDBETWEEN(2979,3282)))</f>
        <v>86191940.331000134</v>
      </c>
      <c r="B2533">
        <v>153996299.61929536</v>
      </c>
    </row>
    <row r="2534" spans="1:2" x14ac:dyDescent="0.25">
      <c r="A2534">
        <f ca="1">26384.8653570416*((RANDBETWEEN(2979,3282)))</f>
        <v>79233750.667195961</v>
      </c>
      <c r="B2534">
        <v>163608861.51797757</v>
      </c>
    </row>
    <row r="2535" spans="1:2" x14ac:dyDescent="0.25">
      <c r="A2535">
        <f ca="1">29238.0828075177*((RANDBETWEEN(2979,3282)))</f>
        <v>93591103.066864029</v>
      </c>
      <c r="B2535">
        <v>203168873.03020111</v>
      </c>
    </row>
    <row r="2536" spans="1:2" x14ac:dyDescent="0.25">
      <c r="A2536">
        <f ca="1">26296.7069966737*((RANDBETWEEN(2979,3282)))</f>
        <v>79836802.441901281</v>
      </c>
      <c r="B2536">
        <v>166231720.32066491</v>
      </c>
    </row>
    <row r="2537" spans="1:2" x14ac:dyDescent="0.25">
      <c r="A2537">
        <f ca="1">25478.5758389832*((RANDBETWEEN(2979,3282)))</f>
        <v>80461342.499508873</v>
      </c>
      <c r="B2537">
        <v>143811679.62568235</v>
      </c>
    </row>
    <row r="2538" spans="1:2" x14ac:dyDescent="0.25">
      <c r="A2538">
        <f ca="1">30216.8591517031*((RANDBETWEEN(2979,3282)))</f>
        <v>92644890.159121841</v>
      </c>
      <c r="B2538">
        <v>165486464.59749928</v>
      </c>
    </row>
    <row r="2539" spans="1:2" x14ac:dyDescent="0.25">
      <c r="A2539">
        <f ca="1">26753.7568109068*((RANDBETWEEN(2979,3282)))</f>
        <v>84568625.279276267</v>
      </c>
      <c r="B2539">
        <v>149933204.04552808</v>
      </c>
    </row>
    <row r="2540" spans="1:2" x14ac:dyDescent="0.25">
      <c r="A2540">
        <f ca="1">30707.3659650431*((RANDBETWEEN(2979,3282)))</f>
        <v>94609394.538297683</v>
      </c>
      <c r="B2540">
        <v>145309623.97323844</v>
      </c>
    </row>
    <row r="2541" spans="1:2" x14ac:dyDescent="0.25">
      <c r="A2541">
        <f ca="1">26064.3069595028*((RANDBETWEEN(2979,3282)))</f>
        <v>78271113.79938677</v>
      </c>
      <c r="B2541">
        <v>143320811.99171948</v>
      </c>
    </row>
    <row r="2542" spans="1:2" x14ac:dyDescent="0.25">
      <c r="A2542">
        <f ca="1">26699.190365146*((RANDBETWEEN(2979,3282)))</f>
        <v>80604855.712375879</v>
      </c>
      <c r="B2542">
        <v>171864967.24846852</v>
      </c>
    </row>
    <row r="2543" spans="1:2" x14ac:dyDescent="0.25">
      <c r="A2543">
        <f ca="1">31385.5725463679*((RANDBETWEEN(2979,3282)))</f>
        <v>101971725.20314927</v>
      </c>
      <c r="B2543">
        <v>192241234.08133966</v>
      </c>
    </row>
    <row r="2544" spans="1:2" x14ac:dyDescent="0.25">
      <c r="A2544">
        <f ca="1">31143.4373003296*((RANDBETWEEN(2979,3282)))</f>
        <v>93243451.277186751</v>
      </c>
      <c r="B2544">
        <v>189449621.09672412</v>
      </c>
    </row>
    <row r="2545" spans="1:2" x14ac:dyDescent="0.25">
      <c r="A2545">
        <f ca="1">27048.7365614949*((RANDBETWEEN(2979,3282)))</f>
        <v>86772346.889275521</v>
      </c>
      <c r="B2545">
        <v>153315184.40294588</v>
      </c>
    </row>
    <row r="2546" spans="1:2" x14ac:dyDescent="0.25">
      <c r="A2546">
        <f ca="1">26299.9063025397*((RANDBETWEEN(2979,3282)))</f>
        <v>85132796.701320931</v>
      </c>
      <c r="B2546">
        <v>155386351.97613564</v>
      </c>
    </row>
    <row r="2547" spans="1:2" x14ac:dyDescent="0.25">
      <c r="A2547">
        <f ca="1">26023.7444083165*((RANDBETWEEN(2979,3282)))</f>
        <v>79502539.167406887</v>
      </c>
      <c r="B2547">
        <v>148353095.09158552</v>
      </c>
    </row>
    <row r="2548" spans="1:2" x14ac:dyDescent="0.25">
      <c r="A2548">
        <f ca="1">26473.9934184818*((RANDBETWEEN(2979,3282)))</f>
        <v>80083830.090907291</v>
      </c>
      <c r="B2548">
        <v>173610810.90093923</v>
      </c>
    </row>
    <row r="2549" spans="1:2" x14ac:dyDescent="0.25">
      <c r="A2549">
        <f ca="1">25973.5995664228*((RANDBETWEEN(2979,3282)))</f>
        <v>77401326.707939938</v>
      </c>
      <c r="B2549">
        <v>147126940.77339813</v>
      </c>
    </row>
    <row r="2550" spans="1:2" x14ac:dyDescent="0.25">
      <c r="A2550">
        <f ca="1">26356.8271298194*((RANDBETWEEN(2979,3282)))</f>
        <v>86397679.331548139</v>
      </c>
      <c r="B2550">
        <v>160628614.65818053</v>
      </c>
    </row>
    <row r="2551" spans="1:2" x14ac:dyDescent="0.25">
      <c r="A2551">
        <f ca="1">25691.1935057986*((RANDBETWEEN(2979,3282)))</f>
        <v>78974728.836824805</v>
      </c>
      <c r="B2551">
        <v>192278720.63398448</v>
      </c>
    </row>
    <row r="2552" spans="1:2" x14ac:dyDescent="0.25">
      <c r="A2552">
        <f ca="1">28538.1189457139*((RANDBETWEEN(2979,3282)))</f>
        <v>91264904.388393119</v>
      </c>
      <c r="B2552">
        <v>145068438.35536969</v>
      </c>
    </row>
    <row r="2553" spans="1:2" x14ac:dyDescent="0.25">
      <c r="A2553">
        <f ca="1">25541.2388268746*((RANDBETWEEN(2979,3282)))</f>
        <v>83085649.903823137</v>
      </c>
      <c r="B2553">
        <v>145274011.71042418</v>
      </c>
    </row>
    <row r="2554" spans="1:2" x14ac:dyDescent="0.25">
      <c r="A2554">
        <f ca="1">32160.4639028595*((RANDBETWEEN(2979,3282)))</f>
        <v>101562745.00523028</v>
      </c>
      <c r="B2554">
        <v>157357572.25030088</v>
      </c>
    </row>
    <row r="2555" spans="1:2" x14ac:dyDescent="0.25">
      <c r="A2555">
        <f ca="1">27052.0420772368*((RANDBETWEEN(2979,3282)))</f>
        <v>86187806.05807656</v>
      </c>
      <c r="B2555">
        <v>147201679.71991602</v>
      </c>
    </row>
    <row r="2556" spans="1:2" x14ac:dyDescent="0.25">
      <c r="A2556">
        <f ca="1">31130.8557858041*((RANDBETWEEN(2979,3282)))</f>
        <v>96848092.34963651</v>
      </c>
      <c r="B2556">
        <v>201898090.42784208</v>
      </c>
    </row>
    <row r="2557" spans="1:2" x14ac:dyDescent="0.25">
      <c r="A2557">
        <f ca="1">26603.224522335*((RANDBETWEEN(2979,3282)))</f>
        <v>79357418.750125438</v>
      </c>
      <c r="B2557">
        <v>177182912.03004557</v>
      </c>
    </row>
    <row r="2558" spans="1:2" x14ac:dyDescent="0.25">
      <c r="A2558">
        <f ca="1">26784.7187217241*((RANDBETWEEN(2979,3282)))</f>
        <v>82014808.725919217</v>
      </c>
      <c r="B2558">
        <v>165735613.87836719</v>
      </c>
    </row>
    <row r="2559" spans="1:2" x14ac:dyDescent="0.25">
      <c r="A2559">
        <f ca="1">31219.4335964377*((RANDBETWEEN(2979,3282)))</f>
        <v>94001714.558873996</v>
      </c>
      <c r="B2559">
        <v>181827202.78048164</v>
      </c>
    </row>
    <row r="2560" spans="1:2" x14ac:dyDescent="0.25">
      <c r="A2560">
        <f ca="1">25620.6270026892*((RANDBETWEEN(2979,3282)))</f>
        <v>80064459.383403823</v>
      </c>
      <c r="B2560">
        <v>151373258.31955299</v>
      </c>
    </row>
    <row r="2561" spans="1:2" x14ac:dyDescent="0.25">
      <c r="A2561">
        <f ca="1">30791.3626729433*((RANDBETWEEN(2979,3282)))</f>
        <v>94714231.581973657</v>
      </c>
      <c r="B2561">
        <v>171109490.50448278</v>
      </c>
    </row>
    <row r="2562" spans="1:2" x14ac:dyDescent="0.25">
      <c r="A2562">
        <f ca="1">31957.1970416401*((RANDBETWEEN(2979,3282)))</f>
        <v>103765018.79420528</v>
      </c>
      <c r="B2562">
        <v>160390423.22285423</v>
      </c>
    </row>
    <row r="2563" spans="1:2" x14ac:dyDescent="0.25">
      <c r="A2563">
        <f ca="1">29463.6597381817*((RANDBETWEEN(2979,3282)))</f>
        <v>93694437.967417851</v>
      </c>
      <c r="B2563">
        <v>171840051.31809491</v>
      </c>
    </row>
    <row r="2564" spans="1:2" x14ac:dyDescent="0.25">
      <c r="A2564">
        <f ca="1">27313.8054609551*((RANDBETWEEN(2979,3282)))</f>
        <v>82870085.768537879</v>
      </c>
      <c r="B2564">
        <v>157679974.25549284</v>
      </c>
    </row>
    <row r="2565" spans="1:2" x14ac:dyDescent="0.25">
      <c r="A2565">
        <f ca="1">26558.7442333875*((RANDBETWEEN(2979,3282)))</f>
        <v>83421015.637070015</v>
      </c>
      <c r="B2565">
        <v>170165743.55682528</v>
      </c>
    </row>
    <row r="2566" spans="1:2" x14ac:dyDescent="0.25">
      <c r="A2566">
        <f ca="1">27469.708331766*((RANDBETWEEN(2979,3282)))</f>
        <v>82656352.370284021</v>
      </c>
      <c r="B2566">
        <v>164583800.59476724</v>
      </c>
    </row>
    <row r="2567" spans="1:2" x14ac:dyDescent="0.25">
      <c r="A2567">
        <f ca="1">26468.5670218988*((RANDBETWEEN(2979,3282)))</f>
        <v>83402454.686003208</v>
      </c>
      <c r="B2567">
        <v>148749602.03398123</v>
      </c>
    </row>
    <row r="2568" spans="1:2" x14ac:dyDescent="0.25">
      <c r="A2568">
        <f ca="1">28908.2624635497*((RANDBETWEEN(2979,3282)))</f>
        <v>88863998.812951863</v>
      </c>
      <c r="B2568">
        <v>192442808.56898898</v>
      </c>
    </row>
    <row r="2569" spans="1:2" x14ac:dyDescent="0.25">
      <c r="A2569">
        <f ca="1">27859.4564508894*((RANDBETWEEN(2979,3282)))</f>
        <v>84135558.481686071</v>
      </c>
      <c r="B2569">
        <v>192097715.42431337</v>
      </c>
    </row>
    <row r="2570" spans="1:2" x14ac:dyDescent="0.25">
      <c r="A2570">
        <f ca="1">27709.0738919335*((RANDBETWEEN(2979,3282)))</f>
        <v>87422128.12905021</v>
      </c>
      <c r="B2570">
        <v>199274410.84080899</v>
      </c>
    </row>
    <row r="2571" spans="1:2" x14ac:dyDescent="0.25">
      <c r="A2571">
        <f ca="1">28738.62427846*((RANDBETWEEN(2979,3282)))</f>
        <v>92222245.309578121</v>
      </c>
      <c r="B2571">
        <v>169472535.44089448</v>
      </c>
    </row>
    <row r="2572" spans="1:2" x14ac:dyDescent="0.25">
      <c r="A2572">
        <f ca="1">27274.3325419717*((RANDBETWEEN(2979,3282)))</f>
        <v>89105244.414621428</v>
      </c>
      <c r="B2572">
        <v>186925417.09470311</v>
      </c>
    </row>
    <row r="2573" spans="1:2" x14ac:dyDescent="0.25">
      <c r="A2573">
        <f ca="1">26539.0863841279*((RANDBETWEEN(2979,3282)))</f>
        <v>84341216.528758526</v>
      </c>
      <c r="B2573">
        <v>193922239.27824479</v>
      </c>
    </row>
    <row r="2574" spans="1:2" x14ac:dyDescent="0.25">
      <c r="A2574">
        <f ca="1">29595.7147866546*((RANDBETWEEN(2979,3282)))</f>
        <v>90503695.817589894</v>
      </c>
      <c r="B2574">
        <v>144392535.18737444</v>
      </c>
    </row>
    <row r="2575" spans="1:2" x14ac:dyDescent="0.25">
      <c r="A2575">
        <f ca="1">29396.9607371319*((RANDBETWEEN(2979,3282)))</f>
        <v>93599922.987027824</v>
      </c>
      <c r="B2575">
        <v>163900157.54391569</v>
      </c>
    </row>
    <row r="2576" spans="1:2" x14ac:dyDescent="0.25">
      <c r="A2576">
        <f ca="1">26684.7138788789*((RANDBETWEEN(2979,3282)))</f>
        <v>87285699.09781304</v>
      </c>
      <c r="B2576">
        <v>179657464.97724018</v>
      </c>
    </row>
    <row r="2577" spans="1:2" x14ac:dyDescent="0.25">
      <c r="A2577">
        <f ca="1">32497.9109312424*((RANDBETWEEN(2979,3282)))</f>
        <v>100158561.49008921</v>
      </c>
      <c r="B2577">
        <v>152301760.07654989</v>
      </c>
    </row>
    <row r="2578" spans="1:2" x14ac:dyDescent="0.25">
      <c r="A2578">
        <f ca="1">27683.2212794506*((RANDBETWEEN(2979,3282)))</f>
        <v>84406141.681044921</v>
      </c>
      <c r="B2578">
        <v>162732300.5488444</v>
      </c>
    </row>
    <row r="2579" spans="1:2" x14ac:dyDescent="0.25">
      <c r="A2579">
        <f ca="1">28589.9236023606*((RANDBETWEEN(2979,3282)))</f>
        <v>88657353.090920091</v>
      </c>
      <c r="B2579">
        <v>203638907.9917002</v>
      </c>
    </row>
    <row r="2580" spans="1:2" x14ac:dyDescent="0.25">
      <c r="A2580">
        <f ca="1">26754.2767247375*((RANDBETWEEN(2979,3282)))</f>
        <v>85078599.984665275</v>
      </c>
      <c r="B2580">
        <v>179671847.72572953</v>
      </c>
    </row>
    <row r="2581" spans="1:2" x14ac:dyDescent="0.25">
      <c r="A2581">
        <f ca="1">29186.340225529*((RANDBETWEEN(2979,3282)))</f>
        <v>89543691.811922953</v>
      </c>
      <c r="B2581">
        <v>176213626.92551583</v>
      </c>
    </row>
    <row r="2582" spans="1:2" x14ac:dyDescent="0.25">
      <c r="A2582">
        <f ca="1">29444.5643152144*((RANDBETWEEN(2979,3282)))</f>
        <v>88363137.509958521</v>
      </c>
      <c r="B2582">
        <v>171258216.17671698</v>
      </c>
    </row>
    <row r="2583" spans="1:2" x14ac:dyDescent="0.25">
      <c r="A2583">
        <f ca="1">26461.9803521526*((RANDBETWEEN(2979,3282)))</f>
        <v>81264741.661460757</v>
      </c>
      <c r="B2583">
        <v>173612822.5382767</v>
      </c>
    </row>
    <row r="2584" spans="1:2" x14ac:dyDescent="0.25">
      <c r="A2584">
        <f ca="1">25380.8146269726*((RANDBETWEEN(2979,3282)))</f>
        <v>80431801.552876249</v>
      </c>
      <c r="B2584">
        <v>185507717.89385873</v>
      </c>
    </row>
    <row r="2585" spans="1:2" x14ac:dyDescent="0.25">
      <c r="A2585">
        <f ca="1">26888.6748630997*((RANDBETWEEN(2979,3282)))</f>
        <v>83462446.775061518</v>
      </c>
      <c r="B2585">
        <v>198970608.35448202</v>
      </c>
    </row>
    <row r="2586" spans="1:2" x14ac:dyDescent="0.25">
      <c r="A2586">
        <f ca="1">26387.5489210997*((RANDBETWEEN(2979,3282)))</f>
        <v>82698578.318726361</v>
      </c>
      <c r="B2586">
        <v>154252798.97432238</v>
      </c>
    </row>
    <row r="2587" spans="1:2" x14ac:dyDescent="0.25">
      <c r="A2587">
        <f ca="1">29898.8402701756*((RANDBETWEEN(2979,3282)))</f>
        <v>89786217.331337452</v>
      </c>
      <c r="B2587">
        <v>175626790.51428074</v>
      </c>
    </row>
    <row r="2588" spans="1:2" x14ac:dyDescent="0.25">
      <c r="A2588">
        <f ca="1">27103.182452668*((RANDBETWEEN(2979,3282)))</f>
        <v>82827325.575353369</v>
      </c>
      <c r="B2588">
        <v>150244456.24164635</v>
      </c>
    </row>
    <row r="2589" spans="1:2" x14ac:dyDescent="0.25">
      <c r="A2589">
        <f ca="1">27002.9396389245*((RANDBETWEEN(2979,3282)))</f>
        <v>84546204.009472549</v>
      </c>
      <c r="B2589">
        <v>165597595.37715492</v>
      </c>
    </row>
    <row r="2590" spans="1:2" x14ac:dyDescent="0.25">
      <c r="A2590">
        <f ca="1">30078.0974061483*((RANDBETWEEN(2979,3282)))</f>
        <v>90083901.731414139</v>
      </c>
      <c r="B2590">
        <v>171729774.48867828</v>
      </c>
    </row>
    <row r="2591" spans="1:2" x14ac:dyDescent="0.25">
      <c r="A2591">
        <f ca="1">25887.1045581833*((RANDBETWEEN(2979,3282)))</f>
        <v>83485912.200141236</v>
      </c>
      <c r="B2591">
        <v>148925146.56091654</v>
      </c>
    </row>
    <row r="2592" spans="1:2" x14ac:dyDescent="0.25">
      <c r="A2592">
        <f ca="1">26878.8171105186*((RANDBETWEEN(2979,3282)))</f>
        <v>82114786.272634342</v>
      </c>
      <c r="B2592">
        <v>146420633.87090677</v>
      </c>
    </row>
    <row r="2593" spans="1:2" x14ac:dyDescent="0.25">
      <c r="A2593">
        <f ca="1">28040.7072362449*((RANDBETWEEN(2979,3282)))</f>
        <v>91861356.905938223</v>
      </c>
      <c r="B2593">
        <v>173720672.49823442</v>
      </c>
    </row>
    <row r="2594" spans="1:2" x14ac:dyDescent="0.25">
      <c r="A2594">
        <f ca="1">27107.9188343293*((RANDBETWEEN(2979,3282)))</f>
        <v>84712246.357279181</v>
      </c>
      <c r="B2594">
        <v>172776082.42642283</v>
      </c>
    </row>
    <row r="2595" spans="1:2" x14ac:dyDescent="0.25">
      <c r="A2595">
        <f ca="1">26774.1925394228*((RANDBETWEEN(2979,3282)))</f>
        <v>80456448.580965474</v>
      </c>
      <c r="B2595">
        <v>151676718.58685803</v>
      </c>
    </row>
    <row r="2596" spans="1:2" x14ac:dyDescent="0.25">
      <c r="A2596">
        <f ca="1">30015.494130411*((RANDBETWEEN(2979,3282)))</f>
        <v>93288155.757317424</v>
      </c>
      <c r="B2596">
        <v>176485278.8107602</v>
      </c>
    </row>
    <row r="2597" spans="1:2" x14ac:dyDescent="0.25">
      <c r="A2597">
        <f ca="1">28949.0983867861*((RANDBETWEEN(2979,3282)))</f>
        <v>89423764.916782156</v>
      </c>
      <c r="B2597">
        <v>196384839.83726227</v>
      </c>
    </row>
    <row r="2598" spans="1:2" x14ac:dyDescent="0.25">
      <c r="A2598">
        <f ca="1">26252.9368528104*((RANDBETWEEN(2979,3282)))</f>
        <v>84324433.171227053</v>
      </c>
      <c r="B2598">
        <v>143975354.06133568</v>
      </c>
    </row>
    <row r="2599" spans="1:2" x14ac:dyDescent="0.25">
      <c r="A2599">
        <f ca="1">29695.3042340558*((RANDBETWEEN(2979,3282)))</f>
        <v>94817106.419340029</v>
      </c>
      <c r="B2599">
        <v>143575229.40870321</v>
      </c>
    </row>
    <row r="2600" spans="1:2" x14ac:dyDescent="0.25">
      <c r="A2600">
        <f ca="1">26171.3491805423*((RANDBETWEEN(2979,3282)))</f>
        <v>82439749.918708161</v>
      </c>
      <c r="B2600">
        <v>168404919.25278696</v>
      </c>
    </row>
    <row r="2601" spans="1:2" x14ac:dyDescent="0.25">
      <c r="A2601">
        <f ca="1">27676.2801050345*((RANDBETWEEN(2979,3282)))</f>
        <v>90141644.302097499</v>
      </c>
      <c r="B2601">
        <v>185837701.91458726</v>
      </c>
    </row>
    <row r="2602" spans="1:2" x14ac:dyDescent="0.25">
      <c r="A2602">
        <f ca="1">26342.3887819327*((RANDBETWEEN(2979,3282)))</f>
        <v>79949149.953165859</v>
      </c>
      <c r="B2602">
        <v>184748626.59715217</v>
      </c>
    </row>
    <row r="2603" spans="1:2" x14ac:dyDescent="0.25">
      <c r="A2603">
        <f ca="1">26371.4836346918*((RANDBETWEEN(2979,3282)))</f>
        <v>85153520.656419769</v>
      </c>
      <c r="B2603">
        <v>155628761.03413624</v>
      </c>
    </row>
    <row r="2604" spans="1:2" x14ac:dyDescent="0.25">
      <c r="A2604">
        <f ca="1">26416.95387083*((RANDBETWEEN(2979,3282)))</f>
        <v>81258550.106673166</v>
      </c>
      <c r="B2604">
        <v>187513782.21279392</v>
      </c>
    </row>
    <row r="2605" spans="1:2" x14ac:dyDescent="0.25">
      <c r="A2605">
        <f ca="1">30188.5335554987*((RANDBETWEEN(2979,3282)))</f>
        <v>91954273.210049123</v>
      </c>
      <c r="B2605">
        <v>183043270.23478001</v>
      </c>
    </row>
    <row r="2606" spans="1:2" x14ac:dyDescent="0.25">
      <c r="A2606">
        <f ca="1">26590.4621765282*((RANDBETWEEN(2979,3282)))</f>
        <v>85727650.057126909</v>
      </c>
      <c r="B2606">
        <v>145796563.67112219</v>
      </c>
    </row>
    <row r="2607" spans="1:2" x14ac:dyDescent="0.25">
      <c r="A2607">
        <f ca="1">29027.816685897*((RANDBETWEEN(2979,3282)))</f>
        <v>88767063.425473154</v>
      </c>
      <c r="B2607">
        <v>193308700.84805682</v>
      </c>
    </row>
    <row r="2608" spans="1:2" x14ac:dyDescent="0.25">
      <c r="A2608">
        <f ca="1">26474.3434619428*((RANDBETWEEN(2979,3282)))</f>
        <v>81011490.993544832</v>
      </c>
      <c r="B2608">
        <v>158939656.93897712</v>
      </c>
    </row>
    <row r="2609" spans="1:2" x14ac:dyDescent="0.25">
      <c r="A2609">
        <f ca="1">26653.7840484475*((RANDBETWEEN(2979,3282)))</f>
        <v>86145030.044582203</v>
      </c>
      <c r="B2609">
        <v>158359547.03548288</v>
      </c>
    </row>
    <row r="2610" spans="1:2" x14ac:dyDescent="0.25">
      <c r="A2610">
        <f ca="1">32481.6323484961*((RANDBETWEEN(2979,3282)))</f>
        <v>99881019.471625358</v>
      </c>
      <c r="B2610">
        <v>168539383.97372472</v>
      </c>
    </row>
    <row r="2611" spans="1:2" x14ac:dyDescent="0.25">
      <c r="A2611">
        <f ca="1">29182.2333184492*((RANDBETWEEN(2979,3282)))</f>
        <v>95309174.018055052</v>
      </c>
      <c r="B2611">
        <v>180333855.13285658</v>
      </c>
    </row>
    <row r="2612" spans="1:2" x14ac:dyDescent="0.25">
      <c r="A2612">
        <f ca="1">32285.7872490864*((RANDBETWEEN(2979,3282)))</f>
        <v>105865096.38975437</v>
      </c>
      <c r="B2612">
        <v>199620987.64133102</v>
      </c>
    </row>
    <row r="2613" spans="1:2" x14ac:dyDescent="0.25">
      <c r="A2613">
        <f ca="1">26648.1992002738*((RANDBETWEEN(2979,3282)))</f>
        <v>81356952.158435866</v>
      </c>
      <c r="B2613">
        <v>145831482.97779489</v>
      </c>
    </row>
    <row r="2614" spans="1:2" x14ac:dyDescent="0.25">
      <c r="A2614">
        <f ca="1">29169.9763525778*((RANDBETWEEN(2979,3282)))</f>
        <v>95327482.720224336</v>
      </c>
      <c r="B2614">
        <v>163017996.41264233</v>
      </c>
    </row>
    <row r="2615" spans="1:2" x14ac:dyDescent="0.25">
      <c r="A2615">
        <f ca="1">26725.263698243*((RANDBETWEEN(2979,3282)))</f>
        <v>82420713.245381504</v>
      </c>
      <c r="B2615">
        <v>155173828.88203478</v>
      </c>
    </row>
    <row r="2616" spans="1:2" x14ac:dyDescent="0.25">
      <c r="A2616">
        <f ca="1">26823.3798554639*((RANDBETWEEN(2979,3282)))</f>
        <v>82213659.256996974</v>
      </c>
      <c r="B2616">
        <v>193609171.14397895</v>
      </c>
    </row>
    <row r="2617" spans="1:2" x14ac:dyDescent="0.25">
      <c r="A2617">
        <f ca="1">27376.3494459623*((RANDBETWEEN(2979,3282)))</f>
        <v>88507737.758796245</v>
      </c>
      <c r="B2617">
        <v>145223431.95271471</v>
      </c>
    </row>
    <row r="2618" spans="1:2" x14ac:dyDescent="0.25">
      <c r="A2618">
        <f ca="1">28336.3608594932*((RANDBETWEEN(2979,3282)))</f>
        <v>86992627.838644207</v>
      </c>
      <c r="B2618">
        <v>152355249.53952819</v>
      </c>
    </row>
    <row r="2619" spans="1:2" x14ac:dyDescent="0.25">
      <c r="A2619">
        <f ca="1">27919.0980162423*((RANDBETWEEN(2979,3282)))</f>
        <v>85823307.301928937</v>
      </c>
      <c r="B2619">
        <v>188538505.04154071</v>
      </c>
    </row>
    <row r="2620" spans="1:2" x14ac:dyDescent="0.25">
      <c r="A2620">
        <f ca="1">29850.2176657386*((RANDBETWEEN(2979,3282)))</f>
        <v>89371551.691221312</v>
      </c>
      <c r="B2620">
        <v>195553246.6587435</v>
      </c>
    </row>
    <row r="2621" spans="1:2" x14ac:dyDescent="0.25">
      <c r="A2621">
        <f ca="1">28796.3715898689*((RANDBETWEEN(2979,3282)))</f>
        <v>91226905.196704611</v>
      </c>
      <c r="B2621">
        <v>180381387.70862174</v>
      </c>
    </row>
    <row r="2622" spans="1:2" x14ac:dyDescent="0.25">
      <c r="A2622">
        <f ca="1">27579.5930653156*((RANDBETWEEN(2979,3282)))</f>
        <v>84586611.931323081</v>
      </c>
      <c r="B2622">
        <v>157072523.56675395</v>
      </c>
    </row>
    <row r="2623" spans="1:2" x14ac:dyDescent="0.25">
      <c r="A2623">
        <f ca="1">26195.6197146334*((RANDBETWEEN(2979,3282)))</f>
        <v>83983156.805114567</v>
      </c>
      <c r="B2623">
        <v>164491360.57134408</v>
      </c>
    </row>
    <row r="2624" spans="1:2" x14ac:dyDescent="0.25">
      <c r="A2624">
        <f ca="1">32303.4876150037*((RANDBETWEEN(2979,3282)))</f>
        <v>101400647.6234967</v>
      </c>
      <c r="B2624">
        <v>151573032.21463835</v>
      </c>
    </row>
    <row r="2625" spans="1:2" x14ac:dyDescent="0.25">
      <c r="A2625">
        <f ca="1">26608.2327052621*((RANDBETWEEN(2979,3282)))</f>
        <v>82033181.430323169</v>
      </c>
      <c r="B2625">
        <v>166084236.79457322</v>
      </c>
    </row>
    <row r="2626" spans="1:2" x14ac:dyDescent="0.25">
      <c r="A2626">
        <f ca="1">29417.4513226862*((RANDBETWEEN(2979,3282)))</f>
        <v>89693809.082870334</v>
      </c>
      <c r="B2626">
        <v>166281843.75040448</v>
      </c>
    </row>
    <row r="2627" spans="1:2" x14ac:dyDescent="0.25">
      <c r="A2627">
        <f ca="1">29515.3349257047*((RANDBETWEEN(2979,3282)))</f>
        <v>94271979.75270097</v>
      </c>
      <c r="B2627">
        <v>154373982.52450818</v>
      </c>
    </row>
    <row r="2628" spans="1:2" x14ac:dyDescent="0.25">
      <c r="A2628">
        <f ca="1">26309.7747072586*((RANDBETWEEN(2979,3282)))</f>
        <v>80218503.082431406</v>
      </c>
      <c r="B2628">
        <v>151309405.76484632</v>
      </c>
    </row>
    <row r="2629" spans="1:2" x14ac:dyDescent="0.25">
      <c r="A2629">
        <f ca="1">28147.2154723699*((RANDBETWEEN(2979,3282)))</f>
        <v>87931901.135683507</v>
      </c>
      <c r="B2629">
        <v>180996430.38188502</v>
      </c>
    </row>
    <row r="2630" spans="1:2" x14ac:dyDescent="0.25">
      <c r="A2630">
        <f ca="1">26413.8393733213*((RANDBETWEEN(2979,3282)))</f>
        <v>79690553.389310345</v>
      </c>
      <c r="B2630">
        <v>152697982.85239801</v>
      </c>
    </row>
    <row r="2631" spans="1:2" x14ac:dyDescent="0.25">
      <c r="A2631">
        <f ca="1">26771.1684708928*((RANDBETWEEN(2979,3282)))</f>
        <v>79804853.211731389</v>
      </c>
      <c r="B2631">
        <v>151231500.23678741</v>
      </c>
    </row>
    <row r="2632" spans="1:2" x14ac:dyDescent="0.25">
      <c r="A2632">
        <f ca="1">29473.5896203733*((RANDBETWEEN(2979,3282)))</f>
        <v>92163914.742907211</v>
      </c>
      <c r="B2632">
        <v>156471366.04492509</v>
      </c>
    </row>
    <row r="2633" spans="1:2" x14ac:dyDescent="0.25">
      <c r="A2633">
        <f ca="1">30470.0420970566*((RANDBETWEEN(2979,3282)))</f>
        <v>94731360.879748896</v>
      </c>
      <c r="B2633">
        <v>192365378.96089807</v>
      </c>
    </row>
    <row r="2634" spans="1:2" x14ac:dyDescent="0.25">
      <c r="A2634">
        <f ca="1">27060.9578906461*((RANDBETWEEN(2979,3282)))</f>
        <v>80749898.345688045</v>
      </c>
      <c r="B2634">
        <v>151471033.54772022</v>
      </c>
    </row>
    <row r="2635" spans="1:2" x14ac:dyDescent="0.25">
      <c r="A2635">
        <f ca="1">30454.624996026*((RANDBETWEEN(2979,3282)))</f>
        <v>90967964.863129631</v>
      </c>
      <c r="B2635">
        <v>179569430.43241233</v>
      </c>
    </row>
    <row r="2636" spans="1:2" x14ac:dyDescent="0.25">
      <c r="A2636">
        <f ca="1">26593.1464779243*((RANDBETWEEN(2979,3282)))</f>
        <v>80151743.484463885</v>
      </c>
      <c r="B2636">
        <v>161837231.60196972</v>
      </c>
    </row>
    <row r="2637" spans="1:2" x14ac:dyDescent="0.25">
      <c r="A2637">
        <f ca="1">28028.3988866139*((RANDBETWEEN(2979,3282)))</f>
        <v>89578762.841617927</v>
      </c>
      <c r="B2637">
        <v>174955523.43259948</v>
      </c>
    </row>
    <row r="2638" spans="1:2" x14ac:dyDescent="0.25">
      <c r="A2638">
        <f ca="1">28093.5866647824*((RANDBETWEEN(2979,3282)))</f>
        <v>90742284.927247137</v>
      </c>
      <c r="B2638">
        <v>193892404.98451966</v>
      </c>
    </row>
    <row r="2639" spans="1:2" x14ac:dyDescent="0.25">
      <c r="A2639">
        <f ca="1">31692.7363817951*((RANDBETWEEN(2979,3282)))</f>
        <v>101448449.15812621</v>
      </c>
      <c r="B2639">
        <v>157072076.96955323</v>
      </c>
    </row>
    <row r="2640" spans="1:2" x14ac:dyDescent="0.25">
      <c r="A2640">
        <f ca="1">26981.6117199388*((RANDBETWEEN(2979,3282)))</f>
        <v>87663256.478081092</v>
      </c>
      <c r="B2640">
        <v>150556253.13283589</v>
      </c>
    </row>
    <row r="2641" spans="1:2" x14ac:dyDescent="0.25">
      <c r="A2641">
        <f ca="1">27172.1371704554*((RANDBETWEEN(2979,3282)))</f>
        <v>86896494.671116471</v>
      </c>
      <c r="B2641">
        <v>145745975.9566426</v>
      </c>
    </row>
    <row r="2642" spans="1:2" x14ac:dyDescent="0.25">
      <c r="A2642">
        <f ca="1">27415.0294475399*((RANDBETWEEN(2979,3282)))</f>
        <v>88166734.703288212</v>
      </c>
      <c r="B2642">
        <v>178184353.27376589</v>
      </c>
    </row>
    <row r="2643" spans="1:2" x14ac:dyDescent="0.25">
      <c r="A2643">
        <f ca="1">25639.0148796498*((RANDBETWEEN(2979,3282)))</f>
        <v>83121686.239824772</v>
      </c>
      <c r="B2643">
        <v>161514601.17887947</v>
      </c>
    </row>
    <row r="2644" spans="1:2" x14ac:dyDescent="0.25">
      <c r="A2644">
        <f ca="1">26597.4161321409*((RANDBETWEEN(2979,3282)))</f>
        <v>86867161.087572053</v>
      </c>
      <c r="B2644">
        <v>150792271.14998972</v>
      </c>
    </row>
    <row r="2645" spans="1:2" x14ac:dyDescent="0.25">
      <c r="A2645">
        <f ca="1">32331.8666069311*((RANDBETWEEN(2979,3282)))</f>
        <v>99905467.815417156</v>
      </c>
      <c r="B2645">
        <v>191363831.41130283</v>
      </c>
    </row>
    <row r="2646" spans="1:2" x14ac:dyDescent="0.25">
      <c r="A2646">
        <f ca="1">26142.7057159182*((RANDBETWEEN(2979,3282)))</f>
        <v>79107827.496368602</v>
      </c>
      <c r="B2646">
        <v>160305672.98553884</v>
      </c>
    </row>
    <row r="2647" spans="1:2" x14ac:dyDescent="0.25">
      <c r="A2647">
        <f ca="1">30610.8430987372*((RANDBETWEEN(2979,3282)))</f>
        <v>99362796.69850111</v>
      </c>
      <c r="B2647">
        <v>170778711.58904141</v>
      </c>
    </row>
    <row r="2648" spans="1:2" x14ac:dyDescent="0.25">
      <c r="A2648">
        <f ca="1">27235.5224771591*((RANDBETWEEN(2979,3282)))</f>
        <v>87017494.314523458</v>
      </c>
      <c r="B2648">
        <v>172675893.46135527</v>
      </c>
    </row>
    <row r="2649" spans="1:2" x14ac:dyDescent="0.25">
      <c r="A2649">
        <f ca="1">26411.5599637052*((RANDBETWEEN(2979,3282)))</f>
        <v>83539764.165199667</v>
      </c>
      <c r="B2649">
        <v>163555974.79661167</v>
      </c>
    </row>
    <row r="2650" spans="1:2" x14ac:dyDescent="0.25">
      <c r="A2650">
        <f ca="1">26356.5268612829*((RANDBETWEEN(2979,3282)))</f>
        <v>81283528.840196565</v>
      </c>
      <c r="B2650">
        <v>147274061.13218433</v>
      </c>
    </row>
    <row r="2651" spans="1:2" x14ac:dyDescent="0.25">
      <c r="A2651">
        <f ca="1">26759.8216525488*((RANDBETWEEN(2979,3282)))</f>
        <v>81724495.326884195</v>
      </c>
      <c r="B2651">
        <v>150213249.06261328</v>
      </c>
    </row>
    <row r="2652" spans="1:2" x14ac:dyDescent="0.25">
      <c r="A2652">
        <f ca="1">27997.2099221855*((RANDBETWEEN(2979,3282)))</f>
        <v>83431685.56811294</v>
      </c>
      <c r="B2652">
        <v>191769679.84576425</v>
      </c>
    </row>
    <row r="2653" spans="1:2" x14ac:dyDescent="0.25">
      <c r="A2653">
        <f ca="1">25528.8197201688*((RANDBETWEEN(2979,3282)))</f>
        <v>77071506.735189706</v>
      </c>
      <c r="B2653">
        <v>145234487.88155925</v>
      </c>
    </row>
    <row r="2654" spans="1:2" x14ac:dyDescent="0.25">
      <c r="A2654">
        <f ca="1">28020.0796319948*((RANDBETWEEN(2979,3282)))</f>
        <v>89580194.58348754</v>
      </c>
      <c r="B2654">
        <v>173893557.50152001</v>
      </c>
    </row>
    <row r="2655" spans="1:2" x14ac:dyDescent="0.25">
      <c r="A2655">
        <f ca="1">27230.6597144582*((RANDBETWEEN(2979,3282)))</f>
        <v>86185037.996260047</v>
      </c>
      <c r="B2655">
        <v>162542616.49689415</v>
      </c>
    </row>
    <row r="2656" spans="1:2" x14ac:dyDescent="0.25">
      <c r="A2656">
        <f ca="1">28369.8033518692*((RANDBETWEEN(2979,3282)))</f>
        <v>91152178.169555858</v>
      </c>
      <c r="B2656">
        <v>199292822.40774328</v>
      </c>
    </row>
    <row r="2657" spans="1:2" x14ac:dyDescent="0.25">
      <c r="A2657">
        <f ca="1">27803.5158102209*((RANDBETWEEN(2979,3282)))</f>
        <v>85495811.116429403</v>
      </c>
      <c r="B2657">
        <v>184447230.25495499</v>
      </c>
    </row>
    <row r="2658" spans="1:2" x14ac:dyDescent="0.25">
      <c r="A2658">
        <f ca="1">27561.6167344809*((RANDBETWEEN(2979,3282)))</f>
        <v>85909559.361376986</v>
      </c>
      <c r="B2658">
        <v>164107882.79342276</v>
      </c>
    </row>
    <row r="2659" spans="1:2" x14ac:dyDescent="0.25">
      <c r="A2659">
        <f ca="1">31550.1491749296*((RANDBETWEEN(2979,3282)))</f>
        <v>100834276.76307516</v>
      </c>
      <c r="B2659">
        <v>152822957.29704827</v>
      </c>
    </row>
    <row r="2660" spans="1:2" x14ac:dyDescent="0.25">
      <c r="A2660">
        <f ca="1">26489.6176775946*((RANDBETWEEN(2979,3282)))</f>
        <v>82515159.065707281</v>
      </c>
      <c r="B2660">
        <v>154015256.9350726</v>
      </c>
    </row>
    <row r="2661" spans="1:2" x14ac:dyDescent="0.25">
      <c r="A2661">
        <f ca="1">27545.9997941422*((RANDBETWEEN(2979,3282)))</f>
        <v>84208121.370692849</v>
      </c>
      <c r="B2661">
        <v>154687580.42232937</v>
      </c>
    </row>
    <row r="2662" spans="1:2" x14ac:dyDescent="0.25">
      <c r="A2662">
        <f ca="1">27465.0985976953*((RANDBETWEEN(2979,3282)))</f>
        <v>83136853.455223769</v>
      </c>
      <c r="B2662">
        <v>185891259.22989845</v>
      </c>
    </row>
    <row r="2663" spans="1:2" x14ac:dyDescent="0.25">
      <c r="A2663">
        <f ca="1">26812.9686806551*((RANDBETWEEN(2979,3282)))</f>
        <v>85426118.216567203</v>
      </c>
      <c r="B2663">
        <v>157086786.4199535</v>
      </c>
    </row>
    <row r="2664" spans="1:2" x14ac:dyDescent="0.25">
      <c r="A2664">
        <f ca="1">28486.625008495*((RANDBETWEEN(2979,3282)))</f>
        <v>90416547.776963145</v>
      </c>
      <c r="B2664">
        <v>175214793.6113117</v>
      </c>
    </row>
    <row r="2665" spans="1:2" x14ac:dyDescent="0.25">
      <c r="A2665">
        <f ca="1">26935.4606715251*((RANDBETWEEN(2979,3282)))</f>
        <v>81641381.295392454</v>
      </c>
      <c r="B2665">
        <v>166905374.91028982</v>
      </c>
    </row>
    <row r="2666" spans="1:2" x14ac:dyDescent="0.25">
      <c r="A2666">
        <f ca="1">26753.7558170777*((RANDBETWEEN(2979,3282)))</f>
        <v>83123919.323660478</v>
      </c>
      <c r="B2666">
        <v>164446397.82080114</v>
      </c>
    </row>
    <row r="2667" spans="1:2" x14ac:dyDescent="0.25">
      <c r="A2667">
        <f ca="1">31950.4670718056*((RANDBETWEEN(2979,3282)))</f>
        <v>98726943.25187932</v>
      </c>
      <c r="B2667">
        <v>171774753.36647299</v>
      </c>
    </row>
    <row r="2668" spans="1:2" x14ac:dyDescent="0.25">
      <c r="A2668">
        <f ca="1">29016.9521566985*((RANDBETWEEN(2979,3282)))</f>
        <v>88675805.790870816</v>
      </c>
      <c r="B2668">
        <v>146150951.7142936</v>
      </c>
    </row>
    <row r="2669" spans="1:2" x14ac:dyDescent="0.25">
      <c r="A2669">
        <f ca="1">27861.5531758694*((RANDBETWEEN(2979,3282)))</f>
        <v>86008614.653908864</v>
      </c>
      <c r="B2669">
        <v>160244140.19664603</v>
      </c>
    </row>
    <row r="2670" spans="1:2" x14ac:dyDescent="0.25">
      <c r="A2670">
        <f ca="1">26286.7679687102*((RANDBETWEEN(2979,3282)))</f>
        <v>84380525.179559618</v>
      </c>
      <c r="B2670">
        <v>145113257.70273152</v>
      </c>
    </row>
    <row r="2671" spans="1:2" x14ac:dyDescent="0.25">
      <c r="A2671">
        <f ca="1">26609.307385781*((RANDBETWEEN(2979,3282)))</f>
        <v>85815016.319143817</v>
      </c>
      <c r="B2671">
        <v>166031255.85795009</v>
      </c>
    </row>
    <row r="2672" spans="1:2" x14ac:dyDescent="0.25">
      <c r="A2672">
        <f ca="1">29954.6412752106*((RANDBETWEEN(2979,3282)))</f>
        <v>92589796.181675881</v>
      </c>
      <c r="B2672">
        <v>198552479.88301605</v>
      </c>
    </row>
    <row r="2673" spans="1:2" x14ac:dyDescent="0.25">
      <c r="A2673">
        <f ca="1">26536.9059784808*((RANDBETWEEN(2979,3282)))</f>
        <v>85369226.532772884</v>
      </c>
      <c r="B2673">
        <v>168510843.52156296</v>
      </c>
    </row>
    <row r="2674" spans="1:2" x14ac:dyDescent="0.25">
      <c r="A2674">
        <f ca="1">27546.6975226153*((RANDBETWEEN(2979,3282)))</f>
        <v>88727912.720343783</v>
      </c>
      <c r="B2674">
        <v>175087202.67922485</v>
      </c>
    </row>
    <row r="2675" spans="1:2" x14ac:dyDescent="0.25">
      <c r="A2675">
        <f ca="1">31656.7825441545*((RANDBETWEEN(2979,3282)))</f>
        <v>102567975.44306049</v>
      </c>
      <c r="B2675">
        <v>201611812.27975181</v>
      </c>
    </row>
    <row r="2676" spans="1:2" x14ac:dyDescent="0.25">
      <c r="A2676">
        <f ca="1">27582.0928218424*((RANDBETWEEN(2979,3282)))</f>
        <v>86690517.739050731</v>
      </c>
      <c r="B2676">
        <v>195368049.43899992</v>
      </c>
    </row>
    <row r="2677" spans="1:2" x14ac:dyDescent="0.25">
      <c r="A2677">
        <f ca="1">31904.6560771642*((RANDBETWEEN(2979,3282)))</f>
        <v>96766821.88203907</v>
      </c>
      <c r="B2677">
        <v>180340493.63275737</v>
      </c>
    </row>
    <row r="2678" spans="1:2" x14ac:dyDescent="0.25">
      <c r="A2678">
        <f ca="1">27212.822478993*((RANDBETWEEN(2979,3282)))</f>
        <v>87189883.222693503</v>
      </c>
      <c r="B2678">
        <v>168072282.14620966</v>
      </c>
    </row>
    <row r="2679" spans="1:2" x14ac:dyDescent="0.25">
      <c r="A2679">
        <f ca="1">30237.68370828*((RANDBETWEEN(2979,3282)))</f>
        <v>95309179.048498467</v>
      </c>
      <c r="B2679">
        <v>201126299.68651137</v>
      </c>
    </row>
    <row r="2680" spans="1:2" x14ac:dyDescent="0.25">
      <c r="A2680">
        <f ca="1">24702.6432222198*((RANDBETWEEN(2979,3282)))</f>
        <v>76602896.632103652</v>
      </c>
      <c r="B2680">
        <v>177045010.38326874</v>
      </c>
    </row>
    <row r="2681" spans="1:2" x14ac:dyDescent="0.25">
      <c r="A2681">
        <f ca="1">26325.8166590999*((RANDBETWEEN(2979,3282)))</f>
        <v>83637119.525960371</v>
      </c>
      <c r="B2681">
        <v>152462683.52835467</v>
      </c>
    </row>
    <row r="2682" spans="1:2" x14ac:dyDescent="0.25">
      <c r="A2682">
        <f ca="1">32307.6334224553*((RANDBETWEEN(2979,3282)))</f>
        <v>104515194.12164286</v>
      </c>
      <c r="B2682">
        <v>170056138.17437387</v>
      </c>
    </row>
    <row r="2683" spans="1:2" x14ac:dyDescent="0.25">
      <c r="A2683">
        <f ca="1">33246.1492346823*((RANDBETWEEN(2979,3282)))</f>
        <v>99605463.107108131</v>
      </c>
      <c r="B2683">
        <v>156195947.71259817</v>
      </c>
    </row>
    <row r="2684" spans="1:2" x14ac:dyDescent="0.25">
      <c r="A2684">
        <f ca="1">30509.6836870087*((RANDBETWEEN(2979,3282)))</f>
        <v>98149652.421106964</v>
      </c>
      <c r="B2684">
        <v>168639188.21671584</v>
      </c>
    </row>
    <row r="2685" spans="1:2" x14ac:dyDescent="0.25">
      <c r="A2685">
        <f ca="1">28021.1456390178*((RANDBETWEEN(2979,3282)))</f>
        <v>87313889.811179355</v>
      </c>
      <c r="B2685">
        <v>187081965.32243422</v>
      </c>
    </row>
    <row r="2686" spans="1:2" x14ac:dyDescent="0.25">
      <c r="A2686">
        <f ca="1">26109.0954571863*((RANDBETWEEN(2979,3282)))</f>
        <v>82269759.785594121</v>
      </c>
      <c r="B2686">
        <v>168364010.98541668</v>
      </c>
    </row>
    <row r="2687" spans="1:2" x14ac:dyDescent="0.25">
      <c r="A2687">
        <f ca="1">27927.1955208433*((RANDBETWEEN(2979,3282)))</f>
        <v>83781586.562529936</v>
      </c>
      <c r="B2687">
        <v>148391855.5939256</v>
      </c>
    </row>
    <row r="2688" spans="1:2" x14ac:dyDescent="0.25">
      <c r="A2688">
        <f ca="1">28606.5220594615*((RANDBETWEEN(2979,3282)))</f>
        <v>86906614.016644165</v>
      </c>
      <c r="B2688">
        <v>195318607.71304208</v>
      </c>
    </row>
    <row r="2689" spans="1:2" x14ac:dyDescent="0.25">
      <c r="A2689">
        <f ca="1">27287.9110772797*((RANDBETWEEN(2979,3282)))</f>
        <v>82354915.63123022</v>
      </c>
      <c r="B2689">
        <v>188413352.44589835</v>
      </c>
    </row>
    <row r="2690" spans="1:2" x14ac:dyDescent="0.25">
      <c r="A2690">
        <f ca="1">25735.6082273456*((RANDBETWEEN(2979,3282)))</f>
        <v>78879639.21681419</v>
      </c>
      <c r="B2690">
        <v>148122114.86260039</v>
      </c>
    </row>
    <row r="2691" spans="1:2" x14ac:dyDescent="0.25">
      <c r="A2691">
        <f ca="1">28522.0876477725*((RANDBETWEEN(2979,3282)))</f>
        <v>87106455.676297098</v>
      </c>
      <c r="B2691">
        <v>182732698.25699839</v>
      </c>
    </row>
    <row r="2692" spans="1:2" x14ac:dyDescent="0.25">
      <c r="A2692">
        <f ca="1">31553.4558100374*((RANDBETWEEN(2979,3282)))</f>
        <v>99172511.61094752</v>
      </c>
      <c r="B2692">
        <v>181392456.88569206</v>
      </c>
    </row>
    <row r="2693" spans="1:2" x14ac:dyDescent="0.25">
      <c r="A2693">
        <f ca="1">26410.1410919631*((RANDBETWEEN(2979,3282)))</f>
        <v>81818617.102901787</v>
      </c>
      <c r="B2693">
        <v>146738333.13068199</v>
      </c>
    </row>
    <row r="2694" spans="1:2" x14ac:dyDescent="0.25">
      <c r="A2694">
        <f ca="1">26125.778106516*((RANDBETWEEN(2979,3282)))</f>
        <v>79788126.337299988</v>
      </c>
      <c r="B2694">
        <v>148070651.52721304</v>
      </c>
    </row>
    <row r="2695" spans="1:2" x14ac:dyDescent="0.25">
      <c r="A2695">
        <f ca="1">25141.8107246273*((RANDBETWEEN(2979,3282)))</f>
        <v>77612769.706924424</v>
      </c>
      <c r="B2695">
        <v>149750356.41417816</v>
      </c>
    </row>
    <row r="2696" spans="1:2" x14ac:dyDescent="0.25">
      <c r="A2696">
        <f ca="1">32088.6228378195*((RANDBETWEEN(2979,3282)))</f>
        <v>104544733.20561603</v>
      </c>
      <c r="B2696">
        <v>177790998.36365902</v>
      </c>
    </row>
    <row r="2697" spans="1:2" x14ac:dyDescent="0.25">
      <c r="A2697">
        <f ca="1">26989.5940693333*((RANDBETWEEN(2979,3282)))</f>
        <v>88282962.200789288</v>
      </c>
      <c r="B2697">
        <v>155661499.97552451</v>
      </c>
    </row>
    <row r="2698" spans="1:2" x14ac:dyDescent="0.25">
      <c r="A2698">
        <f ca="1">27110.3645948886*((RANDBETWEEN(2979,3282)))</f>
        <v>84855441.182001367</v>
      </c>
      <c r="B2698">
        <v>188017745.27953142</v>
      </c>
    </row>
    <row r="2699" spans="1:2" x14ac:dyDescent="0.25">
      <c r="A2699">
        <f ca="1">27679.191636558*((RANDBETWEEN(2979,3282)))</f>
        <v>83314366.826039642</v>
      </c>
      <c r="B2699">
        <v>161810622.25757387</v>
      </c>
    </row>
    <row r="2700" spans="1:2" x14ac:dyDescent="0.25">
      <c r="A2700">
        <f ca="1">29849.6522225826*((RANDBETWEEN(2979,3282)))</f>
        <v>91698131.627773821</v>
      </c>
      <c r="B2700">
        <v>200118279.85407412</v>
      </c>
    </row>
    <row r="2701" spans="1:2" x14ac:dyDescent="0.25">
      <c r="A2701">
        <f ca="1">26310.9046431619*((RANDBETWEEN(2979,3282)))</f>
        <v>82589929.674885139</v>
      </c>
      <c r="B2701">
        <v>192233373.63565743</v>
      </c>
    </row>
    <row r="2702" spans="1:2" x14ac:dyDescent="0.25">
      <c r="A2702">
        <f ca="1">25532.9772646272*((RANDBETWEEN(2979,3282)))</f>
        <v>81577862.360483885</v>
      </c>
      <c r="B2702">
        <v>172320403.99377599</v>
      </c>
    </row>
    <row r="2703" spans="1:2" x14ac:dyDescent="0.25">
      <c r="A2703">
        <f ca="1">27747.5521546637*((RANDBETWEEN(2979,3282)))</f>
        <v>90013059.189729184</v>
      </c>
      <c r="B2703">
        <v>195725551.58433965</v>
      </c>
    </row>
    <row r="2704" spans="1:2" x14ac:dyDescent="0.25">
      <c r="A2704">
        <f ca="1">26447.7452705479*((RANDBETWEEN(2979,3282)))</f>
        <v>82543412.989380106</v>
      </c>
      <c r="B2704">
        <v>193085060.97975329</v>
      </c>
    </row>
    <row r="2705" spans="1:2" x14ac:dyDescent="0.25">
      <c r="A2705">
        <f ca="1">26136.8230801787*((RANDBETWEEN(2979,3282)))</f>
        <v>82618497.756444722</v>
      </c>
      <c r="B2705">
        <v>185482378.03130668</v>
      </c>
    </row>
    <row r="2706" spans="1:2" x14ac:dyDescent="0.25">
      <c r="A2706">
        <f ca="1">33546.8582943842*((RANDBETWEEN(2979,3282)))</f>
        <v>107786055.69985639</v>
      </c>
      <c r="B2706">
        <v>187235508.34126049</v>
      </c>
    </row>
    <row r="2707" spans="1:2" x14ac:dyDescent="0.25">
      <c r="A2707">
        <f ca="1">26232.9084892152*((RANDBETWEEN(2979,3282)))</f>
        <v>78305231.84030731</v>
      </c>
      <c r="B2707">
        <v>154988118.1269092</v>
      </c>
    </row>
    <row r="2708" spans="1:2" x14ac:dyDescent="0.25">
      <c r="A2708">
        <f ca="1">29617.5488703344*((RANDBETWEEN(2979,3282)))</f>
        <v>92169812.084480777</v>
      </c>
      <c r="B2708">
        <v>163630664.37702507</v>
      </c>
    </row>
    <row r="2709" spans="1:2" x14ac:dyDescent="0.25">
      <c r="A2709">
        <f ca="1">28278.6802196912*((RANDBETWEEN(2979,3282)))</f>
        <v>87013499.035989687</v>
      </c>
      <c r="B2709">
        <v>170323897.80656537</v>
      </c>
    </row>
    <row r="2710" spans="1:2" x14ac:dyDescent="0.25">
      <c r="A2710">
        <f ca="1">26621.1204235376*((RANDBETWEEN(2979,3282)))</f>
        <v>80449025.919930696</v>
      </c>
      <c r="B2710">
        <v>149441015.83105165</v>
      </c>
    </row>
    <row r="2711" spans="1:2" x14ac:dyDescent="0.25">
      <c r="A2711">
        <f ca="1">26676.8155448276*((RANDBETWEEN(2979,3282)))</f>
        <v>81764439.644896626</v>
      </c>
      <c r="B2711">
        <v>159985695.33031365</v>
      </c>
    </row>
    <row r="2712" spans="1:2" x14ac:dyDescent="0.25">
      <c r="A2712">
        <f ca="1">28973.8998854916*((RANDBETWEEN(2979,3282)))</f>
        <v>88602185.849833399</v>
      </c>
      <c r="B2712">
        <v>200546555.68453309</v>
      </c>
    </row>
    <row r="2713" spans="1:2" x14ac:dyDescent="0.25">
      <c r="A2713">
        <f ca="1">28834.2594224101*((RANDBETWEEN(2979,3282)))</f>
        <v>89126695.874669731</v>
      </c>
      <c r="B2713">
        <v>195324817.9637534</v>
      </c>
    </row>
    <row r="2714" spans="1:2" x14ac:dyDescent="0.25">
      <c r="A2714">
        <f ca="1">30984.4202662595*((RANDBETWEEN(2979,3282)))</f>
        <v>99831802.097888038</v>
      </c>
      <c r="B2714">
        <v>192484318.61514241</v>
      </c>
    </row>
    <row r="2715" spans="1:2" x14ac:dyDescent="0.25">
      <c r="A2715">
        <f ca="1">26222.6986286265*((RANDBETWEEN(2979,3282)))</f>
        <v>83676631.323947236</v>
      </c>
      <c r="B2715">
        <v>179026884.68546516</v>
      </c>
    </row>
    <row r="2716" spans="1:2" x14ac:dyDescent="0.25">
      <c r="A2716">
        <f ca="1">26180.5606148012*((RANDBETWEEN(2979,3282)))</f>
        <v>84955919.195030048</v>
      </c>
      <c r="B2716">
        <v>164562485.35545027</v>
      </c>
    </row>
    <row r="2717" spans="1:2" x14ac:dyDescent="0.25">
      <c r="A2717">
        <f ca="1">27165.7188731459*((RANDBETWEEN(2979,3282)))</f>
        <v>82746779.68760249</v>
      </c>
      <c r="B2717">
        <v>168638771.44477347</v>
      </c>
    </row>
    <row r="2718" spans="1:2" x14ac:dyDescent="0.25">
      <c r="A2718">
        <f ca="1">25472.359323246*((RANDBETWEEN(2979,3282)))</f>
        <v>76671801.562970474</v>
      </c>
      <c r="B2718">
        <v>163600131.69759309</v>
      </c>
    </row>
    <row r="2719" spans="1:2" x14ac:dyDescent="0.25">
      <c r="A2719">
        <f ca="1">25230.8611163088*((RANDBETWEEN(2979,3282)))</f>
        <v>81091987.627816632</v>
      </c>
      <c r="B2719">
        <v>160481718.83587205</v>
      </c>
    </row>
    <row r="2720" spans="1:2" x14ac:dyDescent="0.25">
      <c r="A2720">
        <f ca="1">29831.4751346115*((RANDBETWEEN(2979,3282)))</f>
        <v>97369934.83937186</v>
      </c>
      <c r="B2720">
        <v>198571426.69256997</v>
      </c>
    </row>
    <row r="2721" spans="1:2" x14ac:dyDescent="0.25">
      <c r="A2721">
        <f ca="1">26020.722084564*((RANDBETWEEN(2979,3282)))</f>
        <v>83448455.72519666</v>
      </c>
      <c r="B2721">
        <v>169928677.00579336</v>
      </c>
    </row>
    <row r="2722" spans="1:2" x14ac:dyDescent="0.25">
      <c r="A2722">
        <f ca="1">28924.5592849748*((RANDBETWEEN(2979,3282)))</f>
        <v>93918043.998313159</v>
      </c>
      <c r="B2722">
        <v>153057770.38188621</v>
      </c>
    </row>
    <row r="2723" spans="1:2" x14ac:dyDescent="0.25">
      <c r="A2723">
        <f ca="1">27237.3722268726*((RANDBETWEEN(2979,3282)))</f>
        <v>83455308.503137633</v>
      </c>
      <c r="B2723">
        <v>147311697.26445678</v>
      </c>
    </row>
    <row r="2724" spans="1:2" x14ac:dyDescent="0.25">
      <c r="A2724">
        <f ca="1">26067.3093384981*((RANDBETWEEN(2979,3282)))</f>
        <v>78879678.05829528</v>
      </c>
      <c r="B2724">
        <v>157093490.46707112</v>
      </c>
    </row>
    <row r="2725" spans="1:2" x14ac:dyDescent="0.25">
      <c r="A2725">
        <f ca="1">26387.3889111155*((RANDBETWEEN(2979,3282)))</f>
        <v>85231266.182902977</v>
      </c>
      <c r="B2725">
        <v>150507296.49221644</v>
      </c>
    </row>
    <row r="2726" spans="1:2" x14ac:dyDescent="0.25">
      <c r="A2726">
        <f ca="1">27024.4428720724*((RANDBETWEEN(2979,3282)))</f>
        <v>81857037.459507182</v>
      </c>
      <c r="B2726">
        <v>143751030.44597349</v>
      </c>
    </row>
    <row r="2727" spans="1:2" x14ac:dyDescent="0.25">
      <c r="A2727">
        <f ca="1">27306.174463611*((RANDBETWEEN(2979,3282)))</f>
        <v>84703753.186121196</v>
      </c>
      <c r="B2727">
        <v>172721546.88720146</v>
      </c>
    </row>
    <row r="2728" spans="1:2" x14ac:dyDescent="0.25">
      <c r="A2728">
        <f ca="1">26478.5650865351*((RANDBETWEEN(2979,3282)))</f>
        <v>84413665.495873973</v>
      </c>
      <c r="B2728">
        <v>143791505.92650491</v>
      </c>
    </row>
    <row r="2729" spans="1:2" x14ac:dyDescent="0.25">
      <c r="A2729">
        <f ca="1">27920.6317161652*((RANDBETWEEN(2979,3282)))</f>
        <v>85018323.575723097</v>
      </c>
      <c r="B2729">
        <v>175441453.33564231</v>
      </c>
    </row>
    <row r="2730" spans="1:2" x14ac:dyDescent="0.25">
      <c r="A2730">
        <f ca="1">33345.3203194801*((RANDBETWEEN(2979,3282)))</f>
        <v>105537938.81115454</v>
      </c>
      <c r="B2730">
        <v>178739782.33594868</v>
      </c>
    </row>
    <row r="2731" spans="1:2" x14ac:dyDescent="0.25">
      <c r="A2731">
        <f ca="1">28671.222138692*((RANDBETWEEN(2979,3282)))</f>
        <v>87533241.18942669</v>
      </c>
      <c r="B2731">
        <v>172943559.12916088</v>
      </c>
    </row>
    <row r="2732" spans="1:2" x14ac:dyDescent="0.25">
      <c r="A2732">
        <f ca="1">30857.248099699*((RANDBETWEEN(2979,3282)))</f>
        <v>98033477.21274367</v>
      </c>
      <c r="B2732">
        <v>180225575.87686431</v>
      </c>
    </row>
    <row r="2733" spans="1:2" x14ac:dyDescent="0.25">
      <c r="A2733">
        <f ca="1">29763.2065775937*((RANDBETWEEN(2979,3282)))</f>
        <v>90182515.930108964</v>
      </c>
      <c r="B2733">
        <v>181434802.83959618</v>
      </c>
    </row>
    <row r="2734" spans="1:2" x14ac:dyDescent="0.25">
      <c r="A2734">
        <f ca="1">25684.9948333103*((RANDBETWEEN(2979,3282)))</f>
        <v>82808423.342592463</v>
      </c>
      <c r="B2734">
        <v>147729616.74387291</v>
      </c>
    </row>
    <row r="2735" spans="1:2" x14ac:dyDescent="0.25">
      <c r="A2735">
        <f ca="1">31595.9813779071*((RANDBETWEEN(2979,3282)))</f>
        <v>103634818.91953543</v>
      </c>
      <c r="B2735">
        <v>191978416.65768164</v>
      </c>
    </row>
    <row r="2736" spans="1:2" x14ac:dyDescent="0.25">
      <c r="A2736">
        <f ca="1">26762.9250572487*((RANDBETWEEN(2979,3282)))</f>
        <v>82590386.72666961</v>
      </c>
      <c r="B2736">
        <v>149971047.65393084</v>
      </c>
    </row>
    <row r="2737" spans="1:2" x14ac:dyDescent="0.25">
      <c r="A2737">
        <f ca="1">27486.1477411545*((RANDBETWEEN(2979,3282)))</f>
        <v>82101123.30282864</v>
      </c>
      <c r="B2737">
        <v>161544232.91740963</v>
      </c>
    </row>
    <row r="2738" spans="1:2" x14ac:dyDescent="0.25">
      <c r="A2738">
        <f ca="1">28033.041086703*((RANDBETWEEN(2979,3282)))</f>
        <v>84603717.999669537</v>
      </c>
      <c r="B2738">
        <v>171836957.01235658</v>
      </c>
    </row>
    <row r="2739" spans="1:2" x14ac:dyDescent="0.25">
      <c r="A2739">
        <f ca="1">26772.4465145198*((RANDBETWEEN(2979,3282)))</f>
        <v>82753632.176380664</v>
      </c>
      <c r="B2739">
        <v>144730071.14203188</v>
      </c>
    </row>
    <row r="2740" spans="1:2" x14ac:dyDescent="0.25">
      <c r="A2740">
        <f ca="1">27822.3689291452*((RANDBETWEEN(2979,3282)))</f>
        <v>84134843.641735107</v>
      </c>
      <c r="B2740">
        <v>152069452.57011443</v>
      </c>
    </row>
    <row r="2741" spans="1:2" x14ac:dyDescent="0.25">
      <c r="A2741">
        <f ca="1">25984.4546522405*((RANDBETWEEN(2979,3282)))</f>
        <v>80291964.875423253</v>
      </c>
      <c r="B2741">
        <v>183444373.73432863</v>
      </c>
    </row>
    <row r="2742" spans="1:2" x14ac:dyDescent="0.25">
      <c r="A2742">
        <f ca="1">29725.994315511*((RANDBETWEEN(2979,3282)))</f>
        <v>97530987.349191591</v>
      </c>
      <c r="B2742">
        <v>160321159.38513353</v>
      </c>
    </row>
    <row r="2743" spans="1:2" x14ac:dyDescent="0.25">
      <c r="A2743">
        <f ca="1">30622.7817679075*((RANDBETWEEN(2979,3282)))</f>
        <v>97656051.057856947</v>
      </c>
      <c r="B2743">
        <v>200794471.52012852</v>
      </c>
    </row>
    <row r="2744" spans="1:2" x14ac:dyDescent="0.25">
      <c r="A2744">
        <f ca="1">26249.37769154*((RANDBETWEEN(2979,3282)))</f>
        <v>82081804.041445509</v>
      </c>
      <c r="B2744">
        <v>162279152.7045036</v>
      </c>
    </row>
    <row r="2745" spans="1:2" x14ac:dyDescent="0.25">
      <c r="A2745">
        <f ca="1">35302.9509664371*((RANDBETWEEN(2979,3282)))</f>
        <v>112722322.43583371</v>
      </c>
      <c r="B2745">
        <v>201079613.31395274</v>
      </c>
    </row>
    <row r="2746" spans="1:2" x14ac:dyDescent="0.25">
      <c r="A2746">
        <f ca="1">28028.5973103695*((RANDBETWEEN(2979,3282)))</f>
        <v>86552308.494421035</v>
      </c>
      <c r="B2746">
        <v>157157543.27849302</v>
      </c>
    </row>
    <row r="2747" spans="1:2" x14ac:dyDescent="0.25">
      <c r="A2747">
        <f ca="1">30849.6059540185*((RANDBETWEEN(2979,3282)))</f>
        <v>96405018.606307745</v>
      </c>
      <c r="B2747">
        <v>165952950.16671357</v>
      </c>
    </row>
    <row r="2748" spans="1:2" x14ac:dyDescent="0.25">
      <c r="A2748">
        <f ca="1">26009.0558358487*((RANDBETWEEN(2979,3282)))</f>
        <v>82942879.060521528</v>
      </c>
      <c r="B2748">
        <v>168049990.08214545</v>
      </c>
    </row>
    <row r="2749" spans="1:2" x14ac:dyDescent="0.25">
      <c r="A2749">
        <f ca="1">25605.4939131001*((RANDBETWEEN(2979,3282)))</f>
        <v>78557655.325391054</v>
      </c>
      <c r="B2749">
        <v>147167134.04205999</v>
      </c>
    </row>
    <row r="2750" spans="1:2" x14ac:dyDescent="0.25">
      <c r="A2750">
        <f ca="1">33092.9599947257*((RANDBETWEEN(2979,3282)))</f>
        <v>103316221.10353351</v>
      </c>
      <c r="B2750">
        <v>176346328.54527318</v>
      </c>
    </row>
    <row r="2751" spans="1:2" x14ac:dyDescent="0.25">
      <c r="A2751">
        <f ca="1">27799.966104958*((RANDBETWEEN(2979,3282)))</f>
        <v>88765291.773130864</v>
      </c>
      <c r="B2751">
        <v>158739800.01937622</v>
      </c>
    </row>
    <row r="2752" spans="1:2" x14ac:dyDescent="0.25">
      <c r="A2752">
        <f ca="1">28687.3394217244*((RANDBETWEEN(2979,3282)))</f>
        <v>90680679.912070811</v>
      </c>
      <c r="B2752">
        <v>177153420.33967417</v>
      </c>
    </row>
    <row r="2753" spans="1:2" x14ac:dyDescent="0.25">
      <c r="A2753">
        <f ca="1">29705.7151589136*((RANDBETWEEN(2979,3282)))</f>
        <v>91226251.253023759</v>
      </c>
      <c r="B2753">
        <v>188273491.8524825</v>
      </c>
    </row>
    <row r="2754" spans="1:2" x14ac:dyDescent="0.25">
      <c r="A2754">
        <f ca="1">30838.9088217118*((RANDBETWEEN(2979,3282)))</f>
        <v>93626927.182716966</v>
      </c>
      <c r="B2754">
        <v>202364991.84502345</v>
      </c>
    </row>
    <row r="2755" spans="1:2" x14ac:dyDescent="0.25">
      <c r="A2755">
        <f ca="1">28111.5908337088*((RANDBETWEEN(2979,3282)))</f>
        <v>85431124.543640912</v>
      </c>
      <c r="B2755">
        <v>195064883.30047798</v>
      </c>
    </row>
    <row r="2756" spans="1:2" x14ac:dyDescent="0.25">
      <c r="A2756">
        <f ca="1">24926.4242024672*((RANDBETWEEN(2979,3282)))</f>
        <v>81085657.930625677</v>
      </c>
      <c r="B2756">
        <v>148652670.88885909</v>
      </c>
    </row>
    <row r="2757" spans="1:2" x14ac:dyDescent="0.25">
      <c r="A2757">
        <f ca="1">28329.3002597704*((RANDBETWEEN(2979,3282)))</f>
        <v>91588627.739837721</v>
      </c>
      <c r="B2757">
        <v>149844004.36408025</v>
      </c>
    </row>
    <row r="2758" spans="1:2" x14ac:dyDescent="0.25">
      <c r="A2758">
        <f ca="1">25984.0324124026*((RANDBETWEEN(2979,3282)))</f>
        <v>77510368.686196953</v>
      </c>
      <c r="B2758">
        <v>166211011.49724889</v>
      </c>
    </row>
    <row r="2759" spans="1:2" x14ac:dyDescent="0.25">
      <c r="A2759">
        <f ca="1">28683.1970430314*((RANDBETWEEN(2979,3282)))</f>
        <v>89376841.986085951</v>
      </c>
      <c r="B2759">
        <v>147238225.35791728</v>
      </c>
    </row>
    <row r="2760" spans="1:2" x14ac:dyDescent="0.25">
      <c r="A2760">
        <f ca="1">26329.8565728365*((RANDBETWEEN(2979,3282)))</f>
        <v>84597829.168523759</v>
      </c>
      <c r="B2760">
        <v>178791397.17819852</v>
      </c>
    </row>
    <row r="2761" spans="1:2" x14ac:dyDescent="0.25">
      <c r="A2761">
        <f ca="1">26019.855747901*((RANDBETWEEN(2979,3282)))</f>
        <v>82066625.028879851</v>
      </c>
      <c r="B2761">
        <v>156982700.7675274</v>
      </c>
    </row>
    <row r="2762" spans="1:2" x14ac:dyDescent="0.25">
      <c r="A2762">
        <f ca="1">25937.6880622925*((RANDBETWEEN(2979,3282)))</f>
        <v>80277144.552795321</v>
      </c>
      <c r="B2762">
        <v>166035325.32469761</v>
      </c>
    </row>
    <row r="2763" spans="1:2" x14ac:dyDescent="0.25">
      <c r="A2763">
        <f ca="1">28387.4635188037*((RANDBETWEEN(2979,3282)))</f>
        <v>87035963.148652181</v>
      </c>
      <c r="B2763">
        <v>175083172.90687969</v>
      </c>
    </row>
    <row r="2764" spans="1:2" x14ac:dyDescent="0.25">
      <c r="A2764">
        <f ca="1">27012.9831126871*((RANDBETWEEN(2979,3282)))</f>
        <v>81687260.932765678</v>
      </c>
      <c r="B2764">
        <v>151543177.85070223</v>
      </c>
    </row>
    <row r="2765" spans="1:2" x14ac:dyDescent="0.25">
      <c r="A2765">
        <f ca="1">29373.1996507254*((RANDBETWEEN(2979,3282)))</f>
        <v>91027545.717598036</v>
      </c>
      <c r="B2765">
        <v>170965564.4784314</v>
      </c>
    </row>
    <row r="2766" spans="1:2" x14ac:dyDescent="0.25">
      <c r="A2766">
        <f ca="1">26535.688002853*((RANDBETWEEN(2979,3282)))</f>
        <v>81729919.048787132</v>
      </c>
      <c r="B2766">
        <v>142927146.272917</v>
      </c>
    </row>
    <row r="2767" spans="1:2" x14ac:dyDescent="0.25">
      <c r="A2767">
        <f ca="1">29207.6498647009*((RANDBETWEEN(2979,3282)))</f>
        <v>91828851.174619749</v>
      </c>
      <c r="B2767">
        <v>163983386.67876178</v>
      </c>
    </row>
    <row r="2768" spans="1:2" x14ac:dyDescent="0.25">
      <c r="A2768">
        <f ca="1">31834.5081813839*((RANDBETWEEN(2979,3282)))</f>
        <v>95089675.937793583</v>
      </c>
      <c r="B2768">
        <v>174800253.14843428</v>
      </c>
    </row>
    <row r="2769" spans="1:2" x14ac:dyDescent="0.25">
      <c r="A2769">
        <f ca="1">31094.2807377926*((RANDBETWEEN(2979,3282)))</f>
        <v>94713179.127316162</v>
      </c>
      <c r="B2769">
        <v>195698914.16897351</v>
      </c>
    </row>
    <row r="2770" spans="1:2" x14ac:dyDescent="0.25">
      <c r="A2770">
        <f ca="1">29227.9286159479*((RANDBETWEEN(2979,3282)))</f>
        <v>93880106.714424744</v>
      </c>
      <c r="B2770">
        <v>170273385.17418766</v>
      </c>
    </row>
    <row r="2771" spans="1:2" x14ac:dyDescent="0.25">
      <c r="A2771">
        <f ca="1">28758.9174128415*((RANDBETWEEN(2979,3282)))</f>
        <v>90274241.758909374</v>
      </c>
      <c r="B2771">
        <v>155845019.4841024</v>
      </c>
    </row>
    <row r="2772" spans="1:2" x14ac:dyDescent="0.25">
      <c r="A2772">
        <f ca="1">25363.0774750211*((RANDBETWEEN(2979,3282)))</f>
        <v>75708786.262938127</v>
      </c>
      <c r="B2772">
        <v>157261353.91561019</v>
      </c>
    </row>
    <row r="2773" spans="1:2" x14ac:dyDescent="0.25">
      <c r="A2773">
        <f ca="1">30835.9397532285*((RANDBETWEEN(2979,3282)))</f>
        <v>93525405.271541983</v>
      </c>
      <c r="B2773">
        <v>196181736.2529214</v>
      </c>
    </row>
    <row r="2774" spans="1:2" x14ac:dyDescent="0.25">
      <c r="A2774">
        <f ca="1">27958.0834775343*((RANDBETWEEN(2979,3282)))</f>
        <v>89969112.630705297</v>
      </c>
      <c r="B2774">
        <v>154089528.00631016</v>
      </c>
    </row>
    <row r="2775" spans="1:2" x14ac:dyDescent="0.25">
      <c r="A2775">
        <f ca="1">27240.1831862169*((RANDBETWEEN(2979,3282)))</f>
        <v>87168586.195893928</v>
      </c>
      <c r="B2775">
        <v>155552480.07180262</v>
      </c>
    </row>
    <row r="2776" spans="1:2" x14ac:dyDescent="0.25">
      <c r="A2776">
        <f ca="1">33779.4511261933*((RANDBETWEEN(2979,3282)))</f>
        <v>107283536.77679007</v>
      </c>
      <c r="B2776">
        <v>187888499.45960405</v>
      </c>
    </row>
    <row r="2777" spans="1:2" x14ac:dyDescent="0.25">
      <c r="A2777">
        <f ca="1">28013.8669796789*((RANDBETWEEN(2979,3282)))</f>
        <v>88495805.788805753</v>
      </c>
      <c r="B2777">
        <v>153580757.25121382</v>
      </c>
    </row>
    <row r="2778" spans="1:2" x14ac:dyDescent="0.25">
      <c r="A2778">
        <f ca="1">28068.6647065299*((RANDBETWEEN(2979,3282)))</f>
        <v>89735521.066776156</v>
      </c>
      <c r="B2778">
        <v>170256732.94293997</v>
      </c>
    </row>
    <row r="2779" spans="1:2" x14ac:dyDescent="0.25">
      <c r="A2779">
        <f ca="1">26642.4604383145*((RANDBETWEEN(2979,3282)))</f>
        <v>80620085.286339536</v>
      </c>
      <c r="B2779">
        <v>156171314.90419888</v>
      </c>
    </row>
    <row r="2780" spans="1:2" x14ac:dyDescent="0.25">
      <c r="A2780">
        <f ca="1">28942.3302621268*((RANDBETWEEN(2979,3282)))</f>
        <v>90705263.041505545</v>
      </c>
      <c r="B2780">
        <v>148263689.99807221</v>
      </c>
    </row>
    <row r="2781" spans="1:2" x14ac:dyDescent="0.25">
      <c r="A2781">
        <f ca="1">31861.3388508584*((RANDBETWEEN(2979,3282)))</f>
        <v>101478364.23998411</v>
      </c>
      <c r="B2781">
        <v>178858816.73752278</v>
      </c>
    </row>
    <row r="2782" spans="1:2" x14ac:dyDescent="0.25">
      <c r="A2782">
        <f ca="1">28251.5503462763*((RANDBETWEEN(2979,3282)))</f>
        <v>90263703.356352657</v>
      </c>
      <c r="B2782">
        <v>150752445.29198104</v>
      </c>
    </row>
    <row r="2783" spans="1:2" x14ac:dyDescent="0.25">
      <c r="A2783">
        <f ca="1">26414.13605738*((RANDBETWEEN(2979,3282)))</f>
        <v>80748013.927410617</v>
      </c>
      <c r="B2783">
        <v>149032468.38377941</v>
      </c>
    </row>
    <row r="2784" spans="1:2" x14ac:dyDescent="0.25">
      <c r="A2784">
        <f ca="1">27253.8517193182*((RANDBETWEEN(2979,3282)))</f>
        <v>83969117.14721936</v>
      </c>
      <c r="B2784">
        <v>144788969.4600625</v>
      </c>
    </row>
    <row r="2785" spans="1:2" x14ac:dyDescent="0.25">
      <c r="A2785">
        <f ca="1">31603.1873040289*((RANDBETWEEN(2979,3282)))</f>
        <v>101225008.93480453</v>
      </c>
      <c r="B2785">
        <v>195183707.03466958</v>
      </c>
    </row>
    <row r="2786" spans="1:2" x14ac:dyDescent="0.25">
      <c r="A2786">
        <f ca="1">26842.6111081033*((RANDBETWEEN(2979,3282)))</f>
        <v>80500990.713201731</v>
      </c>
      <c r="B2786">
        <v>168674252.39361113</v>
      </c>
    </row>
    <row r="2787" spans="1:2" x14ac:dyDescent="0.25">
      <c r="A2787">
        <f ca="1">27410.5556443468*((RANDBETWEEN(2979,3282)))</f>
        <v>86233608.057115033</v>
      </c>
      <c r="B2787">
        <v>187261596.13224784</v>
      </c>
    </row>
    <row r="2788" spans="1:2" x14ac:dyDescent="0.25">
      <c r="A2788">
        <f ca="1">26142.348658644*((RANDBETWEEN(2979,3282)))</f>
        <v>84099935.634857804</v>
      </c>
      <c r="B2788">
        <v>157971045.18722713</v>
      </c>
    </row>
    <row r="2789" spans="1:2" x14ac:dyDescent="0.25">
      <c r="A2789">
        <f ca="1">26628.2218882255*((RANDBETWEEN(2979,3282)))</f>
        <v>79911293.886564717</v>
      </c>
      <c r="B2789">
        <v>178388509.14591038</v>
      </c>
    </row>
    <row r="2790" spans="1:2" x14ac:dyDescent="0.25">
      <c r="A2790">
        <f ca="1">25587.7125089154*((RANDBETWEEN(2979,3282)))</f>
        <v>76251383.276567906</v>
      </c>
      <c r="B2790">
        <v>143499501.13163531</v>
      </c>
    </row>
    <row r="2791" spans="1:2" x14ac:dyDescent="0.25">
      <c r="A2791">
        <f ca="1">27106.5570193906*((RANDBETWEEN(2979,3282)))</f>
        <v>86876515.2471468</v>
      </c>
      <c r="B2791">
        <v>184915966.85636196</v>
      </c>
    </row>
    <row r="2792" spans="1:2" x14ac:dyDescent="0.25">
      <c r="A2792">
        <f ca="1">27019.8448470559*((RANDBETWEEN(2979,3282)))</f>
        <v>87166019.476602301</v>
      </c>
      <c r="B2792">
        <v>162513541.81809181</v>
      </c>
    </row>
    <row r="2793" spans="1:2" x14ac:dyDescent="0.25">
      <c r="A2793">
        <f ca="1">26963.3929098112*((RANDBETWEEN(2979,3282)))</f>
        <v>87253539.456149146</v>
      </c>
      <c r="B2793">
        <v>172291081.56148666</v>
      </c>
    </row>
    <row r="2794" spans="1:2" x14ac:dyDescent="0.25">
      <c r="A2794">
        <f ca="1">26954.1921546555*((RANDBETWEEN(2979,3282)))</f>
        <v>80673897.118883818</v>
      </c>
      <c r="B2794">
        <v>189550637.35830233</v>
      </c>
    </row>
    <row r="2795" spans="1:2" x14ac:dyDescent="0.25">
      <c r="A2795">
        <f ca="1">27871.5776689704*((RANDBETWEEN(2979,3282)))</f>
        <v>85119798.201035753</v>
      </c>
      <c r="B2795">
        <v>154057395.09632152</v>
      </c>
    </row>
    <row r="2796" spans="1:2" x14ac:dyDescent="0.25">
      <c r="A2796">
        <f ca="1">27553.9657467364*((RANDBETWEEN(2979,3282)))</f>
        <v>82551681.377222344</v>
      </c>
      <c r="B2796">
        <v>158874250.29293224</v>
      </c>
    </row>
    <row r="2797" spans="1:2" x14ac:dyDescent="0.25">
      <c r="A2797">
        <f ca="1">27604.8254249184*((RANDBETWEEN(2979,3282)))</f>
        <v>82289984.591681644</v>
      </c>
      <c r="B2797">
        <v>149668884.00810167</v>
      </c>
    </row>
    <row r="2798" spans="1:2" x14ac:dyDescent="0.25">
      <c r="A2798">
        <f ca="1">28719.5573308249*((RANDBETWEEN(2979,3282)))</f>
        <v>91127155.410707369</v>
      </c>
      <c r="B2798">
        <v>153544050.03871784</v>
      </c>
    </row>
    <row r="2799" spans="1:2" x14ac:dyDescent="0.25">
      <c r="A2799">
        <f ca="1">27274.1227298365*((RANDBETWEEN(2979,3282)))</f>
        <v>82940607.221432865</v>
      </c>
      <c r="B2799">
        <v>159139509.14991179</v>
      </c>
    </row>
    <row r="2800" spans="1:2" x14ac:dyDescent="0.25">
      <c r="A2800">
        <f ca="1">26249.2841913024*((RANDBETWEEN(2979,3282)))</f>
        <v>83682718.001872018</v>
      </c>
      <c r="B2800">
        <v>145833128.34882027</v>
      </c>
    </row>
    <row r="2801" spans="1:2" x14ac:dyDescent="0.25">
      <c r="A2801">
        <f ca="1">32442.9144015815*((RANDBETWEEN(2979,3282)))</f>
        <v>96842099.488720924</v>
      </c>
      <c r="B2801">
        <v>172742854.55838373</v>
      </c>
    </row>
    <row r="2802" spans="1:2" x14ac:dyDescent="0.25">
      <c r="A2802">
        <f ca="1">27420.3442620859*((RANDBETWEEN(2979,3282)))</f>
        <v>89170959.54030323</v>
      </c>
      <c r="B2802">
        <v>190840044.71938425</v>
      </c>
    </row>
    <row r="2803" spans="1:2" x14ac:dyDescent="0.25">
      <c r="A2803">
        <f ca="1">28230.2674683441*((RANDBETWEEN(2979,3282)))</f>
        <v>85481249.894145876</v>
      </c>
      <c r="B2803">
        <v>165066361.98615763</v>
      </c>
    </row>
    <row r="2804" spans="1:2" x14ac:dyDescent="0.25">
      <c r="A2804">
        <f ca="1">34789.5111534607*((RANDBETWEEN(2979,3282)))</f>
        <v>112300542.00337109</v>
      </c>
      <c r="B2804">
        <v>175234165.69662902</v>
      </c>
    </row>
    <row r="2805" spans="1:2" x14ac:dyDescent="0.25">
      <c r="A2805">
        <f ca="1">24854.3493039992*((RANDBETWEEN(2979,3282)))</f>
        <v>76874502.397269666</v>
      </c>
      <c r="B2805">
        <v>150543954.28249204</v>
      </c>
    </row>
    <row r="2806" spans="1:2" x14ac:dyDescent="0.25">
      <c r="A2806">
        <f ca="1">30787.4099388853*((RANDBETWEEN(2979,3282)))</f>
        <v>93439789.164517015</v>
      </c>
      <c r="B2806">
        <v>164521478.07404602</v>
      </c>
    </row>
    <row r="2807" spans="1:2" x14ac:dyDescent="0.25">
      <c r="A2807">
        <f ca="1">25259.2754743233*((RANDBETWEEN(2979,3282)))</f>
        <v>82623090.076511651</v>
      </c>
      <c r="B2807">
        <v>145136279.09961128</v>
      </c>
    </row>
    <row r="2808" spans="1:2" x14ac:dyDescent="0.25">
      <c r="A2808">
        <f ca="1">26698.1109313406*((RANDBETWEEN(2979,3282)))</f>
        <v>84739804.096075118</v>
      </c>
      <c r="B2808">
        <v>148161614.76296261</v>
      </c>
    </row>
    <row r="2809" spans="1:2" x14ac:dyDescent="0.25">
      <c r="A2809">
        <f ca="1">33186.4075794448*((RANDBETWEEN(2979,3282)))</f>
        <v>106329249.88454127</v>
      </c>
      <c r="B2809">
        <v>189883957.80265069</v>
      </c>
    </row>
    <row r="2810" spans="1:2" x14ac:dyDescent="0.25">
      <c r="A2810">
        <f ca="1">27580.0446603383*((RANDBETWEEN(2979,3282)))</f>
        <v>86518600.099481374</v>
      </c>
      <c r="B2810">
        <v>148339039.82181528</v>
      </c>
    </row>
    <row r="2811" spans="1:2" x14ac:dyDescent="0.25">
      <c r="A2811">
        <f ca="1">26907.5278083556*((RANDBETWEEN(2979,3282)))</f>
        <v>87637818.071814105</v>
      </c>
      <c r="B2811">
        <v>191221634.26854146</v>
      </c>
    </row>
    <row r="2812" spans="1:2" x14ac:dyDescent="0.25">
      <c r="A2812">
        <f ca="1">27751.9908825029*((RANDBETWEEN(2979,3282)))</f>
        <v>87862803.134004071</v>
      </c>
      <c r="B2812">
        <v>187865769.40585744</v>
      </c>
    </row>
    <row r="2813" spans="1:2" x14ac:dyDescent="0.25">
      <c r="A2813">
        <f ca="1">26431.2955157392*((RANDBETWEEN(2979,3282)))</f>
        <v>81566977.961571038</v>
      </c>
      <c r="B2813">
        <v>167208688.97101474</v>
      </c>
    </row>
    <row r="2814" spans="1:2" x14ac:dyDescent="0.25">
      <c r="A2814">
        <f ca="1">28220.4950120519*((RANDBETWEEN(2979,3282)))</f>
        <v>88640574.832855135</v>
      </c>
      <c r="B2814">
        <v>180671988.74811125</v>
      </c>
    </row>
    <row r="2815" spans="1:2" x14ac:dyDescent="0.25">
      <c r="A2815">
        <f ca="1">27027.3811882481*((RANDBETWEEN(2979,3282)))</f>
        <v>87136276.950911969</v>
      </c>
      <c r="B2815">
        <v>172623085.95985168</v>
      </c>
    </row>
    <row r="2816" spans="1:2" x14ac:dyDescent="0.25">
      <c r="A2816">
        <f ca="1">27004.0969839674*((RANDBETWEEN(2979,3282)))</f>
        <v>87250237.355198607</v>
      </c>
      <c r="B2816">
        <v>152704003.25404531</v>
      </c>
    </row>
    <row r="2817" spans="1:2" x14ac:dyDescent="0.25">
      <c r="A2817">
        <f ca="1">28741.9930154767*((RANDBETWEEN(2979,3282)))</f>
        <v>88525338.487668261</v>
      </c>
      <c r="B2817">
        <v>184172954.26032114</v>
      </c>
    </row>
    <row r="2818" spans="1:2" x14ac:dyDescent="0.25">
      <c r="A2818">
        <f ca="1">27106.7188817561*((RANDBETWEEN(2979,3282)))</f>
        <v>81672543.99073118</v>
      </c>
      <c r="B2818">
        <v>177124455.31695482</v>
      </c>
    </row>
    <row r="2819" spans="1:2" x14ac:dyDescent="0.25">
      <c r="A2819">
        <f ca="1">31738.69223962*((RANDBETWEEN(2979,3282)))</f>
        <v>98358207.250582367</v>
      </c>
      <c r="B2819">
        <v>186338714.74678004</v>
      </c>
    </row>
    <row r="2820" spans="1:2" x14ac:dyDescent="0.25">
      <c r="A2820">
        <f ca="1">29914.698384502*((RANDBETWEEN(2979,3282)))</f>
        <v>92047526.929112583</v>
      </c>
      <c r="B2820">
        <v>152998760.68449187</v>
      </c>
    </row>
    <row r="2821" spans="1:2" x14ac:dyDescent="0.25">
      <c r="A2821">
        <f ca="1">29765.6580636772*((RANDBETWEEN(2979,3282)))</f>
        <v>90874554.068406478</v>
      </c>
      <c r="B2821">
        <v>167750623.42599753</v>
      </c>
    </row>
    <row r="2822" spans="1:2" x14ac:dyDescent="0.25">
      <c r="A2822">
        <f ca="1">26353.886723142*((RANDBETWEEN(2979,3282)))</f>
        <v>86414394.565182626</v>
      </c>
      <c r="B2822">
        <v>173338889.63407755</v>
      </c>
    </row>
    <row r="2823" spans="1:2" x14ac:dyDescent="0.25">
      <c r="A2823">
        <f ca="1">27264.4216768403*((RANDBETWEEN(2979,3282)))</f>
        <v>89372774.256682441</v>
      </c>
      <c r="B2823">
        <v>183682351.69023821</v>
      </c>
    </row>
    <row r="2824" spans="1:2" x14ac:dyDescent="0.25">
      <c r="A2824">
        <f ca="1">27630.7504943414*((RANDBETWEEN(2979,3282)))</f>
        <v>83942220.001809239</v>
      </c>
      <c r="B2824">
        <v>195264362.52180073</v>
      </c>
    </row>
    <row r="2825" spans="1:2" x14ac:dyDescent="0.25">
      <c r="A2825">
        <f ca="1">26959.6778965138*((RANDBETWEEN(2979,3282)))</f>
        <v>80771194.977955282</v>
      </c>
      <c r="B2825">
        <v>170672924.46844324</v>
      </c>
    </row>
    <row r="2826" spans="1:2" x14ac:dyDescent="0.25">
      <c r="A2826">
        <f ca="1">26919.4311153885*((RANDBETWEEN(2979,3282)))</f>
        <v>85576871.515820161</v>
      </c>
      <c r="B2826">
        <v>193806190.22083479</v>
      </c>
    </row>
    <row r="2827" spans="1:2" x14ac:dyDescent="0.25">
      <c r="A2827">
        <f ca="1">26527.8503252508*((RANDBETWEEN(2979,3282)))</f>
        <v>83244394.320637137</v>
      </c>
      <c r="B2827">
        <v>142909855.21162748</v>
      </c>
    </row>
    <row r="2828" spans="1:2" x14ac:dyDescent="0.25">
      <c r="A2828">
        <f ca="1">25033.4563168767*((RANDBETWEEN(2979,3282)))</f>
        <v>75000235.125362486</v>
      </c>
      <c r="B2828">
        <v>183435932.05161321</v>
      </c>
    </row>
    <row r="2829" spans="1:2" x14ac:dyDescent="0.25">
      <c r="A2829">
        <f ca="1">26932.9113589508*((RANDBETWEEN(2979,3282)))</f>
        <v>84138415.08536233</v>
      </c>
      <c r="B2829">
        <v>150166181.42237285</v>
      </c>
    </row>
    <row r="2830" spans="1:2" x14ac:dyDescent="0.25">
      <c r="A2830">
        <f ca="1">27206.9801782561*((RANDBETWEEN(2979,3282)))</f>
        <v>86246127.165071741</v>
      </c>
      <c r="B2830">
        <v>188830397.08185634</v>
      </c>
    </row>
    <row r="2831" spans="1:2" x14ac:dyDescent="0.25">
      <c r="A2831">
        <f ca="1">28431.8443027386*((RANDBETWEEN(2979,3282)))</f>
        <v>85153373.686702162</v>
      </c>
      <c r="B2831">
        <v>169922378.74319279</v>
      </c>
    </row>
    <row r="2832" spans="1:2" x14ac:dyDescent="0.25">
      <c r="A2832">
        <f ca="1">27403.5449725993*((RANDBETWEEN(2979,3282)))</f>
        <v>89253345.975755811</v>
      </c>
      <c r="B2832">
        <v>171350631.97238052</v>
      </c>
    </row>
    <row r="2833" spans="1:2" x14ac:dyDescent="0.25">
      <c r="A2833">
        <f ca="1">27944.212580829*((RANDBETWEEN(2979,3282)))</f>
        <v>85649011.56024079</v>
      </c>
      <c r="B2833">
        <v>163143752.28340003</v>
      </c>
    </row>
    <row r="2834" spans="1:2" x14ac:dyDescent="0.25">
      <c r="A2834">
        <f ca="1">32948.1917702771*((RANDBETWEEN(2979,3282)))</f>
        <v>101612223.41953447</v>
      </c>
      <c r="B2834">
        <v>151309691.36397907</v>
      </c>
    </row>
    <row r="2835" spans="1:2" x14ac:dyDescent="0.25">
      <c r="A2835">
        <f ca="1">25880.4634152524*((RANDBETWEEN(2979,3282)))</f>
        <v>82972765.709299341</v>
      </c>
      <c r="B2835">
        <v>152758864.99597222</v>
      </c>
    </row>
    <row r="2836" spans="1:2" x14ac:dyDescent="0.25">
      <c r="A2836">
        <f ca="1">26175.2361345145*((RANDBETWEEN(2979,3282)))</f>
        <v>82321117.643048212</v>
      </c>
      <c r="B2836">
        <v>146287121.48362583</v>
      </c>
    </row>
    <row r="2837" spans="1:2" x14ac:dyDescent="0.25">
      <c r="A2837">
        <f ca="1">29490.0215114586*((RANDBETWEEN(2979,3282)))</f>
        <v>91301106.59947598</v>
      </c>
      <c r="B2837">
        <v>157245859.590078</v>
      </c>
    </row>
    <row r="2838" spans="1:2" x14ac:dyDescent="0.25">
      <c r="A2838">
        <f ca="1">27558.8372450781*((RANDBETWEEN(2979,3282)))</f>
        <v>83475718.015341446</v>
      </c>
      <c r="B2838">
        <v>157878750.31093499</v>
      </c>
    </row>
    <row r="2839" spans="1:2" x14ac:dyDescent="0.25">
      <c r="A2839">
        <f ca="1">28489.0716114886*((RANDBETWEEN(2979,3282)))</f>
        <v>89170794.143959239</v>
      </c>
      <c r="B2839">
        <v>159090342.32762939</v>
      </c>
    </row>
    <row r="2840" spans="1:2" x14ac:dyDescent="0.25">
      <c r="A2840">
        <f ca="1">26196.2236199795*((RANDBETWEEN(2979,3282)))</f>
        <v>82465711.955695495</v>
      </c>
      <c r="B2840">
        <v>157150944.15476221</v>
      </c>
    </row>
    <row r="2841" spans="1:2" x14ac:dyDescent="0.25">
      <c r="A2841">
        <f ca="1">26204.4134387655*((RANDBETWEEN(2979,3282)))</f>
        <v>81705361.102070838</v>
      </c>
      <c r="B2841">
        <v>175211343.58023402</v>
      </c>
    </row>
    <row r="2842" spans="1:2" x14ac:dyDescent="0.25">
      <c r="A2842">
        <f ca="1">30201.3784595591*((RANDBETWEEN(2979,3282)))</f>
        <v>92869238.763144121</v>
      </c>
      <c r="B2842">
        <v>159071640.18944442</v>
      </c>
    </row>
    <row r="2843" spans="1:2" x14ac:dyDescent="0.25">
      <c r="A2843">
        <f ca="1">32684.0006822231*((RANDBETWEEN(2979,3282)))</f>
        <v>102758498.14490929</v>
      </c>
      <c r="B2843">
        <v>162349985.21200532</v>
      </c>
    </row>
    <row r="2844" spans="1:2" x14ac:dyDescent="0.25">
      <c r="A2844">
        <f ca="1">27832.358375435*((RANDBETWEEN(2979,3282)))</f>
        <v>88005917.183125377</v>
      </c>
      <c r="B2844">
        <v>155240023.28256664</v>
      </c>
    </row>
    <row r="2845" spans="1:2" x14ac:dyDescent="0.25">
      <c r="A2845">
        <f ca="1">28717.2721968369*((RANDBETWEEN(2979,3282)))</f>
        <v>85606188.418770805</v>
      </c>
      <c r="B2845">
        <v>150584386.00582632</v>
      </c>
    </row>
    <row r="2846" spans="1:2" x14ac:dyDescent="0.25">
      <c r="A2846">
        <f ca="1">29500.9377305066*((RANDBETWEEN(2979,3282)))</f>
        <v>91157897.587265491</v>
      </c>
      <c r="B2846">
        <v>156204522.7398347</v>
      </c>
    </row>
    <row r="2847" spans="1:2" x14ac:dyDescent="0.25">
      <c r="A2847">
        <f ca="1">27365.5961750416*((RANDBETWEEN(2979,3282)))</f>
        <v>82343078.890700281</v>
      </c>
      <c r="B2847">
        <v>170289322.26418042</v>
      </c>
    </row>
    <row r="2848" spans="1:2" x14ac:dyDescent="0.25">
      <c r="A2848">
        <f ca="1">28404.5368648542*((RANDBETWEEN(2979,3282)))</f>
        <v>84759138.00472492</v>
      </c>
      <c r="B2848">
        <v>169349360.83491862</v>
      </c>
    </row>
    <row r="2849" spans="1:2" x14ac:dyDescent="0.25">
      <c r="A2849">
        <f ca="1">29333.3224544378*((RANDBETWEEN(2979,3282)))</f>
        <v>95069298.074832797</v>
      </c>
      <c r="B2849">
        <v>150471691.22140601</v>
      </c>
    </row>
    <row r="2850" spans="1:2" x14ac:dyDescent="0.25">
      <c r="A2850">
        <f ca="1">28037.9757010659*((RANDBETWEEN(2979,3282)))</f>
        <v>87450446.211624652</v>
      </c>
      <c r="B2850">
        <v>166657365.24833789</v>
      </c>
    </row>
    <row r="2851" spans="1:2" x14ac:dyDescent="0.25">
      <c r="A2851">
        <f ca="1">28206.4405459305*((RANDBETWEEN(2979,3282)))</f>
        <v>89724687.37660493</v>
      </c>
      <c r="B2851">
        <v>173605514.8868894</v>
      </c>
    </row>
    <row r="2852" spans="1:2" x14ac:dyDescent="0.25">
      <c r="A2852">
        <f ca="1">28787.0362570176*((RANDBETWEEN(2979,3282)))</f>
        <v>88318627.236530095</v>
      </c>
      <c r="B2852">
        <v>167072331.86264467</v>
      </c>
    </row>
    <row r="2853" spans="1:2" x14ac:dyDescent="0.25">
      <c r="A2853">
        <f ca="1">25012.0714604375*((RANDBETWEEN(2979,3282)))</f>
        <v>76586962.811859488</v>
      </c>
      <c r="B2853">
        <v>148961013.46443823</v>
      </c>
    </row>
    <row r="2854" spans="1:2" x14ac:dyDescent="0.25">
      <c r="A2854">
        <f ca="1">32745.107681459*((RANDBETWEEN(2979,3282)))</f>
        <v>102295716.39687806</v>
      </c>
      <c r="B2854">
        <v>176911866.30880791</v>
      </c>
    </row>
    <row r="2855" spans="1:2" x14ac:dyDescent="0.25">
      <c r="A2855">
        <f ca="1">27990.7630499156*((RANDBETWEEN(2979,3282)))</f>
        <v>89738386.338029265</v>
      </c>
      <c r="B2855">
        <v>163762501.10492942</v>
      </c>
    </row>
    <row r="2856" spans="1:2" x14ac:dyDescent="0.25">
      <c r="A2856">
        <f ca="1">28957.787182136*((RANDBETWEEN(2979,3282)))</f>
        <v>89276857.882525325</v>
      </c>
      <c r="B2856">
        <v>169036699.20911041</v>
      </c>
    </row>
    <row r="2857" spans="1:2" x14ac:dyDescent="0.25">
      <c r="A2857">
        <f ca="1">25879.9667777097*((RANDBETWEEN(2979,3282)))</f>
        <v>84601611.396332964</v>
      </c>
      <c r="B2857">
        <v>156588961.57412764</v>
      </c>
    </row>
    <row r="2858" spans="1:2" x14ac:dyDescent="0.25">
      <c r="A2858">
        <f ca="1">26761.7921492323*((RANDBETWEEN(2979,3282)))</f>
        <v>80445947.200592399</v>
      </c>
      <c r="B2858">
        <v>163037736.11084571</v>
      </c>
    </row>
    <row r="2859" spans="1:2" x14ac:dyDescent="0.25">
      <c r="A2859">
        <f ca="1">27356.1701663341*((RANDBETWEEN(2979,3282)))</f>
        <v>88223648.786427543</v>
      </c>
      <c r="B2859">
        <v>183179314.43078312</v>
      </c>
    </row>
    <row r="2860" spans="1:2" x14ac:dyDescent="0.25">
      <c r="A2860">
        <f ca="1">30621.9320598943*((RANDBETWEEN(2979,3282)))</f>
        <v>91712686.519383341</v>
      </c>
      <c r="B2860">
        <v>166518384.82812059</v>
      </c>
    </row>
    <row r="2861" spans="1:2" x14ac:dyDescent="0.25">
      <c r="A2861">
        <f ca="1">27215.8274910942*((RANDBETWEEN(2979,3282)))</f>
        <v>89295129.998279914</v>
      </c>
      <c r="B2861">
        <v>202883393.39302397</v>
      </c>
    </row>
    <row r="2862" spans="1:2" x14ac:dyDescent="0.25">
      <c r="A2862">
        <f ca="1">26975.2805421385*((RANDBETWEEN(2979,3282)))</f>
        <v>82193679.811895937</v>
      </c>
      <c r="B2862">
        <v>145756549.78965008</v>
      </c>
    </row>
    <row r="2863" spans="1:2" x14ac:dyDescent="0.25">
      <c r="A2863">
        <f ca="1">29332.0668460983*((RANDBETWEEN(2979,3282)))</f>
        <v>93129312.236362234</v>
      </c>
      <c r="B2863">
        <v>178207551.91958511</v>
      </c>
    </row>
    <row r="2864" spans="1:2" x14ac:dyDescent="0.25">
      <c r="A2864">
        <f ca="1">25754.0209965418*((RANDBETWEEN(2979,3282)))</f>
        <v>84215648.65869157</v>
      </c>
      <c r="B2864">
        <v>147519070.69414428</v>
      </c>
    </row>
    <row r="2865" spans="1:2" x14ac:dyDescent="0.25">
      <c r="A2865">
        <f ca="1">25819.2694349425*((RANDBETWEEN(2979,3282)))</f>
        <v>82879854.886165306</v>
      </c>
      <c r="B2865">
        <v>184737846.5800758</v>
      </c>
    </row>
    <row r="2866" spans="1:2" x14ac:dyDescent="0.25">
      <c r="A2866">
        <f ca="1">27136.0821237705*((RANDBETWEEN(2979,3282)))</f>
        <v>84718848.390411541</v>
      </c>
      <c r="B2866">
        <v>187732516.79331014</v>
      </c>
    </row>
    <row r="2867" spans="1:2" x14ac:dyDescent="0.25">
      <c r="A2867">
        <f ca="1">28215.9234972077*((RANDBETWEEN(2979,3282)))</f>
        <v>87807953.92331028</v>
      </c>
      <c r="B2867">
        <v>169510815.69399399</v>
      </c>
    </row>
    <row r="2868" spans="1:2" x14ac:dyDescent="0.25">
      <c r="A2868">
        <f ca="1">31543.0955119356*((RANDBETWEEN(2979,3282)))</f>
        <v>103429810.18363698</v>
      </c>
      <c r="B2868">
        <v>148033424.60313839</v>
      </c>
    </row>
    <row r="2869" spans="1:2" x14ac:dyDescent="0.25">
      <c r="A2869">
        <f ca="1">27653.7073359786*((RANDBETWEEN(2979,3282)))</f>
        <v>85339340.838829845</v>
      </c>
      <c r="B2869">
        <v>144524967.85969543</v>
      </c>
    </row>
    <row r="2870" spans="1:2" x14ac:dyDescent="0.25">
      <c r="A2870">
        <f ca="1">25619.7734868845*((RANDBETWEEN(2979,3282)))</f>
        <v>83622940.661191165</v>
      </c>
      <c r="B2870">
        <v>149738510.97892085</v>
      </c>
    </row>
    <row r="2871" spans="1:2" x14ac:dyDescent="0.25">
      <c r="A2871">
        <f ca="1">25864.7058959448*((RANDBETWEEN(2979,3282)))</f>
        <v>81059988.277890965</v>
      </c>
      <c r="B2871">
        <v>158017899.68765116</v>
      </c>
    </row>
    <row r="2872" spans="1:2" x14ac:dyDescent="0.25">
      <c r="A2872">
        <f ca="1">28284.8394857717*((RANDBETWEEN(2979,3282)))</f>
        <v>90143783.441154435</v>
      </c>
      <c r="B2872">
        <v>186146817.75104949</v>
      </c>
    </row>
    <row r="2873" spans="1:2" x14ac:dyDescent="0.25">
      <c r="A2873">
        <f ca="1">26854.0340491603*((RANDBETWEEN(2979,3282)))</f>
        <v>86282011.39995198</v>
      </c>
      <c r="B2873">
        <v>146244466.22887272</v>
      </c>
    </row>
    <row r="2874" spans="1:2" x14ac:dyDescent="0.25">
      <c r="A2874">
        <f ca="1">26443.666391689*((RANDBETWEEN(2979,3282)))</f>
        <v>82900894.137945145</v>
      </c>
      <c r="B2874">
        <v>157131941.43219939</v>
      </c>
    </row>
    <row r="2875" spans="1:2" x14ac:dyDescent="0.25">
      <c r="A2875">
        <f ca="1">26123.9283857972*((RANDBETWEEN(2979,3282)))</f>
        <v>84119049.402267039</v>
      </c>
      <c r="B2875">
        <v>158105055.14765307</v>
      </c>
    </row>
    <row r="2876" spans="1:2" x14ac:dyDescent="0.25">
      <c r="A2876">
        <f ca="1">30599.663470437*((RANDBETWEEN(2979,3282)))</f>
        <v>91156397.478431851</v>
      </c>
      <c r="B2876">
        <v>166720409.60257721</v>
      </c>
    </row>
    <row r="2877" spans="1:2" x14ac:dyDescent="0.25">
      <c r="A2877">
        <f ca="1">30405.2949968663*((RANDBETWEEN(2979,3282)))</f>
        <v>92128043.840505004</v>
      </c>
      <c r="B2877">
        <v>154126458.1394529</v>
      </c>
    </row>
    <row r="2878" spans="1:2" x14ac:dyDescent="0.25">
      <c r="A2878">
        <f ca="1">32374.3956885424*((RANDBETWEEN(2979,3282)))</f>
        <v>105119662.80069703</v>
      </c>
      <c r="B2878">
        <v>185105823.95312318</v>
      </c>
    </row>
    <row r="2879" spans="1:2" x14ac:dyDescent="0.25">
      <c r="A2879">
        <f ca="1">27055.0748205447*((RANDBETWEEN(2979,3282)))</f>
        <v>82707363.726405263</v>
      </c>
      <c r="B2879">
        <v>201827829.78331918</v>
      </c>
    </row>
    <row r="2880" spans="1:2" x14ac:dyDescent="0.25">
      <c r="A2880">
        <f ca="1">26061.4295816754*((RANDBETWEEN(2979,3282)))</f>
        <v>82901407.499309391</v>
      </c>
      <c r="B2880">
        <v>174353618.83926469</v>
      </c>
    </row>
    <row r="2881" spans="1:2" x14ac:dyDescent="0.25">
      <c r="A2881">
        <f ca="1">26872.06723955*((RANDBETWEEN(2979,3282)))</f>
        <v>84700755.939061478</v>
      </c>
      <c r="B2881">
        <v>150250503.09482068</v>
      </c>
    </row>
    <row r="2882" spans="1:2" x14ac:dyDescent="0.25">
      <c r="A2882">
        <f ca="1">25611.786599772*((RANDBETWEEN(2979,3282)))</f>
        <v>80421009.923284054</v>
      </c>
      <c r="B2882">
        <v>145504432.3121644</v>
      </c>
    </row>
    <row r="2883" spans="1:2" x14ac:dyDescent="0.25">
      <c r="A2883">
        <f ca="1">27482.965005321*((RANDBETWEEN(2979,3282)))</f>
        <v>88989840.687229306</v>
      </c>
      <c r="B2883">
        <v>200900597.44897979</v>
      </c>
    </row>
    <row r="2884" spans="1:2" x14ac:dyDescent="0.25">
      <c r="A2884">
        <f ca="1">27641.5330782991*((RANDBETWEEN(2979,3282)))</f>
        <v>89669133.306002185</v>
      </c>
      <c r="B2884">
        <v>166483683.83636507</v>
      </c>
    </row>
    <row r="2885" spans="1:2" x14ac:dyDescent="0.25">
      <c r="A2885">
        <f ca="1">29709.1177493028*((RANDBETWEEN(2979,3282)))</f>
        <v>93019247.673067316</v>
      </c>
      <c r="B2885">
        <v>146295739.36907583</v>
      </c>
    </row>
    <row r="2886" spans="1:2" x14ac:dyDescent="0.25">
      <c r="A2886">
        <f ca="1">29664.1660080872*((RANDBETWEEN(2979,3282)))</f>
        <v>91780929.629021645</v>
      </c>
      <c r="B2886">
        <v>202445356.13390529</v>
      </c>
    </row>
    <row r="2887" spans="1:2" x14ac:dyDescent="0.25">
      <c r="A2887">
        <f ca="1">27348.8730986635*((RANDBETWEEN(2979,3282)))</f>
        <v>86942067.580651313</v>
      </c>
      <c r="B2887">
        <v>148001095.74762776</v>
      </c>
    </row>
    <row r="2888" spans="1:2" x14ac:dyDescent="0.25">
      <c r="A2888">
        <f ca="1">28023.7312068405*((RANDBETWEEN(2979,3282)))</f>
        <v>85388308.987242967</v>
      </c>
      <c r="B2888">
        <v>170879035.40697062</v>
      </c>
    </row>
    <row r="2889" spans="1:2" x14ac:dyDescent="0.25">
      <c r="A2889">
        <f ca="1">27687.556944802*((RANDBETWEEN(2979,3282)))</f>
        <v>88655557.337256059</v>
      </c>
      <c r="B2889">
        <v>150734629.66235608</v>
      </c>
    </row>
    <row r="2890" spans="1:2" x14ac:dyDescent="0.25">
      <c r="A2890">
        <f ca="1">29967.7590936509*((RANDBETWEEN(2979,3282)))</f>
        <v>91791246.103852823</v>
      </c>
      <c r="B2890">
        <v>194161098.99240875</v>
      </c>
    </row>
    <row r="2891" spans="1:2" x14ac:dyDescent="0.25">
      <c r="A2891">
        <f ca="1">26782.5348903227*((RANDBETWEEN(2979,3282)))</f>
        <v>86695065.439974532</v>
      </c>
      <c r="B2891">
        <v>146891353.47356459</v>
      </c>
    </row>
    <row r="2892" spans="1:2" x14ac:dyDescent="0.25">
      <c r="A2892">
        <f ca="1">28326.102294829*((RANDBETWEEN(2979,3282)))</f>
        <v>86564568.612997562</v>
      </c>
      <c r="B2892">
        <v>155641168.75583905</v>
      </c>
    </row>
    <row r="2893" spans="1:2" x14ac:dyDescent="0.25">
      <c r="A2893">
        <f ca="1">29107.6155700965*((RANDBETWEEN(2979,3282)))</f>
        <v>90291823.498439223</v>
      </c>
      <c r="B2893">
        <v>179787877.81685987</v>
      </c>
    </row>
    <row r="2894" spans="1:2" x14ac:dyDescent="0.25">
      <c r="A2894">
        <f ca="1">26124.0208572626*((RANDBETWEEN(2979,3282)))</f>
        <v>80801596.511513337</v>
      </c>
      <c r="B2894">
        <v>143509882.64215294</v>
      </c>
    </row>
    <row r="2895" spans="1:2" x14ac:dyDescent="0.25">
      <c r="A2895">
        <f ca="1">25976.3885715643*((RANDBETWEEN(2979,3282)))</f>
        <v>79227985.143271118</v>
      </c>
      <c r="B2895">
        <v>145625634.14649475</v>
      </c>
    </row>
    <row r="2896" spans="1:2" x14ac:dyDescent="0.25">
      <c r="A2896">
        <f ca="1">26651.1974102627*((RANDBETWEEN(2979,3282)))</f>
        <v>81126244.916839555</v>
      </c>
      <c r="B2896">
        <v>152482694.31461558</v>
      </c>
    </row>
    <row r="2897" spans="1:2" x14ac:dyDescent="0.25">
      <c r="A2897">
        <f ca="1">26769.7509960953*((RANDBETWEEN(2979,3282)))</f>
        <v>85154577.918579176</v>
      </c>
      <c r="B2897">
        <v>157431808.12252307</v>
      </c>
    </row>
    <row r="2898" spans="1:2" x14ac:dyDescent="0.25">
      <c r="A2898">
        <f ca="1">27221.3091739113*((RANDBETWEEN(2979,3282)))</f>
        <v>88224263.032646537</v>
      </c>
      <c r="B2898">
        <v>164201756.40041903</v>
      </c>
    </row>
    <row r="2899" spans="1:2" x14ac:dyDescent="0.25">
      <c r="A2899">
        <f ca="1">26286.5719877637*((RANDBETWEEN(2979,3282)))</f>
        <v>85957090.399987355</v>
      </c>
      <c r="B2899">
        <v>194896230.88563097</v>
      </c>
    </row>
    <row r="2900" spans="1:2" x14ac:dyDescent="0.25">
      <c r="A2900">
        <f ca="1">27512.5812923324*((RANDBETWEEN(2979,3282)))</f>
        <v>82152567.738904685</v>
      </c>
      <c r="B2900">
        <v>184099775.62883726</v>
      </c>
    </row>
    <row r="2901" spans="1:2" x14ac:dyDescent="0.25">
      <c r="A2901">
        <f ca="1">25767.0442522927*((RANDBETWEEN(2979,3282)))</f>
        <v>76837325.96033673</v>
      </c>
      <c r="B2901">
        <v>176446535.59256536</v>
      </c>
    </row>
    <row r="2902" spans="1:2" x14ac:dyDescent="0.25">
      <c r="A2902">
        <f ca="1">27196.5935564397*((RANDBETWEEN(2979,3282)))</f>
        <v>88824074.555332124</v>
      </c>
      <c r="B2902">
        <v>161601579.99542525</v>
      </c>
    </row>
    <row r="2903" spans="1:2" x14ac:dyDescent="0.25">
      <c r="A2903">
        <f ca="1">27274.2763118013*((RANDBETWEEN(2979,3282)))</f>
        <v>81277343.409167796</v>
      </c>
      <c r="B2903">
        <v>164534218.68240017</v>
      </c>
    </row>
    <row r="2904" spans="1:2" x14ac:dyDescent="0.25">
      <c r="A2904">
        <f ca="1">27209.2180926124*((RANDBETWEEN(2979,3282)))</f>
        <v>84348576.087098509</v>
      </c>
      <c r="B2904">
        <v>145031656.17719573</v>
      </c>
    </row>
    <row r="2905" spans="1:2" x14ac:dyDescent="0.25">
      <c r="A2905">
        <f ca="1">33457.6089969393*((RANDBETWEEN(2979,3282)))</f>
        <v>109105262.93901913</v>
      </c>
      <c r="B2905">
        <v>202757100.66750437</v>
      </c>
    </row>
    <row r="2906" spans="1:2" x14ac:dyDescent="0.25">
      <c r="A2906">
        <f ca="1">24388.3828972619*((RANDBETWEEN(2979,3282)))</f>
        <v>78652534.843669504</v>
      </c>
      <c r="B2906">
        <v>143945252.23025459</v>
      </c>
    </row>
    <row r="2907" spans="1:2" x14ac:dyDescent="0.25">
      <c r="A2907">
        <f ca="1">33002.4831925199*((RANDBETWEEN(2979,3282)))</f>
        <v>103924819.57324512</v>
      </c>
      <c r="B2907">
        <v>142940803.45608753</v>
      </c>
    </row>
    <row r="2908" spans="1:2" x14ac:dyDescent="0.25">
      <c r="A2908">
        <f ca="1">28699.7555626878*((RANDBETWEEN(2979,3282)))</f>
        <v>89916334.177900851</v>
      </c>
      <c r="B2908">
        <v>161164965.06256941</v>
      </c>
    </row>
    <row r="2909" spans="1:2" x14ac:dyDescent="0.25">
      <c r="A2909">
        <f ca="1">25911.2322753364*((RANDBETWEEN(2979,3282)))</f>
        <v>77707785.593733996</v>
      </c>
      <c r="B2909">
        <v>143273127.75829747</v>
      </c>
    </row>
    <row r="2910" spans="1:2" x14ac:dyDescent="0.25">
      <c r="A2910">
        <f ca="1">25346.7632614408*((RANDBETWEEN(2979,3282)))</f>
        <v>80070425.142891422</v>
      </c>
      <c r="B2910">
        <v>177805228.82218036</v>
      </c>
    </row>
    <row r="2911" spans="1:2" x14ac:dyDescent="0.25">
      <c r="A2911">
        <f ca="1">27143.4070343733*((RANDBETWEEN(2979,3282)))</f>
        <v>82787391.454838797</v>
      </c>
      <c r="B2911">
        <v>160781142.88954198</v>
      </c>
    </row>
    <row r="2912" spans="1:2" x14ac:dyDescent="0.25">
      <c r="A2912">
        <f ca="1">27345.1635185715*((RANDBETWEEN(2979,3282)))</f>
        <v>86848239.334982947</v>
      </c>
      <c r="B2912">
        <v>166290334.98365775</v>
      </c>
    </row>
    <row r="2913" spans="1:2" x14ac:dyDescent="0.25">
      <c r="A2913">
        <f ca="1">31452.5348495511*((RANDBETWEEN(2979,3282)))</f>
        <v>99704535.473077059</v>
      </c>
      <c r="B2913">
        <v>196188943.81598669</v>
      </c>
    </row>
    <row r="2914" spans="1:2" x14ac:dyDescent="0.25">
      <c r="A2914">
        <f ca="1">26921.9646365802*((RANDBETWEEN(2979,3282)))</f>
        <v>84723422.711317867</v>
      </c>
      <c r="B2914">
        <v>166109398.4832539</v>
      </c>
    </row>
    <row r="2915" spans="1:2" x14ac:dyDescent="0.25">
      <c r="A2915">
        <f ca="1">32315.794844246*((RANDBETWEEN(2979,3282)))</f>
        <v>98013805.762597993</v>
      </c>
      <c r="B2915">
        <v>179343492.55116811</v>
      </c>
    </row>
    <row r="2916" spans="1:2" x14ac:dyDescent="0.25">
      <c r="A2916">
        <f ca="1">28920.3170500273*((RANDBETWEEN(2979,3282)))</f>
        <v>92053369.170236751</v>
      </c>
      <c r="B2916">
        <v>144879577.05077982</v>
      </c>
    </row>
    <row r="2917" spans="1:2" x14ac:dyDescent="0.25">
      <c r="A2917">
        <f ca="1">26206.3130862807*((RANDBETWEEN(2979,3282)))</f>
        <v>79405128.651430383</v>
      </c>
      <c r="B2917">
        <v>148706503.55271989</v>
      </c>
    </row>
    <row r="2918" spans="1:2" x14ac:dyDescent="0.25">
      <c r="A2918">
        <f ca="1">27128.9502334365*((RANDBETWEEN(2979,3282)))</f>
        <v>82200719.207312718</v>
      </c>
      <c r="B2918">
        <v>177254083.29703739</v>
      </c>
    </row>
    <row r="2919" spans="1:2" x14ac:dyDescent="0.25">
      <c r="A2919">
        <f ca="1">27199.2753656366*((RANDBETWEEN(2979,3282)))</f>
        <v>84752942.039323628</v>
      </c>
      <c r="B2919">
        <v>167895645.27528813</v>
      </c>
    </row>
    <row r="2920" spans="1:2" x14ac:dyDescent="0.25">
      <c r="A2920">
        <f ca="1">26553.9946989356*((RANDBETWEEN(2979,3282)))</f>
        <v>80830359.863559961</v>
      </c>
      <c r="B2920">
        <v>151325052.75756499</v>
      </c>
    </row>
    <row r="2921" spans="1:2" x14ac:dyDescent="0.25">
      <c r="A2921">
        <f ca="1">27577.1069953173*((RANDBETWEEN(2979,3282)))</f>
        <v>88687976.096940339</v>
      </c>
      <c r="B2921">
        <v>145969744.50654879</v>
      </c>
    </row>
    <row r="2922" spans="1:2" x14ac:dyDescent="0.25">
      <c r="A2922">
        <f ca="1">26886.1873581248*((RANDBETWEEN(2979,3282)))</f>
        <v>87810287.911635652</v>
      </c>
      <c r="B2922">
        <v>156412989.30429021</v>
      </c>
    </row>
    <row r="2923" spans="1:2" x14ac:dyDescent="0.25">
      <c r="A2923">
        <f ca="1">26682.2330020555*((RANDBETWEEN(2979,3282)))</f>
        <v>80580343.666207567</v>
      </c>
      <c r="B2923">
        <v>190094975.50802243</v>
      </c>
    </row>
    <row r="2924" spans="1:2" x14ac:dyDescent="0.25">
      <c r="A2924">
        <f ca="1">27598.6378491213*((RANDBETWEEN(2979,3282)))</f>
        <v>87542879.257412747</v>
      </c>
      <c r="B2924">
        <v>184886023.86295545</v>
      </c>
    </row>
    <row r="2925" spans="1:2" x14ac:dyDescent="0.25">
      <c r="A2925">
        <f ca="1">28003.324529917*((RANDBETWEEN(2979,3282)))</f>
        <v>86306246.201204345</v>
      </c>
      <c r="B2925">
        <v>196840298.05469882</v>
      </c>
    </row>
    <row r="2926" spans="1:2" x14ac:dyDescent="0.25">
      <c r="A2926">
        <f ca="1">28587.7691814657*((RANDBETWEEN(2979,3282)))</f>
        <v>89622656.383895114</v>
      </c>
      <c r="B2926">
        <v>195270122.75222689</v>
      </c>
    </row>
    <row r="2927" spans="1:2" x14ac:dyDescent="0.25">
      <c r="A2927">
        <f ca="1">25803.7904892251*((RANDBETWEEN(2979,3282)))</f>
        <v>78985402.687517911</v>
      </c>
      <c r="B2927">
        <v>157725024.94395241</v>
      </c>
    </row>
    <row r="2928" spans="1:2" x14ac:dyDescent="0.25">
      <c r="A2928">
        <f ca="1">29125.0628248225*((RANDBETWEEN(2979,3282)))</f>
        <v>94918579.746096373</v>
      </c>
      <c r="B2928">
        <v>199960639.36653081</v>
      </c>
    </row>
    <row r="2929" spans="1:2" x14ac:dyDescent="0.25">
      <c r="A2929">
        <f ca="1">34600.3113045995*((RANDBETWEEN(2979,3282)))</f>
        <v>113281419.2112589</v>
      </c>
      <c r="B2929">
        <v>197225881.049346</v>
      </c>
    </row>
    <row r="2930" spans="1:2" x14ac:dyDescent="0.25">
      <c r="A2930">
        <f ca="1">27286.8672535025*((RANDBETWEEN(2979,3282)))</f>
        <v>85462468.23796989</v>
      </c>
      <c r="B2930">
        <v>181594622.14548397</v>
      </c>
    </row>
    <row r="2931" spans="1:2" x14ac:dyDescent="0.25">
      <c r="A2931">
        <f ca="1">26160.9426227159*((RANDBETWEEN(2979,3282)))</f>
        <v>80523381.392719477</v>
      </c>
      <c r="B2931">
        <v>147725001.76765898</v>
      </c>
    </row>
    <row r="2932" spans="1:2" x14ac:dyDescent="0.25">
      <c r="A2932">
        <f ca="1">26514.0694892897*((RANDBETWEEN(2979,3282)))</f>
        <v>79913405.440719187</v>
      </c>
      <c r="B2932">
        <v>159473643.36570135</v>
      </c>
    </row>
    <row r="2933" spans="1:2" x14ac:dyDescent="0.25">
      <c r="A2933">
        <f ca="1">27334.0604585175*((RANDBETWEEN(2979,3282)))</f>
        <v>86102290.444330275</v>
      </c>
      <c r="B2933">
        <v>144463204.2645911</v>
      </c>
    </row>
    <row r="2934" spans="1:2" x14ac:dyDescent="0.25">
      <c r="A2934">
        <f ca="1">26208.6823134787*((RANDBETWEEN(2979,3282)))</f>
        <v>80434446.020066231</v>
      </c>
      <c r="B2934">
        <v>161818144.34048718</v>
      </c>
    </row>
    <row r="2935" spans="1:2" x14ac:dyDescent="0.25">
      <c r="A2935">
        <f ca="1">29414.1391484638*((RANDBETWEEN(2979,3282)))</f>
        <v>87654134.662422076</v>
      </c>
      <c r="B2935">
        <v>154905112.96692473</v>
      </c>
    </row>
    <row r="2936" spans="1:2" x14ac:dyDescent="0.25">
      <c r="A2936">
        <f ca="1">32541.5326868943*((RANDBETWEEN(2979,3282)))</f>
        <v>106313187.28808373</v>
      </c>
      <c r="B2936">
        <v>183317787.65898168</v>
      </c>
    </row>
    <row r="2937" spans="1:2" x14ac:dyDescent="0.25">
      <c r="A2937">
        <f ca="1">30264.955253996*((RANDBETWEEN(2979,3282)))</f>
        <v>96182027.797199205</v>
      </c>
      <c r="B2937">
        <v>186609881.42932492</v>
      </c>
    </row>
    <row r="2938" spans="1:2" x14ac:dyDescent="0.25">
      <c r="A2938">
        <f ca="1">28665.588386641*((RANDBETWEEN(2979,3282)))</f>
        <v>90468596.948239148</v>
      </c>
      <c r="B2938">
        <v>175957394.81233409</v>
      </c>
    </row>
    <row r="2939" spans="1:2" x14ac:dyDescent="0.25">
      <c r="A2939">
        <f ca="1">26973.7742886368*((RANDBETWEEN(2979,3282)))</f>
        <v>85048310.332071677</v>
      </c>
      <c r="B2939">
        <v>161020484.22067428</v>
      </c>
    </row>
    <row r="2940" spans="1:2" x14ac:dyDescent="0.25">
      <c r="A2940">
        <f ca="1">26792.9088601955*((RANDBETWEEN(2979,3282)))</f>
        <v>81637993.297015786</v>
      </c>
      <c r="B2940">
        <v>199790215.18754283</v>
      </c>
    </row>
    <row r="2941" spans="1:2" x14ac:dyDescent="0.25">
      <c r="A2941">
        <f ca="1">28185.5286693806*((RANDBETWEEN(2979,3282)))</f>
        <v>89291754.824597895</v>
      </c>
      <c r="B2941">
        <v>196097585.9002834</v>
      </c>
    </row>
    <row r="2942" spans="1:2" x14ac:dyDescent="0.25">
      <c r="A2942">
        <f ca="1">27164.8862867817*((RANDBETWEEN(2979,3282)))</f>
        <v>82472594.766669109</v>
      </c>
      <c r="B2942">
        <v>157614597.0290435</v>
      </c>
    </row>
    <row r="2943" spans="1:2" x14ac:dyDescent="0.25">
      <c r="A2943">
        <f ca="1">26837.0826986577*((RANDBETWEEN(2979,3282)))</f>
        <v>83812209.267908141</v>
      </c>
      <c r="B2943">
        <v>149637636.12366876</v>
      </c>
    </row>
    <row r="2944" spans="1:2" x14ac:dyDescent="0.25">
      <c r="A2944">
        <f ca="1">31741.0706036052*((RANDBETWEEN(2979,3282)))</f>
        <v>98746470.647815645</v>
      </c>
      <c r="B2944">
        <v>144422263.46116194</v>
      </c>
    </row>
    <row r="2945" spans="1:2" x14ac:dyDescent="0.25">
      <c r="A2945">
        <f ca="1">28117.8340584067*((RANDBETWEEN(2979,3282)))</f>
        <v>85421979.869439572</v>
      </c>
      <c r="B2945">
        <v>144144998.2296392</v>
      </c>
    </row>
    <row r="2946" spans="1:2" x14ac:dyDescent="0.25">
      <c r="A2946">
        <f ca="1">31503.2339319686*((RANDBETWEEN(2979,3282)))</f>
        <v>94572708.263769776</v>
      </c>
      <c r="B2946">
        <v>188072325.14881086</v>
      </c>
    </row>
    <row r="2947" spans="1:2" x14ac:dyDescent="0.25">
      <c r="A2947">
        <f ca="1">26565.694504287*((RANDBETWEEN(2979,3282)))</f>
        <v>82034864.629238293</v>
      </c>
      <c r="B2947">
        <v>148402876.06287777</v>
      </c>
    </row>
    <row r="2948" spans="1:2" x14ac:dyDescent="0.25">
      <c r="A2948">
        <f ca="1">25607.6924958546*((RANDBETWEEN(2979,3282)))</f>
        <v>83813977.538932055</v>
      </c>
      <c r="B2948">
        <v>145655730.72275311</v>
      </c>
    </row>
    <row r="2949" spans="1:2" x14ac:dyDescent="0.25">
      <c r="A2949">
        <f ca="1">31968.9574165795*((RANDBETWEEN(2979,3282)))</f>
        <v>100350557.33064316</v>
      </c>
      <c r="B2949">
        <v>195514155.56702912</v>
      </c>
    </row>
    <row r="2950" spans="1:2" x14ac:dyDescent="0.25">
      <c r="A2950">
        <f ca="1">31721.6892074135*((RANDBETWEEN(2979,3282)))</f>
        <v>99193722.151582167</v>
      </c>
      <c r="B2950">
        <v>145979477.48018312</v>
      </c>
    </row>
    <row r="2951" spans="1:2" x14ac:dyDescent="0.25">
      <c r="A2951">
        <f ca="1">25256.2391821892*((RANDBETWEEN(2979,3282)))</f>
        <v>79405615.988802686</v>
      </c>
      <c r="B2951">
        <v>149533178.39149266</v>
      </c>
    </row>
    <row r="2952" spans="1:2" x14ac:dyDescent="0.25">
      <c r="A2952">
        <f ca="1">34304.5101873363*((RANDBETWEEN(2979,3282)))</f>
        <v>108402252.19198269</v>
      </c>
      <c r="B2952">
        <v>179690710.99942979</v>
      </c>
    </row>
    <row r="2953" spans="1:2" x14ac:dyDescent="0.25">
      <c r="A2953">
        <f ca="1">26891.338265179*((RANDBETWEEN(2979,3282)))</f>
        <v>84465693.490927234</v>
      </c>
      <c r="B2953">
        <v>156537222.03898796</v>
      </c>
    </row>
    <row r="2954" spans="1:2" x14ac:dyDescent="0.25">
      <c r="A2954">
        <f ca="1">26271.9222965772*((RANDBETWEEN(2979,3282)))</f>
        <v>81731950.264651775</v>
      </c>
      <c r="B2954">
        <v>179157685.07027635</v>
      </c>
    </row>
    <row r="2955" spans="1:2" x14ac:dyDescent="0.25">
      <c r="A2955">
        <f ca="1">27256.6438073033*((RANDBETWEEN(2979,3282)))</f>
        <v>86866923.813875511</v>
      </c>
      <c r="B2955">
        <v>154463896.31884658</v>
      </c>
    </row>
    <row r="2956" spans="1:2" x14ac:dyDescent="0.25">
      <c r="A2956">
        <f ca="1">29695.7617105486*((RANDBETWEEN(2979,3282)))</f>
        <v>90661160.502304733</v>
      </c>
      <c r="B2956">
        <v>182072879.60508591</v>
      </c>
    </row>
    <row r="2957" spans="1:2" x14ac:dyDescent="0.25">
      <c r="A2957">
        <f ca="1">28678.854230784*((RANDBETWEEN(2979,3282)))</f>
        <v>87327111.13273713</v>
      </c>
      <c r="B2957">
        <v>150069685.26496091</v>
      </c>
    </row>
    <row r="2958" spans="1:2" x14ac:dyDescent="0.25">
      <c r="A2958">
        <f ca="1">28813.4057453129*((RANDBETWEEN(2979,3282)))</f>
        <v>88658849.478327662</v>
      </c>
      <c r="B2958">
        <v>159702743.15202868</v>
      </c>
    </row>
    <row r="2959" spans="1:2" x14ac:dyDescent="0.25">
      <c r="A2959">
        <f ca="1">26340.9500679768*((RANDBETWEEN(2979,3282)))</f>
        <v>85239314.419972986</v>
      </c>
      <c r="B2959">
        <v>171415716.2761206</v>
      </c>
    </row>
    <row r="2960" spans="1:2" x14ac:dyDescent="0.25">
      <c r="A2960">
        <f ca="1">27491.6789607319*((RANDBETWEEN(2979,3282)))</f>
        <v>85059254.704504654</v>
      </c>
      <c r="B2960">
        <v>161400312.02210921</v>
      </c>
    </row>
    <row r="2961" spans="1:2" x14ac:dyDescent="0.25">
      <c r="A2961">
        <f ca="1">31965.9973125873*((RANDBETWEEN(2979,3282)))</f>
        <v>96920903.851764753</v>
      </c>
      <c r="B2961">
        <v>147995822.87162116</v>
      </c>
    </row>
    <row r="2962" spans="1:2" x14ac:dyDescent="0.25">
      <c r="A2962">
        <f ca="1">29522.7785708964*((RANDBETWEEN(2979,3282)))</f>
        <v>92140591.919767797</v>
      </c>
      <c r="B2962">
        <v>159818906.07733479</v>
      </c>
    </row>
    <row r="2963" spans="1:2" x14ac:dyDescent="0.25">
      <c r="A2963">
        <f ca="1">27708.65804044*((RANDBETWEEN(2979,3282)))</f>
        <v>88972500.967852965</v>
      </c>
      <c r="B2963">
        <v>173723537.40220803</v>
      </c>
    </row>
    <row r="2964" spans="1:2" x14ac:dyDescent="0.25">
      <c r="A2964">
        <f ca="1">26388.3941675986*((RANDBETWEEN(2979,3282)))</f>
        <v>78822133.378616944</v>
      </c>
      <c r="B2964">
        <v>180407201.36270574</v>
      </c>
    </row>
    <row r="2965" spans="1:2" x14ac:dyDescent="0.25">
      <c r="A2965">
        <f ca="1">29855.2816860115*((RANDBETWEEN(2979,3282)))</f>
        <v>91357161.959195048</v>
      </c>
      <c r="B2965">
        <v>197423602.37142378</v>
      </c>
    </row>
    <row r="2966" spans="1:2" x14ac:dyDescent="0.25">
      <c r="A2966">
        <f ca="1">24709.7837105462*((RANDBETWEEN(2979,3282)))</f>
        <v>78750080.68551074</v>
      </c>
      <c r="B2966">
        <v>162225482.61415294</v>
      </c>
    </row>
    <row r="2967" spans="1:2" x14ac:dyDescent="0.25">
      <c r="A2967">
        <f ca="1">30431.424985575*((RANDBETWEEN(2979,3282)))</f>
        <v>92754983.356032655</v>
      </c>
      <c r="B2967">
        <v>186296691.02282527</v>
      </c>
    </row>
    <row r="2968" spans="1:2" x14ac:dyDescent="0.25">
      <c r="A2968">
        <f ca="1">26228.2989577398*((RANDBETWEEN(2979,3282)))</f>
        <v>80258594.810683727</v>
      </c>
      <c r="B2968">
        <v>187418490.79569337</v>
      </c>
    </row>
    <row r="2969" spans="1:2" x14ac:dyDescent="0.25">
      <c r="A2969">
        <f ca="1">27478.8027375256*((RANDBETWEEN(2979,3282)))</f>
        <v>86942931.861530885</v>
      </c>
      <c r="B2969">
        <v>146401670.89886385</v>
      </c>
    </row>
    <row r="2970" spans="1:2" x14ac:dyDescent="0.25">
      <c r="A2970">
        <f ca="1">32853.6179838716*((RANDBETWEEN(2979,3282)))</f>
        <v>105164431.16637306</v>
      </c>
      <c r="B2970">
        <v>169678584.39901686</v>
      </c>
    </row>
    <row r="2971" spans="1:2" x14ac:dyDescent="0.25">
      <c r="A2971">
        <f ca="1">27721.4516274429*((RANDBETWEEN(2979,3282)))</f>
        <v>86795865.045523793</v>
      </c>
      <c r="B2971">
        <v>152622820.08027324</v>
      </c>
    </row>
    <row r="2972" spans="1:2" x14ac:dyDescent="0.25">
      <c r="A2972">
        <f ca="1">26164.6851916395*((RANDBETWEEN(2979,3282)))</f>
        <v>82915887.372305647</v>
      </c>
      <c r="B2972">
        <v>145596910.91946191</v>
      </c>
    </row>
    <row r="2973" spans="1:2" x14ac:dyDescent="0.25">
      <c r="A2973">
        <f ca="1">26165.5227739574*((RANDBETWEEN(2979,3282)))</f>
        <v>83677341.831115842</v>
      </c>
      <c r="B2973">
        <v>160561299.27873892</v>
      </c>
    </row>
    <row r="2974" spans="1:2" x14ac:dyDescent="0.25">
      <c r="A2974">
        <f ca="1">27582.1347951564*((RANDBETWEEN(2979,3282)))</f>
        <v>86883724.60474281</v>
      </c>
      <c r="B2974">
        <v>189396419.1446878</v>
      </c>
    </row>
    <row r="2975" spans="1:2" x14ac:dyDescent="0.25">
      <c r="A2975">
        <f ca="1">28997.3281623431*((RANDBETWEEN(2979,3282)))</f>
        <v>86673013.877243638</v>
      </c>
      <c r="B2975">
        <v>173267974.25351194</v>
      </c>
    </row>
    <row r="2976" spans="1:2" x14ac:dyDescent="0.25">
      <c r="A2976">
        <f ca="1">29589.2756940856*((RANDBETWEEN(2979,3282)))</f>
        <v>92141004.511382475</v>
      </c>
      <c r="B2976">
        <v>191982657.68879613</v>
      </c>
    </row>
    <row r="2977" spans="1:2" x14ac:dyDescent="0.25">
      <c r="A2977">
        <f ca="1">28204.2460262599*((RANDBETWEEN(2979,3282)))</f>
        <v>90422812.760189191</v>
      </c>
      <c r="B2977">
        <v>174911881.55072746</v>
      </c>
    </row>
    <row r="2978" spans="1:2" x14ac:dyDescent="0.25">
      <c r="A2978">
        <f ca="1">28143.1520872781*((RANDBETWEEN(2979,3282)))</f>
        <v>88960503.747886181</v>
      </c>
      <c r="B2978">
        <v>149874584.65463352</v>
      </c>
    </row>
    <row r="2979" spans="1:2" x14ac:dyDescent="0.25">
      <c r="A2979">
        <f ca="1">28976.9660229903*((RANDBETWEEN(2979,3282)))</f>
        <v>92030844.089017272</v>
      </c>
      <c r="B2979">
        <v>176996613.41782314</v>
      </c>
    </row>
    <row r="2980" spans="1:2" x14ac:dyDescent="0.25">
      <c r="A2980">
        <f ca="1">26633.2058874647*((RANDBETWEEN(2979,3282)))</f>
        <v>87197116.075559363</v>
      </c>
      <c r="B2980">
        <v>161455756.18954539</v>
      </c>
    </row>
    <row r="2981" spans="1:2" x14ac:dyDescent="0.25">
      <c r="A2981">
        <f ca="1">29580.0398696685*((RANDBETWEEN(2979,3282)))</f>
        <v>96608410.214337349</v>
      </c>
      <c r="B2981">
        <v>177300865.58832249</v>
      </c>
    </row>
    <row r="2982" spans="1:2" x14ac:dyDescent="0.25">
      <c r="A2982">
        <f ca="1">29323.7121851841*((RANDBETWEEN(2979,3282)))</f>
        <v>91255392.320292994</v>
      </c>
      <c r="B2982">
        <v>189308775.6985088</v>
      </c>
    </row>
    <row r="2983" spans="1:2" x14ac:dyDescent="0.25">
      <c r="A2983">
        <f ca="1">28008.9249129784*((RANDBETWEEN(2979,3282)))</f>
        <v>86463551.206364274</v>
      </c>
      <c r="B2983">
        <v>201369383.12302989</v>
      </c>
    </row>
    <row r="2984" spans="1:2" x14ac:dyDescent="0.25">
      <c r="A2984">
        <f ca="1">28365.0898006174*((RANDBETWEEN(2979,3282)))</f>
        <v>88555810.357527569</v>
      </c>
      <c r="B2984">
        <v>165096724.37970564</v>
      </c>
    </row>
    <row r="2985" spans="1:2" x14ac:dyDescent="0.25">
      <c r="A2985">
        <f ca="1">30026.02824187*((RANDBETWEEN(2979,3282)))</f>
        <v>95512795.83738862</v>
      </c>
      <c r="B2985">
        <v>197307909.52599195</v>
      </c>
    </row>
    <row r="2986" spans="1:2" x14ac:dyDescent="0.25">
      <c r="A2986">
        <f ca="1">30406.8943301011*((RANDBETWEEN(2979,3282)))</f>
        <v>93440386.276400626</v>
      </c>
      <c r="B2986">
        <v>184794390.78653377</v>
      </c>
    </row>
    <row r="2987" spans="1:2" x14ac:dyDescent="0.25">
      <c r="A2987">
        <f ca="1">30758.2336494142*((RANDBETWEEN(2979,3282)))</f>
        <v>94643084.939247549</v>
      </c>
      <c r="B2987">
        <v>170486770.46290797</v>
      </c>
    </row>
    <row r="2988" spans="1:2" x14ac:dyDescent="0.25">
      <c r="A2988">
        <f ca="1">27851.637913756*((RANDBETWEEN(2979,3282)))</f>
        <v>87454143.049193993</v>
      </c>
      <c r="B2988">
        <v>187416253.98797059</v>
      </c>
    </row>
    <row r="2989" spans="1:2" x14ac:dyDescent="0.25">
      <c r="A2989">
        <f ca="1">29757.9679509782*((RANDBETWEEN(2979,3282)))</f>
        <v>91624783.32106176</v>
      </c>
      <c r="B2989">
        <v>174716992.67603707</v>
      </c>
    </row>
    <row r="2990" spans="1:2" x14ac:dyDescent="0.25">
      <c r="A2990">
        <f ca="1">29233.1498255789*((RANDBETWEEN(2979,3282)))</f>
        <v>88137946.724120349</v>
      </c>
      <c r="B2990">
        <v>198653009.78884771</v>
      </c>
    </row>
    <row r="2991" spans="1:2" x14ac:dyDescent="0.25">
      <c r="A2991">
        <f ca="1">28076.1955345061*((RANDBETWEEN(2979,3282)))</f>
        <v>91556473.638024494</v>
      </c>
      <c r="B2991">
        <v>185026175.42101473</v>
      </c>
    </row>
    <row r="2992" spans="1:2" x14ac:dyDescent="0.25">
      <c r="A2992">
        <f ca="1">29690.8191365109*((RANDBETWEEN(2979,3282)))</f>
        <v>89072457.409532666</v>
      </c>
      <c r="B2992">
        <v>147377536.56441227</v>
      </c>
    </row>
    <row r="2993" spans="1:2" x14ac:dyDescent="0.25">
      <c r="A2993">
        <f ca="1">27369.3858169306*((RANDBETWEEN(2979,3282)))</f>
        <v>82792392.096215159</v>
      </c>
      <c r="B2993">
        <v>152421255.2705847</v>
      </c>
    </row>
    <row r="2994" spans="1:2" x14ac:dyDescent="0.25">
      <c r="A2994">
        <f ca="1">28714.4954923232*((RANDBETWEEN(2979,3282)))</f>
        <v>93982543.746373907</v>
      </c>
      <c r="B2994">
        <v>152730249.35035327</v>
      </c>
    </row>
    <row r="2995" spans="1:2" x14ac:dyDescent="0.25">
      <c r="A2995">
        <f ca="1">30128.0668208915*((RANDBETWEEN(2979,3282)))</f>
        <v>96168789.292285666</v>
      </c>
      <c r="B2995">
        <v>162700060.04345703</v>
      </c>
    </row>
    <row r="2996" spans="1:2" x14ac:dyDescent="0.25">
      <c r="A2996">
        <f ca="1">26183.4457563337*((RANDBETWEEN(2979,3282)))</f>
        <v>78393236.594462991</v>
      </c>
      <c r="B2996">
        <v>144915644.65879959</v>
      </c>
    </row>
    <row r="2997" spans="1:2" x14ac:dyDescent="0.25">
      <c r="A2997">
        <f ca="1">27149.3992608733*((RANDBETWEEN(2979,3282)))</f>
        <v>81719691.775228679</v>
      </c>
      <c r="B2997">
        <v>145161784.11470968</v>
      </c>
    </row>
    <row r="2998" spans="1:2" x14ac:dyDescent="0.25">
      <c r="A2998">
        <f ca="1">30832.8226030413*((RANDBETWEEN(2979,3282)))</f>
        <v>93824279.181054756</v>
      </c>
      <c r="B2998">
        <v>150240878.11290208</v>
      </c>
    </row>
    <row r="2999" spans="1:2" x14ac:dyDescent="0.25">
      <c r="A2999">
        <f ca="1">29494.1092880217*((RANDBETWEEN(2979,3282)))</f>
        <v>96180290.388238698</v>
      </c>
      <c r="B2999">
        <v>159200377.68112645</v>
      </c>
    </row>
    <row r="3000" spans="1:2" x14ac:dyDescent="0.25">
      <c r="A3000">
        <f ca="1">28211.2262471484*((RANDBETWEEN(2979,3282)))</f>
        <v>92025020.018197984</v>
      </c>
      <c r="B3000">
        <v>145638976.67018676</v>
      </c>
    </row>
    <row r="3001" spans="1:2" x14ac:dyDescent="0.25">
      <c r="A3001">
        <f ca="1">30591.2392201147*((RANDBETWEEN(2979,3282)))</f>
        <v>96637724.696342289</v>
      </c>
      <c r="B3001">
        <v>161554148.65627867</v>
      </c>
    </row>
    <row r="3002" spans="1:2" x14ac:dyDescent="0.25">
      <c r="A3002">
        <f ca="1">26499.0263290991*((RANDBETWEEN(2979,3282)))</f>
        <v>86890307.333115891</v>
      </c>
      <c r="B3002">
        <v>148552203.60023299</v>
      </c>
    </row>
    <row r="3003" spans="1:2" x14ac:dyDescent="0.25">
      <c r="A3003">
        <f ca="1">26342.0758870518*((RANDBETWEEN(2979,3282)))</f>
        <v>79790147.86187996</v>
      </c>
      <c r="B3003">
        <v>143292397.4363941</v>
      </c>
    </row>
    <row r="3004" spans="1:2" x14ac:dyDescent="0.25">
      <c r="A3004">
        <f ca="1">27560.7246528669*((RANDBETWEEN(2979,3282)))</f>
        <v>85879218.018333301</v>
      </c>
      <c r="B3004">
        <v>155823018.94310132</v>
      </c>
    </row>
    <row r="3005" spans="1:2" x14ac:dyDescent="0.25">
      <c r="A3005">
        <f ca="1">31816.5324555489*((RANDBETWEEN(2979,3282)))</f>
        <v>98408534.885012716</v>
      </c>
      <c r="B3005">
        <v>166771929.44846761</v>
      </c>
    </row>
    <row r="3006" spans="1:2" x14ac:dyDescent="0.25">
      <c r="A3006">
        <f ca="1">27271.7326720939*((RANDBETWEEN(2979,3282)))</f>
        <v>82933339.055837587</v>
      </c>
      <c r="B3006">
        <v>146397860.72915548</v>
      </c>
    </row>
    <row r="3007" spans="1:2" x14ac:dyDescent="0.25">
      <c r="A3007">
        <f ca="1">29193.3823537288*((RANDBETWEEN(2979,3282)))</f>
        <v>90587065.443620577</v>
      </c>
      <c r="B3007">
        <v>163501919.11928847</v>
      </c>
    </row>
    <row r="3008" spans="1:2" x14ac:dyDescent="0.25">
      <c r="A3008">
        <f ca="1">29764.3252978477*((RANDBETWEEN(2979,3282)))</f>
        <v>94233853.89298588</v>
      </c>
      <c r="B3008">
        <v>159832692.66314292</v>
      </c>
    </row>
    <row r="3009" spans="1:2" x14ac:dyDescent="0.25">
      <c r="A3009">
        <f ca="1">27405.1108867332*((RANDBETWEEN(2979,3282)))</f>
        <v>83722613.758969784</v>
      </c>
      <c r="B3009">
        <v>150506812.86795336</v>
      </c>
    </row>
    <row r="3010" spans="1:2" x14ac:dyDescent="0.25">
      <c r="A3010">
        <f ca="1">27512.0168318362*((RANDBETWEEN(2979,3282)))</f>
        <v>83939163.353932172</v>
      </c>
      <c r="B3010">
        <v>173313103.685287</v>
      </c>
    </row>
    <row r="3011" spans="1:2" x14ac:dyDescent="0.25">
      <c r="A3011">
        <f ca="1">30930.2018279307*((RANDBETWEEN(2979,3282)))</f>
        <v>94151534.364221141</v>
      </c>
      <c r="B3011">
        <v>185704670.57838652</v>
      </c>
    </row>
    <row r="3012" spans="1:2" x14ac:dyDescent="0.25">
      <c r="A3012">
        <f ca="1">28987.9770985143*((RANDBETWEEN(2979,3282)))</f>
        <v>93370274.23431462</v>
      </c>
      <c r="B3012">
        <v>159577144.50306958</v>
      </c>
    </row>
    <row r="3013" spans="1:2" x14ac:dyDescent="0.25">
      <c r="A3013">
        <f ca="1">27887.7792941806*((RANDBETWEEN(2979,3282)))</f>
        <v>87874392.555962935</v>
      </c>
      <c r="B3013">
        <v>162364732.3253068</v>
      </c>
    </row>
    <row r="3014" spans="1:2" x14ac:dyDescent="0.25">
      <c r="A3014">
        <f ca="1">25980.6250032855*((RANDBETWEEN(2979,3282)))</f>
        <v>80903666.260231152</v>
      </c>
      <c r="B3014">
        <v>151857503.54543251</v>
      </c>
    </row>
    <row r="3015" spans="1:2" x14ac:dyDescent="0.25">
      <c r="A3015">
        <f ca="1">27949.4185194733*((RANDBETWEEN(2979,3282)))</f>
        <v>89382240.425275624</v>
      </c>
      <c r="B3015">
        <v>149618227.9247725</v>
      </c>
    </row>
    <row r="3016" spans="1:2" x14ac:dyDescent="0.25">
      <c r="A3016">
        <f ca="1">31626.6464287537*((RANDBETWEEN(2979,3282)))</f>
        <v>103482387.1148821</v>
      </c>
      <c r="B3016">
        <v>156058504.08776376</v>
      </c>
    </row>
    <row r="3017" spans="1:2" x14ac:dyDescent="0.25">
      <c r="A3017">
        <f ca="1">30926.71493773*((RANDBETWEEN(2979,3282)))</f>
        <v>96893397.89990811</v>
      </c>
      <c r="B3017">
        <v>151937170.42536035</v>
      </c>
    </row>
    <row r="3018" spans="1:2" x14ac:dyDescent="0.25">
      <c r="A3018">
        <f ca="1">27310.0575892664*((RANDBETWEEN(2979,3282)))</f>
        <v>83322985.704851851</v>
      </c>
      <c r="B3018">
        <v>149606134.20360202</v>
      </c>
    </row>
    <row r="3019" spans="1:2" x14ac:dyDescent="0.25">
      <c r="A3019">
        <f ca="1">26791.5676503504*((RANDBETWEEN(2979,3282)))</f>
        <v>82705569.336631626</v>
      </c>
      <c r="B3019">
        <v>154548753.56184059</v>
      </c>
    </row>
    <row r="3020" spans="1:2" x14ac:dyDescent="0.25">
      <c r="A3020">
        <f ca="1">34038.5514424012*((RANDBETWEEN(2979,3282)))</f>
        <v>102864502.45893651</v>
      </c>
      <c r="B3020">
        <v>197710901.17909881</v>
      </c>
    </row>
    <row r="3021" spans="1:2" x14ac:dyDescent="0.25">
      <c r="A3021">
        <f ca="1">28827.8142509278*((RANDBETWEEN(2979,3282)))</f>
        <v>92537283.745478153</v>
      </c>
      <c r="B3021">
        <v>197279924.16773301</v>
      </c>
    </row>
    <row r="3022" spans="1:2" x14ac:dyDescent="0.25">
      <c r="A3022">
        <f ca="1">31726.3343196868*((RANDBETWEEN(2979,3282)))</f>
        <v>97844015.04191412</v>
      </c>
      <c r="B3022">
        <v>169321961.44810003</v>
      </c>
    </row>
    <row r="3023" spans="1:2" x14ac:dyDescent="0.25">
      <c r="A3023">
        <f ca="1">26589.6243585796*((RANDBETWEEN(2979,3282)))</f>
        <v>84741132.830793232</v>
      </c>
      <c r="B3023">
        <v>196645957.32449943</v>
      </c>
    </row>
    <row r="3024" spans="1:2" x14ac:dyDescent="0.25">
      <c r="A3024">
        <f ca="1">26766.8141558699*((RANDBETWEEN(2979,3282)))</f>
        <v>87179513.70566833</v>
      </c>
      <c r="B3024">
        <v>199452074.88435364</v>
      </c>
    </row>
    <row r="3025" spans="1:2" x14ac:dyDescent="0.25">
      <c r="A3025">
        <f ca="1">28893.0249875735*((RANDBETWEEN(2979,3282)))</f>
        <v>91388638.035695061</v>
      </c>
      <c r="B3025">
        <v>167496831.37075645</v>
      </c>
    </row>
    <row r="3026" spans="1:2" x14ac:dyDescent="0.25">
      <c r="A3026">
        <f ca="1">25650.3003805105*((RANDBETWEEN(2979,3282)))</f>
        <v>83158273.83361496</v>
      </c>
      <c r="B3026">
        <v>167156667.42795023</v>
      </c>
    </row>
    <row r="3027" spans="1:2" x14ac:dyDescent="0.25">
      <c r="A3027">
        <f ca="1">26502.5980117616*((RANDBETWEEN(2979,3282)))</f>
        <v>81972535.65037857</v>
      </c>
      <c r="B3027">
        <v>153098548.34393144</v>
      </c>
    </row>
    <row r="3028" spans="1:2" x14ac:dyDescent="0.25">
      <c r="A3028">
        <f ca="1">29987.319457659*((RANDBETWEEN(2979,3282)))</f>
        <v>96799067.209323332</v>
      </c>
      <c r="B3028">
        <v>146823332.78993127</v>
      </c>
    </row>
    <row r="3029" spans="1:2" x14ac:dyDescent="0.25">
      <c r="A3029">
        <f ca="1">26104.002473558*((RANDBETWEEN(2979,3282)))</f>
        <v>84211511.979698256</v>
      </c>
      <c r="B3029">
        <v>150299446.63326716</v>
      </c>
    </row>
    <row r="3030" spans="1:2" x14ac:dyDescent="0.25">
      <c r="A3030">
        <f ca="1">29909.401648644*((RANDBETWEEN(2979,3282)))</f>
        <v>96308273.308633566</v>
      </c>
      <c r="B3030">
        <v>164298385.99624509</v>
      </c>
    </row>
    <row r="3031" spans="1:2" x14ac:dyDescent="0.25">
      <c r="A3031">
        <f ca="1">26443.3866595925*((RANDBETWEEN(2979,3282)))</f>
        <v>84830384.40397273</v>
      </c>
      <c r="B3031">
        <v>156489102.78007823</v>
      </c>
    </row>
    <row r="3032" spans="1:2" x14ac:dyDescent="0.25">
      <c r="A3032">
        <f ca="1">28595.1337552894*((RANDBETWEEN(2979,3282)))</f>
        <v>92848399.303424761</v>
      </c>
      <c r="B3032">
        <v>153129302.89931682</v>
      </c>
    </row>
    <row r="3033" spans="1:2" x14ac:dyDescent="0.25">
      <c r="A3033">
        <f ca="1">27715.8255801128*((RANDBETWEEN(2979,3282)))</f>
        <v>83092045.089178115</v>
      </c>
      <c r="B3033">
        <v>146298603.64736018</v>
      </c>
    </row>
    <row r="3034" spans="1:2" x14ac:dyDescent="0.25">
      <c r="A3034">
        <f ca="1">27626.4751215567*((RANDBETWEEN(2979,3282)))</f>
        <v>87769311.46118553</v>
      </c>
      <c r="B3034">
        <v>170092700.13795054</v>
      </c>
    </row>
    <row r="3035" spans="1:2" x14ac:dyDescent="0.25">
      <c r="A3035">
        <f ca="1">26284.3319780074*((RANDBETWEEN(2979,3282)))</f>
        <v>84031009.333689615</v>
      </c>
      <c r="B3035">
        <v>178572273.09384778</v>
      </c>
    </row>
    <row r="3036" spans="1:2" x14ac:dyDescent="0.25">
      <c r="A3036">
        <f ca="1">25043.417970084*((RANDBETWEEN(2979,3282)))</f>
        <v>75280514.418072477</v>
      </c>
      <c r="B3036">
        <v>150014446.97673503</v>
      </c>
    </row>
    <row r="3037" spans="1:2" x14ac:dyDescent="0.25">
      <c r="A3037">
        <f ca="1">28471.740444394*((RANDBETWEEN(2979,3282)))</f>
        <v>87265884.462067634</v>
      </c>
      <c r="B3037">
        <v>172476612.51294833</v>
      </c>
    </row>
    <row r="3038" spans="1:2" x14ac:dyDescent="0.25">
      <c r="A3038">
        <f ca="1">26724.9279558837*((RANDBETWEEN(2979,3282)))</f>
        <v>81404130.553621814</v>
      </c>
      <c r="B3038">
        <v>194705039.12046784</v>
      </c>
    </row>
    <row r="3039" spans="1:2" x14ac:dyDescent="0.25">
      <c r="A3039">
        <f ca="1">25892.2300520865*((RANDBETWEEN(2979,3282)))</f>
        <v>80369482.081676558</v>
      </c>
      <c r="B3039">
        <v>144306941.56506574</v>
      </c>
    </row>
    <row r="3040" spans="1:2" x14ac:dyDescent="0.25">
      <c r="A3040">
        <f ca="1">27165.9835349019*((RANDBETWEEN(2979,3282)))</f>
        <v>85681512.06908071</v>
      </c>
      <c r="B3040">
        <v>190721428.51536402</v>
      </c>
    </row>
    <row r="3041" spans="1:2" x14ac:dyDescent="0.25">
      <c r="A3041">
        <f ca="1">28110.773430243*((RANDBETWEEN(2979,3282)))</f>
        <v>85175643.493636206</v>
      </c>
      <c r="B3041">
        <v>147078782.43576008</v>
      </c>
    </row>
    <row r="3042" spans="1:2" x14ac:dyDescent="0.25">
      <c r="A3042">
        <f ca="1">26795.3710261674*((RANDBETWEEN(2979,3282)))</f>
        <v>84512600.216531977</v>
      </c>
      <c r="B3042">
        <v>173173415.05800614</v>
      </c>
    </row>
    <row r="3043" spans="1:2" x14ac:dyDescent="0.25">
      <c r="A3043">
        <f ca="1">27119.7211449371*((RANDBETWEEN(2979,3282)))</f>
        <v>81277804.27137661</v>
      </c>
      <c r="B3043">
        <v>148557790.26076597</v>
      </c>
    </row>
    <row r="3044" spans="1:2" x14ac:dyDescent="0.25">
      <c r="A3044">
        <f ca="1">28883.8174332832*((RANDBETWEEN(2979,3282)))</f>
        <v>88008991.719213933</v>
      </c>
      <c r="B3044">
        <v>157460176.29753047</v>
      </c>
    </row>
    <row r="3045" spans="1:2" x14ac:dyDescent="0.25">
      <c r="A3045">
        <f ca="1">31924.4562664483*((RANDBETWEEN(2979,3282)))</f>
        <v>97656911.719065472</v>
      </c>
      <c r="B3045">
        <v>187422362.83032936</v>
      </c>
    </row>
    <row r="3046" spans="1:2" x14ac:dyDescent="0.25">
      <c r="A3046">
        <f ca="1">27060.2322311453*((RANDBETWEEN(2979,3282)))</f>
        <v>87675152.428910762</v>
      </c>
      <c r="B3046">
        <v>179994921.81418383</v>
      </c>
    </row>
    <row r="3047" spans="1:2" x14ac:dyDescent="0.25">
      <c r="A3047">
        <f ca="1">27835.0080318514*((RANDBETWEEN(2979,3282)))</f>
        <v>89545220.838465944</v>
      </c>
      <c r="B3047">
        <v>177766995.94866902</v>
      </c>
    </row>
    <row r="3048" spans="1:2" x14ac:dyDescent="0.25">
      <c r="A3048">
        <f ca="1">24776.8708826891*((RANDBETWEEN(2979,3282)))</f>
        <v>80078846.692851335</v>
      </c>
      <c r="B3048">
        <v>157663654.84222633</v>
      </c>
    </row>
    <row r="3049" spans="1:2" x14ac:dyDescent="0.25">
      <c r="A3049">
        <f ca="1">26839.9192681488*((RANDBETWEEN(2979,3282)))</f>
        <v>83150069.892724976</v>
      </c>
      <c r="B3049">
        <v>147370803.98595592</v>
      </c>
    </row>
    <row r="3050" spans="1:2" x14ac:dyDescent="0.25">
      <c r="A3050">
        <f ca="1">31292.0589032884*((RANDBETWEEN(2979,3282)))</f>
        <v>93281627.590702653</v>
      </c>
      <c r="B3050">
        <v>199543383.34121031</v>
      </c>
    </row>
    <row r="3051" spans="1:2" x14ac:dyDescent="0.25">
      <c r="A3051">
        <f ca="1">27227.200520686*((RANDBETWEEN(2979,3282)))</f>
        <v>84839956.822457597</v>
      </c>
      <c r="B3051">
        <v>165549004.53076023</v>
      </c>
    </row>
    <row r="3052" spans="1:2" x14ac:dyDescent="0.25">
      <c r="A3052">
        <f ca="1">25878.4152750367*((RANDBETWEEN(2979,3282)))</f>
        <v>81387616.039990276</v>
      </c>
      <c r="B3052">
        <v>151070644.21715641</v>
      </c>
    </row>
    <row r="3053" spans="1:2" x14ac:dyDescent="0.25">
      <c r="A3053">
        <f ca="1">27215.8645646244*((RANDBETWEEN(2979,3282)))</f>
        <v>82491285.495376438</v>
      </c>
      <c r="B3053">
        <v>159423803.69604826</v>
      </c>
    </row>
    <row r="3054" spans="1:2" x14ac:dyDescent="0.25">
      <c r="A3054">
        <f ca="1">26760.259181754*((RANDBETWEEN(2979,3282)))</f>
        <v>87746889.856971443</v>
      </c>
      <c r="B3054">
        <v>168445280.16511646</v>
      </c>
    </row>
    <row r="3055" spans="1:2" x14ac:dyDescent="0.25">
      <c r="A3055">
        <f ca="1">25952.9353898176*((RANDBETWEEN(2979,3282)))</f>
        <v>81336499.511688337</v>
      </c>
      <c r="B3055">
        <v>157950940.44268072</v>
      </c>
    </row>
    <row r="3056" spans="1:2" x14ac:dyDescent="0.25">
      <c r="A3056">
        <f ca="1">27087.4123524591*((RANDBETWEEN(2979,3282)))</f>
        <v>87140205.537860945</v>
      </c>
      <c r="B3056">
        <v>190460720.8849628</v>
      </c>
    </row>
    <row r="3057" spans="1:2" x14ac:dyDescent="0.25">
      <c r="A3057">
        <f ca="1">30676.1923257556*((RANDBETWEEN(2979,3282)))</f>
        <v>97028796.326364949</v>
      </c>
      <c r="B3057">
        <v>163648590.97462279</v>
      </c>
    </row>
    <row r="3058" spans="1:2" x14ac:dyDescent="0.25">
      <c r="A3058">
        <f ca="1">28602.6862166265*((RANDBETWEEN(2979,3282)))</f>
        <v>88982956.81992507</v>
      </c>
      <c r="B3058">
        <v>154898463.84894815</v>
      </c>
    </row>
    <row r="3059" spans="1:2" x14ac:dyDescent="0.25">
      <c r="A3059">
        <f ca="1">28471.6422539283*((RANDBETWEEN(2979,3282)))</f>
        <v>85728114.82657811</v>
      </c>
      <c r="B3059">
        <v>194392895.73906067</v>
      </c>
    </row>
    <row r="3060" spans="1:2" x14ac:dyDescent="0.25">
      <c r="A3060">
        <f ca="1">28987.8353889624*((RANDBETWEEN(2979,3282)))</f>
        <v>91775486.841454908</v>
      </c>
      <c r="B3060">
        <v>177009509.22810435</v>
      </c>
    </row>
    <row r="3061" spans="1:2" x14ac:dyDescent="0.25">
      <c r="A3061">
        <f ca="1">27300.9830414056*((RANDBETWEEN(2979,3282)))</f>
        <v>83814017.937115282</v>
      </c>
      <c r="B3061">
        <v>176706151.61043426</v>
      </c>
    </row>
    <row r="3062" spans="1:2" x14ac:dyDescent="0.25">
      <c r="A3062">
        <f ca="1">31855.4803078531*((RANDBETWEEN(2979,3282)))</f>
        <v>99229821.158962265</v>
      </c>
      <c r="B3062">
        <v>176044619.51390621</v>
      </c>
    </row>
    <row r="3063" spans="1:2" x14ac:dyDescent="0.25">
      <c r="A3063">
        <f ca="1">25596.2854882739*((RANDBETWEEN(2979,3282)))</f>
        <v>80756280.715504095</v>
      </c>
      <c r="B3063">
        <v>148345879.66866422</v>
      </c>
    </row>
    <row r="3064" spans="1:2" x14ac:dyDescent="0.25">
      <c r="A3064">
        <f ca="1">26753.8641552006*((RANDBETWEEN(2979,3282)))</f>
        <v>85585611.432486847</v>
      </c>
      <c r="B3064">
        <v>195348811.52452669</v>
      </c>
    </row>
    <row r="3065" spans="1:2" x14ac:dyDescent="0.25">
      <c r="A3065">
        <f ca="1">29646.1613178068*((RANDBETWEEN(2979,3282)))</f>
        <v>89294237.889234066</v>
      </c>
      <c r="B3065">
        <v>154851996.49852335</v>
      </c>
    </row>
    <row r="3066" spans="1:2" x14ac:dyDescent="0.25">
      <c r="A3066">
        <f ca="1">26905.8364157491*((RANDBETWEEN(2979,3282)))</f>
        <v>83569527.907316759</v>
      </c>
      <c r="B3066">
        <v>150091901.11942011</v>
      </c>
    </row>
    <row r="3067" spans="1:2" x14ac:dyDescent="0.25">
      <c r="A3067">
        <f ca="1">32032.5135241981*((RANDBETWEEN(2979,3282)))</f>
        <v>96802255.87012662</v>
      </c>
      <c r="B3067">
        <v>173112304.46776032</v>
      </c>
    </row>
    <row r="3068" spans="1:2" x14ac:dyDescent="0.25">
      <c r="A3068">
        <f ca="1">26942.7149730141*((RANDBETWEEN(2979,3282)))</f>
        <v>86890255.787970588</v>
      </c>
      <c r="B3068">
        <v>188377894.75725579</v>
      </c>
    </row>
    <row r="3069" spans="1:2" x14ac:dyDescent="0.25">
      <c r="A3069">
        <f ca="1">32845.8188031734*((RANDBETWEEN(2979,3282)))</f>
        <v>104909545.25733583</v>
      </c>
      <c r="B3069">
        <v>184475108.02163678</v>
      </c>
    </row>
    <row r="3070" spans="1:2" x14ac:dyDescent="0.25">
      <c r="A3070">
        <f ca="1">30023.4298276624*((RANDBETWEEN(2979,3282)))</f>
        <v>98176615.536455989</v>
      </c>
      <c r="B3070">
        <v>169910444.93986517</v>
      </c>
    </row>
    <row r="3071" spans="1:2" x14ac:dyDescent="0.25">
      <c r="A3071">
        <f ca="1">26383.8128094115*((RANDBETWEEN(2979,3282)))</f>
        <v>85879310.694634289</v>
      </c>
      <c r="B3071">
        <v>153642445.55484265</v>
      </c>
    </row>
    <row r="3072" spans="1:2" x14ac:dyDescent="0.25">
      <c r="A3072">
        <f ca="1">30704.7238612356*((RANDBETWEEN(2979,3282)))</f>
        <v>93035313.299543828</v>
      </c>
      <c r="B3072">
        <v>151348867.01950735</v>
      </c>
    </row>
    <row r="3073" spans="1:2" x14ac:dyDescent="0.25">
      <c r="A3073">
        <f ca="1">26866.4745910548*((RANDBETWEEN(2979,3282)))</f>
        <v>82292011.672400951</v>
      </c>
      <c r="B3073">
        <v>143177862.67265832</v>
      </c>
    </row>
    <row r="3074" spans="1:2" x14ac:dyDescent="0.25">
      <c r="A3074">
        <f ca="1">29281.91444659*((RANDBETWEEN(2979,3282)))</f>
        <v>87933589.083109632</v>
      </c>
      <c r="B3074">
        <v>173188538.16865015</v>
      </c>
    </row>
    <row r="3075" spans="1:2" x14ac:dyDescent="0.25">
      <c r="A3075">
        <f ca="1">28142.6617677214*((RANDBETWEEN(2979,3282)))</f>
        <v>91604364.053933293</v>
      </c>
      <c r="B3075">
        <v>145571586.95038071</v>
      </c>
    </row>
    <row r="3076" spans="1:2" x14ac:dyDescent="0.25">
      <c r="A3076">
        <f ca="1">26603.8591687981*((RANDBETWEEN(2979,3282)))</f>
        <v>85132349.340153962</v>
      </c>
      <c r="B3076">
        <v>191726359.1990824</v>
      </c>
    </row>
    <row r="3077" spans="1:2" x14ac:dyDescent="0.25">
      <c r="A3077">
        <f ca="1">25852.1405754208*((RANDBETWEEN(2979,3282)))</f>
        <v>83476561.918033674</v>
      </c>
      <c r="B3077">
        <v>160211712.82182622</v>
      </c>
    </row>
    <row r="3078" spans="1:2" x14ac:dyDescent="0.25">
      <c r="A3078">
        <f ca="1">28650.9453311834*((RANDBETWEEN(2979,3282)))</f>
        <v>86525854.900173977</v>
      </c>
      <c r="B3078">
        <v>151827711.61600155</v>
      </c>
    </row>
    <row r="3079" spans="1:2" x14ac:dyDescent="0.25">
      <c r="A3079">
        <f ca="1">29311.8604731263*((RANDBETWEEN(2979,3282)))</f>
        <v>89606357.466347039</v>
      </c>
      <c r="B3079">
        <v>162471218.13013154</v>
      </c>
    </row>
    <row r="3080" spans="1:2" x14ac:dyDescent="0.25">
      <c r="A3080">
        <f ca="1">28010.959087514*((RANDBETWEEN(2979,3282)))</f>
        <v>84284975.894329727</v>
      </c>
      <c r="B3080">
        <v>165004946.82838926</v>
      </c>
    </row>
    <row r="3081" spans="1:2" x14ac:dyDescent="0.25">
      <c r="A3081">
        <f ca="1">28010.022880439*((RANDBETWEEN(2979,3282)))</f>
        <v>84814349.281969145</v>
      </c>
      <c r="B3081">
        <v>157616363.29954195</v>
      </c>
    </row>
    <row r="3082" spans="1:2" x14ac:dyDescent="0.25">
      <c r="A3082">
        <f ca="1">26694.3573525676*((RANDBETWEEN(2979,3282)))</f>
        <v>86543106.5370242</v>
      </c>
      <c r="B3082">
        <v>156368498.24567038</v>
      </c>
    </row>
    <row r="3083" spans="1:2" x14ac:dyDescent="0.25">
      <c r="A3083">
        <f ca="1">30235.3062039249*((RANDBETWEEN(2979,3282)))</f>
        <v>98174039.244144082</v>
      </c>
      <c r="B3083">
        <v>202153760.96384865</v>
      </c>
    </row>
    <row r="3084" spans="1:2" x14ac:dyDescent="0.25">
      <c r="A3084">
        <f ca="1">26238.6020480678*((RANDBETWEEN(2979,3282)))</f>
        <v>81890676.992019475</v>
      </c>
      <c r="B3084">
        <v>161152760.45113131</v>
      </c>
    </row>
    <row r="3085" spans="1:2" x14ac:dyDescent="0.25">
      <c r="A3085">
        <f ca="1">31498.8879197355*((RANDBETWEEN(2979,3282)))</f>
        <v>96166104.818952397</v>
      </c>
      <c r="B3085">
        <v>196642537.14483172</v>
      </c>
    </row>
    <row r="3086" spans="1:2" x14ac:dyDescent="0.25">
      <c r="A3086">
        <f ca="1">27441.9532629964*((RANDBETWEEN(2979,3282)))</f>
        <v>87457505.049169376</v>
      </c>
      <c r="B3086">
        <v>194092318.23862633</v>
      </c>
    </row>
    <row r="3087" spans="1:2" x14ac:dyDescent="0.25">
      <c r="A3087">
        <f ca="1">25958.8989877234*((RANDBETWEEN(2979,3282)))</f>
        <v>84963476.386818543</v>
      </c>
      <c r="B3087">
        <v>144529915.46010032</v>
      </c>
    </row>
    <row r="3088" spans="1:2" x14ac:dyDescent="0.25">
      <c r="A3088">
        <f ca="1">25602.6779739346*((RANDBETWEEN(2979,3282)))</f>
        <v>81493323.991033927</v>
      </c>
      <c r="B3088">
        <v>178799998.98255545</v>
      </c>
    </row>
    <row r="3089" spans="1:2" x14ac:dyDescent="0.25">
      <c r="A3089">
        <f ca="1">31821.326142257*((RANDBETWEEN(2979,3282)))</f>
        <v>103992093.83289595</v>
      </c>
      <c r="B3089">
        <v>156302950.05459687</v>
      </c>
    </row>
    <row r="3090" spans="1:2" x14ac:dyDescent="0.25">
      <c r="A3090">
        <f ca="1">29673.5568249299*((RANDBETWEEN(2979,3282)))</f>
        <v>89080017.588439688</v>
      </c>
      <c r="B3090">
        <v>186908148.92079651</v>
      </c>
    </row>
    <row r="3091" spans="1:2" x14ac:dyDescent="0.25">
      <c r="A3091">
        <f ca="1">29147.2094306425*((RANDBETWEEN(2979,3282)))</f>
        <v>88724105.506875828</v>
      </c>
      <c r="B3091">
        <v>179673334.44447044</v>
      </c>
    </row>
    <row r="3092" spans="1:2" x14ac:dyDescent="0.25">
      <c r="A3092">
        <f ca="1">28039.4935781868*((RANDBETWEEN(2979,3282)))</f>
        <v>91016196.154794261</v>
      </c>
      <c r="B3092">
        <v>194214868.85624856</v>
      </c>
    </row>
    <row r="3093" spans="1:2" x14ac:dyDescent="0.25">
      <c r="A3093">
        <f ca="1">26706.4847727404*((RANDBETWEEN(2979,3282)))</f>
        <v>84365785.397086948</v>
      </c>
      <c r="B3093">
        <v>145214083.53730005</v>
      </c>
    </row>
    <row r="3094" spans="1:2" x14ac:dyDescent="0.25">
      <c r="A3094">
        <f ca="1">26352.3582450232*((RANDBETWEEN(2979,3282)))</f>
        <v>79821293.124175176</v>
      </c>
      <c r="B3094">
        <v>175150075.11143056</v>
      </c>
    </row>
    <row r="3095" spans="1:2" x14ac:dyDescent="0.25">
      <c r="A3095">
        <f ca="1">30578.5089904743*((RANDBETWEEN(2979,3282)))</f>
        <v>99288418.692069963</v>
      </c>
      <c r="B3095">
        <v>166091451.00051683</v>
      </c>
    </row>
    <row r="3096" spans="1:2" x14ac:dyDescent="0.25">
      <c r="A3096">
        <f ca="1">26254.9042672563*((RANDBETWEEN(2979,3282)))</f>
        <v>83490595.569874957</v>
      </c>
      <c r="B3096">
        <v>146718927.77622274</v>
      </c>
    </row>
    <row r="3097" spans="1:2" x14ac:dyDescent="0.25">
      <c r="A3097">
        <f ca="1">26728.7289991341*((RANDBETWEEN(2979,3282)))</f>
        <v>80480203.016392767</v>
      </c>
      <c r="B3097">
        <v>167198747.85126451</v>
      </c>
    </row>
    <row r="3098" spans="1:2" x14ac:dyDescent="0.25">
      <c r="A3098">
        <f ca="1">26376.4308850904*((RANDBETWEEN(2979,3282)))</f>
        <v>83296768.735115454</v>
      </c>
      <c r="B3098">
        <v>151840182.11456352</v>
      </c>
    </row>
    <row r="3099" spans="1:2" x14ac:dyDescent="0.25">
      <c r="A3099">
        <f ca="1">30153.9731535668*((RANDBETWEEN(2979,3282)))</f>
        <v>91788694.279457271</v>
      </c>
      <c r="B3099">
        <v>175640771.03149575</v>
      </c>
    </row>
    <row r="3100" spans="1:2" x14ac:dyDescent="0.25">
      <c r="A3100">
        <f ca="1">26531.0262245091*((RANDBETWEEN(2979,3282)))</f>
        <v>86570738.570573196</v>
      </c>
      <c r="B3100">
        <v>157763543.61232781</v>
      </c>
    </row>
    <row r="3101" spans="1:2" x14ac:dyDescent="0.25">
      <c r="A3101">
        <f ca="1">29483.3997258477*((RANDBETWEEN(2979,3282)))</f>
        <v>95260864.514213815</v>
      </c>
      <c r="B3101">
        <v>171857797.07356277</v>
      </c>
    </row>
    <row r="3102" spans="1:2" x14ac:dyDescent="0.25">
      <c r="A3102">
        <f ca="1">27977.9722569144*((RANDBETWEEN(2979,3282)))</f>
        <v>89753335.000181407</v>
      </c>
      <c r="B3102">
        <v>184193790.45368692</v>
      </c>
    </row>
    <row r="3103" spans="1:2" x14ac:dyDescent="0.25">
      <c r="A3103">
        <f ca="1">26137.0691001713*((RANDBETWEEN(2979,3282)))</f>
        <v>80632858.174028322</v>
      </c>
      <c r="B3103">
        <v>157819320.37915727</v>
      </c>
    </row>
    <row r="3104" spans="1:2" x14ac:dyDescent="0.25">
      <c r="A3104">
        <f ca="1">27435.5399869297*((RANDBETWEEN(2979,3282)))</f>
        <v>84035058.979965776</v>
      </c>
      <c r="B3104">
        <v>174131042.45427394</v>
      </c>
    </row>
    <row r="3105" spans="1:2" x14ac:dyDescent="0.25">
      <c r="A3105">
        <f ca="1">32126.2010725694*((RANDBETWEEN(2979,3282)))</f>
        <v>97631525.059538379</v>
      </c>
      <c r="B3105">
        <v>188493916.45235437</v>
      </c>
    </row>
    <row r="3106" spans="1:2" x14ac:dyDescent="0.25">
      <c r="A3106">
        <f ca="1">25140.3957924297*((RANDBETWEEN(2979,3282)))</f>
        <v>80147581.786266014</v>
      </c>
      <c r="B3106">
        <v>192359165.31235451</v>
      </c>
    </row>
    <row r="3107" spans="1:2" x14ac:dyDescent="0.25">
      <c r="A3107">
        <f ca="1">25893.3562298427*((RANDBETWEEN(2979,3282)))</f>
        <v>77162201.564931363</v>
      </c>
      <c r="B3107">
        <v>145093243.23308653</v>
      </c>
    </row>
    <row r="3108" spans="1:2" x14ac:dyDescent="0.25">
      <c r="A3108">
        <f ca="1">27570.0336343099*((RANDBETWEEN(2979,3282)))</f>
        <v>86046074.97268109</v>
      </c>
      <c r="B3108">
        <v>156751316.41410458</v>
      </c>
    </row>
    <row r="3109" spans="1:2" x14ac:dyDescent="0.25">
      <c r="A3109">
        <f ca="1">26660.3526376346*((RANDBETWEEN(2979,3282)))</f>
        <v>85686373.377357721</v>
      </c>
      <c r="B3109">
        <v>181341124.83471316</v>
      </c>
    </row>
    <row r="3110" spans="1:2" x14ac:dyDescent="0.25">
      <c r="A3110">
        <f ca="1">28058.2011492178*((RANDBETWEEN(2979,3282)))</f>
        <v>89842360.079795301</v>
      </c>
      <c r="B3110">
        <v>188604716.91036528</v>
      </c>
    </row>
    <row r="3111" spans="1:2" x14ac:dyDescent="0.25">
      <c r="A3111">
        <f ca="1">28709.2480078187*((RANDBETWEEN(2979,3282)))</f>
        <v>86989021.463690713</v>
      </c>
      <c r="B3111">
        <v>190396744.6749106</v>
      </c>
    </row>
    <row r="3112" spans="1:2" x14ac:dyDescent="0.25">
      <c r="A3112">
        <f ca="1">26763.350233071*((RANDBETWEEN(2979,3282)))</f>
        <v>87114705.008646205</v>
      </c>
      <c r="B3112">
        <v>176351172.03353003</v>
      </c>
    </row>
    <row r="3113" spans="1:2" x14ac:dyDescent="0.25">
      <c r="A3113">
        <f ca="1">29766.0791470597*((RANDBETWEEN(2979,3282)))</f>
        <v>89953091.182414442</v>
      </c>
      <c r="B3113">
        <v>182522827.42542389</v>
      </c>
    </row>
    <row r="3114" spans="1:2" x14ac:dyDescent="0.25">
      <c r="A3114">
        <f ca="1">28233.248902017*((RANDBETWEEN(2979,3282)))</f>
        <v>84727979.954952925</v>
      </c>
      <c r="B3114">
        <v>187676630.64651579</v>
      </c>
    </row>
    <row r="3115" spans="1:2" x14ac:dyDescent="0.25">
      <c r="A3115">
        <f ca="1">28198.3488227138*((RANDBETWEEN(2979,3282)))</f>
        <v>90460303.023265854</v>
      </c>
      <c r="B3115">
        <v>162308943.57733041</v>
      </c>
    </row>
    <row r="3116" spans="1:2" x14ac:dyDescent="0.25">
      <c r="A3116">
        <f ca="1">26642.1266773763*((RANDBETWEEN(2979,3282)))</f>
        <v>83842772.653703064</v>
      </c>
      <c r="B3116">
        <v>196122831.0383223</v>
      </c>
    </row>
    <row r="3117" spans="1:2" x14ac:dyDescent="0.25">
      <c r="A3117">
        <f ca="1">26211.9502387807*((RANDBETWEEN(2979,3282)))</f>
        <v>83144306.157412484</v>
      </c>
      <c r="B3117">
        <v>149119956.45474064</v>
      </c>
    </row>
    <row r="3118" spans="1:2" x14ac:dyDescent="0.25">
      <c r="A3118">
        <f ca="1">28695.6808539654*((RANDBETWEEN(2979,3282)))</f>
        <v>91252265.115609944</v>
      </c>
      <c r="B3118">
        <v>173081875.54558945</v>
      </c>
    </row>
    <row r="3119" spans="1:2" x14ac:dyDescent="0.25">
      <c r="A3119">
        <f ca="1">26522.3758664444*((RANDBETWEEN(2979,3282)))</f>
        <v>82749812.703306645</v>
      </c>
      <c r="B3119">
        <v>148879174.86640576</v>
      </c>
    </row>
    <row r="3120" spans="1:2" x14ac:dyDescent="0.25">
      <c r="A3120">
        <f ca="1">28120.0367976385*((RANDBETWEEN(2979,3282)))</f>
        <v>89112396.611716315</v>
      </c>
      <c r="B3120">
        <v>171093721.12317303</v>
      </c>
    </row>
    <row r="3121" spans="1:2" x14ac:dyDescent="0.25">
      <c r="A3121">
        <f ca="1">33646.8064042397*((RANDBETWEEN(2979,3282)))</f>
        <v>108544597.46007726</v>
      </c>
      <c r="B3121">
        <v>183897477.41166928</v>
      </c>
    </row>
    <row r="3122" spans="1:2" x14ac:dyDescent="0.25">
      <c r="A3122">
        <f ca="1">26036.145314294*((RANDBETWEEN(2979,3282)))</f>
        <v>84669544.562083989</v>
      </c>
      <c r="B3122">
        <v>143507345.82895982</v>
      </c>
    </row>
    <row r="3123" spans="1:2" x14ac:dyDescent="0.25">
      <c r="A3123">
        <f ca="1">31413.6755667712*((RANDBETWEEN(2979,3282)))</f>
        <v>97602289.985958144</v>
      </c>
      <c r="B3123">
        <v>173383643.0575043</v>
      </c>
    </row>
    <row r="3124" spans="1:2" x14ac:dyDescent="0.25">
      <c r="A3124">
        <f ca="1">27649.6446810099*((RANDBETWEEN(2979,3282)))</f>
        <v>88644760.847317666</v>
      </c>
      <c r="B3124">
        <v>187202997.23266578</v>
      </c>
    </row>
    <row r="3125" spans="1:2" x14ac:dyDescent="0.25">
      <c r="A3125">
        <f ca="1">26575.535677484*((RANDBETWEEN(2979,3282)))</f>
        <v>86157886.666402996</v>
      </c>
      <c r="B3125">
        <v>199756334.27409789</v>
      </c>
    </row>
    <row r="3126" spans="1:2" x14ac:dyDescent="0.25">
      <c r="A3126">
        <f ca="1">30918.1007493009*((RANDBETWEEN(2979,3282)))</f>
        <v>101349534.25620839</v>
      </c>
      <c r="B3126">
        <v>151405517.64793408</v>
      </c>
    </row>
    <row r="3127" spans="1:2" x14ac:dyDescent="0.25">
      <c r="A3127">
        <f ca="1">31694.2855809185*((RANDBETWEEN(2979,3282)))</f>
        <v>95114551.028336436</v>
      </c>
      <c r="B3127">
        <v>162214238.53469315</v>
      </c>
    </row>
    <row r="3128" spans="1:2" x14ac:dyDescent="0.25">
      <c r="A3128">
        <f ca="1">26920.9089341104*((RANDBETWEEN(2979,3282)))</f>
        <v>83320213.151071787</v>
      </c>
      <c r="B3128">
        <v>171762596.18602031</v>
      </c>
    </row>
    <row r="3129" spans="1:2" x14ac:dyDescent="0.25">
      <c r="A3129">
        <f ca="1">25979.4812901959*((RANDBETWEEN(2979,3282)))</f>
        <v>78380095.052521124</v>
      </c>
      <c r="B3129">
        <v>160557468.14998376</v>
      </c>
    </row>
    <row r="3130" spans="1:2" x14ac:dyDescent="0.25">
      <c r="A3130">
        <f ca="1">26565.5796965756*((RANDBETWEEN(2979,3282)))</f>
        <v>79776435.828816488</v>
      </c>
      <c r="B3130">
        <v>147754055.01695019</v>
      </c>
    </row>
    <row r="3131" spans="1:2" x14ac:dyDescent="0.25">
      <c r="A3131">
        <f ca="1">29376.9018593733*((RANDBETWEEN(2979,3282)))</f>
        <v>92478487.053307161</v>
      </c>
      <c r="B3131">
        <v>195774177.24009636</v>
      </c>
    </row>
    <row r="3132" spans="1:2" x14ac:dyDescent="0.25">
      <c r="A3132">
        <f ca="1">29091.9785865788*((RANDBETWEEN(2979,3282)))</f>
        <v>93210699.391398609</v>
      </c>
      <c r="B3132">
        <v>178391995.04793537</v>
      </c>
    </row>
    <row r="3133" spans="1:2" x14ac:dyDescent="0.25">
      <c r="A3133">
        <f ca="1">26649.4404518795*((RANDBETWEEN(2979,3282)))</f>
        <v>86290888.183185875</v>
      </c>
      <c r="B3133">
        <v>175954480.59418657</v>
      </c>
    </row>
    <row r="3134" spans="1:2" x14ac:dyDescent="0.25">
      <c r="A3134">
        <f ca="1">29722.4943839955*((RANDBETWEEN(2979,3282)))</f>
        <v>95706431.91646561</v>
      </c>
      <c r="B3134">
        <v>188868725.76390561</v>
      </c>
    </row>
    <row r="3135" spans="1:2" x14ac:dyDescent="0.25">
      <c r="A3135">
        <f ca="1">26263.9326826779*((RANDBETWEEN(2979,3282)))</f>
        <v>84963822.228463054</v>
      </c>
      <c r="B3135">
        <v>166223908.33464807</v>
      </c>
    </row>
    <row r="3136" spans="1:2" x14ac:dyDescent="0.25">
      <c r="A3136">
        <f ca="1">26115.2466355136*((RANDBETWEEN(2979,3282)))</f>
        <v>84561168.605793014</v>
      </c>
      <c r="B3136">
        <v>144073565.43020537</v>
      </c>
    </row>
    <row r="3137" spans="1:2" x14ac:dyDescent="0.25">
      <c r="A3137">
        <f ca="1">30053.6516787707*((RANDBETWEEN(2979,3282)))</f>
        <v>95961309.810314953</v>
      </c>
      <c r="B3137">
        <v>161393817.64514378</v>
      </c>
    </row>
    <row r="3138" spans="1:2" x14ac:dyDescent="0.25">
      <c r="A3138">
        <f ca="1">28643.2692074357*((RANDBETWEEN(2979,3282)))</f>
        <v>92345899.924772725</v>
      </c>
      <c r="B3138">
        <v>158673835.57179412</v>
      </c>
    </row>
    <row r="3139" spans="1:2" x14ac:dyDescent="0.25">
      <c r="A3139">
        <f ca="1">27164.3116593305*((RANDBETWEEN(2979,3282)))</f>
        <v>82932643.495935902</v>
      </c>
      <c r="B3139">
        <v>155442073.69770563</v>
      </c>
    </row>
    <row r="3140" spans="1:2" x14ac:dyDescent="0.25">
      <c r="A3140">
        <f ca="1">26956.7648418208*((RANDBETWEEN(2979,3282)))</f>
        <v>87636442.500759363</v>
      </c>
      <c r="B3140">
        <v>149898214.18689573</v>
      </c>
    </row>
    <row r="3141" spans="1:2" x14ac:dyDescent="0.25">
      <c r="A3141">
        <f ca="1">27969.1424800917*((RANDBETWEEN(2979,3282)))</f>
        <v>87431539.392766759</v>
      </c>
      <c r="B3141">
        <v>191378830.28972244</v>
      </c>
    </row>
    <row r="3142" spans="1:2" x14ac:dyDescent="0.25">
      <c r="A3142">
        <f ca="1">29108.983512864*((RANDBETWEEN(2979,3282)))</f>
        <v>93468946.059806406</v>
      </c>
      <c r="B3142">
        <v>178430221.43725801</v>
      </c>
    </row>
    <row r="3143" spans="1:2" x14ac:dyDescent="0.25">
      <c r="A3143">
        <f ca="1">28172.8374002544*((RANDBETWEEN(2979,3282)))</f>
        <v>90519326.567017436</v>
      </c>
      <c r="B3143">
        <v>177850343.77331984</v>
      </c>
    </row>
    <row r="3144" spans="1:2" x14ac:dyDescent="0.25">
      <c r="A3144">
        <f ca="1">30274.9150371049*((RANDBETWEEN(2979,3282)))</f>
        <v>99241171.491629928</v>
      </c>
      <c r="B3144">
        <v>183877191.0642167</v>
      </c>
    </row>
    <row r="3145" spans="1:2" x14ac:dyDescent="0.25">
      <c r="A3145">
        <f ca="1">29822.3484707384*((RANDBETWEEN(2979,3282)))</f>
        <v>91912477.986815825</v>
      </c>
      <c r="B3145">
        <v>148756982.92135131</v>
      </c>
    </row>
    <row r="3146" spans="1:2" x14ac:dyDescent="0.25">
      <c r="A3146">
        <f ca="1">27571.445879215*((RANDBETWEEN(2979,3282)))</f>
        <v>83403623.784625262</v>
      </c>
      <c r="B3146">
        <v>158884531.80638194</v>
      </c>
    </row>
    <row r="3147" spans="1:2" x14ac:dyDescent="0.25">
      <c r="A3147">
        <f ca="1">25601.844987121*((RANDBETWEEN(2979,3282)))</f>
        <v>81157848.609173477</v>
      </c>
      <c r="B3147">
        <v>143648569.05612588</v>
      </c>
    </row>
    <row r="3148" spans="1:2" x14ac:dyDescent="0.25">
      <c r="A3148">
        <f ca="1">27077.5618225899*((RANDBETWEEN(2979,3282)))</f>
        <v>88245773.979820445</v>
      </c>
      <c r="B3148">
        <v>194174322.6052953</v>
      </c>
    </row>
    <row r="3149" spans="1:2" x14ac:dyDescent="0.25">
      <c r="A3149">
        <f ca="1">27525.8359900427*((RANDBETWEEN(2979,3282)))</f>
        <v>90202164.539369941</v>
      </c>
      <c r="B3149">
        <v>198742545.17632377</v>
      </c>
    </row>
    <row r="3150" spans="1:2" x14ac:dyDescent="0.25">
      <c r="A3150">
        <f ca="1">28240.2889700993*((RANDBETWEEN(2979,3282)))</f>
        <v>87121291.472756281</v>
      </c>
      <c r="B3150">
        <v>158576656.98374525</v>
      </c>
    </row>
    <row r="3151" spans="1:2" x14ac:dyDescent="0.25">
      <c r="A3151">
        <f ca="1">27246.075475262*((RANDBETWEEN(2979,3282)))</f>
        <v>83372990.954301819</v>
      </c>
      <c r="B3151">
        <v>200454182.26990092</v>
      </c>
    </row>
    <row r="3152" spans="1:2" x14ac:dyDescent="0.25">
      <c r="A3152">
        <f ca="1">25718.1542736398*((RANDBETWEEN(2979,3282)))</f>
        <v>79134760.699989974</v>
      </c>
      <c r="B3152">
        <v>160519111.58002305</v>
      </c>
    </row>
    <row r="3153" spans="1:2" x14ac:dyDescent="0.25">
      <c r="A3153">
        <f ca="1">26348.0416799185*((RANDBETWEEN(2979,3282)))</f>
        <v>84392777.500778973</v>
      </c>
      <c r="B3153">
        <v>159930207.65151462</v>
      </c>
    </row>
    <row r="3154" spans="1:2" x14ac:dyDescent="0.25">
      <c r="A3154">
        <f ca="1">24895.8311820038*((RANDBETWEEN(2979,3282)))</f>
        <v>80089888.912506089</v>
      </c>
      <c r="B3154">
        <v>149432710.05860049</v>
      </c>
    </row>
    <row r="3155" spans="1:2" x14ac:dyDescent="0.25">
      <c r="A3155">
        <f ca="1">27787.8382918525*((RANDBETWEEN(2979,3282)))</f>
        <v>84475028.407231495</v>
      </c>
      <c r="B3155">
        <v>201148717.6039812</v>
      </c>
    </row>
    <row r="3156" spans="1:2" x14ac:dyDescent="0.25">
      <c r="A3156">
        <f ca="1">30057.8956754812*((RANDBETWEEN(2979,3282)))</f>
        <v>90233802.817794576</v>
      </c>
      <c r="B3156">
        <v>156443789.07285661</v>
      </c>
    </row>
    <row r="3157" spans="1:2" x14ac:dyDescent="0.25">
      <c r="A3157">
        <f ca="1">26893.5511414255*((RANDBETWEEN(2979,3282)))</f>
        <v>86193831.408268601</v>
      </c>
      <c r="B3157">
        <v>156019927.77794343</v>
      </c>
    </row>
    <row r="3158" spans="1:2" x14ac:dyDescent="0.25">
      <c r="A3158">
        <f ca="1">26617.8238416697*((RANDBETWEEN(2979,3282)))</f>
        <v>84591444.168826327</v>
      </c>
      <c r="B3158">
        <v>170053400.18205014</v>
      </c>
    </row>
    <row r="3159" spans="1:2" x14ac:dyDescent="0.25">
      <c r="A3159">
        <f ca="1">29535.5175042607*((RANDBETWEEN(2979,3282)))</f>
        <v>90644503.220576093</v>
      </c>
      <c r="B3159">
        <v>166623737.2610625</v>
      </c>
    </row>
    <row r="3160" spans="1:2" x14ac:dyDescent="0.25">
      <c r="A3160">
        <f ca="1">27182.3756165743*((RANDBETWEEN(2979,3282)))</f>
        <v>81492762.098489672</v>
      </c>
      <c r="B3160">
        <v>176815049.98338354</v>
      </c>
    </row>
    <row r="3161" spans="1:2" x14ac:dyDescent="0.25">
      <c r="A3161">
        <f ca="1">26922.1139841319*((RANDBETWEEN(2979,3282)))</f>
        <v>85477711.899618924</v>
      </c>
      <c r="B3161">
        <v>180446683.08634895</v>
      </c>
    </row>
    <row r="3162" spans="1:2" x14ac:dyDescent="0.25">
      <c r="A3162">
        <f ca="1">26930.3292276779*((RANDBETWEEN(2979,3282)))</f>
        <v>84372721.47031492</v>
      </c>
      <c r="B3162">
        <v>176099321.35588858</v>
      </c>
    </row>
    <row r="3163" spans="1:2" x14ac:dyDescent="0.25">
      <c r="A3163">
        <f ca="1">27128.9843406306*((RANDBETWEEN(2979,3282)))</f>
        <v>84940849.970514536</v>
      </c>
      <c r="B3163">
        <v>143787374.52852634</v>
      </c>
    </row>
    <row r="3164" spans="1:2" x14ac:dyDescent="0.25">
      <c r="A3164">
        <f ca="1">26301.4369423538*((RANDBETWEEN(2979,3282)))</f>
        <v>81560755.958239272</v>
      </c>
      <c r="B3164">
        <v>153952055.3315078</v>
      </c>
    </row>
    <row r="3165" spans="1:2" x14ac:dyDescent="0.25">
      <c r="A3165">
        <f ca="1">25916.4660869349*((RANDBETWEEN(2979,3282)))</f>
        <v>79719049.683411673</v>
      </c>
      <c r="B3165">
        <v>143078370.42797023</v>
      </c>
    </row>
    <row r="3166" spans="1:2" x14ac:dyDescent="0.25">
      <c r="A3166">
        <f ca="1">28099.1209609307*((RANDBETWEEN(2979,3282)))</f>
        <v>84943642.664893568</v>
      </c>
      <c r="B3166">
        <v>146797221.8570691</v>
      </c>
    </row>
    <row r="3167" spans="1:2" x14ac:dyDescent="0.25">
      <c r="A3167">
        <f ca="1">26230.1941296139*((RANDBETWEEN(2979,3282)))</f>
        <v>81943126.460913867</v>
      </c>
      <c r="B3167">
        <v>169709672.30639082</v>
      </c>
    </row>
    <row r="3168" spans="1:2" x14ac:dyDescent="0.25">
      <c r="A3168">
        <f ca="1">25751.3132335152*((RANDBETWEEN(2979,3282)))</f>
        <v>81245393.251740396</v>
      </c>
      <c r="B3168">
        <v>148697956.97140265</v>
      </c>
    </row>
    <row r="3169" spans="1:2" x14ac:dyDescent="0.25">
      <c r="A3169">
        <f ca="1">26480.7062098163*((RANDBETWEEN(2979,3282)))</f>
        <v>82063708.544220686</v>
      </c>
      <c r="B3169">
        <v>193538923.3799305</v>
      </c>
    </row>
    <row r="3170" spans="1:2" x14ac:dyDescent="0.25">
      <c r="A3170">
        <f ca="1">27281.0674025382*((RANDBETWEEN(2979,3282)))</f>
        <v>85198773.498126775</v>
      </c>
      <c r="B3170">
        <v>153452849.7609131</v>
      </c>
    </row>
    <row r="3171" spans="1:2" x14ac:dyDescent="0.25">
      <c r="A3171">
        <f ca="1">26503.802479609*((RANDBETWEEN(2979,3282)))</f>
        <v>81843742.057032451</v>
      </c>
      <c r="B3171">
        <v>171649636.45559692</v>
      </c>
    </row>
    <row r="3172" spans="1:2" x14ac:dyDescent="0.25">
      <c r="A3172">
        <f ca="1">28657.5871326253*((RANDBETWEEN(2979,3282)))</f>
        <v>88322683.542751148</v>
      </c>
      <c r="B3172">
        <v>182996577.77226827</v>
      </c>
    </row>
    <row r="3173" spans="1:2" x14ac:dyDescent="0.25">
      <c r="A3173">
        <f ca="1">27269.4855397835*((RANDBETWEEN(2979,3282)))</f>
        <v>86989658.871909231</v>
      </c>
      <c r="B3173">
        <v>162217122.95216992</v>
      </c>
    </row>
    <row r="3174" spans="1:2" x14ac:dyDescent="0.25">
      <c r="A3174">
        <f ca="1">28823.4481534209*((RANDBETWEEN(2979,3282)))</f>
        <v>92609738.916941404</v>
      </c>
      <c r="B3174">
        <v>165228214.09489888</v>
      </c>
    </row>
    <row r="3175" spans="1:2" x14ac:dyDescent="0.25">
      <c r="A3175">
        <f ca="1">26679.4207135955*((RANDBETWEEN(2979,3282)))</f>
        <v>84387007.717102513</v>
      </c>
      <c r="B3175">
        <v>159432172.15993884</v>
      </c>
    </row>
    <row r="3176" spans="1:2" x14ac:dyDescent="0.25">
      <c r="A3176">
        <f ca="1">27934.6039285592*((RANDBETWEEN(2979,3282)))</f>
        <v>91234416.430674359</v>
      </c>
      <c r="B3176">
        <v>144878120.19093832</v>
      </c>
    </row>
    <row r="3177" spans="1:2" x14ac:dyDescent="0.25">
      <c r="A3177">
        <f ca="1">29065.9507465284*((RANDBETWEEN(2979,3282)))</f>
        <v>87691973.402276278</v>
      </c>
      <c r="B3177">
        <v>185480828.8772223</v>
      </c>
    </row>
    <row r="3178" spans="1:2" x14ac:dyDescent="0.25">
      <c r="A3178">
        <f ca="1">30532.7166277538*((RANDBETWEEN(2979,3282)))</f>
        <v>100025179.67252135</v>
      </c>
      <c r="B3178">
        <v>145158945.90333563</v>
      </c>
    </row>
    <row r="3179" spans="1:2" x14ac:dyDescent="0.25">
      <c r="A3179">
        <f ca="1">28370.9519222352*((RANDBETWEEN(2979,3282)))</f>
        <v>90588449.48769702</v>
      </c>
      <c r="B3179">
        <v>143286680.85478154</v>
      </c>
    </row>
    <row r="3180" spans="1:2" x14ac:dyDescent="0.25">
      <c r="A3180">
        <f ca="1">26223.2815309267*((RANDBETWEEN(2979,3282)))</f>
        <v>81947754.784145802</v>
      </c>
      <c r="B3180">
        <v>179525653.17332408</v>
      </c>
    </row>
    <row r="3181" spans="1:2" x14ac:dyDescent="0.25">
      <c r="A3181">
        <f ca="1">25743.7651481172*((RANDBETWEEN(2979,3282)))</f>
        <v>81247322.807457983</v>
      </c>
      <c r="B3181">
        <v>148632960.60220221</v>
      </c>
    </row>
    <row r="3182" spans="1:2" x14ac:dyDescent="0.25">
      <c r="A3182">
        <f ca="1">29043.5192923309*((RANDBETWEEN(2979,3282)))</f>
        <v>88437516.245147482</v>
      </c>
      <c r="B3182">
        <v>167372473.90862006</v>
      </c>
    </row>
    <row r="3183" spans="1:2" x14ac:dyDescent="0.25">
      <c r="A3183">
        <f ca="1">26480.1271938427*((RANDBETWEEN(2979,3282)))</f>
        <v>80155345.015761778</v>
      </c>
      <c r="B3183">
        <v>156252366.02706242</v>
      </c>
    </row>
    <row r="3184" spans="1:2" x14ac:dyDescent="0.25">
      <c r="A3184">
        <f ca="1">28711.3681617422*((RANDBETWEEN(2979,3282)))</f>
        <v>90957614.336399376</v>
      </c>
      <c r="B3184">
        <v>148116574.52345777</v>
      </c>
    </row>
    <row r="3185" spans="1:2" x14ac:dyDescent="0.25">
      <c r="A3185">
        <f ca="1">30512.6762071676*((RANDBETWEEN(2979,3282)))</f>
        <v>97732101.891557857</v>
      </c>
      <c r="B3185">
        <v>168138671.66115829</v>
      </c>
    </row>
    <row r="3186" spans="1:2" x14ac:dyDescent="0.25">
      <c r="A3186">
        <f ca="1">27195.6499070993*((RANDBETWEEN(2979,3282)))</f>
        <v>86645340.60401848</v>
      </c>
      <c r="B3186">
        <v>144339016.74575576</v>
      </c>
    </row>
    <row r="3187" spans="1:2" x14ac:dyDescent="0.25">
      <c r="A3187">
        <f ca="1">31321.02841424*((RANDBETWEEN(2979,3282)))</f>
        <v>95090642.265632764</v>
      </c>
      <c r="B3187">
        <v>159657723.16164702</v>
      </c>
    </row>
    <row r="3188" spans="1:2" x14ac:dyDescent="0.25">
      <c r="A3188">
        <f ca="1">26410.0421226582*((RANDBETWEEN(2979,3282)))</f>
        <v>85304436.056186035</v>
      </c>
      <c r="B3188">
        <v>145060039.0140948</v>
      </c>
    </row>
    <row r="3189" spans="1:2" x14ac:dyDescent="0.25">
      <c r="A3189">
        <f ca="1">28736.8455650308*((RANDBETWEEN(2979,3282)))</f>
        <v>90607274.066542134</v>
      </c>
      <c r="B3189">
        <v>179884491.77966666</v>
      </c>
    </row>
    <row r="3190" spans="1:2" x14ac:dyDescent="0.25">
      <c r="A3190">
        <f ca="1">26874.9644117485*((RANDBETWEEN(2979,3282)))</f>
        <v>84387388.252890185</v>
      </c>
      <c r="B3190">
        <v>171134354.09261033</v>
      </c>
    </row>
    <row r="3191" spans="1:2" x14ac:dyDescent="0.25">
      <c r="A3191">
        <f ca="1">32831.4771751814*((RANDBETWEEN(2979,3282)))</f>
        <v>99446544.363624364</v>
      </c>
      <c r="B3191">
        <v>200705261.20029387</v>
      </c>
    </row>
    <row r="3192" spans="1:2" x14ac:dyDescent="0.25">
      <c r="A3192">
        <f ca="1">26643.1799529926*((RANDBETWEEN(2979,3282)))</f>
        <v>81927778.355452344</v>
      </c>
      <c r="B3192">
        <v>147704988.49498421</v>
      </c>
    </row>
    <row r="3193" spans="1:2" x14ac:dyDescent="0.25">
      <c r="A3193">
        <f ca="1">31719.8836379223*((RANDBETWEEN(2979,3282)))</f>
        <v>101122989.03769629</v>
      </c>
      <c r="B3193">
        <v>172500279.7669878</v>
      </c>
    </row>
    <row r="3194" spans="1:2" x14ac:dyDescent="0.25">
      <c r="A3194">
        <f ca="1">28593.0096249437*((RANDBETWEEN(2979,3282)))</f>
        <v>87294458.384953067</v>
      </c>
      <c r="B3194">
        <v>184454957.89802349</v>
      </c>
    </row>
    <row r="3195" spans="1:2" x14ac:dyDescent="0.25">
      <c r="A3195">
        <f ca="1">30531.4594842117*((RANDBETWEEN(2979,3282)))</f>
        <v>99227243.323687866</v>
      </c>
      <c r="B3195">
        <v>189942315.61578441</v>
      </c>
    </row>
    <row r="3196" spans="1:2" x14ac:dyDescent="0.25">
      <c r="A3196">
        <f ca="1">26905.6750888141*((RANDBETWEEN(2979,3282)))</f>
        <v>85613858.132606477</v>
      </c>
      <c r="B3196">
        <v>169477362.69518259</v>
      </c>
    </row>
    <row r="3197" spans="1:2" x14ac:dyDescent="0.25">
      <c r="A3197">
        <f ca="1">26587.0584962735*((RANDBETWEEN(2979,3282)))</f>
        <v>81648856.642056003</v>
      </c>
      <c r="B3197">
        <v>176704250.88595647</v>
      </c>
    </row>
    <row r="3198" spans="1:2" x14ac:dyDescent="0.25">
      <c r="A3198">
        <f ca="1">29961.2005556049*((RANDBETWEEN(2979,3282)))</f>
        <v>93508906.934043035</v>
      </c>
      <c r="B3198">
        <v>166614795.66745609</v>
      </c>
    </row>
    <row r="3199" spans="1:2" x14ac:dyDescent="0.25">
      <c r="A3199">
        <f ca="1">30122.9371743611*((RANDBETWEEN(2979,3282)))</f>
        <v>93290736.42899619</v>
      </c>
      <c r="B3199">
        <v>159409222.5083352</v>
      </c>
    </row>
    <row r="3200" spans="1:2" x14ac:dyDescent="0.25">
      <c r="A3200">
        <f ca="1">26738.6406976702*((RANDBETWEEN(2979,3282)))</f>
        <v>83478036.258126393</v>
      </c>
      <c r="B3200">
        <v>190160052.78073257</v>
      </c>
    </row>
    <row r="3201" spans="1:2" x14ac:dyDescent="0.25">
      <c r="A3201">
        <f ca="1">27830.8145191608*((RANDBETWEEN(2979,3282)))</f>
        <v>88084527.953143865</v>
      </c>
      <c r="B3201">
        <v>177286601.07134497</v>
      </c>
    </row>
    <row r="3202" spans="1:2" x14ac:dyDescent="0.25">
      <c r="A3202">
        <f ca="1">28480.1026090007*((RANDBETWEEN(2979,3282)))</f>
        <v>90737606.912276253</v>
      </c>
      <c r="B3202">
        <v>155007381.93835387</v>
      </c>
    </row>
    <row r="3203" spans="1:2" x14ac:dyDescent="0.25">
      <c r="A3203">
        <f ca="1">27124.4245142279*((RANDBETWEEN(2979,3282)))</f>
        <v>83678849.626393199</v>
      </c>
      <c r="B3203">
        <v>152491072.75240427</v>
      </c>
    </row>
    <row r="3204" spans="1:2" x14ac:dyDescent="0.25">
      <c r="A3204">
        <f ca="1">26892.077108623*((RANDBETWEEN(2979,3282)))</f>
        <v>86565596.212657318</v>
      </c>
      <c r="B3204">
        <v>153482999.87565228</v>
      </c>
    </row>
    <row r="3205" spans="1:2" x14ac:dyDescent="0.25">
      <c r="A3205">
        <f ca="1">27281.0665074735*((RANDBETWEEN(2979,3282)))</f>
        <v>87353974.956930265</v>
      </c>
      <c r="B3205">
        <v>198499660.17846978</v>
      </c>
    </row>
    <row r="3206" spans="1:2" x14ac:dyDescent="0.25">
      <c r="A3206">
        <f ca="1">32144.3676636264*((RANDBETWEEN(2979,3282)))</f>
        <v>99004652.403969258</v>
      </c>
      <c r="B3206">
        <v>167085659.66962451</v>
      </c>
    </row>
    <row r="3207" spans="1:2" x14ac:dyDescent="0.25">
      <c r="A3207">
        <f ca="1">27431.2289616902*((RANDBETWEEN(2979,3282)))</f>
        <v>86353508.771400779</v>
      </c>
      <c r="B3207">
        <v>181725369.93744928</v>
      </c>
    </row>
    <row r="3208" spans="1:2" x14ac:dyDescent="0.25">
      <c r="A3208">
        <f ca="1">30873.4740231101*((RANDBETWEEN(2979,3282)))</f>
        <v>97560177.913027868</v>
      </c>
      <c r="B3208">
        <v>196837308.19225153</v>
      </c>
    </row>
    <row r="3209" spans="1:2" x14ac:dyDescent="0.25">
      <c r="A3209">
        <f ca="1">28637.2676933928*((RANDBETWEEN(2979,3282)))</f>
        <v>88002323.621796146</v>
      </c>
      <c r="B3209">
        <v>197826707.23140702</v>
      </c>
    </row>
    <row r="3210" spans="1:2" x14ac:dyDescent="0.25">
      <c r="A3210">
        <f ca="1">26332.3784218944*((RANDBETWEEN(2979,3282)))</f>
        <v>81525043.59418495</v>
      </c>
      <c r="B3210">
        <v>166805795.74570987</v>
      </c>
    </row>
    <row r="3211" spans="1:2" x14ac:dyDescent="0.25">
      <c r="A3211">
        <f ca="1">29301.296166885*((RANDBETWEEN(2979,3282)))</f>
        <v>91361441.448347524</v>
      </c>
      <c r="B3211">
        <v>157787927.8706581</v>
      </c>
    </row>
    <row r="3212" spans="1:2" x14ac:dyDescent="0.25">
      <c r="A3212">
        <f ca="1">26227.6297282424*((RANDBETWEEN(2979,3282)))</f>
        <v>79102531.260379225</v>
      </c>
      <c r="B3212">
        <v>148826715.00308302</v>
      </c>
    </row>
    <row r="3213" spans="1:2" x14ac:dyDescent="0.25">
      <c r="A3213">
        <f ca="1">26045.7422692894*((RANDBETWEEN(2979,3282)))</f>
        <v>78736278.880061984</v>
      </c>
      <c r="B3213">
        <v>143190010.39000174</v>
      </c>
    </row>
    <row r="3214" spans="1:2" x14ac:dyDescent="0.25">
      <c r="A3214">
        <f ca="1">28214.8594115332*((RANDBETWEEN(2979,3282)))</f>
        <v>90767202.726902157</v>
      </c>
      <c r="B3214">
        <v>156653169.17743114</v>
      </c>
    </row>
    <row r="3215" spans="1:2" x14ac:dyDescent="0.25">
      <c r="A3215">
        <f ca="1">26105.9272300684*((RANDBETWEEN(2979,3282)))</f>
        <v>81502704.812273502</v>
      </c>
      <c r="B3215">
        <v>150513692.54188752</v>
      </c>
    </row>
    <row r="3216" spans="1:2" x14ac:dyDescent="0.25">
      <c r="A3216">
        <f ca="1">27647.308707957*((RANDBETWEEN(2979,3282)))</f>
        <v>83246046.519658625</v>
      </c>
      <c r="B3216">
        <v>164194207.69940084</v>
      </c>
    </row>
    <row r="3217" spans="1:2" x14ac:dyDescent="0.25">
      <c r="A3217">
        <f ca="1">26122.0225076807*((RANDBETWEEN(2979,3282)))</f>
        <v>80847659.661271781</v>
      </c>
      <c r="B3217">
        <v>146641361.5276666</v>
      </c>
    </row>
    <row r="3218" spans="1:2" x14ac:dyDescent="0.25">
      <c r="A3218">
        <f ca="1">29406.5875235346*((RANDBETWEEN(2979,3282)))</f>
        <v>92483717.761516228</v>
      </c>
      <c r="B3218">
        <v>197250992.32563403</v>
      </c>
    </row>
    <row r="3219" spans="1:2" x14ac:dyDescent="0.25">
      <c r="A3219">
        <f ca="1">26773.4376724489*((RANDBETWEEN(2979,3282)))</f>
        <v>83051203.659936503</v>
      </c>
      <c r="B3219">
        <v>145520045.41408753</v>
      </c>
    </row>
    <row r="3220" spans="1:2" x14ac:dyDescent="0.25">
      <c r="A3220">
        <f ca="1">25876.7312732585*((RANDBETWEEN(2979,3282)))</f>
        <v>83866486.05663085</v>
      </c>
      <c r="B3220">
        <v>172981858.74869153</v>
      </c>
    </row>
    <row r="3221" spans="1:2" x14ac:dyDescent="0.25">
      <c r="A3221">
        <f ca="1">26670.0617932287*((RANDBETWEEN(2979,3282)))</f>
        <v>80703606.986310109</v>
      </c>
      <c r="B3221">
        <v>146356240.33029306</v>
      </c>
    </row>
    <row r="3222" spans="1:2" x14ac:dyDescent="0.25">
      <c r="A3222">
        <f ca="1">27742.3223319237*((RANDBETWEEN(2979,3282)))</f>
        <v>85862487.617303893</v>
      </c>
      <c r="B3222">
        <v>160496682.01880908</v>
      </c>
    </row>
    <row r="3223" spans="1:2" x14ac:dyDescent="0.25">
      <c r="A3223">
        <f ca="1">25966.5535349174*((RANDBETWEEN(2979,3282)))</f>
        <v>82963138.544060946</v>
      </c>
      <c r="B3223">
        <v>144247537.31033161</v>
      </c>
    </row>
    <row r="3224" spans="1:2" x14ac:dyDescent="0.25">
      <c r="A3224">
        <f ca="1">27653.0831579957*((RANDBETWEEN(2979,3282)))</f>
        <v>86941293.44873853</v>
      </c>
      <c r="B3224">
        <v>161632231.38413441</v>
      </c>
    </row>
    <row r="3225" spans="1:2" x14ac:dyDescent="0.25">
      <c r="A3225">
        <f ca="1">28468.5843534589*((RANDBETWEEN(2979,3282)))</f>
        <v>86658370.771928832</v>
      </c>
      <c r="B3225">
        <v>146022832.55085286</v>
      </c>
    </row>
    <row r="3226" spans="1:2" x14ac:dyDescent="0.25">
      <c r="A3226">
        <f ca="1">26874.6850865125*((RANDBETWEEN(2979,3282)))</f>
        <v>83069651.602410138</v>
      </c>
      <c r="B3226">
        <v>156384403.64384612</v>
      </c>
    </row>
    <row r="3227" spans="1:2" x14ac:dyDescent="0.25">
      <c r="A3227">
        <f ca="1">25645.0187047049*((RANDBETWEEN(2979,3282)))</f>
        <v>82910345.47231105</v>
      </c>
      <c r="B3227">
        <v>163480329.56798229</v>
      </c>
    </row>
    <row r="3228" spans="1:2" x14ac:dyDescent="0.25">
      <c r="A3228">
        <f ca="1">27106.0219280674*((RANDBETWEEN(2979,3282)))</f>
        <v>88636691.70478034</v>
      </c>
      <c r="B3228">
        <v>145605937.59179497</v>
      </c>
    </row>
    <row r="3229" spans="1:2" x14ac:dyDescent="0.25">
      <c r="A3229">
        <f ca="1">27740.8433413503*((RANDBETWEEN(2979,3282)))</f>
        <v>90462890.136143267</v>
      </c>
      <c r="B3229">
        <v>156014516.4356586</v>
      </c>
    </row>
    <row r="3230" spans="1:2" x14ac:dyDescent="0.25">
      <c r="A3230">
        <f ca="1">26393.7674987629*((RANDBETWEEN(2979,3282)))</f>
        <v>79471633.938775107</v>
      </c>
      <c r="B3230">
        <v>186789024.89290768</v>
      </c>
    </row>
    <row r="3231" spans="1:2" x14ac:dyDescent="0.25">
      <c r="A3231">
        <f ca="1">26664.8898871865*((RANDBETWEEN(2979,3282)))</f>
        <v>84821014.731140181</v>
      </c>
      <c r="B3231">
        <v>146921199.34912831</v>
      </c>
    </row>
    <row r="3232" spans="1:2" x14ac:dyDescent="0.25">
      <c r="A3232">
        <f ca="1">29521.6683473601*((RANDBETWEEN(2979,3282)))</f>
        <v>88092658.348522574</v>
      </c>
      <c r="B3232">
        <v>148289387.5917547</v>
      </c>
    </row>
    <row r="3233" spans="1:2" x14ac:dyDescent="0.25">
      <c r="A3233">
        <f ca="1">26473.1033819316*((RANDBETWEEN(2979,3282)))</f>
        <v>86858252.196117625</v>
      </c>
      <c r="B3233">
        <v>145690352.05687973</v>
      </c>
    </row>
    <row r="3234" spans="1:2" x14ac:dyDescent="0.25">
      <c r="A3234">
        <f ca="1">29727.3869964856*((RANDBETWEEN(2979,3282)))</f>
        <v>89776708.729386449</v>
      </c>
      <c r="B3234">
        <v>152615800.76153815</v>
      </c>
    </row>
    <row r="3235" spans="1:2" x14ac:dyDescent="0.25">
      <c r="A3235">
        <f ca="1">26286.0837817539*((RANDBETWEEN(2979,3282)))</f>
        <v>80619418.95863919</v>
      </c>
      <c r="B3235">
        <v>163906204.40417883</v>
      </c>
    </row>
    <row r="3236" spans="1:2" x14ac:dyDescent="0.25">
      <c r="A3236">
        <f ca="1">27416.6405261818*((RANDBETWEEN(2979,3282)))</f>
        <v>89542747.958509907</v>
      </c>
      <c r="B3236">
        <v>199057534.29089832</v>
      </c>
    </row>
    <row r="3237" spans="1:2" x14ac:dyDescent="0.25">
      <c r="A3237">
        <f ca="1">27071.0954076676*((RANDBETWEEN(2979,3282)))</f>
        <v>85301021.62956053</v>
      </c>
      <c r="B3237">
        <v>160227626.88117179</v>
      </c>
    </row>
    <row r="3238" spans="1:2" x14ac:dyDescent="0.25">
      <c r="A3238">
        <f ca="1">27050.9511765124*((RANDBETWEEN(2979,3282)))</f>
        <v>81071700.676007599</v>
      </c>
      <c r="B3238">
        <v>179282988.69665852</v>
      </c>
    </row>
    <row r="3239" spans="1:2" x14ac:dyDescent="0.25">
      <c r="A3239">
        <f ca="1">27103.9029207899*((RANDBETWEEN(2979,3282)))</f>
        <v>85350190.297567323</v>
      </c>
      <c r="B3239">
        <v>152953365.1013279</v>
      </c>
    </row>
    <row r="3240" spans="1:2" x14ac:dyDescent="0.25">
      <c r="A3240">
        <f ca="1">26483.226515008*((RANDBETWEEN(2979,3282)))</f>
        <v>79555612.451084122</v>
      </c>
      <c r="B3240">
        <v>180850151.08077252</v>
      </c>
    </row>
    <row r="3241" spans="1:2" x14ac:dyDescent="0.25">
      <c r="A3241">
        <f ca="1">29816.9100777222*((RANDBETWEEN(2979,3282)))</f>
        <v>91001209.557208151</v>
      </c>
      <c r="B3241">
        <v>194892279.82010812</v>
      </c>
    </row>
    <row r="3242" spans="1:2" x14ac:dyDescent="0.25">
      <c r="A3242">
        <f ca="1">29279.0360512317*((RANDBETWEEN(2979,3282)))</f>
        <v>92199684.52532877</v>
      </c>
      <c r="B3242">
        <v>144712634.90020448</v>
      </c>
    </row>
    <row r="3243" spans="1:2" x14ac:dyDescent="0.25">
      <c r="A3243">
        <f ca="1">27178.7442700854*((RANDBETWEEN(2979,3282)))</f>
        <v>82324416.394088805</v>
      </c>
      <c r="B3243">
        <v>161152350.61139789</v>
      </c>
    </row>
    <row r="3244" spans="1:2" x14ac:dyDescent="0.25">
      <c r="A3244">
        <f ca="1">26069.86831078*((RANDBETWEEN(2979,3282)))</f>
        <v>78991700.981663302</v>
      </c>
      <c r="B3244">
        <v>157162601.46174315</v>
      </c>
    </row>
    <row r="3245" spans="1:2" x14ac:dyDescent="0.25">
      <c r="A3245">
        <f ca="1">28394.0906491272*((RANDBETWEEN(2979,3282)))</f>
        <v>92621523.697452962</v>
      </c>
      <c r="B3245">
        <v>201552579.09452528</v>
      </c>
    </row>
    <row r="3246" spans="1:2" x14ac:dyDescent="0.25">
      <c r="A3246">
        <f ca="1">25375.1636203997*((RANDBETWEEN(2979,3282)))</f>
        <v>82875284.384225398</v>
      </c>
      <c r="B3246">
        <v>169255889.06148958</v>
      </c>
    </row>
    <row r="3247" spans="1:2" x14ac:dyDescent="0.25">
      <c r="A3247">
        <f ca="1">28043.242276747*((RANDBETWEEN(2979,3282)))</f>
        <v>86765791.604255274</v>
      </c>
      <c r="B3247">
        <v>167117681.5484584</v>
      </c>
    </row>
    <row r="3248" spans="1:2" x14ac:dyDescent="0.25">
      <c r="A3248">
        <f ca="1">28365.9047807231*((RANDBETWEEN(2979,3282)))</f>
        <v>84700591.675239339</v>
      </c>
      <c r="B3248">
        <v>177544059.90071052</v>
      </c>
    </row>
    <row r="3249" spans="1:2" x14ac:dyDescent="0.25">
      <c r="A3249">
        <f ca="1">29792.1008124365*((RANDBETWEEN(2979,3282)))</f>
        <v>97449961.757479802</v>
      </c>
      <c r="B3249">
        <v>195076073.97243321</v>
      </c>
    </row>
    <row r="3250" spans="1:2" x14ac:dyDescent="0.25">
      <c r="A3250">
        <f ca="1">29195.9571659659*((RANDBETWEEN(2979,3282)))</f>
        <v>95733543.547202215</v>
      </c>
      <c r="B3250">
        <v>161935509.19304433</v>
      </c>
    </row>
    <row r="3251" spans="1:2" x14ac:dyDescent="0.25">
      <c r="A3251">
        <f ca="1">28448.3030965689*((RANDBETWEEN(2979,3282)))</f>
        <v>92144053.729786575</v>
      </c>
      <c r="B3251">
        <v>158498468.41283408</v>
      </c>
    </row>
    <row r="3252" spans="1:2" x14ac:dyDescent="0.25">
      <c r="A3252">
        <f ca="1">29028.3502522809*((RANDBETWEEN(2979,3282)))</f>
        <v>92571408.954523921</v>
      </c>
      <c r="B3252">
        <v>181846661.40474564</v>
      </c>
    </row>
    <row r="3253" spans="1:2" x14ac:dyDescent="0.25">
      <c r="A3253">
        <f ca="1">27057.9767718719*((RANDBETWEEN(2979,3282)))</f>
        <v>85773786.366834015</v>
      </c>
      <c r="B3253">
        <v>142909495.34883603</v>
      </c>
    </row>
    <row r="3254" spans="1:2" x14ac:dyDescent="0.25">
      <c r="A3254">
        <f ca="1">26524.7267613672*((RANDBETWEEN(2979,3282)))</f>
        <v>86656282.329386562</v>
      </c>
      <c r="B3254">
        <v>150240220.8297292</v>
      </c>
    </row>
    <row r="3255" spans="1:2" x14ac:dyDescent="0.25">
      <c r="A3255">
        <f ca="1">27107.6496581041*((RANDBETWEEN(2979,3282)))</f>
        <v>85307773.474053636</v>
      </c>
      <c r="B3255">
        <v>152461174.23928985</v>
      </c>
    </row>
    <row r="3256" spans="1:2" x14ac:dyDescent="0.25">
      <c r="A3256">
        <f ca="1">27153.2333266891*((RANDBETWEEN(2979,3282)))</f>
        <v>82328603.446521312</v>
      </c>
      <c r="B3256">
        <v>181919153.89873815</v>
      </c>
    </row>
    <row r="3257" spans="1:2" x14ac:dyDescent="0.25">
      <c r="A3257">
        <f ca="1">29241.5732425084*((RANDBETWEEN(2979,3282)))</f>
        <v>92140197.287143871</v>
      </c>
      <c r="B3257">
        <v>171204768.46666178</v>
      </c>
    </row>
    <row r="3258" spans="1:2" x14ac:dyDescent="0.25">
      <c r="A3258">
        <f ca="1">28119.5818292158*((RANDBETWEEN(2979,3282)))</f>
        <v>88829758.998492584</v>
      </c>
      <c r="B3258">
        <v>202446165.88591397</v>
      </c>
    </row>
    <row r="3259" spans="1:2" x14ac:dyDescent="0.25">
      <c r="A3259">
        <f ca="1">26181.7411135118*((RANDBETWEEN(2979,3282)))</f>
        <v>85326294.288934901</v>
      </c>
      <c r="B3259">
        <v>165281129.72481248</v>
      </c>
    </row>
    <row r="3260" spans="1:2" x14ac:dyDescent="0.25">
      <c r="A3260">
        <f ca="1">27208.2294188619*((RANDBETWEEN(2979,3282)))</f>
        <v>82631392.745083734</v>
      </c>
      <c r="B3260">
        <v>161067659.43886933</v>
      </c>
    </row>
    <row r="3261" spans="1:2" x14ac:dyDescent="0.25">
      <c r="A3261">
        <f ca="1">25597.7053113102*((RANDBETWEEN(2979,3282)))</f>
        <v>77612242.503892615</v>
      </c>
      <c r="B3261">
        <v>169788896.03218856</v>
      </c>
    </row>
    <row r="3262" spans="1:2" x14ac:dyDescent="0.25">
      <c r="A3262">
        <f ca="1">26852.38492907*((RANDBETWEEN(2979,3282)))</f>
        <v>86760055.70582515</v>
      </c>
      <c r="B3262">
        <v>180462041.64416727</v>
      </c>
    </row>
    <row r="3263" spans="1:2" x14ac:dyDescent="0.25">
      <c r="A3263">
        <f ca="1">26882.517399698*((RANDBETWEEN(2979,3282)))</f>
        <v>82798153.591069996</v>
      </c>
      <c r="B3263">
        <v>166305927.50565058</v>
      </c>
    </row>
    <row r="3264" spans="1:2" x14ac:dyDescent="0.25">
      <c r="A3264">
        <f ca="1">29799.7627630652*((RANDBETWEEN(2979,3282)))</f>
        <v>91991867.649582312</v>
      </c>
      <c r="B3264">
        <v>188870052.93373594</v>
      </c>
    </row>
    <row r="3265" spans="1:2" x14ac:dyDescent="0.25">
      <c r="A3265">
        <f ca="1">27492.5910382442*((RANDBETWEEN(2979,3282)))</f>
        <v>87151513.591234148</v>
      </c>
      <c r="B3265">
        <v>169452051.08134371</v>
      </c>
    </row>
    <row r="3266" spans="1:2" x14ac:dyDescent="0.25">
      <c r="A3266">
        <f ca="1">31070.1541283809*((RANDBETWEEN(2979,3282)))</f>
        <v>94546479.012662947</v>
      </c>
      <c r="B3266">
        <v>164793351.56890005</v>
      </c>
    </row>
    <row r="3267" spans="1:2" x14ac:dyDescent="0.25">
      <c r="A3267">
        <f ca="1">27896.4356161507*((RANDBETWEEN(2979,3282)))</f>
        <v>88348011.596349418</v>
      </c>
      <c r="B3267">
        <v>189879893.8212885</v>
      </c>
    </row>
    <row r="3268" spans="1:2" x14ac:dyDescent="0.25">
      <c r="A3268">
        <f ca="1">27991.2756008321*((RANDBETWEEN(2979,3282)))</f>
        <v>84253739.558504641</v>
      </c>
      <c r="B3268">
        <v>184516906.56377921</v>
      </c>
    </row>
    <row r="3269" spans="1:2" x14ac:dyDescent="0.25">
      <c r="A3269">
        <f ca="1">26967.1393277354*((RANDBETWEEN(2979,3282)))</f>
        <v>85647634.504887581</v>
      </c>
      <c r="B3269">
        <v>174637834.13544226</v>
      </c>
    </row>
    <row r="3270" spans="1:2" x14ac:dyDescent="0.25">
      <c r="A3270">
        <f ca="1">33084.067789074*((RANDBETWEEN(2979,3282)))</f>
        <v>105571260.31493498</v>
      </c>
      <c r="B3270">
        <v>178478692.1895842</v>
      </c>
    </row>
    <row r="3271" spans="1:2" x14ac:dyDescent="0.25">
      <c r="A3271">
        <f ca="1">24989.348298432*((RANDBETWEEN(2979,3282)))</f>
        <v>79191244.75773105</v>
      </c>
      <c r="B3271">
        <v>153233466.82298911</v>
      </c>
    </row>
    <row r="3272" spans="1:2" x14ac:dyDescent="0.25">
      <c r="A3272">
        <f ca="1">29622.2102673005*((RANDBETWEEN(2979,3282)))</f>
        <v>92539784.87504679</v>
      </c>
      <c r="B3272">
        <v>188545251.0814926</v>
      </c>
    </row>
    <row r="3273" spans="1:2" x14ac:dyDescent="0.25">
      <c r="A3273">
        <f ca="1">26689.0302986395*((RANDBETWEEN(2979,3282)))</f>
        <v>84684293.137583002</v>
      </c>
      <c r="B3273">
        <v>177228466.1258125</v>
      </c>
    </row>
    <row r="3274" spans="1:2" x14ac:dyDescent="0.25">
      <c r="A3274">
        <f ca="1">31832.7281100687*((RANDBETWEEN(2979,3282)))</f>
        <v>99795602.625065446</v>
      </c>
      <c r="B3274">
        <v>143058091.86437717</v>
      </c>
    </row>
    <row r="3275" spans="1:2" x14ac:dyDescent="0.25">
      <c r="A3275">
        <f ca="1">27526.7751413342*((RANDBETWEEN(2979,3282)))</f>
        <v>82360111.222872078</v>
      </c>
      <c r="B3275">
        <v>155265281.9243027</v>
      </c>
    </row>
    <row r="3276" spans="1:2" x14ac:dyDescent="0.25">
      <c r="A3276">
        <f ca="1">29493.2151382347*((RANDBETWEEN(2979,3282)))</f>
        <v>96649266.007995233</v>
      </c>
      <c r="B3276">
        <v>168942623.444848</v>
      </c>
    </row>
    <row r="3277" spans="1:2" x14ac:dyDescent="0.25">
      <c r="A3277">
        <f ca="1">29055.1620733433*((RANDBETWEEN(2979,3282)))</f>
        <v>86903989.76136972</v>
      </c>
      <c r="B3277">
        <v>184618475.14176455</v>
      </c>
    </row>
    <row r="3278" spans="1:2" x14ac:dyDescent="0.25">
      <c r="A3278">
        <f ca="1">28299.9844907811*((RANDBETWEEN(2979,3282)))</f>
        <v>88635551.425126344</v>
      </c>
      <c r="B3278">
        <v>191844919.98784822</v>
      </c>
    </row>
    <row r="3279" spans="1:2" x14ac:dyDescent="0.25">
      <c r="A3279">
        <f ca="1">27338.0587856554*((RANDBETWEEN(2979,3282)))</f>
        <v>87454450.05531171</v>
      </c>
      <c r="B3279">
        <v>157129412.34182301</v>
      </c>
    </row>
    <row r="3280" spans="1:2" x14ac:dyDescent="0.25">
      <c r="A3280">
        <f ca="1">27301.4681971609*((RANDBETWEEN(2979,3282)))</f>
        <v>81767897.250497013</v>
      </c>
      <c r="B3280">
        <v>188871550.47451758</v>
      </c>
    </row>
    <row r="3281" spans="1:2" x14ac:dyDescent="0.25">
      <c r="A3281">
        <f ca="1">27021.1960848792*((RANDBETWEEN(2979,3282)))</f>
        <v>80820397.489873722</v>
      </c>
      <c r="B3281">
        <v>147735035.65791076</v>
      </c>
    </row>
    <row r="3282" spans="1:2" x14ac:dyDescent="0.25">
      <c r="A3282">
        <f ca="1">25934.7943674263*((RANDBETWEEN(2979,3282)))</f>
        <v>81824276.229230106</v>
      </c>
      <c r="B3282">
        <v>156969599.94240147</v>
      </c>
    </row>
    <row r="3283" spans="1:2" x14ac:dyDescent="0.25">
      <c r="A3283">
        <f ca="1">26327.2790000839*((RANDBETWEEN(2979,3282)))</f>
        <v>82562346.944263041</v>
      </c>
      <c r="B3283">
        <v>158860343.90353736</v>
      </c>
    </row>
    <row r="3284" spans="1:2" x14ac:dyDescent="0.25">
      <c r="A3284">
        <f ca="1">30631.9699179905*((RANDBETWEEN(2979,3282)))</f>
        <v>94407731.287246779</v>
      </c>
      <c r="B3284">
        <v>193317335.07384205</v>
      </c>
    </row>
    <row r="3285" spans="1:2" x14ac:dyDescent="0.25">
      <c r="A3285">
        <f ca="1">26022.8754198156*((RANDBETWEEN(2979,3282)))</f>
        <v>84496276.488141358</v>
      </c>
      <c r="B3285">
        <v>146091760.85795981</v>
      </c>
    </row>
    <row r="3286" spans="1:2" x14ac:dyDescent="0.25">
      <c r="A3286">
        <f ca="1">27468.2031780886*((RANDBETWEEN(2979,3282)))</f>
        <v>82322204.924731553</v>
      </c>
      <c r="B3286">
        <v>198106903.23495817</v>
      </c>
    </row>
    <row r="3287" spans="1:2" x14ac:dyDescent="0.25">
      <c r="A3287">
        <f ca="1">32934.5468259616*((RANDBETWEEN(2979,3282)))</f>
        <v>99363527.773926228</v>
      </c>
      <c r="B3287">
        <v>160727476.07542029</v>
      </c>
    </row>
    <row r="3288" spans="1:2" x14ac:dyDescent="0.25">
      <c r="A3288">
        <f ca="1">25689.6193464737*((RANDBETWEEN(2979,3282)))</f>
        <v>77813857.00046885</v>
      </c>
      <c r="B3288">
        <v>188719523.69283888</v>
      </c>
    </row>
    <row r="3289" spans="1:2" x14ac:dyDescent="0.25">
      <c r="A3289">
        <f ca="1">26586.4638963321*((RANDBETWEEN(2979,3282)))</f>
        <v>80796263.780953303</v>
      </c>
      <c r="B3289">
        <v>197011668.03313947</v>
      </c>
    </row>
    <row r="3290" spans="1:2" x14ac:dyDescent="0.25">
      <c r="A3290">
        <f ca="1">27066.7106470267*((RANDBETWEEN(2979,3282)))</f>
        <v>87939742.892189801</v>
      </c>
      <c r="B3290">
        <v>152641433.81310147</v>
      </c>
    </row>
    <row r="3291" spans="1:2" x14ac:dyDescent="0.25">
      <c r="A3291">
        <f ca="1">27904.1225205148*((RANDBETWEEN(2979,3282)))</f>
        <v>90883727.049316704</v>
      </c>
      <c r="B3291">
        <v>171050033.8060284</v>
      </c>
    </row>
    <row r="3292" spans="1:2" x14ac:dyDescent="0.25">
      <c r="A3292">
        <f ca="1">28511.3845129436*((RANDBETWEEN(2979,3282)))</f>
        <v>90409600.290544137</v>
      </c>
      <c r="B3292">
        <v>198754791.79481444</v>
      </c>
    </row>
    <row r="3293" spans="1:2" x14ac:dyDescent="0.25">
      <c r="A3293">
        <f ca="1">27467.3488612699*((RANDBETWEEN(2979,3282)))</f>
        <v>89186481.752543211</v>
      </c>
      <c r="B3293">
        <v>148363895.3754971</v>
      </c>
    </row>
    <row r="3294" spans="1:2" x14ac:dyDescent="0.25">
      <c r="A3294">
        <f ca="1">25992.6186331705*((RANDBETWEEN(2979,3282)))</f>
        <v>81772778.219954282</v>
      </c>
      <c r="B3294">
        <v>155837587.56396121</v>
      </c>
    </row>
    <row r="3295" spans="1:2" x14ac:dyDescent="0.25">
      <c r="A3295">
        <f ca="1">31413.6231829648*((RANDBETWEEN(2979,3282)))</f>
        <v>102565479.69238023</v>
      </c>
      <c r="B3295">
        <v>155707042.68775523</v>
      </c>
    </row>
    <row r="3296" spans="1:2" x14ac:dyDescent="0.25">
      <c r="A3296">
        <f ca="1">28086.1423703399*((RANDBETWEEN(2979,3282)))</f>
        <v>83949479.544946089</v>
      </c>
      <c r="B3296">
        <v>174898507.42818594</v>
      </c>
    </row>
    <row r="3297" spans="1:2" x14ac:dyDescent="0.25">
      <c r="A3297">
        <f ca="1">28322.3360889353*((RANDBETWEEN(2979,3282)))</f>
        <v>84428883.881116122</v>
      </c>
      <c r="B3297">
        <v>159863185.00818521</v>
      </c>
    </row>
    <row r="3298" spans="1:2" x14ac:dyDescent="0.25">
      <c r="A3298">
        <f ca="1">33456.2218562056*((RANDBETWEEN(2979,3282)))</f>
        <v>107662121.93326965</v>
      </c>
      <c r="B3298">
        <v>154327561.6325849</v>
      </c>
    </row>
    <row r="3299" spans="1:2" x14ac:dyDescent="0.25">
      <c r="A3299">
        <f ca="1">30725.6762261191*((RANDBETWEEN(2979,3282)))</f>
        <v>96662977.407370567</v>
      </c>
      <c r="B3299">
        <v>175344271.64041498</v>
      </c>
    </row>
    <row r="3300" spans="1:2" x14ac:dyDescent="0.25">
      <c r="A3300">
        <f ca="1">28746.2935269861*((RANDBETWEEN(2979,3282)))</f>
        <v>92189363.341044426</v>
      </c>
      <c r="B3300">
        <v>188991382.14599702</v>
      </c>
    </row>
    <row r="3301" spans="1:2" x14ac:dyDescent="0.25">
      <c r="A3301">
        <f ca="1">33757.8153830465*((RANDBETWEEN(2979,3282)))</f>
        <v>110489329.74871108</v>
      </c>
      <c r="B3301">
        <v>169084520.37497985</v>
      </c>
    </row>
    <row r="3302" spans="1:2" x14ac:dyDescent="0.25">
      <c r="A3302">
        <f ca="1">26088.4487613388*((RANDBETWEEN(2979,3282)))</f>
        <v>81839463.764319912</v>
      </c>
      <c r="B3302">
        <v>165990848.30833861</v>
      </c>
    </row>
    <row r="3303" spans="1:2" x14ac:dyDescent="0.25">
      <c r="A3303">
        <f ca="1">27663.8112025562*((RANDBETWEEN(2979,3282)))</f>
        <v>88164566.302546546</v>
      </c>
      <c r="B3303">
        <v>172555584.5692082</v>
      </c>
    </row>
    <row r="3304" spans="1:2" x14ac:dyDescent="0.25">
      <c r="A3304">
        <f ca="1">32121.0192182706*((RANDBETWEEN(2979,3282)))</f>
        <v>97294567.212141678</v>
      </c>
      <c r="B3304">
        <v>183239939.00976676</v>
      </c>
    </row>
    <row r="3305" spans="1:2" x14ac:dyDescent="0.25">
      <c r="A3305">
        <f ca="1">27173.150250988*((RANDBETWEEN(2979,3282)))</f>
        <v>84725882.482580706</v>
      </c>
      <c r="B3305">
        <v>150741199.69364697</v>
      </c>
    </row>
    <row r="3306" spans="1:2" x14ac:dyDescent="0.25">
      <c r="A3306">
        <f ca="1">27913.4852662023*((RANDBETWEEN(2979,3282)))</f>
        <v>84354552.474463269</v>
      </c>
      <c r="B3306">
        <v>167832455.89770326</v>
      </c>
    </row>
    <row r="3307" spans="1:2" x14ac:dyDescent="0.25">
      <c r="A3307">
        <f ca="1">27158.6709666848*((RANDBETWEEN(2979,3282)))</f>
        <v>81774758.280688077</v>
      </c>
      <c r="B3307">
        <v>163277291.20269823</v>
      </c>
    </row>
    <row r="3308" spans="1:2" x14ac:dyDescent="0.25">
      <c r="A3308">
        <f ca="1">26637.010404992*((RANDBETWEEN(2979,3282)))</f>
        <v>81349429.776845425</v>
      </c>
      <c r="B3308">
        <v>183652551.54428536</v>
      </c>
    </row>
    <row r="3309" spans="1:2" x14ac:dyDescent="0.25">
      <c r="A3309">
        <f ca="1">27469.4148804737*((RANDBETWEEN(2979,3282)))</f>
        <v>87545025.22406961</v>
      </c>
      <c r="B3309">
        <v>177896394.63652977</v>
      </c>
    </row>
    <row r="3310" spans="1:2" x14ac:dyDescent="0.25">
      <c r="A3310">
        <f ca="1">26021.2612257799*((RANDBETWEEN(2979,3282)))</f>
        <v>80509782.232562944</v>
      </c>
      <c r="B3310">
        <v>173049562.69634515</v>
      </c>
    </row>
    <row r="3311" spans="1:2" x14ac:dyDescent="0.25">
      <c r="A3311">
        <f ca="1">30743.2045492887*((RANDBETWEEN(2979,3282)))</f>
        <v>97425215.216695771</v>
      </c>
      <c r="B3311">
        <v>178510661.04488641</v>
      </c>
    </row>
    <row r="3312" spans="1:2" x14ac:dyDescent="0.25">
      <c r="A3312">
        <f ca="1">29046.636120673*((RANDBETWEEN(2979,3282)))</f>
        <v>93384935.127963692</v>
      </c>
      <c r="B3312">
        <v>173956398.86475107</v>
      </c>
    </row>
    <row r="3313" spans="1:2" x14ac:dyDescent="0.25">
      <c r="A3313">
        <f ca="1">26984.027693*((RANDBETWEEN(2979,3282)))</f>
        <v>82598108.768273145</v>
      </c>
      <c r="B3313">
        <v>193327170.95361614</v>
      </c>
    </row>
    <row r="3314" spans="1:2" x14ac:dyDescent="0.25">
      <c r="A3314">
        <f ca="1">27925.4418846212*((RANDBETWEEN(2979,3282)))</f>
        <v>89165935.937595442</v>
      </c>
      <c r="B3314">
        <v>150064146.80008605</v>
      </c>
    </row>
    <row r="3315" spans="1:2" x14ac:dyDescent="0.25">
      <c r="A3315">
        <f ca="1">25936.2992450221*((RANDBETWEEN(2979,3282)))</f>
        <v>77653279.939596295</v>
      </c>
      <c r="B3315">
        <v>154290200.40284491</v>
      </c>
    </row>
    <row r="3316" spans="1:2" x14ac:dyDescent="0.25">
      <c r="A3316">
        <f ca="1">27460.5355247851*((RANDBETWEEN(2979,3282)))</f>
        <v>81804935.328334942</v>
      </c>
      <c r="B3316">
        <v>167235182.08803162</v>
      </c>
    </row>
    <row r="3317" spans="1:2" x14ac:dyDescent="0.25">
      <c r="A3317">
        <f ca="1">29875.2046393596*((RANDBETWEEN(2979,3282)))</f>
        <v>92732635.200572282</v>
      </c>
      <c r="B3317">
        <v>159354337.64757425</v>
      </c>
    </row>
    <row r="3318" spans="1:2" x14ac:dyDescent="0.25">
      <c r="A3318">
        <f ca="1">25637.4572302149*((RANDBETWEEN(2979,3282)))</f>
        <v>82450062.45237124</v>
      </c>
      <c r="B3318">
        <v>156566514.95781109</v>
      </c>
    </row>
    <row r="3319" spans="1:2" x14ac:dyDescent="0.25">
      <c r="A3319">
        <f ca="1">29418.100228751*((RANDBETWEEN(2979,3282)))</f>
        <v>91872727.014389396</v>
      </c>
      <c r="B3319">
        <v>148358704.80566698</v>
      </c>
    </row>
    <row r="3320" spans="1:2" x14ac:dyDescent="0.25">
      <c r="A3320">
        <f ca="1">26883.2133674328*((RANDBETWEEN(2979,3282)))</f>
        <v>87209144.163951889</v>
      </c>
      <c r="B3320">
        <v>188543643.87192595</v>
      </c>
    </row>
    <row r="3321" spans="1:2" x14ac:dyDescent="0.25">
      <c r="A3321">
        <f ca="1">26943.801752039*((RANDBETWEEN(2979,3282)))</f>
        <v>87836793.711647213</v>
      </c>
      <c r="B3321">
        <v>160703355.86408338</v>
      </c>
    </row>
    <row r="3322" spans="1:2" x14ac:dyDescent="0.25">
      <c r="A3322">
        <f ca="1">31245.5327011149*((RANDBETWEEN(2979,3282)))</f>
        <v>99267057.391441971</v>
      </c>
      <c r="B3322">
        <v>199063547.77383232</v>
      </c>
    </row>
    <row r="3323" spans="1:2" x14ac:dyDescent="0.25">
      <c r="A3323">
        <f ca="1">28482.4811223992*((RANDBETWEEN(2979,3282)))</f>
        <v>89520438.167700753</v>
      </c>
      <c r="B3323">
        <v>183463386.23941895</v>
      </c>
    </row>
    <row r="3324" spans="1:2" x14ac:dyDescent="0.25">
      <c r="A3324">
        <f ca="1">27513.297026953*((RANDBETWEEN(2979,3282)))</f>
        <v>84273228.793557093</v>
      </c>
      <c r="B3324">
        <v>162319218.94105196</v>
      </c>
    </row>
    <row r="3325" spans="1:2" x14ac:dyDescent="0.25">
      <c r="A3325">
        <f ca="1">28622.5599638583*((RANDBETWEEN(2979,3282)))</f>
        <v>93595771.081816703</v>
      </c>
      <c r="B3325">
        <v>158683492.34407061</v>
      </c>
    </row>
    <row r="3326" spans="1:2" x14ac:dyDescent="0.25">
      <c r="A3326">
        <f ca="1">26296.1074381059*((RANDBETWEEN(2979,3282)))</f>
        <v>79493132.785394222</v>
      </c>
      <c r="B3326">
        <v>196216463.61718544</v>
      </c>
    </row>
    <row r="3327" spans="1:2" x14ac:dyDescent="0.25">
      <c r="A3327">
        <f ca="1">26236.9871394393*((RANDBETWEEN(2979,3282)))</f>
        <v>79340649.1096645</v>
      </c>
      <c r="B3327">
        <v>150229713.6825974</v>
      </c>
    </row>
    <row r="3328" spans="1:2" x14ac:dyDescent="0.25">
      <c r="A3328">
        <f ca="1">26462.6654648179*((RANDBETWEEN(2979,3282)))</f>
        <v>83648485.53428936</v>
      </c>
      <c r="B3328">
        <v>145253384.34807599</v>
      </c>
    </row>
    <row r="3329" spans="1:2" x14ac:dyDescent="0.25">
      <c r="A3329">
        <f ca="1">30161.5056916829*((RANDBETWEEN(2979,3282)))</f>
        <v>92173561.393782809</v>
      </c>
      <c r="B3329">
        <v>189556965.11691695</v>
      </c>
    </row>
    <row r="3330" spans="1:2" x14ac:dyDescent="0.25">
      <c r="A3330">
        <f ca="1">30325.0686523935*((RANDBETWEEN(2979,3282)))</f>
        <v>90490004.858742326</v>
      </c>
      <c r="B3330">
        <v>198502336.271561</v>
      </c>
    </row>
    <row r="3331" spans="1:2" x14ac:dyDescent="0.25">
      <c r="A3331">
        <f ca="1">27265.4261282611*((RANDBETWEEN(2979,3282)))</f>
        <v>82750568.299272493</v>
      </c>
      <c r="B3331">
        <v>195655452.89127073</v>
      </c>
    </row>
    <row r="3332" spans="1:2" x14ac:dyDescent="0.25">
      <c r="A3332">
        <f ca="1">25618.732182542*((RANDBETWEEN(2979,3282)))</f>
        <v>82517936.359967873</v>
      </c>
      <c r="B3332">
        <v>162118163.31332064</v>
      </c>
    </row>
    <row r="3333" spans="1:2" x14ac:dyDescent="0.25">
      <c r="A3333">
        <f ca="1">26988.794022935*((RANDBETWEEN(2979,3282)))</f>
        <v>81290247.597080275</v>
      </c>
      <c r="B3333">
        <v>182301332.45225459</v>
      </c>
    </row>
    <row r="3334" spans="1:2" x14ac:dyDescent="0.25">
      <c r="A3334">
        <f ca="1">27315.4331584433*((RANDBETWEEN(2979,3282)))</f>
        <v>82711131.603766233</v>
      </c>
      <c r="B3334">
        <v>176551390.10089928</v>
      </c>
    </row>
    <row r="3335" spans="1:2" x14ac:dyDescent="0.25">
      <c r="A3335">
        <f ca="1">26658.9499117411*((RANDBETWEEN(2979,3282)))</f>
        <v>84962073.368718892</v>
      </c>
      <c r="B3335">
        <v>157971595.73502272</v>
      </c>
    </row>
    <row r="3336" spans="1:2" x14ac:dyDescent="0.25">
      <c r="A3336">
        <f ca="1">30391.2341139328*((RANDBETWEEN(2979,3282)))</f>
        <v>94212825.753191546</v>
      </c>
      <c r="B3336">
        <v>156802552.94465294</v>
      </c>
    </row>
    <row r="3337" spans="1:2" x14ac:dyDescent="0.25">
      <c r="A3337">
        <f ca="1">27037.6551462934*((RANDBETWEEN(2979,3282)))</f>
        <v>88088680.466623768</v>
      </c>
      <c r="B3337">
        <v>154338758.93036675</v>
      </c>
    </row>
    <row r="3338" spans="1:2" x14ac:dyDescent="0.25">
      <c r="A3338">
        <f ca="1">31578.5793779035*((RANDBETWEEN(2979,3282)))</f>
        <v>101619868.43809353</v>
      </c>
      <c r="B3338">
        <v>147049268.52313018</v>
      </c>
    </row>
    <row r="3339" spans="1:2" x14ac:dyDescent="0.25">
      <c r="A3339">
        <f ca="1">28114.1295259529*((RANDBETWEEN(2979,3282)))</f>
        <v>87125687.400928006</v>
      </c>
      <c r="B3339">
        <v>171894129.9036622</v>
      </c>
    </row>
    <row r="3340" spans="1:2" x14ac:dyDescent="0.25">
      <c r="A3340">
        <f ca="1">30862.3594348072*((RANDBETWEEN(2979,3282)))</f>
        <v>94407957.511075109</v>
      </c>
      <c r="B3340">
        <v>169613856.14158666</v>
      </c>
    </row>
    <row r="3341" spans="1:2" x14ac:dyDescent="0.25">
      <c r="A3341">
        <f ca="1">26283.1263490719*((RANDBETWEEN(2979,3282)))</f>
        <v>80820613.523396224</v>
      </c>
      <c r="B3341">
        <v>153581457.45608702</v>
      </c>
    </row>
    <row r="3342" spans="1:2" x14ac:dyDescent="0.25">
      <c r="A3342">
        <f ca="1">27966.5642840542*((RANDBETWEEN(2979,3282)))</f>
        <v>89576905.401825711</v>
      </c>
      <c r="B3342">
        <v>200460810.98955184</v>
      </c>
    </row>
    <row r="3343" spans="1:2" x14ac:dyDescent="0.25">
      <c r="A3343">
        <f ca="1">28059.5458571392*((RANDBETWEEN(2979,3282)))</f>
        <v>88892641.27541706</v>
      </c>
      <c r="B3343">
        <v>182642880.24260378</v>
      </c>
    </row>
    <row r="3344" spans="1:2" x14ac:dyDescent="0.25">
      <c r="A3344">
        <f ca="1">31228.714358598*((RANDBETWEEN(2979,3282)))</f>
        <v>96809014.511653766</v>
      </c>
      <c r="B3344">
        <v>191219838.05276477</v>
      </c>
    </row>
    <row r="3345" spans="1:2" x14ac:dyDescent="0.25">
      <c r="A3345">
        <f ca="1">26707.5094751915*((RANDBETWEEN(2979,3282)))</f>
        <v>80149235.935049593</v>
      </c>
      <c r="B3345">
        <v>159748686.25264826</v>
      </c>
    </row>
    <row r="3346" spans="1:2" x14ac:dyDescent="0.25">
      <c r="A3346">
        <f ca="1">25852.4547769588*((RANDBETWEEN(2979,3282)))</f>
        <v>77764183.96909222</v>
      </c>
      <c r="B3346">
        <v>145898990.28009993</v>
      </c>
    </row>
    <row r="3347" spans="1:2" x14ac:dyDescent="0.25">
      <c r="A3347">
        <f ca="1">26610.2291143353*((RANDBETWEEN(2979,3282)))</f>
        <v>87015449.203876331</v>
      </c>
      <c r="B3347">
        <v>164823972.34858918</v>
      </c>
    </row>
    <row r="3348" spans="1:2" x14ac:dyDescent="0.25">
      <c r="A3348">
        <f ca="1">27695.6478414234*((RANDBETWEEN(2979,3282)))</f>
        <v>88321420.966299251</v>
      </c>
      <c r="B3348">
        <v>161464619.04241502</v>
      </c>
    </row>
    <row r="3349" spans="1:2" x14ac:dyDescent="0.25">
      <c r="A3349">
        <f ca="1">26540.7929989063*((RANDBETWEEN(2979,3282)))</f>
        <v>86390281.211439967</v>
      </c>
      <c r="B3349">
        <v>195743868.41948992</v>
      </c>
    </row>
    <row r="3350" spans="1:2" x14ac:dyDescent="0.25">
      <c r="A3350">
        <f ca="1">32232.421000477*((RANDBETWEEN(2979,3282)))</f>
        <v>105464481.51356065</v>
      </c>
      <c r="B3350">
        <v>181008418.70432794</v>
      </c>
    </row>
    <row r="3351" spans="1:2" x14ac:dyDescent="0.25">
      <c r="A3351">
        <f ca="1">27605.3102792137*((RANDBETWEEN(2979,3282)))</f>
        <v>85355619.38332884</v>
      </c>
      <c r="B3351">
        <v>160282601.74089959</v>
      </c>
    </row>
    <row r="3352" spans="1:2" x14ac:dyDescent="0.25">
      <c r="A3352">
        <f ca="1">25090.959939326*((RANDBETWEEN(2979,3282)))</f>
        <v>80993618.684144408</v>
      </c>
      <c r="B3352">
        <v>147474141.81009126</v>
      </c>
    </row>
    <row r="3353" spans="1:2" x14ac:dyDescent="0.25">
      <c r="A3353">
        <f ca="1">26598.3974397218*((RANDBETWEEN(2979,3282)))</f>
        <v>83226385.588889509</v>
      </c>
      <c r="B3353">
        <v>203208633.93433931</v>
      </c>
    </row>
    <row r="3354" spans="1:2" x14ac:dyDescent="0.25">
      <c r="A3354">
        <f ca="1">27260.6664681303*((RANDBETWEEN(2979,3282)))</f>
        <v>88597166.02142337</v>
      </c>
      <c r="B3354">
        <v>147885363.29631412</v>
      </c>
    </row>
    <row r="3355" spans="1:2" x14ac:dyDescent="0.25">
      <c r="A3355">
        <f ca="1">30189.5797141633*((RANDBETWEEN(2979,3282)))</f>
        <v>98267081.969601512</v>
      </c>
      <c r="B3355">
        <v>152498235.33732778</v>
      </c>
    </row>
    <row r="3356" spans="1:2" x14ac:dyDescent="0.25">
      <c r="A3356">
        <f ca="1">25855.9401795301*((RANDBETWEEN(2979,3282)))</f>
        <v>83540542.720061809</v>
      </c>
      <c r="B3356">
        <v>152083974.5951755</v>
      </c>
    </row>
    <row r="3357" spans="1:2" x14ac:dyDescent="0.25">
      <c r="A3357">
        <f ca="1">27127.5988225918*((RANDBETWEEN(2979,3282)))</f>
        <v>87405123.406390831</v>
      </c>
      <c r="B3357">
        <v>163410504.74070871</v>
      </c>
    </row>
    <row r="3358" spans="1:2" x14ac:dyDescent="0.25">
      <c r="A3358">
        <f ca="1">31116.726433231*((RANDBETWEEN(2979,3282)))</f>
        <v>100538143.10576923</v>
      </c>
      <c r="B3358">
        <v>168689301.67707485</v>
      </c>
    </row>
    <row r="3359" spans="1:2" x14ac:dyDescent="0.25">
      <c r="A3359">
        <f ca="1">28169.9642974472*((RANDBETWEEN(2979,3282)))</f>
        <v>90538265.251995414</v>
      </c>
      <c r="B3359">
        <v>189703948.25306696</v>
      </c>
    </row>
    <row r="3360" spans="1:2" x14ac:dyDescent="0.25">
      <c r="A3360">
        <f ca="1">31138.3889385219*((RANDBETWEEN(2979,3282)))</f>
        <v>95999653.097462937</v>
      </c>
      <c r="B3360">
        <v>198793110.12391758</v>
      </c>
    </row>
    <row r="3361" spans="1:2" x14ac:dyDescent="0.25">
      <c r="A3361">
        <f ca="1">30199.8894115676*((RANDBETWEEN(2979,3282)))</f>
        <v>97153044.237013027</v>
      </c>
      <c r="B3361">
        <v>199345292.15110666</v>
      </c>
    </row>
    <row r="3362" spans="1:2" x14ac:dyDescent="0.25">
      <c r="A3362">
        <f ca="1">26755.9472218643*((RANDBETWEEN(2979,3282)))</f>
        <v>84736084.851644263</v>
      </c>
      <c r="B3362">
        <v>164073962.33107501</v>
      </c>
    </row>
    <row r="3363" spans="1:2" x14ac:dyDescent="0.25">
      <c r="A3363">
        <f ca="1">29594.3757722239*((RANDBETWEEN(2979,3282)))</f>
        <v>90825139.244955212</v>
      </c>
      <c r="B3363">
        <v>182117605.14735359</v>
      </c>
    </row>
    <row r="3364" spans="1:2" x14ac:dyDescent="0.25">
      <c r="A3364">
        <f ca="1">32151.3306967339*((RANDBETWEEN(2979,3282)))</f>
        <v>99894184.474752113</v>
      </c>
      <c r="B3364">
        <v>152836225.01458856</v>
      </c>
    </row>
    <row r="3365" spans="1:2" x14ac:dyDescent="0.25">
      <c r="A3365">
        <f ca="1">29853.9620009386*((RANDBETWEEN(2979,3282)))</f>
        <v>94577351.618973508</v>
      </c>
      <c r="B3365">
        <v>167828394.4882412</v>
      </c>
    </row>
    <row r="3366" spans="1:2" x14ac:dyDescent="0.25">
      <c r="A3366">
        <f ca="1">28250.7568001326*((RANDBETWEEN(2979,3282)))</f>
        <v>85373787.050000727</v>
      </c>
      <c r="B3366">
        <v>162620240.56907201</v>
      </c>
    </row>
    <row r="3367" spans="1:2" x14ac:dyDescent="0.25">
      <c r="A3367">
        <f ca="1">26160.0270695701*((RANDBETWEEN(2979,3282)))</f>
        <v>83136566.027093753</v>
      </c>
      <c r="B3367">
        <v>151511885.11877602</v>
      </c>
    </row>
    <row r="3368" spans="1:2" x14ac:dyDescent="0.25">
      <c r="A3368">
        <f ca="1">28448.5213825308*((RANDBETWEEN(2979,3282)))</f>
        <v>87877482.550637722</v>
      </c>
      <c r="B3368">
        <v>155875766.84196222</v>
      </c>
    </row>
    <row r="3369" spans="1:2" x14ac:dyDescent="0.25">
      <c r="A3369">
        <f ca="1">31086.5326426459*((RANDBETWEEN(2979,3282)))</f>
        <v>99103866.064755037</v>
      </c>
      <c r="B3369">
        <v>200909795.33978668</v>
      </c>
    </row>
    <row r="3370" spans="1:2" x14ac:dyDescent="0.25">
      <c r="A3370">
        <f ca="1">26344.9313438577*((RANDBETWEEN(2979,3282)))</f>
        <v>84830678.927221894</v>
      </c>
      <c r="B3370">
        <v>163973828.02332839</v>
      </c>
    </row>
    <row r="3371" spans="1:2" x14ac:dyDescent="0.25">
      <c r="A3371">
        <f ca="1">27626.9007185427*((RANDBETWEEN(2979,3282)))</f>
        <v>83958151.283651292</v>
      </c>
      <c r="B3371">
        <v>174676135.24247015</v>
      </c>
    </row>
    <row r="3372" spans="1:2" x14ac:dyDescent="0.25">
      <c r="A3372">
        <f ca="1">32746.9264427689*((RANDBETWEEN(2979,3282)))</f>
        <v>98699236.298505321</v>
      </c>
      <c r="B3372">
        <v>156769267.236904</v>
      </c>
    </row>
    <row r="3373" spans="1:2" x14ac:dyDescent="0.25">
      <c r="A3373">
        <f ca="1">26947.6358470987*((RANDBETWEEN(2979,3282)))</f>
        <v>86852230.335199207</v>
      </c>
      <c r="B3373">
        <v>174103367.89146602</v>
      </c>
    </row>
    <row r="3374" spans="1:2" x14ac:dyDescent="0.25">
      <c r="A3374">
        <f ca="1">27095.2273232702*((RANDBETWEEN(2979,3282)))</f>
        <v>81014729.696577847</v>
      </c>
      <c r="B3374">
        <v>154377558.67474464</v>
      </c>
    </row>
    <row r="3375" spans="1:2" x14ac:dyDescent="0.25">
      <c r="A3375">
        <f ca="1">27567.4999465445*((RANDBETWEEN(2979,3282)))</f>
        <v>89263564.826910958</v>
      </c>
      <c r="B3375">
        <v>199711914.23313481</v>
      </c>
    </row>
    <row r="3376" spans="1:2" x14ac:dyDescent="0.25">
      <c r="A3376">
        <f ca="1">30940.8823519344*((RANDBETWEEN(2979,3282)))</f>
        <v>96133321.467460155</v>
      </c>
      <c r="B3376">
        <v>175517492.36512378</v>
      </c>
    </row>
    <row r="3377" spans="1:2" x14ac:dyDescent="0.25">
      <c r="A3377">
        <f ca="1">33128.9110363755*((RANDBETWEEN(2979,3282)))</f>
        <v>104223554.12043747</v>
      </c>
      <c r="B3377">
        <v>167259604.45417231</v>
      </c>
    </row>
    <row r="3378" spans="1:2" x14ac:dyDescent="0.25">
      <c r="A3378">
        <f ca="1">30034.7541843973*((RANDBETWEEN(2979,3282)))</f>
        <v>93678398.301135257</v>
      </c>
      <c r="B3378">
        <v>147180868.3742719</v>
      </c>
    </row>
    <row r="3379" spans="1:2" x14ac:dyDescent="0.25">
      <c r="A3379">
        <f ca="1">26446.6031405204*((RANDBETWEEN(2979,3282)))</f>
        <v>83465479.511482254</v>
      </c>
      <c r="B3379">
        <v>149972207.56335196</v>
      </c>
    </row>
    <row r="3380" spans="1:2" x14ac:dyDescent="0.25">
      <c r="A3380">
        <f ca="1">30977.3112420793*((RANDBETWEEN(2979,3282)))</f>
        <v>95348164.003120169</v>
      </c>
      <c r="B3380">
        <v>183236676.38019866</v>
      </c>
    </row>
    <row r="3381" spans="1:2" x14ac:dyDescent="0.25">
      <c r="A3381">
        <f ca="1">26568.1260114808*((RANDBETWEEN(2979,3282)))</f>
        <v>83105098.163911819</v>
      </c>
      <c r="B3381">
        <v>146618006.09434769</v>
      </c>
    </row>
    <row r="3382" spans="1:2" x14ac:dyDescent="0.25">
      <c r="A3382">
        <f ca="1">26937.4429902321*((RANDBETWEEN(2979,3282)))</f>
        <v>80273580.110891715</v>
      </c>
      <c r="B3382">
        <v>180029280.81300077</v>
      </c>
    </row>
    <row r="3383" spans="1:2" x14ac:dyDescent="0.25">
      <c r="A3383">
        <f ca="1">28151.9797622101*((RANDBETWEEN(2979,3282)))</f>
        <v>89382535.745017156</v>
      </c>
      <c r="B3383">
        <v>153961380.93013632</v>
      </c>
    </row>
    <row r="3384" spans="1:2" x14ac:dyDescent="0.25">
      <c r="A3384">
        <f ca="1">28182.6132092947*((RANDBETWEEN(2979,3282)))</f>
        <v>89451614.326301306</v>
      </c>
      <c r="B3384">
        <v>173896036.57698056</v>
      </c>
    </row>
    <row r="3385" spans="1:2" x14ac:dyDescent="0.25">
      <c r="A3385">
        <f ca="1">26398.8505981614*((RANDBETWEEN(2979,3282)))</f>
        <v>83499564.441984475</v>
      </c>
      <c r="B3385">
        <v>181436714.71431705</v>
      </c>
    </row>
    <row r="3386" spans="1:2" x14ac:dyDescent="0.25">
      <c r="A3386">
        <f ca="1">32912.1865732534*((RANDBETWEEN(2979,3282)))</f>
        <v>102159427.12337846</v>
      </c>
      <c r="B3386">
        <v>186705655.31259403</v>
      </c>
    </row>
    <row r="3387" spans="1:2" x14ac:dyDescent="0.25">
      <c r="A3387">
        <f ca="1">28178.1719084703*((RANDBETWEEN(2979,3282)))</f>
        <v>86929660.337630838</v>
      </c>
      <c r="B3387">
        <v>145840114.19550312</v>
      </c>
    </row>
    <row r="3388" spans="1:2" x14ac:dyDescent="0.25">
      <c r="A3388">
        <f ca="1">28886.7226930758*((RANDBETWEEN(2979,3282)))</f>
        <v>89115539.508139119</v>
      </c>
      <c r="B3388">
        <v>161871071.09386179</v>
      </c>
    </row>
    <row r="3389" spans="1:2" x14ac:dyDescent="0.25">
      <c r="A3389">
        <f ca="1">27194.8060263232*((RANDBETWEEN(2979,3282)))</f>
        <v>88247145.555418715</v>
      </c>
      <c r="B3389">
        <v>158415184.09548047</v>
      </c>
    </row>
    <row r="3390" spans="1:2" x14ac:dyDescent="0.25">
      <c r="A3390">
        <f ca="1">30863.207518536*((RANDBETWEEN(2979,3282)))</f>
        <v>93176023.498460248</v>
      </c>
      <c r="B3390">
        <v>168808043.94457006</v>
      </c>
    </row>
    <row r="3391" spans="1:2" x14ac:dyDescent="0.25">
      <c r="A3391">
        <f ca="1">29708.8724823447*((RANDBETWEEN(2979,3282)))</f>
        <v>93048188.61470367</v>
      </c>
      <c r="B3391">
        <v>165198253.51406798</v>
      </c>
    </row>
    <row r="3392" spans="1:2" x14ac:dyDescent="0.25">
      <c r="A3392">
        <f ca="1">26932.1167170186*((RANDBETWEEN(2979,3282)))</f>
        <v>82627734.087813139</v>
      </c>
      <c r="B3392">
        <v>154788135.25784069</v>
      </c>
    </row>
    <row r="3393" spans="1:2" x14ac:dyDescent="0.25">
      <c r="A3393">
        <f ca="1">29274.4432329248*((RANDBETWEEN(2979,3282)))</f>
        <v>88203897.460802302</v>
      </c>
      <c r="B3393">
        <v>196301001.95168206</v>
      </c>
    </row>
    <row r="3394" spans="1:2" x14ac:dyDescent="0.25">
      <c r="A3394">
        <f ca="1">26140.0200009987*((RANDBETWEEN(2979,3282)))</f>
        <v>79099700.5230221</v>
      </c>
      <c r="B3394">
        <v>153604303.06562534</v>
      </c>
    </row>
    <row r="3395" spans="1:2" x14ac:dyDescent="0.25">
      <c r="A3395">
        <f ca="1">27405.8500189721*((RANDBETWEEN(2979,3282)))</f>
        <v>83368595.75771305</v>
      </c>
      <c r="B3395">
        <v>163637631.93810353</v>
      </c>
    </row>
    <row r="3396" spans="1:2" x14ac:dyDescent="0.25">
      <c r="A3396">
        <f ca="1">27788.3870145109*((RANDBETWEEN(2979,3282)))</f>
        <v>87422265.547651306</v>
      </c>
      <c r="B3396">
        <v>186702994.86844325</v>
      </c>
    </row>
    <row r="3397" spans="1:2" x14ac:dyDescent="0.25">
      <c r="A3397">
        <f ca="1">28119.6311147454*((RANDBETWEEN(2979,3282)))</f>
        <v>92148031.163020536</v>
      </c>
      <c r="B3397">
        <v>191194673.26936379</v>
      </c>
    </row>
    <row r="3398" spans="1:2" x14ac:dyDescent="0.25">
      <c r="A3398">
        <f ca="1">30274.2350443488*((RANDBETWEEN(2979,3282)))</f>
        <v>98421538.129177868</v>
      </c>
      <c r="B3398">
        <v>155360028.50700894</v>
      </c>
    </row>
    <row r="3399" spans="1:2" x14ac:dyDescent="0.25">
      <c r="A3399">
        <f ca="1">27788.8626247985*((RANDBETWEEN(2979,3282)))</f>
        <v>87840594.756988212</v>
      </c>
      <c r="B3399">
        <v>153849982.77126223</v>
      </c>
    </row>
    <row r="3400" spans="1:2" x14ac:dyDescent="0.25">
      <c r="A3400">
        <f ca="1">26607.8467142378*((RANDBETWEEN(2979,3282)))</f>
        <v>79610677.36899963</v>
      </c>
      <c r="B3400">
        <v>142962913.29974869</v>
      </c>
    </row>
    <row r="3401" spans="1:2" x14ac:dyDescent="0.25">
      <c r="A3401">
        <f ca="1">26654.1788263933*((RANDBETWEEN(2979,3282)))</f>
        <v>82441375.110034481</v>
      </c>
      <c r="B3401">
        <v>168809175.23149931</v>
      </c>
    </row>
    <row r="3402" spans="1:2" x14ac:dyDescent="0.25">
      <c r="A3402">
        <f ca="1">26880.8577595291*((RANDBETWEEN(2979,3282)))</f>
        <v>87712238.869343385</v>
      </c>
      <c r="B3402">
        <v>143571237.99825501</v>
      </c>
    </row>
    <row r="3403" spans="1:2" x14ac:dyDescent="0.25">
      <c r="A3403">
        <f ca="1">25723.5926654464*((RANDBETWEEN(2979,3282)))</f>
        <v>79768860.85554935</v>
      </c>
      <c r="B3403">
        <v>156934714.53008845</v>
      </c>
    </row>
    <row r="3404" spans="1:2" x14ac:dyDescent="0.25">
      <c r="A3404">
        <f ca="1">30130.0258244605*((RANDBETWEEN(2979,3282)))</f>
        <v>95331401.708593056</v>
      </c>
      <c r="B3404">
        <v>191973846.82187381</v>
      </c>
    </row>
    <row r="3405" spans="1:2" x14ac:dyDescent="0.25">
      <c r="A3405">
        <f ca="1">28924.5889910726*((RANDBETWEEN(2979,3282)))</f>
        <v>90881058.60995023</v>
      </c>
      <c r="B3405">
        <v>197403187.19767064</v>
      </c>
    </row>
    <row r="3406" spans="1:2" x14ac:dyDescent="0.25">
      <c r="A3406">
        <f ca="1">29419.5813254321*((RANDBETWEEN(2979,3282)))</f>
        <v>89082492.253408507</v>
      </c>
      <c r="B3406">
        <v>197480405.01219758</v>
      </c>
    </row>
    <row r="3407" spans="1:2" x14ac:dyDescent="0.25">
      <c r="A3407">
        <f ca="1">30900.8701850585*((RANDBETWEEN(2979,3282)))</f>
        <v>92949817.516655847</v>
      </c>
      <c r="B3407">
        <v>166104412.02233708</v>
      </c>
    </row>
    <row r="3408" spans="1:2" x14ac:dyDescent="0.25">
      <c r="A3408">
        <f ca="1">26314.4000840167*((RANDBETWEEN(2979,3282)))</f>
        <v>81522011.460283741</v>
      </c>
      <c r="B3408">
        <v>158113398.10081673</v>
      </c>
    </row>
    <row r="3409" spans="1:2" x14ac:dyDescent="0.25">
      <c r="A3409">
        <f ca="1">27099.9039955561*((RANDBETWEEN(2979,3282)))</f>
        <v>83874202.86624603</v>
      </c>
      <c r="B3409">
        <v>197445373.71452039</v>
      </c>
    </row>
    <row r="3410" spans="1:2" x14ac:dyDescent="0.25">
      <c r="A3410">
        <f ca="1">27026.6719908815*((RANDBETWEEN(2979,3282)))</f>
        <v>84350243.283541039</v>
      </c>
      <c r="B3410">
        <v>151659666.06712595</v>
      </c>
    </row>
    <row r="3411" spans="1:2" x14ac:dyDescent="0.25">
      <c r="A3411">
        <f ca="1">26420.9972013849*((RANDBETWEEN(2979,3282)))</f>
        <v>79157307.615349099</v>
      </c>
      <c r="B3411">
        <v>168188152.98011875</v>
      </c>
    </row>
    <row r="3412" spans="1:2" x14ac:dyDescent="0.25">
      <c r="A3412">
        <f ca="1">27793.5886959994*((RANDBETWEEN(2979,3282)))</f>
        <v>85659840.361070067</v>
      </c>
      <c r="B3412">
        <v>174800024.6551792</v>
      </c>
    </row>
    <row r="3413" spans="1:2" x14ac:dyDescent="0.25">
      <c r="A3413">
        <f ca="1">26986.778688125*((RANDBETWEEN(2979,3282)))</f>
        <v>84873418.974153072</v>
      </c>
      <c r="B3413">
        <v>162669956.69269475</v>
      </c>
    </row>
    <row r="3414" spans="1:2" x14ac:dyDescent="0.25">
      <c r="A3414">
        <f ca="1">27685.1095501339*((RANDBETWEEN(2979,3282)))</f>
        <v>89755125.161534175</v>
      </c>
      <c r="B3414">
        <v>143892163.54707855</v>
      </c>
    </row>
    <row r="3415" spans="1:2" x14ac:dyDescent="0.25">
      <c r="A3415">
        <f ca="1">26417.117749122*((RANDBETWEEN(2979,3282)))</f>
        <v>81655310.962536022</v>
      </c>
      <c r="B3415">
        <v>148998620.50121635</v>
      </c>
    </row>
    <row r="3416" spans="1:2" x14ac:dyDescent="0.25">
      <c r="A3416">
        <f ca="1">28579.3075725702*((RANDBETWEEN(2979,3282)))</f>
        <v>90453508.467184678</v>
      </c>
      <c r="B3416">
        <v>154879435.15491757</v>
      </c>
    </row>
    <row r="3417" spans="1:2" x14ac:dyDescent="0.25">
      <c r="A3417">
        <f ca="1">27772.6086130328*((RANDBETWEEN(2979,3282)))</f>
        <v>86400585.395145148</v>
      </c>
      <c r="B3417">
        <v>143987698.62317073</v>
      </c>
    </row>
    <row r="3418" spans="1:2" x14ac:dyDescent="0.25">
      <c r="A3418">
        <f ca="1">31812.9546822724*((RANDBETWEEN(2979,3282)))</f>
        <v>100974318.16153246</v>
      </c>
      <c r="B3418">
        <v>155527383.42040822</v>
      </c>
    </row>
    <row r="3419" spans="1:2" x14ac:dyDescent="0.25">
      <c r="A3419">
        <f ca="1">25544.3849839767*((RANDBETWEEN(2979,3282)))</f>
        <v>82431730.343292847</v>
      </c>
      <c r="B3419">
        <v>151599011.25051519</v>
      </c>
    </row>
    <row r="3420" spans="1:2" x14ac:dyDescent="0.25">
      <c r="A3420">
        <f ca="1">26914.7506853268*((RANDBETWEEN(2979,3282)))</f>
        <v>83220409.119030356</v>
      </c>
      <c r="B3420">
        <v>201535918.91318929</v>
      </c>
    </row>
    <row r="3421" spans="1:2" x14ac:dyDescent="0.25">
      <c r="A3421">
        <f ca="1">26744.626550159*((RANDBETWEEN(2979,3282)))</f>
        <v>84940933.923304945</v>
      </c>
      <c r="B3421">
        <v>159062179.61219257</v>
      </c>
    </row>
    <row r="3422" spans="1:2" x14ac:dyDescent="0.25">
      <c r="A3422">
        <f ca="1">32541.0410012509*((RANDBETWEEN(2979,3282)))</f>
        <v>101625671.04690643</v>
      </c>
      <c r="B3422">
        <v>185676561.37716937</v>
      </c>
    </row>
    <row r="3423" spans="1:2" x14ac:dyDescent="0.25">
      <c r="A3423">
        <f ca="1">28139.6403620894*((RANDBETWEEN(2979,3282)))</f>
        <v>91594529.378600881</v>
      </c>
      <c r="B3423">
        <v>195582599.49092409</v>
      </c>
    </row>
    <row r="3424" spans="1:2" x14ac:dyDescent="0.25">
      <c r="A3424">
        <f ca="1">27956.4861218056*((RANDBETWEEN(2979,3282)))</f>
        <v>90886536.381989956</v>
      </c>
      <c r="B3424">
        <v>194903736.83654433</v>
      </c>
    </row>
    <row r="3425" spans="1:2" x14ac:dyDescent="0.25">
      <c r="A3425">
        <f ca="1">26934.7195805438*((RANDBETWEEN(2979,3282)))</f>
        <v>88211206.626281083</v>
      </c>
      <c r="B3425">
        <v>162130361.34640995</v>
      </c>
    </row>
    <row r="3426" spans="1:2" x14ac:dyDescent="0.25">
      <c r="A3426">
        <f ca="1">27450.8712238278*((RANDBETWEEN(2979,3282)))</f>
        <v>85838874.316909596</v>
      </c>
      <c r="B3426">
        <v>158863769.12904519</v>
      </c>
    </row>
    <row r="3427" spans="1:2" x14ac:dyDescent="0.25">
      <c r="A3427">
        <f ca="1">29209.2767433867*((RANDBETWEEN(2979,3282)))</f>
        <v>90665595.011472315</v>
      </c>
      <c r="B3427">
        <v>188953117.79862869</v>
      </c>
    </row>
    <row r="3428" spans="1:2" x14ac:dyDescent="0.25">
      <c r="A3428">
        <f ca="1">27048.2869216106*((RANDBETWEEN(2979,3282)))</f>
        <v>81739923.077107251</v>
      </c>
      <c r="B3428">
        <v>149206990.23869449</v>
      </c>
    </row>
    <row r="3429" spans="1:2" x14ac:dyDescent="0.25">
      <c r="A3429">
        <f ca="1">29095.7569903178*((RANDBETWEEN(2979,3282)))</f>
        <v>89003920.633382261</v>
      </c>
      <c r="B3429">
        <v>171282893.87948185</v>
      </c>
    </row>
    <row r="3430" spans="1:2" x14ac:dyDescent="0.25">
      <c r="A3430">
        <f ca="1">30075.7872700448*((RANDBETWEEN(2979,3282)))</f>
        <v>91370241.726396188</v>
      </c>
      <c r="B3430">
        <v>202582286.7518445</v>
      </c>
    </row>
    <row r="3431" spans="1:2" x14ac:dyDescent="0.25">
      <c r="A3431">
        <f ca="1">32954.7453886822*((RANDBETWEEN(2979,3282)))</f>
        <v>103774493.22896029</v>
      </c>
      <c r="B3431">
        <v>153251240.10847735</v>
      </c>
    </row>
    <row r="3432" spans="1:2" x14ac:dyDescent="0.25">
      <c r="A3432">
        <f ca="1">24780.8517451769*((RANDBETWEEN(2979,3282)))</f>
        <v>74664706.308217853</v>
      </c>
      <c r="B3432">
        <v>171428582.84484076</v>
      </c>
    </row>
    <row r="3433" spans="1:2" x14ac:dyDescent="0.25">
      <c r="A3433">
        <f ca="1">29154.6177070736*((RANDBETWEEN(2979,3282)))</f>
        <v>94781662.165696561</v>
      </c>
      <c r="B3433">
        <v>178362765.49995503</v>
      </c>
    </row>
    <row r="3434" spans="1:2" x14ac:dyDescent="0.25">
      <c r="A3434">
        <f ca="1">31267.665845475*((RANDBETWEEN(2979,3282)))</f>
        <v>100869490.0175024</v>
      </c>
      <c r="B3434">
        <v>153788172.01580188</v>
      </c>
    </row>
    <row r="3435" spans="1:2" x14ac:dyDescent="0.25">
      <c r="A3435">
        <f ca="1">28406.5419849073*((RANDBETWEEN(2979,3282)))</f>
        <v>85532097.916556016</v>
      </c>
      <c r="B3435">
        <v>150156011.51547909</v>
      </c>
    </row>
    <row r="3436" spans="1:2" x14ac:dyDescent="0.25">
      <c r="A3436">
        <f ca="1">27777.3450809751*((RANDBETWEEN(2979,3282)))</f>
        <v>87943074.526367083</v>
      </c>
      <c r="B3436">
        <v>146252038.71764374</v>
      </c>
    </row>
    <row r="3437" spans="1:2" x14ac:dyDescent="0.25">
      <c r="A3437">
        <f ca="1">28141.2267070114*((RANDBETWEEN(2979,3282)))</f>
        <v>84733233.614811361</v>
      </c>
      <c r="B3437">
        <v>152366184.47062618</v>
      </c>
    </row>
    <row r="3438" spans="1:2" x14ac:dyDescent="0.25">
      <c r="A3438">
        <f ca="1">30317.8815565527*((RANDBETWEEN(2979,3282)))</f>
        <v>94318929.522435427</v>
      </c>
      <c r="B3438">
        <v>178810834.58738405</v>
      </c>
    </row>
    <row r="3439" spans="1:2" x14ac:dyDescent="0.25">
      <c r="A3439">
        <f ca="1">29067.9292267221*((RANDBETWEEN(2979,3282)))</f>
        <v>89442018.230623797</v>
      </c>
      <c r="B3439">
        <v>154271657.38266292</v>
      </c>
    </row>
    <row r="3440" spans="1:2" x14ac:dyDescent="0.25">
      <c r="A3440">
        <f ca="1">26819.9138711365*((RANDBETWEEN(2979,3282)))</f>
        <v>83758591.019559294</v>
      </c>
      <c r="B3440">
        <v>183934925.79691505</v>
      </c>
    </row>
    <row r="3441" spans="1:2" x14ac:dyDescent="0.25">
      <c r="A3441">
        <f ca="1">28270.0901510451*((RANDBETWEEN(2979,3282)))</f>
        <v>87863440.189448044</v>
      </c>
      <c r="B3441">
        <v>152473769.29456747</v>
      </c>
    </row>
    <row r="3442" spans="1:2" x14ac:dyDescent="0.25">
      <c r="A3442">
        <f ca="1">33496.2310595466*((RANDBETWEEN(2979,3282)))</f>
        <v>108125833.86021651</v>
      </c>
      <c r="B3442">
        <v>174371572.38179681</v>
      </c>
    </row>
    <row r="3443" spans="1:2" x14ac:dyDescent="0.25">
      <c r="A3443">
        <f ca="1">25877.6166381869*((RANDBETWEEN(2979,3282)))</f>
        <v>82886006.092112646</v>
      </c>
      <c r="B3443">
        <v>161328566.67212069</v>
      </c>
    </row>
    <row r="3444" spans="1:2" x14ac:dyDescent="0.25">
      <c r="A3444">
        <f ca="1">28362.0139126667*((RANDBETWEEN(2979,3282)))</f>
        <v>84632249.515397504</v>
      </c>
      <c r="B3444">
        <v>171162153.2410076</v>
      </c>
    </row>
    <row r="3445" spans="1:2" x14ac:dyDescent="0.25">
      <c r="A3445">
        <f ca="1">29368.5376229681*((RANDBETWEEN(2979,3282)))</f>
        <v>89574039.750052631</v>
      </c>
      <c r="B3445">
        <v>189020243.80845428</v>
      </c>
    </row>
    <row r="3446" spans="1:2" x14ac:dyDescent="0.25">
      <c r="A3446">
        <f ca="1">26331.490135792*((RANDBETWEEN(2979,3282)))</f>
        <v>85866989.332817614</v>
      </c>
      <c r="B3446">
        <v>154289416.40249678</v>
      </c>
    </row>
    <row r="3447" spans="1:2" x14ac:dyDescent="0.25">
      <c r="A3447">
        <f ca="1">31717.570941012*((RANDBETWEEN(2979,3282)))</f>
        <v>96072522.380325332</v>
      </c>
      <c r="B3447">
        <v>169787945.71528065</v>
      </c>
    </row>
    <row r="3448" spans="1:2" x14ac:dyDescent="0.25">
      <c r="A3448">
        <f ca="1">25728.9639678565*((RANDBETWEEN(2979,3282)))</f>
        <v>78987919.381319582</v>
      </c>
      <c r="B3448">
        <v>145542135.14971763</v>
      </c>
    </row>
    <row r="3449" spans="1:2" x14ac:dyDescent="0.25">
      <c r="A3449">
        <f ca="1">27299.0913573745*((RANDBETWEEN(2979,3282)))</f>
        <v>84545285.933788836</v>
      </c>
      <c r="B3449">
        <v>178315816.17458504</v>
      </c>
    </row>
    <row r="3450" spans="1:2" x14ac:dyDescent="0.25">
      <c r="A3450">
        <f ca="1">29154.584517917*((RANDBETWEEN(2979,3282)))</f>
        <v>87959381.49055557</v>
      </c>
      <c r="B3450">
        <v>145618553.79596484</v>
      </c>
    </row>
    <row r="3451" spans="1:2" x14ac:dyDescent="0.25">
      <c r="A3451">
        <f ca="1">27675.9315095454*((RANDBETWEEN(2979,3282)))</f>
        <v>88147841.857902199</v>
      </c>
      <c r="B3451">
        <v>178497459.14295444</v>
      </c>
    </row>
    <row r="3452" spans="1:2" x14ac:dyDescent="0.25">
      <c r="A3452">
        <f ca="1">26834.6745188373*((RANDBETWEEN(2979,3282)))</f>
        <v>86971180.1155518</v>
      </c>
      <c r="B3452">
        <v>155446080.18450144</v>
      </c>
    </row>
    <row r="3453" spans="1:2" x14ac:dyDescent="0.25">
      <c r="A3453">
        <f ca="1">27421.3755650115*((RANDBETWEEN(2979,3282)))</f>
        <v>84457836.740235388</v>
      </c>
      <c r="B3453">
        <v>196533531.59027323</v>
      </c>
    </row>
    <row r="3454" spans="1:2" x14ac:dyDescent="0.25">
      <c r="A3454">
        <f ca="1">26745.3460922894*((RANDBETWEEN(2979,3282)))</f>
        <v>85451380.764864504</v>
      </c>
      <c r="B3454">
        <v>184279960.70072064</v>
      </c>
    </row>
    <row r="3455" spans="1:2" x14ac:dyDescent="0.25">
      <c r="A3455">
        <f ca="1">29668.0722710259*((RANDBETWEEN(2979,3282)))</f>
        <v>90665628.860255077</v>
      </c>
      <c r="B3455">
        <v>144548296.77269906</v>
      </c>
    </row>
    <row r="3456" spans="1:2" x14ac:dyDescent="0.25">
      <c r="A3456">
        <f ca="1">27618.0879431154*((RANDBETWEEN(2979,3282)))</f>
        <v>87356012.164074048</v>
      </c>
      <c r="B3456">
        <v>181335199.25496083</v>
      </c>
    </row>
    <row r="3457" spans="1:2" x14ac:dyDescent="0.25">
      <c r="A3457">
        <f ca="1">33223.8938779499*((RANDBETWEEN(2979,3282)))</f>
        <v>104588817.92778635</v>
      </c>
      <c r="B3457">
        <v>167317192.31888366</v>
      </c>
    </row>
    <row r="3458" spans="1:2" x14ac:dyDescent="0.25">
      <c r="A3458">
        <f ca="1">29323.2591075524*((RANDBETWEEN(2979,3282)))</f>
        <v>88350979.691055447</v>
      </c>
      <c r="B3458">
        <v>171065051.04564619</v>
      </c>
    </row>
    <row r="3459" spans="1:2" x14ac:dyDescent="0.25">
      <c r="A3459">
        <f ca="1">31179.7675745835*((RANDBETWEEN(2979,3282)))</f>
        <v>93508122.956175938</v>
      </c>
      <c r="B3459">
        <v>154341449.54479444</v>
      </c>
    </row>
    <row r="3460" spans="1:2" x14ac:dyDescent="0.25">
      <c r="A3460">
        <f ca="1">29093.4538263761*((RANDBETWEEN(2979,3282)))</f>
        <v>87076707.302343756</v>
      </c>
      <c r="B3460">
        <v>203450760.69767871</v>
      </c>
    </row>
    <row r="3461" spans="1:2" x14ac:dyDescent="0.25">
      <c r="A3461">
        <f ca="1">25419.7595863008*((RANDBETWEEN(2979,3282)))</f>
        <v>80377279.811883032</v>
      </c>
      <c r="B3461">
        <v>163513193.87340844</v>
      </c>
    </row>
    <row r="3462" spans="1:2" x14ac:dyDescent="0.25">
      <c r="A3462">
        <f ca="1">27458.2036718755*((RANDBETWEEN(2979,3282)))</f>
        <v>83610230.180860788</v>
      </c>
      <c r="B3462">
        <v>165140616.62957966</v>
      </c>
    </row>
    <row r="3463" spans="1:2" x14ac:dyDescent="0.25">
      <c r="A3463">
        <f ca="1">29440.6309394875*((RANDBETWEEN(2979,3282)))</f>
        <v>92001971.685898483</v>
      </c>
      <c r="B3463">
        <v>196629575.01369616</v>
      </c>
    </row>
    <row r="3464" spans="1:2" x14ac:dyDescent="0.25">
      <c r="A3464">
        <f ca="1">32287.5584218175*((RANDBETWEEN(2979,3282)))</f>
        <v>100930907.6266015</v>
      </c>
      <c r="B3464">
        <v>176316094.82994735</v>
      </c>
    </row>
    <row r="3465" spans="1:2" x14ac:dyDescent="0.25">
      <c r="A3465">
        <f ca="1">27438.5867095814*((RANDBETWEEN(2979,3282)))</f>
        <v>83084040.556612462</v>
      </c>
      <c r="B3465">
        <v>174263297.46237612</v>
      </c>
    </row>
    <row r="3466" spans="1:2" x14ac:dyDescent="0.25">
      <c r="A3466">
        <f ca="1">26390.9716520106*((RANDBETWEEN(2979,3282)))</f>
        <v>81627275.319668859</v>
      </c>
      <c r="B3466">
        <v>187298263.04516882</v>
      </c>
    </row>
    <row r="3467" spans="1:2" x14ac:dyDescent="0.25">
      <c r="A3467">
        <f ca="1">26111.0679492987*((RANDBETWEEN(2979,3282)))</f>
        <v>84599860.155727923</v>
      </c>
      <c r="B3467">
        <v>145054461.66763726</v>
      </c>
    </row>
    <row r="3468" spans="1:2" x14ac:dyDescent="0.25">
      <c r="A3468">
        <f ca="1">28552.3505398339*((RANDBETWEEN(2979,3282)))</f>
        <v>91310417.026388958</v>
      </c>
      <c r="B3468">
        <v>172438530.07084933</v>
      </c>
    </row>
    <row r="3469" spans="1:2" x14ac:dyDescent="0.25">
      <c r="A3469">
        <f ca="1">26413.7582782113*((RANDBETWEEN(2979,3282)))</f>
        <v>86267334.536638215</v>
      </c>
      <c r="B3469">
        <v>181284082.91117236</v>
      </c>
    </row>
    <row r="3470" spans="1:2" x14ac:dyDescent="0.25">
      <c r="A3470">
        <f ca="1">29255.401225869*((RANDBETWEEN(2979,3282)))</f>
        <v>90399189.787935063</v>
      </c>
      <c r="B3470">
        <v>202038955.27331468</v>
      </c>
    </row>
    <row r="3471" spans="1:2" x14ac:dyDescent="0.25">
      <c r="A3471">
        <f ca="1">26899.4402366763*((RANDBETWEEN(2979,3282)))</f>
        <v>84840834.506476924</v>
      </c>
      <c r="B3471">
        <v>171878860.16824555</v>
      </c>
    </row>
    <row r="3472" spans="1:2" x14ac:dyDescent="0.25">
      <c r="A3472">
        <f ca="1">28211.0276821902*((RANDBETWEEN(2979,3282)))</f>
        <v>89090425.420356959</v>
      </c>
      <c r="B3472">
        <v>144985462.14642876</v>
      </c>
    </row>
    <row r="3473" spans="1:2" x14ac:dyDescent="0.25">
      <c r="A3473">
        <f ca="1">27335.6853601287*((RANDBETWEEN(2979,3282)))</f>
        <v>87583535.893852293</v>
      </c>
      <c r="B3473">
        <v>189292822.33981854</v>
      </c>
    </row>
    <row r="3474" spans="1:2" x14ac:dyDescent="0.25">
      <c r="A3474">
        <f ca="1">28923.5800621239*((RANDBETWEEN(2979,3282)))</f>
        <v>87985530.548980877</v>
      </c>
      <c r="B3474">
        <v>155306794.66190684</v>
      </c>
    </row>
    <row r="3475" spans="1:2" x14ac:dyDescent="0.25">
      <c r="A3475">
        <f ca="1">26168.8685267935*((RANDBETWEEN(2979,3282)))</f>
        <v>79291671.63618426</v>
      </c>
      <c r="B3475">
        <v>167867404.14484152</v>
      </c>
    </row>
    <row r="3476" spans="1:2" x14ac:dyDescent="0.25">
      <c r="A3476">
        <f ca="1">26538.7671216979*((RANDBETWEEN(2979,3282)))</f>
        <v>84154430.542904079</v>
      </c>
      <c r="B3476">
        <v>154147950.73988357</v>
      </c>
    </row>
    <row r="3477" spans="1:2" x14ac:dyDescent="0.25">
      <c r="A3477">
        <f ca="1">29056.973258505*((RANDBETWEEN(2979,3282)))</f>
        <v>91209839.058447167</v>
      </c>
      <c r="B3477">
        <v>168169099.12498575</v>
      </c>
    </row>
    <row r="3478" spans="1:2" x14ac:dyDescent="0.25">
      <c r="A3478">
        <f ca="1">26673.1694745739*((RANDBETWEEN(2979,3282)))</f>
        <v>82340074.168009579</v>
      </c>
      <c r="B3478">
        <v>152766583.14560592</v>
      </c>
    </row>
    <row r="3479" spans="1:2" x14ac:dyDescent="0.25">
      <c r="A3479">
        <f ca="1">26285.9179771443*((RANDBETWEEN(2979,3282)))</f>
        <v>83746934.675181657</v>
      </c>
      <c r="B3479">
        <v>156735341.00188223</v>
      </c>
    </row>
    <row r="3480" spans="1:2" x14ac:dyDescent="0.25">
      <c r="A3480">
        <f ca="1">26887.8808056869*((RANDBETWEEN(2979,3282)))</f>
        <v>81228287.913980186</v>
      </c>
      <c r="B3480">
        <v>154871826.54508492</v>
      </c>
    </row>
    <row r="3481" spans="1:2" x14ac:dyDescent="0.25">
      <c r="A3481">
        <f ca="1">26523.8533284223*((RANDBETWEEN(2979,3282)))</f>
        <v>82489183.851393491</v>
      </c>
      <c r="B3481">
        <v>181992250.37611601</v>
      </c>
    </row>
    <row r="3482" spans="1:2" x14ac:dyDescent="0.25">
      <c r="A3482">
        <f ca="1">29516.8141098913*((RANDBETWEEN(2979,3282)))</f>
        <v>94040569.754113525</v>
      </c>
      <c r="B3482">
        <v>177728906.50079176</v>
      </c>
    </row>
    <row r="3483" spans="1:2" x14ac:dyDescent="0.25">
      <c r="A3483">
        <f ca="1">25968.9593242552*((RANDBETWEEN(2979,3282)))</f>
        <v>79075481.142357215</v>
      </c>
      <c r="B3483">
        <v>148224583.28261784</v>
      </c>
    </row>
    <row r="3484" spans="1:2" x14ac:dyDescent="0.25">
      <c r="A3484">
        <f ca="1">25925.9374802042*((RANDBETWEEN(2979,3282)))</f>
        <v>79411146.501865581</v>
      </c>
      <c r="B3484">
        <v>175778105.99038494</v>
      </c>
    </row>
    <row r="3485" spans="1:2" x14ac:dyDescent="0.25">
      <c r="A3485">
        <f ca="1">29102.7984797739*((RANDBETWEEN(2979,3282)))</f>
        <v>93623702.709432572</v>
      </c>
      <c r="B3485">
        <v>145363014.24080193</v>
      </c>
    </row>
    <row r="3486" spans="1:2" x14ac:dyDescent="0.25">
      <c r="A3486">
        <f ca="1">26025.6475581711*((RANDBETWEEN(2979,3282)))</f>
        <v>83386174.776380286</v>
      </c>
      <c r="B3486">
        <v>166596714.88321909</v>
      </c>
    </row>
    <row r="3487" spans="1:2" x14ac:dyDescent="0.25">
      <c r="A3487">
        <f ca="1">31073.6665203489*((RANDBETWEEN(2979,3282)))</f>
        <v>93252073.227566957</v>
      </c>
      <c r="B3487">
        <v>155107379.71225211</v>
      </c>
    </row>
    <row r="3488" spans="1:2" x14ac:dyDescent="0.25">
      <c r="A3488">
        <f ca="1">32882.7518632529*((RANDBETWEEN(2979,3282)))</f>
        <v>99371676.130750358</v>
      </c>
      <c r="B3488">
        <v>181968086.23612237</v>
      </c>
    </row>
    <row r="3489" spans="1:2" x14ac:dyDescent="0.25">
      <c r="A3489">
        <f ca="1">28946.8522540049*((RANDBETWEEN(2979,3282)))</f>
        <v>88982623.828811049</v>
      </c>
      <c r="B3489">
        <v>178009860.64434516</v>
      </c>
    </row>
    <row r="3490" spans="1:2" x14ac:dyDescent="0.25">
      <c r="A3490">
        <f ca="1">28267.4146668868*((RANDBETWEEN(2979,3282)))</f>
        <v>90964540.3980418</v>
      </c>
      <c r="B3490">
        <v>163965384.29103279</v>
      </c>
    </row>
    <row r="3491" spans="1:2" x14ac:dyDescent="0.25">
      <c r="A3491">
        <f ca="1">26283.4846360411*((RANDBETWEEN(2979,3282)))</f>
        <v>81058266.617550641</v>
      </c>
      <c r="B3491">
        <v>166233495.57006639</v>
      </c>
    </row>
    <row r="3492" spans="1:2" x14ac:dyDescent="0.25">
      <c r="A3492">
        <f ca="1">28241.10534935*((RANDBETWEEN(2979,3282)))</f>
        <v>85259897.049687535</v>
      </c>
      <c r="B3492">
        <v>173898460.52632645</v>
      </c>
    </row>
    <row r="3493" spans="1:2" x14ac:dyDescent="0.25">
      <c r="A3493">
        <f ca="1">30556.195959037*((RANDBETWEEN(2979,3282)))</f>
        <v>99093743.495157063</v>
      </c>
      <c r="B3493">
        <v>163696852.2177642</v>
      </c>
    </row>
    <row r="3494" spans="1:2" x14ac:dyDescent="0.25">
      <c r="A3494">
        <f ca="1">26020.066009996*((RANDBETWEEN(2979,3282)))</f>
        <v>83758592.486177027</v>
      </c>
      <c r="B3494">
        <v>142977574.91923702</v>
      </c>
    </row>
    <row r="3495" spans="1:2" x14ac:dyDescent="0.25">
      <c r="A3495">
        <f ca="1">29725.6340090187*((RANDBETWEEN(2979,3282)))</f>
        <v>96400231.091247708</v>
      </c>
      <c r="B3495">
        <v>171312051.57142457</v>
      </c>
    </row>
    <row r="3496" spans="1:2" x14ac:dyDescent="0.25">
      <c r="A3496">
        <f ca="1">27912.1806154149*((RANDBETWEEN(2979,3282)))</f>
        <v>91440303.696099058</v>
      </c>
      <c r="B3496">
        <v>170074415.29870972</v>
      </c>
    </row>
    <row r="3497" spans="1:2" x14ac:dyDescent="0.25">
      <c r="A3497">
        <f ca="1">26931.3971054872*((RANDBETWEEN(2979,3282)))</f>
        <v>85049352.059128419</v>
      </c>
      <c r="B3497">
        <v>182745143.06517726</v>
      </c>
    </row>
    <row r="3498" spans="1:2" x14ac:dyDescent="0.25">
      <c r="A3498">
        <f ca="1">27040.1734014554*((RANDBETWEEN(2979,3282)))</f>
        <v>87177519.046292126</v>
      </c>
      <c r="B3498">
        <v>153375473.23912627</v>
      </c>
    </row>
    <row r="3499" spans="1:2" x14ac:dyDescent="0.25">
      <c r="A3499">
        <f ca="1">28175.6939043471*((RANDBETWEEN(2979,3282)))</f>
        <v>90894788.535423845</v>
      </c>
      <c r="B3499">
        <v>185203634.46910179</v>
      </c>
    </row>
    <row r="3500" spans="1:2" x14ac:dyDescent="0.25">
      <c r="A3500">
        <f ca="1">26858.8470233768*((RANDBETWEEN(2979,3282)))</f>
        <v>81033141.469527721</v>
      </c>
      <c r="B3500">
        <v>165949392.77266806</v>
      </c>
    </row>
    <row r="3501" spans="1:2" x14ac:dyDescent="0.25">
      <c r="A3501">
        <f ca="1">26949.3727677901*((RANDBETWEEN(2979,3282)))</f>
        <v>81710498.231939584</v>
      </c>
      <c r="B3501">
        <v>200243639.59374657</v>
      </c>
    </row>
    <row r="3502" spans="1:2" x14ac:dyDescent="0.25">
      <c r="A3502">
        <f ca="1">26456.9151797989*((RANDBETWEEN(2979,3282)))</f>
        <v>79873426.927812845</v>
      </c>
      <c r="B3502">
        <v>147313110.33447304</v>
      </c>
    </row>
    <row r="3503" spans="1:2" x14ac:dyDescent="0.25">
      <c r="A3503">
        <f ca="1">27778.0597788754*((RANDBETWEEN(2979,3282)))</f>
        <v>87334219.944784254</v>
      </c>
      <c r="B3503">
        <v>161783863.75134027</v>
      </c>
    </row>
    <row r="3504" spans="1:2" x14ac:dyDescent="0.25">
      <c r="A3504">
        <f ca="1">30113.2635750417*((RANDBETWEEN(2979,3282)))</f>
        <v>97657313.773860335</v>
      </c>
      <c r="B3504">
        <v>160856586.98095387</v>
      </c>
    </row>
    <row r="3505" spans="1:2" x14ac:dyDescent="0.25">
      <c r="A3505">
        <f ca="1">26784.5357291401*((RANDBETWEEN(2979,3282)))</f>
        <v>86594404.012309968</v>
      </c>
      <c r="B3505">
        <v>197280625.07873416</v>
      </c>
    </row>
    <row r="3506" spans="1:2" x14ac:dyDescent="0.25">
      <c r="A3506">
        <f ca="1">30813.574205116*((RANDBETWEEN(2979,3282)))</f>
        <v>93950587.751398683</v>
      </c>
      <c r="B3506">
        <v>168151607.86785811</v>
      </c>
    </row>
    <row r="3507" spans="1:2" x14ac:dyDescent="0.25">
      <c r="A3507">
        <f ca="1">31813.0428294891*((RANDBETWEEN(2979,3282)))</f>
        <v>96043576.302227482</v>
      </c>
      <c r="B3507">
        <v>202313769.40326238</v>
      </c>
    </row>
    <row r="3508" spans="1:2" x14ac:dyDescent="0.25">
      <c r="A3508">
        <f ca="1">29073.3055027486*((RANDBETWEEN(2979,3282)))</f>
        <v>87336209.730256781</v>
      </c>
      <c r="B3508">
        <v>162717312.08244497</v>
      </c>
    </row>
    <row r="3509" spans="1:2" x14ac:dyDescent="0.25">
      <c r="A3509">
        <f ca="1">30104.5484092658*((RANDBETWEEN(2979,3282)))</f>
        <v>95822777.586693063</v>
      </c>
      <c r="B3509">
        <v>183073350.08469078</v>
      </c>
    </row>
    <row r="3510" spans="1:2" x14ac:dyDescent="0.25">
      <c r="A3510">
        <f ca="1">26513.0060712097*((RANDBETWEEN(2979,3282)))</f>
        <v>82747091.94824557</v>
      </c>
      <c r="B3510">
        <v>196467801.28558517</v>
      </c>
    </row>
    <row r="3511" spans="1:2" x14ac:dyDescent="0.25">
      <c r="A3511">
        <f ca="1">26801.6494909374*((RANDBETWEEN(2979,3282)))</f>
        <v>87936211.979765743</v>
      </c>
      <c r="B3511">
        <v>159682040.56659564</v>
      </c>
    </row>
    <row r="3512" spans="1:2" x14ac:dyDescent="0.25">
      <c r="A3512">
        <f ca="1">26360.5892287025*((RANDBETWEEN(2979,3282)))</f>
        <v>81875990.144350022</v>
      </c>
      <c r="B3512">
        <v>152645974.14731175</v>
      </c>
    </row>
    <row r="3513" spans="1:2" x14ac:dyDescent="0.25">
      <c r="A3513">
        <f ca="1">29937.6320069958*((RANDBETWEEN(2979,3282)))</f>
        <v>96848239.542631298</v>
      </c>
      <c r="B3513">
        <v>161468083.06550068</v>
      </c>
    </row>
    <row r="3514" spans="1:2" x14ac:dyDescent="0.25">
      <c r="A3514">
        <f ca="1">27207.0185874823*((RANDBETWEEN(2979,3282)))</f>
        <v>82518887.375833765</v>
      </c>
      <c r="B3514">
        <v>157330492.46265605</v>
      </c>
    </row>
    <row r="3515" spans="1:2" x14ac:dyDescent="0.25">
      <c r="A3515">
        <f ca="1">31160.9499942496*((RANDBETWEEN(2979,3282)))</f>
        <v>98717889.581782863</v>
      </c>
      <c r="B3515">
        <v>142904571.28258151</v>
      </c>
    </row>
    <row r="3516" spans="1:2" x14ac:dyDescent="0.25">
      <c r="A3516">
        <f ca="1">26736.911569283*((RANDBETWEEN(2979,3282)))</f>
        <v>86734541.130753949</v>
      </c>
      <c r="B3516">
        <v>156938763.05964652</v>
      </c>
    </row>
    <row r="3517" spans="1:2" x14ac:dyDescent="0.25">
      <c r="A3517">
        <f ca="1">26770.0385603729*((RANDBETWEEN(2979,3282)))</f>
        <v>81247067.030731738</v>
      </c>
      <c r="B3517">
        <v>160007497.49182379</v>
      </c>
    </row>
    <row r="3518" spans="1:2" x14ac:dyDescent="0.25">
      <c r="A3518">
        <f ca="1">26803.8161996966*((RANDBETWEEN(2979,3282)))</f>
        <v>80304233.334290966</v>
      </c>
      <c r="B3518">
        <v>163237211.42024612</v>
      </c>
    </row>
    <row r="3519" spans="1:2" x14ac:dyDescent="0.25">
      <c r="A3519">
        <f ca="1">27386.3808450478*((RANDBETWEEN(2979,3282)))</f>
        <v>88375850.986969307</v>
      </c>
      <c r="B3519">
        <v>168188025.33135018</v>
      </c>
    </row>
    <row r="3520" spans="1:2" x14ac:dyDescent="0.25">
      <c r="A3520">
        <f ca="1">26943.7456269122*((RANDBETWEEN(2979,3282)))</f>
        <v>83821992.645323947</v>
      </c>
      <c r="B3520">
        <v>172404284.17984137</v>
      </c>
    </row>
    <row r="3521" spans="1:2" x14ac:dyDescent="0.25">
      <c r="A3521">
        <f ca="1">31798.3899095593*((RANDBETWEEN(2979,3282)))</f>
        <v>97239476.343432426</v>
      </c>
      <c r="B3521">
        <v>185876171.24830741</v>
      </c>
    </row>
    <row r="3522" spans="1:2" x14ac:dyDescent="0.25">
      <c r="A3522">
        <f ca="1">30418.7140230827*((RANDBETWEEN(2979,3282)))</f>
        <v>95210574.892248869</v>
      </c>
      <c r="B3522">
        <v>172995839.48336112</v>
      </c>
    </row>
    <row r="3523" spans="1:2" x14ac:dyDescent="0.25">
      <c r="A3523">
        <f ca="1">26091.112154016*((RANDBETWEEN(2979,3282)))</f>
        <v>82630552.19176881</v>
      </c>
      <c r="B3523">
        <v>147889391.08862591</v>
      </c>
    </row>
    <row r="3524" spans="1:2" x14ac:dyDescent="0.25">
      <c r="A3524">
        <f ca="1">33947.0048145599*((RANDBETWEEN(2979,3282)))</f>
        <v>105541237.96846679</v>
      </c>
      <c r="B3524">
        <v>170994401.08393848</v>
      </c>
    </row>
    <row r="3525" spans="1:2" x14ac:dyDescent="0.25">
      <c r="A3525">
        <f ca="1">29917.0617780228*((RANDBETWEEN(2979,3282)))</f>
        <v>89242595.283841893</v>
      </c>
      <c r="B3525">
        <v>189240786.49791896</v>
      </c>
    </row>
    <row r="3526" spans="1:2" x14ac:dyDescent="0.25">
      <c r="A3526">
        <f ca="1">26966.8401621521*((RANDBETWEEN(2979,3282)))</f>
        <v>87102893.723751158</v>
      </c>
      <c r="B3526">
        <v>175964100.56074363</v>
      </c>
    </row>
    <row r="3527" spans="1:2" x14ac:dyDescent="0.25">
      <c r="A3527">
        <f ca="1">27043.5573534025*((RANDBETWEEN(2979,3282)))</f>
        <v>85051987.876450732</v>
      </c>
      <c r="B3527">
        <v>144809758.78937587</v>
      </c>
    </row>
    <row r="3528" spans="1:2" x14ac:dyDescent="0.25">
      <c r="A3528">
        <f ca="1">28505.1037625921*((RANDBETWEEN(2979,3282)))</f>
        <v>90332673.823654354</v>
      </c>
      <c r="B3528">
        <v>147690064.56147525</v>
      </c>
    </row>
    <row r="3529" spans="1:2" x14ac:dyDescent="0.25">
      <c r="A3529">
        <f ca="1">32249.8528672539*((RANDBETWEEN(2979,3282)))</f>
        <v>103715526.82108855</v>
      </c>
      <c r="B3529">
        <v>169190556.95373964</v>
      </c>
    </row>
    <row r="3530" spans="1:2" x14ac:dyDescent="0.25">
      <c r="A3530">
        <f ca="1">31286.9939937616*((RANDBETWEEN(2979,3282)))</f>
        <v>100274815.75000602</v>
      </c>
      <c r="B3530">
        <v>143891678.0274471</v>
      </c>
    </row>
    <row r="3531" spans="1:2" x14ac:dyDescent="0.25">
      <c r="A3531">
        <f ca="1">26092.7347548985*((RANDBETWEEN(2979,3282)))</f>
        <v>84201255.054057583</v>
      </c>
      <c r="B3531">
        <v>168276399.64321095</v>
      </c>
    </row>
    <row r="3532" spans="1:2" x14ac:dyDescent="0.25">
      <c r="A3532">
        <f ca="1">31190.9148185319*((RANDBETWEEN(2979,3282)))</f>
        <v>93447980.796321571</v>
      </c>
      <c r="B3532">
        <v>192324303.9178907</v>
      </c>
    </row>
    <row r="3533" spans="1:2" x14ac:dyDescent="0.25">
      <c r="A3533">
        <f ca="1">27079.8500979023*((RANDBETWEEN(2979,3282)))</f>
        <v>83974615.153595001</v>
      </c>
      <c r="B3533">
        <v>152086821.10302436</v>
      </c>
    </row>
    <row r="3534" spans="1:2" x14ac:dyDescent="0.25">
      <c r="A3534">
        <f ca="1">26071.2438805162*((RANDBETWEEN(2979,3282)))</f>
        <v>84001547.783023268</v>
      </c>
      <c r="B3534">
        <v>154226193.56712416</v>
      </c>
    </row>
    <row r="3535" spans="1:2" x14ac:dyDescent="0.25">
      <c r="A3535">
        <f ca="1">31292.9201686654*((RANDBETWEEN(2979,3282)))</f>
        <v>95568578.195104256</v>
      </c>
      <c r="B3535">
        <v>189335799.87572715</v>
      </c>
    </row>
    <row r="3536" spans="1:2" x14ac:dyDescent="0.25">
      <c r="A3536">
        <f ca="1">25591.4251750779*((RANDBETWEEN(2979,3282)))</f>
        <v>79666106.570017442</v>
      </c>
      <c r="B3536">
        <v>149450783.91442171</v>
      </c>
    </row>
    <row r="3537" spans="1:2" x14ac:dyDescent="0.25">
      <c r="A3537">
        <f ca="1">33252.9177991167*((RANDBETWEEN(2979,3282)))</f>
        <v>106209819.45037878</v>
      </c>
      <c r="B3537">
        <v>168126025.99230593</v>
      </c>
    </row>
    <row r="3538" spans="1:2" x14ac:dyDescent="0.25">
      <c r="A3538">
        <f ca="1">27225.4472105822*((RANDBETWEEN(2979,3282)))</f>
        <v>87747616.359706312</v>
      </c>
      <c r="B3538">
        <v>150867147.11317813</v>
      </c>
    </row>
    <row r="3539" spans="1:2" x14ac:dyDescent="0.25">
      <c r="A3539">
        <f ca="1">28797.1634352649*((RANDBETWEEN(2979,3282)))</f>
        <v>92611677.607811883</v>
      </c>
      <c r="B3539">
        <v>158260660.00180072</v>
      </c>
    </row>
    <row r="3540" spans="1:2" x14ac:dyDescent="0.25">
      <c r="A3540">
        <f ca="1">27107.3110049595*((RANDBETWEEN(2979,3282)))</f>
        <v>88451155.809183002</v>
      </c>
      <c r="B3540">
        <v>143262573.24955884</v>
      </c>
    </row>
    <row r="3541" spans="1:2" x14ac:dyDescent="0.25">
      <c r="A3541">
        <f ca="1">26329.3331411579*((RANDBETWEEN(2979,3282)))</f>
        <v>79356610.087449953</v>
      </c>
      <c r="B3541">
        <v>201558598.43692544</v>
      </c>
    </row>
    <row r="3542" spans="1:2" x14ac:dyDescent="0.25">
      <c r="A3542">
        <f ca="1">26125.2307081652*((RANDBETWEEN(2979,3282)))</f>
        <v>80648587.196106032</v>
      </c>
      <c r="B3542">
        <v>164411021.2240617</v>
      </c>
    </row>
    <row r="3543" spans="1:2" x14ac:dyDescent="0.25">
      <c r="A3543">
        <f ca="1">27858.4259580356*((RANDBETWEEN(2979,3282)))</f>
        <v>90456309.085741743</v>
      </c>
      <c r="B3543">
        <v>166778216.52119821</v>
      </c>
    </row>
    <row r="3544" spans="1:2" x14ac:dyDescent="0.25">
      <c r="A3544">
        <f ca="1">25857.7671890181*((RANDBETWEEN(2979,3282)))</f>
        <v>77625017.101432443</v>
      </c>
      <c r="B3544">
        <v>157689622.18018296</v>
      </c>
    </row>
    <row r="3545" spans="1:2" x14ac:dyDescent="0.25">
      <c r="A3545">
        <f ca="1">27464.9700951067*((RANDBETWEEN(2979,3282)))</f>
        <v>82367445.315224931</v>
      </c>
      <c r="B3545">
        <v>144675694.7515859</v>
      </c>
    </row>
    <row r="3546" spans="1:2" x14ac:dyDescent="0.25">
      <c r="A3546">
        <f ca="1">27942.1670569392*((RANDBETWEEN(2979,3282)))</f>
        <v>90644389.932710856</v>
      </c>
      <c r="B3546">
        <v>161455740.15126106</v>
      </c>
    </row>
    <row r="3547" spans="1:2" x14ac:dyDescent="0.25">
      <c r="A3547">
        <f ca="1">29945.5694978766*((RANDBETWEEN(2979,3282)))</f>
        <v>90136164.188608661</v>
      </c>
      <c r="B3547">
        <v>166830209.9187783</v>
      </c>
    </row>
    <row r="3548" spans="1:2" x14ac:dyDescent="0.25">
      <c r="A3548">
        <f ca="1">29826.3048916481*((RANDBETWEEN(2979,3282)))</f>
        <v>96458270.019589841</v>
      </c>
      <c r="B3548">
        <v>173246160.37786618</v>
      </c>
    </row>
    <row r="3549" spans="1:2" x14ac:dyDescent="0.25">
      <c r="A3549">
        <f ca="1">31156.6930962612*((RANDBETWEEN(2979,3282)))</f>
        <v>97395822.618912399</v>
      </c>
      <c r="B3549">
        <v>175375731.52277586</v>
      </c>
    </row>
    <row r="3550" spans="1:2" x14ac:dyDescent="0.25">
      <c r="A3550">
        <f ca="1">26453.8938609847*((RANDBETWEEN(2979,3282)))</f>
        <v>84282105.84109728</v>
      </c>
      <c r="B3550">
        <v>181627059.85799924</v>
      </c>
    </row>
    <row r="3551" spans="1:2" x14ac:dyDescent="0.25">
      <c r="A3551">
        <f ca="1">26360.679292051*((RANDBETWEEN(2979,3282)))</f>
        <v>83141582.487128869</v>
      </c>
      <c r="B3551">
        <v>151309986.48311883</v>
      </c>
    </row>
    <row r="3552" spans="1:2" x14ac:dyDescent="0.25">
      <c r="A3552">
        <f ca="1">25623.4492570212*((RANDBETWEEN(2979,3282)))</f>
        <v>80329513.420761436</v>
      </c>
      <c r="B3552">
        <v>199449959.63070691</v>
      </c>
    </row>
    <row r="3553" spans="1:2" x14ac:dyDescent="0.25">
      <c r="A3553">
        <f ca="1">33874.3420962167*((RANDBETWEEN(2979,3282)))</f>
        <v>109143130.23401028</v>
      </c>
      <c r="B3553">
        <v>200515747.5459668</v>
      </c>
    </row>
    <row r="3554" spans="1:2" x14ac:dyDescent="0.25">
      <c r="A3554">
        <f ca="1">32428.9251562151*((RANDBETWEEN(2979,3282)))</f>
        <v>98324501.073644236</v>
      </c>
      <c r="B3554">
        <v>196639239.66642594</v>
      </c>
    </row>
    <row r="3555" spans="1:2" x14ac:dyDescent="0.25">
      <c r="A3555">
        <f ca="1">26274.5810274274*((RANDBETWEEN(2979,3282)))</f>
        <v>83579442.24824661</v>
      </c>
      <c r="B3555">
        <v>180303320.54261658</v>
      </c>
    </row>
    <row r="3556" spans="1:2" x14ac:dyDescent="0.25">
      <c r="A3556">
        <f ca="1">27467.1722780525*((RANDBETWEEN(2979,3282)))</f>
        <v>85477840.129299462</v>
      </c>
      <c r="B3556">
        <v>161089370.06500283</v>
      </c>
    </row>
    <row r="3557" spans="1:2" x14ac:dyDescent="0.25">
      <c r="A3557">
        <f ca="1">29447.1109441416*((RANDBETWEEN(2979,3282)))</f>
        <v>94289649.243141457</v>
      </c>
      <c r="B3557">
        <v>153502916.32433555</v>
      </c>
    </row>
    <row r="3558" spans="1:2" x14ac:dyDescent="0.25">
      <c r="A3558">
        <f ca="1">32726.428660558*((RANDBETWEEN(2979,3282)))</f>
        <v>101157390.98978473</v>
      </c>
      <c r="B3558">
        <v>190146842.87277016</v>
      </c>
    </row>
    <row r="3559" spans="1:2" x14ac:dyDescent="0.25">
      <c r="A3559">
        <f ca="1">28964.6605409182*((RANDBETWEEN(2979,3282)))</f>
        <v>92310373.143906429</v>
      </c>
      <c r="B3559">
        <v>185415096.99299318</v>
      </c>
    </row>
    <row r="3560" spans="1:2" x14ac:dyDescent="0.25">
      <c r="A3560">
        <f ca="1">26866.5078988676*((RANDBETWEEN(2979,3282)))</f>
        <v>83044375.91539979</v>
      </c>
      <c r="B3560">
        <v>184201344.35434276</v>
      </c>
    </row>
    <row r="3561" spans="1:2" x14ac:dyDescent="0.25">
      <c r="A3561">
        <f ca="1">28536.4947443322*((RANDBETWEEN(2979,3282)))</f>
        <v>89633129.991947442</v>
      </c>
      <c r="B3561">
        <v>178217849.66508481</v>
      </c>
    </row>
    <row r="3562" spans="1:2" x14ac:dyDescent="0.25">
      <c r="A3562">
        <f ca="1">29281.7823944277*((RANDBETWEEN(2979,3282)))</f>
        <v>95458610.60583432</v>
      </c>
      <c r="B3562">
        <v>193478009.39614511</v>
      </c>
    </row>
    <row r="3563" spans="1:2" x14ac:dyDescent="0.25">
      <c r="A3563">
        <f ca="1">27984.8705171517*((RANDBETWEEN(2979,3282)))</f>
        <v>87172871.660927549</v>
      </c>
      <c r="B3563">
        <v>195347405.94815764</v>
      </c>
    </row>
    <row r="3564" spans="1:2" x14ac:dyDescent="0.25">
      <c r="A3564">
        <f ca="1">25856.6579865784*((RANDBETWEEN(2979,3282)))</f>
        <v>78707666.911144689</v>
      </c>
      <c r="B3564">
        <v>160015354.46860892</v>
      </c>
    </row>
    <row r="3565" spans="1:2" x14ac:dyDescent="0.25">
      <c r="A3565">
        <f ca="1">26520.686400982*((RANDBETWEEN(2979,3282)))</f>
        <v>81179821.073405981</v>
      </c>
      <c r="B3565">
        <v>167415763.86790013</v>
      </c>
    </row>
    <row r="3566" spans="1:2" x14ac:dyDescent="0.25">
      <c r="A3566">
        <f ca="1">26490.1239068927*((RANDBETWEEN(2979,3282)))</f>
        <v>79417391.47286436</v>
      </c>
      <c r="B3566">
        <v>175231830.68056503</v>
      </c>
    </row>
    <row r="3567" spans="1:2" x14ac:dyDescent="0.25">
      <c r="A3567">
        <f ca="1">27301.8333570058*((RANDBETWEEN(2979,3282)))</f>
        <v>84963305.407002062</v>
      </c>
      <c r="B3567">
        <v>157623690.48689383</v>
      </c>
    </row>
    <row r="3568" spans="1:2" x14ac:dyDescent="0.25">
      <c r="A3568">
        <f ca="1">28278.5762046409*((RANDBETWEEN(2979,3282)))</f>
        <v>88144322.029865772</v>
      </c>
      <c r="B3568">
        <v>146865629.51894426</v>
      </c>
    </row>
    <row r="3569" spans="1:2" x14ac:dyDescent="0.25">
      <c r="A3569">
        <f ca="1">26826.4549504474*((RANDBETWEEN(2979,3282)))</f>
        <v>82813266.432031274</v>
      </c>
      <c r="B3569">
        <v>158392714.16029805</v>
      </c>
    </row>
    <row r="3570" spans="1:2" x14ac:dyDescent="0.25">
      <c r="A3570">
        <f ca="1">32498.8190591034*((RANDBETWEEN(2979,3282)))</f>
        <v>102468776.49335316</v>
      </c>
      <c r="B3570">
        <v>201058929.44057101</v>
      </c>
    </row>
    <row r="3571" spans="1:2" x14ac:dyDescent="0.25">
      <c r="A3571">
        <f ca="1">27219.2739129241*((RANDBETWEEN(2979,3282)))</f>
        <v>84815257.512671486</v>
      </c>
      <c r="B3571">
        <v>186640235.34787887</v>
      </c>
    </row>
    <row r="3572" spans="1:2" x14ac:dyDescent="0.25">
      <c r="A3572">
        <f ca="1">27089.1021419207*((RANDBETWEEN(2979,3282)))</f>
        <v>83840771.129244536</v>
      </c>
      <c r="B3572">
        <v>152435113.47555304</v>
      </c>
    </row>
    <row r="3573" spans="1:2" x14ac:dyDescent="0.25">
      <c r="A3573">
        <f ca="1">28563.9874695473*((RANDBETWEEN(2979,3282)))</f>
        <v>93061471.175785169</v>
      </c>
      <c r="B3573">
        <v>171139956.17374972</v>
      </c>
    </row>
    <row r="3574" spans="1:2" x14ac:dyDescent="0.25">
      <c r="A3574">
        <f ca="1">28455.3735577145*((RANDBETWEEN(2979,3282)))</f>
        <v>87614095.184203088</v>
      </c>
      <c r="B3574">
        <v>168671427.09026951</v>
      </c>
    </row>
    <row r="3575" spans="1:2" x14ac:dyDescent="0.25">
      <c r="A3575">
        <f ca="1">33428.3703853398*((RANDBETWEEN(2979,3282)))</f>
        <v>106803643.38116074</v>
      </c>
      <c r="B3575">
        <v>165101375.561214</v>
      </c>
    </row>
    <row r="3576" spans="1:2" x14ac:dyDescent="0.25">
      <c r="A3576">
        <f ca="1">29474.2501804977*((RANDBETWEEN(2979,3282)))</f>
        <v>90191205.55232282</v>
      </c>
      <c r="B3576">
        <v>155555578.06233656</v>
      </c>
    </row>
    <row r="3577" spans="1:2" x14ac:dyDescent="0.25">
      <c r="A3577">
        <f ca="1">25580.0014263977*((RANDBETWEEN(2979,3282)))</f>
        <v>77507404.321985096</v>
      </c>
      <c r="B3577">
        <v>154143962.68231842</v>
      </c>
    </row>
    <row r="3578" spans="1:2" x14ac:dyDescent="0.25">
      <c r="A3578">
        <f ca="1">26201.7189451365*((RANDBETWEEN(2979,3282)))</f>
        <v>82430607.801399291</v>
      </c>
      <c r="B3578">
        <v>152781167.13840809</v>
      </c>
    </row>
    <row r="3579" spans="1:2" x14ac:dyDescent="0.25">
      <c r="A3579">
        <f ca="1">26740.4027374498*((RANDBETWEEN(2979,3282)))</f>
        <v>81558228.34922199</v>
      </c>
      <c r="B3579">
        <v>167729111.44441095</v>
      </c>
    </row>
    <row r="3580" spans="1:2" x14ac:dyDescent="0.25">
      <c r="A3580">
        <f ca="1">26974.8122318316*((RANDBETWEEN(2979,3282)))</f>
        <v>84889734.093573987</v>
      </c>
      <c r="B3580">
        <v>151060251.16914439</v>
      </c>
    </row>
    <row r="3581" spans="1:2" x14ac:dyDescent="0.25">
      <c r="A3581">
        <f ca="1">26889.3246300884*((RANDBETWEEN(2979,3282)))</f>
        <v>80399080.643964201</v>
      </c>
      <c r="B3581">
        <v>176567153.57013842</v>
      </c>
    </row>
    <row r="3582" spans="1:2" x14ac:dyDescent="0.25">
      <c r="A3582">
        <f ca="1">27119.833131901*((RANDBETWEEN(2979,3282)))</f>
        <v>88329296.51060161</v>
      </c>
      <c r="B3582">
        <v>162800467.9137612</v>
      </c>
    </row>
    <row r="3583" spans="1:2" x14ac:dyDescent="0.25">
      <c r="A3583">
        <f ca="1">27298.0105677272*((RANDBETWEEN(2979,3282)))</f>
        <v>88582044.292274848</v>
      </c>
      <c r="B3583">
        <v>145838410.9120979</v>
      </c>
    </row>
    <row r="3584" spans="1:2" x14ac:dyDescent="0.25">
      <c r="A3584">
        <f ca="1">26815.7181539609*((RANDBETWEEN(2979,3282)))</f>
        <v>85300799.4477496</v>
      </c>
      <c r="B3584">
        <v>144621978.84394455</v>
      </c>
    </row>
    <row r="3585" spans="1:2" x14ac:dyDescent="0.25">
      <c r="A3585">
        <f ca="1">27944.0292044455*((RANDBETWEEN(2979,3282)))</f>
        <v>88778180.7825232</v>
      </c>
      <c r="B3585">
        <v>182336034.20390943</v>
      </c>
    </row>
    <row r="3586" spans="1:2" x14ac:dyDescent="0.25">
      <c r="A3586">
        <f ca="1">25873.8704122664*((RANDBETWEEN(2979,3282)))</f>
        <v>82123664.688533589</v>
      </c>
      <c r="B3586">
        <v>156730951.26378506</v>
      </c>
    </row>
    <row r="3587" spans="1:2" x14ac:dyDescent="0.25">
      <c r="A3587">
        <f ca="1">30784.2851356481*((RANDBETWEEN(2979,3282)))</f>
        <v>97155203.888105527</v>
      </c>
      <c r="B3587">
        <v>161166579.66491112</v>
      </c>
    </row>
    <row r="3588" spans="1:2" x14ac:dyDescent="0.25">
      <c r="A3588">
        <f ca="1">26746.1045326103*((RANDBETWEEN(2979,3282)))</f>
        <v>80639505.165820062</v>
      </c>
      <c r="B3588">
        <v>144235833.18526581</v>
      </c>
    </row>
    <row r="3589" spans="1:2" x14ac:dyDescent="0.25">
      <c r="A3589">
        <f ca="1">26994.4589629191*((RANDBETWEEN(2979,3282)))</f>
        <v>86544235.435118541</v>
      </c>
      <c r="B3589">
        <v>150204849.0225893</v>
      </c>
    </row>
    <row r="3590" spans="1:2" x14ac:dyDescent="0.25">
      <c r="A3590">
        <f ca="1">31078.4075426604*((RANDBETWEEN(2979,3282)))</f>
        <v>99917080.249653324</v>
      </c>
      <c r="B3590">
        <v>151670436.97259253</v>
      </c>
    </row>
    <row r="3591" spans="1:2" x14ac:dyDescent="0.25">
      <c r="A3591">
        <f ca="1">31179.3981916753*((RANDBETWEEN(2979,3282)))</f>
        <v>97529157.54356049</v>
      </c>
      <c r="B3591">
        <v>161602531.38504928</v>
      </c>
    </row>
    <row r="3592" spans="1:2" x14ac:dyDescent="0.25">
      <c r="A3592">
        <f ca="1">30571.7217039537*((RANDBETWEEN(2979,3282)))</f>
        <v>94741765.560552388</v>
      </c>
      <c r="B3592">
        <v>166794144.83039343</v>
      </c>
    </row>
    <row r="3593" spans="1:2" x14ac:dyDescent="0.25">
      <c r="A3593">
        <f ca="1">27932.1779710713*((RANDBETWEEN(2979,3282)))</f>
        <v>84299313.116693258</v>
      </c>
      <c r="B3593">
        <v>197081430.89819139</v>
      </c>
    </row>
    <row r="3594" spans="1:2" x14ac:dyDescent="0.25">
      <c r="A3594">
        <f ca="1">31210.3520317574*((RANDBETWEEN(2979,3282)))</f>
        <v>94692208.064351857</v>
      </c>
      <c r="B3594">
        <v>188610122.49176192</v>
      </c>
    </row>
    <row r="3595" spans="1:2" x14ac:dyDescent="0.25">
      <c r="A3595">
        <f ca="1">27527.7225658885*((RANDBETWEEN(2979,3282)))</f>
        <v>84592691.444975227</v>
      </c>
      <c r="B3595">
        <v>170325880.47053593</v>
      </c>
    </row>
    <row r="3596" spans="1:2" x14ac:dyDescent="0.25">
      <c r="A3596">
        <f ca="1">27275.4743862938*((RANDBETWEEN(2979,3282)))</f>
        <v>83517502.570831656</v>
      </c>
      <c r="B3596">
        <v>173651284.76967433</v>
      </c>
    </row>
    <row r="3597" spans="1:2" x14ac:dyDescent="0.25">
      <c r="A3597">
        <f ca="1">25771.3100248526*((RANDBETWEEN(2979,3282)))</f>
        <v>79272549.63644664</v>
      </c>
      <c r="B3597">
        <v>156690555.80135268</v>
      </c>
    </row>
    <row r="3598" spans="1:2" x14ac:dyDescent="0.25">
      <c r="A3598">
        <f ca="1">26094.5778943664*((RANDBETWEEN(2979,3282)))</f>
        <v>83659216.729338601</v>
      </c>
      <c r="B3598">
        <v>155174262.58032462</v>
      </c>
    </row>
    <row r="3599" spans="1:2" x14ac:dyDescent="0.25">
      <c r="A3599">
        <f ca="1">25101.3733869618*((RANDBETWEEN(2979,3282)))</f>
        <v>81955984.10843052</v>
      </c>
      <c r="B3599">
        <v>149107333.98330194</v>
      </c>
    </row>
    <row r="3600" spans="1:2" x14ac:dyDescent="0.25">
      <c r="A3600">
        <f ca="1">26121.7276354864*((RANDBETWEEN(2979,3282)))</f>
        <v>85235197.274592131</v>
      </c>
      <c r="B3600">
        <v>149623231.38386232</v>
      </c>
    </row>
    <row r="3601" spans="1:2" x14ac:dyDescent="0.25">
      <c r="A3601">
        <f ca="1">27377.6000040368*((RANDBETWEEN(2979,3282)))</f>
        <v>86431083.212744206</v>
      </c>
      <c r="B3601">
        <v>194904364.69309869</v>
      </c>
    </row>
    <row r="3602" spans="1:2" x14ac:dyDescent="0.25">
      <c r="A3602">
        <f ca="1">30324.1574240551*((RANDBETWEEN(2979,3282)))</f>
        <v>92882894.189880893</v>
      </c>
      <c r="B3602">
        <v>171286504.43648949</v>
      </c>
    </row>
    <row r="3603" spans="1:2" x14ac:dyDescent="0.25">
      <c r="A3603">
        <f ca="1">28017.191228643*((RANDBETWEEN(2979,3282)))</f>
        <v>84079590.877157509</v>
      </c>
      <c r="B3603">
        <v>153409039.4806456</v>
      </c>
    </row>
    <row r="3604" spans="1:2" x14ac:dyDescent="0.25">
      <c r="A3604">
        <f ca="1">32138.8595732385*((RANDBETWEEN(2979,3282)))</f>
        <v>96737967.315447956</v>
      </c>
      <c r="B3604">
        <v>187727159.91573882</v>
      </c>
    </row>
    <row r="3605" spans="1:2" x14ac:dyDescent="0.25">
      <c r="A3605">
        <f ca="1">26318.9334253305*((RANDBETWEEN(2979,3282)))</f>
        <v>84825922.429840118</v>
      </c>
      <c r="B3605">
        <v>154328414.91905287</v>
      </c>
    </row>
    <row r="3606" spans="1:2" x14ac:dyDescent="0.25">
      <c r="A3606">
        <f ca="1">30122.9097666762*((RANDBETWEEN(2979,3282)))</f>
        <v>92477332.983695894</v>
      </c>
      <c r="B3606">
        <v>149150322.70158479</v>
      </c>
    </row>
    <row r="3607" spans="1:2" x14ac:dyDescent="0.25">
      <c r="A3607">
        <f ca="1">25622.8608059327*((RANDBETWEEN(2979,3282)))</f>
        <v>76714845.252962545</v>
      </c>
      <c r="B3607">
        <v>143143665.46053261</v>
      </c>
    </row>
    <row r="3608" spans="1:2" x14ac:dyDescent="0.25">
      <c r="A3608">
        <f ca="1">25717.1247511897*((RANDBETWEEN(2979,3282)))</f>
        <v>81008942.966247588</v>
      </c>
      <c r="B3608">
        <v>144178649.58986059</v>
      </c>
    </row>
    <row r="3609" spans="1:2" x14ac:dyDescent="0.25">
      <c r="A3609">
        <f ca="1">26768.8551355949*((RANDBETWEEN(2979,3282)))</f>
        <v>84375431.387395099</v>
      </c>
      <c r="B3609">
        <v>154441519.33439317</v>
      </c>
    </row>
    <row r="3610" spans="1:2" x14ac:dyDescent="0.25">
      <c r="A3610">
        <f ca="1">27016.0180104943*((RANDBETWEEN(2979,3282)))</f>
        <v>83668607.778500915</v>
      </c>
      <c r="B3610">
        <v>178955499.33873612</v>
      </c>
    </row>
    <row r="3611" spans="1:2" x14ac:dyDescent="0.25">
      <c r="A3611">
        <f ca="1">29114.423809397*((RANDBETWEEN(2979,3282)))</f>
        <v>87168584.885334477</v>
      </c>
      <c r="B3611">
        <v>168573088.83801353</v>
      </c>
    </row>
    <row r="3612" spans="1:2" x14ac:dyDescent="0.25">
      <c r="A3612">
        <f ca="1">26850.1351462758*((RANDBETWEEN(2979,3282)))</f>
        <v>81919762.331287399</v>
      </c>
      <c r="B3612">
        <v>173908688.3916975</v>
      </c>
    </row>
    <row r="3613" spans="1:2" x14ac:dyDescent="0.25">
      <c r="A3613">
        <f ca="1">26046.1234528687*((RANDBETWEEN(2979,3282)))</f>
        <v>83321548.925726816</v>
      </c>
      <c r="B3613">
        <v>185724165.37215465</v>
      </c>
    </row>
    <row r="3614" spans="1:2" x14ac:dyDescent="0.25">
      <c r="A3614">
        <f ca="1">28501.5495060845*((RANDBETWEEN(2979,3282)))</f>
        <v>87927280.226270765</v>
      </c>
      <c r="B3614">
        <v>153091361.4081246</v>
      </c>
    </row>
    <row r="3615" spans="1:2" x14ac:dyDescent="0.25">
      <c r="A3615">
        <f ca="1">27030.9940754952*((RANDBETWEEN(2979,3282)))</f>
        <v>87661513.786831051</v>
      </c>
      <c r="B3615">
        <v>149421005.42199522</v>
      </c>
    </row>
    <row r="3616" spans="1:2" x14ac:dyDescent="0.25">
      <c r="A3616">
        <f ca="1">29281.9526906708*((RANDBETWEEN(2979,3282)))</f>
        <v>93936504.231672004</v>
      </c>
      <c r="B3616">
        <v>153388111.489804</v>
      </c>
    </row>
    <row r="3617" spans="1:2" x14ac:dyDescent="0.25">
      <c r="A3617">
        <f ca="1">28513.5444627481*((RANDBETWEEN(2979,3282)))</f>
        <v>91556991.269884109</v>
      </c>
      <c r="B3617">
        <v>193516515.08522612</v>
      </c>
    </row>
    <row r="3618" spans="1:2" x14ac:dyDescent="0.25">
      <c r="A3618">
        <f ca="1">27312.9869874303*((RANDBETWEEN(2979,3282)))</f>
        <v>85653527.192581326</v>
      </c>
      <c r="B3618">
        <v>143620677.20858759</v>
      </c>
    </row>
    <row r="3619" spans="1:2" x14ac:dyDescent="0.25">
      <c r="A3619">
        <f ca="1">26830.7105176149*((RANDBETWEEN(2979,3282)))</f>
        <v>86985163.498107493</v>
      </c>
      <c r="B3619">
        <v>154000194.79453117</v>
      </c>
    </row>
    <row r="3620" spans="1:2" x14ac:dyDescent="0.25">
      <c r="A3620">
        <f ca="1">27566.0165767674*((RANDBETWEEN(2979,3282)))</f>
        <v>85509783.42113249</v>
      </c>
      <c r="B3620">
        <v>143789582.30072692</v>
      </c>
    </row>
    <row r="3621" spans="1:2" x14ac:dyDescent="0.25">
      <c r="A3621">
        <f ca="1">26108.9830709253*((RANDBETWEEN(2979,3282)))</f>
        <v>83444309.894677147</v>
      </c>
      <c r="B3621">
        <v>147008213.8269698</v>
      </c>
    </row>
    <row r="3622" spans="1:2" x14ac:dyDescent="0.25">
      <c r="A3622">
        <f ca="1">29774.2605805157*((RANDBETWEEN(2979,3282)))</f>
        <v>96557927.062612444</v>
      </c>
      <c r="B3622">
        <v>169225526.28938571</v>
      </c>
    </row>
    <row r="3623" spans="1:2" x14ac:dyDescent="0.25">
      <c r="A3623">
        <f ca="1">26557.9442091642*((RANDBETWEEN(2979,3282)))</f>
        <v>83338828.928357154</v>
      </c>
      <c r="B3623">
        <v>156843136.63198715</v>
      </c>
    </row>
    <row r="3624" spans="1:2" x14ac:dyDescent="0.25">
      <c r="A3624">
        <f ca="1">26057.8598904297*((RANDBETWEEN(2979,3282)))</f>
        <v>83906308.847183719</v>
      </c>
      <c r="B3624">
        <v>163159112.49559289</v>
      </c>
    </row>
    <row r="3625" spans="1:2" x14ac:dyDescent="0.25">
      <c r="A3625">
        <f ca="1">31064.6529770637*((RANDBETWEEN(2979,3282)))</f>
        <v>92541601.218672916</v>
      </c>
      <c r="B3625">
        <v>202969576.18378627</v>
      </c>
    </row>
    <row r="3626" spans="1:2" x14ac:dyDescent="0.25">
      <c r="A3626">
        <f ca="1">27307.034267107*((RANDBETWEEN(2979,3282)))</f>
        <v>86235614.215523764</v>
      </c>
      <c r="B3626">
        <v>183089956.93333972</v>
      </c>
    </row>
    <row r="3627" spans="1:2" x14ac:dyDescent="0.25">
      <c r="A3627">
        <f ca="1">29814.5912098688*((RANDBETWEEN(2979,3282)))</f>
        <v>97463898.665061057</v>
      </c>
      <c r="B3627">
        <v>155007960.76778537</v>
      </c>
    </row>
    <row r="3628" spans="1:2" x14ac:dyDescent="0.25">
      <c r="A3628">
        <f ca="1">26155.2403020854*((RANDBETWEEN(2979,3282)))</f>
        <v>85292238.625100344</v>
      </c>
      <c r="B3628">
        <v>145158509.59529033</v>
      </c>
    </row>
    <row r="3629" spans="1:2" x14ac:dyDescent="0.25">
      <c r="A3629">
        <f ca="1">27278.0014755668*((RANDBETWEEN(2979,3282)))</f>
        <v>82161340.444407061</v>
      </c>
      <c r="B3629">
        <v>146339635.50737491</v>
      </c>
    </row>
    <row r="3630" spans="1:2" x14ac:dyDescent="0.25">
      <c r="A3630">
        <f ca="1">25603.8195309484*((RANDBETWEEN(2979,3282)))</f>
        <v>79038990.892037839</v>
      </c>
      <c r="B3630">
        <v>155600055.7657755</v>
      </c>
    </row>
    <row r="3631" spans="1:2" x14ac:dyDescent="0.25">
      <c r="A3631">
        <f ca="1">30844.0680727462*((RANDBETWEEN(2979,3282)))</f>
        <v>96572777.135768309</v>
      </c>
      <c r="B3631">
        <v>155639906.63572431</v>
      </c>
    </row>
    <row r="3632" spans="1:2" x14ac:dyDescent="0.25">
      <c r="A3632">
        <f ca="1">30236.0431158089*((RANDBETWEEN(2979,3282)))</f>
        <v>98025251.781452417</v>
      </c>
      <c r="B3632">
        <v>153239192.05735749</v>
      </c>
    </row>
    <row r="3633" spans="1:2" x14ac:dyDescent="0.25">
      <c r="A3633">
        <f ca="1">33250.3329452024*((RANDBETWEEN(2979,3282)))</f>
        <v>99917250.50033316</v>
      </c>
      <c r="B3633">
        <v>183426844.33392167</v>
      </c>
    </row>
    <row r="3634" spans="1:2" x14ac:dyDescent="0.25">
      <c r="A3634">
        <f ca="1">30043.8545296372*((RANDBETWEEN(2979,3282)))</f>
        <v>91633756.315393463</v>
      </c>
      <c r="B3634">
        <v>165151867.40327525</v>
      </c>
    </row>
    <row r="3635" spans="1:2" x14ac:dyDescent="0.25">
      <c r="A3635">
        <f ca="1">28909.3546680795*((RANDBETWEEN(2979,3282)))</f>
        <v>92394297.519181982</v>
      </c>
      <c r="B3635">
        <v>191186023.24858814</v>
      </c>
    </row>
    <row r="3636" spans="1:2" x14ac:dyDescent="0.25">
      <c r="A3636">
        <f ca="1">26263.9712646423*((RANDBETWEEN(2979,3282)))</f>
        <v>84780099.24226521</v>
      </c>
      <c r="B3636">
        <v>144731113.12671059</v>
      </c>
    </row>
    <row r="3637" spans="1:2" x14ac:dyDescent="0.25">
      <c r="A3637">
        <f ca="1">29434.3495606933*((RANDBETWEEN(2979,3282)))</f>
        <v>88891735.673293889</v>
      </c>
      <c r="B3637">
        <v>174783926.64597037</v>
      </c>
    </row>
    <row r="3638" spans="1:2" x14ac:dyDescent="0.25">
      <c r="A3638">
        <f ca="1">28309.9876368184*((RANDBETWEEN(2979,3282)))</f>
        <v>84731792.996997565</v>
      </c>
      <c r="B3638">
        <v>191107882.49651226</v>
      </c>
    </row>
    <row r="3639" spans="1:2" x14ac:dyDescent="0.25">
      <c r="A3639">
        <f ca="1">32785.7307755238*((RANDBETWEEN(2979,3282)))</f>
        <v>100881693.59628677</v>
      </c>
      <c r="B3639">
        <v>196831462.26267782</v>
      </c>
    </row>
    <row r="3640" spans="1:2" x14ac:dyDescent="0.25">
      <c r="A3640">
        <f ca="1">30043.5665947412*((RANDBETWEEN(2979,3282)))</f>
        <v>95778890.304034844</v>
      </c>
      <c r="B3640">
        <v>160825782.08291274</v>
      </c>
    </row>
    <row r="3641" spans="1:2" x14ac:dyDescent="0.25">
      <c r="A3641">
        <f ca="1">27252.443549462*((RANDBETWEEN(2979,3282)))</f>
        <v>86662770.487289041</v>
      </c>
      <c r="B3641">
        <v>162188617.73675013</v>
      </c>
    </row>
    <row r="3642" spans="1:2" x14ac:dyDescent="0.25">
      <c r="A3642">
        <f ca="1">26371.0555450096*((RANDBETWEEN(2979,3282)))</f>
        <v>84070925.077490568</v>
      </c>
      <c r="B3642">
        <v>158788310.46987325</v>
      </c>
    </row>
    <row r="3643" spans="1:2" x14ac:dyDescent="0.25">
      <c r="A3643">
        <f ca="1">29118.1939734938*((RANDBETWEEN(2979,3282)))</f>
        <v>95507676.233059764</v>
      </c>
      <c r="B3643">
        <v>159434424.48636466</v>
      </c>
    </row>
    <row r="3644" spans="1:2" x14ac:dyDescent="0.25">
      <c r="A3644">
        <f ca="1">28021.9543036715*((RANDBETWEEN(2979,3282)))</f>
        <v>85130697.174554035</v>
      </c>
      <c r="B3644">
        <v>168301119.75154537</v>
      </c>
    </row>
    <row r="3645" spans="1:2" x14ac:dyDescent="0.25">
      <c r="A3645">
        <f ca="1">28231.6854134056*((RANDBETWEEN(2979,3282)))</f>
        <v>85993713.769233584</v>
      </c>
      <c r="B3645">
        <v>176374093.61639246</v>
      </c>
    </row>
    <row r="3646" spans="1:2" x14ac:dyDescent="0.25">
      <c r="A3646">
        <f ca="1">30235.2265841863*((RANDBETWEEN(2979,3282)))</f>
        <v>94999081.927513421</v>
      </c>
      <c r="B3646">
        <v>188441650.16547614</v>
      </c>
    </row>
    <row r="3647" spans="1:2" x14ac:dyDescent="0.25">
      <c r="A3647">
        <f ca="1">28442.3953106844*((RANDBETWEEN(2979,3282)))</f>
        <v>88910927.741199359</v>
      </c>
      <c r="B3647">
        <v>149315933.80455813</v>
      </c>
    </row>
    <row r="3648" spans="1:2" x14ac:dyDescent="0.25">
      <c r="A3648">
        <f ca="1">28526.7488477429*((RANDBETWEEN(2979,3282)))</f>
        <v>86892476.990224838</v>
      </c>
      <c r="B3648">
        <v>151713601.52151909</v>
      </c>
    </row>
    <row r="3649" spans="1:2" x14ac:dyDescent="0.25">
      <c r="A3649">
        <f ca="1">30488.7995231206*((RANDBETWEEN(2979,3282)))</f>
        <v>95704341.703075573</v>
      </c>
      <c r="B3649">
        <v>200881804.78287864</v>
      </c>
    </row>
    <row r="3650" spans="1:2" x14ac:dyDescent="0.25">
      <c r="A3650">
        <f ca="1">36770.8776125054*((RANDBETWEEN(2979,3282)))</f>
        <v>115938577.11222954</v>
      </c>
      <c r="B3650">
        <v>190401043.71246943</v>
      </c>
    </row>
    <row r="3651" spans="1:2" x14ac:dyDescent="0.25">
      <c r="A3651">
        <f ca="1">26770.4725631217*((RANDBETWEEN(2979,3282)))</f>
        <v>81971186.988278717</v>
      </c>
      <c r="B3651">
        <v>163944324.10908541</v>
      </c>
    </row>
    <row r="3652" spans="1:2" x14ac:dyDescent="0.25">
      <c r="A3652">
        <f ca="1">31600.4587867309*((RANDBETWEEN(2979,3282)))</f>
        <v>101184669.03511229</v>
      </c>
      <c r="B3652">
        <v>172529943.85521588</v>
      </c>
    </row>
    <row r="3653" spans="1:2" x14ac:dyDescent="0.25">
      <c r="A3653">
        <f ca="1">26297.3143927685*((RANDBETWEEN(2979,3282)))</f>
        <v>84466973.829572469</v>
      </c>
      <c r="B3653">
        <v>176793534.32778913</v>
      </c>
    </row>
    <row r="3654" spans="1:2" x14ac:dyDescent="0.25">
      <c r="A3654">
        <f ca="1">27870.7889457025*((RANDBETWEEN(2979,3282)))</f>
        <v>90134131.450401813</v>
      </c>
      <c r="B3654">
        <v>172693037.52851093</v>
      </c>
    </row>
    <row r="3655" spans="1:2" x14ac:dyDescent="0.25">
      <c r="A3655">
        <f ca="1">29641.5139520074*((RANDBETWEEN(2979,3282)))</f>
        <v>90317693.011766613</v>
      </c>
      <c r="B3655">
        <v>164466721.1883176</v>
      </c>
    </row>
    <row r="3656" spans="1:2" x14ac:dyDescent="0.25">
      <c r="A3656">
        <f ca="1">25204.0279158729*((RANDBETWEEN(2979,3282)))</f>
        <v>78737383.209186867</v>
      </c>
      <c r="B3656">
        <v>166804061.60934451</v>
      </c>
    </row>
    <row r="3657" spans="1:2" x14ac:dyDescent="0.25">
      <c r="A3657">
        <f ca="1">26625.1026945329*((RANDBETWEEN(2979,3282)))</f>
        <v>87197211.324595347</v>
      </c>
      <c r="B3657">
        <v>154974795.37984851</v>
      </c>
    </row>
    <row r="3658" spans="1:2" x14ac:dyDescent="0.25">
      <c r="A3658">
        <f ca="1">27550.2617939094*((RANDBETWEEN(2979,3282)))</f>
        <v>89262848.212266564</v>
      </c>
      <c r="B3658">
        <v>159304276.66662782</v>
      </c>
    </row>
    <row r="3659" spans="1:2" x14ac:dyDescent="0.25">
      <c r="A3659">
        <f ca="1">26171.7722615741*((RANDBETWEEN(2979,3282)))</f>
        <v>85581695.295347258</v>
      </c>
      <c r="B3659">
        <v>143252562.10214603</v>
      </c>
    </row>
    <row r="3660" spans="1:2" x14ac:dyDescent="0.25">
      <c r="A3660">
        <f ca="1">29923.9341745972*((RANDBETWEEN(2979,3282)))</f>
        <v>92674424.138727427</v>
      </c>
      <c r="B3660">
        <v>167674119.98674029</v>
      </c>
    </row>
    <row r="3661" spans="1:2" x14ac:dyDescent="0.25">
      <c r="A3661">
        <f ca="1">30488.3218549193*((RANDBETWEEN(2979,3282)))</f>
        <v>99513882.534456581</v>
      </c>
      <c r="B3661">
        <v>155385852.38835812</v>
      </c>
    </row>
    <row r="3662" spans="1:2" x14ac:dyDescent="0.25">
      <c r="A3662">
        <f ca="1">26388.0237904509*((RANDBETWEEN(2979,3282)))</f>
        <v>80562636.632246554</v>
      </c>
      <c r="B3662">
        <v>145970739.20404974</v>
      </c>
    </row>
    <row r="3663" spans="1:2" x14ac:dyDescent="0.25">
      <c r="A3663">
        <f ca="1">29521.3076293321*((RANDBETWEEN(2979,3282)))</f>
        <v>96741325.101321548</v>
      </c>
      <c r="B3663">
        <v>153882350.00258118</v>
      </c>
    </row>
    <row r="3664" spans="1:2" x14ac:dyDescent="0.25">
      <c r="A3664">
        <f ca="1">31864.764401431*((RANDBETWEEN(2979,3282)))</f>
        <v>103018783.30982633</v>
      </c>
      <c r="B3664">
        <v>148775663.64585561</v>
      </c>
    </row>
    <row r="3665" spans="1:2" x14ac:dyDescent="0.25">
      <c r="A3665">
        <f ca="1">28397.004751647*((RANDBETWEEN(2979,3282)))</f>
        <v>91750722.352571398</v>
      </c>
      <c r="B3665">
        <v>168082104.49657354</v>
      </c>
    </row>
    <row r="3666" spans="1:2" x14ac:dyDescent="0.25">
      <c r="A3666">
        <f ca="1">26409.7042530186*((RANDBETWEEN(2979,3282)))</f>
        <v>82530325.790683225</v>
      </c>
      <c r="B3666">
        <v>152849010.09035927</v>
      </c>
    </row>
    <row r="3667" spans="1:2" x14ac:dyDescent="0.25">
      <c r="A3667">
        <f ca="1">25683.2303657657*((RANDBETWEEN(2979,3282)))</f>
        <v>77691771.856441349</v>
      </c>
      <c r="B3667">
        <v>160653449.08335266</v>
      </c>
    </row>
    <row r="3668" spans="1:2" x14ac:dyDescent="0.25">
      <c r="A3668">
        <f ca="1">26841.6037805494*((RANDBETWEEN(2979,3282)))</f>
        <v>85651557.66373311</v>
      </c>
      <c r="B3668">
        <v>176089496.57111454</v>
      </c>
    </row>
    <row r="3669" spans="1:2" x14ac:dyDescent="0.25">
      <c r="A3669">
        <f ca="1">27494.0867396575*((RANDBETWEEN(2979,3282)))</f>
        <v>87568666.265809149</v>
      </c>
      <c r="B3669">
        <v>175536190.30344385</v>
      </c>
    </row>
    <row r="3670" spans="1:2" x14ac:dyDescent="0.25">
      <c r="A3670">
        <f ca="1">27306.3163027153*((RANDBETWEEN(2979,3282)))</f>
        <v>86287959.516580492</v>
      </c>
      <c r="B3670">
        <v>176349226.41303968</v>
      </c>
    </row>
    <row r="3671" spans="1:2" x14ac:dyDescent="0.25">
      <c r="A3671">
        <f ca="1">28076.3656758852*((RANDBETWEEN(2979,3282)))</f>
        <v>89507453.774722129</v>
      </c>
      <c r="B3671">
        <v>157769512.55934638</v>
      </c>
    </row>
    <row r="3672" spans="1:2" x14ac:dyDescent="0.25">
      <c r="A3672">
        <f ca="1">28330.219831928*((RANDBETWEEN(2979,3282)))</f>
        <v>89013550.711917773</v>
      </c>
      <c r="B3672">
        <v>154817035.29992685</v>
      </c>
    </row>
    <row r="3673" spans="1:2" x14ac:dyDescent="0.25">
      <c r="A3673">
        <f ca="1">30111.4026492499*((RANDBETWEEN(2979,3282)))</f>
        <v>94098133.278905913</v>
      </c>
      <c r="B3673">
        <v>176623997.93573686</v>
      </c>
    </row>
    <row r="3674" spans="1:2" x14ac:dyDescent="0.25">
      <c r="A3674">
        <f ca="1">27580.3364766101*((RANDBETWEEN(2979,3282)))</f>
        <v>88753522.781731203</v>
      </c>
      <c r="B3674">
        <v>194570841.49966308</v>
      </c>
    </row>
    <row r="3675" spans="1:2" x14ac:dyDescent="0.25">
      <c r="A3675">
        <f ca="1">30619.8846827043*((RANDBETWEEN(2979,3282)))</f>
        <v>94094905.629950225</v>
      </c>
      <c r="B3675">
        <v>202284388.24614063</v>
      </c>
    </row>
    <row r="3676" spans="1:2" x14ac:dyDescent="0.25">
      <c r="A3676">
        <f ca="1">29527.3392808268*((RANDBETWEEN(2979,3282)))</f>
        <v>94280794.323680028</v>
      </c>
      <c r="B3676">
        <v>163029341.20586634</v>
      </c>
    </row>
    <row r="3677" spans="1:2" x14ac:dyDescent="0.25">
      <c r="A3677">
        <f ca="1">27419.7777326441*((RANDBETWEEN(2979,3282)))</f>
        <v>89223956.74202396</v>
      </c>
      <c r="B3677">
        <v>174831454.24128866</v>
      </c>
    </row>
    <row r="3678" spans="1:2" x14ac:dyDescent="0.25">
      <c r="A3678">
        <f ca="1">26330.6899554479*((RANDBETWEEN(2979,3282)))</f>
        <v>84521514.75698781</v>
      </c>
      <c r="B3678">
        <v>146966686.65556931</v>
      </c>
    </row>
    <row r="3679" spans="1:2" x14ac:dyDescent="0.25">
      <c r="A3679">
        <f ca="1">33505.9752781968*((RANDBETWEEN(2979,3282)))</f>
        <v>108358324.04968832</v>
      </c>
      <c r="B3679">
        <v>190086370.02447292</v>
      </c>
    </row>
    <row r="3680" spans="1:2" x14ac:dyDescent="0.25">
      <c r="A3680">
        <f ca="1">26144.6318409092*((RANDBETWEEN(2979,3282)))</f>
        <v>77937147.517750278</v>
      </c>
      <c r="B3680">
        <v>157334184.96587145</v>
      </c>
    </row>
    <row r="3681" spans="1:2" x14ac:dyDescent="0.25">
      <c r="A3681">
        <f ca="1">27096.3503583363*((RANDBETWEEN(2979,3282)))</f>
        <v>85814141.584851205</v>
      </c>
      <c r="B3681">
        <v>165753072.25808123</v>
      </c>
    </row>
    <row r="3682" spans="1:2" x14ac:dyDescent="0.25">
      <c r="A3682">
        <f ca="1">26585.4170390444*((RANDBETWEEN(2979,3282)))</f>
        <v>87120411.636948571</v>
      </c>
      <c r="B3682">
        <v>152441083.14368451</v>
      </c>
    </row>
    <row r="3683" spans="1:2" x14ac:dyDescent="0.25">
      <c r="A3683">
        <f ca="1">25592.2368759544*((RANDBETWEEN(2979,3282)))</f>
        <v>78337837.077296332</v>
      </c>
      <c r="B3683">
        <v>147863000.06134835</v>
      </c>
    </row>
    <row r="3684" spans="1:2" x14ac:dyDescent="0.25">
      <c r="A3684">
        <f ca="1">25925.5615574002*((RANDBETWEEN(2979,3282)))</f>
        <v>83921042.761304304</v>
      </c>
      <c r="B3684">
        <v>154282090.96080646</v>
      </c>
    </row>
    <row r="3685" spans="1:2" x14ac:dyDescent="0.25">
      <c r="A3685">
        <f ca="1">32005.0298418864*((RANDBETWEEN(2979,3282)))</f>
        <v>99567647.838108614</v>
      </c>
      <c r="B3685">
        <v>157035283.95183375</v>
      </c>
    </row>
    <row r="3686" spans="1:2" x14ac:dyDescent="0.25">
      <c r="A3686">
        <f ca="1">29340.2478484632*((RANDBETWEEN(2979,3282)))</f>
        <v>95091743.276869282</v>
      </c>
      <c r="B3686">
        <v>199977054.23203176</v>
      </c>
    </row>
    <row r="3687" spans="1:2" x14ac:dyDescent="0.25">
      <c r="A3687">
        <f ca="1">28544.4236680524*((RANDBETWEEN(2979,3282)))</f>
        <v>86717959.103543177</v>
      </c>
      <c r="B3687">
        <v>179578953.57909155</v>
      </c>
    </row>
    <row r="3688" spans="1:2" x14ac:dyDescent="0.25">
      <c r="A3688">
        <f ca="1">27581.5886236336*((RANDBETWEEN(2979,3282)))</f>
        <v>87709451.823154911</v>
      </c>
      <c r="B3688">
        <v>186409557.41166055</v>
      </c>
    </row>
    <row r="3689" spans="1:2" x14ac:dyDescent="0.25">
      <c r="A3689">
        <f ca="1">26603.4590690591*((RANDBETWEEN(2979,3282)))</f>
        <v>86913500.778616175</v>
      </c>
      <c r="B3689">
        <v>152532806.42201144</v>
      </c>
    </row>
    <row r="3690" spans="1:2" x14ac:dyDescent="0.25">
      <c r="A3690">
        <f ca="1">25602.5293166635*((RANDBETWEEN(2979,3282)))</f>
        <v>78215727.062406972</v>
      </c>
      <c r="B3690">
        <v>152227994.6162799</v>
      </c>
    </row>
    <row r="3691" spans="1:2" x14ac:dyDescent="0.25">
      <c r="A3691">
        <f ca="1">26480.4316228553*((RANDBETWEEN(2979,3282)))</f>
        <v>82460064.073571533</v>
      </c>
      <c r="B3691">
        <v>163943841.5314095</v>
      </c>
    </row>
    <row r="3692" spans="1:2" x14ac:dyDescent="0.25">
      <c r="A3692">
        <f ca="1">28762.408363634*((RANDBETWEEN(2979,3282)))</f>
        <v>91493221.004719839</v>
      </c>
      <c r="B3692">
        <v>164731764.88827461</v>
      </c>
    </row>
    <row r="3693" spans="1:2" x14ac:dyDescent="0.25">
      <c r="A3693">
        <f ca="1">28355.3298350237*((RANDBETWEEN(2979,3282)))</f>
        <v>92778639.22019738</v>
      </c>
      <c r="B3693">
        <v>192349119.61282942</v>
      </c>
    </row>
    <row r="3694" spans="1:2" x14ac:dyDescent="0.25">
      <c r="A3694">
        <f ca="1">28854.703441083*((RANDBETWEEN(2979,3282)))</f>
        <v>90488349.991236314</v>
      </c>
      <c r="B3694">
        <v>147738327.22821754</v>
      </c>
    </row>
    <row r="3695" spans="1:2" x14ac:dyDescent="0.25">
      <c r="A3695">
        <f ca="1">29144.0319369897*((RANDBETWEEN(2979,3282)))</f>
        <v>94339231.380035594</v>
      </c>
      <c r="B3695">
        <v>191762407.11886209</v>
      </c>
    </row>
    <row r="3696" spans="1:2" x14ac:dyDescent="0.25">
      <c r="A3696">
        <f ca="1">26095.4380021752*((RANDBETWEEN(2979,3282)))</f>
        <v>78390695.758534208</v>
      </c>
      <c r="B3696">
        <v>156375295.21689814</v>
      </c>
    </row>
    <row r="3697" spans="1:2" x14ac:dyDescent="0.25">
      <c r="A3697">
        <f ca="1">28003.8820307891*((RANDBETWEEN(2979,3282)))</f>
        <v>86952053.705600172</v>
      </c>
      <c r="B3697">
        <v>152843443.07883486</v>
      </c>
    </row>
    <row r="3698" spans="1:2" x14ac:dyDescent="0.25">
      <c r="A3698">
        <f ca="1">28195.8145060786*((RANDBETWEEN(2979,3282)))</f>
        <v>86194604.945082366</v>
      </c>
      <c r="B3698">
        <v>166876703.27914456</v>
      </c>
    </row>
    <row r="3699" spans="1:2" x14ac:dyDescent="0.25">
      <c r="A3699">
        <f ca="1">26830.7586550893*((RANDBETWEEN(2979,3282)))</f>
        <v>84409566.728910908</v>
      </c>
      <c r="B3699">
        <v>148207582.38770956</v>
      </c>
    </row>
    <row r="3700" spans="1:2" x14ac:dyDescent="0.25">
      <c r="A3700">
        <f ca="1">30762.5044959854*((RANDBETWEEN(2979,3282)))</f>
        <v>99485939.540016815</v>
      </c>
      <c r="B3700">
        <v>191095019.24038127</v>
      </c>
    </row>
    <row r="3701" spans="1:2" x14ac:dyDescent="0.25">
      <c r="A3701">
        <f ca="1">26200.2163146285*((RANDBETWEEN(2979,3282)))</f>
        <v>85438905.402003601</v>
      </c>
      <c r="B3701">
        <v>173509519.73286366</v>
      </c>
    </row>
    <row r="3702" spans="1:2" x14ac:dyDescent="0.25">
      <c r="A3702">
        <f ca="1">27132.5979843516*((RANDBETWEEN(2979,3282)))</f>
        <v>81234998.365148619</v>
      </c>
      <c r="B3702">
        <v>151743669.51765153</v>
      </c>
    </row>
    <row r="3703" spans="1:2" x14ac:dyDescent="0.25">
      <c r="A3703">
        <f ca="1">28470.0686530091*((RANDBETWEEN(2979,3282)))</f>
        <v>93381825.18186985</v>
      </c>
      <c r="B3703">
        <v>165941801.01856294</v>
      </c>
    </row>
    <row r="3704" spans="1:2" x14ac:dyDescent="0.25">
      <c r="A3704">
        <f ca="1">27616.1666123914*((RANDBETWEEN(2979,3282)))</f>
        <v>83925530.335057586</v>
      </c>
      <c r="B3704">
        <v>181381388.05166847</v>
      </c>
    </row>
    <row r="3705" spans="1:2" x14ac:dyDescent="0.25">
      <c r="A3705">
        <f ca="1">28963.0957624258*((RANDBETWEEN(2979,3282)))</f>
        <v>90133154.012669042</v>
      </c>
      <c r="B3705">
        <v>143432693.92486501</v>
      </c>
    </row>
    <row r="3706" spans="1:2" x14ac:dyDescent="0.25">
      <c r="A3706">
        <f ca="1">26821.9341905729*((RANDBETWEEN(2979,3282)))</f>
        <v>85293750.726021901</v>
      </c>
      <c r="B3706">
        <v>186871820.33997887</v>
      </c>
    </row>
    <row r="3707" spans="1:2" x14ac:dyDescent="0.25">
      <c r="A3707">
        <f ca="1">27315.0043174911*((RANDBETWEEN(2979,3282)))</f>
        <v>82518628.043140575</v>
      </c>
      <c r="B3707">
        <v>175830073.27049068</v>
      </c>
    </row>
    <row r="3708" spans="1:2" x14ac:dyDescent="0.25">
      <c r="A3708">
        <f ca="1">27381.1470912*((RANDBETWEEN(2979,3282)))</f>
        <v>89426826.399859056</v>
      </c>
      <c r="B3708">
        <v>153439208.9394221</v>
      </c>
    </row>
    <row r="3709" spans="1:2" x14ac:dyDescent="0.25">
      <c r="A3709">
        <f ca="1">26987.7303276739*((RANDBETWEEN(2979,3282)))</f>
        <v>81988724.735473424</v>
      </c>
      <c r="B3709">
        <v>150039518.71027574</v>
      </c>
    </row>
    <row r="3710" spans="1:2" x14ac:dyDescent="0.25">
      <c r="A3710">
        <f ca="1">27955.8955560903*((RANDBETWEEN(2979,3282)))</f>
        <v>91303954.886190966</v>
      </c>
      <c r="B3710">
        <v>150823431.14953396</v>
      </c>
    </row>
    <row r="3711" spans="1:2" x14ac:dyDescent="0.25">
      <c r="A3711">
        <f ca="1">26208.8450185651*((RANDBETWEEN(2979,3282)))</f>
        <v>78626535.055695206</v>
      </c>
      <c r="B3711">
        <v>155334018.88708323</v>
      </c>
    </row>
    <row r="3712" spans="1:2" x14ac:dyDescent="0.25">
      <c r="A3712">
        <f ca="1">28201.8240432779*((RANDBETWEEN(2979,3282)))</f>
        <v>87820480.070767462</v>
      </c>
      <c r="B3712">
        <v>148941648.24361798</v>
      </c>
    </row>
    <row r="3713" spans="1:2" x14ac:dyDescent="0.25">
      <c r="A3713">
        <f ca="1">28460.406712353*((RANDBETWEEN(2979,3282)))</f>
        <v>87373448.606923863</v>
      </c>
      <c r="B3713">
        <v>183591956.67967704</v>
      </c>
    </row>
    <row r="3714" spans="1:2" x14ac:dyDescent="0.25">
      <c r="A3714">
        <f ca="1">27299.8932394833*((RANDBETWEEN(2979,3282)))</f>
        <v>87550757.61902304</v>
      </c>
      <c r="B3714">
        <v>158253979.39163041</v>
      </c>
    </row>
    <row r="3715" spans="1:2" x14ac:dyDescent="0.25">
      <c r="A3715">
        <f ca="1">26795.2898587134*((RANDBETWEEN(2979,3282)))</f>
        <v>84378367.765088379</v>
      </c>
      <c r="B3715">
        <v>202291311.8098034</v>
      </c>
    </row>
    <row r="3716" spans="1:2" x14ac:dyDescent="0.25">
      <c r="A3716">
        <f ca="1">27779.1937794629*((RANDBETWEEN(2979,3282)))</f>
        <v>85282124.902951002</v>
      </c>
      <c r="B3716">
        <v>147355078.93680257</v>
      </c>
    </row>
    <row r="3717" spans="1:2" x14ac:dyDescent="0.25">
      <c r="A3717">
        <f ca="1">27205.6004903406*((RANDBETWEEN(2979,3282)))</f>
        <v>82269735.882790074</v>
      </c>
      <c r="B3717">
        <v>144548408.89707178</v>
      </c>
    </row>
    <row r="3718" spans="1:2" x14ac:dyDescent="0.25">
      <c r="A3718">
        <f ca="1">29090.6253028255*((RANDBETWEEN(2979,3282)))</f>
        <v>88231866.543469638</v>
      </c>
      <c r="B3718">
        <v>197630240.47658741</v>
      </c>
    </row>
    <row r="3719" spans="1:2" x14ac:dyDescent="0.25">
      <c r="A3719">
        <f ca="1">25933.338535968*((RANDBETWEEN(2979,3282)))</f>
        <v>78085282.331799701</v>
      </c>
      <c r="B3719">
        <v>166888455.61628255</v>
      </c>
    </row>
    <row r="3720" spans="1:2" x14ac:dyDescent="0.25">
      <c r="A3720">
        <f ca="1">27918.3133170404*((RANDBETWEEN(2979,3282)))</f>
        <v>86239669.836337879</v>
      </c>
      <c r="B3720">
        <v>154075233.09619951</v>
      </c>
    </row>
    <row r="3721" spans="1:2" x14ac:dyDescent="0.25">
      <c r="A3721">
        <f ca="1">28077.6783695941*((RANDBETWEEN(2979,3282)))</f>
        <v>87377735.086176902</v>
      </c>
      <c r="B3721">
        <v>185378603.42819273</v>
      </c>
    </row>
    <row r="3722" spans="1:2" x14ac:dyDescent="0.25">
      <c r="A3722">
        <f ca="1">30231.6639609564*((RANDBETWEEN(2979,3282)))</f>
        <v>91057771.850400642</v>
      </c>
      <c r="B3722">
        <v>187948529.57524085</v>
      </c>
    </row>
    <row r="3723" spans="1:2" x14ac:dyDescent="0.25">
      <c r="A3723">
        <f ca="1">31180.3662764129*((RANDBETWEEN(2979,3282)))</f>
        <v>95411920.805823535</v>
      </c>
      <c r="B3723">
        <v>154338908.25714803</v>
      </c>
    </row>
    <row r="3724" spans="1:2" x14ac:dyDescent="0.25">
      <c r="A3724">
        <f ca="1">29815.8110643514*((RANDBETWEEN(2979,3282)))</f>
        <v>96722491.092755854</v>
      </c>
      <c r="B3724">
        <v>195248152.59008074</v>
      </c>
    </row>
    <row r="3725" spans="1:2" x14ac:dyDescent="0.25">
      <c r="A3725">
        <f ca="1">31791.258128362*((RANDBETWEEN(2979,3282)))</f>
        <v>104148161.62851384</v>
      </c>
      <c r="B3725">
        <v>182401871.60771698</v>
      </c>
    </row>
    <row r="3726" spans="1:2" x14ac:dyDescent="0.25">
      <c r="A3726">
        <f ca="1">28095.2490601394*((RANDBETWEEN(2979,3282)))</f>
        <v>91955750.173836187</v>
      </c>
      <c r="B3726">
        <v>186183291.3905322</v>
      </c>
    </row>
    <row r="3727" spans="1:2" x14ac:dyDescent="0.25">
      <c r="A3727">
        <f ca="1">30395.2350873161*((RANDBETWEEN(2979,3282)))</f>
        <v>95045900.118037358</v>
      </c>
      <c r="B3727">
        <v>171278131.0614883</v>
      </c>
    </row>
    <row r="3728" spans="1:2" x14ac:dyDescent="0.25">
      <c r="A3728">
        <f ca="1">27062.3914846159*((RANDBETWEEN(2979,3282)))</f>
        <v>88521082.546178713</v>
      </c>
      <c r="B3728">
        <v>186133234.28452325</v>
      </c>
    </row>
    <row r="3729" spans="1:2" x14ac:dyDescent="0.25">
      <c r="A3729">
        <f ca="1">26742.2787294451*((RANDBETWEEN(2979,3282)))</f>
        <v>81376754.173701406</v>
      </c>
      <c r="B3729">
        <v>162518982.09843799</v>
      </c>
    </row>
    <row r="3730" spans="1:2" x14ac:dyDescent="0.25">
      <c r="A3730">
        <f ca="1">28777.1914619856*((RANDBETWEEN(2979,3282)))</f>
        <v>90561821.530868813</v>
      </c>
      <c r="B3730">
        <v>155880177.56162214</v>
      </c>
    </row>
    <row r="3731" spans="1:2" x14ac:dyDescent="0.25">
      <c r="A3731">
        <f ca="1">26835.8975601083*((RANDBETWEEN(2979,3282)))</f>
        <v>82037338.841251001</v>
      </c>
      <c r="B3731">
        <v>175575993.5103423</v>
      </c>
    </row>
    <row r="3732" spans="1:2" x14ac:dyDescent="0.25">
      <c r="A3732">
        <f ca="1">27586.2435725133*((RANDBETWEEN(2979,3282)))</f>
        <v>87641495.829874784</v>
      </c>
      <c r="B3732">
        <v>147636644.18301216</v>
      </c>
    </row>
    <row r="3733" spans="1:2" x14ac:dyDescent="0.25">
      <c r="A3733">
        <f ca="1">27363.2707241859*((RANDBETWEEN(2979,3282)))</f>
        <v>89532621.809536323</v>
      </c>
      <c r="B3733">
        <v>150498816.55534747</v>
      </c>
    </row>
    <row r="3734" spans="1:2" x14ac:dyDescent="0.25">
      <c r="A3734">
        <f ca="1">26468.589474339*((RANDBETWEEN(2979,3282)))</f>
        <v>83323119.665219083</v>
      </c>
      <c r="B3734">
        <v>156703653.55404854</v>
      </c>
    </row>
    <row r="3735" spans="1:2" x14ac:dyDescent="0.25">
      <c r="A3735">
        <f ca="1">27437.519473508*((RANDBETWEEN(2979,3282)))</f>
        <v>87031811.769967392</v>
      </c>
      <c r="B3735">
        <v>160015914.61031333</v>
      </c>
    </row>
    <row r="3736" spans="1:2" x14ac:dyDescent="0.25">
      <c r="A3736">
        <f ca="1">30589.238188877*((RANDBETWEEN(2979,3282)))</f>
        <v>100087987.35400559</v>
      </c>
      <c r="B3736">
        <v>186295515.68639132</v>
      </c>
    </row>
    <row r="3737" spans="1:2" x14ac:dyDescent="0.25">
      <c r="A3737">
        <f ca="1">33015.3715740639*((RANDBETWEEN(2979,3282)))</f>
        <v>103998420.45830141</v>
      </c>
      <c r="B3737">
        <v>168740237.89060047</v>
      </c>
    </row>
    <row r="3738" spans="1:2" x14ac:dyDescent="0.25">
      <c r="A3738">
        <f ca="1">25803.7913883022*((RANDBETWEEN(2979,3282)))</f>
        <v>83217227.227274612</v>
      </c>
      <c r="B3738">
        <v>167957184.55833358</v>
      </c>
    </row>
    <row r="3739" spans="1:2" x14ac:dyDescent="0.25">
      <c r="A3739">
        <f ca="1">28762.9213393946*((RANDBETWEEN(2979,3282)))</f>
        <v>89136293.230783895</v>
      </c>
      <c r="B3739">
        <v>191370769.96303588</v>
      </c>
    </row>
    <row r="3740" spans="1:2" x14ac:dyDescent="0.25">
      <c r="A3740">
        <f ca="1">27776.353640804*((RANDBETWEEN(2979,3282)))</f>
        <v>88717673.528727859</v>
      </c>
      <c r="B3740">
        <v>184896950.33889347</v>
      </c>
    </row>
    <row r="3741" spans="1:2" x14ac:dyDescent="0.25">
      <c r="A3741">
        <f ca="1">30970.7591769139*((RANDBETWEEN(2979,3282)))</f>
        <v>95637704.338310018</v>
      </c>
      <c r="B3741">
        <v>202429456.49670017</v>
      </c>
    </row>
    <row r="3742" spans="1:2" x14ac:dyDescent="0.25">
      <c r="A3742">
        <f ca="1">27855.4419155008*((RANDBETWEEN(2979,3282)))</f>
        <v>90084499.154729709</v>
      </c>
      <c r="B3742">
        <v>158466119.88874173</v>
      </c>
    </row>
    <row r="3743" spans="1:2" x14ac:dyDescent="0.25">
      <c r="A3743">
        <f ca="1">27170.0327264778*((RANDBETWEEN(2979,3282)))</f>
        <v>87704865.641070247</v>
      </c>
      <c r="B3743">
        <v>177709487.31667781</v>
      </c>
    </row>
    <row r="3744" spans="1:2" x14ac:dyDescent="0.25">
      <c r="A3744">
        <f ca="1">25552.5627149628*((RANDBETWEEN(2979,3282)))</f>
        <v>82100384.003175452</v>
      </c>
      <c r="B3744">
        <v>147593949.54391414</v>
      </c>
    </row>
    <row r="3745" spans="1:2" x14ac:dyDescent="0.25">
      <c r="A3745">
        <f ca="1">29343.0413706012*((RANDBETWEEN(2979,3282)))</f>
        <v>93692331.096329659</v>
      </c>
      <c r="B3745">
        <v>169822194.8820374</v>
      </c>
    </row>
    <row r="3746" spans="1:2" x14ac:dyDescent="0.25">
      <c r="A3746">
        <f ca="1">28082.6572120775*((RANDBETWEEN(2979,3282)))</f>
        <v>85034286.038170666</v>
      </c>
      <c r="B3746">
        <v>200450286.25472441</v>
      </c>
    </row>
    <row r="3747" spans="1:2" x14ac:dyDescent="0.25">
      <c r="A3747">
        <f ca="1">28695.2358666523*((RANDBETWEEN(2979,3282)))</f>
        <v>89414354.960488603</v>
      </c>
      <c r="B3747">
        <v>156075318.67751759</v>
      </c>
    </row>
    <row r="3748" spans="1:2" x14ac:dyDescent="0.25">
      <c r="A3748">
        <f ca="1">32025.947869075*((RANDBETWEEN(2979,3282)))</f>
        <v>105013083.06269689</v>
      </c>
      <c r="B3748">
        <v>193054129.8594251</v>
      </c>
    </row>
    <row r="3749" spans="1:2" x14ac:dyDescent="0.25">
      <c r="A3749">
        <f ca="1">25791.4777904499*((RANDBETWEEN(2979,3282)))</f>
        <v>80907865.828641459</v>
      </c>
      <c r="B3749">
        <v>146739302.35007209</v>
      </c>
    </row>
    <row r="3750" spans="1:2" x14ac:dyDescent="0.25">
      <c r="A3750">
        <f ca="1">30375.6324354355*((RANDBETWEEN(2979,3282)))</f>
        <v>92098917.54424037</v>
      </c>
      <c r="B3750">
        <v>174193741.19329372</v>
      </c>
    </row>
    <row r="3751" spans="1:2" x14ac:dyDescent="0.25">
      <c r="A3751">
        <f ca="1">27400.7799062399*((RANDBETWEEN(2979,3282)))</f>
        <v>81873530.359844938</v>
      </c>
      <c r="B3751">
        <v>172830479.23900804</v>
      </c>
    </row>
    <row r="3752" spans="1:2" x14ac:dyDescent="0.25">
      <c r="A3752">
        <f ca="1">30893.5467963728*((RANDBETWEEN(2979,3282)))</f>
        <v>100898323.83695343</v>
      </c>
      <c r="B3752">
        <v>175975854.29289225</v>
      </c>
    </row>
    <row r="3753" spans="1:2" x14ac:dyDescent="0.25">
      <c r="A3753">
        <f ca="1">27644.9631273308*((RANDBETWEEN(2979,3282)))</f>
        <v>89127361.122514397</v>
      </c>
      <c r="B3753">
        <v>152801960.04425347</v>
      </c>
    </row>
    <row r="3754" spans="1:2" x14ac:dyDescent="0.25">
      <c r="A3754">
        <f ca="1">33990.1945762148*((RANDBETWEEN(2979,3282)))</f>
        <v>109482416.72998786</v>
      </c>
      <c r="B3754">
        <v>183854481.96166176</v>
      </c>
    </row>
    <row r="3755" spans="1:2" x14ac:dyDescent="0.25">
      <c r="A3755">
        <f ca="1">26158.146770269*((RANDBETWEEN(2979,3282)))</f>
        <v>82764376.381131038</v>
      </c>
      <c r="B3755">
        <v>186075523.95171002</v>
      </c>
    </row>
    <row r="3756" spans="1:2" x14ac:dyDescent="0.25">
      <c r="A3756">
        <f ca="1">26892.6122668892*((RANDBETWEEN(2979,3282)))</f>
        <v>87481667.704190552</v>
      </c>
      <c r="B3756">
        <v>180659496.11173999</v>
      </c>
    </row>
    <row r="3757" spans="1:2" x14ac:dyDescent="0.25">
      <c r="A3757">
        <f ca="1">30650.2588660024*((RANDBETWEEN(2979,3282)))</f>
        <v>95414255.849865377</v>
      </c>
      <c r="B3757">
        <v>144540124.11793876</v>
      </c>
    </row>
    <row r="3758" spans="1:2" x14ac:dyDescent="0.25">
      <c r="A3758">
        <f ca="1">31896.8857926882*((RANDBETWEEN(2979,3282)))</f>
        <v>101623478.13550448</v>
      </c>
      <c r="B3758">
        <v>144287693.4779903</v>
      </c>
    </row>
    <row r="3759" spans="1:2" x14ac:dyDescent="0.25">
      <c r="A3759">
        <f ca="1">29362.883013441*((RANDBETWEEN(2979,3282)))</f>
        <v>89263164.36086072</v>
      </c>
      <c r="B3759">
        <v>144789713.42297614</v>
      </c>
    </row>
    <row r="3760" spans="1:2" x14ac:dyDescent="0.25">
      <c r="A3760">
        <f ca="1">26743.1174335258*((RANDBETWEEN(2979,3282)))</f>
        <v>84561737.324808434</v>
      </c>
      <c r="B3760">
        <v>147891436.30361962</v>
      </c>
    </row>
    <row r="3761" spans="1:2" x14ac:dyDescent="0.25">
      <c r="A3761">
        <f ca="1">25972.4497404861*((RANDBETWEEN(2979,3282)))</f>
        <v>81813216.682531312</v>
      </c>
      <c r="B3761">
        <v>146424632.48353812</v>
      </c>
    </row>
    <row r="3762" spans="1:2" x14ac:dyDescent="0.25">
      <c r="A3762">
        <f ca="1">32487.6591243703*((RANDBETWEEN(2979,3282)))</f>
        <v>106332108.314064</v>
      </c>
      <c r="B3762">
        <v>163951271.31530914</v>
      </c>
    </row>
    <row r="3763" spans="1:2" x14ac:dyDescent="0.25">
      <c r="A3763">
        <f ca="1">29098.3373113913*((RANDBETWEEN(2979,3282)))</f>
        <v>89011813.835545987</v>
      </c>
      <c r="B3763">
        <v>153631195.63384062</v>
      </c>
    </row>
    <row r="3764" spans="1:2" x14ac:dyDescent="0.25">
      <c r="A3764">
        <f ca="1">28256.6417462916*((RANDBETWEEN(2979,3282)))</f>
        <v>84543872.104904443</v>
      </c>
      <c r="B3764">
        <v>164742290.0175449</v>
      </c>
    </row>
    <row r="3765" spans="1:2" x14ac:dyDescent="0.25">
      <c r="A3765">
        <f ca="1">28468.8426524728*((RANDBETWEEN(2979,3282)))</f>
        <v>87655566.52696383</v>
      </c>
      <c r="B3765">
        <v>143425902.67390788</v>
      </c>
    </row>
    <row r="3766" spans="1:2" x14ac:dyDescent="0.25">
      <c r="A3766">
        <f ca="1">26501.4973054858*((RANDBETWEEN(2979,3282)))</f>
        <v>82048635.657783881</v>
      </c>
      <c r="B3766">
        <v>153099129.43186319</v>
      </c>
    </row>
    <row r="3767" spans="1:2" x14ac:dyDescent="0.25">
      <c r="A3767">
        <f ca="1">27950.4824485545*((RANDBETWEEN(2979,3282)))</f>
        <v>90978820.370045215</v>
      </c>
      <c r="B3767">
        <v>152706364.3889817</v>
      </c>
    </row>
    <row r="3768" spans="1:2" x14ac:dyDescent="0.25">
      <c r="A3768">
        <f ca="1">28219.060966194*((RANDBETWEEN(2979,3282)))</f>
        <v>86039916.885925576</v>
      </c>
      <c r="B3768">
        <v>200438797.26357284</v>
      </c>
    </row>
    <row r="3769" spans="1:2" x14ac:dyDescent="0.25">
      <c r="A3769">
        <f ca="1">28111.9671902086*((RANDBETWEEN(2979,3282)))</f>
        <v>88327800.911635384</v>
      </c>
      <c r="B3769">
        <v>163026464.54449067</v>
      </c>
    </row>
    <row r="3770" spans="1:2" x14ac:dyDescent="0.25">
      <c r="A3770">
        <f ca="1">27180.2946872708*((RANDBETWEEN(2979,3282)))</f>
        <v>87031303.588641182</v>
      </c>
      <c r="B3770">
        <v>150041683.41883591</v>
      </c>
    </row>
    <row r="3771" spans="1:2" x14ac:dyDescent="0.25">
      <c r="A3771">
        <f ca="1">28602.2957135842*((RANDBETWEEN(2979,3282)))</f>
        <v>92213801.380595461</v>
      </c>
      <c r="B3771">
        <v>149176550.3654947</v>
      </c>
    </row>
    <row r="3772" spans="1:2" x14ac:dyDescent="0.25">
      <c r="A3772">
        <f ca="1">25204.5970461848*((RANDBETWEEN(2979,3282)))</f>
        <v>82015758.788285255</v>
      </c>
      <c r="B3772">
        <v>157823666.85805413</v>
      </c>
    </row>
    <row r="3773" spans="1:2" x14ac:dyDescent="0.25">
      <c r="A3773">
        <f ca="1">26504.4440664143*((RANDBETWEEN(2979,3282)))</f>
        <v>85741876.554850504</v>
      </c>
      <c r="B3773">
        <v>144544406.9254784</v>
      </c>
    </row>
    <row r="3774" spans="1:2" x14ac:dyDescent="0.25">
      <c r="A3774">
        <f ca="1">27653.1407095774*((RANDBETWEEN(2979,3282)))</f>
        <v>85144020.244788826</v>
      </c>
      <c r="B3774">
        <v>189946954.16322443</v>
      </c>
    </row>
    <row r="3775" spans="1:2" x14ac:dyDescent="0.25">
      <c r="A3775">
        <f ca="1">26017.5158715149*((RANDBETWEEN(2979,3282)))</f>
        <v>79275370.860506043</v>
      </c>
      <c r="B3775">
        <v>180468709.10062954</v>
      </c>
    </row>
    <row r="3776" spans="1:2" x14ac:dyDescent="0.25">
      <c r="A3776">
        <f ca="1">29260.7145115695*((RANDBETWEEN(2979,3282)))</f>
        <v>94599890.015904129</v>
      </c>
      <c r="B3776">
        <v>164810495.94928285</v>
      </c>
    </row>
    <row r="3777" spans="1:2" x14ac:dyDescent="0.25">
      <c r="A3777">
        <f ca="1">26641.9576030587*((RANDBETWEEN(2979,3282)))</f>
        <v>84827993.008139014</v>
      </c>
      <c r="B3777">
        <v>147376450.38928533</v>
      </c>
    </row>
    <row r="3778" spans="1:2" x14ac:dyDescent="0.25">
      <c r="A3778">
        <f ca="1">30716.34702119*((RANDBETWEEN(2979,3282)))</f>
        <v>94299185.355053201</v>
      </c>
      <c r="B3778">
        <v>189498495.59225804</v>
      </c>
    </row>
    <row r="3779" spans="1:2" x14ac:dyDescent="0.25">
      <c r="A3779">
        <f ca="1">27707.0651628552*((RANDBETWEEN(2979,3282)))</f>
        <v>88634901.455973849</v>
      </c>
      <c r="B3779">
        <v>199282843.29059932</v>
      </c>
    </row>
    <row r="3780" spans="1:2" x14ac:dyDescent="0.25">
      <c r="A3780">
        <f ca="1">26516.0140255578*((RANDBETWEEN(2979,3282)))</f>
        <v>82040547.395075753</v>
      </c>
      <c r="B3780">
        <v>185178287.8221435</v>
      </c>
    </row>
    <row r="3781" spans="1:2" x14ac:dyDescent="0.25">
      <c r="A3781">
        <f ca="1">26255.6416134432*((RANDBETWEEN(2979,3282)))</f>
        <v>82258925.174917445</v>
      </c>
      <c r="B3781">
        <v>158250637.58062473</v>
      </c>
    </row>
    <row r="3782" spans="1:2" x14ac:dyDescent="0.25">
      <c r="A3782">
        <f ca="1">25951.3125519736*((RANDBETWEEN(2979,3282)))</f>
        <v>84445571.044122025</v>
      </c>
      <c r="B3782">
        <v>155710064.04493523</v>
      </c>
    </row>
    <row r="3783" spans="1:2" x14ac:dyDescent="0.25">
      <c r="A3783">
        <f ca="1">29174.8850024727*((RANDBETWEEN(2979,3282)))</f>
        <v>91142340.747724667</v>
      </c>
      <c r="B3783">
        <v>197611797.24456379</v>
      </c>
    </row>
    <row r="3784" spans="1:2" x14ac:dyDescent="0.25">
      <c r="A3784">
        <f ca="1">31840.9858538422*((RANDBETWEEN(2979,3282)))</f>
        <v>98611533.189349264</v>
      </c>
      <c r="B3784">
        <v>144444005.42577291</v>
      </c>
    </row>
    <row r="3785" spans="1:2" x14ac:dyDescent="0.25">
      <c r="A3785">
        <f ca="1">27514.5767095889*((RANDBETWEEN(2979,3282)))</f>
        <v>82818875.89586246</v>
      </c>
      <c r="B3785">
        <v>158468470.77920753</v>
      </c>
    </row>
    <row r="3786" spans="1:2" x14ac:dyDescent="0.25">
      <c r="A3786">
        <f ca="1">32046.9705732927*((RANDBETWEEN(2979,3282)))</f>
        <v>98896951.189181209</v>
      </c>
      <c r="B3786">
        <v>152285459.14372742</v>
      </c>
    </row>
    <row r="3787" spans="1:2" x14ac:dyDescent="0.25">
      <c r="A3787">
        <f ca="1">26379.4071360644*((RANDBETWEEN(2979,3282)))</f>
        <v>85733073.192209348</v>
      </c>
      <c r="B3787">
        <v>152717519.41248447</v>
      </c>
    </row>
    <row r="3788" spans="1:2" x14ac:dyDescent="0.25">
      <c r="A3788">
        <f ca="1">33116.7086374214*((RANDBETWEEN(2979,3282)))</f>
        <v>98754025.156790867</v>
      </c>
      <c r="B3788">
        <v>199164353.13619566</v>
      </c>
    </row>
    <row r="3789" spans="1:2" x14ac:dyDescent="0.25">
      <c r="A3789">
        <f ca="1">27589.2636906648*((RANDBETWEEN(2979,3282)))</f>
        <v>88340822.337508768</v>
      </c>
      <c r="B3789">
        <v>143861872.00535536</v>
      </c>
    </row>
    <row r="3790" spans="1:2" x14ac:dyDescent="0.25">
      <c r="A3790">
        <f ca="1">26108.621931072*((RANDBETWEEN(2979,3282)))</f>
        <v>79526862.402045265</v>
      </c>
      <c r="B3790">
        <v>185916567.08700049</v>
      </c>
    </row>
    <row r="3791" spans="1:2" x14ac:dyDescent="0.25">
      <c r="A3791">
        <f ca="1">25313.3313746143*((RANDBETWEEN(2979,3282)))</f>
        <v>75534980.821849033</v>
      </c>
      <c r="B3791">
        <v>165296761.16653529</v>
      </c>
    </row>
    <row r="3792" spans="1:2" x14ac:dyDescent="0.25">
      <c r="A3792">
        <f ca="1">29502.4734865347*((RANDBETWEEN(2979,3282)))</f>
        <v>90631598.550634563</v>
      </c>
      <c r="B3792">
        <v>195039682.10346258</v>
      </c>
    </row>
    <row r="3793" spans="1:2" x14ac:dyDescent="0.25">
      <c r="A3793">
        <f ca="1">26130.7289579739*((RANDBETWEEN(2979,3282)))</f>
        <v>79855507.695568323</v>
      </c>
      <c r="B3793">
        <v>178065047.27601749</v>
      </c>
    </row>
    <row r="3794" spans="1:2" x14ac:dyDescent="0.25">
      <c r="A3794">
        <f ca="1">25929.1465068896*((RANDBETWEEN(2979,3282)))</f>
        <v>83958576.389308646</v>
      </c>
      <c r="B3794">
        <v>156409751.54008564</v>
      </c>
    </row>
    <row r="3795" spans="1:2" x14ac:dyDescent="0.25">
      <c r="A3795">
        <f ca="1">27203.0926615463*((RANDBETWEEN(2979,3282)))</f>
        <v>88464457.33534871</v>
      </c>
      <c r="B3795">
        <v>170754346.52522361</v>
      </c>
    </row>
    <row r="3796" spans="1:2" x14ac:dyDescent="0.25">
      <c r="A3796">
        <f ca="1">27284.8309881507*((RANDBETWEEN(2979,3282)))</f>
        <v>82154626.105321899</v>
      </c>
      <c r="B3796">
        <v>156458811.52371252</v>
      </c>
    </row>
    <row r="3797" spans="1:2" x14ac:dyDescent="0.25">
      <c r="A3797">
        <f ca="1">28705.8145606968*((RANDBETWEEN(2979,3282)))</f>
        <v>93121662.434900388</v>
      </c>
      <c r="B3797">
        <v>165143047.6480408</v>
      </c>
    </row>
    <row r="3798" spans="1:2" x14ac:dyDescent="0.25">
      <c r="A3798">
        <f ca="1">27337.30936989*((RANDBETWEEN(2979,3282)))</f>
        <v>85046369.449727684</v>
      </c>
      <c r="B3798">
        <v>197001599.51716852</v>
      </c>
    </row>
    <row r="3799" spans="1:2" x14ac:dyDescent="0.25">
      <c r="A3799">
        <f ca="1">26260.4429933068*((RANDBETWEEN(2979,3282)))</f>
        <v>78702547.650940374</v>
      </c>
      <c r="B3799">
        <v>163319393.41339922</v>
      </c>
    </row>
    <row r="3800" spans="1:2" x14ac:dyDescent="0.25">
      <c r="A3800">
        <f ca="1">30520.6882425557*((RANDBETWEEN(2979,3282)))</f>
        <v>94766736.993135571</v>
      </c>
      <c r="B3800">
        <v>197443730.51959407</v>
      </c>
    </row>
    <row r="3801" spans="1:2" x14ac:dyDescent="0.25">
      <c r="A3801">
        <f ca="1">27727.51309811*((RANDBETWEEN(2979,3282)))</f>
        <v>89476684.767601013</v>
      </c>
      <c r="B3801">
        <v>144520159.4068872</v>
      </c>
    </row>
    <row r="3802" spans="1:2" x14ac:dyDescent="0.25">
      <c r="A3802">
        <f ca="1">30476.1494628676*((RANDBETWEEN(2979,3282)))</f>
        <v>91428448.388602719</v>
      </c>
      <c r="B3802">
        <v>146710815.18055052</v>
      </c>
    </row>
    <row r="3803" spans="1:2" x14ac:dyDescent="0.25">
      <c r="A3803">
        <f ca="1">26927.5385719507*((RANDBETWEEN(2979,3282)))</f>
        <v>88026123.591706946</v>
      </c>
      <c r="B3803">
        <v>158133744.16525304</v>
      </c>
    </row>
    <row r="3804" spans="1:2" x14ac:dyDescent="0.25">
      <c r="A3804">
        <f ca="1">29712.9592958925*((RANDBETWEEN(2979,3282)))</f>
        <v>96775108.426721841</v>
      </c>
      <c r="B3804">
        <v>164708047.1393548</v>
      </c>
    </row>
    <row r="3805" spans="1:2" x14ac:dyDescent="0.25">
      <c r="A3805">
        <f ca="1">27052.9387530165*((RANDBETWEEN(2979,3282)))</f>
        <v>81456398.585332647</v>
      </c>
      <c r="B3805">
        <v>160186520.06689304</v>
      </c>
    </row>
    <row r="3806" spans="1:2" x14ac:dyDescent="0.25">
      <c r="A3806">
        <f ca="1">28656.0993160354*((RANDBETWEEN(2979,3282)))</f>
        <v>90925803.129780158</v>
      </c>
      <c r="B3806">
        <v>150717036.40236941</v>
      </c>
    </row>
    <row r="3807" spans="1:2" x14ac:dyDescent="0.25">
      <c r="A3807">
        <f ca="1">27450.5010093437*((RANDBETWEEN(2979,3282)))</f>
        <v>82818161.545189962</v>
      </c>
      <c r="B3807">
        <v>177295554.4237808</v>
      </c>
    </row>
    <row r="3808" spans="1:2" x14ac:dyDescent="0.25">
      <c r="A3808">
        <f ca="1">25804.7156995372*((RANDBETWEEN(2979,3282)))</f>
        <v>82188019.503026009</v>
      </c>
      <c r="B3808">
        <v>150651100.19870961</v>
      </c>
    </row>
    <row r="3809" spans="1:2" x14ac:dyDescent="0.25">
      <c r="A3809">
        <f ca="1">26065.6306744627*((RANDBETWEEN(2979,3282)))</f>
        <v>80673126.937462121</v>
      </c>
      <c r="B3809">
        <v>149049542.50484407</v>
      </c>
    </row>
    <row r="3810" spans="1:2" x14ac:dyDescent="0.25">
      <c r="A3810">
        <f ca="1">27077.9915103234*((RANDBETWEEN(2979,3282)))</f>
        <v>81667222.395135477</v>
      </c>
      <c r="B3810">
        <v>145887926.48102438</v>
      </c>
    </row>
    <row r="3811" spans="1:2" x14ac:dyDescent="0.25">
      <c r="A3811">
        <f ca="1">27220.5233212973*((RANDBETWEEN(2979,3282)))</f>
        <v>81824893.103819638</v>
      </c>
      <c r="B3811">
        <v>172594664.39307505</v>
      </c>
    </row>
    <row r="3812" spans="1:2" x14ac:dyDescent="0.25">
      <c r="A3812">
        <f ca="1">31303.331504535*((RANDBETWEEN(2979,3282)))</f>
        <v>93534354.535550594</v>
      </c>
      <c r="B3812">
        <v>182278509.31590521</v>
      </c>
    </row>
    <row r="3813" spans="1:2" x14ac:dyDescent="0.25">
      <c r="A3813">
        <f ca="1">25954.7659760821*((RANDBETWEEN(2979,3282)))</f>
        <v>82743793.931749657</v>
      </c>
      <c r="B3813">
        <v>171116482.7311655</v>
      </c>
    </row>
    <row r="3814" spans="1:2" x14ac:dyDescent="0.25">
      <c r="A3814">
        <f ca="1">30295.1883153817*((RANDBETWEEN(2979,3282)))</f>
        <v>91733830.218975767</v>
      </c>
      <c r="B3814">
        <v>189280886.19407803</v>
      </c>
    </row>
    <row r="3815" spans="1:2" x14ac:dyDescent="0.25">
      <c r="A3815">
        <f ca="1">28484.0150594204*((RANDBETWEEN(2979,3282)))</f>
        <v>89468291.301639423</v>
      </c>
      <c r="B3815">
        <v>148905826.88165578</v>
      </c>
    </row>
    <row r="3816" spans="1:2" x14ac:dyDescent="0.25">
      <c r="A3816">
        <f ca="1">27408.4997936215*((RANDBETWEEN(2979,3282)))</f>
        <v>81924005.883134648</v>
      </c>
      <c r="B3816">
        <v>150785354.75404128</v>
      </c>
    </row>
    <row r="3817" spans="1:2" x14ac:dyDescent="0.25">
      <c r="A3817">
        <f ca="1">27400.5046877049*((RANDBETWEEN(2979,3282)))</f>
        <v>85242970.08344987</v>
      </c>
      <c r="B3817">
        <v>197312041.69989607</v>
      </c>
    </row>
    <row r="3818" spans="1:2" x14ac:dyDescent="0.25">
      <c r="A3818">
        <f ca="1">28482.8402461651*((RANDBETWEEN(2979,3282)))</f>
        <v>91942608.314620778</v>
      </c>
      <c r="B3818">
        <v>152845178.18551153</v>
      </c>
    </row>
    <row r="3819" spans="1:2" x14ac:dyDescent="0.25">
      <c r="A3819">
        <f ca="1">29489.8412294564*((RANDBETWEEN(2979,3282)))</f>
        <v>91683916.382379934</v>
      </c>
      <c r="B3819">
        <v>159394135.23952499</v>
      </c>
    </row>
    <row r="3820" spans="1:2" x14ac:dyDescent="0.25">
      <c r="A3820">
        <f ca="1">30834.8028057785*((RANDBETWEEN(2979,3282)))</f>
        <v>92936095.656616479</v>
      </c>
      <c r="B3820">
        <v>183848496.71033758</v>
      </c>
    </row>
    <row r="3821" spans="1:2" x14ac:dyDescent="0.25">
      <c r="A3821">
        <f ca="1">33331.2401171856*((RANDBETWEEN(2979,3282)))</f>
        <v>102160250.95917396</v>
      </c>
      <c r="B3821">
        <v>182974903.12879407</v>
      </c>
    </row>
    <row r="3822" spans="1:2" x14ac:dyDescent="0.25">
      <c r="A3822">
        <f ca="1">27648.3498730535*((RANDBETWEEN(2979,3282)))</f>
        <v>85378104.407989085</v>
      </c>
      <c r="B3822">
        <v>147471197.1048941</v>
      </c>
    </row>
    <row r="3823" spans="1:2" x14ac:dyDescent="0.25">
      <c r="A3823">
        <f ca="1">31897.533789877*((RANDBETWEEN(2979,3282)))</f>
        <v>98786662.147249132</v>
      </c>
      <c r="B3823">
        <v>197580458.04035279</v>
      </c>
    </row>
    <row r="3824" spans="1:2" x14ac:dyDescent="0.25">
      <c r="A3824">
        <f ca="1">25892.2361030168*((RANDBETWEEN(2979,3282)))</f>
        <v>81301621.363472655</v>
      </c>
      <c r="B3824">
        <v>158058172.00781101</v>
      </c>
    </row>
    <row r="3825" spans="1:2" x14ac:dyDescent="0.25">
      <c r="A3825">
        <f ca="1">26507.7439772495*((RANDBETWEEN(2979,3282)))</f>
        <v>86468260.85378778</v>
      </c>
      <c r="B3825">
        <v>153891475.47194615</v>
      </c>
    </row>
    <row r="3826" spans="1:2" x14ac:dyDescent="0.25">
      <c r="A3826">
        <f ca="1">26024.8482102829*((RANDBETWEEN(2979,3282)))</f>
        <v>82811067.005120128</v>
      </c>
      <c r="B3826">
        <v>148789977.78372309</v>
      </c>
    </row>
    <row r="3827" spans="1:2" x14ac:dyDescent="0.25">
      <c r="A3827">
        <f ca="1">26592.0123618314*((RANDBETWEEN(2979,3282)))</f>
        <v>86689960.299570426</v>
      </c>
      <c r="B3827">
        <v>196579553.49020603</v>
      </c>
    </row>
    <row r="3828" spans="1:2" x14ac:dyDescent="0.25">
      <c r="A3828">
        <f ca="1">26977.2904159684*((RANDBETWEEN(2979,3282)))</f>
        <v>87136648.04357782</v>
      </c>
      <c r="B3828">
        <v>173659092.0828869</v>
      </c>
    </row>
    <row r="3829" spans="1:2" x14ac:dyDescent="0.25">
      <c r="A3829">
        <f ca="1">26486.7799061286*((RANDBETWEEN(2979,3282)))</f>
        <v>81367387.871627003</v>
      </c>
      <c r="B3829">
        <v>153317611.52264842</v>
      </c>
    </row>
    <row r="3830" spans="1:2" x14ac:dyDescent="0.25">
      <c r="A3830">
        <f ca="1">27720.507069991*((RANDBETWEEN(2979,3282)))</f>
        <v>90646058.118870422</v>
      </c>
      <c r="B3830">
        <v>164572565.03591642</v>
      </c>
    </row>
    <row r="3831" spans="1:2" x14ac:dyDescent="0.25">
      <c r="A3831">
        <f ca="1">26555.0953510014*((RANDBETWEEN(2979,3282)))</f>
        <v>84896639.837151438</v>
      </c>
      <c r="B3831">
        <v>158403645.01312616</v>
      </c>
    </row>
    <row r="3832" spans="1:2" x14ac:dyDescent="0.25">
      <c r="A3832">
        <f ca="1">26862.2035302253*((RANDBETWEEN(2979,3282)))</f>
        <v>83810075.014302939</v>
      </c>
      <c r="B3832">
        <v>161760535.13668042</v>
      </c>
    </row>
    <row r="3833" spans="1:2" x14ac:dyDescent="0.25">
      <c r="A3833">
        <f ca="1">29840.5935889391*((RANDBETWEEN(2979,3282)))</f>
        <v>89820186.702706635</v>
      </c>
      <c r="B3833">
        <v>185397761.39601654</v>
      </c>
    </row>
    <row r="3834" spans="1:2" x14ac:dyDescent="0.25">
      <c r="A3834">
        <f ca="1">28784.6777040245*((RANDBETWEEN(2979,3282)))</f>
        <v>85951047.624217167</v>
      </c>
      <c r="B3834">
        <v>179941776.4225477</v>
      </c>
    </row>
    <row r="3835" spans="1:2" x14ac:dyDescent="0.25">
      <c r="A3835">
        <f ca="1">32040.5369935892*((RANDBETWEEN(2979,3282)))</f>
        <v>101184015.82575472</v>
      </c>
      <c r="B3835">
        <v>159609472.54171121</v>
      </c>
    </row>
    <row r="3836" spans="1:2" x14ac:dyDescent="0.25">
      <c r="A3836">
        <f ca="1">26416.8470637845*((RANDBETWEEN(2979,3282)))</f>
        <v>80597800.391606659</v>
      </c>
      <c r="B3836">
        <v>157228155.1407181</v>
      </c>
    </row>
    <row r="3837" spans="1:2" x14ac:dyDescent="0.25">
      <c r="A3837">
        <f ca="1">27025.6150808784*((RANDBETWEEN(2979,3282)))</f>
        <v>84373970.282502294</v>
      </c>
      <c r="B3837">
        <v>157264930.48557088</v>
      </c>
    </row>
    <row r="3838" spans="1:2" x14ac:dyDescent="0.25">
      <c r="A3838">
        <f ca="1">26565.490769849*((RANDBETWEEN(2979,3282)))</f>
        <v>85089266.935826465</v>
      </c>
      <c r="B3838">
        <v>166921955.96110231</v>
      </c>
    </row>
    <row r="3839" spans="1:2" x14ac:dyDescent="0.25">
      <c r="A3839">
        <f ca="1">28186.9892290177*((RANDBETWEEN(2979,3282)))</f>
        <v>92171454.778887734</v>
      </c>
      <c r="B3839">
        <v>190060904.83757234</v>
      </c>
    </row>
    <row r="3840" spans="1:2" x14ac:dyDescent="0.25">
      <c r="A3840">
        <f ca="1">27319.7311275874*((RANDBETWEEN(2979,3282)))</f>
        <v>85073642.731307015</v>
      </c>
      <c r="B3840">
        <v>182572417.86309272</v>
      </c>
    </row>
    <row r="3841" spans="1:2" x14ac:dyDescent="0.25">
      <c r="A3841">
        <f ca="1">27722.8315887737*((RANDBETWEEN(2979,3282)))</f>
        <v>85802163.767254576</v>
      </c>
      <c r="B3841">
        <v>160805548.6415543</v>
      </c>
    </row>
    <row r="3842" spans="1:2" x14ac:dyDescent="0.25">
      <c r="A3842">
        <f ca="1">27888.9701879832*((RANDBETWEEN(2979,3282)))</f>
        <v>88073367.853651077</v>
      </c>
      <c r="B3842">
        <v>178756720.9734064</v>
      </c>
    </row>
    <row r="3843" spans="1:2" x14ac:dyDescent="0.25">
      <c r="A3843">
        <f ca="1">26311.3893138441*((RANDBETWEEN(2979,3282)))</f>
        <v>79749821.010261491</v>
      </c>
      <c r="B3843">
        <v>152757775.57497135</v>
      </c>
    </row>
    <row r="3844" spans="1:2" x14ac:dyDescent="0.25">
      <c r="A3844">
        <f ca="1">26977.9815460461*((RANDBETWEEN(2979,3282)))</f>
        <v>82849381.327907428</v>
      </c>
      <c r="B3844">
        <v>199963145.65777156</v>
      </c>
    </row>
    <row r="3845" spans="1:2" x14ac:dyDescent="0.25">
      <c r="A3845">
        <f ca="1">26378.005981586*((RANDBETWEEN(2979,3282)))</f>
        <v>81085990.387395471</v>
      </c>
      <c r="B3845">
        <v>154754984.39485544</v>
      </c>
    </row>
    <row r="3846" spans="1:2" x14ac:dyDescent="0.25">
      <c r="A3846">
        <f ca="1">27543.3107317667*((RANDBETWEEN(2979,3282)))</f>
        <v>82464672.330909356</v>
      </c>
      <c r="B3846">
        <v>158373812.69427031</v>
      </c>
    </row>
    <row r="3847" spans="1:2" x14ac:dyDescent="0.25">
      <c r="A3847">
        <f ca="1">26937.437557629*((RANDBETWEEN(2979,3282)))</f>
        <v>85714926.308375552</v>
      </c>
      <c r="B3847">
        <v>150739875.644113</v>
      </c>
    </row>
    <row r="3848" spans="1:2" x14ac:dyDescent="0.25">
      <c r="A3848">
        <f ca="1">26798.6583341259*((RANDBETWEEN(2979,3282)))</f>
        <v>82700659.619112387</v>
      </c>
      <c r="B3848">
        <v>153973789.54028943</v>
      </c>
    </row>
    <row r="3849" spans="1:2" x14ac:dyDescent="0.25">
      <c r="A3849">
        <f ca="1">29783.2233860129*((RANDBETWEEN(2979,3282)))</f>
        <v>91196230.007971644</v>
      </c>
      <c r="B3849">
        <v>160710781.55571064</v>
      </c>
    </row>
    <row r="3850" spans="1:2" x14ac:dyDescent="0.25">
      <c r="A3850">
        <f ca="1">25771.3549267155*((RANDBETWEEN(2979,3282)))</f>
        <v>77442921.554780185</v>
      </c>
      <c r="B3850">
        <v>162990079.01552764</v>
      </c>
    </row>
    <row r="3851" spans="1:2" x14ac:dyDescent="0.25">
      <c r="A3851">
        <f ca="1">28389.9686483935*((RANDBETWEEN(2979,3282)))</f>
        <v>91188579.298639953</v>
      </c>
      <c r="B3851">
        <v>146319270.03724968</v>
      </c>
    </row>
    <row r="3852" spans="1:2" x14ac:dyDescent="0.25">
      <c r="A3852">
        <f ca="1">28857.7075616938*((RANDBETWEEN(2979,3282)))</f>
        <v>86371118.732149631</v>
      </c>
      <c r="B3852">
        <v>164807244.37772486</v>
      </c>
    </row>
    <row r="3853" spans="1:2" x14ac:dyDescent="0.25">
      <c r="A3853">
        <f ca="1">31359.7357296344*((RANDBETWEEN(2979,3282)))</f>
        <v>102201378.74287848</v>
      </c>
      <c r="B3853">
        <v>149746690.43453977</v>
      </c>
    </row>
    <row r="3854" spans="1:2" x14ac:dyDescent="0.25">
      <c r="A3854">
        <f ca="1">31998.3445000834*((RANDBETWEEN(2979,3282)))</f>
        <v>103130664.32376887</v>
      </c>
      <c r="B3854">
        <v>166067623.34450123</v>
      </c>
    </row>
    <row r="3855" spans="1:2" x14ac:dyDescent="0.25">
      <c r="A3855">
        <f ca="1">31393.9608349002*((RANDBETWEEN(2979,3282)))</f>
        <v>100994372.00587392</v>
      </c>
      <c r="B3855">
        <v>155713605.58619082</v>
      </c>
    </row>
    <row r="3856" spans="1:2" x14ac:dyDescent="0.25">
      <c r="A3856">
        <f ca="1">26562.7220476451*((RANDBETWEEN(2979,3282)))</f>
        <v>79688166.142935246</v>
      </c>
      <c r="B3856">
        <v>183390147.98146984</v>
      </c>
    </row>
    <row r="3857" spans="1:2" x14ac:dyDescent="0.25">
      <c r="A3857">
        <f ca="1">31859.7783879097*((RANDBETWEEN(2979,3282)))</f>
        <v>98701593.445744425</v>
      </c>
      <c r="B3857">
        <v>158697782.27131924</v>
      </c>
    </row>
    <row r="3858" spans="1:2" x14ac:dyDescent="0.25">
      <c r="A3858">
        <f ca="1">27999.5203874403*((RANDBETWEEN(2979,3282)))</f>
        <v>84726548.692394286</v>
      </c>
      <c r="B3858">
        <v>193389581.6975444</v>
      </c>
    </row>
    <row r="3859" spans="1:2" x14ac:dyDescent="0.25">
      <c r="A3859">
        <f ca="1">26895.6886931217*((RANDBETWEEN(2979,3282)))</f>
        <v>86819283.101396903</v>
      </c>
      <c r="B3859">
        <v>154557015.3206563</v>
      </c>
    </row>
    <row r="3860" spans="1:2" x14ac:dyDescent="0.25">
      <c r="A3860">
        <f ca="1">27382.4309179604*((RANDBETWEEN(2979,3282)))</f>
        <v>82722323.803158447</v>
      </c>
      <c r="B3860">
        <v>160780867.52257365</v>
      </c>
    </row>
    <row r="3861" spans="1:2" x14ac:dyDescent="0.25">
      <c r="A3861">
        <f ca="1">24634.7885559372*((RANDBETWEEN(2979,3282)))</f>
        <v>76909809.871635914</v>
      </c>
      <c r="B3861">
        <v>163366496.44177586</v>
      </c>
    </row>
    <row r="3862" spans="1:2" x14ac:dyDescent="0.25">
      <c r="A3862">
        <f ca="1">30828.4619265886*((RANDBETWEEN(2979,3282)))</f>
        <v>95660717.358204529</v>
      </c>
      <c r="B3862">
        <v>190353880.77457541</v>
      </c>
    </row>
    <row r="3863" spans="1:2" x14ac:dyDescent="0.25">
      <c r="A3863">
        <f ca="1">29041.6793432711*((RANDBETWEEN(2979,3282)))</f>
        <v>88954663.828439385</v>
      </c>
      <c r="B3863">
        <v>162118836.87124869</v>
      </c>
    </row>
    <row r="3864" spans="1:2" x14ac:dyDescent="0.25">
      <c r="A3864">
        <f ca="1">33316.0964346736*((RANDBETWEEN(2979,3282)))</f>
        <v>106078451.04800065</v>
      </c>
      <c r="B3864">
        <v>201671876.72596112</v>
      </c>
    </row>
    <row r="3865" spans="1:2" x14ac:dyDescent="0.25">
      <c r="A3865">
        <f ca="1">28639.9037478432*((RANDBETWEEN(2979,3282)))</f>
        <v>87809944.890887201</v>
      </c>
      <c r="B3865">
        <v>167647201.54746327</v>
      </c>
    </row>
    <row r="3866" spans="1:2" x14ac:dyDescent="0.25">
      <c r="A3866">
        <f ca="1">25693.0071040333*((RANDBETWEEN(2979,3282)))</f>
        <v>81241288.46295318</v>
      </c>
      <c r="B3866">
        <v>162566176.06070668</v>
      </c>
    </row>
    <row r="3867" spans="1:2" x14ac:dyDescent="0.25">
      <c r="A3867">
        <f ca="1">32013.0469115188*((RANDBETWEEN(2979,3282)))</f>
        <v>96967519.094990581</v>
      </c>
      <c r="B3867">
        <v>194931824.75950938</v>
      </c>
    </row>
    <row r="3868" spans="1:2" x14ac:dyDescent="0.25">
      <c r="A3868">
        <f ca="1">31160.2726153338*((RANDBETWEEN(2979,3282)))</f>
        <v>99058506.6441461</v>
      </c>
      <c r="B3868">
        <v>143034626.87439278</v>
      </c>
    </row>
    <row r="3869" spans="1:2" x14ac:dyDescent="0.25">
      <c r="A3869">
        <f ca="1">30578.5644648408*((RANDBETWEEN(2979,3282)))</f>
        <v>95588592.517092288</v>
      </c>
      <c r="B3869">
        <v>198083614.803628</v>
      </c>
    </row>
    <row r="3870" spans="1:2" x14ac:dyDescent="0.25">
      <c r="A3870">
        <f ca="1">25771.8162955665*((RANDBETWEEN(2979,3282)))</f>
        <v>84402698.367980376</v>
      </c>
      <c r="B3870">
        <v>169379495.60852221</v>
      </c>
    </row>
    <row r="3871" spans="1:2" x14ac:dyDescent="0.25">
      <c r="A3871">
        <f ca="1">27985.7826863269*((RANDBETWEEN(2979,3282)))</f>
        <v>88519030.636852071</v>
      </c>
      <c r="B3871">
        <v>173281190.53120941</v>
      </c>
    </row>
    <row r="3872" spans="1:2" x14ac:dyDescent="0.25">
      <c r="A3872">
        <f ca="1">27627.4157028145*((RANDBETWEEN(2979,3282)))</f>
        <v>82412581.041495651</v>
      </c>
      <c r="B3872">
        <v>169247369.22862738</v>
      </c>
    </row>
    <row r="3873" spans="1:2" x14ac:dyDescent="0.25">
      <c r="A3873">
        <f ca="1">29227.4578152256*((RANDBETWEEN(2979,3282)))</f>
        <v>92651041.2742652</v>
      </c>
      <c r="B3873">
        <v>156602786.05481017</v>
      </c>
    </row>
    <row r="3874" spans="1:2" x14ac:dyDescent="0.25">
      <c r="A3874">
        <f ca="1">28976.2186622157*((RANDBETWEEN(2979,3282)))</f>
        <v>93738067.372267932</v>
      </c>
      <c r="B3874">
        <v>197933510.1962139</v>
      </c>
    </row>
    <row r="3875" spans="1:2" x14ac:dyDescent="0.25">
      <c r="A3875">
        <f ca="1">28784.6770380302*((RANDBETWEEN(2979,3282)))</f>
        <v>93319922.957293808</v>
      </c>
      <c r="B3875">
        <v>195849477.25370011</v>
      </c>
    </row>
    <row r="3876" spans="1:2" x14ac:dyDescent="0.25">
      <c r="A3876">
        <f ca="1">31160.434955365*((RANDBETWEEN(2979,3282)))</f>
        <v>99806873.162034035</v>
      </c>
      <c r="B3876">
        <v>155288635.14724991</v>
      </c>
    </row>
    <row r="3877" spans="1:2" x14ac:dyDescent="0.25">
      <c r="A3877">
        <f ca="1">27043.0396640981*((RANDBETWEEN(2979,3282)))</f>
        <v>86699985.163098603</v>
      </c>
      <c r="B3877">
        <v>162439476.21508735</v>
      </c>
    </row>
    <row r="3878" spans="1:2" x14ac:dyDescent="0.25">
      <c r="A3878">
        <f ca="1">28696.2902833473*((RANDBETWEEN(2979,3282)))</f>
        <v>87695863.105909318</v>
      </c>
      <c r="B3878">
        <v>196981416.57804778</v>
      </c>
    </row>
    <row r="3879" spans="1:2" x14ac:dyDescent="0.25">
      <c r="A3879">
        <f ca="1">30044.2371239429*((RANDBETWEEN(2979,3282)))</f>
        <v>95781027.951129884</v>
      </c>
      <c r="B3879">
        <v>162559610.06181133</v>
      </c>
    </row>
    <row r="3880" spans="1:2" x14ac:dyDescent="0.25">
      <c r="A3880">
        <f ca="1">28575.6452296963*((RANDBETWEEN(2979,3282)))</f>
        <v>89613223.440327615</v>
      </c>
      <c r="B3880">
        <v>183998313.33399525</v>
      </c>
    </row>
    <row r="3881" spans="1:2" x14ac:dyDescent="0.25">
      <c r="A3881">
        <f ca="1">26349.3271060295*((RANDBETWEEN(2979,3282)))</f>
        <v>85002929.244051218</v>
      </c>
      <c r="B3881">
        <v>192295015.75201729</v>
      </c>
    </row>
    <row r="3882" spans="1:2" x14ac:dyDescent="0.25">
      <c r="A3882">
        <f ca="1">27164.3881348718*((RANDBETWEEN(2979,3282)))</f>
        <v>84345425.158776984</v>
      </c>
      <c r="B3882">
        <v>147337341.84119421</v>
      </c>
    </row>
    <row r="3883" spans="1:2" x14ac:dyDescent="0.25">
      <c r="A3883">
        <f ca="1">26444.8144599541*((RANDBETWEEN(2979,3282)))</f>
        <v>86765436.243109301</v>
      </c>
      <c r="B3883">
        <v>188085515.91758335</v>
      </c>
    </row>
    <row r="3884" spans="1:2" x14ac:dyDescent="0.25">
      <c r="A3884">
        <f ca="1">26020.6913086603*((RANDBETWEEN(2979,3282)))</f>
        <v>85139701.961936355</v>
      </c>
      <c r="B3884">
        <v>199397087.70941594</v>
      </c>
    </row>
    <row r="3885" spans="1:2" x14ac:dyDescent="0.25">
      <c r="A3885">
        <f ca="1">27918.823005419*((RANDBETWEEN(2979,3282)))</f>
        <v>85962056.033685252</v>
      </c>
      <c r="B3885">
        <v>183018116.09777629</v>
      </c>
    </row>
    <row r="3886" spans="1:2" x14ac:dyDescent="0.25">
      <c r="A3886">
        <f ca="1">31587.9813277314*((RANDBETWEEN(2979,3282)))</f>
        <v>96248579.10559763</v>
      </c>
      <c r="B3886">
        <v>158813591.00234511</v>
      </c>
    </row>
    <row r="3887" spans="1:2" x14ac:dyDescent="0.25">
      <c r="A3887">
        <f ca="1">26647.8074068081*((RANDBETWEEN(2979,3282)))</f>
        <v>83940593.331445649</v>
      </c>
      <c r="B3887">
        <v>154054629.17667183</v>
      </c>
    </row>
    <row r="3888" spans="1:2" x14ac:dyDescent="0.25">
      <c r="A3888">
        <f ca="1">29105.3764140515*((RANDBETWEEN(2979,3282)))</f>
        <v>94825316.356979698</v>
      </c>
      <c r="B3888">
        <v>160380437.80985183</v>
      </c>
    </row>
    <row r="3889" spans="1:2" x14ac:dyDescent="0.25">
      <c r="A3889">
        <f ca="1">28150.6551151958*((RANDBETWEEN(2979,3282)))</f>
        <v>92390450.088072479</v>
      </c>
      <c r="B3889">
        <v>180443294.80962771</v>
      </c>
    </row>
    <row r="3890" spans="1:2" x14ac:dyDescent="0.25">
      <c r="A3890">
        <f ca="1">27262.3539486686*((RANDBETWEEN(2979,3282)))</f>
        <v>88848011.518710807</v>
      </c>
      <c r="B3890">
        <v>202075242.71271133</v>
      </c>
    </row>
    <row r="3891" spans="1:2" x14ac:dyDescent="0.25">
      <c r="A3891">
        <f ca="1">28201.0188721066*((RANDBETWEEN(2979,3282)))</f>
        <v>92217331.711788669</v>
      </c>
      <c r="B3891">
        <v>177888381.62969625</v>
      </c>
    </row>
    <row r="3892" spans="1:2" x14ac:dyDescent="0.25">
      <c r="A3892">
        <f ca="1">27443.822487408*((RANDBETWEEN(2979,3282)))</f>
        <v>85816832.918124795</v>
      </c>
      <c r="B3892">
        <v>154063085.43828964</v>
      </c>
    </row>
    <row r="3893" spans="1:2" x14ac:dyDescent="0.25">
      <c r="A3893">
        <f ca="1">26710.1593742504*((RANDBETWEEN(2979,3282)))</f>
        <v>84591074.738250971</v>
      </c>
      <c r="B3893">
        <v>159753494.27833137</v>
      </c>
    </row>
    <row r="3894" spans="1:2" x14ac:dyDescent="0.25">
      <c r="A3894">
        <f ca="1">27050.6424294601*((RANDBETWEEN(2979,3282)))</f>
        <v>83938143.458614588</v>
      </c>
      <c r="B3894">
        <v>146227703.39741993</v>
      </c>
    </row>
    <row r="3895" spans="1:2" x14ac:dyDescent="0.25">
      <c r="A3895">
        <f ca="1">25911.3366524248*((RANDBETWEEN(2979,3282)))</f>
        <v>83978642.090508804</v>
      </c>
      <c r="B3895">
        <v>174501484.2237756</v>
      </c>
    </row>
    <row r="3896" spans="1:2" x14ac:dyDescent="0.25">
      <c r="A3896">
        <f ca="1">28208.0035471239*((RANDBETWEEN(2979,3282)))</f>
        <v>87952555.059932187</v>
      </c>
      <c r="B3896">
        <v>148936127.73253393</v>
      </c>
    </row>
    <row r="3897" spans="1:2" x14ac:dyDescent="0.25">
      <c r="A3897">
        <f ca="1">28189.7173146636*((RANDBETWEEN(2979,3282)))</f>
        <v>91221925.230251282</v>
      </c>
      <c r="B3897">
        <v>190144282.35890618</v>
      </c>
    </row>
    <row r="3898" spans="1:2" x14ac:dyDescent="0.25">
      <c r="A3898">
        <f ca="1">27683.9084385109*((RANDBETWEEN(2979,3282)))</f>
        <v>84048346.019319147</v>
      </c>
      <c r="B3898">
        <v>157452070.4965587</v>
      </c>
    </row>
    <row r="3899" spans="1:2" x14ac:dyDescent="0.25">
      <c r="A3899">
        <f ca="1">27851.0325243129*((RANDBETWEEN(2979,3282)))</f>
        <v>83831607.898181781</v>
      </c>
      <c r="B3899">
        <v>171075795.33413768</v>
      </c>
    </row>
    <row r="3900" spans="1:2" x14ac:dyDescent="0.25">
      <c r="A3900">
        <f ca="1">26968.73474588*((RANDBETWEEN(2979,3282)))</f>
        <v>87135981.963938326</v>
      </c>
      <c r="B3900">
        <v>145965070.34120378</v>
      </c>
    </row>
    <row r="3901" spans="1:2" x14ac:dyDescent="0.25">
      <c r="A3901">
        <f ca="1">27524.8382016351*((RANDBETWEEN(2979,3282)))</f>
        <v>84941650.690246075</v>
      </c>
      <c r="B3901">
        <v>173834857.89983127</v>
      </c>
    </row>
    <row r="3902" spans="1:2" x14ac:dyDescent="0.25">
      <c r="A3902">
        <f ca="1">27667.9962742133*((RANDBETWEEN(2979,3282)))</f>
        <v>90529683.809225991</v>
      </c>
      <c r="B3902">
        <v>172831702.72750434</v>
      </c>
    </row>
    <row r="3903" spans="1:2" x14ac:dyDescent="0.25">
      <c r="A3903">
        <f ca="1">26037.9338339974*((RANDBETWEEN(2979,3282)))</f>
        <v>85091967.769503519</v>
      </c>
      <c r="B3903">
        <v>172089723.52286524</v>
      </c>
    </row>
    <row r="3904" spans="1:2" x14ac:dyDescent="0.25">
      <c r="A3904">
        <f ca="1">25886.320190715*((RANDBETWEEN(2979,3282)))</f>
        <v>78099028.015387222</v>
      </c>
      <c r="B3904">
        <v>165577097.31666914</v>
      </c>
    </row>
    <row r="3905" spans="1:2" x14ac:dyDescent="0.25">
      <c r="A3905">
        <f ca="1">33113.9854538204*((RANDBETWEEN(2979,3282)))</f>
        <v>101957961.21231291</v>
      </c>
      <c r="B3905">
        <v>187154169.02936381</v>
      </c>
    </row>
    <row r="3906" spans="1:2" x14ac:dyDescent="0.25">
      <c r="A3906">
        <f ca="1">31262.3683699629*((RANDBETWEEN(2979,3282)))</f>
        <v>95131386.949797213</v>
      </c>
      <c r="B3906">
        <v>197388142.85738885</v>
      </c>
    </row>
    <row r="3907" spans="1:2" x14ac:dyDescent="0.25">
      <c r="A3907">
        <f ca="1">25564.0360521166*((RANDBETWEEN(2979,3282)))</f>
        <v>80705661.816532284</v>
      </c>
      <c r="B3907">
        <v>168799623.81435469</v>
      </c>
    </row>
    <row r="3908" spans="1:2" x14ac:dyDescent="0.25">
      <c r="A3908">
        <f ca="1">28264.6820943781*((RANDBETWEEN(2979,3282)))</f>
        <v>91775422.760445833</v>
      </c>
      <c r="B3908">
        <v>156796612.82513559</v>
      </c>
    </row>
    <row r="3909" spans="1:2" x14ac:dyDescent="0.25">
      <c r="A3909">
        <f ca="1">27904.708528907*((RANDBETWEEN(2979,3282)))</f>
        <v>85862788.143446773</v>
      </c>
      <c r="B3909">
        <v>194987737.04041362</v>
      </c>
    </row>
    <row r="3910" spans="1:2" x14ac:dyDescent="0.25">
      <c r="A3910">
        <f ca="1">30360.5804126366*((RANDBETWEEN(2979,3282)))</f>
        <v>93328424.188444898</v>
      </c>
      <c r="B3910">
        <v>184209321.00159171</v>
      </c>
    </row>
    <row r="3911" spans="1:2" x14ac:dyDescent="0.25">
      <c r="A3911">
        <f ca="1">28328.095322852*((RANDBETWEEN(2979,3282)))</f>
        <v>89006875.504400879</v>
      </c>
      <c r="B3911">
        <v>151419498.13888717</v>
      </c>
    </row>
    <row r="3912" spans="1:2" x14ac:dyDescent="0.25">
      <c r="A3912">
        <f ca="1">29116.3249293833*((RANDBETWEEN(2979,3282)))</f>
        <v>91745539.852486894</v>
      </c>
      <c r="B3912">
        <v>161858855.81300434</v>
      </c>
    </row>
    <row r="3913" spans="1:2" x14ac:dyDescent="0.25">
      <c r="A3913">
        <f ca="1">27335.0081838183*((RANDBETWEEN(2979,3282)))</f>
        <v>82907079.821520984</v>
      </c>
      <c r="B3913">
        <v>171698054.70623913</v>
      </c>
    </row>
    <row r="3914" spans="1:2" x14ac:dyDescent="0.25">
      <c r="A3914">
        <f ca="1">27072.0034132669*((RANDBETWEEN(2979,3282)))</f>
        <v>84708298.680112153</v>
      </c>
      <c r="B3914">
        <v>168895362.24318615</v>
      </c>
    </row>
    <row r="3915" spans="1:2" x14ac:dyDescent="0.25">
      <c r="A3915">
        <f ca="1">31369.0756330937*((RANDBETWEEN(2979,3282)))</f>
        <v>99973244.042669654</v>
      </c>
      <c r="B3915">
        <v>167128650.35992774</v>
      </c>
    </row>
    <row r="3916" spans="1:2" x14ac:dyDescent="0.25">
      <c r="A3916">
        <f ca="1">29399.5058343278*((RANDBETWEEN(2979,3282)))</f>
        <v>95224999.397387862</v>
      </c>
      <c r="B3916">
        <v>186722181.23810732</v>
      </c>
    </row>
    <row r="3917" spans="1:2" x14ac:dyDescent="0.25">
      <c r="A3917">
        <f ca="1">28425.3874521667*((RANDBETWEEN(2979,3282)))</f>
        <v>88999888.112734079</v>
      </c>
      <c r="B3917">
        <v>192131380.4418278</v>
      </c>
    </row>
    <row r="3918" spans="1:2" x14ac:dyDescent="0.25">
      <c r="A3918">
        <f ca="1">32357.0809074156*((RANDBETWEEN(2979,3282)))</f>
        <v>102571946.4765074</v>
      </c>
      <c r="B3918">
        <v>202697559.61849016</v>
      </c>
    </row>
    <row r="3919" spans="1:2" x14ac:dyDescent="0.25">
      <c r="A3919">
        <f ca="1">25455.9724938986*((RANDBETWEEN(2979,3282)))</f>
        <v>82146423.237810627</v>
      </c>
      <c r="B3919">
        <v>147294126.46054286</v>
      </c>
    </row>
    <row r="3920" spans="1:2" x14ac:dyDescent="0.25">
      <c r="A3920">
        <f ca="1">28272.9417666446*((RANDBETWEEN(2979,3282)))</f>
        <v>86826204.165365547</v>
      </c>
      <c r="B3920">
        <v>182912679.3291702</v>
      </c>
    </row>
    <row r="3921" spans="1:2" x14ac:dyDescent="0.25">
      <c r="A3921">
        <f ca="1">30522.5258832944*((RANDBETWEEN(2979,3282)))</f>
        <v>96970064.73122637</v>
      </c>
      <c r="B3921">
        <v>152998176.49918705</v>
      </c>
    </row>
    <row r="3922" spans="1:2" x14ac:dyDescent="0.25">
      <c r="A3922">
        <f ca="1">29342.6125031506*((RANDBETWEEN(2979,3282)))</f>
        <v>93602933.885050431</v>
      </c>
      <c r="B3922">
        <v>144792821.82653588</v>
      </c>
    </row>
    <row r="3923" spans="1:2" x14ac:dyDescent="0.25">
      <c r="A3923">
        <f ca="1">26747.4564263149*((RANDBETWEEN(2979,3282)))</f>
        <v>83104347.116560414</v>
      </c>
      <c r="B3923">
        <v>150823698.52644616</v>
      </c>
    </row>
    <row r="3924" spans="1:2" x14ac:dyDescent="0.25">
      <c r="A3924">
        <f ca="1">31747.9405674138*((RANDBETWEEN(2979,3282)))</f>
        <v>100450483.95529729</v>
      </c>
      <c r="B3924">
        <v>186759951.4580794</v>
      </c>
    </row>
    <row r="3925" spans="1:2" x14ac:dyDescent="0.25">
      <c r="A3925">
        <f ca="1">26728.9507743215*((RANDBETWEEN(2979,3282)))</f>
        <v>86895818.967319295</v>
      </c>
      <c r="B3925">
        <v>161919822.94275507</v>
      </c>
    </row>
    <row r="3926" spans="1:2" x14ac:dyDescent="0.25">
      <c r="A3926">
        <f ca="1">26339.6400656052*((RANDBETWEEN(2979,3282)))</f>
        <v>78992580.55675</v>
      </c>
      <c r="B3926">
        <v>171685266.63163412</v>
      </c>
    </row>
    <row r="3927" spans="1:2" x14ac:dyDescent="0.25">
      <c r="A3927">
        <f ca="1">28326.3123295745*((RANDBETWEEN(2979,3282)))</f>
        <v>89681104.835432783</v>
      </c>
      <c r="B3927">
        <v>183918739.03400716</v>
      </c>
    </row>
    <row r="3928" spans="1:2" x14ac:dyDescent="0.25">
      <c r="A3928">
        <f ca="1">28504.3437613274*((RANDBETWEEN(2979,3282)))</f>
        <v>87736370.097365826</v>
      </c>
      <c r="B3928">
        <v>188524443.41365862</v>
      </c>
    </row>
    <row r="3929" spans="1:2" x14ac:dyDescent="0.25">
      <c r="A3929">
        <f ca="1">29434.7412106096*((RANDBETWEEN(2979,3282)))</f>
        <v>95604039.452059999</v>
      </c>
      <c r="B3929">
        <v>175656316.89776516</v>
      </c>
    </row>
    <row r="3930" spans="1:2" x14ac:dyDescent="0.25">
      <c r="A3930">
        <f ca="1">26118.4066115517*((RANDBETWEEN(2979,3282)))</f>
        <v>78668640.713993862</v>
      </c>
      <c r="B3930">
        <v>169144962.46066484</v>
      </c>
    </row>
    <row r="3931" spans="1:2" x14ac:dyDescent="0.25">
      <c r="A3931">
        <f ca="1">32183.0256243341*((RANDBETWEEN(2979,3282)))</f>
        <v>105141944.71469957</v>
      </c>
      <c r="B3931">
        <v>190893633.07768989</v>
      </c>
    </row>
    <row r="3932" spans="1:2" x14ac:dyDescent="0.25">
      <c r="A3932">
        <f ca="1">27092.4657710559*((RANDBETWEEN(2979,3282)))</f>
        <v>83038407.588286281</v>
      </c>
      <c r="B3932">
        <v>159468214.90863815</v>
      </c>
    </row>
    <row r="3933" spans="1:2" x14ac:dyDescent="0.25">
      <c r="A3933">
        <f ca="1">28419.0833951395*((RANDBETWEEN(2979,3282)))</f>
        <v>90344266.113148406</v>
      </c>
      <c r="B3933">
        <v>187881698.33207726</v>
      </c>
    </row>
    <row r="3934" spans="1:2" x14ac:dyDescent="0.25">
      <c r="A3934">
        <f ca="1">27519.9360023895*((RANDBETWEEN(2979,3282)))</f>
        <v>87650996.167610452</v>
      </c>
      <c r="B3934">
        <v>149730838.83317173</v>
      </c>
    </row>
    <row r="3935" spans="1:2" x14ac:dyDescent="0.25">
      <c r="A3935">
        <f ca="1">27421.4320251818*((RANDBETWEEN(2979,3282)))</f>
        <v>89448711.266143024</v>
      </c>
      <c r="B3935">
        <v>172772085.29178402</v>
      </c>
    </row>
    <row r="3936" spans="1:2" x14ac:dyDescent="0.25">
      <c r="A3936">
        <f ca="1">26548.6175729777*((RANDBETWEEN(2979,3282)))</f>
        <v>84955576.233528495</v>
      </c>
      <c r="B3936">
        <v>144351685.80216932</v>
      </c>
    </row>
    <row r="3937" spans="1:2" x14ac:dyDescent="0.25">
      <c r="A3937">
        <f ca="1">27019.3423886089*((RANDBETWEEN(2979,3282)))</f>
        <v>82706207.051531821</v>
      </c>
      <c r="B3937">
        <v>146803436.87177229</v>
      </c>
    </row>
    <row r="3938" spans="1:2" x14ac:dyDescent="0.25">
      <c r="A3938">
        <f ca="1">28680.715482823*((RANDBETWEEN(2979,3282)))</f>
        <v>86013465.732986227</v>
      </c>
      <c r="B3938">
        <v>185684249.55483684</v>
      </c>
    </row>
    <row r="3939" spans="1:2" x14ac:dyDescent="0.25">
      <c r="A3939">
        <f ca="1">27038.2567623423*((RANDBETWEEN(2979,3282)))</f>
        <v>83440060.368588433</v>
      </c>
      <c r="B3939">
        <v>156233181.91026047</v>
      </c>
    </row>
    <row r="3940" spans="1:2" x14ac:dyDescent="0.25">
      <c r="A3940">
        <f ca="1">27696.5768416305*((RANDBETWEEN(2979,3282)))</f>
        <v>89653819.236357927</v>
      </c>
      <c r="B3940">
        <v>175082962.89760819</v>
      </c>
    </row>
    <row r="3941" spans="1:2" x14ac:dyDescent="0.25">
      <c r="A3941">
        <f ca="1">28106.8517666373*((RANDBETWEEN(2979,3282)))</f>
        <v>91234840.83450453</v>
      </c>
      <c r="B3941">
        <v>167275876.1836786</v>
      </c>
    </row>
    <row r="3942" spans="1:2" x14ac:dyDescent="0.25">
      <c r="A3942">
        <f ca="1">27093.7699370497*((RANDBETWEEN(2979,3282)))</f>
        <v>83719749.105483711</v>
      </c>
      <c r="B3942">
        <v>151191577.04799187</v>
      </c>
    </row>
    <row r="3943" spans="1:2" x14ac:dyDescent="0.25">
      <c r="A3943">
        <f ca="1">29926.5604398767*((RANDBETWEEN(2979,3282)))</f>
        <v>95615360.605406195</v>
      </c>
      <c r="B3943">
        <v>166225546.83731288</v>
      </c>
    </row>
    <row r="3944" spans="1:2" x14ac:dyDescent="0.25">
      <c r="A3944">
        <f ca="1">29518.7846351061*((RANDBETWEEN(2979,3282)))</f>
        <v>90209405.844884321</v>
      </c>
      <c r="B3944">
        <v>167578972.17439574</v>
      </c>
    </row>
    <row r="3945" spans="1:2" x14ac:dyDescent="0.25">
      <c r="A3945">
        <f ca="1">25756.3066381235*((RANDBETWEEN(2979,3282)))</f>
        <v>82626231.695100307</v>
      </c>
      <c r="B3945">
        <v>152426748.12389925</v>
      </c>
    </row>
    <row r="3946" spans="1:2" x14ac:dyDescent="0.25">
      <c r="A3946">
        <f ca="1">26441.4066624387*((RANDBETWEEN(2979,3282)))</f>
        <v>79641516.867265373</v>
      </c>
      <c r="B3946">
        <v>165545576.63264692</v>
      </c>
    </row>
    <row r="3947" spans="1:2" x14ac:dyDescent="0.25">
      <c r="A3947">
        <f ca="1">28501.0140214093*((RANDBETWEEN(2979,3282)))</f>
        <v>91317248.924595311</v>
      </c>
      <c r="B3947">
        <v>163139153.2992903</v>
      </c>
    </row>
    <row r="3948" spans="1:2" x14ac:dyDescent="0.25">
      <c r="A3948">
        <f ca="1">27056.0001551918*((RANDBETWEEN(2979,3282)))</f>
        <v>82439632.472869337</v>
      </c>
      <c r="B3948">
        <v>144095798.70547444</v>
      </c>
    </row>
    <row r="3949" spans="1:2" x14ac:dyDescent="0.25">
      <c r="A3949">
        <f ca="1">27129.6053957982*((RANDBETWEEN(2979,3282)))</f>
        <v>88252606.352531642</v>
      </c>
      <c r="B3949">
        <v>189712795.28588557</v>
      </c>
    </row>
    <row r="3950" spans="1:2" x14ac:dyDescent="0.25">
      <c r="A3950">
        <f ca="1">26956.6564054366*((RANDBETWEEN(2979,3282)))</f>
        <v>81085622.467553318</v>
      </c>
      <c r="B3950">
        <v>189481420.85779563</v>
      </c>
    </row>
    <row r="3951" spans="1:2" x14ac:dyDescent="0.25">
      <c r="A3951">
        <f ca="1">27215.5960199298*((RANDBETWEEN(2979,3282)))</f>
        <v>83551879.78118445</v>
      </c>
      <c r="B3951">
        <v>149317355.60723126</v>
      </c>
    </row>
    <row r="3952" spans="1:2" x14ac:dyDescent="0.25">
      <c r="A3952">
        <f ca="1">26805.7732281514*((RANDBETWEEN(2979,3282)))</f>
        <v>87494043.816686079</v>
      </c>
      <c r="B3952">
        <v>159232000.77362043</v>
      </c>
    </row>
    <row r="3953" spans="1:2" x14ac:dyDescent="0.25">
      <c r="A3953">
        <f ca="1">28519.0230932141*((RANDBETWEEN(2979,3282)))</f>
        <v>85214841.002523631</v>
      </c>
      <c r="B3953">
        <v>159403143.4360311</v>
      </c>
    </row>
    <row r="3954" spans="1:2" x14ac:dyDescent="0.25">
      <c r="A3954">
        <f ca="1">32859.6605649456*((RANDBETWEEN(2979,3282)))</f>
        <v>101667789.78794168</v>
      </c>
      <c r="B3954">
        <v>197834847.28211451</v>
      </c>
    </row>
    <row r="3955" spans="1:2" x14ac:dyDescent="0.25">
      <c r="A3955">
        <f ca="1">30547.6682714618*((RANDBETWEEN(2979,3282)))</f>
        <v>93200935.896229833</v>
      </c>
      <c r="B3955">
        <v>173706927.91057104</v>
      </c>
    </row>
    <row r="3956" spans="1:2" x14ac:dyDescent="0.25">
      <c r="A3956">
        <f ca="1">30519.2828695637*((RANDBETWEEN(2979,3282)))</f>
        <v>98699360.800169125</v>
      </c>
      <c r="B3956">
        <v>173773928.14251703</v>
      </c>
    </row>
    <row r="3957" spans="1:2" x14ac:dyDescent="0.25">
      <c r="A3957">
        <f ca="1">31402.4120740832*((RANDBETWEEN(2979,3282)))</f>
        <v>99043207.681658372</v>
      </c>
      <c r="B3957">
        <v>187222558.99078211</v>
      </c>
    </row>
    <row r="3958" spans="1:2" x14ac:dyDescent="0.25">
      <c r="A3958">
        <f ca="1">26490.3270410456*((RANDBETWEEN(2979,3282)))</f>
        <v>83497510.833375752</v>
      </c>
      <c r="B3958">
        <v>179952914.09058213</v>
      </c>
    </row>
    <row r="3959" spans="1:2" x14ac:dyDescent="0.25">
      <c r="A3959">
        <f ca="1">29386.0419673509*((RANDBETWEEN(2979,3282)))</f>
        <v>90655939.469277516</v>
      </c>
      <c r="B3959">
        <v>168230690.79339871</v>
      </c>
    </row>
    <row r="3960" spans="1:2" x14ac:dyDescent="0.25">
      <c r="A3960">
        <f ca="1">27357.5344713499*((RANDBETWEEN(2979,3282)))</f>
        <v>86750741.808650389</v>
      </c>
      <c r="B3960">
        <v>171394282.88781565</v>
      </c>
    </row>
    <row r="3961" spans="1:2" x14ac:dyDescent="0.25">
      <c r="A3961">
        <f ca="1">27079.6553501164*((RANDBETWEEN(2979,3282)))</f>
        <v>84001090.896060959</v>
      </c>
      <c r="B3961">
        <v>160942972.99558368</v>
      </c>
    </row>
    <row r="3962" spans="1:2" x14ac:dyDescent="0.25">
      <c r="A3962">
        <f ca="1">26516.5009663013*((RANDBETWEEN(2979,3282)))</f>
        <v>80265448.424994022</v>
      </c>
      <c r="B3962">
        <v>179590807.22919229</v>
      </c>
    </row>
    <row r="3963" spans="1:2" x14ac:dyDescent="0.25">
      <c r="A3963">
        <f ca="1">25919.969831276*((RANDBETWEEN(2979,3282)))</f>
        <v>83280863.06788978</v>
      </c>
      <c r="B3963">
        <v>153923177.02544868</v>
      </c>
    </row>
    <row r="3964" spans="1:2" x14ac:dyDescent="0.25">
      <c r="A3964">
        <f ca="1">26794.3473354421*((RANDBETWEEN(2979,3282)))</f>
        <v>85875883.210091993</v>
      </c>
      <c r="B3964">
        <v>200339560.38878065</v>
      </c>
    </row>
    <row r="3965" spans="1:2" x14ac:dyDescent="0.25">
      <c r="A3965">
        <f ca="1">26294.0999269603*((RANDBETWEEN(2979,3282)))</f>
        <v>81064710.074818462</v>
      </c>
      <c r="B3965">
        <v>173892094.69849452</v>
      </c>
    </row>
    <row r="3966" spans="1:2" x14ac:dyDescent="0.25">
      <c r="A3966">
        <f ca="1">28746.7234123202*((RANDBETWEEN(2979,3282)))</f>
        <v>88137453.98217383</v>
      </c>
      <c r="B3966">
        <v>158759356.47710067</v>
      </c>
    </row>
    <row r="3967" spans="1:2" x14ac:dyDescent="0.25">
      <c r="A3967">
        <f ca="1">29573.6834595149*((RANDBETWEEN(2979,3282)))</f>
        <v>89016787.213139817</v>
      </c>
      <c r="B3967">
        <v>148906357.6090298</v>
      </c>
    </row>
    <row r="3968" spans="1:2" x14ac:dyDescent="0.25">
      <c r="A3968">
        <f ca="1">31551.5168567138*((RANDBETWEEN(2979,3282)))</f>
        <v>100807096.3572007</v>
      </c>
      <c r="B3968">
        <v>185370221.83128661</v>
      </c>
    </row>
    <row r="3969" spans="1:2" x14ac:dyDescent="0.25">
      <c r="A3969">
        <f ca="1">31224.5455235836*((RANDBETWEEN(2979,3282)))</f>
        <v>93611187.47970362</v>
      </c>
      <c r="B3969">
        <v>181513174.36891276</v>
      </c>
    </row>
    <row r="3970" spans="1:2" x14ac:dyDescent="0.25">
      <c r="A3970">
        <f ca="1">26516.2183576797*((RANDBETWEEN(2979,3282)))</f>
        <v>79389557.76289314</v>
      </c>
      <c r="B3970">
        <v>170213145.13510913</v>
      </c>
    </row>
    <row r="3971" spans="1:2" x14ac:dyDescent="0.25">
      <c r="A3971">
        <f ca="1">31591.3138896702*((RANDBETWEEN(2979,3282)))</f>
        <v>100618334.73859943</v>
      </c>
      <c r="B3971">
        <v>171667668.01187623</v>
      </c>
    </row>
    <row r="3972" spans="1:2" x14ac:dyDescent="0.25">
      <c r="A3972">
        <f ca="1">29157.8808705747*((RANDBETWEEN(2979,3282)))</f>
        <v>92867850.572780296</v>
      </c>
      <c r="B3972">
        <v>163100584.29499525</v>
      </c>
    </row>
    <row r="3973" spans="1:2" x14ac:dyDescent="0.25">
      <c r="A3973">
        <f ca="1">31983.2043185736*((RANDBETWEEN(2979,3282)))</f>
        <v>103625581.99217831</v>
      </c>
      <c r="B3973">
        <v>201691431.30423364</v>
      </c>
    </row>
    <row r="3974" spans="1:2" x14ac:dyDescent="0.25">
      <c r="A3974">
        <f ca="1">26070.8130035262*((RANDBETWEEN(2979,3282)))</f>
        <v>79985254.294818431</v>
      </c>
      <c r="B3974">
        <v>158343992.55956718</v>
      </c>
    </row>
    <row r="3975" spans="1:2" x14ac:dyDescent="0.25">
      <c r="A3975">
        <f ca="1">26617.3211504608*((RANDBETWEEN(2979,3282)))</f>
        <v>83711475.018199176</v>
      </c>
      <c r="B3975">
        <v>165111170.43772382</v>
      </c>
    </row>
    <row r="3976" spans="1:2" x14ac:dyDescent="0.25">
      <c r="A3976">
        <f ca="1">26665.1701818401*((RANDBETWEEN(2979,3282)))</f>
        <v>79728858.843701974</v>
      </c>
      <c r="B3976">
        <v>149069792.64991787</v>
      </c>
    </row>
    <row r="3977" spans="1:2" x14ac:dyDescent="0.25">
      <c r="A3977">
        <f ca="1">29772.3040976398*((RANDBETWEEN(2979,3282)))</f>
        <v>90984161.322387382</v>
      </c>
      <c r="B3977">
        <v>143259129.41129428</v>
      </c>
    </row>
    <row r="3978" spans="1:2" x14ac:dyDescent="0.25">
      <c r="A3978">
        <f ca="1">33352.7693602976*((RANDBETWEEN(2979,3282)))</f>
        <v>101559182.70210615</v>
      </c>
      <c r="B3978">
        <v>189942721.21966666</v>
      </c>
    </row>
    <row r="3979" spans="1:2" x14ac:dyDescent="0.25">
      <c r="A3979">
        <f ca="1">26283.7393951278*((RANDBETWEEN(2979,3282)))</f>
        <v>83950263.628038332</v>
      </c>
      <c r="B3979">
        <v>143636472.88386056</v>
      </c>
    </row>
    <row r="3980" spans="1:2" x14ac:dyDescent="0.25">
      <c r="A3980">
        <f ca="1">26685.3011797437*((RANDBETWEEN(2979,3282)))</f>
        <v>86567117.027088657</v>
      </c>
      <c r="B3980">
        <v>186765259.81785357</v>
      </c>
    </row>
    <row r="3981" spans="1:2" x14ac:dyDescent="0.25">
      <c r="A3981">
        <f ca="1">29906.2130738092*((RANDBETWEEN(2979,3282)))</f>
        <v>90585919.400568217</v>
      </c>
      <c r="B3981">
        <v>194928302.89409095</v>
      </c>
    </row>
    <row r="3982" spans="1:2" x14ac:dyDescent="0.25">
      <c r="A3982">
        <f ca="1">27877.2365932763*((RANDBETWEEN(2979,3282)))</f>
        <v>86949100.934428722</v>
      </c>
      <c r="B3982">
        <v>153361225.81800908</v>
      </c>
    </row>
    <row r="3983" spans="1:2" x14ac:dyDescent="0.25">
      <c r="A3983">
        <f ca="1">28623.6759778993*((RANDBETWEEN(2979,3282)))</f>
        <v>88905137.587355152</v>
      </c>
      <c r="B3983">
        <v>172517025.80208138</v>
      </c>
    </row>
    <row r="3984" spans="1:2" x14ac:dyDescent="0.25">
      <c r="A3984">
        <f ca="1">25790.5646714323*((RANDBETWEEN(2979,3282)))</f>
        <v>82581388.077926204</v>
      </c>
      <c r="B3984">
        <v>176403352.81713372</v>
      </c>
    </row>
    <row r="3985" spans="1:2" x14ac:dyDescent="0.25">
      <c r="A3985">
        <f ca="1">26778.2533986153*((RANDBETWEEN(2979,3282)))</f>
        <v>82798359.508518636</v>
      </c>
      <c r="B3985">
        <v>152335431.48918319</v>
      </c>
    </row>
    <row r="3986" spans="1:2" x14ac:dyDescent="0.25">
      <c r="A3986">
        <f ca="1">30961.4008040311*((RANDBETWEEN(2979,3282)))</f>
        <v>99664749.188176006</v>
      </c>
      <c r="B3986">
        <v>156760600.07249722</v>
      </c>
    </row>
    <row r="3987" spans="1:2" x14ac:dyDescent="0.25">
      <c r="A3987">
        <f ca="1">25110.2763599822*((RANDBETWEEN(2979,3282)))</f>
        <v>75607042.11990644</v>
      </c>
      <c r="B3987">
        <v>146951192.42956722</v>
      </c>
    </row>
    <row r="3988" spans="1:2" x14ac:dyDescent="0.25">
      <c r="A3988">
        <f ca="1">26695.3150489369*((RANDBETWEEN(2979,3282)))</f>
        <v>83022429.80219382</v>
      </c>
      <c r="B3988">
        <v>143219202.87504947</v>
      </c>
    </row>
    <row r="3989" spans="1:2" x14ac:dyDescent="0.25">
      <c r="A3989">
        <f ca="1">25614.7663846369*((RANDBETWEEN(2979,3282)))</f>
        <v>79764382.521759316</v>
      </c>
      <c r="B3989">
        <v>146646323.14434221</v>
      </c>
    </row>
    <row r="3990" spans="1:2" x14ac:dyDescent="0.25">
      <c r="A3990">
        <f ca="1">26084.9178677419*((RANDBETWEEN(2979,3282)))</f>
        <v>84280369.630673945</v>
      </c>
      <c r="B3990">
        <v>142899044.76066974</v>
      </c>
    </row>
    <row r="3991" spans="1:2" x14ac:dyDescent="0.25">
      <c r="A3991">
        <f ca="1">28174.5220326071*((RANDBETWEEN(2979,3282)))</f>
        <v>87087447.602788523</v>
      </c>
      <c r="B3991">
        <v>185597332.96715167</v>
      </c>
    </row>
    <row r="3992" spans="1:2" x14ac:dyDescent="0.25">
      <c r="A3992">
        <f ca="1">26452.3488043722*((RANDBETWEEN(2979,3282)))</f>
        <v>82372614.176814958</v>
      </c>
      <c r="B3992">
        <v>147212571.22077554</v>
      </c>
    </row>
    <row r="3993" spans="1:2" x14ac:dyDescent="0.25">
      <c r="A3993">
        <f ca="1">26773.6455892263*((RANDBETWEEN(2979,3282)))</f>
        <v>83212490.491315305</v>
      </c>
      <c r="B3993">
        <v>146554338.9279176</v>
      </c>
    </row>
    <row r="3994" spans="1:2" x14ac:dyDescent="0.25">
      <c r="A3994">
        <f ca="1">28149.1837161164*((RANDBETWEEN(2979,3282)))</f>
        <v>90161835.442720816</v>
      </c>
      <c r="B3994">
        <v>175817176.60095945</v>
      </c>
    </row>
    <row r="3995" spans="1:2" x14ac:dyDescent="0.25">
      <c r="A3995">
        <f ca="1">25793.773135062*((RANDBETWEEN(2979,3282)))</f>
        <v>82565867.80533348</v>
      </c>
      <c r="B3995">
        <v>146502292.87781972</v>
      </c>
    </row>
    <row r="3996" spans="1:2" x14ac:dyDescent="0.25">
      <c r="A3996">
        <f ca="1">25763.6762034723*((RANDBETWEEN(2979,3282)))</f>
        <v>78166993.60133484</v>
      </c>
      <c r="B3996">
        <v>155317643.77602151</v>
      </c>
    </row>
    <row r="3997" spans="1:2" x14ac:dyDescent="0.25">
      <c r="A3997">
        <f ca="1">29044.0634810856*((RANDBETWEEN(2979,3282)))</f>
        <v>93318575.964727908</v>
      </c>
      <c r="B3997">
        <v>196531092.78227955</v>
      </c>
    </row>
    <row r="3998" spans="1:2" x14ac:dyDescent="0.25">
      <c r="A3998">
        <f ca="1">28288.8821781367*((RANDBETWEEN(2979,3282)))</f>
        <v>86535690.582920089</v>
      </c>
      <c r="B3998">
        <v>181784996.53100866</v>
      </c>
    </row>
    <row r="3999" spans="1:2" x14ac:dyDescent="0.25">
      <c r="A3999">
        <f ca="1">34108.4520346658*((RANDBETWEEN(2979,3282)))</f>
        <v>109078829.60686132</v>
      </c>
      <c r="B3999">
        <v>194225115.45126471</v>
      </c>
    </row>
    <row r="4000" spans="1:2" x14ac:dyDescent="0.25">
      <c r="A4000">
        <f ca="1">28789.5223740266*((RANDBETWEEN(2979,3282)))</f>
        <v>86138250.943087563</v>
      </c>
      <c r="B4000">
        <v>165559717.56167829</v>
      </c>
    </row>
    <row r="4001" spans="1:2" x14ac:dyDescent="0.25">
      <c r="A4001">
        <f ca="1">29448.2255899917*((RANDBETWEEN(2979,3282)))</f>
        <v>95824526.069832951</v>
      </c>
      <c r="B4001">
        <v>147307567.05590975</v>
      </c>
    </row>
    <row r="4002" spans="1:2" x14ac:dyDescent="0.25">
      <c r="A4002">
        <f ca="1">26665.8670428362*((RANDBETWEEN(2979,3282)))</f>
        <v>84984118.265519053</v>
      </c>
      <c r="B4002">
        <v>161229249.72674453</v>
      </c>
    </row>
    <row r="4003" spans="1:2" x14ac:dyDescent="0.25">
      <c r="A4003">
        <f ca="1">27358.2440189026*((RANDBETWEEN(2979,3282)))</f>
        <v>88804860.085357964</v>
      </c>
      <c r="B4003">
        <v>170357262.67008066</v>
      </c>
    </row>
    <row r="4004" spans="1:2" x14ac:dyDescent="0.25">
      <c r="A4004">
        <f ca="1">27136.8005377939*((RANDBETWEEN(2979,3282)))</f>
        <v>82930062.443498015</v>
      </c>
      <c r="B4004">
        <v>159072378.44555849</v>
      </c>
    </row>
    <row r="4005" spans="1:2" x14ac:dyDescent="0.25">
      <c r="A4005">
        <f ca="1">26269.2518913646*((RANDBETWEEN(2979,3282)))</f>
        <v>84403106.326954484</v>
      </c>
      <c r="B4005">
        <v>199739800.71711874</v>
      </c>
    </row>
    <row r="4006" spans="1:2" x14ac:dyDescent="0.25">
      <c r="A4006">
        <f ca="1">28382.3208754391*((RANDBETWEEN(2979,3282)))</f>
        <v>85799756.006452531</v>
      </c>
      <c r="B4006">
        <v>201995511.82131767</v>
      </c>
    </row>
    <row r="4007" spans="1:2" x14ac:dyDescent="0.25">
      <c r="A4007">
        <f ca="1">25216.6780110971*((RANDBETWEEN(2979,3282)))</f>
        <v>77591718.240145743</v>
      </c>
      <c r="B4007">
        <v>173848601.15275794</v>
      </c>
    </row>
    <row r="4008" spans="1:2" x14ac:dyDescent="0.25">
      <c r="A4008">
        <f ca="1">27837.6480916918*((RANDBETWEEN(2979,3282)))</f>
        <v>87521565.600278959</v>
      </c>
      <c r="B4008">
        <v>169372371.78994206</v>
      </c>
    </row>
    <row r="4009" spans="1:2" x14ac:dyDescent="0.25">
      <c r="A4009">
        <f ca="1">26714.4149256924*((RANDBETWEEN(2979,3282)))</f>
        <v>87169135.902534246</v>
      </c>
      <c r="B4009">
        <v>146254952.27449757</v>
      </c>
    </row>
    <row r="4010" spans="1:2" x14ac:dyDescent="0.25">
      <c r="A4010">
        <f ca="1">30700.1822787015*((RANDBETWEEN(2979,3282)))</f>
        <v>100113294.41084573</v>
      </c>
      <c r="B4010">
        <v>164004745.71197572</v>
      </c>
    </row>
    <row r="4011" spans="1:2" x14ac:dyDescent="0.25">
      <c r="A4011">
        <f ca="1">26683.522856139*((RANDBETWEEN(2979,3282)))</f>
        <v>82718920.854030997</v>
      </c>
      <c r="B4011">
        <v>143026169.65756494</v>
      </c>
    </row>
    <row r="4012" spans="1:2" x14ac:dyDescent="0.25">
      <c r="A4012">
        <f ca="1">27214.710199955*((RANDBETWEEN(2979,3282)))</f>
        <v>88148446.337654158</v>
      </c>
      <c r="B4012">
        <v>183707765.2889564</v>
      </c>
    </row>
    <row r="4013" spans="1:2" x14ac:dyDescent="0.25">
      <c r="A4013">
        <f ca="1">28506.9254405771*((RANDBETWEEN(2979,3282)))</f>
        <v>89882335.914139599</v>
      </c>
      <c r="B4013">
        <v>159994755.95228168</v>
      </c>
    </row>
    <row r="4014" spans="1:2" x14ac:dyDescent="0.25">
      <c r="A4014">
        <f ca="1">26568.277189644*((RANDBETWEEN(2979,3282)))</f>
        <v>84938782.175291777</v>
      </c>
      <c r="B4014">
        <v>148299881.25276738</v>
      </c>
    </row>
    <row r="4015" spans="1:2" x14ac:dyDescent="0.25">
      <c r="A4015">
        <f ca="1">26693.016396078*((RANDBETWEEN(2979,3282)))</f>
        <v>83415676.237743735</v>
      </c>
      <c r="B4015">
        <v>157654052.36521703</v>
      </c>
    </row>
    <row r="4016" spans="1:2" x14ac:dyDescent="0.25">
      <c r="A4016">
        <f ca="1">28152.2544837775*((RANDBETWEEN(2979,3282)))</f>
        <v>90734716.201214939</v>
      </c>
      <c r="B4016">
        <v>164643828.45633382</v>
      </c>
    </row>
    <row r="4017" spans="1:2" x14ac:dyDescent="0.25">
      <c r="A4017">
        <f ca="1">28327.5294412535*((RANDBETWEEN(2979,3282)))</f>
        <v>92970951.626193911</v>
      </c>
      <c r="B4017">
        <v>158435759.95187709</v>
      </c>
    </row>
    <row r="4018" spans="1:2" x14ac:dyDescent="0.25">
      <c r="A4018">
        <f ca="1">26244.9081081932*((RANDBETWEEN(2979,3282)))</f>
        <v>83511297.600270778</v>
      </c>
      <c r="B4018">
        <v>191160002.06957933</v>
      </c>
    </row>
    <row r="4019" spans="1:2" x14ac:dyDescent="0.25">
      <c r="A4019">
        <f ca="1">25541.3528081711*((RANDBETWEEN(2979,3282)))</f>
        <v>76547434.366088822</v>
      </c>
      <c r="B4019">
        <v>198620950.73166135</v>
      </c>
    </row>
    <row r="4020" spans="1:2" x14ac:dyDescent="0.25">
      <c r="A4020">
        <f ca="1">29412.2926802083*((RANDBETWEEN(2979,3282)))</f>
        <v>93678152.186463356</v>
      </c>
      <c r="B4020">
        <v>172701640.73118305</v>
      </c>
    </row>
    <row r="4021" spans="1:2" x14ac:dyDescent="0.25">
      <c r="A4021">
        <f ca="1">30910.1035947289*((RANDBETWEEN(2979,3282)))</f>
        <v>97923208.188101038</v>
      </c>
      <c r="B4021">
        <v>189493144.49070406</v>
      </c>
    </row>
    <row r="4022" spans="1:2" x14ac:dyDescent="0.25">
      <c r="A4022">
        <f ca="1">30995.2145252918*((RANDBETWEEN(2979,3282)))</f>
        <v>97944877.899921939</v>
      </c>
      <c r="B4022">
        <v>195842794.64042595</v>
      </c>
    </row>
    <row r="4023" spans="1:2" x14ac:dyDescent="0.25">
      <c r="A4023">
        <f ca="1">29177.3372186594*((RANDBETWEEN(2979,3282)))</f>
        <v>93367479.099709943</v>
      </c>
      <c r="B4023">
        <v>164933571.88451046</v>
      </c>
    </row>
    <row r="4024" spans="1:2" x14ac:dyDescent="0.25">
      <c r="A4024">
        <f ca="1">28585.0473202335*((RANDBETWEEN(2979,3282)))</f>
        <v>93015743.98003976</v>
      </c>
      <c r="B4024">
        <v>168659558.06401157</v>
      </c>
    </row>
    <row r="4025" spans="1:2" x14ac:dyDescent="0.25">
      <c r="A4025">
        <f ca="1">25130.1646103167*((RANDBETWEEN(2979,3282)))</f>
        <v>78657415.230291128</v>
      </c>
      <c r="B4025">
        <v>164799749.18709254</v>
      </c>
    </row>
    <row r="4026" spans="1:2" x14ac:dyDescent="0.25">
      <c r="A4026">
        <f ca="1">32008.9182906203*((RANDBETWEEN(2979,3282)))</f>
        <v>104189029.0359692</v>
      </c>
      <c r="B4026">
        <v>170432979.89122871</v>
      </c>
    </row>
    <row r="4027" spans="1:2" x14ac:dyDescent="0.25">
      <c r="A4027">
        <f ca="1">29812.8376480338*((RANDBETWEEN(2979,3282)))</f>
        <v>96861909.518461913</v>
      </c>
      <c r="B4027">
        <v>166480354.68589073</v>
      </c>
    </row>
    <row r="4028" spans="1:2" x14ac:dyDescent="0.25">
      <c r="A4028">
        <f ca="1">29925.9501627544*((RANDBETWEEN(2979,3282)))</f>
        <v>95972522.171953291</v>
      </c>
      <c r="B4028">
        <v>153802298.84562483</v>
      </c>
    </row>
    <row r="4029" spans="1:2" x14ac:dyDescent="0.25">
      <c r="A4029">
        <f ca="1">27741.2076896774*((RANDBETWEEN(2979,3282)))</f>
        <v>84416494.999688342</v>
      </c>
      <c r="B4029">
        <v>165461808.04788321</v>
      </c>
    </row>
    <row r="4030" spans="1:2" x14ac:dyDescent="0.25">
      <c r="A4030">
        <f ca="1">27686.6346121782*((RANDBETWEEN(2979,3282)))</f>
        <v>86133120.278486431</v>
      </c>
      <c r="B4030">
        <v>171853967.23000672</v>
      </c>
    </row>
    <row r="4031" spans="1:2" x14ac:dyDescent="0.25">
      <c r="A4031">
        <f ca="1">31084.6655652609*((RANDBETWEEN(2979,3282)))</f>
        <v>94093282.666044876</v>
      </c>
      <c r="B4031">
        <v>167000720.63397124</v>
      </c>
    </row>
    <row r="4032" spans="1:2" x14ac:dyDescent="0.25">
      <c r="A4032">
        <f ca="1">30679.1793811128*((RANDBETWEEN(2979,3282)))</f>
        <v>100198199.85871448</v>
      </c>
      <c r="B4032">
        <v>169937556.59426489</v>
      </c>
    </row>
    <row r="4033" spans="1:2" x14ac:dyDescent="0.25">
      <c r="A4033">
        <f ca="1">27569.4615330568*((RANDBETWEEN(2979,3282)))</f>
        <v>83370051.675963745</v>
      </c>
      <c r="B4033">
        <v>165073513.35076225</v>
      </c>
    </row>
    <row r="4034" spans="1:2" x14ac:dyDescent="0.25">
      <c r="A4034">
        <f ca="1">32016.0968578976*((RANDBETWEEN(2979,3282)))</f>
        <v>101779171.91125631</v>
      </c>
      <c r="B4034">
        <v>158280455.51377034</v>
      </c>
    </row>
    <row r="4035" spans="1:2" x14ac:dyDescent="0.25">
      <c r="A4035">
        <f ca="1">34457.1034487623*((RANDBETWEEN(2979,3282)))</f>
        <v>106644735.17391922</v>
      </c>
      <c r="B4035">
        <v>200005466.53028539</v>
      </c>
    </row>
    <row r="4036" spans="1:2" x14ac:dyDescent="0.25">
      <c r="A4036">
        <f ca="1">28735.6195771996*((RANDBETWEEN(2979,3282)))</f>
        <v>86896513.601451844</v>
      </c>
      <c r="B4036">
        <v>182755094.52363718</v>
      </c>
    </row>
    <row r="4037" spans="1:2" x14ac:dyDescent="0.25">
      <c r="A4037">
        <f ca="1">27766.0351245418*((RANDBETWEEN(2979,3282)))</f>
        <v>85658218.359211549</v>
      </c>
      <c r="B4037">
        <v>152123335.0237028</v>
      </c>
    </row>
    <row r="4038" spans="1:2" x14ac:dyDescent="0.25">
      <c r="A4038">
        <f ca="1">30284.9472828695*((RANDBETWEEN(2979,3282)))</f>
        <v>97456960.356274113</v>
      </c>
      <c r="B4038">
        <v>190143832.41491511</v>
      </c>
    </row>
    <row r="4039" spans="1:2" x14ac:dyDescent="0.25">
      <c r="A4039">
        <f ca="1">26649.7463785186*((RANDBETWEEN(2979,3282)))</f>
        <v>82720812.758921608</v>
      </c>
      <c r="B4039">
        <v>148035233.35863504</v>
      </c>
    </row>
    <row r="4040" spans="1:2" x14ac:dyDescent="0.25">
      <c r="A4040">
        <f ca="1">27848.0681081207*((RANDBETWEEN(2979,3282)))</f>
        <v>91341663.394635871</v>
      </c>
      <c r="B4040">
        <v>174411735.60576808</v>
      </c>
    </row>
    <row r="4041" spans="1:2" x14ac:dyDescent="0.25">
      <c r="A4041">
        <f ca="1">30352.9869079093*((RANDBETWEEN(2979,3282)))</f>
        <v>92698022.016754881</v>
      </c>
      <c r="B4041">
        <v>180952245.03115064</v>
      </c>
    </row>
    <row r="4042" spans="1:2" x14ac:dyDescent="0.25">
      <c r="A4042">
        <f ca="1">26143.6227554324*((RANDBETWEEN(2979,3282)))</f>
        <v>82849140.5119652</v>
      </c>
      <c r="B4042">
        <v>165665140.0877896</v>
      </c>
    </row>
    <row r="4043" spans="1:2" x14ac:dyDescent="0.25">
      <c r="A4043">
        <f ca="1">28200.0837115965*((RANDBETWEEN(2979,3282)))</f>
        <v>84008049.376845896</v>
      </c>
      <c r="B4043">
        <v>156073812.99008209</v>
      </c>
    </row>
    <row r="4044" spans="1:2" x14ac:dyDescent="0.25">
      <c r="A4044">
        <f ca="1">27738.217674122*((RANDBETWEEN(2979,3282)))</f>
        <v>82826317.97492829</v>
      </c>
      <c r="B4044">
        <v>155462391.63824907</v>
      </c>
    </row>
    <row r="4045" spans="1:2" x14ac:dyDescent="0.25">
      <c r="A4045">
        <f ca="1">27858.6714670358*((RANDBETWEEN(2979,3282)))</f>
        <v>85414686.717931718</v>
      </c>
      <c r="B4045">
        <v>198610157.91321468</v>
      </c>
    </row>
    <row r="4046" spans="1:2" x14ac:dyDescent="0.25">
      <c r="A4046">
        <f ca="1">31672.4065610682*((RANDBETWEEN(2979,3282)))</f>
        <v>95207254.122570902</v>
      </c>
      <c r="B4046">
        <v>186749527.42502004</v>
      </c>
    </row>
    <row r="4047" spans="1:2" x14ac:dyDescent="0.25">
      <c r="A4047">
        <f ca="1">27096.4617708507*((RANDBETWEEN(2979,3282)))</f>
        <v>84540960.725054115</v>
      </c>
      <c r="B4047">
        <v>162051815.75773939</v>
      </c>
    </row>
    <row r="4048" spans="1:2" x14ac:dyDescent="0.25">
      <c r="A4048">
        <f ca="1">25857.7534094082*((RANDBETWEEN(2979,3282)))</f>
        <v>79047152.172560781</v>
      </c>
      <c r="B4048">
        <v>185897890.95511526</v>
      </c>
    </row>
    <row r="4049" spans="1:2" x14ac:dyDescent="0.25">
      <c r="A4049">
        <f ca="1">27606.2094885604*((RANDBETWEEN(2979,3282)))</f>
        <v>82238898.066421419</v>
      </c>
      <c r="B4049">
        <v>186264197.50268036</v>
      </c>
    </row>
    <row r="4050" spans="1:2" x14ac:dyDescent="0.25">
      <c r="A4050">
        <f ca="1">30948.3174443723*((RANDBETWEEN(2979,3282)))</f>
        <v>100086858.61510009</v>
      </c>
      <c r="B4050">
        <v>185164622.55953854</v>
      </c>
    </row>
    <row r="4051" spans="1:2" x14ac:dyDescent="0.25">
      <c r="A4051">
        <f ca="1">26870.7618358747*((RANDBETWEEN(2979,3282)))</f>
        <v>87115009.871905625</v>
      </c>
      <c r="B4051">
        <v>160027208.70111483</v>
      </c>
    </row>
    <row r="4052" spans="1:2" x14ac:dyDescent="0.25">
      <c r="A4052">
        <f ca="1">30944.2969976432*((RANDBETWEEN(2979,3282)))</f>
        <v>100971241.10330962</v>
      </c>
      <c r="B4052">
        <v>200696239.60496804</v>
      </c>
    </row>
    <row r="4053" spans="1:2" x14ac:dyDescent="0.25">
      <c r="A4053">
        <f ca="1">26966.4903148836*((RANDBETWEEN(2979,3282)))</f>
        <v>81034303.39622511</v>
      </c>
      <c r="B4053">
        <v>166994113.84181005</v>
      </c>
    </row>
    <row r="4054" spans="1:2" x14ac:dyDescent="0.25">
      <c r="A4054">
        <f ca="1">27375.8993888744*((RANDBETWEEN(2979,3282)))</f>
        <v>88834793.516897336</v>
      </c>
      <c r="B4054">
        <v>186772337.79288259</v>
      </c>
    </row>
    <row r="4055" spans="1:2" x14ac:dyDescent="0.25">
      <c r="A4055">
        <f ca="1">27169.4081584845*((RANDBETWEEN(2979,3282)))</f>
        <v>81290869.210185543</v>
      </c>
      <c r="B4055">
        <v>149963737.9882113</v>
      </c>
    </row>
    <row r="4056" spans="1:2" x14ac:dyDescent="0.25">
      <c r="A4056">
        <f ca="1">26352.1761950689*((RANDBETWEEN(2979,3282)))</f>
        <v>79372754.699547425</v>
      </c>
      <c r="B4056">
        <v>143183305.45707801</v>
      </c>
    </row>
    <row r="4057" spans="1:2" x14ac:dyDescent="0.25">
      <c r="A4057">
        <f ca="1">27759.6212041718*((RANDBETWEEN(2979,3282)))</f>
        <v>86721056.64183259</v>
      </c>
      <c r="B4057">
        <v>163824508.59728166</v>
      </c>
    </row>
    <row r="4058" spans="1:2" x14ac:dyDescent="0.25">
      <c r="A4058">
        <f ca="1">27015.2281166566*((RANDBETWEEN(2979,3282)))</f>
        <v>88069643.660300612</v>
      </c>
      <c r="B4058">
        <v>154780752.91611704</v>
      </c>
    </row>
    <row r="4059" spans="1:2" x14ac:dyDescent="0.25">
      <c r="A4059">
        <f ca="1">27746.4887171488*((RANDBETWEEN(2979,3282)))</f>
        <v>89732144.511259288</v>
      </c>
      <c r="B4059">
        <v>155665450.29460543</v>
      </c>
    </row>
    <row r="4060" spans="1:2" x14ac:dyDescent="0.25">
      <c r="A4060">
        <f ca="1">27872.6602458746*((RANDBETWEEN(2979,3282)))</f>
        <v>88244842.338438913</v>
      </c>
      <c r="B4060">
        <v>179208057.05927333</v>
      </c>
    </row>
    <row r="4061" spans="1:2" x14ac:dyDescent="0.25">
      <c r="A4061">
        <f ca="1">32467.2986121605*((RANDBETWEEN(2979,3282)))</f>
        <v>105194047.50340013</v>
      </c>
      <c r="B4061">
        <v>188468462.82373941</v>
      </c>
    </row>
    <row r="4062" spans="1:2" x14ac:dyDescent="0.25">
      <c r="A4062">
        <f ca="1">28399.6948974514*((RANDBETWEEN(2979,3282)))</f>
        <v>86306672.793354765</v>
      </c>
      <c r="B4062">
        <v>155478937.26647219</v>
      </c>
    </row>
    <row r="4063" spans="1:2" x14ac:dyDescent="0.25">
      <c r="A4063">
        <f ca="1">31357.2811324895*((RANDBETWEEN(2979,3282)))</f>
        <v>94040486.116336063</v>
      </c>
      <c r="B4063">
        <v>151441622.78925413</v>
      </c>
    </row>
    <row r="4064" spans="1:2" x14ac:dyDescent="0.25">
      <c r="A4064">
        <f ca="1">29769.8127055353*((RANDBETWEEN(2979,3282)))</f>
        <v>94995472.34336324</v>
      </c>
      <c r="B4064">
        <v>171387593.96266657</v>
      </c>
    </row>
    <row r="4065" spans="1:2" x14ac:dyDescent="0.25">
      <c r="A4065">
        <f ca="1">26267.7217542446*((RANDBETWEEN(2979,3282)))</f>
        <v>84004174.170074165</v>
      </c>
      <c r="B4065">
        <v>149614622.3824141</v>
      </c>
    </row>
    <row r="4066" spans="1:2" x14ac:dyDescent="0.25">
      <c r="A4066">
        <f ca="1">28317.2739796258*((RANDBETWEEN(2979,3282)))</f>
        <v>87302155.679186434</v>
      </c>
      <c r="B4066">
        <v>184307523.20503807</v>
      </c>
    </row>
    <row r="4067" spans="1:2" x14ac:dyDescent="0.25">
      <c r="A4067">
        <f ca="1">27617.113614154*((RANDBETWEEN(2979,3282)))</f>
        <v>88402380.678906918</v>
      </c>
      <c r="B4067">
        <v>148349749.77674165</v>
      </c>
    </row>
    <row r="4068" spans="1:2" x14ac:dyDescent="0.25">
      <c r="A4068">
        <f ca="1">26346.7908314059*((RANDBETWEEN(2979,3282)))</f>
        <v>80357712.035788029</v>
      </c>
      <c r="B4068">
        <v>158286333.06004322</v>
      </c>
    </row>
    <row r="4069" spans="1:2" x14ac:dyDescent="0.25">
      <c r="A4069">
        <f ca="1">27280.1771921446*((RANDBETWEEN(2979,3282)))</f>
        <v>88796976.760430753</v>
      </c>
      <c r="B4069">
        <v>197874792.54994464</v>
      </c>
    </row>
    <row r="4070" spans="1:2" x14ac:dyDescent="0.25">
      <c r="A4070">
        <f ca="1">26481.5549428807*((RANDBETWEEN(2979,3282)))</f>
        <v>80503927.026357472</v>
      </c>
      <c r="B4070">
        <v>163196654.04493856</v>
      </c>
    </row>
    <row r="4071" spans="1:2" x14ac:dyDescent="0.25">
      <c r="A4071">
        <f ca="1">25842.6058137642*((RANDBETWEEN(2979,3282)))</f>
        <v>78664892.097098306</v>
      </c>
      <c r="B4071">
        <v>159940659.83441424</v>
      </c>
    </row>
    <row r="4072" spans="1:2" x14ac:dyDescent="0.25">
      <c r="A4072">
        <f ca="1">26528.7716791097*((RANDBETWEEN(2979,3282)))</f>
        <v>79904660.297478303</v>
      </c>
      <c r="B4072">
        <v>158943508.16567588</v>
      </c>
    </row>
    <row r="4073" spans="1:2" x14ac:dyDescent="0.25">
      <c r="A4073">
        <f ca="1">29613.5723968162*((RANDBETWEEN(2979,3282)))</f>
        <v>96984449.599572927</v>
      </c>
      <c r="B4073">
        <v>159186728.97755978</v>
      </c>
    </row>
    <row r="4074" spans="1:2" x14ac:dyDescent="0.25">
      <c r="A4074">
        <f ca="1">31214.3714920661*((RANDBETWEEN(2979,3282)))</f>
        <v>100479061.83296087</v>
      </c>
      <c r="B4074">
        <v>188900128.69582555</v>
      </c>
    </row>
    <row r="4075" spans="1:2" x14ac:dyDescent="0.25">
      <c r="A4075">
        <f ca="1">26702.9900154213*((RANDBETWEEN(2979,3282)))</f>
        <v>84354745.458715752</v>
      </c>
      <c r="B4075">
        <v>144595719.08163345</v>
      </c>
    </row>
    <row r="4076" spans="1:2" x14ac:dyDescent="0.25">
      <c r="A4076">
        <f ca="1">26190.2345821823*((RANDBETWEEN(2979,3282)))</f>
        <v>84620647.935031042</v>
      </c>
      <c r="B4076">
        <v>171678874.99732313</v>
      </c>
    </row>
    <row r="4077" spans="1:2" x14ac:dyDescent="0.25">
      <c r="A4077">
        <f ca="1">28131.584289585*((RANDBETWEEN(2979,3282)))</f>
        <v>84000910.688700914</v>
      </c>
      <c r="B4077">
        <v>175557210.5279645</v>
      </c>
    </row>
    <row r="4078" spans="1:2" x14ac:dyDescent="0.25">
      <c r="A4078">
        <f ca="1">27971.751024085*((RANDBETWEEN(2979,3282)))</f>
        <v>90180925.301650137</v>
      </c>
      <c r="B4078">
        <v>181089780.90454859</v>
      </c>
    </row>
    <row r="4079" spans="1:2" x14ac:dyDescent="0.25">
      <c r="A4079">
        <f ca="1">26141.6158529194*((RANDBETWEEN(2979,3282)))</f>
        <v>81222000.455020636</v>
      </c>
      <c r="B4079">
        <v>190400664.40967718</v>
      </c>
    </row>
    <row r="4080" spans="1:2" x14ac:dyDescent="0.25">
      <c r="A4080">
        <f ca="1">27895.2552959455*((RANDBETWEEN(2979,3282)))</f>
        <v>88455854.543443084</v>
      </c>
      <c r="B4080">
        <v>147901387.58449256</v>
      </c>
    </row>
    <row r="4081" spans="1:2" x14ac:dyDescent="0.25">
      <c r="A4081">
        <f ca="1">26203.507163074*((RANDBETWEEN(2979,3282)))</f>
        <v>79291812.675462052</v>
      </c>
      <c r="B4081">
        <v>169683172.63483351</v>
      </c>
    </row>
    <row r="4082" spans="1:2" x14ac:dyDescent="0.25">
      <c r="A4082">
        <f ca="1">26211.3496243829*((RANDBETWEEN(2979,3282)))</f>
        <v>82775442.113801047</v>
      </c>
      <c r="B4082">
        <v>189157477.93021998</v>
      </c>
    </row>
    <row r="4083" spans="1:2" x14ac:dyDescent="0.25">
      <c r="A4083">
        <f ca="1">27644.1842535647*((RANDBETWEEN(2979,3282)))</f>
        <v>88074371.031857237</v>
      </c>
      <c r="B4083">
        <v>182035968.03649777</v>
      </c>
    </row>
    <row r="4084" spans="1:2" x14ac:dyDescent="0.25">
      <c r="A4084">
        <f ca="1">27177.4942784655*((RANDBETWEEN(2979,3282)))</f>
        <v>87294111.622431189</v>
      </c>
      <c r="B4084">
        <v>167554108.07036975</v>
      </c>
    </row>
    <row r="4085" spans="1:2" x14ac:dyDescent="0.25">
      <c r="A4085">
        <f ca="1">31307.3375712006*((RANDBETWEEN(2979,3282)))</f>
        <v>97616278.547003359</v>
      </c>
      <c r="B4085">
        <v>173670240.457706</v>
      </c>
    </row>
    <row r="4086" spans="1:2" x14ac:dyDescent="0.25">
      <c r="A4086">
        <f ca="1">25103.1892941648*((RANDBETWEEN(2979,3282)))</f>
        <v>80932682.284387439</v>
      </c>
      <c r="B4086">
        <v>175130482.87656319</v>
      </c>
    </row>
    <row r="4087" spans="1:2" x14ac:dyDescent="0.25">
      <c r="A4087">
        <f ca="1">27134.7705211704*((RANDBETWEEN(2979,3282)))</f>
        <v>85094640.354390487</v>
      </c>
      <c r="B4087">
        <v>177702685.76266354</v>
      </c>
    </row>
    <row r="4088" spans="1:2" x14ac:dyDescent="0.25">
      <c r="A4088">
        <f ca="1">32101.2242483201*((RANDBETWEEN(2979,3282)))</f>
        <v>98711264.563584194</v>
      </c>
      <c r="B4088">
        <v>179195884.18175507</v>
      </c>
    </row>
    <row r="4089" spans="1:2" x14ac:dyDescent="0.25">
      <c r="A4089">
        <f ca="1">27368.8141540811*((RANDBETWEEN(2979,3282)))</f>
        <v>82571712.302862614</v>
      </c>
      <c r="B4089">
        <v>196363543.89273593</v>
      </c>
    </row>
    <row r="4090" spans="1:2" x14ac:dyDescent="0.25">
      <c r="A4090">
        <f ca="1">27488.8694263984*((RANDBETWEEN(2979,3282)))</f>
        <v>82933919.059443906</v>
      </c>
      <c r="B4090">
        <v>161265086.91070235</v>
      </c>
    </row>
    <row r="4091" spans="1:2" x14ac:dyDescent="0.25">
      <c r="A4091">
        <f ca="1">25989.6213496966*((RANDBETWEEN(2979,3282)))</f>
        <v>83348715.668476894</v>
      </c>
      <c r="B4091">
        <v>146981279.08596316</v>
      </c>
    </row>
    <row r="4092" spans="1:2" x14ac:dyDescent="0.25">
      <c r="A4092">
        <f ca="1">26124.8289916238*((RANDBETWEEN(2979,3282)))</f>
        <v>83808451.405129164</v>
      </c>
      <c r="B4092">
        <v>146171706.57996219</v>
      </c>
    </row>
    <row r="4093" spans="1:2" x14ac:dyDescent="0.25">
      <c r="A4093">
        <f ca="1">30379.1325725963*((RANDBETWEEN(2979,3282)))</f>
        <v>95542371.940815449</v>
      </c>
      <c r="B4093">
        <v>147683025.35779339</v>
      </c>
    </row>
    <row r="4094" spans="1:2" x14ac:dyDescent="0.25">
      <c r="A4094">
        <f ca="1">28847.2923900586*((RANDBETWEEN(2979,3282)))</f>
        <v>86916891.971246511</v>
      </c>
      <c r="B4094">
        <v>145724819.39640832</v>
      </c>
    </row>
    <row r="4095" spans="1:2" x14ac:dyDescent="0.25">
      <c r="A4095">
        <f ca="1">27680.4041853896*((RANDBETWEEN(2979,3282)))</f>
        <v>86252139.441674069</v>
      </c>
      <c r="B4095">
        <v>162806870.61066771</v>
      </c>
    </row>
    <row r="4096" spans="1:2" x14ac:dyDescent="0.25">
      <c r="A4096">
        <f ca="1">26258.5448968323*((RANDBETWEEN(2979,3282)))</f>
        <v>83108294.59847419</v>
      </c>
      <c r="B4096">
        <v>158745283.79598686</v>
      </c>
    </row>
    <row r="4097" spans="1:2" x14ac:dyDescent="0.25">
      <c r="A4097">
        <f ca="1">27025.6451031824*((RANDBETWEEN(2979,3282)))</f>
        <v>85644269.331984937</v>
      </c>
      <c r="B4097">
        <v>163232073.22436175</v>
      </c>
    </row>
    <row r="4098" spans="1:2" x14ac:dyDescent="0.25">
      <c r="A4098">
        <f ca="1">27325.0507718413*((RANDBETWEEN(2979,3282)))</f>
        <v>88615139.653081387</v>
      </c>
      <c r="B4098">
        <v>169715543.97878861</v>
      </c>
    </row>
    <row r="4099" spans="1:2" x14ac:dyDescent="0.25">
      <c r="A4099">
        <f ca="1">31967.8015449042*((RANDBETWEEN(2979,3282)))</f>
        <v>103863387.21939375</v>
      </c>
      <c r="B4099">
        <v>163161018.8624233</v>
      </c>
    </row>
    <row r="4100" spans="1:2" x14ac:dyDescent="0.25">
      <c r="A4100">
        <f ca="1">27651.1873467642*((RANDBETWEEN(2979,3282)))</f>
        <v>89340986.317395255</v>
      </c>
      <c r="B4100">
        <v>150244841.54697299</v>
      </c>
    </row>
    <row r="4101" spans="1:2" x14ac:dyDescent="0.25">
      <c r="A4101">
        <f ca="1">27184.2866431408*((RANDBETWEEN(2979,3282)))</f>
        <v>87071270.117979869</v>
      </c>
      <c r="B4101">
        <v>146003503.51348323</v>
      </c>
    </row>
    <row r="4102" spans="1:2" x14ac:dyDescent="0.25">
      <c r="A4102">
        <f ca="1">26933.8646181212*((RANDBETWEEN(2979,3282)))</f>
        <v>86565440.882641539</v>
      </c>
      <c r="B4102">
        <v>145601308.91099834</v>
      </c>
    </row>
    <row r="4103" spans="1:2" x14ac:dyDescent="0.25">
      <c r="A4103">
        <f ca="1">27228.5172517288*((RANDBETWEEN(2979,3282)))</f>
        <v>89227851.033915207</v>
      </c>
      <c r="B4103">
        <v>157617454.90671173</v>
      </c>
    </row>
    <row r="4104" spans="1:2" x14ac:dyDescent="0.25">
      <c r="A4104">
        <f ca="1">26479.6652290177*((RANDBETWEEN(2979,3282)))</f>
        <v>80206905.978694528</v>
      </c>
      <c r="B4104">
        <v>145821155.43162578</v>
      </c>
    </row>
    <row r="4105" spans="1:2" x14ac:dyDescent="0.25">
      <c r="A4105">
        <f ca="1">29973.5494364029*((RANDBETWEEN(2979,3282)))</f>
        <v>94806336.867342606</v>
      </c>
      <c r="B4105">
        <v>201131971.8148841</v>
      </c>
    </row>
    <row r="4106" spans="1:2" x14ac:dyDescent="0.25">
      <c r="A4106">
        <f ca="1">26897.0790965271*((RANDBETWEEN(2979,3282)))</f>
        <v>87334815.8264236</v>
      </c>
      <c r="B4106">
        <v>149316013.885804</v>
      </c>
    </row>
    <row r="4107" spans="1:2" x14ac:dyDescent="0.25">
      <c r="A4107">
        <f ca="1">28630.0668082723*((RANDBETWEEN(2979,3282)))</f>
        <v>85632529.823542461</v>
      </c>
      <c r="B4107">
        <v>192927091.21819663</v>
      </c>
    </row>
    <row r="4108" spans="1:2" x14ac:dyDescent="0.25">
      <c r="A4108">
        <f ca="1">28912.4787380045*((RANDBETWEEN(2979,3282)))</f>
        <v>94081205.813466683</v>
      </c>
      <c r="B4108">
        <v>143422291.34055188</v>
      </c>
    </row>
    <row r="4109" spans="1:2" x14ac:dyDescent="0.25">
      <c r="A4109">
        <f ca="1">32041.4549711665*((RANDBETWEEN(2979,3282)))</f>
        <v>100001380.96501067</v>
      </c>
      <c r="B4109">
        <v>155311041.69254744</v>
      </c>
    </row>
    <row r="4110" spans="1:2" x14ac:dyDescent="0.25">
      <c r="A4110">
        <f ca="1">25910.9832685671*((RANDBETWEEN(2979,3282)))</f>
        <v>81464131.396374851</v>
      </c>
      <c r="B4110">
        <v>177607708.21921477</v>
      </c>
    </row>
    <row r="4111" spans="1:2" x14ac:dyDescent="0.25">
      <c r="A4111">
        <f ca="1">28035.3922757826*((RANDBETWEEN(2979,3282)))</f>
        <v>88283450.276439488</v>
      </c>
      <c r="B4111">
        <v>170829682.84378359</v>
      </c>
    </row>
    <row r="4112" spans="1:2" x14ac:dyDescent="0.25">
      <c r="A4112">
        <f ca="1">28608.6360246566*((RANDBETWEEN(2979,3282)))</f>
        <v>87485208.963400021</v>
      </c>
      <c r="B4112">
        <v>191573610.36739889</v>
      </c>
    </row>
    <row r="4113" spans="1:2" x14ac:dyDescent="0.25">
      <c r="A4113">
        <f ca="1">32002.9592541968*((RANDBETWEEN(2979,3282)))</f>
        <v>100809321.65072002</v>
      </c>
      <c r="B4113">
        <v>189099007.78433493</v>
      </c>
    </row>
    <row r="4114" spans="1:2" x14ac:dyDescent="0.25">
      <c r="A4114">
        <f ca="1">27307.3774408041*((RANDBETWEEN(2979,3282)))</f>
        <v>85745165.164124921</v>
      </c>
      <c r="B4114">
        <v>172847953.73862392</v>
      </c>
    </row>
    <row r="4115" spans="1:2" x14ac:dyDescent="0.25">
      <c r="A4115">
        <f ca="1">27328.6727171726*((RANDBETWEEN(2979,3282)))</f>
        <v>88380927.567336112</v>
      </c>
      <c r="B4115">
        <v>144732283.18907598</v>
      </c>
    </row>
    <row r="4116" spans="1:2" x14ac:dyDescent="0.25">
      <c r="A4116">
        <f ca="1">26861.4739876164*((RANDBETWEEN(2979,3282)))</f>
        <v>86332777.396199033</v>
      </c>
      <c r="B4116">
        <v>157702247.18344539</v>
      </c>
    </row>
    <row r="4117" spans="1:2" x14ac:dyDescent="0.25">
      <c r="A4117">
        <f ca="1">25728.960442703*((RANDBETWEEN(2979,3282)))</f>
        <v>79939880.095478088</v>
      </c>
      <c r="B4117">
        <v>152147476.17229438</v>
      </c>
    </row>
    <row r="4118" spans="1:2" x14ac:dyDescent="0.25">
      <c r="A4118">
        <f ca="1">27264.7458921538*((RANDBETWEEN(2979,3282)))</f>
        <v>87465304.822029397</v>
      </c>
      <c r="B4118">
        <v>152287524.66981846</v>
      </c>
    </row>
    <row r="4119" spans="1:2" x14ac:dyDescent="0.25">
      <c r="A4119">
        <f ca="1">28379.5767167276*((RANDBETWEEN(2979,3282)))</f>
        <v>88345622.319173113</v>
      </c>
      <c r="B4119">
        <v>160218580.82378501</v>
      </c>
    </row>
    <row r="4120" spans="1:2" x14ac:dyDescent="0.25">
      <c r="A4120">
        <f ca="1">32279.7042528036*((RANDBETWEEN(2979,3282)))</f>
        <v>105619192.31517346</v>
      </c>
      <c r="B4120">
        <v>171913948.05270284</v>
      </c>
    </row>
    <row r="4121" spans="1:2" x14ac:dyDescent="0.25">
      <c r="A4121">
        <f ca="1">26707.848269321*((RANDBETWEEN(2979,3282)))</f>
        <v>82607374.697009727</v>
      </c>
      <c r="B4121">
        <v>150887174.18930703</v>
      </c>
    </row>
    <row r="4122" spans="1:2" x14ac:dyDescent="0.25">
      <c r="A4122">
        <f ca="1">27022.4675177829*((RANDBETWEEN(2979,3282)))</f>
        <v>80986335.1507954</v>
      </c>
      <c r="B4122">
        <v>152890504.97005379</v>
      </c>
    </row>
    <row r="4123" spans="1:2" x14ac:dyDescent="0.25">
      <c r="A4123">
        <f ca="1">25818.4731821873*((RANDBETWEEN(2979,3282)))</f>
        <v>83677671.583468929</v>
      </c>
      <c r="B4123">
        <v>143756617.42843497</v>
      </c>
    </row>
    <row r="4124" spans="1:2" x14ac:dyDescent="0.25">
      <c r="A4124">
        <f ca="1">26169.7173208356*((RANDBETWEEN(2979,3282)))</f>
        <v>83795434.861315563</v>
      </c>
      <c r="B4124">
        <v>166886967.25856042</v>
      </c>
    </row>
    <row r="4125" spans="1:2" x14ac:dyDescent="0.25">
      <c r="A4125">
        <f ca="1">28256.0124863265*((RANDBETWEEN(2979,3282)))</f>
        <v>90956104.193484917</v>
      </c>
      <c r="B4125">
        <v>193304758.19137353</v>
      </c>
    </row>
    <row r="4126" spans="1:2" x14ac:dyDescent="0.25">
      <c r="A4126">
        <f ca="1">28253.9710702103*((RANDBETWEEN(2979,3282)))</f>
        <v>89904135.945409134</v>
      </c>
      <c r="B4126">
        <v>169139745.0460538</v>
      </c>
    </row>
    <row r="4127" spans="1:2" x14ac:dyDescent="0.25">
      <c r="A4127">
        <f ca="1">28566.299114807*((RANDBETWEEN(2979,3282)))</f>
        <v>86812983.009898469</v>
      </c>
      <c r="B4127">
        <v>171770410.53675839</v>
      </c>
    </row>
    <row r="4128" spans="1:2" x14ac:dyDescent="0.25">
      <c r="A4128">
        <f ca="1">28673.7340900678*((RANDBETWEEN(2979,3282)))</f>
        <v>87483562.708796903</v>
      </c>
      <c r="B4128">
        <v>146824602.76962399</v>
      </c>
    </row>
    <row r="4129" spans="1:2" x14ac:dyDescent="0.25">
      <c r="A4129">
        <f ca="1">26915.7679991041*((RANDBETWEEN(2979,3282)))</f>
        <v>85403731.861157298</v>
      </c>
      <c r="B4129">
        <v>166405920.58450884</v>
      </c>
    </row>
    <row r="4130" spans="1:2" x14ac:dyDescent="0.25">
      <c r="A4130">
        <f ca="1">27721.2458474059*((RANDBETWEEN(2979,3282)))</f>
        <v>82803361.34620133</v>
      </c>
      <c r="B4130">
        <v>146195536.86689276</v>
      </c>
    </row>
    <row r="4131" spans="1:2" x14ac:dyDescent="0.25">
      <c r="A4131">
        <f ca="1">28224.0751748456*((RANDBETWEEN(2979,3282)))</f>
        <v>90599281.311254472</v>
      </c>
      <c r="B4131">
        <v>154773705.23853451</v>
      </c>
    </row>
    <row r="4132" spans="1:2" x14ac:dyDescent="0.25">
      <c r="A4132">
        <f ca="1">27653.9220748636*((RANDBETWEEN(2979,3282)))</f>
        <v>87773548.665617108</v>
      </c>
      <c r="B4132">
        <v>145919177.40914321</v>
      </c>
    </row>
    <row r="4133" spans="1:2" x14ac:dyDescent="0.25">
      <c r="A4133">
        <f ca="1">27352.9883808767*((RANDBETWEEN(2979,3282)))</f>
        <v>86107207.422999948</v>
      </c>
      <c r="B4133">
        <v>154515936.6143117</v>
      </c>
    </row>
    <row r="4134" spans="1:2" x14ac:dyDescent="0.25">
      <c r="A4134">
        <f ca="1">27966.2905013197*((RANDBETWEEN(2979,3282)))</f>
        <v>88205680.241162375</v>
      </c>
      <c r="B4134">
        <v>144119527.88542032</v>
      </c>
    </row>
    <row r="4135" spans="1:2" x14ac:dyDescent="0.25">
      <c r="A4135">
        <f ca="1">26824.1670620948*((RANDBETWEEN(2979,3282)))</f>
        <v>87554081.290677264</v>
      </c>
      <c r="B4135">
        <v>153953657.91533554</v>
      </c>
    </row>
    <row r="4136" spans="1:2" x14ac:dyDescent="0.25">
      <c r="A4136">
        <f ca="1">27013.8992203549*((RANDBETWEEN(2979,3282)))</f>
        <v>88443506.047442004</v>
      </c>
      <c r="B4136">
        <v>153249893.21385753</v>
      </c>
    </row>
    <row r="4137" spans="1:2" x14ac:dyDescent="0.25">
      <c r="A4137">
        <f ca="1">26120.372269055*((RANDBETWEEN(2979,3282)))</f>
        <v>81547802.223989561</v>
      </c>
      <c r="B4137">
        <v>144150830.03467944</v>
      </c>
    </row>
    <row r="4138" spans="1:2" x14ac:dyDescent="0.25">
      <c r="A4138">
        <f ca="1">27024.3126735807*((RANDBETWEEN(2979,3282)))</f>
        <v>83829417.913447276</v>
      </c>
      <c r="B4138">
        <v>143933000.75546187</v>
      </c>
    </row>
    <row r="4139" spans="1:2" x14ac:dyDescent="0.25">
      <c r="A4139">
        <f ca="1">26454.6284818258*((RANDBETWEEN(2979,3282)))</f>
        <v>84231537.086133346</v>
      </c>
      <c r="B4139">
        <v>153273616.0555836</v>
      </c>
    </row>
    <row r="4140" spans="1:2" x14ac:dyDescent="0.25">
      <c r="A4140">
        <f ca="1">26638.1050899841*((RANDBETWEEN(2979,3282)))</f>
        <v>84442793.135249749</v>
      </c>
      <c r="B4140">
        <v>162141918.32896334</v>
      </c>
    </row>
    <row r="4141" spans="1:2" x14ac:dyDescent="0.25">
      <c r="A4141">
        <f ca="1">24951.2062519043*((RANDBETWEEN(2979,3282)))</f>
        <v>75502350.11826241</v>
      </c>
      <c r="B4141">
        <v>143934978.26062104</v>
      </c>
    </row>
    <row r="4142" spans="1:2" x14ac:dyDescent="0.25">
      <c r="A4142">
        <f ca="1">30243.0266408264*((RANDBETWEEN(2979,3282)))</f>
        <v>94600187.332505018</v>
      </c>
      <c r="B4142">
        <v>168134459.00086528</v>
      </c>
    </row>
    <row r="4143" spans="1:2" x14ac:dyDescent="0.25">
      <c r="A4143">
        <f ca="1">26037.3973001241*((RANDBETWEEN(2979,3282)))</f>
        <v>84777765.609204158</v>
      </c>
      <c r="B4143">
        <v>202992411.35774347</v>
      </c>
    </row>
    <row r="4144" spans="1:2" x14ac:dyDescent="0.25">
      <c r="A4144">
        <f ca="1">30182.8202321539*((RANDBETWEEN(2979,3282)))</f>
        <v>93234731.697123542</v>
      </c>
      <c r="B4144">
        <v>185830552.45799148</v>
      </c>
    </row>
    <row r="4145" spans="1:2" x14ac:dyDescent="0.25">
      <c r="A4145">
        <f ca="1">28356.2172345763*((RANDBETWEEN(2979,3282)))</f>
        <v>92214418.446842119</v>
      </c>
      <c r="B4145">
        <v>197663609.01490498</v>
      </c>
    </row>
    <row r="4146" spans="1:2" x14ac:dyDescent="0.25">
      <c r="A4146">
        <f ca="1">27148.2708896929*((RANDBETWEEN(2979,3282)))</f>
        <v>85272718.864525408</v>
      </c>
      <c r="B4146">
        <v>149151117.69482952</v>
      </c>
    </row>
    <row r="4147" spans="1:2" x14ac:dyDescent="0.25">
      <c r="A4147">
        <f ca="1">27285.0617833849*((RANDBETWEEN(2979,3282)))</f>
        <v>81800615.226587877</v>
      </c>
      <c r="B4147">
        <v>145582000.88893652</v>
      </c>
    </row>
    <row r="4148" spans="1:2" x14ac:dyDescent="0.25">
      <c r="A4148">
        <f ca="1">29553.8026329571*((RANDBETWEEN(2979,3282)))</f>
        <v>91557680.556901231</v>
      </c>
      <c r="B4148">
        <v>196419007.22191775</v>
      </c>
    </row>
    <row r="4149" spans="1:2" x14ac:dyDescent="0.25">
      <c r="A4149">
        <f ca="1">27307.3003488811*((RANDBETWEEN(2979,3282)))</f>
        <v>83423802.565831825</v>
      </c>
      <c r="B4149">
        <v>197883841.64142478</v>
      </c>
    </row>
    <row r="4150" spans="1:2" x14ac:dyDescent="0.25">
      <c r="A4150">
        <f ca="1">26134.7968605457*((RANDBETWEEN(2979,3282)))</f>
        <v>79031625.706290245</v>
      </c>
      <c r="B4150">
        <v>152937834.52028161</v>
      </c>
    </row>
    <row r="4151" spans="1:2" x14ac:dyDescent="0.25">
      <c r="A4151">
        <f ca="1">28357.8624766405*((RANDBETWEEN(2979,3282)))</f>
        <v>85669102.541931078</v>
      </c>
      <c r="B4151">
        <v>156584177.97361606</v>
      </c>
    </row>
    <row r="4152" spans="1:2" x14ac:dyDescent="0.25">
      <c r="A4152">
        <f ca="1">27135.5647268539*((RANDBETWEEN(2979,3282)))</f>
        <v>80836847.32129778</v>
      </c>
      <c r="B4152">
        <v>160176071.54598245</v>
      </c>
    </row>
    <row r="4153" spans="1:2" x14ac:dyDescent="0.25">
      <c r="A4153">
        <f ca="1">31987.8245503744*((RANDBETWEEN(2979,3282)))</f>
        <v>102584953.33305058</v>
      </c>
      <c r="B4153">
        <v>171905886.48928097</v>
      </c>
    </row>
    <row r="4154" spans="1:2" x14ac:dyDescent="0.25">
      <c r="A4154">
        <f ca="1">29116.908608838*((RANDBETWEEN(2979,3282)))</f>
        <v>89913013.784091815</v>
      </c>
      <c r="B4154">
        <v>174326824.52214518</v>
      </c>
    </row>
    <row r="4155" spans="1:2" x14ac:dyDescent="0.25">
      <c r="A4155">
        <f ca="1">27073.1394325811*((RANDBETWEEN(2979,3282)))</f>
        <v>88610385.362838</v>
      </c>
      <c r="B4155">
        <v>181259230.4918744</v>
      </c>
    </row>
    <row r="4156" spans="1:2" x14ac:dyDescent="0.25">
      <c r="A4156">
        <f ca="1">27091.2241387149*((RANDBETWEEN(2979,3282)))</f>
        <v>81896770.571335107</v>
      </c>
      <c r="B4156">
        <v>146632723.95118493</v>
      </c>
    </row>
    <row r="4157" spans="1:2" x14ac:dyDescent="0.25">
      <c r="A4157">
        <f ca="1">26004.5070076698*((RANDBETWEEN(2979,3282)))</f>
        <v>78039525.530016974</v>
      </c>
      <c r="B4157">
        <v>167917777.11021596</v>
      </c>
    </row>
    <row r="4158" spans="1:2" x14ac:dyDescent="0.25">
      <c r="A4158">
        <f ca="1">25907.5767551064*((RANDBETWEEN(2979,3282)))</f>
        <v>81582959.201830134</v>
      </c>
      <c r="B4158">
        <v>151264510.28029442</v>
      </c>
    </row>
    <row r="4159" spans="1:2" x14ac:dyDescent="0.25">
      <c r="A4159">
        <f ca="1">30986.6788937439*((RANDBETWEEN(2979,3282)))</f>
        <v>101295453.3036487</v>
      </c>
      <c r="B4159">
        <v>159498024.4571712</v>
      </c>
    </row>
    <row r="4160" spans="1:2" x14ac:dyDescent="0.25">
      <c r="A4160">
        <f ca="1">27449.2975499869*((RANDBETWEEN(2979,3282)))</f>
        <v>87782853.564858004</v>
      </c>
      <c r="B4160">
        <v>144429144.2416667</v>
      </c>
    </row>
    <row r="4161" spans="1:2" x14ac:dyDescent="0.25">
      <c r="A4161">
        <f ca="1">27015.8124781761*((RANDBETWEEN(2979,3282)))</f>
        <v>85802220.430687293</v>
      </c>
      <c r="B4161">
        <v>160694764.53450018</v>
      </c>
    </row>
    <row r="4162" spans="1:2" x14ac:dyDescent="0.25">
      <c r="A4162">
        <f ca="1">32564.2203644298*((RANDBETWEEN(2979,3282)))</f>
        <v>103098321.67378461</v>
      </c>
      <c r="B4162">
        <v>166274705.76600146</v>
      </c>
    </row>
    <row r="4163" spans="1:2" x14ac:dyDescent="0.25">
      <c r="A4163">
        <f ca="1">26828.8720399276*((RANDBETWEEN(2979,3282)))</f>
        <v>80406129.503663048</v>
      </c>
      <c r="B4163">
        <v>154380030.74743494</v>
      </c>
    </row>
    <row r="4164" spans="1:2" x14ac:dyDescent="0.25">
      <c r="A4164">
        <f ca="1">27747.9260069586*((RANDBETWEEN(2979,3282)))</f>
        <v>85602351.731467426</v>
      </c>
      <c r="B4164">
        <v>152614016.04617208</v>
      </c>
    </row>
    <row r="4165" spans="1:2" x14ac:dyDescent="0.25">
      <c r="A4165">
        <f ca="1">27349.8134314192*((RANDBETWEEN(2979,3282)))</f>
        <v>85386117.532890633</v>
      </c>
      <c r="B4165">
        <v>186099672.28372642</v>
      </c>
    </row>
    <row r="4166" spans="1:2" x14ac:dyDescent="0.25">
      <c r="A4166">
        <f ca="1">27354.0536353652*((RANDBETWEEN(2979,3282)))</f>
        <v>85946436.522317573</v>
      </c>
      <c r="B4166">
        <v>160000996.31146824</v>
      </c>
    </row>
    <row r="4167" spans="1:2" x14ac:dyDescent="0.25">
      <c r="A4167">
        <f ca="1">24107.071347865*((RANDBETWEEN(2979,3282)))</f>
        <v>72996212.041335359</v>
      </c>
      <c r="B4167">
        <v>166407380.06182617</v>
      </c>
    </row>
    <row r="4168" spans="1:2" x14ac:dyDescent="0.25">
      <c r="A4168">
        <f ca="1">26618.3518457109*((RANDBETWEEN(2979,3282)))</f>
        <v>81079499.722035438</v>
      </c>
      <c r="B4168">
        <v>152214837.33674166</v>
      </c>
    </row>
    <row r="4169" spans="1:2" x14ac:dyDescent="0.25">
      <c r="A4169">
        <f ca="1">27270.9768156395*((RANDBETWEEN(2979,3282)))</f>
        <v>84185505.429879233</v>
      </c>
      <c r="B4169">
        <v>161681609.29444057</v>
      </c>
    </row>
    <row r="4170" spans="1:2" x14ac:dyDescent="0.25">
      <c r="A4170">
        <f ca="1">26801.5017434841*((RANDBETWEEN(2979,3282)))</f>
        <v>85389584.55474025</v>
      </c>
      <c r="B4170">
        <v>144817976.07957503</v>
      </c>
    </row>
    <row r="4171" spans="1:2" x14ac:dyDescent="0.25">
      <c r="A4171">
        <f ca="1">30494.1368042414*((RANDBETWEEN(2979,3282)))</f>
        <v>92519211.064068541</v>
      </c>
      <c r="B4171">
        <v>160343623.20979255</v>
      </c>
    </row>
    <row r="4172" spans="1:2" x14ac:dyDescent="0.25">
      <c r="A4172">
        <f ca="1">26835.2213990954*((RANDBETWEEN(2979,3282)))</f>
        <v>81659578.71744743</v>
      </c>
      <c r="B4172">
        <v>152977675.4503707</v>
      </c>
    </row>
    <row r="4173" spans="1:2" x14ac:dyDescent="0.25">
      <c r="A4173">
        <f ca="1">27937.5121836049*((RANDBETWEEN(2979,3282)))</f>
        <v>90098476.79212594</v>
      </c>
      <c r="B4173">
        <v>188270561.1636979</v>
      </c>
    </row>
    <row r="4174" spans="1:2" x14ac:dyDescent="0.25">
      <c r="A4174">
        <f ca="1">26387.6980726188*((RANDBETWEEN(2979,3282)))</f>
        <v>84757286.209251642</v>
      </c>
      <c r="B4174">
        <v>144613302.49463323</v>
      </c>
    </row>
    <row r="4175" spans="1:2" x14ac:dyDescent="0.25">
      <c r="A4175">
        <f ca="1">26711.648595583*((RANDBETWEEN(2979,3282)))</f>
        <v>86866281.232835814</v>
      </c>
      <c r="B4175">
        <v>170453058.24705964</v>
      </c>
    </row>
    <row r="4176" spans="1:2" x14ac:dyDescent="0.25">
      <c r="A4176">
        <f ca="1">27874.8032549665*((RANDBETWEEN(2979,3282)))</f>
        <v>84321279.846273631</v>
      </c>
      <c r="B4176">
        <v>143326699.35359645</v>
      </c>
    </row>
    <row r="4177" spans="1:2" x14ac:dyDescent="0.25">
      <c r="A4177">
        <f ca="1">30854.92176662*((RANDBETWEEN(2979,3282)))</f>
        <v>93120153.891659185</v>
      </c>
      <c r="B4177">
        <v>147208440.67248583</v>
      </c>
    </row>
    <row r="4178" spans="1:2" x14ac:dyDescent="0.25">
      <c r="A4178">
        <f ca="1">27930.8104038236*((RANDBETWEEN(2979,3282)))</f>
        <v>89238939.240216285</v>
      </c>
      <c r="B4178">
        <v>179555581.11227819</v>
      </c>
    </row>
    <row r="4179" spans="1:2" x14ac:dyDescent="0.25">
      <c r="A4179">
        <f ca="1">28290.4720743473*((RANDBETWEEN(2979,3282)))</f>
        <v>86710296.907874539</v>
      </c>
      <c r="B4179">
        <v>174998213.38035494</v>
      </c>
    </row>
    <row r="4180" spans="1:2" x14ac:dyDescent="0.25">
      <c r="A4180">
        <f ca="1">29372.9909272112*((RANDBETWEEN(2979,3282)))</f>
        <v>92348683.475151882</v>
      </c>
      <c r="B4180">
        <v>166383005.35468221</v>
      </c>
    </row>
    <row r="4181" spans="1:2" x14ac:dyDescent="0.25">
      <c r="A4181">
        <f ca="1">27732.42948899*((RANDBETWEEN(2979,3282)))</f>
        <v>90518649.852063417</v>
      </c>
      <c r="B4181">
        <v>172081034.97626153</v>
      </c>
    </row>
    <row r="4182" spans="1:2" x14ac:dyDescent="0.25">
      <c r="A4182">
        <f ca="1">28281.4597850185*((RANDBETWEEN(2979,3282)))</f>
        <v>86710955.700866967</v>
      </c>
      <c r="B4182">
        <v>177339491.15666574</v>
      </c>
    </row>
    <row r="4183" spans="1:2" x14ac:dyDescent="0.25">
      <c r="A4183">
        <f ca="1">26153.7044976591*((RANDBETWEEN(2979,3282)))</f>
        <v>84790309.981410801</v>
      </c>
      <c r="B4183">
        <v>158421646.71450642</v>
      </c>
    </row>
    <row r="4184" spans="1:2" x14ac:dyDescent="0.25">
      <c r="A4184">
        <f ca="1">27485.2279788959*((RANDBETWEEN(2979,3282)))</f>
        <v>86386071.537669674</v>
      </c>
      <c r="B4184">
        <v>167768137.36480355</v>
      </c>
    </row>
    <row r="4185" spans="1:2" x14ac:dyDescent="0.25">
      <c r="A4185">
        <f ca="1">27964.6158353918*((RANDBETWEEN(2979,3282)))</f>
        <v>86802167.553056061</v>
      </c>
      <c r="B4185">
        <v>199198507.42356688</v>
      </c>
    </row>
    <row r="4186" spans="1:2" x14ac:dyDescent="0.25">
      <c r="A4186">
        <f ca="1">26640.8288340322*((RANDBETWEEN(2979,3282)))</f>
        <v>85890032.160919696</v>
      </c>
      <c r="B4186">
        <v>143144450.92181629</v>
      </c>
    </row>
    <row r="4187" spans="1:2" x14ac:dyDescent="0.25">
      <c r="A4187">
        <f ca="1">31146.2654344537*((RANDBETWEEN(2979,3282)))</f>
        <v>96584569.112240776</v>
      </c>
      <c r="B4187">
        <v>191917695.28575352</v>
      </c>
    </row>
    <row r="4188" spans="1:2" x14ac:dyDescent="0.25">
      <c r="A4188">
        <f ca="1">25996.4979885119*((RANDBETWEEN(2979,3282)))</f>
        <v>80953094.736225948</v>
      </c>
      <c r="B4188">
        <v>143269628.37124407</v>
      </c>
    </row>
    <row r="4189" spans="1:2" x14ac:dyDescent="0.25">
      <c r="A4189">
        <f ca="1">28474.3103212573*((RANDBETWEEN(2979,3282)))</f>
        <v>88184939.064933836</v>
      </c>
      <c r="B4189">
        <v>160571326.05579633</v>
      </c>
    </row>
    <row r="4190" spans="1:2" x14ac:dyDescent="0.25">
      <c r="A4190">
        <f ca="1">26161.9775304827*((RANDBETWEEN(2979,3282)))</f>
        <v>85418856.637026057</v>
      </c>
      <c r="B4190">
        <v>172633470.57028252</v>
      </c>
    </row>
    <row r="4191" spans="1:2" x14ac:dyDescent="0.25">
      <c r="A4191">
        <f ca="1">26689.5998612811*((RANDBETWEEN(2979,3282)))</f>
        <v>87541887.545002148</v>
      </c>
      <c r="B4191">
        <v>174266740.01864782</v>
      </c>
    </row>
    <row r="4192" spans="1:2" x14ac:dyDescent="0.25">
      <c r="A4192">
        <f ca="1">28279.6746444073*((RANDBETWEEN(2979,3282)))</f>
        <v>87384194.651218653</v>
      </c>
      <c r="B4192">
        <v>169828160.19840342</v>
      </c>
    </row>
    <row r="4193" spans="1:2" x14ac:dyDescent="0.25">
      <c r="A4193">
        <f ca="1">27049.7370667247*((RANDBETWEEN(2979,3282)))</f>
        <v>86505059.13938567</v>
      </c>
      <c r="B4193">
        <v>195647693.70381764</v>
      </c>
    </row>
    <row r="4194" spans="1:2" x14ac:dyDescent="0.25">
      <c r="A4194">
        <f ca="1">25967.8627962196*((RANDBETWEEN(2979,3282)))</f>
        <v>83642486.0666233</v>
      </c>
      <c r="B4194">
        <v>177014726.93534857</v>
      </c>
    </row>
    <row r="4195" spans="1:2" x14ac:dyDescent="0.25">
      <c r="A4195">
        <f ca="1">25834.6445500586*((RANDBETWEEN(2979,3282)))</f>
        <v>81069114.598083943</v>
      </c>
      <c r="B4195">
        <v>195309092.44664606</v>
      </c>
    </row>
    <row r="4196" spans="1:2" x14ac:dyDescent="0.25">
      <c r="A4196">
        <f ca="1">25907.5909924116*((RANDBETWEEN(2979,3282)))</f>
        <v>82437954.537853748</v>
      </c>
      <c r="B4196">
        <v>144445167.4443869</v>
      </c>
    </row>
    <row r="4197" spans="1:2" x14ac:dyDescent="0.25">
      <c r="A4197">
        <f ca="1">26912.8415987423*((RANDBETWEEN(2979,3282)))</f>
        <v>81572822.88578783</v>
      </c>
      <c r="B4197">
        <v>154293815.77885309</v>
      </c>
    </row>
    <row r="4198" spans="1:2" x14ac:dyDescent="0.25">
      <c r="A4198">
        <f ca="1">31163.1496793281*((RANDBETWEEN(2979,3282)))</f>
        <v>99036489.680904791</v>
      </c>
      <c r="B4198">
        <v>163942349.66225508</v>
      </c>
    </row>
    <row r="4199" spans="1:2" x14ac:dyDescent="0.25">
      <c r="A4199">
        <f ca="1">28632.6009014497*((RANDBETWEEN(2979,3282)))</f>
        <v>87243534.946717188</v>
      </c>
      <c r="B4199">
        <v>147301524.95828062</v>
      </c>
    </row>
    <row r="4200" spans="1:2" x14ac:dyDescent="0.25">
      <c r="A4200">
        <f ca="1">30913.364343603*((RANDBETWEEN(2979,3282)))</f>
        <v>95058595.356579363</v>
      </c>
      <c r="B4200">
        <v>145908114.43765968</v>
      </c>
    </row>
    <row r="4201" spans="1:2" x14ac:dyDescent="0.25">
      <c r="A4201">
        <f ca="1">29280.3672448854*((RANDBETWEEN(2979,3282)))</f>
        <v>93023726.737001017</v>
      </c>
      <c r="B4201">
        <v>195656234.07616347</v>
      </c>
    </row>
    <row r="4202" spans="1:2" x14ac:dyDescent="0.25">
      <c r="A4202">
        <f ca="1">30488.7615542242*((RANDBETWEEN(2979,3282)))</f>
        <v>95612756.234047025</v>
      </c>
      <c r="B4202">
        <v>183061981.13928699</v>
      </c>
    </row>
    <row r="4203" spans="1:2" x14ac:dyDescent="0.25">
      <c r="A4203">
        <f ca="1">31488.0545819175*((RANDBETWEEN(2979,3282)))</f>
        <v>102902962.37370642</v>
      </c>
      <c r="B4203">
        <v>169267156.84281385</v>
      </c>
    </row>
    <row r="4204" spans="1:2" x14ac:dyDescent="0.25">
      <c r="A4204">
        <f ca="1">32058.4031230805*((RANDBETWEEN(2979,3282)))</f>
        <v>104734803.00310397</v>
      </c>
      <c r="B4204">
        <v>190139584.49886629</v>
      </c>
    </row>
    <row r="4205" spans="1:2" x14ac:dyDescent="0.25">
      <c r="A4205">
        <f ca="1">29195.1731900894*((RANDBETWEEN(2979,3282)))</f>
        <v>91264111.392219439</v>
      </c>
      <c r="B4205">
        <v>184817535.28202224</v>
      </c>
    </row>
    <row r="4206" spans="1:2" x14ac:dyDescent="0.25">
      <c r="A4206">
        <f ca="1">27201.4059125254*((RANDBETWEEN(2979,3282)))</f>
        <v>82257051.479476824</v>
      </c>
      <c r="B4206">
        <v>152381137.83587182</v>
      </c>
    </row>
    <row r="4207" spans="1:2" x14ac:dyDescent="0.25">
      <c r="A4207">
        <f ca="1">26739.0900798571*((RANDBETWEEN(2979,3282)))</f>
        <v>84415307.382108748</v>
      </c>
      <c r="B4207">
        <v>155890509.60547811</v>
      </c>
    </row>
    <row r="4208" spans="1:2" x14ac:dyDescent="0.25">
      <c r="A4208">
        <f ca="1">26750.899587493*((RANDBETWEEN(2979,3282)))</f>
        <v>80172446.063716635</v>
      </c>
      <c r="B4208">
        <v>148904387.64033002</v>
      </c>
    </row>
    <row r="4209" spans="1:2" x14ac:dyDescent="0.25">
      <c r="A4209">
        <f ca="1">25875.7798375548*((RANDBETWEEN(2979,3282)))</f>
        <v>78222482.448928103</v>
      </c>
      <c r="B4209">
        <v>157349907.20087239</v>
      </c>
    </row>
    <row r="4210" spans="1:2" x14ac:dyDescent="0.25">
      <c r="A4210">
        <f ca="1">27508.8181824632*((RANDBETWEEN(2979,3282)))</f>
        <v>87395515.365685657</v>
      </c>
      <c r="B4210">
        <v>189451084.84717315</v>
      </c>
    </row>
    <row r="4211" spans="1:2" x14ac:dyDescent="0.25">
      <c r="A4211">
        <f ca="1">25911.9861346563*((RANDBETWEEN(2979,3282)))</f>
        <v>78409670.043469965</v>
      </c>
      <c r="B4211">
        <v>149976294.26132786</v>
      </c>
    </row>
    <row r="4212" spans="1:2" x14ac:dyDescent="0.25">
      <c r="A4212">
        <f ca="1">28768.9346969003*((RANDBETWEEN(2979,3282)))</f>
        <v>93441499.89553225</v>
      </c>
      <c r="B4212">
        <v>148862519.25344554</v>
      </c>
    </row>
    <row r="4213" spans="1:2" x14ac:dyDescent="0.25">
      <c r="A4213">
        <f ca="1">28683.1784891109*((RANDBETWEEN(2979,3282)))</f>
        <v>92359834.734937236</v>
      </c>
      <c r="B4213">
        <v>178564296.38843924</v>
      </c>
    </row>
    <row r="4214" spans="1:2" x14ac:dyDescent="0.25">
      <c r="A4214">
        <f ca="1">27444.0545156807*((RANDBETWEEN(2979,3282)))</f>
        <v>83649478.163794965</v>
      </c>
      <c r="B4214">
        <v>160994899.51323229</v>
      </c>
    </row>
    <row r="4215" spans="1:2" x14ac:dyDescent="0.25">
      <c r="A4215">
        <f ca="1">27995.391099978*((RANDBETWEEN(2979,3282)))</f>
        <v>83930182.51773414</v>
      </c>
      <c r="B4215">
        <v>163769936.17221445</v>
      </c>
    </row>
    <row r="4216" spans="1:2" x14ac:dyDescent="0.25">
      <c r="A4216">
        <f ca="1">27270.6101479668*((RANDBETWEEN(2979,3282)))</f>
        <v>89502142.50562717</v>
      </c>
      <c r="B4216">
        <v>193304488.09030795</v>
      </c>
    </row>
    <row r="4217" spans="1:2" x14ac:dyDescent="0.25">
      <c r="A4217">
        <f ca="1">26446.1899204821*((RANDBETWEEN(2979,3282)))</f>
        <v>82168312.082937941</v>
      </c>
      <c r="B4217">
        <v>188233367.87429714</v>
      </c>
    </row>
    <row r="4218" spans="1:2" x14ac:dyDescent="0.25">
      <c r="A4218">
        <f ca="1">25521.1515407095*((RANDBETWEEN(2979,3282)))</f>
        <v>80468190.807857022</v>
      </c>
      <c r="B4218">
        <v>160140840.10265449</v>
      </c>
    </row>
    <row r="4219" spans="1:2" x14ac:dyDescent="0.25">
      <c r="A4219">
        <f ca="1">26131.5959403853*((RANDBETWEEN(2979,3282)))</f>
        <v>79649104.426294416</v>
      </c>
      <c r="B4219">
        <v>169115327.10315982</v>
      </c>
    </row>
    <row r="4220" spans="1:2" x14ac:dyDescent="0.25">
      <c r="A4220">
        <f ca="1">26825.1080835352*((RANDBETWEEN(2979,3282)))</f>
        <v>85277018.597558498</v>
      </c>
      <c r="B4220">
        <v>168167036.23255128</v>
      </c>
    </row>
    <row r="4221" spans="1:2" x14ac:dyDescent="0.25">
      <c r="A4221">
        <f ca="1">28283.3962382557*((RANDBETWEEN(2979,3282)))</f>
        <v>85698690.601914823</v>
      </c>
      <c r="B4221">
        <v>146180840.34513474</v>
      </c>
    </row>
    <row r="4222" spans="1:2" x14ac:dyDescent="0.25">
      <c r="A4222">
        <f ca="1">26395.5233552722*((RANDBETWEEN(2979,3282)))</f>
        <v>81562167.167791009</v>
      </c>
      <c r="B4222">
        <v>148199135.27854347</v>
      </c>
    </row>
    <row r="4223" spans="1:2" x14ac:dyDescent="0.25">
      <c r="A4223">
        <f ca="1">25599.1367763908*((RANDBETWEEN(2979,3282)))</f>
        <v>77667780.979569599</v>
      </c>
      <c r="B4223">
        <v>161927285.3732937</v>
      </c>
    </row>
    <row r="4224" spans="1:2" x14ac:dyDescent="0.25">
      <c r="A4224">
        <f ca="1">27199.7372763363*((RANDBETWEEN(2979,3282)))</f>
        <v>81762410.25266704</v>
      </c>
      <c r="B4224">
        <v>186635441.25057656</v>
      </c>
    </row>
    <row r="4225" spans="1:2" x14ac:dyDescent="0.25">
      <c r="A4225">
        <f ca="1">26457.8787586415*((RANDBETWEEN(2979,3282)))</f>
        <v>81596098.091650248</v>
      </c>
      <c r="B4225">
        <v>148039643.81680357</v>
      </c>
    </row>
    <row r="4226" spans="1:2" x14ac:dyDescent="0.25">
      <c r="A4226">
        <f ca="1">27513.7654345792*((RANDBETWEEN(2979,3282)))</f>
        <v>85072562.723718971</v>
      </c>
      <c r="B4226">
        <v>172836621.74528459</v>
      </c>
    </row>
    <row r="4227" spans="1:2" x14ac:dyDescent="0.25">
      <c r="A4227">
        <f ca="1">25751.7172004622*((RANDBETWEEN(2979,3282)))</f>
        <v>80216599.079439804</v>
      </c>
      <c r="B4227">
        <v>159998364.71610951</v>
      </c>
    </row>
    <row r="4228" spans="1:2" x14ac:dyDescent="0.25">
      <c r="A4228">
        <f ca="1">25908.3487218842*((RANDBETWEEN(2979,3282)))</f>
        <v>79616355.622350231</v>
      </c>
      <c r="B4228">
        <v>149387195.4307183</v>
      </c>
    </row>
    <row r="4229" spans="1:2" x14ac:dyDescent="0.25">
      <c r="A4229">
        <f ca="1">29831.3488338403*((RANDBETWEEN(2979,3282)))</f>
        <v>96743064.268144175</v>
      </c>
      <c r="B4229">
        <v>191764322.02448243</v>
      </c>
    </row>
    <row r="4230" spans="1:2" x14ac:dyDescent="0.25">
      <c r="A4230">
        <f ca="1">29060.214707089*((RANDBETWEEN(2979,3282)))</f>
        <v>90784110.744946003</v>
      </c>
      <c r="B4230">
        <v>189453754.59373444</v>
      </c>
    </row>
    <row r="4231" spans="1:2" x14ac:dyDescent="0.25">
      <c r="A4231">
        <f ca="1">29442.4383754398*((RANDBETWEEN(2979,3282)))</f>
        <v>90064418.99047026</v>
      </c>
      <c r="B4231">
        <v>163414475.68772554</v>
      </c>
    </row>
    <row r="4232" spans="1:2" x14ac:dyDescent="0.25">
      <c r="A4232">
        <f ca="1">25710.8468387372*((RANDBETWEEN(2979,3282)))</f>
        <v>83431697.991702363</v>
      </c>
      <c r="B4232">
        <v>166327897.67050943</v>
      </c>
    </row>
    <row r="4233" spans="1:2" x14ac:dyDescent="0.25">
      <c r="A4233">
        <f ca="1">31317.9349220224*((RANDBETWEEN(2979,3282)))</f>
        <v>100029484.14093944</v>
      </c>
      <c r="B4233">
        <v>197800651.80249247</v>
      </c>
    </row>
    <row r="4234" spans="1:2" x14ac:dyDescent="0.25">
      <c r="A4234">
        <f ca="1">31815.1535095739*((RANDBETWEEN(2979,3282)))</f>
        <v>103685585.28770128</v>
      </c>
      <c r="B4234">
        <v>147237490.63991189</v>
      </c>
    </row>
    <row r="4235" spans="1:2" x14ac:dyDescent="0.25">
      <c r="A4235">
        <f ca="1">25570.5717174374*((RANDBETWEEN(2979,3282)))</f>
        <v>78015814.309901521</v>
      </c>
      <c r="B4235">
        <v>142983965.87957573</v>
      </c>
    </row>
    <row r="4236" spans="1:2" x14ac:dyDescent="0.25">
      <c r="A4236">
        <f ca="1">27412.1771311136*((RANDBETWEEN(2979,3282)))</f>
        <v>86101648.368827671</v>
      </c>
      <c r="B4236">
        <v>198845499.98461774</v>
      </c>
    </row>
    <row r="4237" spans="1:2" x14ac:dyDescent="0.25">
      <c r="A4237">
        <f ca="1">26684.7524006903*((RANDBETWEEN(2979,3282)))</f>
        <v>83816807.290568367</v>
      </c>
      <c r="B4237">
        <v>185736963.63042042</v>
      </c>
    </row>
    <row r="4238" spans="1:2" x14ac:dyDescent="0.25">
      <c r="A4238">
        <f ca="1">23909.6941122276*((RANDBETWEEN(2979,3282)))</f>
        <v>72589831.32472305</v>
      </c>
      <c r="B4238">
        <v>159190885.66389379</v>
      </c>
    </row>
    <row r="4239" spans="1:2" x14ac:dyDescent="0.25">
      <c r="A4239">
        <f ca="1">27280.0146449364*((RANDBETWEEN(2979,3282)))</f>
        <v>82549324.315577552</v>
      </c>
      <c r="B4239">
        <v>143425893.2221359</v>
      </c>
    </row>
    <row r="4240" spans="1:2" x14ac:dyDescent="0.25">
      <c r="A4240">
        <f ca="1">26509.9735620359*((RANDBETWEEN(2979,3282)))</f>
        <v>80510789.707902968</v>
      </c>
      <c r="B4240">
        <v>143215558.03225064</v>
      </c>
    </row>
    <row r="4241" spans="1:2" x14ac:dyDescent="0.25">
      <c r="A4241">
        <f ca="1">27583.9587629396*((RANDBETWEEN(2979,3282)))</f>
        <v>86199871.134186372</v>
      </c>
      <c r="B4241">
        <v>164820065.44955498</v>
      </c>
    </row>
    <row r="4242" spans="1:2" x14ac:dyDescent="0.25">
      <c r="A4242">
        <f ca="1">33458.7346013645*((RANDBETWEEN(2979,3282)))</f>
        <v>101379965.84213433</v>
      </c>
      <c r="B4242">
        <v>196121007.52085051</v>
      </c>
    </row>
    <row r="4243" spans="1:2" x14ac:dyDescent="0.25">
      <c r="A4243">
        <f ca="1">26018.7731892277*((RANDBETWEEN(2979,3282)))</f>
        <v>82713679.96855481</v>
      </c>
      <c r="B4243">
        <v>165913360.45341003</v>
      </c>
    </row>
    <row r="4244" spans="1:2" x14ac:dyDescent="0.25">
      <c r="A4244">
        <f ca="1">26121.5123025271*((RANDBETWEEN(2979,3282)))</f>
        <v>78573509.006001368</v>
      </c>
      <c r="B4244">
        <v>144538345.14985043</v>
      </c>
    </row>
    <row r="4245" spans="1:2" x14ac:dyDescent="0.25">
      <c r="A4245">
        <f ca="1">30692.5765034139*((RANDBETWEEN(2979,3282)))</f>
        <v>93029199.381847575</v>
      </c>
      <c r="B4245">
        <v>162489305.30684462</v>
      </c>
    </row>
    <row r="4246" spans="1:2" x14ac:dyDescent="0.25">
      <c r="A4246">
        <f ca="1">26884.6160266674*((RANDBETWEEN(2979,3282)))</f>
        <v>83960655.851282194</v>
      </c>
      <c r="B4246">
        <v>155240593.42233509</v>
      </c>
    </row>
    <row r="4247" spans="1:2" x14ac:dyDescent="0.25">
      <c r="A4247">
        <f ca="1">27196.3273386623*((RANDBETWEEN(2979,3282)))</f>
        <v>83710295.548402667</v>
      </c>
      <c r="B4247">
        <v>173303767.55009618</v>
      </c>
    </row>
    <row r="4248" spans="1:2" x14ac:dyDescent="0.25">
      <c r="A4248">
        <f ca="1">31173.0245809729*((RANDBETWEEN(2979,3282)))</f>
        <v>95950569.660234645</v>
      </c>
      <c r="B4248">
        <v>186410699.34652638</v>
      </c>
    </row>
    <row r="4249" spans="1:2" x14ac:dyDescent="0.25">
      <c r="A4249">
        <f ca="1">30116.2016841935*((RANDBETWEEN(2979,3282)))</f>
        <v>91312323.506474674</v>
      </c>
      <c r="B4249">
        <v>171228824.10920346</v>
      </c>
    </row>
    <row r="4250" spans="1:2" x14ac:dyDescent="0.25">
      <c r="A4250">
        <f ca="1">25670.5386616513*((RANDBETWEEN(2979,3282)))</f>
        <v>80862196.784201577</v>
      </c>
      <c r="B4250">
        <v>156716078.58123171</v>
      </c>
    </row>
    <row r="4251" spans="1:2" x14ac:dyDescent="0.25">
      <c r="A4251">
        <f ca="1">26465.575921685*((RANDBETWEEN(2979,3282)))</f>
        <v>84901567.556765541</v>
      </c>
      <c r="B4251">
        <v>154544619.13137788</v>
      </c>
    </row>
    <row r="4252" spans="1:2" x14ac:dyDescent="0.25">
      <c r="A4252">
        <f ca="1">26346.8498686328*((RANDBETWEEN(2979,3282)))</f>
        <v>82623721.188032568</v>
      </c>
      <c r="B4252">
        <v>150306849.38897085</v>
      </c>
    </row>
    <row r="4253" spans="1:2" x14ac:dyDescent="0.25">
      <c r="A4253">
        <f ca="1">25803.9964388138*((RANDBETWEEN(2979,3282)))</f>
        <v>81669648.728845805</v>
      </c>
      <c r="B4253">
        <v>155378838.79276207</v>
      </c>
    </row>
    <row r="4254" spans="1:2" x14ac:dyDescent="0.25">
      <c r="A4254">
        <f ca="1">29319.5102947227*((RANDBETWEEN(2979,3282)))</f>
        <v>90890481.913640499</v>
      </c>
      <c r="B4254">
        <v>148320871.41054109</v>
      </c>
    </row>
    <row r="4255" spans="1:2" x14ac:dyDescent="0.25">
      <c r="A4255">
        <f ca="1">29859.5837781286*((RANDBETWEEN(2979,3282)))</f>
        <v>96297157.684464708</v>
      </c>
      <c r="B4255">
        <v>197177723.14295188</v>
      </c>
    </row>
    <row r="4256" spans="1:2" x14ac:dyDescent="0.25">
      <c r="A4256">
        <f ca="1">26834.9513122922*((RANDBETWEEN(2979,3282)))</f>
        <v>83483533.532540902</v>
      </c>
      <c r="B4256">
        <v>154307067.60478082</v>
      </c>
    </row>
    <row r="4257" spans="1:2" x14ac:dyDescent="0.25">
      <c r="A4257">
        <f ca="1">26179.0182746387*((RANDBETWEEN(2979,3282)))</f>
        <v>79558036.536627114</v>
      </c>
      <c r="B4257">
        <v>171516459.07843959</v>
      </c>
    </row>
    <row r="4258" spans="1:2" x14ac:dyDescent="0.25">
      <c r="A4258">
        <f ca="1">29412.181675483*((RANDBETWEEN(2979,3282)))</f>
        <v>96266070.623855799</v>
      </c>
      <c r="B4258">
        <v>164772578.1145997</v>
      </c>
    </row>
    <row r="4259" spans="1:2" x14ac:dyDescent="0.25">
      <c r="A4259">
        <f ca="1">31221.9774302465*((RANDBETWEEN(2979,3282)))</f>
        <v>102439307.94863881</v>
      </c>
      <c r="B4259">
        <v>146377736.08624721</v>
      </c>
    </row>
    <row r="4260" spans="1:2" x14ac:dyDescent="0.25">
      <c r="A4260">
        <f ca="1">26523.6376494586*((RANDBETWEEN(2979,3282)))</f>
        <v>80313574.802560553</v>
      </c>
      <c r="B4260">
        <v>147972681.31433985</v>
      </c>
    </row>
    <row r="4261" spans="1:2" x14ac:dyDescent="0.25">
      <c r="A4261">
        <f ca="1">28669.8039765257*((RANDBETWEEN(2979,3282)))</f>
        <v>93836268.415168688</v>
      </c>
      <c r="B4261">
        <v>167583446.00479442</v>
      </c>
    </row>
    <row r="4262" spans="1:2" x14ac:dyDescent="0.25">
      <c r="A4262">
        <f ca="1">27254.4180013797*((RANDBETWEEN(2979,3282)))</f>
        <v>87813734.800445229</v>
      </c>
      <c r="B4262">
        <v>193959896.71249658</v>
      </c>
    </row>
    <row r="4263" spans="1:2" x14ac:dyDescent="0.25">
      <c r="A4263">
        <f ca="1">31021.2803214555*((RANDBETWEEN(2979,3282)))</f>
        <v>99857501.354765385</v>
      </c>
      <c r="B4263">
        <v>190514132.68126261</v>
      </c>
    </row>
    <row r="4264" spans="1:2" x14ac:dyDescent="0.25">
      <c r="A4264">
        <f ca="1">26788.4384283239*((RANDBETWEEN(2979,3282)))</f>
        <v>87116001.768909276</v>
      </c>
      <c r="B4264">
        <v>154812834.30472305</v>
      </c>
    </row>
    <row r="4265" spans="1:2" x14ac:dyDescent="0.25">
      <c r="A4265">
        <f ca="1">31120.4914116264*((RANDBETWEEN(2979,3282)))</f>
        <v>100145741.36261362</v>
      </c>
      <c r="B4265">
        <v>174965107.22616416</v>
      </c>
    </row>
    <row r="4266" spans="1:2" x14ac:dyDescent="0.25">
      <c r="A4266">
        <f ca="1">26162.0122855127*((RANDBETWEEN(2979,3282)))</f>
        <v>79454031.311102077</v>
      </c>
      <c r="B4266">
        <v>159853547.12323341</v>
      </c>
    </row>
    <row r="4267" spans="1:2" x14ac:dyDescent="0.25">
      <c r="A4267">
        <f ca="1">28000.4242985446*((RANDBETWEEN(2979,3282)))</f>
        <v>89769360.30113405</v>
      </c>
      <c r="B4267">
        <v>202598869.64925286</v>
      </c>
    </row>
    <row r="4268" spans="1:2" x14ac:dyDescent="0.25">
      <c r="A4268">
        <f ca="1">29951.1628457014*((RANDBETWEEN(2979,3282)))</f>
        <v>89553976.90864706</v>
      </c>
      <c r="B4268">
        <v>149778868.03465194</v>
      </c>
    </row>
    <row r="4269" spans="1:2" x14ac:dyDescent="0.25">
      <c r="A4269">
        <f ca="1">25830.8309647973*((RANDBETWEEN(2979,3282)))</f>
        <v>82555335.763492316</v>
      </c>
      <c r="B4269">
        <v>151861734.97456968</v>
      </c>
    </row>
    <row r="4270" spans="1:2" x14ac:dyDescent="0.25">
      <c r="A4270">
        <f ca="1">29366.7132050233*((RANDBETWEEN(2979,3282)))</f>
        <v>92328946.316593185</v>
      </c>
      <c r="B4270">
        <v>177319941.36548898</v>
      </c>
    </row>
    <row r="4271" spans="1:2" x14ac:dyDescent="0.25">
      <c r="A4271">
        <f ca="1">25753.0436531019*((RANDBETWEEN(2979,3282)))</f>
        <v>80607026.634208977</v>
      </c>
      <c r="B4271">
        <v>145973286.46022668</v>
      </c>
    </row>
    <row r="4272" spans="1:2" x14ac:dyDescent="0.25">
      <c r="A4272">
        <f ca="1">32418.2575530071*((RANDBETWEEN(2979,3282)))</f>
        <v>104646135.38110703</v>
      </c>
      <c r="B4272">
        <v>165923962.98182461</v>
      </c>
    </row>
    <row r="4273" spans="1:2" x14ac:dyDescent="0.25">
      <c r="A4273">
        <f ca="1">28580.0495640109*((RANDBETWEEN(2979,3282)))</f>
        <v>86168849.435492918</v>
      </c>
      <c r="B4273">
        <v>170661990.11453554</v>
      </c>
    </row>
    <row r="4274" spans="1:2" x14ac:dyDescent="0.25">
      <c r="A4274">
        <f ca="1">26169.4674329396*((RANDBETWEEN(2979,3282)))</f>
        <v>81517891.053606912</v>
      </c>
      <c r="B4274">
        <v>147961717.71647796</v>
      </c>
    </row>
    <row r="4275" spans="1:2" x14ac:dyDescent="0.25">
      <c r="A4275">
        <f ca="1">26603.1915411445*((RANDBETWEEN(2979,3282)))</f>
        <v>81432369.30744341</v>
      </c>
      <c r="B4275">
        <v>164878638.67334601</v>
      </c>
    </row>
    <row r="4276" spans="1:2" x14ac:dyDescent="0.25">
      <c r="A4276">
        <f ca="1">32704.0482885392*((RANDBETWEEN(2979,3282)))</f>
        <v>103541016.88151506</v>
      </c>
      <c r="B4276">
        <v>153351300.23299176</v>
      </c>
    </row>
    <row r="4277" spans="1:2" x14ac:dyDescent="0.25">
      <c r="A4277">
        <f ca="1">26544.6905875933*((RANDBETWEEN(2979,3282)))</f>
        <v>84651018.283835053</v>
      </c>
      <c r="B4277">
        <v>146988762.85335171</v>
      </c>
    </row>
    <row r="4278" spans="1:2" x14ac:dyDescent="0.25">
      <c r="A4278">
        <f ca="1">30264.5175975491*((RANDBETWEEN(2979,3282)))</f>
        <v>94939791.703511491</v>
      </c>
      <c r="B4278">
        <v>174948695.78225011</v>
      </c>
    </row>
    <row r="4279" spans="1:2" x14ac:dyDescent="0.25">
      <c r="A4279">
        <f ca="1">28085.9275092679*((RANDBETWEEN(2979,3282)))</f>
        <v>88245984.234119773</v>
      </c>
      <c r="B4279">
        <v>158434652.43752179</v>
      </c>
    </row>
    <row r="4280" spans="1:2" x14ac:dyDescent="0.25">
      <c r="A4280">
        <f ca="1">27807.9998622351*((RANDBETWEEN(2979,3282)))</f>
        <v>86204799.572928905</v>
      </c>
      <c r="B4280">
        <v>144452351.12500584</v>
      </c>
    </row>
    <row r="4281" spans="1:2" x14ac:dyDescent="0.25">
      <c r="A4281">
        <f ca="1">27602.8265451086*((RANDBETWEEN(2979,3282)))</f>
        <v>88273839.291257173</v>
      </c>
      <c r="B4281">
        <v>186676691.25733808</v>
      </c>
    </row>
    <row r="4282" spans="1:2" x14ac:dyDescent="0.25">
      <c r="A4282">
        <f ca="1">28329.9419720289*((RANDBETWEEN(2979,3282)))</f>
        <v>91080763.440072805</v>
      </c>
      <c r="B4282">
        <v>201552725.50526381</v>
      </c>
    </row>
    <row r="4283" spans="1:2" x14ac:dyDescent="0.25">
      <c r="A4283">
        <f ca="1">25225.1403002843*((RANDBETWEEN(2979,3282)))</f>
        <v>76406949.969561026</v>
      </c>
      <c r="B4283">
        <v>149042847.3644056</v>
      </c>
    </row>
    <row r="4284" spans="1:2" x14ac:dyDescent="0.25">
      <c r="A4284">
        <f ca="1">27258.2775834278*((RANDBETWEEN(2979,3282)))</f>
        <v>85890832.665380955</v>
      </c>
      <c r="B4284">
        <v>164751917.95435426</v>
      </c>
    </row>
    <row r="4285" spans="1:2" x14ac:dyDescent="0.25">
      <c r="A4285">
        <f ca="1">27702.2169714117*((RANDBETWEEN(2979,3282)))</f>
        <v>89284245.298859835</v>
      </c>
      <c r="B4285">
        <v>183283106.08968741</v>
      </c>
    </row>
    <row r="4286" spans="1:2" x14ac:dyDescent="0.25">
      <c r="A4286">
        <f ca="1">30844.2040363943*((RANDBETWEEN(2979,3282)))</f>
        <v>101230677.64744623</v>
      </c>
      <c r="B4286">
        <v>157585889.96012962</v>
      </c>
    </row>
    <row r="4287" spans="1:2" x14ac:dyDescent="0.25">
      <c r="A4287">
        <f ca="1">28945.8744715861*((RANDBETWEEN(2979,3282)))</f>
        <v>87213919.782888785</v>
      </c>
      <c r="B4287">
        <v>147762431.65516722</v>
      </c>
    </row>
    <row r="4288" spans="1:2" x14ac:dyDescent="0.25">
      <c r="A4288">
        <f ca="1">26409.0065430593*((RANDBETWEEN(2979,3282)))</f>
        <v>83214779.617179826</v>
      </c>
      <c r="B4288">
        <v>197797342.20133483</v>
      </c>
    </row>
    <row r="4289" spans="1:2" x14ac:dyDescent="0.25">
      <c r="A4289">
        <f ca="1">27271.3277151059*((RANDBETWEEN(2979,3282)))</f>
        <v>87759132.587210923</v>
      </c>
      <c r="B4289">
        <v>160208315.86781046</v>
      </c>
    </row>
    <row r="4290" spans="1:2" x14ac:dyDescent="0.25">
      <c r="A4290">
        <f ca="1">26229.58014684*((RANDBETWEEN(2979,3282)))</f>
        <v>79790382.806687176</v>
      </c>
      <c r="B4290">
        <v>158663162.80915236</v>
      </c>
    </row>
    <row r="4291" spans="1:2" x14ac:dyDescent="0.25">
      <c r="A4291">
        <f ca="1">29010.9142371341*((RANDBETWEEN(2979,3282)))</f>
        <v>93386132.929334745</v>
      </c>
      <c r="B4291">
        <v>193534818.52794242</v>
      </c>
    </row>
    <row r="4292" spans="1:2" x14ac:dyDescent="0.25">
      <c r="A4292">
        <f ca="1">27570.8314338928*((RANDBETWEEN(2979,3282)))</f>
        <v>90184189.620263472</v>
      </c>
      <c r="B4292">
        <v>203147948.1519734</v>
      </c>
    </row>
    <row r="4293" spans="1:2" x14ac:dyDescent="0.25">
      <c r="A4293">
        <f ca="1">26788.8878912761*((RANDBETWEEN(2979,3282)))</f>
        <v>80098774.794915587</v>
      </c>
      <c r="B4293">
        <v>144819607.84335154</v>
      </c>
    </row>
    <row r="4294" spans="1:2" x14ac:dyDescent="0.25">
      <c r="A4294">
        <f ca="1">26545.5518710209*((RANDBETWEEN(2979,3282)))</f>
        <v>80459567.721064374</v>
      </c>
      <c r="B4294">
        <v>147526859.33146322</v>
      </c>
    </row>
    <row r="4295" spans="1:2" x14ac:dyDescent="0.25">
      <c r="A4295">
        <f ca="1">27343.7150280822*((RANDBETWEEN(2979,3282)))</f>
        <v>89413948.141828761</v>
      </c>
      <c r="B4295">
        <v>165847417.6336354</v>
      </c>
    </row>
    <row r="4296" spans="1:2" x14ac:dyDescent="0.25">
      <c r="A4296">
        <f ca="1">27592.8387736989*((RANDBETWEEN(2979,3282)))</f>
        <v>83882229.872044504</v>
      </c>
      <c r="B4296">
        <v>169506312.4785434</v>
      </c>
    </row>
    <row r="4297" spans="1:2" x14ac:dyDescent="0.25">
      <c r="A4297">
        <f ca="1">27049.8183901705*((RANDBETWEEN(2979,3282)))</f>
        <v>81744551.175095394</v>
      </c>
      <c r="B4297">
        <v>182009045.56586254</v>
      </c>
    </row>
    <row r="4298" spans="1:2" x14ac:dyDescent="0.25">
      <c r="A4298">
        <f ca="1">26790.3750319797*((RANDBETWEEN(2979,3282)))</f>
        <v>86774024.728582129</v>
      </c>
      <c r="B4298">
        <v>171995086.27622277</v>
      </c>
    </row>
    <row r="4299" spans="1:2" x14ac:dyDescent="0.25">
      <c r="A4299">
        <f ca="1">28307.1608752526*((RANDBETWEEN(2979,3282)))</f>
        <v>85799004.612890869</v>
      </c>
      <c r="B4299">
        <v>189525221.56494161</v>
      </c>
    </row>
    <row r="4300" spans="1:2" x14ac:dyDescent="0.25">
      <c r="A4300">
        <f ca="1">29358.2652466575*((RANDBETWEEN(2979,3282)))</f>
        <v>93212492.15813747</v>
      </c>
      <c r="B4300">
        <v>160827246.3669242</v>
      </c>
    </row>
    <row r="4301" spans="1:2" x14ac:dyDescent="0.25">
      <c r="A4301">
        <f ca="1">27080.0344314163*((RANDBETWEEN(2979,3282)))</f>
        <v>85085468.183509886</v>
      </c>
      <c r="B4301">
        <v>164125408.02892509</v>
      </c>
    </row>
    <row r="4302" spans="1:2" x14ac:dyDescent="0.25">
      <c r="A4302">
        <f ca="1">27059.7211432146*((RANDBETWEEN(2979,3282)))</f>
        <v>87619377.06172888</v>
      </c>
      <c r="B4302">
        <v>179477574.05810603</v>
      </c>
    </row>
    <row r="4303" spans="1:2" x14ac:dyDescent="0.25">
      <c r="A4303">
        <f ca="1">27567.7028349417*((RANDBETWEEN(2979,3282)))</f>
        <v>86121503.656357795</v>
      </c>
      <c r="B4303">
        <v>197551630.95133066</v>
      </c>
    </row>
    <row r="4304" spans="1:2" x14ac:dyDescent="0.25">
      <c r="A4304">
        <f ca="1">26103.3540254115*((RANDBETWEEN(2979,3282)))</f>
        <v>81259741.081106037</v>
      </c>
      <c r="B4304">
        <v>151472871.88621026</v>
      </c>
    </row>
    <row r="4305" spans="1:2" x14ac:dyDescent="0.25">
      <c r="A4305">
        <f ca="1">28449.2978290593*((RANDBETWEEN(2979,3282)))</f>
        <v>86258271.01770772</v>
      </c>
      <c r="B4305">
        <v>169883155.81954002</v>
      </c>
    </row>
    <row r="4306" spans="1:2" x14ac:dyDescent="0.25">
      <c r="A4306">
        <f ca="1">24832.6674895053*((RANDBETWEEN(2979,3282)))</f>
        <v>79241041.959011406</v>
      </c>
      <c r="B4306">
        <v>166095494.60783371</v>
      </c>
    </row>
    <row r="4307" spans="1:2" x14ac:dyDescent="0.25">
      <c r="A4307">
        <f ca="1">27060.4413440241*((RANDBETWEEN(2979,3282)))</f>
        <v>87296983.775821894</v>
      </c>
      <c r="B4307">
        <v>163229428.98716551</v>
      </c>
    </row>
    <row r="4308" spans="1:2" x14ac:dyDescent="0.25">
      <c r="A4308">
        <f ca="1">28603.1665511969*((RANDBETWEEN(2979,3282)))</f>
        <v>87096642.148394689</v>
      </c>
      <c r="B4308">
        <v>145838970.45694715</v>
      </c>
    </row>
    <row r="4309" spans="1:2" x14ac:dyDescent="0.25">
      <c r="A4309">
        <f ca="1">28595.1407882187*((RANDBETWEEN(2979,3282)))</f>
        <v>88387580.176383868</v>
      </c>
      <c r="B4309">
        <v>177525447.53216529</v>
      </c>
    </row>
    <row r="4310" spans="1:2" x14ac:dyDescent="0.25">
      <c r="A4310">
        <f ca="1">31614.8482062684*((RANDBETWEEN(2979,3282)))</f>
        <v>97689880.957369208</v>
      </c>
      <c r="B4310">
        <v>185408172.44701788</v>
      </c>
    </row>
    <row r="4311" spans="1:2" x14ac:dyDescent="0.25">
      <c r="A4311">
        <f ca="1">28341.4981519775*((RANDBETWEEN(2979,3282)))</f>
        <v>90069281.126984388</v>
      </c>
      <c r="B4311">
        <v>153061012.5283089</v>
      </c>
    </row>
    <row r="4312" spans="1:2" x14ac:dyDescent="0.25">
      <c r="A4312">
        <f ca="1">27508.0574214277*((RANDBETWEEN(2979,3282)))</f>
        <v>84944881.31736882</v>
      </c>
      <c r="B4312">
        <v>172030178.56649721</v>
      </c>
    </row>
    <row r="4313" spans="1:2" x14ac:dyDescent="0.25">
      <c r="A4313">
        <f ca="1">26594.2669896419*((RANDBETWEEN(2979,3282)))</f>
        <v>79915772.303873822</v>
      </c>
      <c r="B4313">
        <v>164972616.04521519</v>
      </c>
    </row>
    <row r="4314" spans="1:2" x14ac:dyDescent="0.25">
      <c r="A4314">
        <f ca="1">27045.909014253*((RANDBETWEEN(2979,3282)))</f>
        <v>88467168.385621697</v>
      </c>
      <c r="B4314">
        <v>157828352.46975258</v>
      </c>
    </row>
    <row r="4315" spans="1:2" x14ac:dyDescent="0.25">
      <c r="A4315">
        <f ca="1">30318.5161659657*((RANDBETWEEN(2979,3282)))</f>
        <v>94411859.340817228</v>
      </c>
      <c r="B4315">
        <v>179353972.29139695</v>
      </c>
    </row>
    <row r="4316" spans="1:2" x14ac:dyDescent="0.25">
      <c r="A4316">
        <f ca="1">27021.4681007329*((RANDBETWEEN(2979,3282)))</f>
        <v>87549556.646374643</v>
      </c>
      <c r="B4316">
        <v>193287877.3944568</v>
      </c>
    </row>
    <row r="4317" spans="1:2" x14ac:dyDescent="0.25">
      <c r="A4317">
        <f ca="1">26592.2098584585*((RANDBETWEEN(2979,3282)))</f>
        <v>80840317.969713867</v>
      </c>
      <c r="B4317">
        <v>145855187.05483344</v>
      </c>
    </row>
    <row r="4318" spans="1:2" x14ac:dyDescent="0.25">
      <c r="A4318">
        <f ca="1">26848.7166797042*((RANDBETWEEN(2979,3282)))</f>
        <v>83606903.740598902</v>
      </c>
      <c r="B4318">
        <v>165805028.47623694</v>
      </c>
    </row>
    <row r="4319" spans="1:2" x14ac:dyDescent="0.25">
      <c r="A4319">
        <f ca="1">25532.5242327261*((RANDBETWEEN(2979,3282)))</f>
        <v>78078459.103676543</v>
      </c>
      <c r="B4319">
        <v>146890031.66822964</v>
      </c>
    </row>
    <row r="4320" spans="1:2" x14ac:dyDescent="0.25">
      <c r="A4320">
        <f ca="1">25688.141645824*((RANDBETWEEN(2979,3282)))</f>
        <v>77578187.77038835</v>
      </c>
      <c r="B4320">
        <v>169212285.90242955</v>
      </c>
    </row>
    <row r="4321" spans="1:2" x14ac:dyDescent="0.25">
      <c r="A4321">
        <f ca="1">29476.3222736882*((RANDBETWEEN(2979,3282)))</f>
        <v>95680142.100392044</v>
      </c>
      <c r="B4321">
        <v>152080869.44582993</v>
      </c>
    </row>
    <row r="4322" spans="1:2" x14ac:dyDescent="0.25">
      <c r="A4322">
        <f ca="1">26406.5822090911*((RANDBETWEEN(2979,3282)))</f>
        <v>84553876.2335096</v>
      </c>
      <c r="B4322">
        <v>146787617.70300081</v>
      </c>
    </row>
    <row r="4323" spans="1:2" x14ac:dyDescent="0.25">
      <c r="A4323">
        <f ca="1">26427.9332440941*((RANDBETWEEN(2979,3282)))</f>
        <v>80129493.596093208</v>
      </c>
      <c r="B4323">
        <v>143049934.81577092</v>
      </c>
    </row>
    <row r="4324" spans="1:2" x14ac:dyDescent="0.25">
      <c r="A4324">
        <f ca="1">26043.4523444594*((RANDBETWEEN(2979,3282)))</f>
        <v>85422523.689826936</v>
      </c>
      <c r="B4324">
        <v>168777330.99098438</v>
      </c>
    </row>
    <row r="4325" spans="1:2" x14ac:dyDescent="0.25">
      <c r="A4325">
        <f ca="1">31822.9324699886*((RANDBETWEEN(2979,3282)))</f>
        <v>95850672.599605754</v>
      </c>
      <c r="B4325">
        <v>184891541.26544797</v>
      </c>
    </row>
    <row r="4326" spans="1:2" x14ac:dyDescent="0.25">
      <c r="A4326">
        <f ca="1">28534.8833867025*((RANDBETWEEN(2979,3282)))</f>
        <v>91454301.254381657</v>
      </c>
      <c r="B4326">
        <v>162406349.00009644</v>
      </c>
    </row>
    <row r="4327" spans="1:2" x14ac:dyDescent="0.25">
      <c r="A4327">
        <f ca="1">32745.1908279407*((RANDBETWEEN(2979,3282)))</f>
        <v>101870288.66572352</v>
      </c>
      <c r="B4327">
        <v>162605063.6616787</v>
      </c>
    </row>
    <row r="4328" spans="1:2" x14ac:dyDescent="0.25">
      <c r="A4328">
        <f ca="1">26298.7837268512*((RANDBETWEEN(2979,3282)))</f>
        <v>81447333.202058107</v>
      </c>
      <c r="B4328">
        <v>148368953.31131878</v>
      </c>
    </row>
    <row r="4329" spans="1:2" x14ac:dyDescent="0.25">
      <c r="A4329">
        <f ca="1">27257.3651400302*((RANDBETWEEN(2979,3282)))</f>
        <v>87496142.09949699</v>
      </c>
      <c r="B4329">
        <v>154994441.64749309</v>
      </c>
    </row>
    <row r="4330" spans="1:2" x14ac:dyDescent="0.25">
      <c r="A4330">
        <f ca="1">26996.3528357468*((RANDBETWEEN(2979,3282)))</f>
        <v>84957522.374095306</v>
      </c>
      <c r="B4330">
        <v>143837992.4764753</v>
      </c>
    </row>
    <row r="4331" spans="1:2" x14ac:dyDescent="0.25">
      <c r="A4331">
        <f ca="1">29533.2550964916*((RANDBETWEEN(2979,3282)))</f>
        <v>88481632.269088849</v>
      </c>
      <c r="B4331">
        <v>164642035.67451087</v>
      </c>
    </row>
    <row r="4332" spans="1:2" x14ac:dyDescent="0.25">
      <c r="A4332">
        <f ca="1">27898.1094266687*((RANDBETWEEN(2979,3282)))</f>
        <v>85368214.845606357</v>
      </c>
      <c r="B4332">
        <v>148751233.50162181</v>
      </c>
    </row>
    <row r="4333" spans="1:2" x14ac:dyDescent="0.25">
      <c r="A4333">
        <f ca="1">27690.3084382619*((RANDBETWEEN(2979,3282)))</f>
        <v>87390613.431154624</v>
      </c>
      <c r="B4333">
        <v>185243379.29645476</v>
      </c>
    </row>
    <row r="4334" spans="1:2" x14ac:dyDescent="0.25">
      <c r="A4334">
        <f ca="1">26137.4664768113*((RANDBETWEEN(2979,3282)))</f>
        <v>78830598.894062951</v>
      </c>
      <c r="B4334">
        <v>179066214.49244705</v>
      </c>
    </row>
    <row r="4335" spans="1:2" x14ac:dyDescent="0.25">
      <c r="A4335">
        <f ca="1">26716.3228845724*((RANDBETWEEN(2979,3282)))</f>
        <v>84690743.544094622</v>
      </c>
      <c r="B4335">
        <v>167517730.52559286</v>
      </c>
    </row>
    <row r="4336" spans="1:2" x14ac:dyDescent="0.25">
      <c r="A4336">
        <f ca="1">26012.9415105131*((RANDBETWEEN(2979,3282)))</f>
        <v>80614105.741079956</v>
      </c>
      <c r="B4336">
        <v>183642178.68210644</v>
      </c>
    </row>
    <row r="4337" spans="1:2" x14ac:dyDescent="0.25">
      <c r="A4337">
        <f ca="1">29482.606544376*((RANDBETWEEN(2979,3282)))</f>
        <v>94816062.646713346</v>
      </c>
      <c r="B4337">
        <v>196211911.31785676</v>
      </c>
    </row>
    <row r="4338" spans="1:2" x14ac:dyDescent="0.25">
      <c r="A4338">
        <f ca="1">27302.2737616073*((RANDBETWEEN(2979,3282)))</f>
        <v>82944307.687763095</v>
      </c>
      <c r="B4338">
        <v>167530911.85742569</v>
      </c>
    </row>
    <row r="4339" spans="1:2" x14ac:dyDescent="0.25">
      <c r="A4339">
        <f ca="1">26350.2697841922*((RANDBETWEEN(2979,3282)))</f>
        <v>78734606.115166336</v>
      </c>
      <c r="B4339">
        <v>201197190.95429417</v>
      </c>
    </row>
    <row r="4340" spans="1:2" x14ac:dyDescent="0.25">
      <c r="A4340">
        <f ca="1">27991.5207677187*((RANDBETWEEN(2979,3282)))</f>
        <v>90524578.162802219</v>
      </c>
      <c r="B4340">
        <v>158646413.79456806</v>
      </c>
    </row>
    <row r="4341" spans="1:2" x14ac:dyDescent="0.25">
      <c r="A4341">
        <f ca="1">27573.4601014439*((RANDBETWEEN(2979,3282)))</f>
        <v>84843536.732142955</v>
      </c>
      <c r="B4341">
        <v>148952337.94520083</v>
      </c>
    </row>
    <row r="4342" spans="1:2" x14ac:dyDescent="0.25">
      <c r="A4342">
        <f ca="1">26171.8456310727*((RANDBETWEEN(2979,3282)))</f>
        <v>78149131.054383025</v>
      </c>
      <c r="B4342">
        <v>196173762.40129116</v>
      </c>
    </row>
    <row r="4343" spans="1:2" x14ac:dyDescent="0.25">
      <c r="A4343">
        <f ca="1">26377.5397802939*((RANDBETWEEN(2979,3282)))</f>
        <v>81638485.620009497</v>
      </c>
      <c r="B4343">
        <v>181723204.66400421</v>
      </c>
    </row>
    <row r="4344" spans="1:2" x14ac:dyDescent="0.25">
      <c r="A4344">
        <f ca="1">26137.5369944763*((RANDBETWEEN(2979,3282)))</f>
        <v>80764989.31293191</v>
      </c>
      <c r="B4344">
        <v>149437396.96353444</v>
      </c>
    </row>
    <row r="4345" spans="1:2" x14ac:dyDescent="0.25">
      <c r="A4345">
        <f ca="1">31589.4220556469*((RANDBETWEEN(2979,3282)))</f>
        <v>97611314.151949063</v>
      </c>
      <c r="B4345">
        <v>192498291.55303851</v>
      </c>
    </row>
    <row r="4346" spans="1:2" x14ac:dyDescent="0.25">
      <c r="A4346">
        <f ca="1">26505.5186693018*((RANDBETWEEN(2979,3282)))</f>
        <v>85506803.227167696</v>
      </c>
      <c r="B4346">
        <v>143074022.65278995</v>
      </c>
    </row>
    <row r="4347" spans="1:2" x14ac:dyDescent="0.25">
      <c r="A4347">
        <f ca="1">30151.7358021011*((RANDBETWEEN(2979,3282)))</f>
        <v>94585995.211191118</v>
      </c>
      <c r="B4347">
        <v>180453515.648233</v>
      </c>
    </row>
    <row r="4348" spans="1:2" x14ac:dyDescent="0.25">
      <c r="A4348">
        <f ca="1">26367.9569816972*((RANDBETWEEN(2979,3282)))</f>
        <v>82716281.051584169</v>
      </c>
      <c r="B4348">
        <v>150860080.75909427</v>
      </c>
    </row>
    <row r="4349" spans="1:2" x14ac:dyDescent="0.25">
      <c r="A4349">
        <f ca="1">26189.9479919344*((RANDBETWEEN(2979,3282)))</f>
        <v>85536370.14165771</v>
      </c>
      <c r="B4349">
        <v>179122683.33325726</v>
      </c>
    </row>
    <row r="4350" spans="1:2" x14ac:dyDescent="0.25">
      <c r="A4350">
        <f ca="1">32337.0497168353*((RANDBETWEEN(2979,3282)))</f>
        <v>96364408.156169221</v>
      </c>
      <c r="B4350">
        <v>164551509.56015405</v>
      </c>
    </row>
    <row r="4351" spans="1:2" x14ac:dyDescent="0.25">
      <c r="A4351">
        <f ca="1">26612.4484880972*((RANDBETWEEN(2979,3282)))</f>
        <v>79278484.046041653</v>
      </c>
      <c r="B4351">
        <v>153114242.94995534</v>
      </c>
    </row>
    <row r="4352" spans="1:2" x14ac:dyDescent="0.25">
      <c r="A4352">
        <f ca="1">30957.09935653*((RANDBETWEEN(2979,3282)))</f>
        <v>99310374.735748097</v>
      </c>
      <c r="B4352">
        <v>172422906.65066808</v>
      </c>
    </row>
    <row r="4353" spans="1:2" x14ac:dyDescent="0.25">
      <c r="A4353">
        <f ca="1">33396.2416332936*((RANDBETWEEN(2979,3282)))</f>
        <v>108804955.24127083</v>
      </c>
      <c r="B4353">
        <v>194841607.91628581</v>
      </c>
    </row>
    <row r="4354" spans="1:2" x14ac:dyDescent="0.25">
      <c r="A4354">
        <f ca="1">26487.1624366837*((RANDBETWEEN(2979,3282)))</f>
        <v>84043766.411597282</v>
      </c>
      <c r="B4354">
        <v>179227181.61769608</v>
      </c>
    </row>
    <row r="4355" spans="1:2" x14ac:dyDescent="0.25">
      <c r="A4355">
        <f ca="1">27465.5124912822*((RANDBETWEEN(2979,3282)))</f>
        <v>87752312.409646586</v>
      </c>
      <c r="B4355">
        <v>161052645.89306533</v>
      </c>
    </row>
    <row r="4356" spans="1:2" x14ac:dyDescent="0.25">
      <c r="A4356">
        <f ca="1">26157.3923352745*((RANDBETWEEN(2979,3282)))</f>
        <v>83677498.080543131</v>
      </c>
      <c r="B4356">
        <v>143999258.83659101</v>
      </c>
    </row>
    <row r="4357" spans="1:2" x14ac:dyDescent="0.25">
      <c r="A4357">
        <f ca="1">28241.4364015684*((RANDBETWEEN(2979,3282)))</f>
        <v>91135115.267861262</v>
      </c>
      <c r="B4357">
        <v>164823284.21114951</v>
      </c>
    </row>
    <row r="4358" spans="1:2" x14ac:dyDescent="0.25">
      <c r="A4358">
        <f ca="1">27491.5788503756*((RANDBETWEEN(2979,3282)))</f>
        <v>86048641.801675707</v>
      </c>
      <c r="B4358">
        <v>146007205.00902969</v>
      </c>
    </row>
    <row r="4359" spans="1:2" x14ac:dyDescent="0.25">
      <c r="A4359">
        <f ca="1">26270.8805539341*((RANDBETWEEN(2979,3282)))</f>
        <v>85301549.158623904</v>
      </c>
      <c r="B4359">
        <v>157376780.43748868</v>
      </c>
    </row>
    <row r="4360" spans="1:2" x14ac:dyDescent="0.25">
      <c r="A4360">
        <f ca="1">29726.5078377265*((RANDBETWEEN(2979,3282)))</f>
        <v>91230652.553982511</v>
      </c>
      <c r="B4360">
        <v>169449413.71834147</v>
      </c>
    </row>
    <row r="4361" spans="1:2" x14ac:dyDescent="0.25">
      <c r="A4361">
        <f ca="1">30554.5761472243*((RANDBETWEEN(2979,3282)))</f>
        <v>94199758.261892378</v>
      </c>
      <c r="B4361">
        <v>186701757.77716121</v>
      </c>
    </row>
    <row r="4362" spans="1:2" x14ac:dyDescent="0.25">
      <c r="A4362">
        <f ca="1">26965.0128785783*((RANDBETWEEN(2979,3282)))</f>
        <v>87043061.57205081</v>
      </c>
      <c r="B4362">
        <v>146972825.28961575</v>
      </c>
    </row>
    <row r="4363" spans="1:2" x14ac:dyDescent="0.25">
      <c r="A4363">
        <f ca="1">28913.3315981334*((RANDBETWEEN(2979,3282)))</f>
        <v>89457847.964624688</v>
      </c>
      <c r="B4363">
        <v>158863030.53790885</v>
      </c>
    </row>
    <row r="4364" spans="1:2" x14ac:dyDescent="0.25">
      <c r="A4364">
        <f ca="1">26070.4290256285*((RANDBETWEEN(2979,3282)))</f>
        <v>80062287.537705004</v>
      </c>
      <c r="B4364">
        <v>143232465.17729223</v>
      </c>
    </row>
    <row r="4365" spans="1:2" x14ac:dyDescent="0.25">
      <c r="A4365">
        <f ca="1">27099.1272474368*((RANDBETWEEN(2979,3282)))</f>
        <v>83790501.449074522</v>
      </c>
      <c r="B4365">
        <v>166078941.7698161</v>
      </c>
    </row>
    <row r="4366" spans="1:2" x14ac:dyDescent="0.25">
      <c r="A4366">
        <f ca="1">28591.7321562978*((RANDBETWEEN(2979,3282)))</f>
        <v>91007483.45349592</v>
      </c>
      <c r="B4366">
        <v>144756453.07061684</v>
      </c>
    </row>
    <row r="4367" spans="1:2" x14ac:dyDescent="0.25">
      <c r="A4367">
        <f ca="1">25949.933107372*((RANDBETWEEN(2979,3282)))</f>
        <v>78472597.716693074</v>
      </c>
      <c r="B4367">
        <v>148918111.06888509</v>
      </c>
    </row>
    <row r="4368" spans="1:2" x14ac:dyDescent="0.25">
      <c r="A4368">
        <f ca="1">27913.3520363971*((RANDBETWEEN(2979,3282)))</f>
        <v>85386943.879338861</v>
      </c>
      <c r="B4368">
        <v>199291243.38285655</v>
      </c>
    </row>
    <row r="4369" spans="1:2" x14ac:dyDescent="0.25">
      <c r="A4369">
        <f ca="1">25945.1309707452*((RANDBETWEEN(2979,3282)))</f>
        <v>78198624.745825946</v>
      </c>
      <c r="B4369">
        <v>157313350.35301936</v>
      </c>
    </row>
    <row r="4370" spans="1:2" x14ac:dyDescent="0.25">
      <c r="A4370">
        <f ca="1">28333.5335169566*((RANDBETWEEN(2979,3282)))</f>
        <v>84462263.414047658</v>
      </c>
      <c r="B4370">
        <v>148104560.13001969</v>
      </c>
    </row>
    <row r="4371" spans="1:2" x14ac:dyDescent="0.25">
      <c r="A4371">
        <f ca="1">27536.8482153595*((RANDBETWEEN(2979,3282)))</f>
        <v>85667134.797983453</v>
      </c>
      <c r="B4371">
        <v>150361535.90229106</v>
      </c>
    </row>
    <row r="4372" spans="1:2" x14ac:dyDescent="0.25">
      <c r="A4372">
        <f ca="1">25653.3328071247*((RANDBETWEEN(2979,3282)))</f>
        <v>79474025.03647238</v>
      </c>
      <c r="B4372">
        <v>149534875.13008714</v>
      </c>
    </row>
    <row r="4373" spans="1:2" x14ac:dyDescent="0.25">
      <c r="A4373">
        <f ca="1">25375.8817213434*((RANDBETWEEN(2979,3282)))</f>
        <v>76990425.142555997</v>
      </c>
      <c r="B4373">
        <v>161214262.32765228</v>
      </c>
    </row>
    <row r="4374" spans="1:2" x14ac:dyDescent="0.25">
      <c r="A4374">
        <f ca="1">29373.7031400897*((RANDBETWEEN(2979,3282)))</f>
        <v>89824784.202394173</v>
      </c>
      <c r="B4374">
        <v>187628921.05549586</v>
      </c>
    </row>
    <row r="4375" spans="1:2" x14ac:dyDescent="0.25">
      <c r="A4375">
        <f ca="1">25834.3193701676*((RANDBETWEEN(2979,3282)))</f>
        <v>80913088.267364919</v>
      </c>
      <c r="B4375">
        <v>148963094.69792658</v>
      </c>
    </row>
    <row r="4376" spans="1:2" x14ac:dyDescent="0.25">
      <c r="A4376">
        <f ca="1">25752.516907664*((RANDBETWEEN(2979,3282)))</f>
        <v>78519424.051467493</v>
      </c>
      <c r="B4376">
        <v>175796132.79874152</v>
      </c>
    </row>
    <row r="4377" spans="1:2" x14ac:dyDescent="0.25">
      <c r="A4377">
        <f ca="1">27449.4558160861*((RANDBETWEEN(2979,3282)))</f>
        <v>85450155.955476061</v>
      </c>
      <c r="B4377">
        <v>153639531.30498025</v>
      </c>
    </row>
    <row r="4378" spans="1:2" x14ac:dyDescent="0.25">
      <c r="A4378">
        <f ca="1">27144.7708489117*((RANDBETWEEN(2979,3282)))</f>
        <v>84935987.986244589</v>
      </c>
      <c r="B4378">
        <v>145066777.26405132</v>
      </c>
    </row>
    <row r="4379" spans="1:2" x14ac:dyDescent="0.25">
      <c r="A4379">
        <f ca="1">27297.6003013066*((RANDBETWEEN(2979,3282)))</f>
        <v>87652594.567495629</v>
      </c>
      <c r="B4379">
        <v>202139943.20180309</v>
      </c>
    </row>
    <row r="4380" spans="1:2" x14ac:dyDescent="0.25">
      <c r="A4380">
        <f ca="1">30607.6184177202*((RANDBETWEEN(2979,3282)))</f>
        <v>96046706.59480612</v>
      </c>
      <c r="B4380">
        <v>168764033.91982543</v>
      </c>
    </row>
    <row r="4381" spans="1:2" x14ac:dyDescent="0.25">
      <c r="A4381">
        <f ca="1">27660.947806957*((RANDBETWEEN(2979,3282)))</f>
        <v>87961814.026123181</v>
      </c>
      <c r="B4381">
        <v>157951719.18100291</v>
      </c>
    </row>
    <row r="4382" spans="1:2" x14ac:dyDescent="0.25">
      <c r="A4382">
        <f ca="1">28388.9734552781*((RANDBETWEEN(2979,3282)))</f>
        <v>89936267.906320915</v>
      </c>
      <c r="B4382">
        <v>171231511.13447896</v>
      </c>
    </row>
    <row r="4383" spans="1:2" x14ac:dyDescent="0.25">
      <c r="A4383">
        <f ca="1">32309.574688077*((RANDBETWEEN(2979,3282)))</f>
        <v>99545799.613965303</v>
      </c>
      <c r="B4383">
        <v>151059551.05146009</v>
      </c>
    </row>
    <row r="4384" spans="1:2" x14ac:dyDescent="0.25">
      <c r="A4384">
        <f ca="1">27542.2482153206*((RANDBETWEEN(2979,3282)))</f>
        <v>83783519.071005151</v>
      </c>
      <c r="B4384">
        <v>158871265.68380532</v>
      </c>
    </row>
    <row r="4385" spans="1:2" x14ac:dyDescent="0.25">
      <c r="A4385">
        <f ca="1">26105.5605251479*((RANDBETWEEN(2979,3282)))</f>
        <v>78577737.180695206</v>
      </c>
      <c r="B4385">
        <v>145514906.18087935</v>
      </c>
    </row>
    <row r="4386" spans="1:2" x14ac:dyDescent="0.25">
      <c r="A4386">
        <f ca="1">28472.6291390126*((RANDBETWEEN(2979,3282)))</f>
        <v>88435986.105773255</v>
      </c>
      <c r="B4386">
        <v>168108103.48326832</v>
      </c>
    </row>
    <row r="4387" spans="1:2" x14ac:dyDescent="0.25">
      <c r="A4387">
        <f ca="1">28234.4434534554*((RANDBETWEEN(2979,3282)))</f>
        <v>90434922.381417572</v>
      </c>
      <c r="B4387">
        <v>184498871.40383941</v>
      </c>
    </row>
    <row r="4388" spans="1:2" x14ac:dyDescent="0.25">
      <c r="A4388">
        <f ca="1">31009.7898563236*((RANDBETWEEN(2979,3282)))</f>
        <v>97215691.199574575</v>
      </c>
      <c r="B4388">
        <v>185579582.94305861</v>
      </c>
    </row>
    <row r="4389" spans="1:2" x14ac:dyDescent="0.25">
      <c r="A4389">
        <f ca="1">26532.5852288274*((RANDBETWEEN(2979,3282)))</f>
        <v>85726782.874341458</v>
      </c>
      <c r="B4389">
        <v>143170353.64992434</v>
      </c>
    </row>
    <row r="4390" spans="1:2" x14ac:dyDescent="0.25">
      <c r="A4390">
        <f ca="1">32367.4338119932*((RANDBETWEEN(2979,3282)))</f>
        <v>97005199.134543568</v>
      </c>
      <c r="B4390">
        <v>157709044.62421927</v>
      </c>
    </row>
    <row r="4391" spans="1:2" x14ac:dyDescent="0.25">
      <c r="A4391">
        <f ca="1">29840.1375840956*((RANDBETWEEN(2979,3282)))</f>
        <v>94444035.45366244</v>
      </c>
      <c r="B4391">
        <v>157419385.36796471</v>
      </c>
    </row>
    <row r="4392" spans="1:2" x14ac:dyDescent="0.25">
      <c r="A4392">
        <f ca="1">27945.7769237457*((RANDBETWEEN(2979,3282)))</f>
        <v>87190824.002086699</v>
      </c>
      <c r="B4392">
        <v>148392436.82741082</v>
      </c>
    </row>
    <row r="4393" spans="1:2" x14ac:dyDescent="0.25">
      <c r="A4393">
        <f ca="1">33376.3319824093*((RANDBETWEEN(2979,3282)))</f>
        <v>101664307.21841872</v>
      </c>
      <c r="B4393">
        <v>198601011.23645553</v>
      </c>
    </row>
    <row r="4394" spans="1:2" x14ac:dyDescent="0.25">
      <c r="A4394">
        <f ca="1">26922.8773568011*((RANDBETWEEN(2979,3282)))</f>
        <v>87176276.881322041</v>
      </c>
      <c r="B4394">
        <v>180416481.8068558</v>
      </c>
    </row>
    <row r="4395" spans="1:2" x14ac:dyDescent="0.25">
      <c r="A4395">
        <f ca="1">30216.0005551033*((RANDBETWEEN(2979,3282)))</f>
        <v>97809193.796869531</v>
      </c>
      <c r="B4395">
        <v>153873817.92412823</v>
      </c>
    </row>
    <row r="4396" spans="1:2" x14ac:dyDescent="0.25">
      <c r="A4396">
        <f ca="1">30981.7771365721*((RANDBETWEEN(2979,3282)))</f>
        <v>97375725.540246189</v>
      </c>
      <c r="B4396">
        <v>150463532.07542706</v>
      </c>
    </row>
    <row r="4397" spans="1:2" x14ac:dyDescent="0.25">
      <c r="A4397">
        <f ca="1">25924.5358840065*((RANDBETWEEN(2979,3282)))</f>
        <v>84125118.943601087</v>
      </c>
      <c r="B4397">
        <v>159562800.46099645</v>
      </c>
    </row>
    <row r="4398" spans="1:2" x14ac:dyDescent="0.25">
      <c r="A4398">
        <f ca="1">27797.8385763135*((RANDBETWEEN(2979,3282)))</f>
        <v>84977992.527790219</v>
      </c>
      <c r="B4398">
        <v>180442753.49463028</v>
      </c>
    </row>
    <row r="4399" spans="1:2" x14ac:dyDescent="0.25">
      <c r="A4399">
        <f ca="1">30887.8496571385*((RANDBETWEEN(2979,3282)))</f>
        <v>96987847.923414931</v>
      </c>
      <c r="B4399">
        <v>172760153.94723284</v>
      </c>
    </row>
    <row r="4400" spans="1:2" x14ac:dyDescent="0.25">
      <c r="A4400">
        <f ca="1">27863.8536760083*((RANDBETWEEN(2979,3282)))</f>
        <v>85068345.272853285</v>
      </c>
      <c r="B4400">
        <v>150426953.58382586</v>
      </c>
    </row>
    <row r="4401" spans="1:2" x14ac:dyDescent="0.25">
      <c r="A4401">
        <f ca="1">26113.0275986582*((RANDBETWEEN(2979,3282)))</f>
        <v>81133176.749031097</v>
      </c>
      <c r="B4401">
        <v>185992707.90107599</v>
      </c>
    </row>
    <row r="4402" spans="1:2" x14ac:dyDescent="0.25">
      <c r="A4402">
        <f ca="1">27245.6702950063*((RANDBETWEEN(2979,3282)))</f>
        <v>83072048.729474232</v>
      </c>
      <c r="B4402">
        <v>159945483.10882777</v>
      </c>
    </row>
    <row r="4403" spans="1:2" x14ac:dyDescent="0.25">
      <c r="A4403">
        <f ca="1">26477.8227712887*((RANDBETWEEN(2979,3282)))</f>
        <v>85549845.374033734</v>
      </c>
      <c r="B4403">
        <v>180096404.25868124</v>
      </c>
    </row>
    <row r="4404" spans="1:2" x14ac:dyDescent="0.25">
      <c r="A4404">
        <f ca="1">28405.246653677*((RANDBETWEEN(2979,3282)))</f>
        <v>91266057.498264328</v>
      </c>
      <c r="B4404">
        <v>180320580.96081257</v>
      </c>
    </row>
    <row r="4405" spans="1:2" x14ac:dyDescent="0.25">
      <c r="A4405">
        <f ca="1">27105.2731709392*((RANDBETWEEN(2979,3282)))</f>
        <v>85083452.483578175</v>
      </c>
      <c r="B4405">
        <v>157139999.9390434</v>
      </c>
    </row>
    <row r="4406" spans="1:2" x14ac:dyDescent="0.25">
      <c r="A4406">
        <f ca="1">27069.9951748566*((RANDBETWEEN(2979,3282)))</f>
        <v>83592145.099957213</v>
      </c>
      <c r="B4406">
        <v>202764220.86621267</v>
      </c>
    </row>
    <row r="4407" spans="1:2" x14ac:dyDescent="0.25">
      <c r="A4407">
        <f ca="1">29310.074344211*((RANDBETWEEN(2979,3282)))</f>
        <v>92971555.819837213</v>
      </c>
      <c r="B4407">
        <v>153901208.79947245</v>
      </c>
    </row>
    <row r="4408" spans="1:2" x14ac:dyDescent="0.25">
      <c r="A4408">
        <f ca="1">26864.7561101823*((RANDBETWEEN(2979,3282)))</f>
        <v>86316461.382015646</v>
      </c>
      <c r="B4408">
        <v>168206403.52383673</v>
      </c>
    </row>
    <row r="4409" spans="1:2" x14ac:dyDescent="0.25">
      <c r="A4409">
        <f ca="1">32811.9999215777*((RANDBETWEEN(2979,3282)))</f>
        <v>104243723.75085226</v>
      </c>
      <c r="B4409">
        <v>182490885.58374631</v>
      </c>
    </row>
    <row r="4410" spans="1:2" x14ac:dyDescent="0.25">
      <c r="A4410">
        <f ca="1">27458.1943591449*((RANDBETWEEN(2979,3282)))</f>
        <v>87371974.450799152</v>
      </c>
      <c r="B4410">
        <v>169381341.34434998</v>
      </c>
    </row>
    <row r="4411" spans="1:2" x14ac:dyDescent="0.25">
      <c r="A4411">
        <f ca="1">27290.5867436611*((RANDBETWEEN(2979,3282)))</f>
        <v>82990674.287473366</v>
      </c>
      <c r="B4411">
        <v>161668836.15323895</v>
      </c>
    </row>
    <row r="4412" spans="1:2" x14ac:dyDescent="0.25">
      <c r="A4412">
        <f ca="1">27958.5416100622*((RANDBETWEEN(2979,3282)))</f>
        <v>83568080.872475997</v>
      </c>
      <c r="B4412">
        <v>177648889.69044465</v>
      </c>
    </row>
    <row r="4413" spans="1:2" x14ac:dyDescent="0.25">
      <c r="A4413">
        <f ca="1">27022.2372488333*((RANDBETWEEN(2979,3282)))</f>
        <v>82769112.693176478</v>
      </c>
      <c r="B4413">
        <v>151838446.40363306</v>
      </c>
    </row>
    <row r="4414" spans="1:2" x14ac:dyDescent="0.25">
      <c r="A4414">
        <f ca="1">27231.4147562608*((RANDBETWEEN(2979,3282)))</f>
        <v>81912095.586832404</v>
      </c>
      <c r="B4414">
        <v>163891010.87837082</v>
      </c>
    </row>
    <row r="4415" spans="1:2" x14ac:dyDescent="0.25">
      <c r="A4415">
        <f ca="1">29855.9206367833*((RANDBETWEEN(2979,3282)))</f>
        <v>90433583.608816609</v>
      </c>
      <c r="B4415">
        <v>192687344.41251281</v>
      </c>
    </row>
    <row r="4416" spans="1:2" x14ac:dyDescent="0.25">
      <c r="A4416">
        <f ca="1">28615.8827453214*((RANDBETWEEN(2979,3282)))</f>
        <v>91685288.3160097</v>
      </c>
      <c r="B4416">
        <v>180732112.34408596</v>
      </c>
    </row>
    <row r="4417" spans="1:2" x14ac:dyDescent="0.25">
      <c r="A4417">
        <f ca="1">32007.8156699764*((RANDBETWEEN(2979,3282)))</f>
        <v>97079704.927038401</v>
      </c>
      <c r="B4417">
        <v>161435587.06364965</v>
      </c>
    </row>
    <row r="4418" spans="1:2" x14ac:dyDescent="0.25">
      <c r="A4418">
        <f ca="1">26684.1525500328*((RANDBETWEEN(2979,3282)))</f>
        <v>80879666.379149497</v>
      </c>
      <c r="B4418">
        <v>144615682.36275625</v>
      </c>
    </row>
    <row r="4419" spans="1:2" x14ac:dyDescent="0.25">
      <c r="A4419">
        <f ca="1">25060.3949453107*((RANDBETWEEN(2979,3282)))</f>
        <v>81170619.227861464</v>
      </c>
      <c r="B4419">
        <v>144234915.81883103</v>
      </c>
    </row>
    <row r="4420" spans="1:2" x14ac:dyDescent="0.25">
      <c r="A4420">
        <f ca="1">26604.7227081162*((RANDBETWEEN(2979,3282)))</f>
        <v>82315012.058911577</v>
      </c>
      <c r="B4420">
        <v>183120202.0903877</v>
      </c>
    </row>
    <row r="4421" spans="1:2" x14ac:dyDescent="0.25">
      <c r="A4421">
        <f ca="1">29516.5991044942*((RANDBETWEEN(2979,3282)))</f>
        <v>95161515.51288937</v>
      </c>
      <c r="B4421">
        <v>181595245.61963776</v>
      </c>
    </row>
    <row r="4422" spans="1:2" x14ac:dyDescent="0.25">
      <c r="A4422">
        <f ca="1">27760.5647319135*((RANDBETWEEN(2979,3282)))</f>
        <v>89139173.354174271</v>
      </c>
      <c r="B4422">
        <v>180266080.38104144</v>
      </c>
    </row>
    <row r="4423" spans="1:2" x14ac:dyDescent="0.25">
      <c r="A4423">
        <f ca="1">32964.9397067784*((RANDBETWEEN(2979,3282)))</f>
        <v>102586892.36749427</v>
      </c>
      <c r="B4423">
        <v>201693097.81499961</v>
      </c>
    </row>
    <row r="4424" spans="1:2" x14ac:dyDescent="0.25">
      <c r="A4424">
        <f ca="1">26747.6451082269*((RANDBETWEEN(2979,3282)))</f>
        <v>81660560.515416697</v>
      </c>
      <c r="B4424">
        <v>168106130.01264068</v>
      </c>
    </row>
    <row r="4425" spans="1:2" x14ac:dyDescent="0.25">
      <c r="A4425">
        <f ca="1">28854.5138776781*((RANDBETWEEN(2979,3282)))</f>
        <v>87458031.563242212</v>
      </c>
      <c r="B4425">
        <v>189618064.57240188</v>
      </c>
    </row>
    <row r="4426" spans="1:2" x14ac:dyDescent="0.25">
      <c r="A4426">
        <f ca="1">26559.0079214511*((RANDBETWEEN(2979,3282)))</f>
        <v>81456477.295090497</v>
      </c>
      <c r="B4426">
        <v>165886285.44393021</v>
      </c>
    </row>
    <row r="4427" spans="1:2" x14ac:dyDescent="0.25">
      <c r="A4427">
        <f ca="1">29438.1955253063*((RANDBETWEEN(2979,3282)))</f>
        <v>89815934.547709629</v>
      </c>
      <c r="B4427">
        <v>188276259.91252863</v>
      </c>
    </row>
    <row r="4428" spans="1:2" x14ac:dyDescent="0.25">
      <c r="A4428">
        <f ca="1">32319.3800495212*((RANDBETWEEN(2979,3282)))</f>
        <v>101741408.39589287</v>
      </c>
      <c r="B4428">
        <v>203606170.98990554</v>
      </c>
    </row>
    <row r="4429" spans="1:2" x14ac:dyDescent="0.25">
      <c r="A4429">
        <f ca="1">28518.8037348309*((RANDBETWEEN(2979,3282)))</f>
        <v>91773510.418685809</v>
      </c>
      <c r="B4429">
        <v>169580631.67366958</v>
      </c>
    </row>
    <row r="4430" spans="1:2" x14ac:dyDescent="0.25">
      <c r="A4430">
        <f ca="1">31303.1305996952*((RANDBETWEEN(2979,3282)))</f>
        <v>100326533.57202321</v>
      </c>
      <c r="B4430">
        <v>177538450.9429518</v>
      </c>
    </row>
    <row r="4431" spans="1:2" x14ac:dyDescent="0.25">
      <c r="A4431">
        <f ca="1">26641.6867039358*((RANDBETWEEN(2979,3282)))</f>
        <v>83441762.756727025</v>
      </c>
      <c r="B4431">
        <v>183137464.56688151</v>
      </c>
    </row>
    <row r="4432" spans="1:2" x14ac:dyDescent="0.25">
      <c r="A4432">
        <f ca="1">28626.5973784243*((RANDBETWEEN(2979,3282)))</f>
        <v>88141293.328168467</v>
      </c>
      <c r="B4432">
        <v>179895332.78288296</v>
      </c>
    </row>
    <row r="4433" spans="1:2" x14ac:dyDescent="0.25">
      <c r="A4433">
        <f ca="1">30399.9171592993*((RANDBETWEEN(2979,3282)))</f>
        <v>94938941.288491786</v>
      </c>
      <c r="B4433">
        <v>155616770.84702963</v>
      </c>
    </row>
    <row r="4434" spans="1:2" x14ac:dyDescent="0.25">
      <c r="A4434">
        <f ca="1">29685.0908588052*((RANDBETWEEN(2979,3282)))</f>
        <v>92290947.4800255</v>
      </c>
      <c r="B4434">
        <v>160990982.54387408</v>
      </c>
    </row>
    <row r="4435" spans="1:2" x14ac:dyDescent="0.25">
      <c r="A4435">
        <f ca="1">31521.9574545024*((RANDBETWEEN(2979,3282)))</f>
        <v>97308282.662048787</v>
      </c>
      <c r="B4435">
        <v>148527459.48779619</v>
      </c>
    </row>
    <row r="4436" spans="1:2" x14ac:dyDescent="0.25">
      <c r="A4436">
        <f ca="1">26635.6734493562*((RANDBETWEEN(2979,3282)))</f>
        <v>84275270.793763056</v>
      </c>
      <c r="B4436">
        <v>173717734.77629501</v>
      </c>
    </row>
    <row r="4437" spans="1:2" x14ac:dyDescent="0.25">
      <c r="A4437">
        <f ca="1">25535.2757558728*((RANDBETWEEN(2979,3282)))</f>
        <v>81380923.833966598</v>
      </c>
      <c r="B4437">
        <v>142919059.42525935</v>
      </c>
    </row>
    <row r="4438" spans="1:2" x14ac:dyDescent="0.25">
      <c r="A4438">
        <f ca="1">29970.4089618751*((RANDBETWEEN(2979,3282)))</f>
        <v>97733503.624674723</v>
      </c>
      <c r="B4438">
        <v>194682658.54558358</v>
      </c>
    </row>
    <row r="4439" spans="1:2" x14ac:dyDescent="0.25">
      <c r="A4439">
        <f ca="1">33502.9516243922*((RANDBETWEEN(2979,3282)))</f>
        <v>104529209.06810378</v>
      </c>
      <c r="B4439">
        <v>177645726.86735609</v>
      </c>
    </row>
    <row r="4440" spans="1:2" x14ac:dyDescent="0.25">
      <c r="A4440">
        <f ca="1">27098.779926248*((RANDBETWEEN(2979,3282)))</f>
        <v>88287824.999716073</v>
      </c>
      <c r="B4440">
        <v>191260229.23130682</v>
      </c>
    </row>
    <row r="4441" spans="1:2" x14ac:dyDescent="0.25">
      <c r="A4441">
        <f ca="1">28966.6244812817*((RANDBETWEEN(2979,3282)))</f>
        <v>91360733.613962367</v>
      </c>
      <c r="B4441">
        <v>154843885.72477806</v>
      </c>
    </row>
    <row r="4442" spans="1:2" x14ac:dyDescent="0.25">
      <c r="A4442">
        <f ca="1">31893.6288058442*((RANDBETWEEN(2979,3282)))</f>
        <v>101230377.8297496</v>
      </c>
      <c r="B4442">
        <v>159722705.27654386</v>
      </c>
    </row>
    <row r="4443" spans="1:2" x14ac:dyDescent="0.25">
      <c r="A4443">
        <f ca="1">27189.1877867756*((RANDBETWEEN(2979,3282)))</f>
        <v>85509995.589409158</v>
      </c>
      <c r="B4443">
        <v>181766142.29705364</v>
      </c>
    </row>
    <row r="4444" spans="1:2" x14ac:dyDescent="0.25">
      <c r="A4444">
        <f ca="1">31077.6741454049*((RANDBETWEEN(2979,3282)))</f>
        <v>97428508.445844397</v>
      </c>
      <c r="B4444">
        <v>185778500.07487711</v>
      </c>
    </row>
    <row r="4445" spans="1:2" x14ac:dyDescent="0.25">
      <c r="A4445">
        <f ca="1">27971.1071286248*((RANDBETWEEN(2979,3282)))</f>
        <v>90458560.453972489</v>
      </c>
      <c r="B4445">
        <v>196756369.72472498</v>
      </c>
    </row>
    <row r="4446" spans="1:2" x14ac:dyDescent="0.25">
      <c r="A4446">
        <f ca="1">31040.4795788147*((RANDBETWEEN(2979,3282)))</f>
        <v>97963753.550739169</v>
      </c>
      <c r="B4446">
        <v>189811313.30631188</v>
      </c>
    </row>
    <row r="4447" spans="1:2" x14ac:dyDescent="0.25">
      <c r="A4447">
        <f ca="1">28666.5118593851*((RANDBETWEEN(2979,3282)))</f>
        <v>92879498.424407765</v>
      </c>
      <c r="B4447">
        <v>156161508.38865259</v>
      </c>
    </row>
    <row r="4448" spans="1:2" x14ac:dyDescent="0.25">
      <c r="A4448">
        <f ca="1">26474.7308271726*((RANDBETWEEN(2979,3282)))</f>
        <v>82177564.487543643</v>
      </c>
      <c r="B4448">
        <v>198912936.80535087</v>
      </c>
    </row>
    <row r="4449" spans="1:2" x14ac:dyDescent="0.25">
      <c r="A4449">
        <f ca="1">26132.5973552143*((RANDBETWEEN(2979,3282)))</f>
        <v>79547626.349272326</v>
      </c>
      <c r="B4449">
        <v>147449090.62540635</v>
      </c>
    </row>
    <row r="4450" spans="1:2" x14ac:dyDescent="0.25">
      <c r="A4450">
        <f ca="1">27260.0603298447*((RANDBETWEEN(2979,3282)))</f>
        <v>87913694.563749284</v>
      </c>
      <c r="B4450">
        <v>143837498.62880817</v>
      </c>
    </row>
    <row r="4451" spans="1:2" x14ac:dyDescent="0.25">
      <c r="A4451">
        <f ca="1">27495.9353063285*((RANDBETWEEN(2979,3282)))</f>
        <v>83615139.266544938</v>
      </c>
      <c r="B4451">
        <v>153145270.58915031</v>
      </c>
    </row>
    <row r="4452" spans="1:2" x14ac:dyDescent="0.25">
      <c r="A4452">
        <f ca="1">25357.4462514168*((RANDBETWEEN(2979,3282)))</f>
        <v>82817419.457127422</v>
      </c>
      <c r="B4452">
        <v>146164679.34196952</v>
      </c>
    </row>
    <row r="4453" spans="1:2" x14ac:dyDescent="0.25">
      <c r="A4453">
        <f ca="1">26836.3405415104*((RANDBETWEEN(2979,3282)))</f>
        <v>80348003.581282005</v>
      </c>
      <c r="B4453">
        <v>171862520.31813586</v>
      </c>
    </row>
    <row r="4454" spans="1:2" x14ac:dyDescent="0.25">
      <c r="A4454">
        <f ca="1">26486.7352659296*((RANDBETWEEN(2979,3282)))</f>
        <v>86240810.025866881</v>
      </c>
      <c r="B4454">
        <v>162234799.63095677</v>
      </c>
    </row>
    <row r="4455" spans="1:2" x14ac:dyDescent="0.25">
      <c r="A4455">
        <f ca="1">25572.1717100893*((RANDBETWEEN(2979,3282)))</f>
        <v>78634428.008524626</v>
      </c>
      <c r="B4455">
        <v>164402644.73036227</v>
      </c>
    </row>
    <row r="4456" spans="1:2" x14ac:dyDescent="0.25">
      <c r="A4456">
        <f ca="1">32403.3246426053*((RANDBETWEEN(2979,3282)))</f>
        <v>106153291.52917492</v>
      </c>
      <c r="B4456">
        <v>179705959.12816513</v>
      </c>
    </row>
    <row r="4457" spans="1:2" x14ac:dyDescent="0.25">
      <c r="A4457">
        <f ca="1">26535.3294351426*((RANDBETWEEN(2979,3282)))</f>
        <v>84037388.321096763</v>
      </c>
      <c r="B4457">
        <v>146972381.42512363</v>
      </c>
    </row>
    <row r="4458" spans="1:2" x14ac:dyDescent="0.25">
      <c r="A4458">
        <f ca="1">27836.4530065787*((RANDBETWEEN(2979,3282)))</f>
        <v>88464247.654907048</v>
      </c>
      <c r="B4458">
        <v>175725886.74958199</v>
      </c>
    </row>
    <row r="4459" spans="1:2" x14ac:dyDescent="0.25">
      <c r="A4459">
        <f ca="1">26576.6789126983*((RANDBETWEEN(2979,3282)))</f>
        <v>82175091.198063165</v>
      </c>
      <c r="B4459">
        <v>150161754.16222399</v>
      </c>
    </row>
    <row r="4460" spans="1:2" x14ac:dyDescent="0.25">
      <c r="A4460">
        <f ca="1">27788.6667051656*((RANDBETWEEN(2979,3282)))</f>
        <v>84616490.117229149</v>
      </c>
      <c r="B4460">
        <v>167751278.26202005</v>
      </c>
    </row>
    <row r="4461" spans="1:2" x14ac:dyDescent="0.25">
      <c r="A4461">
        <f ca="1">27704.7746024881*((RANDBETWEEN(2979,3282)))</f>
        <v>89237078.994614184</v>
      </c>
      <c r="B4461">
        <v>194401514.7693342</v>
      </c>
    </row>
    <row r="4462" spans="1:2" x14ac:dyDescent="0.25">
      <c r="A4462">
        <f ca="1">28660.7479150316*((RANDBETWEEN(2979,3282)))</f>
        <v>92459572.773891851</v>
      </c>
      <c r="B4462">
        <v>189695401.23005337</v>
      </c>
    </row>
    <row r="4463" spans="1:2" x14ac:dyDescent="0.25">
      <c r="A4463">
        <f ca="1">28257.2242675618*((RANDBETWEEN(2979,3282)))</f>
        <v>92598923.924799904</v>
      </c>
      <c r="B4463">
        <v>198192851.30411977</v>
      </c>
    </row>
    <row r="4464" spans="1:2" x14ac:dyDescent="0.25">
      <c r="A4464">
        <f ca="1">26877.2158526957*((RANDBETWEEN(2979,3282)))</f>
        <v>87915373.054167479</v>
      </c>
      <c r="B4464">
        <v>148491873.90108442</v>
      </c>
    </row>
    <row r="4465" spans="1:2" x14ac:dyDescent="0.25">
      <c r="A4465">
        <f ca="1">30460.8309897337*((RANDBETWEEN(2979,3282)))</f>
        <v>95342400.997866526</v>
      </c>
      <c r="B4465">
        <v>188471115.95372614</v>
      </c>
    </row>
    <row r="4466" spans="1:2" x14ac:dyDescent="0.25">
      <c r="A4466">
        <f ca="1">34134.7404982328*((RANDBETWEEN(2979,3282)))</f>
        <v>106773468.27847207</v>
      </c>
      <c r="B4466">
        <v>185004934.44958681</v>
      </c>
    </row>
    <row r="4467" spans="1:2" x14ac:dyDescent="0.25">
      <c r="A4467">
        <f ca="1">26747.4631026362*((RANDBETWEEN(2979,3282)))</f>
        <v>81446025.147527203</v>
      </c>
      <c r="B4467">
        <v>144621145.29134214</v>
      </c>
    </row>
    <row r="4468" spans="1:2" x14ac:dyDescent="0.25">
      <c r="A4468">
        <f ca="1">26267.0451332945*((RANDBETWEEN(2979,3282)))</f>
        <v>79273942.212282792</v>
      </c>
      <c r="B4468">
        <v>150780490.38582033</v>
      </c>
    </row>
    <row r="4469" spans="1:2" x14ac:dyDescent="0.25">
      <c r="A4469">
        <f ca="1">27129.2642667553*((RANDBETWEEN(2979,3282)))</f>
        <v>85213019.061878383</v>
      </c>
      <c r="B4469">
        <v>168026809.24322307</v>
      </c>
    </row>
    <row r="4470" spans="1:2" x14ac:dyDescent="0.25">
      <c r="A4470">
        <f ca="1">26991.9634245717*((RANDBETWEEN(2979,3282)))</f>
        <v>88182744.508075655</v>
      </c>
      <c r="B4470">
        <v>152450403.5868085</v>
      </c>
    </row>
    <row r="4471" spans="1:2" x14ac:dyDescent="0.25">
      <c r="A4471">
        <f ca="1">27385.1830659531*((RANDBETWEEN(2979,3282)))</f>
        <v>89796015.27326028</v>
      </c>
      <c r="B4471">
        <v>165810359.7430186</v>
      </c>
    </row>
    <row r="4472" spans="1:2" x14ac:dyDescent="0.25">
      <c r="A4472">
        <f ca="1">29075.8223918452*((RANDBETWEEN(2979,3282)))</f>
        <v>89844291.190801606</v>
      </c>
      <c r="B4472">
        <v>174244341.28508222</v>
      </c>
    </row>
    <row r="4473" spans="1:2" x14ac:dyDescent="0.25">
      <c r="A4473">
        <f ca="1">30102.4057947358*((RANDBETWEEN(2979,3282)))</f>
        <v>96026674.485207155</v>
      </c>
      <c r="B4473">
        <v>169546693.80062628</v>
      </c>
    </row>
    <row r="4474" spans="1:2" x14ac:dyDescent="0.25">
      <c r="A4474">
        <f ca="1">25355.4797703248*((RANDBETWEEN(2979,3282)))</f>
        <v>75990372.871663541</v>
      </c>
      <c r="B4474">
        <v>154763974.32040659</v>
      </c>
    </row>
    <row r="4475" spans="1:2" x14ac:dyDescent="0.25">
      <c r="A4475">
        <f ca="1">26976.4240359755*((RANDBETWEEN(2979,3282)))</f>
        <v>86486415.459337339</v>
      </c>
      <c r="B4475">
        <v>146125938.37320462</v>
      </c>
    </row>
    <row r="4476" spans="1:2" x14ac:dyDescent="0.25">
      <c r="A4476">
        <f ca="1">32045.3062573859*((RANDBETWEEN(2979,3282)))</f>
        <v>101263167.77333935</v>
      </c>
      <c r="B4476">
        <v>191193036.15930647</v>
      </c>
    </row>
    <row r="4477" spans="1:2" x14ac:dyDescent="0.25">
      <c r="A4477">
        <f ca="1">31968.1038764562*((RANDBETWEEN(2979,3282)))</f>
        <v>104503731.57213536</v>
      </c>
      <c r="B4477">
        <v>195967881.84333751</v>
      </c>
    </row>
    <row r="4478" spans="1:2" x14ac:dyDescent="0.25">
      <c r="A4478">
        <f ca="1">32238.5876093178*((RANDBETWEEN(2979,3282)))</f>
        <v>100713347.69150877</v>
      </c>
      <c r="B4478">
        <v>176539907.34182006</v>
      </c>
    </row>
    <row r="4479" spans="1:2" x14ac:dyDescent="0.25">
      <c r="A4479">
        <f ca="1">30540.3501994115*((RANDBETWEEN(2979,3282)))</f>
        <v>99561541.65008159</v>
      </c>
      <c r="B4479">
        <v>156358863.21277505</v>
      </c>
    </row>
    <row r="4480" spans="1:2" x14ac:dyDescent="0.25">
      <c r="A4480">
        <f ca="1">29818.886666443*((RANDBETWEEN(2979,3282)))</f>
        <v>93094564.172635034</v>
      </c>
      <c r="B4480">
        <v>181372732.31683502</v>
      </c>
    </row>
    <row r="4481" spans="1:2" x14ac:dyDescent="0.25">
      <c r="A4481">
        <f ca="1">27204.5991742131*((RANDBETWEEN(2979,3282)))</f>
        <v>83871779.254098997</v>
      </c>
      <c r="B4481">
        <v>155430443.74710885</v>
      </c>
    </row>
    <row r="4482" spans="1:2" x14ac:dyDescent="0.25">
      <c r="A4482">
        <f ca="1">25867.5606422024*((RANDBETWEEN(2979,3282)))</f>
        <v>81560418.704864144</v>
      </c>
      <c r="B4482">
        <v>165448823.28343278</v>
      </c>
    </row>
    <row r="4483" spans="1:2" x14ac:dyDescent="0.25">
      <c r="A4483">
        <f ca="1">29059.7870017137*((RANDBETWEEN(2979,3282)))</f>
        <v>89068247.160252437</v>
      </c>
      <c r="B4483">
        <v>197221740.62972248</v>
      </c>
    </row>
    <row r="4484" spans="1:2" x14ac:dyDescent="0.25">
      <c r="A4484">
        <f ca="1">26788.418961289*((RANDBETWEEN(2979,3282)))</f>
        <v>80847448.425170094</v>
      </c>
      <c r="B4484">
        <v>203526916.91152149</v>
      </c>
    </row>
    <row r="4485" spans="1:2" x14ac:dyDescent="0.25">
      <c r="A4485">
        <f ca="1">26769.6892885849*((RANDBETWEEN(2979,3282)))</f>
        <v>80549995.069352046</v>
      </c>
      <c r="B4485">
        <v>161121582.43250975</v>
      </c>
    </row>
    <row r="4486" spans="1:2" x14ac:dyDescent="0.25">
      <c r="A4486">
        <f ca="1">26213.1269236191*((RANDBETWEEN(2979,3282)))</f>
        <v>83410169.870955944</v>
      </c>
      <c r="B4486">
        <v>146377270.56034777</v>
      </c>
    </row>
    <row r="4487" spans="1:2" x14ac:dyDescent="0.25">
      <c r="A4487">
        <f ca="1">32195.961131954*((RANDBETWEEN(2979,3282)))</f>
        <v>103349035.23357248</v>
      </c>
      <c r="B4487">
        <v>200382177.95677525</v>
      </c>
    </row>
    <row r="4488" spans="1:2" x14ac:dyDescent="0.25">
      <c r="A4488">
        <f ca="1">31026.2114816477*((RANDBETWEEN(2979,3282)))</f>
        <v>94288656.692727357</v>
      </c>
      <c r="B4488">
        <v>199531937.57818505</v>
      </c>
    </row>
    <row r="4489" spans="1:2" x14ac:dyDescent="0.25">
      <c r="A4489">
        <f ca="1">28236.9605180732*((RANDBETWEEN(2979,3282)))</f>
        <v>90866538.94715941</v>
      </c>
      <c r="B4489">
        <v>171352401.04931194</v>
      </c>
    </row>
    <row r="4490" spans="1:2" x14ac:dyDescent="0.25">
      <c r="A4490">
        <f ca="1">27290.5738167508*((RANDBETWEEN(2979,3282)))</f>
        <v>86865896.458717719</v>
      </c>
      <c r="B4490">
        <v>146576901.22359115</v>
      </c>
    </row>
    <row r="4491" spans="1:2" x14ac:dyDescent="0.25">
      <c r="A4491">
        <f ca="1">26357.0404649925*((RANDBETWEEN(2979,3282)))</f>
        <v>83630889.395421058</v>
      </c>
      <c r="B4491">
        <v>155250100.82296306</v>
      </c>
    </row>
    <row r="4492" spans="1:2" x14ac:dyDescent="0.25">
      <c r="A4492">
        <f ca="1">27112.3853931275*((RANDBETWEEN(2979,3282)))</f>
        <v>85322676.832172155</v>
      </c>
      <c r="B4492">
        <v>156377440.05997741</v>
      </c>
    </row>
    <row r="4493" spans="1:2" x14ac:dyDescent="0.25">
      <c r="A4493">
        <f ca="1">33024.0816103593*((RANDBETWEEN(2979,3282)))</f>
        <v>107493385.64171959</v>
      </c>
      <c r="B4493">
        <v>175252874.18169701</v>
      </c>
    </row>
    <row r="4494" spans="1:2" x14ac:dyDescent="0.25">
      <c r="A4494">
        <f ca="1">27050.9461657057*((RANDBETWEEN(2979,3282)))</f>
        <v>81423347.958774105</v>
      </c>
      <c r="B4494">
        <v>151893111.01156369</v>
      </c>
    </row>
    <row r="4495" spans="1:2" x14ac:dyDescent="0.25">
      <c r="A4495">
        <f ca="1">29546.4352574006*((RANDBETWEEN(2979,3282)))</f>
        <v>88580212.901687041</v>
      </c>
      <c r="B4495">
        <v>159397418.26582366</v>
      </c>
    </row>
    <row r="4496" spans="1:2" x14ac:dyDescent="0.25">
      <c r="A4496">
        <f ca="1">27467.5585996429*((RANDBETWEEN(2979,3282)))</f>
        <v>82155467.771532029</v>
      </c>
      <c r="B4496">
        <v>157785317.67294124</v>
      </c>
    </row>
    <row r="4497" spans="1:2" x14ac:dyDescent="0.25">
      <c r="A4497">
        <f ca="1">27551.8103498808*((RANDBETWEEN(2979,3282)))</f>
        <v>85768785.619178906</v>
      </c>
      <c r="B4497">
        <v>162199943.41553912</v>
      </c>
    </row>
    <row r="4498" spans="1:2" x14ac:dyDescent="0.25">
      <c r="A4498">
        <f ca="1">25921.8313194839*((RANDBETWEEN(2979,3282)))</f>
        <v>79891084.12664935</v>
      </c>
      <c r="B4498">
        <v>144215921.45372581</v>
      </c>
    </row>
    <row r="4499" spans="1:2" x14ac:dyDescent="0.25">
      <c r="A4499">
        <f ca="1">27157.5583217809*((RANDBETWEEN(2979,3282)))</f>
        <v>87202919.771238476</v>
      </c>
      <c r="B4499">
        <v>169567534.42308781</v>
      </c>
    </row>
    <row r="4500" spans="1:2" x14ac:dyDescent="0.25">
      <c r="A4500">
        <f ca="1">30992.7684255356*((RANDBETWEEN(2979,3282)))</f>
        <v>101191388.90937383</v>
      </c>
      <c r="B4500">
        <v>180663952.13694555</v>
      </c>
    </row>
    <row r="4501" spans="1:2" x14ac:dyDescent="0.25">
      <c r="A4501">
        <f ca="1">27162.3415148226*((RANDBETWEEN(2979,3282)))</f>
        <v>85642862.796235666</v>
      </c>
      <c r="B4501">
        <v>163849708.46301645</v>
      </c>
    </row>
    <row r="4502" spans="1:2" x14ac:dyDescent="0.25">
      <c r="A4502">
        <f ca="1">29899.9072805687*((RANDBETWEEN(2979,3282)))</f>
        <v>97354098.105531767</v>
      </c>
      <c r="B4502">
        <v>188820650.98930746</v>
      </c>
    </row>
    <row r="4503" spans="1:2" x14ac:dyDescent="0.25">
      <c r="A4503">
        <f ca="1">30948.041727016*((RANDBETWEEN(2979,3282)))</f>
        <v>96712630.396925062</v>
      </c>
      <c r="B4503">
        <v>149133225.01993132</v>
      </c>
    </row>
    <row r="4504" spans="1:2" x14ac:dyDescent="0.25">
      <c r="A4504">
        <f ca="1">28423.6527363472*((RANDBETWEEN(2979,3282)))</f>
        <v>85583618.389141455</v>
      </c>
      <c r="B4504">
        <v>166258019.72741568</v>
      </c>
    </row>
    <row r="4505" spans="1:2" x14ac:dyDescent="0.25">
      <c r="A4505">
        <f ca="1">29168.7716164377*((RANDBETWEEN(2979,3282)))</f>
        <v>95119364.241203368</v>
      </c>
      <c r="B4505">
        <v>173163385.52378878</v>
      </c>
    </row>
    <row r="4506" spans="1:2" x14ac:dyDescent="0.25">
      <c r="A4506">
        <f ca="1">26753.9944048957*((RANDBETWEEN(2979,3282)))</f>
        <v>85907076.034120113</v>
      </c>
      <c r="B4506">
        <v>171532701.99406725</v>
      </c>
    </row>
    <row r="4507" spans="1:2" x14ac:dyDescent="0.25">
      <c r="A4507">
        <f ca="1">27827.5055938563*((RANDBETWEEN(2979,3282)))</f>
        <v>82981621.680879444</v>
      </c>
      <c r="B4507">
        <v>152596597.65960199</v>
      </c>
    </row>
    <row r="4508" spans="1:2" x14ac:dyDescent="0.25">
      <c r="A4508">
        <f ca="1">27843.1435551057*((RANDBETWEEN(2979,3282)))</f>
        <v>91158451.999416098</v>
      </c>
      <c r="B4508">
        <v>195366442.18591011</v>
      </c>
    </row>
    <row r="4509" spans="1:2" x14ac:dyDescent="0.25">
      <c r="A4509">
        <f ca="1">27092.730365537*((RANDBETWEEN(2979,3282)))</f>
        <v>85206636.999613971</v>
      </c>
      <c r="B4509">
        <v>155644858.64411405</v>
      </c>
    </row>
    <row r="4510" spans="1:2" x14ac:dyDescent="0.25">
      <c r="A4510">
        <f ca="1">29786.3686931859*((RANDBETWEEN(2979,3282)))</f>
        <v>90669706.302058011</v>
      </c>
      <c r="B4510">
        <v>149494619.65823987</v>
      </c>
    </row>
    <row r="4511" spans="1:2" x14ac:dyDescent="0.25">
      <c r="A4511">
        <f ca="1">27046.7154665991*((RANDBETWEEN(2979,3282)))</f>
        <v>83736631.084590927</v>
      </c>
      <c r="B4511">
        <v>152212402.27559599</v>
      </c>
    </row>
    <row r="4512" spans="1:2" x14ac:dyDescent="0.25">
      <c r="A4512">
        <f ca="1">31664.0038948195*((RANDBETWEEN(2979,3282)))</f>
        <v>94422059.614351764</v>
      </c>
      <c r="B4512">
        <v>148252271.51521286</v>
      </c>
    </row>
    <row r="4513" spans="1:2" x14ac:dyDescent="0.25">
      <c r="A4513">
        <f ca="1">28291.4553605284*((RANDBETWEEN(2979,3282)))</f>
        <v>92428184.662846163</v>
      </c>
      <c r="B4513">
        <v>172289010.04618454</v>
      </c>
    </row>
    <row r="4514" spans="1:2" x14ac:dyDescent="0.25">
      <c r="A4514">
        <f ca="1">31937.2222532627*((RANDBETWEEN(2979,3282)))</f>
        <v>103764035.1008506</v>
      </c>
      <c r="B4514">
        <v>183803446.31957075</v>
      </c>
    </row>
    <row r="4515" spans="1:2" x14ac:dyDescent="0.25">
      <c r="A4515">
        <f ca="1">27583.3220423561*((RANDBETWEEN(2979,3282)))</f>
        <v>87604630.80652307</v>
      </c>
      <c r="B4515">
        <v>149479175.51208088</v>
      </c>
    </row>
    <row r="4516" spans="1:2" x14ac:dyDescent="0.25">
      <c r="A4516">
        <f ca="1">26974.5960665871*((RANDBETWEEN(2979,3282)))</f>
        <v>85050901.397949204</v>
      </c>
      <c r="B4516">
        <v>183760702.51233953</v>
      </c>
    </row>
    <row r="4517" spans="1:2" x14ac:dyDescent="0.25">
      <c r="A4517">
        <f ca="1">28540.7868574836*((RANDBETWEEN(2979,3282)))</f>
        <v>92044037.615384653</v>
      </c>
      <c r="B4517">
        <v>159458649.77501157</v>
      </c>
    </row>
    <row r="4518" spans="1:2" x14ac:dyDescent="0.25">
      <c r="A4518">
        <f ca="1">27009.379769591*((RANDBETWEEN(2979,3282)))</f>
        <v>80650007.991998702</v>
      </c>
      <c r="B4518">
        <v>163391064.79318041</v>
      </c>
    </row>
    <row r="4519" spans="1:2" x14ac:dyDescent="0.25">
      <c r="A4519">
        <f ca="1">28583.3544323927*((RANDBETWEEN(2979,3282)))</f>
        <v>93553319.057221189</v>
      </c>
      <c r="B4519">
        <v>146685092.96388066</v>
      </c>
    </row>
    <row r="4520" spans="1:2" x14ac:dyDescent="0.25">
      <c r="A4520">
        <f ca="1">26168.0679935213*((RANDBETWEEN(2979,3282)))</f>
        <v>78949061.136453852</v>
      </c>
      <c r="B4520">
        <v>150880907.93949187</v>
      </c>
    </row>
    <row r="4521" spans="1:2" x14ac:dyDescent="0.25">
      <c r="A4521">
        <f ca="1">33155.8130505841*((RANDBETWEEN(2979,3282)))</f>
        <v>98936946.142942876</v>
      </c>
      <c r="B4521">
        <v>147120180.5203037</v>
      </c>
    </row>
    <row r="4522" spans="1:2" x14ac:dyDescent="0.25">
      <c r="A4522">
        <f ca="1">29917.7342339082*((RANDBETWEEN(2979,3282)))</f>
        <v>95856420.485441968</v>
      </c>
      <c r="B4522">
        <v>160092988.54377803</v>
      </c>
    </row>
    <row r="4523" spans="1:2" x14ac:dyDescent="0.25">
      <c r="A4523">
        <f ca="1">27246.4725398297*((RANDBETWEEN(2979,3282)))</f>
        <v>84900008.434109479</v>
      </c>
      <c r="B4523">
        <v>203173517.26705626</v>
      </c>
    </row>
    <row r="4524" spans="1:2" x14ac:dyDescent="0.25">
      <c r="A4524">
        <f ca="1">28471.8666061952*((RANDBETWEEN(2979,3282)))</f>
        <v>91821769.804979593</v>
      </c>
      <c r="B4524">
        <v>164649743.53722891</v>
      </c>
    </row>
    <row r="4525" spans="1:2" x14ac:dyDescent="0.25">
      <c r="A4525">
        <f ca="1">27550.9497756485*((RANDBETWEEN(2979,3282)))</f>
        <v>83727336.368195876</v>
      </c>
      <c r="B4525">
        <v>179107603.15651947</v>
      </c>
    </row>
    <row r="4526" spans="1:2" x14ac:dyDescent="0.25">
      <c r="A4526">
        <f ca="1">27002.7735202483*((RANDBETWEEN(2979,3282)))</f>
        <v>85868819.79438971</v>
      </c>
      <c r="B4526">
        <v>171145653.44955221</v>
      </c>
    </row>
    <row r="4527" spans="1:2" x14ac:dyDescent="0.25">
      <c r="A4527">
        <f ca="1">35687.9755677649*((RANDBETWEEN(2979,3282)))</f>
        <v>114986657.27933863</v>
      </c>
      <c r="B4527">
        <v>177143193.08104062</v>
      </c>
    </row>
    <row r="4528" spans="1:2" x14ac:dyDescent="0.25">
      <c r="A4528">
        <f ca="1">28900.9871452604*((RANDBETWEEN(2979,3282)))</f>
        <v>89621961.137452468</v>
      </c>
      <c r="B4528">
        <v>158372286.48667759</v>
      </c>
    </row>
    <row r="4529" spans="1:2" x14ac:dyDescent="0.25">
      <c r="A4529">
        <f ca="1">27879.8991011129*((RANDBETWEEN(2979,3282)))</f>
        <v>88546559.545134425</v>
      </c>
      <c r="B4529">
        <v>148797539.62732184</v>
      </c>
    </row>
    <row r="4530" spans="1:2" x14ac:dyDescent="0.25">
      <c r="A4530">
        <f ca="1">26045.3524946707*((RANDBETWEEN(2979,3282)))</f>
        <v>85142257.305078432</v>
      </c>
      <c r="B4530">
        <v>148059288.25708413</v>
      </c>
    </row>
    <row r="4531" spans="1:2" x14ac:dyDescent="0.25">
      <c r="A4531">
        <f ca="1">26816.0501524132*((RANDBETWEEN(2979,3282)))</f>
        <v>87098530.895038053</v>
      </c>
      <c r="B4531">
        <v>160164004.66720438</v>
      </c>
    </row>
    <row r="4532" spans="1:2" x14ac:dyDescent="0.25">
      <c r="A4532">
        <f ca="1">31147.0781304013*((RANDBETWEEN(2979,3282)))</f>
        <v>98829678.907763168</v>
      </c>
      <c r="B4532">
        <v>194779674.15468854</v>
      </c>
    </row>
    <row r="4533" spans="1:2" x14ac:dyDescent="0.25">
      <c r="A4533">
        <f ca="1">30104.9627207718*((RANDBETWEEN(2979,3282)))</f>
        <v>98593752.910527512</v>
      </c>
      <c r="B4533">
        <v>195810528.20995313</v>
      </c>
    </row>
    <row r="4534" spans="1:2" x14ac:dyDescent="0.25">
      <c r="A4534">
        <f ca="1">28657.572122247*((RANDBETWEEN(2979,3282)))</f>
        <v>93595630.551258817</v>
      </c>
      <c r="B4534">
        <v>202987793.88568714</v>
      </c>
    </row>
    <row r="4535" spans="1:2" x14ac:dyDescent="0.25">
      <c r="A4535">
        <f ca="1">27047.7868492874*((RANDBETWEEN(2979,3282)))</f>
        <v>88635597.505114734</v>
      </c>
      <c r="B4535">
        <v>145365746.34318098</v>
      </c>
    </row>
    <row r="4536" spans="1:2" x14ac:dyDescent="0.25">
      <c r="A4536">
        <f ca="1">26340.8580461453*((RANDBETWEEN(2979,3282)))</f>
        <v>85080971.489049315</v>
      </c>
      <c r="B4536">
        <v>161027341.35204285</v>
      </c>
    </row>
    <row r="4537" spans="1:2" x14ac:dyDescent="0.25">
      <c r="A4537">
        <f ca="1">25648.4530243786*((RANDBETWEEN(2979,3282)))</f>
        <v>77201843.603379682</v>
      </c>
      <c r="B4537">
        <v>154543943.8363874</v>
      </c>
    </row>
    <row r="4538" spans="1:2" x14ac:dyDescent="0.25">
      <c r="A4538">
        <f ca="1">26902.1154749983*((RANDBETWEEN(2979,3282)))</f>
        <v>86140573.750944585</v>
      </c>
      <c r="B4538">
        <v>147116586.59445626</v>
      </c>
    </row>
    <row r="4539" spans="1:2" x14ac:dyDescent="0.25">
      <c r="A4539">
        <f ca="1">25847.3757006641*((RANDBETWEEN(2979,3282)))</f>
        <v>84831087.04957971</v>
      </c>
      <c r="B4539">
        <v>160128063.1214484</v>
      </c>
    </row>
    <row r="4540" spans="1:2" x14ac:dyDescent="0.25">
      <c r="A4540">
        <f ca="1">28447.7112202857*((RANDBETWEEN(2979,3282)))</f>
        <v>89866319.744882375</v>
      </c>
      <c r="B4540">
        <v>163489012.1169526</v>
      </c>
    </row>
    <row r="4541" spans="1:2" x14ac:dyDescent="0.25">
      <c r="A4541">
        <f ca="1">28454.4789216588*((RANDBETWEEN(2979,3282)))</f>
        <v>87184523.415962592</v>
      </c>
      <c r="B4541">
        <v>158970774.70775658</v>
      </c>
    </row>
    <row r="4542" spans="1:2" x14ac:dyDescent="0.25">
      <c r="A4542">
        <f ca="1">30012.7605161354*((RANDBETWEEN(2979,3282)))</f>
        <v>90368421.914083675</v>
      </c>
      <c r="B4542">
        <v>147940057.73768583</v>
      </c>
    </row>
    <row r="4543" spans="1:2" x14ac:dyDescent="0.25">
      <c r="A4543">
        <f ca="1">28779.1681426204*((RANDBETWEEN(2979,3282)))</f>
        <v>90769496.321824774</v>
      </c>
      <c r="B4543">
        <v>154770182.81922176</v>
      </c>
    </row>
    <row r="4544" spans="1:2" x14ac:dyDescent="0.25">
      <c r="A4544">
        <f ca="1">29954.7079683347*((RANDBETWEEN(2979,3282)))</f>
        <v>93129187.073552549</v>
      </c>
      <c r="B4544">
        <v>150837656.13981161</v>
      </c>
    </row>
    <row r="4545" spans="1:2" x14ac:dyDescent="0.25">
      <c r="A4545">
        <f ca="1">28375.4884201192*((RANDBETWEEN(2979,3282)))</f>
        <v>85410220.144558728</v>
      </c>
      <c r="B4545">
        <v>152036472.16697443</v>
      </c>
    </row>
    <row r="4546" spans="1:2" x14ac:dyDescent="0.25">
      <c r="A4546">
        <f ca="1">26049.2511280528*((RANDBETWEEN(2979,3282)))</f>
        <v>80622432.241323411</v>
      </c>
      <c r="B4546">
        <v>148002020.60104671</v>
      </c>
    </row>
    <row r="4547" spans="1:2" x14ac:dyDescent="0.25">
      <c r="A4547">
        <f ca="1">28726.4804715511*((RANDBETWEEN(2979,3282)))</f>
        <v>92240728.794150487</v>
      </c>
      <c r="B4547">
        <v>193245724.54355964</v>
      </c>
    </row>
    <row r="4548" spans="1:2" x14ac:dyDescent="0.25">
      <c r="A4548">
        <f ca="1">29467.0839119374*((RANDBETWEEN(2979,3282)))</f>
        <v>93233853.497370064</v>
      </c>
      <c r="B4548">
        <v>167046720.01166633</v>
      </c>
    </row>
    <row r="4549" spans="1:2" x14ac:dyDescent="0.25">
      <c r="A4549">
        <f ca="1">27064.3366542364*((RANDBETWEEN(2979,3282)))</f>
        <v>81138881.289400771</v>
      </c>
      <c r="B4549">
        <v>148831480.44359836</v>
      </c>
    </row>
    <row r="4550" spans="1:2" x14ac:dyDescent="0.25">
      <c r="A4550">
        <f ca="1">26110.9623535372*((RANDBETWEEN(2979,3282)))</f>
        <v>85173959.197238415</v>
      </c>
      <c r="B4550">
        <v>160877405.36264506</v>
      </c>
    </row>
    <row r="4551" spans="1:2" x14ac:dyDescent="0.25">
      <c r="A4551">
        <f ca="1">26187.1290250067*((RANDBETWEEN(2979,3282)))</f>
        <v>79216065.300645366</v>
      </c>
      <c r="B4551">
        <v>162876210.72996473</v>
      </c>
    </row>
    <row r="4552" spans="1:2" x14ac:dyDescent="0.25">
      <c r="A4552">
        <f ca="1">31313.7952095516*((RANDBETWEEN(2979,3282)))</f>
        <v>102239541.35918589</v>
      </c>
      <c r="B4552">
        <v>201760639.65447557</v>
      </c>
    </row>
    <row r="4553" spans="1:2" x14ac:dyDescent="0.25">
      <c r="A4553">
        <f ca="1">28029.1162849042*((RANDBETWEEN(2979,3282)))</f>
        <v>84423698.250131428</v>
      </c>
      <c r="B4553">
        <v>171624908.7814686</v>
      </c>
    </row>
    <row r="4554" spans="1:2" x14ac:dyDescent="0.25">
      <c r="A4554">
        <f ca="1">31577.5374366771*((RANDBETWEEN(2979,3282)))</f>
        <v>95900981.195188314</v>
      </c>
      <c r="B4554">
        <v>174932486.46388921</v>
      </c>
    </row>
    <row r="4555" spans="1:2" x14ac:dyDescent="0.25">
      <c r="A4555">
        <f ca="1">27267.2454572459*((RANDBETWEEN(2979,3282)))</f>
        <v>85319211.035722464</v>
      </c>
      <c r="B4555">
        <v>154014218.31991369</v>
      </c>
    </row>
    <row r="4556" spans="1:2" x14ac:dyDescent="0.25">
      <c r="A4556">
        <f ca="1">28357.0597151075*((RANDBETWEEN(2979,3282)))</f>
        <v>85326392.682758555</v>
      </c>
      <c r="B4556">
        <v>194811719.02467471</v>
      </c>
    </row>
    <row r="4557" spans="1:2" x14ac:dyDescent="0.25">
      <c r="A4557">
        <f ca="1">26320.2569320936*((RANDBETWEEN(2979,3282)))</f>
        <v>85172351.432254836</v>
      </c>
      <c r="B4557">
        <v>145189126.74780655</v>
      </c>
    </row>
    <row r="4558" spans="1:2" x14ac:dyDescent="0.25">
      <c r="A4558">
        <f ca="1">25961.4418017001*((RANDBETWEEN(2979,3282)))</f>
        <v>77936248.288703784</v>
      </c>
      <c r="B4558">
        <v>148611022.96349692</v>
      </c>
    </row>
    <row r="4559" spans="1:2" x14ac:dyDescent="0.25">
      <c r="A4559">
        <f ca="1">31361.0413415135*((RANDBETWEEN(2979,3282)))</f>
        <v>97031061.910642698</v>
      </c>
      <c r="B4559">
        <v>185096434.52033156</v>
      </c>
    </row>
    <row r="4560" spans="1:2" x14ac:dyDescent="0.25">
      <c r="A4560">
        <f ca="1">27981.8151313539*((RANDBETWEEN(2979,3282)))</f>
        <v>84924808.923659131</v>
      </c>
      <c r="B4560">
        <v>169627116.92486018</v>
      </c>
    </row>
    <row r="4561" spans="1:2" x14ac:dyDescent="0.25">
      <c r="A4561">
        <f ca="1">29388.8001264896*((RANDBETWEEN(2979,3282)))</f>
        <v>94191104.405399188</v>
      </c>
      <c r="B4561">
        <v>161047584.80418956</v>
      </c>
    </row>
    <row r="4562" spans="1:2" x14ac:dyDescent="0.25">
      <c r="A4562">
        <f ca="1">27601.240117022*((RANDBETWEEN(2979,3282)))</f>
        <v>89069201.857630044</v>
      </c>
      <c r="B4562">
        <v>156295611.35330889</v>
      </c>
    </row>
    <row r="4563" spans="1:2" x14ac:dyDescent="0.25">
      <c r="A4563">
        <f ca="1">25884.7024040242*((RANDBETWEEN(2979,3282)))</f>
        <v>78016493.045728952</v>
      </c>
      <c r="B4563">
        <v>147246259.46724725</v>
      </c>
    </row>
    <row r="4564" spans="1:2" x14ac:dyDescent="0.25">
      <c r="A4564">
        <f ca="1">28217.963687757*((RANDBETWEEN(2979,3282)))</f>
        <v>88040046.705801964</v>
      </c>
      <c r="B4564">
        <v>167484949.35292953</v>
      </c>
    </row>
    <row r="4565" spans="1:2" x14ac:dyDescent="0.25">
      <c r="A4565">
        <f ca="1">29473.0728170731*((RANDBETWEEN(2979,3282)))</f>
        <v>91454944.951377749</v>
      </c>
      <c r="B4565">
        <v>193601756.59223789</v>
      </c>
    </row>
    <row r="4566" spans="1:2" x14ac:dyDescent="0.25">
      <c r="A4566">
        <f ca="1">27423.1544221563*((RANDBETWEEN(2979,3282)))</f>
        <v>87233054.216879085</v>
      </c>
      <c r="B4566">
        <v>157707226.21454811</v>
      </c>
    </row>
    <row r="4567" spans="1:2" x14ac:dyDescent="0.25">
      <c r="A4567">
        <f ca="1">25526.7638719809*((RANDBETWEEN(2979,3282)))</f>
        <v>78750066.545061097</v>
      </c>
      <c r="B4567">
        <v>196887913.52710491</v>
      </c>
    </row>
    <row r="4568" spans="1:2" x14ac:dyDescent="0.25">
      <c r="A4568">
        <f ca="1">25884.2846526905*((RANDBETWEEN(2979,3282)))</f>
        <v>80577778.123825565</v>
      </c>
      <c r="B4568">
        <v>149160250.06874764</v>
      </c>
    </row>
    <row r="4569" spans="1:2" x14ac:dyDescent="0.25">
      <c r="A4569">
        <f ca="1">29149.7576736736*((RANDBETWEEN(2979,3282)))</f>
        <v>87828219.870778561</v>
      </c>
      <c r="B4569">
        <v>148017118.31930739</v>
      </c>
    </row>
    <row r="4570" spans="1:2" x14ac:dyDescent="0.25">
      <c r="A4570">
        <f ca="1">27660.7893225155*((RANDBETWEEN(2979,3282)))</f>
        <v>84337746.644349903</v>
      </c>
      <c r="B4570">
        <v>162063788.36401314</v>
      </c>
    </row>
    <row r="4571" spans="1:2" x14ac:dyDescent="0.25">
      <c r="A4571">
        <f ca="1">31029.0527469344*((RANDBETWEEN(2979,3282)))</f>
        <v>100316927.53083889</v>
      </c>
      <c r="B4571">
        <v>191122374.6059536</v>
      </c>
    </row>
    <row r="4572" spans="1:2" x14ac:dyDescent="0.25">
      <c r="A4572">
        <f ca="1">28680.5973602124*((RANDBETWEEN(2979,3282)))</f>
        <v>89827630.932185143</v>
      </c>
      <c r="B4572">
        <v>202286719.77899528</v>
      </c>
    </row>
    <row r="4573" spans="1:2" x14ac:dyDescent="0.25">
      <c r="A4573">
        <f ca="1">27740.8274918932*((RANDBETWEEN(2979,3282)))</f>
        <v>90379615.968588024</v>
      </c>
      <c r="B4573">
        <v>178164185.7146112</v>
      </c>
    </row>
    <row r="4574" spans="1:2" x14ac:dyDescent="0.25">
      <c r="A4574">
        <f ca="1">26534.2166640672*((RANDBETWEEN(2979,3282)))</f>
        <v>85042164.408335492</v>
      </c>
      <c r="B4574">
        <v>153044557.16911072</v>
      </c>
    </row>
    <row r="4575" spans="1:2" x14ac:dyDescent="0.25">
      <c r="A4575">
        <f ca="1">27122.8148189095*((RANDBETWEEN(2979,3282)))</f>
        <v>86413288.013045758</v>
      </c>
      <c r="B4575">
        <v>159504457.90998423</v>
      </c>
    </row>
    <row r="4576" spans="1:2" x14ac:dyDescent="0.25">
      <c r="A4576">
        <f ca="1">29561.0702325915*((RANDBETWEEN(2979,3282)))</f>
        <v>91432390.229405582</v>
      </c>
      <c r="B4576">
        <v>165908627.19663164</v>
      </c>
    </row>
    <row r="4577" spans="1:2" x14ac:dyDescent="0.25">
      <c r="A4577">
        <f ca="1">28699.1123875268*((RANDBETWEEN(2979,3282)))</f>
        <v>87704487.456282005</v>
      </c>
      <c r="B4577">
        <v>162484801.98481256</v>
      </c>
    </row>
    <row r="4578" spans="1:2" x14ac:dyDescent="0.25">
      <c r="A4578">
        <f ca="1">30177.8777662981*((RANDBETWEEN(2979,3282)))</f>
        <v>93068575.031263441</v>
      </c>
      <c r="B4578">
        <v>150990830.66230562</v>
      </c>
    </row>
    <row r="4579" spans="1:2" x14ac:dyDescent="0.25">
      <c r="A4579">
        <f ca="1">26498.8375987943*((RANDBETWEEN(2979,3282)))</f>
        <v>86094723.358482614</v>
      </c>
      <c r="B4579">
        <v>147192247.72964084</v>
      </c>
    </row>
    <row r="4580" spans="1:2" x14ac:dyDescent="0.25">
      <c r="A4580">
        <f ca="1">30880.1268431263*((RANDBETWEEN(2979,3282)))</f>
        <v>99588409.069082201</v>
      </c>
      <c r="B4580">
        <v>195762486.57330602</v>
      </c>
    </row>
    <row r="4581" spans="1:2" x14ac:dyDescent="0.25">
      <c r="A4581">
        <f ca="1">25384.7052670577*((RANDBETWEEN(2979,3282)))</f>
        <v>82703369.76007399</v>
      </c>
      <c r="B4581">
        <v>158684728.99204442</v>
      </c>
    </row>
    <row r="4582" spans="1:2" x14ac:dyDescent="0.25">
      <c r="A4582">
        <f ca="1">27408.0417818674*((RANDBETWEEN(2979,3282)))</f>
        <v>85650130.568335652</v>
      </c>
      <c r="B4582">
        <v>172657689.22543073</v>
      </c>
    </row>
    <row r="4583" spans="1:2" x14ac:dyDescent="0.25">
      <c r="A4583">
        <f ca="1">32006.893665478*((RANDBETWEEN(2979,3282)))</f>
        <v>102742128.66618453</v>
      </c>
      <c r="B4583">
        <v>172926284.35012057</v>
      </c>
    </row>
    <row r="4584" spans="1:2" x14ac:dyDescent="0.25">
      <c r="A4584">
        <f ca="1">26560.3390701095*((RANDBETWEEN(2979,3282)))</f>
        <v>82124568.40477863</v>
      </c>
      <c r="B4584">
        <v>191505042.60309333</v>
      </c>
    </row>
    <row r="4585" spans="1:2" x14ac:dyDescent="0.25">
      <c r="A4585">
        <f ca="1">30798.9588575628*((RANDBETWEEN(2979,3282)))</f>
        <v>96462339.141886547</v>
      </c>
      <c r="B4585">
        <v>190257314.52846861</v>
      </c>
    </row>
    <row r="4586" spans="1:2" x14ac:dyDescent="0.25">
      <c r="A4586">
        <f ca="1">27384.8072361967*((RANDBETWEEN(2979,3282)))</f>
        <v>89849552.541961506</v>
      </c>
      <c r="B4586">
        <v>166950589.9097321</v>
      </c>
    </row>
    <row r="4587" spans="1:2" x14ac:dyDescent="0.25">
      <c r="A4587">
        <f ca="1">25481.7540085017*((RANDBETWEEN(2979,3282)))</f>
        <v>77260678.153777286</v>
      </c>
      <c r="B4587">
        <v>146149734.59027225</v>
      </c>
    </row>
    <row r="4588" spans="1:2" x14ac:dyDescent="0.25">
      <c r="A4588">
        <f ca="1">28639.2895023367*((RANDBETWEEN(2979,3282)))</f>
        <v>87034800.797601223</v>
      </c>
      <c r="B4588">
        <v>162837306.50729236</v>
      </c>
    </row>
    <row r="4589" spans="1:2" x14ac:dyDescent="0.25">
      <c r="A4589">
        <f ca="1">27038.1333656813*((RANDBETWEEN(2979,3282)))</f>
        <v>86494988.636814371</v>
      </c>
      <c r="B4589">
        <v>164010438.70713079</v>
      </c>
    </row>
    <row r="4590" spans="1:2" x14ac:dyDescent="0.25">
      <c r="A4590">
        <f ca="1">27341.5353394595*((RANDBETWEEN(2979,3282)))</f>
        <v>84184587.310195953</v>
      </c>
      <c r="B4590">
        <v>154781893.50068861</v>
      </c>
    </row>
    <row r="4591" spans="1:2" x14ac:dyDescent="0.25">
      <c r="A4591">
        <f ca="1">27643.3090305913*((RANDBETWEEN(2979,3282)))</f>
        <v>86717060.428964972</v>
      </c>
      <c r="B4591">
        <v>172253486.01974288</v>
      </c>
    </row>
    <row r="4592" spans="1:2" x14ac:dyDescent="0.25">
      <c r="A4592">
        <f ca="1">28984.4957758425*((RANDBETWEEN(2979,3282)))</f>
        <v>88257789.637440309</v>
      </c>
      <c r="B4592">
        <v>203592368.98569387</v>
      </c>
    </row>
    <row r="4593" spans="1:2" x14ac:dyDescent="0.25">
      <c r="A4593">
        <f ca="1">26787.8336832941*((RANDBETWEEN(2979,3282)))</f>
        <v>81274287.395114213</v>
      </c>
      <c r="B4593">
        <v>166244633.98798466</v>
      </c>
    </row>
    <row r="4594" spans="1:2" x14ac:dyDescent="0.25">
      <c r="A4594">
        <f ca="1">26016.5296514153*((RANDBETWEEN(2979,3282)))</f>
        <v>82914679.999060541</v>
      </c>
      <c r="B4594">
        <v>152422023.72881472</v>
      </c>
    </row>
    <row r="4595" spans="1:2" x14ac:dyDescent="0.25">
      <c r="A4595">
        <f ca="1">26871.4513287053*((RANDBETWEEN(2979,3282)))</f>
        <v>86741044.889060721</v>
      </c>
      <c r="B4595">
        <v>171508926.94287342</v>
      </c>
    </row>
    <row r="4596" spans="1:2" x14ac:dyDescent="0.25">
      <c r="A4596">
        <f ca="1">25473.6924433632*((RANDBETWEEN(2979,3282)))</f>
        <v>79044867.651756108</v>
      </c>
      <c r="B4596">
        <v>143409374.61163831</v>
      </c>
    </row>
    <row r="4597" spans="1:2" x14ac:dyDescent="0.25">
      <c r="A4597">
        <f ca="1">27601.3645344777*((RANDBETWEEN(2979,3282)))</f>
        <v>83411323.623191565</v>
      </c>
      <c r="B4597">
        <v>195961486.17794952</v>
      </c>
    </row>
    <row r="4598" spans="1:2" x14ac:dyDescent="0.25">
      <c r="A4598">
        <f ca="1">25364.2293985121*((RANDBETWEEN(2979,3282)))</f>
        <v>83067851.280127108</v>
      </c>
      <c r="B4598">
        <v>150400954.83925405</v>
      </c>
    </row>
    <row r="4599" spans="1:2" x14ac:dyDescent="0.25">
      <c r="A4599">
        <f ca="1">27750.0549682013*((RANDBETWEEN(2979,3282)))</f>
        <v>83805166.003968</v>
      </c>
      <c r="B4599">
        <v>198565309.02498519</v>
      </c>
    </row>
    <row r="4600" spans="1:2" x14ac:dyDescent="0.25">
      <c r="A4600">
        <f ca="1">26078.7434621827*((RANDBETWEEN(2979,3282)))</f>
        <v>81704703.267018467</v>
      </c>
      <c r="B4600">
        <v>193255350.06619823</v>
      </c>
    </row>
    <row r="4601" spans="1:2" x14ac:dyDescent="0.25">
      <c r="A4601">
        <f ca="1">25274.9599825793*((RANDBETWEEN(2979,3282)))</f>
        <v>80576572.424462736</v>
      </c>
      <c r="B4601">
        <v>156159528.12290996</v>
      </c>
    </row>
    <row r="4602" spans="1:2" x14ac:dyDescent="0.25">
      <c r="A4602">
        <f ca="1">29764.3753334473*((RANDBETWEEN(2979,3282)))</f>
        <v>97627151.093707189</v>
      </c>
      <c r="B4602">
        <v>184111312.76430154</v>
      </c>
    </row>
    <row r="4603" spans="1:2" x14ac:dyDescent="0.25">
      <c r="A4603">
        <f ca="1">28725.0498305656*((RANDBETWEEN(2979,3282)))</f>
        <v>86376224.84051089</v>
      </c>
      <c r="B4603">
        <v>166895974.43972126</v>
      </c>
    </row>
    <row r="4604" spans="1:2" x14ac:dyDescent="0.25">
      <c r="A4604">
        <f ca="1">25989.0262419623*((RANDBETWEEN(2979,3282)))</f>
        <v>81241696.032374099</v>
      </c>
      <c r="B4604">
        <v>163595909.01568794</v>
      </c>
    </row>
    <row r="4605" spans="1:2" x14ac:dyDescent="0.25">
      <c r="A4605">
        <f ca="1">26856.5727052371*((RANDBETWEEN(2979,3282)))</f>
        <v>84463921.157970607</v>
      </c>
      <c r="B4605">
        <v>175844416.66791642</v>
      </c>
    </row>
    <row r="4606" spans="1:2" x14ac:dyDescent="0.25">
      <c r="A4606">
        <f ca="1">32763.8313444737*((RANDBETWEEN(2979,3282)))</f>
        <v>98225966.370732084</v>
      </c>
      <c r="B4606">
        <v>181301261.47022504</v>
      </c>
    </row>
    <row r="4607" spans="1:2" x14ac:dyDescent="0.25">
      <c r="A4607">
        <f ca="1">26866.6754542039*((RANDBETWEEN(2979,3282)))</f>
        <v>80411959.634432137</v>
      </c>
      <c r="B4607">
        <v>149117874.07726032</v>
      </c>
    </row>
    <row r="4608" spans="1:2" x14ac:dyDescent="0.25">
      <c r="A4608">
        <f ca="1">25422.1803486558*((RANDBETWEEN(2979,3282)))</f>
        <v>81656043.279882565</v>
      </c>
      <c r="B4608">
        <v>176174557.82998395</v>
      </c>
    </row>
    <row r="4609" spans="1:2" x14ac:dyDescent="0.25">
      <c r="A4609">
        <f ca="1">32252.1890479547*((RANDBETWEEN(2979,3282)))</f>
        <v>100110794.80485144</v>
      </c>
      <c r="B4609">
        <v>201578645.51825491</v>
      </c>
    </row>
    <row r="4610" spans="1:2" x14ac:dyDescent="0.25">
      <c r="A4610">
        <f ca="1">28251.539337581*((RANDBETWEEN(2979,3282)))</f>
        <v>92693300.566603392</v>
      </c>
      <c r="B4610">
        <v>175120517.31967831</v>
      </c>
    </row>
    <row r="4611" spans="1:2" x14ac:dyDescent="0.25">
      <c r="A4611">
        <f ca="1">27873.8692621171*((RANDBETWEEN(2979,3282)))</f>
        <v>87468201.744523332</v>
      </c>
      <c r="B4611">
        <v>158487390.8087368</v>
      </c>
    </row>
    <row r="4612" spans="1:2" x14ac:dyDescent="0.25">
      <c r="A4612">
        <f ca="1">26264.0025060868*((RANDBETWEEN(2979,3282)))</f>
        <v>85358008.144782156</v>
      </c>
      <c r="B4612">
        <v>172728423.96133614</v>
      </c>
    </row>
    <row r="4613" spans="1:2" x14ac:dyDescent="0.25">
      <c r="A4613">
        <f ca="1">29075.1253855564*((RANDBETWEEN(2979,3282)))</f>
        <v>91877396.218358368</v>
      </c>
      <c r="B4613">
        <v>184994246.15011281</v>
      </c>
    </row>
    <row r="4614" spans="1:2" x14ac:dyDescent="0.25">
      <c r="A4614">
        <f ca="1">26201.8634193074*((RANDBETWEEN(2979,3282)))</f>
        <v>81540198.960884571</v>
      </c>
      <c r="B4614">
        <v>165189599.08808658</v>
      </c>
    </row>
    <row r="4615" spans="1:2" x14ac:dyDescent="0.25">
      <c r="A4615">
        <f ca="1">26902.2548463158*((RANDBETWEEN(2979,3282)))</f>
        <v>85871997.469439998</v>
      </c>
      <c r="B4615">
        <v>154163087.96652997</v>
      </c>
    </row>
    <row r="4616" spans="1:2" x14ac:dyDescent="0.25">
      <c r="A4616">
        <f ca="1">28945.5328008343*((RANDBETWEEN(2979,3282)))</f>
        <v>89354859.756175503</v>
      </c>
      <c r="B4616">
        <v>167812848.36526024</v>
      </c>
    </row>
    <row r="4617" spans="1:2" x14ac:dyDescent="0.25">
      <c r="A4617">
        <f ca="1">26041.6515222787*((RANDBETWEEN(2979,3282)))</f>
        <v>79583287.052083805</v>
      </c>
      <c r="B4617">
        <v>159517098.03018621</v>
      </c>
    </row>
    <row r="4618" spans="1:2" x14ac:dyDescent="0.25">
      <c r="A4618">
        <f ca="1">29739.2811146217*((RANDBETWEEN(2979,3282)))</f>
        <v>96028138.71911338</v>
      </c>
      <c r="B4618">
        <v>161303437.0858646</v>
      </c>
    </row>
    <row r="4619" spans="1:2" x14ac:dyDescent="0.25">
      <c r="A4619">
        <f ca="1">27817.0940971354*((RANDBETWEEN(2979,3282)))</f>
        <v>86427711.359799668</v>
      </c>
      <c r="B4619">
        <v>171960024.29337439</v>
      </c>
    </row>
    <row r="4620" spans="1:2" x14ac:dyDescent="0.25">
      <c r="A4620">
        <f ca="1">28465.6956188997*((RANDBETWEEN(2979,3282)))</f>
        <v>85169361.291747957</v>
      </c>
      <c r="B4620">
        <v>168375633.04608902</v>
      </c>
    </row>
    <row r="4621" spans="1:2" x14ac:dyDescent="0.25">
      <c r="A4621">
        <f ca="1">30244.2014125544*((RANDBETWEEN(2979,3282)))</f>
        <v>98596096.604927495</v>
      </c>
      <c r="B4621">
        <v>173544756.36317936</v>
      </c>
    </row>
    <row r="4622" spans="1:2" x14ac:dyDescent="0.25">
      <c r="A4622">
        <f ca="1">30258.9146260225*((RANDBETWEEN(2979,3282)))</f>
        <v>92350207.438620612</v>
      </c>
      <c r="B4622">
        <v>189661862.87688792</v>
      </c>
    </row>
    <row r="4623" spans="1:2" x14ac:dyDescent="0.25">
      <c r="A4623">
        <f ca="1">29909.7151680091*((RANDBETWEEN(2979,3282)))</f>
        <v>91643367.274779737</v>
      </c>
      <c r="B4623">
        <v>152138379.18762368</v>
      </c>
    </row>
    <row r="4624" spans="1:2" x14ac:dyDescent="0.25">
      <c r="A4624">
        <f ca="1">27358.8750613599*((RANDBETWEEN(2979,3282)))</f>
        <v>83225697.936656833</v>
      </c>
      <c r="B4624">
        <v>193591787.12007838</v>
      </c>
    </row>
    <row r="4625" spans="1:2" x14ac:dyDescent="0.25">
      <c r="A4625">
        <f ca="1">27562.4452782286*((RANDBETWEEN(2979,3282)))</f>
        <v>87317826.641428113</v>
      </c>
      <c r="B4625">
        <v>169588168.66695464</v>
      </c>
    </row>
    <row r="4626" spans="1:2" x14ac:dyDescent="0.25">
      <c r="A4626">
        <f ca="1">28428.9032943033*((RANDBETWEEN(2979,3282)))</f>
        <v>85883716.852090225</v>
      </c>
      <c r="B4626">
        <v>193384136.54727909</v>
      </c>
    </row>
    <row r="4627" spans="1:2" x14ac:dyDescent="0.25">
      <c r="A4627">
        <f ca="1">26995.8886601613*((RANDBETWEEN(2979,3282)))</f>
        <v>83930217.844441563</v>
      </c>
      <c r="B4627">
        <v>188056575.99260074</v>
      </c>
    </row>
    <row r="4628" spans="1:2" x14ac:dyDescent="0.25">
      <c r="A4628">
        <f ca="1">28238.772303733*((RANDBETWEEN(2979,3282)))</f>
        <v>85619957.624918506</v>
      </c>
      <c r="B4628">
        <v>149375250.35156888</v>
      </c>
    </row>
    <row r="4629" spans="1:2" x14ac:dyDescent="0.25">
      <c r="A4629">
        <f ca="1">26801.6946989596*((RANDBETWEEN(2979,3282)))</f>
        <v>80458687.486276865</v>
      </c>
      <c r="B4629">
        <v>180034242.9426983</v>
      </c>
    </row>
    <row r="4630" spans="1:2" x14ac:dyDescent="0.25">
      <c r="A4630">
        <f ca="1">27335.5514726736*((RANDBETWEEN(2979,3282)))</f>
        <v>87829126.881700397</v>
      </c>
      <c r="B4630">
        <v>197935237.48450023</v>
      </c>
    </row>
    <row r="4631" spans="1:2" x14ac:dyDescent="0.25">
      <c r="A4631">
        <f ca="1">27685.597802639*((RANDBETWEEN(2979,3282)))</f>
        <v>85382383.623338535</v>
      </c>
      <c r="B4631">
        <v>162148378.57800132</v>
      </c>
    </row>
    <row r="4632" spans="1:2" x14ac:dyDescent="0.25">
      <c r="A4632">
        <f ca="1">25781.4571090187*((RANDBETWEEN(2979,3282)))</f>
        <v>81572530.292935282</v>
      </c>
      <c r="B4632">
        <v>152456846.92396951</v>
      </c>
    </row>
    <row r="4633" spans="1:2" x14ac:dyDescent="0.25">
      <c r="A4633">
        <f ca="1">27487.1312656068*((RANDBETWEEN(2979,3282)))</f>
        <v>82598829.453148559</v>
      </c>
      <c r="B4633">
        <v>163954837.30846983</v>
      </c>
    </row>
    <row r="4634" spans="1:2" x14ac:dyDescent="0.25">
      <c r="A4634">
        <f ca="1">30851.2900928126*((RANDBETWEEN(2979,3282)))</f>
        <v>96965604.761710078</v>
      </c>
      <c r="B4634">
        <v>170999752.38926241</v>
      </c>
    </row>
    <row r="4635" spans="1:2" x14ac:dyDescent="0.25">
      <c r="A4635">
        <f ca="1">28639.1672541901*((RANDBETWEEN(2979,3282)))</f>
        <v>86633480.943924919</v>
      </c>
      <c r="B4635">
        <v>180948907.10413373</v>
      </c>
    </row>
    <row r="4636" spans="1:2" x14ac:dyDescent="0.25">
      <c r="A4636">
        <f ca="1">25234.5608168973*((RANDBETWEEN(2979,3282)))</f>
        <v>78227138.532381505</v>
      </c>
      <c r="B4636">
        <v>147673749.08827567</v>
      </c>
    </row>
    <row r="4637" spans="1:2" x14ac:dyDescent="0.25">
      <c r="A4637">
        <f ca="1">26403.0788733094*((RANDBETWEEN(2979,3282)))</f>
        <v>82007962.980499029</v>
      </c>
      <c r="B4637">
        <v>159982093.55926606</v>
      </c>
    </row>
    <row r="4638" spans="1:2" x14ac:dyDescent="0.25">
      <c r="A4638">
        <f ca="1">27387.4057046667*((RANDBETWEEN(2979,3282)))</f>
        <v>89803303.305602014</v>
      </c>
      <c r="B4638">
        <v>144042323.78594837</v>
      </c>
    </row>
    <row r="4639" spans="1:2" x14ac:dyDescent="0.25">
      <c r="A4639">
        <f ca="1">29706.0493524026*((RANDBETWEEN(2979,3282)))</f>
        <v>93247288.91719164</v>
      </c>
      <c r="B4639">
        <v>191516029.41997203</v>
      </c>
    </row>
    <row r="4640" spans="1:2" x14ac:dyDescent="0.25">
      <c r="A4640">
        <f ca="1">27223.4723828707*((RANDBETWEEN(2979,3282)))</f>
        <v>85808384.950808302</v>
      </c>
      <c r="B4640">
        <v>145705562.1089789</v>
      </c>
    </row>
    <row r="4641" spans="1:2" x14ac:dyDescent="0.25">
      <c r="A4641">
        <f ca="1">27366.4874311528*((RANDBETWEEN(2979,3282)))</f>
        <v>89707345.799318925</v>
      </c>
      <c r="B4641">
        <v>146370772.51456308</v>
      </c>
    </row>
    <row r="4642" spans="1:2" x14ac:dyDescent="0.25">
      <c r="A4642">
        <f ca="1">27673.620304188*((RANDBETWEEN(2979,3282)))</f>
        <v>89330446.341918796</v>
      </c>
      <c r="B4642">
        <v>176323623.8360042</v>
      </c>
    </row>
    <row r="4643" spans="1:2" x14ac:dyDescent="0.25">
      <c r="A4643">
        <f ca="1">28303.6351733308*((RANDBETWEEN(2979,3282)))</f>
        <v>89807434.404978499</v>
      </c>
      <c r="B4643">
        <v>144824045.57736373</v>
      </c>
    </row>
    <row r="4644" spans="1:2" x14ac:dyDescent="0.25">
      <c r="A4644">
        <f ca="1">26909.5939821952*((RANDBETWEEN(2979,3282)))</f>
        <v>84603763.480021834</v>
      </c>
      <c r="B4644">
        <v>188678013.26901019</v>
      </c>
    </row>
    <row r="4645" spans="1:2" x14ac:dyDescent="0.25">
      <c r="A4645">
        <f ca="1">33142.7130481317*((RANDBETWEEN(2979,3282)))</f>
        <v>100124136.11840589</v>
      </c>
      <c r="B4645">
        <v>148041041.53336769</v>
      </c>
    </row>
    <row r="4646" spans="1:2" x14ac:dyDescent="0.25">
      <c r="A4646">
        <f ca="1">26044.8186091813*((RANDBETWEEN(2979,3282)))</f>
        <v>81910954.525875106</v>
      </c>
      <c r="B4646">
        <v>142961636.88631284</v>
      </c>
    </row>
    <row r="4647" spans="1:2" x14ac:dyDescent="0.25">
      <c r="A4647">
        <f ca="1">26809.8942061128*((RANDBETWEEN(2979,3282)))</f>
        <v>87856023.313431516</v>
      </c>
      <c r="B4647">
        <v>146530689.84380752</v>
      </c>
    </row>
    <row r="4648" spans="1:2" x14ac:dyDescent="0.25">
      <c r="A4648">
        <f ca="1">30091.5826658611*((RANDBETWEEN(2979,3282)))</f>
        <v>94969034.893457636</v>
      </c>
      <c r="B4648">
        <v>176561472.03959948</v>
      </c>
    </row>
    <row r="4649" spans="1:2" x14ac:dyDescent="0.25">
      <c r="A4649">
        <f ca="1">27906.102347862*((RANDBETWEEN(2979,3282)))</f>
        <v>87178663.734720752</v>
      </c>
      <c r="B4649">
        <v>151292200.8521412</v>
      </c>
    </row>
    <row r="4650" spans="1:2" x14ac:dyDescent="0.25">
      <c r="A4650">
        <f ca="1">26524.0730714112*((RANDBETWEEN(2979,3282)))</f>
        <v>83471257.9557309</v>
      </c>
      <c r="B4650">
        <v>170150387.5227412</v>
      </c>
    </row>
    <row r="4651" spans="1:2" x14ac:dyDescent="0.25">
      <c r="A4651">
        <f ca="1">31864.9627959957*((RANDBETWEEN(2979,3282)))</f>
        <v>100788877.32373436</v>
      </c>
      <c r="B4651">
        <v>196705951.31869686</v>
      </c>
    </row>
    <row r="4652" spans="1:2" x14ac:dyDescent="0.25">
      <c r="A4652">
        <f ca="1">28059.8012712676*((RANDBETWEEN(2979,3282)))</f>
        <v>83674327.390919954</v>
      </c>
      <c r="B4652">
        <v>165832126.06934148</v>
      </c>
    </row>
    <row r="4653" spans="1:2" x14ac:dyDescent="0.25">
      <c r="A4653">
        <f ca="1">29869.4273908629*((RANDBETWEEN(2979,3282)))</f>
        <v>94267912.845563248</v>
      </c>
      <c r="B4653">
        <v>188384880.49344882</v>
      </c>
    </row>
    <row r="4654" spans="1:2" x14ac:dyDescent="0.25">
      <c r="A4654">
        <f ca="1">29251.1846215092*((RANDBETWEEN(2979,3282)))</f>
        <v>92345989.850104496</v>
      </c>
      <c r="B4654">
        <v>169087803.36229262</v>
      </c>
    </row>
    <row r="4655" spans="1:2" x14ac:dyDescent="0.25">
      <c r="A4655">
        <f ca="1">32097.2577742047*((RANDBETWEEN(2979,3282)))</f>
        <v>104508671.31281038</v>
      </c>
      <c r="B4655">
        <v>155928742.26016769</v>
      </c>
    </row>
    <row r="4656" spans="1:2" x14ac:dyDescent="0.25">
      <c r="A4656">
        <f ca="1">26874.0468459196*((RANDBETWEEN(2979,3282)))</f>
        <v>87421274.389776394</v>
      </c>
      <c r="B4656">
        <v>144741014.45117068</v>
      </c>
    </row>
    <row r="4657" spans="1:2" x14ac:dyDescent="0.25">
      <c r="A4657">
        <f ca="1">29545.8212269716*((RANDBETWEEN(2979,3282)))</f>
        <v>93985257.322996601</v>
      </c>
      <c r="B4657">
        <v>152288190.12345508</v>
      </c>
    </row>
    <row r="4658" spans="1:2" x14ac:dyDescent="0.25">
      <c r="A4658">
        <f ca="1">26896.0768642032*((RANDBETWEEN(2979,3282)))</f>
        <v>83700591.201400444</v>
      </c>
      <c r="B4658">
        <v>164001969.69017559</v>
      </c>
    </row>
    <row r="4659" spans="1:2" x14ac:dyDescent="0.25">
      <c r="A4659">
        <f ca="1">28400.0629457871*((RANDBETWEEN(2979,3282)))</f>
        <v>91618603.06310907</v>
      </c>
      <c r="B4659">
        <v>191843188.05732709</v>
      </c>
    </row>
    <row r="4660" spans="1:2" x14ac:dyDescent="0.25">
      <c r="A4660">
        <f ca="1">25875.6924177215*((RANDBETWEEN(2979,3282)))</f>
        <v>84147751.742430285</v>
      </c>
      <c r="B4660">
        <v>143883041.75197911</v>
      </c>
    </row>
    <row r="4661" spans="1:2" x14ac:dyDescent="0.25">
      <c r="A4661">
        <f ca="1">26504.7451686461*((RANDBETWEEN(2979,3282)))</f>
        <v>86431973.994954899</v>
      </c>
      <c r="B4661">
        <v>160204460.56966904</v>
      </c>
    </row>
    <row r="4662" spans="1:2" x14ac:dyDescent="0.25">
      <c r="A4662">
        <f ca="1">27702.2749087479*((RANDBETWEEN(2979,3282)))</f>
        <v>90060095.728339583</v>
      </c>
      <c r="B4662">
        <v>156222909.80825734</v>
      </c>
    </row>
    <row r="4663" spans="1:2" x14ac:dyDescent="0.25">
      <c r="A4663">
        <f ca="1">30139.5872781764*((RANDBETWEEN(2979,3282)))</f>
        <v>97411146.08306627</v>
      </c>
      <c r="B4663">
        <v>168233604.86920005</v>
      </c>
    </row>
    <row r="4664" spans="1:2" x14ac:dyDescent="0.25">
      <c r="A4664">
        <f ca="1">28113.9383313594*((RANDBETWEEN(2979,3282)))</f>
        <v>89261754.202066198</v>
      </c>
      <c r="B4664">
        <v>176349944.22041059</v>
      </c>
    </row>
    <row r="4665" spans="1:2" x14ac:dyDescent="0.25">
      <c r="A4665">
        <f ca="1">28377.4307109387*((RANDBETWEEN(2979,3282)))</f>
        <v>92141517.518418074</v>
      </c>
      <c r="B4665">
        <v>149764926.49445888</v>
      </c>
    </row>
    <row r="4666" spans="1:2" x14ac:dyDescent="0.25">
      <c r="A4666">
        <f ca="1">26380.7424465108*((RANDBETWEEN(2979,3282)))</f>
        <v>85842935.920945987</v>
      </c>
      <c r="B4666">
        <v>158343701.5013251</v>
      </c>
    </row>
    <row r="4667" spans="1:2" x14ac:dyDescent="0.25">
      <c r="A4667">
        <f ca="1">27363.3008090561*((RANDBETWEEN(2979,3282)))</f>
        <v>88000375.401924267</v>
      </c>
      <c r="B4667">
        <v>192069931.87885755</v>
      </c>
    </row>
    <row r="4668" spans="1:2" x14ac:dyDescent="0.25">
      <c r="A4668">
        <f ca="1">26835.3839792484*((RANDBETWEEN(2979,3282)))</f>
        <v>81257542.689164191</v>
      </c>
      <c r="B4668">
        <v>163856300.90232393</v>
      </c>
    </row>
    <row r="4669" spans="1:2" x14ac:dyDescent="0.25">
      <c r="A4669">
        <f ca="1">31263.1206100449*((RANDBETWEEN(2979,3282)))</f>
        <v>96759358.288088873</v>
      </c>
      <c r="B4669">
        <v>158144032.64768225</v>
      </c>
    </row>
    <row r="4670" spans="1:2" x14ac:dyDescent="0.25">
      <c r="A4670">
        <f ca="1">25406.0054436178*((RANDBETWEEN(2979,3282)))</f>
        <v>82620329.702645198</v>
      </c>
      <c r="B4670">
        <v>150389690.3158111</v>
      </c>
    </row>
    <row r="4671" spans="1:2" x14ac:dyDescent="0.25">
      <c r="A4671">
        <f ca="1">26583.328335881*((RANDBETWEEN(2979,3282)))</f>
        <v>81185484.737780482</v>
      </c>
      <c r="B4671">
        <v>177346475.96316049</v>
      </c>
    </row>
    <row r="4672" spans="1:2" x14ac:dyDescent="0.25">
      <c r="A4672">
        <f ca="1">29693.3637079451*((RANDBETWEEN(2979,3282)))</f>
        <v>92079120.858337656</v>
      </c>
      <c r="B4672">
        <v>191755547.16665828</v>
      </c>
    </row>
    <row r="4673" spans="1:2" x14ac:dyDescent="0.25">
      <c r="A4673">
        <f ca="1">27651.8704906522*((RANDBETWEEN(2979,3282)))</f>
        <v>85997317.225928262</v>
      </c>
      <c r="B4673">
        <v>158763235.0606246</v>
      </c>
    </row>
    <row r="4674" spans="1:2" x14ac:dyDescent="0.25">
      <c r="A4674">
        <f ca="1">26317.5927840548*((RANDBETWEEN(2979,3282)))</f>
        <v>81242408.924377307</v>
      </c>
      <c r="B4674">
        <v>158196815.62590337</v>
      </c>
    </row>
    <row r="4675" spans="1:2" x14ac:dyDescent="0.25">
      <c r="A4675">
        <f ca="1">27476.9907658808*((RANDBETWEEN(2979,3282)))</f>
        <v>84656608.549678713</v>
      </c>
      <c r="B4675">
        <v>153489860.13569993</v>
      </c>
    </row>
    <row r="4676" spans="1:2" x14ac:dyDescent="0.25">
      <c r="A4676">
        <f ca="1">29088.398535312*((RANDBETWEEN(2979,3282)))</f>
        <v>91046687.415526509</v>
      </c>
      <c r="B4676">
        <v>151448294.61769113</v>
      </c>
    </row>
    <row r="4677" spans="1:2" x14ac:dyDescent="0.25">
      <c r="A4677">
        <f ca="1">26301.3577239915*((RANDBETWEEN(2979,3282)))</f>
        <v>78614758.237010702</v>
      </c>
      <c r="B4677">
        <v>185319448.12966114</v>
      </c>
    </row>
    <row r="4678" spans="1:2" x14ac:dyDescent="0.25">
      <c r="A4678">
        <f ca="1">26918.5540130297*((RANDBETWEEN(2979,3282)))</f>
        <v>81617055.767505899</v>
      </c>
      <c r="B4678">
        <v>159052292.05098072</v>
      </c>
    </row>
    <row r="4679" spans="1:2" x14ac:dyDescent="0.25">
      <c r="A4679">
        <f ca="1">27189.3791441396*((RANDBETWEEN(2979,3282)))</f>
        <v>81105917.986968473</v>
      </c>
      <c r="B4679">
        <v>152174802.24821928</v>
      </c>
    </row>
    <row r="4680" spans="1:2" x14ac:dyDescent="0.25">
      <c r="A4680">
        <f ca="1">26206.0085443057*((RANDBETWEEN(2979,3282)))</f>
        <v>81998600.735132486</v>
      </c>
      <c r="B4680">
        <v>154302631.31940609</v>
      </c>
    </row>
    <row r="4681" spans="1:2" x14ac:dyDescent="0.25">
      <c r="A4681">
        <f ca="1">30873.3244364979*((RANDBETWEEN(2979,3282)))</f>
        <v>96263025.593000427</v>
      </c>
      <c r="B4681">
        <v>185047498.39075646</v>
      </c>
    </row>
    <row r="4682" spans="1:2" x14ac:dyDescent="0.25">
      <c r="A4682">
        <f ca="1">27422.2585180548*((RANDBETWEEN(2979,3282)))</f>
        <v>83528199.445994899</v>
      </c>
      <c r="B4682">
        <v>145030182.8995102</v>
      </c>
    </row>
    <row r="4683" spans="1:2" x14ac:dyDescent="0.25">
      <c r="A4683">
        <f ca="1">31539.5773742489*((RANDBETWEEN(2979,3282)))</f>
        <v>94871048.741740689</v>
      </c>
      <c r="B4683">
        <v>177838229.50192803</v>
      </c>
    </row>
    <row r="4684" spans="1:2" x14ac:dyDescent="0.25">
      <c r="A4684">
        <f ca="1">28639.8333868099*((RANDBETWEEN(2979,3282)))</f>
        <v>93995933.175510168</v>
      </c>
      <c r="B4684">
        <v>152075054.80511853</v>
      </c>
    </row>
    <row r="4685" spans="1:2" x14ac:dyDescent="0.25">
      <c r="A4685">
        <f ca="1">28310.0383946855*((RANDBETWEEN(2979,3282)))</f>
        <v>87166608.217236593</v>
      </c>
      <c r="B4685">
        <v>157186315.95666173</v>
      </c>
    </row>
    <row r="4686" spans="1:2" x14ac:dyDescent="0.25">
      <c r="A4686">
        <f ca="1">30794.3602386834*((RANDBETWEEN(2979,3282)))</f>
        <v>95154573.137531623</v>
      </c>
      <c r="B4686">
        <v>171808312.37360612</v>
      </c>
    </row>
    <row r="4687" spans="1:2" x14ac:dyDescent="0.25">
      <c r="A4687">
        <f ca="1">29046.1372225458*((RANDBETWEEN(2979,3282)))</f>
        <v>91640562.937132031</v>
      </c>
      <c r="B4687">
        <v>178210734.39794195</v>
      </c>
    </row>
    <row r="4688" spans="1:2" x14ac:dyDescent="0.25">
      <c r="A4688">
        <f ca="1">27622.8941033056*((RANDBETWEEN(2979,3282)))</f>
        <v>87564574.307478756</v>
      </c>
      <c r="B4688">
        <v>165880581.44177917</v>
      </c>
    </row>
    <row r="4689" spans="1:2" x14ac:dyDescent="0.25">
      <c r="A4689">
        <f ca="1">27344.1515464153*((RANDBETWEEN(2979,3282)))</f>
        <v>87282531.73615779</v>
      </c>
      <c r="B4689">
        <v>145034530.7012367</v>
      </c>
    </row>
    <row r="4690" spans="1:2" x14ac:dyDescent="0.25">
      <c r="A4690">
        <f ca="1">28055.182717693*((RANDBETWEEN(2979,3282)))</f>
        <v>85456086.558092833</v>
      </c>
      <c r="B4690">
        <v>160290987.52382705</v>
      </c>
    </row>
    <row r="4691" spans="1:2" x14ac:dyDescent="0.25">
      <c r="A4691">
        <f ca="1">28088.6983216247*((RANDBETWEEN(2979,3282)))</f>
        <v>85839062.070885092</v>
      </c>
      <c r="B4691">
        <v>153026272.25603151</v>
      </c>
    </row>
    <row r="4692" spans="1:2" x14ac:dyDescent="0.25">
      <c r="A4692">
        <f ca="1">26655.5687366622*((RANDBETWEEN(2979,3282)))</f>
        <v>84258252.776589066</v>
      </c>
      <c r="B4692">
        <v>146954839.49014178</v>
      </c>
    </row>
    <row r="4693" spans="1:2" x14ac:dyDescent="0.25">
      <c r="A4693">
        <f ca="1">26386.2352596928*((RANDBETWEEN(2979,3282)))</f>
        <v>82351440.245501488</v>
      </c>
      <c r="B4693">
        <v>155462879.59201485</v>
      </c>
    </row>
    <row r="4694" spans="1:2" x14ac:dyDescent="0.25">
      <c r="A4694">
        <f ca="1">28385.242211999*((RANDBETWEEN(2979,3282)))</f>
        <v>88505185.217012733</v>
      </c>
      <c r="B4694">
        <v>153590210.842123</v>
      </c>
    </row>
    <row r="4695" spans="1:2" x14ac:dyDescent="0.25">
      <c r="A4695">
        <f ca="1">26844.4816262759*((RANDBETWEEN(2979,3282)))</f>
        <v>83674249.229102001</v>
      </c>
      <c r="B4695">
        <v>170295491.15297079</v>
      </c>
    </row>
    <row r="4696" spans="1:2" x14ac:dyDescent="0.25">
      <c r="A4696">
        <f ca="1">26377.3681168554*((RANDBETWEEN(2979,3282)))</f>
        <v>83880030.611600146</v>
      </c>
      <c r="B4696">
        <v>181221526.35482118</v>
      </c>
    </row>
    <row r="4697" spans="1:2" x14ac:dyDescent="0.25">
      <c r="A4697">
        <f ca="1">31686.6284781772*((RANDBETWEEN(2979,3282)))</f>
        <v>100193119.24799643</v>
      </c>
      <c r="B4697">
        <v>186700111.83941165</v>
      </c>
    </row>
    <row r="4698" spans="1:2" x14ac:dyDescent="0.25">
      <c r="A4698">
        <f ca="1">28476.0904138516*((RANDBETWEEN(2979,3282)))</f>
        <v>91465202.409291402</v>
      </c>
      <c r="B4698">
        <v>203572452.83446687</v>
      </c>
    </row>
    <row r="4699" spans="1:2" x14ac:dyDescent="0.25">
      <c r="A4699">
        <f ca="1">27302.0391812798*((RANDBETWEEN(2979,3282)))</f>
        <v>82479460.366646215</v>
      </c>
      <c r="B4699">
        <v>164338545.42612678</v>
      </c>
    </row>
    <row r="4700" spans="1:2" x14ac:dyDescent="0.25">
      <c r="A4700">
        <f ca="1">26194.5979244286*((RANDBETWEEN(2979,3282)))</f>
        <v>80653167.009315535</v>
      </c>
      <c r="B4700">
        <v>144755544.53226733</v>
      </c>
    </row>
    <row r="4701" spans="1:2" x14ac:dyDescent="0.25">
      <c r="A4701">
        <f ca="1">26255.2163574105*((RANDBETWEEN(2979,3282)))</f>
        <v>78634372.990444332</v>
      </c>
      <c r="B4701">
        <v>151014075.84835112</v>
      </c>
    </row>
    <row r="4702" spans="1:2" x14ac:dyDescent="0.25">
      <c r="A4702">
        <f ca="1">26330.1345956303*((RANDBETWEEN(2979,3282)))</f>
        <v>83203225.322191775</v>
      </c>
      <c r="B4702">
        <v>146354027.63887006</v>
      </c>
    </row>
    <row r="4703" spans="1:2" x14ac:dyDescent="0.25">
      <c r="A4703">
        <f ca="1">27113.4676417516*((RANDBETWEEN(2979,3282)))</f>
        <v>83509480.336595044</v>
      </c>
      <c r="B4703">
        <v>183612637.22784305</v>
      </c>
    </row>
    <row r="4704" spans="1:2" x14ac:dyDescent="0.25">
      <c r="A4704">
        <f ca="1">25980.990071415*((RANDBETWEEN(2979,3282)))</f>
        <v>81112651.002957523</v>
      </c>
      <c r="B4704">
        <v>167596331.13360441</v>
      </c>
    </row>
    <row r="4705" spans="1:2" x14ac:dyDescent="0.25">
      <c r="A4705">
        <f ca="1">27652.5095468542*((RANDBETWEEN(2979,3282)))</f>
        <v>87575497.734887153</v>
      </c>
      <c r="B4705">
        <v>173177227.28356865</v>
      </c>
    </row>
    <row r="4706" spans="1:2" x14ac:dyDescent="0.25">
      <c r="A4706">
        <f ca="1">28048.8978320658*((RANDBETWEEN(2979,3282)))</f>
        <v>84090595.700533405</v>
      </c>
      <c r="B4706">
        <v>163113618.49990156</v>
      </c>
    </row>
    <row r="4707" spans="1:2" x14ac:dyDescent="0.25">
      <c r="A4707">
        <f ca="1">26352.5642752853*((RANDBETWEEN(2979,3282)))</f>
        <v>83563981.316929609</v>
      </c>
      <c r="B4707">
        <v>148497992.82556379</v>
      </c>
    </row>
    <row r="4708" spans="1:2" x14ac:dyDescent="0.25">
      <c r="A4708">
        <f ca="1">26815.2499439009*((RANDBETWEEN(2979,3282)))</f>
        <v>85781984.570538849</v>
      </c>
      <c r="B4708">
        <v>197988188.44282568</v>
      </c>
    </row>
    <row r="4709" spans="1:2" x14ac:dyDescent="0.25">
      <c r="A4709">
        <f ca="1">27683.9379697614*((RANDBETWEEN(2979,3282)))</f>
        <v>85294212.88483496</v>
      </c>
      <c r="B4709">
        <v>154272450.73283455</v>
      </c>
    </row>
    <row r="4710" spans="1:2" x14ac:dyDescent="0.25">
      <c r="A4710">
        <f ca="1">24842.2324551933*((RANDBETWEEN(2979,3282)))</f>
        <v>76712813.821636856</v>
      </c>
      <c r="B4710">
        <v>150815413.24113935</v>
      </c>
    </row>
    <row r="4711" spans="1:2" x14ac:dyDescent="0.25">
      <c r="A4711">
        <f ca="1">26887.9868707596*((RANDBETWEEN(2979,3282)))</f>
        <v>87520397.264322639</v>
      </c>
      <c r="B4711">
        <v>173350140.63067245</v>
      </c>
    </row>
    <row r="4712" spans="1:2" x14ac:dyDescent="0.25">
      <c r="A4712">
        <f ca="1">27424.9287982253*((RANDBETWEEN(2979,3282)))</f>
        <v>81753712.747509629</v>
      </c>
      <c r="B4712">
        <v>179028131.44914478</v>
      </c>
    </row>
    <row r="4713" spans="1:2" x14ac:dyDescent="0.25">
      <c r="A4713">
        <f ca="1">30473.139718222*((RANDBETWEEN(2979,3282)))</f>
        <v>97148369.421691716</v>
      </c>
      <c r="B4713">
        <v>176572554.07241559</v>
      </c>
    </row>
    <row r="4714" spans="1:2" x14ac:dyDescent="0.25">
      <c r="A4714">
        <f ca="1">26051.1778604284*((RANDBETWEEN(2979,3282)))</f>
        <v>84275560.378485888</v>
      </c>
      <c r="B4714">
        <v>157806175.72170031</v>
      </c>
    </row>
    <row r="4715" spans="1:2" x14ac:dyDescent="0.25">
      <c r="A4715">
        <f ca="1">26418.2047418552*((RANDBETWEEN(2979,3282)))</f>
        <v>84934528.245064452</v>
      </c>
      <c r="B4715">
        <v>168020081.33710665</v>
      </c>
    </row>
    <row r="4716" spans="1:2" x14ac:dyDescent="0.25">
      <c r="A4716">
        <f ca="1">29645.8649534405*((RANDBETWEEN(2979,3282)))</f>
        <v>91783597.895851865</v>
      </c>
      <c r="B4716">
        <v>190153749.79771137</v>
      </c>
    </row>
    <row r="4717" spans="1:2" x14ac:dyDescent="0.25">
      <c r="A4717">
        <f ca="1">28943.0592205083*((RANDBETWEEN(2979,3282)))</f>
        <v>88131615.326447815</v>
      </c>
      <c r="B4717">
        <v>200532870.76118135</v>
      </c>
    </row>
    <row r="4718" spans="1:2" x14ac:dyDescent="0.25">
      <c r="A4718">
        <f ca="1">27340.2344151015*((RANDBETWEEN(2979,3282)))</f>
        <v>85957697.001079142</v>
      </c>
      <c r="B4718">
        <v>170688949.53958252</v>
      </c>
    </row>
    <row r="4719" spans="1:2" x14ac:dyDescent="0.25">
      <c r="A4719">
        <f ca="1">32868.3838147849*((RANDBETWEEN(2979,3282)))</f>
        <v>100873069.92757477</v>
      </c>
      <c r="B4719">
        <v>163748860.97233182</v>
      </c>
    </row>
    <row r="4720" spans="1:2" x14ac:dyDescent="0.25">
      <c r="A4720">
        <f ca="1">25956.1677381515*((RANDBETWEEN(2979,3282)))</f>
        <v>80204558.310888007</v>
      </c>
      <c r="B4720">
        <v>169961681.71292871</v>
      </c>
    </row>
    <row r="4721" spans="1:2" x14ac:dyDescent="0.25">
      <c r="A4721">
        <f ca="1">28603.798391104*((RANDBETWEEN(2979,3282)))</f>
        <v>89587096.560937583</v>
      </c>
      <c r="B4721">
        <v>183417284.0104844</v>
      </c>
    </row>
    <row r="4722" spans="1:2" x14ac:dyDescent="0.25">
      <c r="A4722">
        <f ca="1">26766.8133658978*((RANDBETWEEN(2979,3282)))</f>
        <v>84797264.743164107</v>
      </c>
      <c r="B4722">
        <v>150718818.91183251</v>
      </c>
    </row>
    <row r="4723" spans="1:2" x14ac:dyDescent="0.25">
      <c r="A4723">
        <f ca="1">25748.2630488239*((RANDBETWEEN(2979,3282)))</f>
        <v>82342945.230138749</v>
      </c>
      <c r="B4723">
        <v>155020089.65509462</v>
      </c>
    </row>
    <row r="4724" spans="1:2" x14ac:dyDescent="0.25">
      <c r="A4724">
        <f ca="1">30310.1279691117*((RANDBETWEEN(2979,3282)))</f>
        <v>96628687.965528116</v>
      </c>
      <c r="B4724">
        <v>149500123.14451814</v>
      </c>
    </row>
    <row r="4725" spans="1:2" x14ac:dyDescent="0.25">
      <c r="A4725">
        <f ca="1">30579.8163908339*((RANDBETWEEN(2979,3282)))</f>
        <v>96357001.447517708</v>
      </c>
      <c r="B4725">
        <v>146364357.53251523</v>
      </c>
    </row>
    <row r="4726" spans="1:2" x14ac:dyDescent="0.25">
      <c r="A4726">
        <f ca="1">31192.3662843342*((RANDBETWEEN(2979,3282)))</f>
        <v>98099991.964231148</v>
      </c>
      <c r="B4726">
        <v>185099900.88556582</v>
      </c>
    </row>
    <row r="4727" spans="1:2" x14ac:dyDescent="0.25">
      <c r="A4727">
        <f ca="1">26259.7443066548*((RANDBETWEEN(2979,3282)))</f>
        <v>80801233.231576771</v>
      </c>
      <c r="B4727">
        <v>170587255.26808503</v>
      </c>
    </row>
    <row r="4728" spans="1:2" x14ac:dyDescent="0.25">
      <c r="A4728">
        <f ca="1">27517.7654516348*((RANDBETWEEN(2979,3282)))</f>
        <v>87781671.79071486</v>
      </c>
      <c r="B4728">
        <v>155760956.20743221</v>
      </c>
    </row>
    <row r="4729" spans="1:2" x14ac:dyDescent="0.25">
      <c r="A4729">
        <f ca="1">33446.8117267518*((RANDBETWEEN(2979,3282)))</f>
        <v>101812094.89623244</v>
      </c>
      <c r="B4729">
        <v>150852742.69756612</v>
      </c>
    </row>
    <row r="4730" spans="1:2" x14ac:dyDescent="0.25">
      <c r="A4730">
        <f ca="1">31874.0054624512*((RANDBETWEEN(2979,3282)))</f>
        <v>100721857.26134568</v>
      </c>
      <c r="B4730">
        <v>165501386.48227534</v>
      </c>
    </row>
    <row r="4731" spans="1:2" x14ac:dyDescent="0.25">
      <c r="A4731">
        <f ca="1">27766.2731990792*((RANDBETWEEN(2979,3282)))</f>
        <v>85186926.174775124</v>
      </c>
      <c r="B4731">
        <v>159850466.89894351</v>
      </c>
    </row>
    <row r="4732" spans="1:2" x14ac:dyDescent="0.25">
      <c r="A4732">
        <f ca="1">27227.6771114187*((RANDBETWEEN(2979,3282)))</f>
        <v>87155794.433651134</v>
      </c>
      <c r="B4732">
        <v>164586771.39476174</v>
      </c>
    </row>
    <row r="4733" spans="1:2" x14ac:dyDescent="0.25">
      <c r="A4733">
        <f ca="1">31520.2236081298*((RANDBETWEEN(2979,3282)))</f>
        <v>96514924.688093454</v>
      </c>
      <c r="B4733">
        <v>171292049.27346519</v>
      </c>
    </row>
    <row r="4734" spans="1:2" x14ac:dyDescent="0.25">
      <c r="A4734">
        <f ca="1">26286.2410925577*((RANDBETWEEN(2979,3282)))</f>
        <v>80173035.332301065</v>
      </c>
      <c r="B4734">
        <v>144289564.72041273</v>
      </c>
    </row>
    <row r="4735" spans="1:2" x14ac:dyDescent="0.25">
      <c r="A4735">
        <f ca="1">27280.7586284454*((RANDBETWEEN(2979,3282)))</f>
        <v>88253254.163020924</v>
      </c>
      <c r="B4735">
        <v>146842825.88550246</v>
      </c>
    </row>
    <row r="4736" spans="1:2" x14ac:dyDescent="0.25">
      <c r="A4736">
        <f ca="1">26523.1674394093*((RANDBETWEEN(2979,3282)))</f>
        <v>83203176.257427111</v>
      </c>
      <c r="B4736">
        <v>150168773.52719712</v>
      </c>
    </row>
    <row r="4737" spans="1:2" x14ac:dyDescent="0.25">
      <c r="A4737">
        <f ca="1">25935.6371873004*((RANDBETWEEN(2979,3282)))</f>
        <v>83694301.203418314</v>
      </c>
      <c r="B4737">
        <v>147275683.44944483</v>
      </c>
    </row>
    <row r="4738" spans="1:2" x14ac:dyDescent="0.25">
      <c r="A4738">
        <f ca="1">28270.3511614035*((RANDBETWEEN(2979,3282)))</f>
        <v>84245646.460982352</v>
      </c>
      <c r="B4738">
        <v>170213716.56593412</v>
      </c>
    </row>
    <row r="4739" spans="1:2" x14ac:dyDescent="0.25">
      <c r="A4739">
        <f ca="1">27191.0485732466*((RANDBETWEEN(2979,3282)))</f>
        <v>86576298.657217205</v>
      </c>
      <c r="B4739">
        <v>176298144.63092667</v>
      </c>
    </row>
    <row r="4740" spans="1:2" x14ac:dyDescent="0.25">
      <c r="A4740">
        <f ca="1">26516.432649835*((RANDBETWEEN(2979,3282)))</f>
        <v>86072340.381364256</v>
      </c>
      <c r="B4740">
        <v>174567219.67084536</v>
      </c>
    </row>
    <row r="4741" spans="1:2" x14ac:dyDescent="0.25">
      <c r="A4741">
        <f ca="1">29202.2070307256*((RANDBETWEEN(2979,3282)))</f>
        <v>93096636.013953149</v>
      </c>
      <c r="B4741">
        <v>198952707.16110921</v>
      </c>
    </row>
    <row r="4742" spans="1:2" x14ac:dyDescent="0.25">
      <c r="A4742">
        <f ca="1">27176.8235212816*((RANDBETWEEN(2979,3282)))</f>
        <v>81231525.505110562</v>
      </c>
      <c r="B4742">
        <v>188965230.68268293</v>
      </c>
    </row>
    <row r="4743" spans="1:2" x14ac:dyDescent="0.25">
      <c r="A4743">
        <f ca="1">27480.2985320871*((RANDBETWEEN(2979,3282)))</f>
        <v>87607191.720293567</v>
      </c>
      <c r="B4743">
        <v>168977345.46424624</v>
      </c>
    </row>
    <row r="4744" spans="1:2" x14ac:dyDescent="0.25">
      <c r="A4744">
        <f ca="1">26657.3446082102*((RANDBETWEEN(2979,3282)))</f>
        <v>87089544.835022703</v>
      </c>
      <c r="B4744">
        <v>155219390.9991743</v>
      </c>
    </row>
    <row r="4745" spans="1:2" x14ac:dyDescent="0.25">
      <c r="A4745">
        <f ca="1">27437.4885356508*((RANDBETWEEN(2979,3282)))</f>
        <v>82916090.354736805</v>
      </c>
      <c r="B4745">
        <v>150729061.74633625</v>
      </c>
    </row>
    <row r="4746" spans="1:2" x14ac:dyDescent="0.25">
      <c r="A4746">
        <f ca="1">31184.8656372135*((RANDBETWEEN(2979,3282)))</f>
        <v>101600292.24604154</v>
      </c>
      <c r="B4746">
        <v>163413138.6739378</v>
      </c>
    </row>
    <row r="4747" spans="1:2" x14ac:dyDescent="0.25">
      <c r="A4747">
        <f ca="1">26561.5515631361*((RANDBETWEEN(2979,3282)))</f>
        <v>85156334.311414436</v>
      </c>
      <c r="B4747">
        <v>191674089.11574075</v>
      </c>
    </row>
    <row r="4748" spans="1:2" x14ac:dyDescent="0.25">
      <c r="A4748">
        <f ca="1">27490.4693946261*((RANDBETWEEN(2979,3282)))</f>
        <v>85165474.184551582</v>
      </c>
      <c r="B4748">
        <v>156500123.82487288</v>
      </c>
    </row>
    <row r="4749" spans="1:2" x14ac:dyDescent="0.25">
      <c r="A4749">
        <f ca="1">27095.3996841372*((RANDBETWEEN(2979,3282)))</f>
        <v>82695159.835986614</v>
      </c>
      <c r="B4749">
        <v>145197260.47829372</v>
      </c>
    </row>
    <row r="4750" spans="1:2" x14ac:dyDescent="0.25">
      <c r="A4750">
        <f ca="1">30405.2086501265*((RANDBETWEEN(2979,3282)))</f>
        <v>96293295.794950724</v>
      </c>
      <c r="B4750">
        <v>143205505.88983586</v>
      </c>
    </row>
    <row r="4751" spans="1:2" x14ac:dyDescent="0.25">
      <c r="A4751">
        <f ca="1">26863.8503950222*((RANDBETWEEN(2979,3282)))</f>
        <v>84352490.240369633</v>
      </c>
      <c r="B4751">
        <v>157630945.10018092</v>
      </c>
    </row>
    <row r="4752" spans="1:2" x14ac:dyDescent="0.25">
      <c r="A4752">
        <f ca="1">32231.0535411533*((RANDBETWEEN(2979,3282)))</f>
        <v>98723716.996552467</v>
      </c>
      <c r="B4752">
        <v>172651357.60804132</v>
      </c>
    </row>
    <row r="4753" spans="1:2" x14ac:dyDescent="0.25">
      <c r="A4753">
        <f ca="1">25438.3352510286*((RANDBETWEEN(2979,3282)))</f>
        <v>82954411.253604248</v>
      </c>
      <c r="B4753">
        <v>143956537.52596834</v>
      </c>
    </row>
    <row r="4754" spans="1:2" x14ac:dyDescent="0.25">
      <c r="A4754">
        <f ca="1">31837.3049766198*((RANDBETWEEN(2979,3282)))</f>
        <v>102388772.80480939</v>
      </c>
      <c r="B4754">
        <v>159733946.88152</v>
      </c>
    </row>
    <row r="4755" spans="1:2" x14ac:dyDescent="0.25">
      <c r="A4755">
        <f ca="1">30633.5288752452*((RANDBETWEEN(2979,3282)))</f>
        <v>98272360.631786749</v>
      </c>
      <c r="B4755">
        <v>151527017.42147613</v>
      </c>
    </row>
    <row r="4756" spans="1:2" x14ac:dyDescent="0.25">
      <c r="A4756">
        <f ca="1">29541.5592165148*((RANDBETWEEN(2979,3282)))</f>
        <v>90338088.084102303</v>
      </c>
      <c r="B4756">
        <v>201979729.85734117</v>
      </c>
    </row>
    <row r="4757" spans="1:2" x14ac:dyDescent="0.25">
      <c r="A4757">
        <f ca="1">28614.6629765149*((RANDBETWEEN(2979,3282)))</f>
        <v>92167829.44735454</v>
      </c>
      <c r="B4757">
        <v>161809104.98037279</v>
      </c>
    </row>
    <row r="4758" spans="1:2" x14ac:dyDescent="0.25">
      <c r="A4758">
        <f ca="1">26776.079405094*((RANDBETWEEN(2979,3282)))</f>
        <v>80783431.565168709</v>
      </c>
      <c r="B4758">
        <v>176081327.15146643</v>
      </c>
    </row>
    <row r="4759" spans="1:2" x14ac:dyDescent="0.25">
      <c r="A4759">
        <f ca="1">26813.3545905221*((RANDBETWEEN(2979,3282)))</f>
        <v>84998334.05195494</v>
      </c>
      <c r="B4759">
        <v>179142828.97071761</v>
      </c>
    </row>
    <row r="4760" spans="1:2" x14ac:dyDescent="0.25">
      <c r="A4760">
        <f ca="1">26257.5321672273*((RANDBETWEEN(2979,3282)))</f>
        <v>78588793.776511177</v>
      </c>
      <c r="B4760">
        <v>157149262.66112536</v>
      </c>
    </row>
    <row r="4761" spans="1:2" x14ac:dyDescent="0.25">
      <c r="A4761">
        <f ca="1">27633.3995332643*((RANDBETWEEN(2979,3282)))</f>
        <v>88371611.707379237</v>
      </c>
      <c r="B4761">
        <v>167247023.36290208</v>
      </c>
    </row>
    <row r="4762" spans="1:2" x14ac:dyDescent="0.25">
      <c r="A4762">
        <f ca="1">27634.8243089187*((RANDBETWEEN(2979,3282)))</f>
        <v>88155089.545450613</v>
      </c>
      <c r="B4762">
        <v>175282414.58746564</v>
      </c>
    </row>
    <row r="4763" spans="1:2" x14ac:dyDescent="0.25">
      <c r="A4763">
        <f ca="1">29382.1437116796*((RANDBETWEEN(2979,3282)))</f>
        <v>91055263.36249508</v>
      </c>
      <c r="B4763">
        <v>177998419.05065376</v>
      </c>
    </row>
    <row r="4764" spans="1:2" x14ac:dyDescent="0.25">
      <c r="A4764">
        <f ca="1">31406.750662654*((RANDBETWEEN(2979,3282)))</f>
        <v>102134753.15495084</v>
      </c>
      <c r="B4764">
        <v>201137084.78776211</v>
      </c>
    </row>
    <row r="4765" spans="1:2" x14ac:dyDescent="0.25">
      <c r="A4765">
        <f ca="1">28418.4397900235*((RANDBETWEEN(2979,3282)))</f>
        <v>90910588.888285279</v>
      </c>
      <c r="B4765">
        <v>200895484.01197439</v>
      </c>
    </row>
    <row r="4766" spans="1:2" x14ac:dyDescent="0.25">
      <c r="A4766">
        <f ca="1">26856.7418765807*((RANDBETWEEN(2979,3282)))</f>
        <v>81778779.014188275</v>
      </c>
      <c r="B4766">
        <v>145235804.28748322</v>
      </c>
    </row>
    <row r="4767" spans="1:2" x14ac:dyDescent="0.25">
      <c r="A4767">
        <f ca="1">28030.3123096546*((RANDBETWEEN(2979,3282)))</f>
        <v>91238666.567925826</v>
      </c>
      <c r="B4767">
        <v>201025587.21318921</v>
      </c>
    </row>
    <row r="4768" spans="1:2" x14ac:dyDescent="0.25">
      <c r="A4768">
        <f ca="1">27238.4820076644*((RANDBETWEEN(2979,3282)))</f>
        <v>82124023.253108069</v>
      </c>
      <c r="B4768">
        <v>198460401.7849395</v>
      </c>
    </row>
    <row r="4769" spans="1:2" x14ac:dyDescent="0.25">
      <c r="A4769">
        <f ca="1">32013.3051405327*((RANDBETWEEN(2979,3282)))</f>
        <v>103659082.04504502</v>
      </c>
      <c r="B4769">
        <v>202016985.56857955</v>
      </c>
    </row>
    <row r="4770" spans="1:2" x14ac:dyDescent="0.25">
      <c r="A4770">
        <f ca="1">29393.485322949*((RANDBETWEEN(2979,3282)))</f>
        <v>94264907.43069759</v>
      </c>
      <c r="B4770">
        <v>181697124.53830054</v>
      </c>
    </row>
    <row r="4771" spans="1:2" x14ac:dyDescent="0.25">
      <c r="A4771">
        <f ca="1">26949.9065206778*((RANDBETWEEN(2979,3282)))</f>
        <v>84272357.6901595</v>
      </c>
      <c r="B4771">
        <v>172888316.09009844</v>
      </c>
    </row>
    <row r="4772" spans="1:2" x14ac:dyDescent="0.25">
      <c r="A4772">
        <f ca="1">28157.9250828963*((RANDBETWEEN(2979,3282)))</f>
        <v>85600092.252004713</v>
      </c>
      <c r="B4772">
        <v>157267911.73048589</v>
      </c>
    </row>
    <row r="4773" spans="1:2" x14ac:dyDescent="0.25">
      <c r="A4773">
        <f ca="1">28400.995909603*((RANDBETWEEN(2979,3282)))</f>
        <v>89292731.139791787</v>
      </c>
      <c r="B4773">
        <v>158907516.4885374</v>
      </c>
    </row>
    <row r="4774" spans="1:2" x14ac:dyDescent="0.25">
      <c r="A4774">
        <f ca="1">28185.4170519265*((RANDBETWEEN(2979,3282)))</f>
        <v>86303747.012999058</v>
      </c>
      <c r="B4774">
        <v>183391329.10827398</v>
      </c>
    </row>
    <row r="4775" spans="1:2" x14ac:dyDescent="0.25">
      <c r="A4775">
        <f ca="1">26273.6748136914*((RANDBETWEEN(2979,3282)))</f>
        <v>78873571.790701464</v>
      </c>
      <c r="B4775">
        <v>146634006.60495284</v>
      </c>
    </row>
    <row r="4776" spans="1:2" x14ac:dyDescent="0.25">
      <c r="A4776">
        <f ca="1">32534.51432143*((RANDBETWEEN(2979,3282)))</f>
        <v>106485465.3740405</v>
      </c>
      <c r="B4776">
        <v>198774763.35534421</v>
      </c>
    </row>
    <row r="4777" spans="1:2" x14ac:dyDescent="0.25">
      <c r="A4777">
        <f ca="1">27038.6332682954*((RANDBETWEEN(2979,3282)))</f>
        <v>81440363.404105633</v>
      </c>
      <c r="B4777">
        <v>169034997.9770644</v>
      </c>
    </row>
    <row r="4778" spans="1:2" x14ac:dyDescent="0.25">
      <c r="A4778">
        <f ca="1">28520.5530396672*((RANDBETWEEN(2979,3282)))</f>
        <v>87329933.407460883</v>
      </c>
      <c r="B4778">
        <v>186805046.57212618</v>
      </c>
    </row>
    <row r="4779" spans="1:2" x14ac:dyDescent="0.25">
      <c r="A4779">
        <f ca="1">26185.4372839441*((RANDBETWEEN(2979,3282)))</f>
        <v>84081439.118744612</v>
      </c>
      <c r="B4779">
        <v>179250599.58943263</v>
      </c>
    </row>
    <row r="4780" spans="1:2" x14ac:dyDescent="0.25">
      <c r="A4780">
        <f ca="1">25161.6137600085*((RANDBETWEEN(2979,3282)))</f>
        <v>81498466.968667641</v>
      </c>
      <c r="B4780">
        <v>160552695.69906282</v>
      </c>
    </row>
    <row r="4781" spans="1:2" x14ac:dyDescent="0.25">
      <c r="A4781">
        <f ca="1">24905.3675107649*((RANDBETWEEN(2979,3282)))</f>
        <v>76957585.608263433</v>
      </c>
      <c r="B4781">
        <v>142936196.17853281</v>
      </c>
    </row>
    <row r="4782" spans="1:2" x14ac:dyDescent="0.25">
      <c r="A4782">
        <f ca="1">27190.7465843911*((RANDBETWEEN(2979,3282)))</f>
        <v>82605488.123380214</v>
      </c>
      <c r="B4782">
        <v>153378325.00674742</v>
      </c>
    </row>
    <row r="4783" spans="1:2" x14ac:dyDescent="0.25">
      <c r="A4783">
        <f ca="1">33141.1302710227*((RANDBETWEEN(2979,3282)))</f>
        <v>103864302.26938514</v>
      </c>
      <c r="B4783">
        <v>158211558.57793278</v>
      </c>
    </row>
    <row r="4784" spans="1:2" x14ac:dyDescent="0.25">
      <c r="A4784">
        <f ca="1">26655.836499025*((RANDBETWEEN(2979,3282)))</f>
        <v>80953775.447539032</v>
      </c>
      <c r="B4784">
        <v>201443451.50809383</v>
      </c>
    </row>
    <row r="4785" spans="1:2" x14ac:dyDescent="0.25">
      <c r="A4785">
        <f ca="1">28211.5398385308*((RANDBETWEEN(2979,3282)))</f>
        <v>89487004.367819667</v>
      </c>
      <c r="B4785">
        <v>152811603.76426831</v>
      </c>
    </row>
    <row r="4786" spans="1:2" x14ac:dyDescent="0.25">
      <c r="A4786">
        <f ca="1">27024.3162168338*((RANDBETWEEN(2979,3282)))</f>
        <v>86666982.107386068</v>
      </c>
      <c r="B4786">
        <v>145812356.22910962</v>
      </c>
    </row>
    <row r="4787" spans="1:2" x14ac:dyDescent="0.25">
      <c r="A4787">
        <f ca="1">33824.3473148984*((RANDBETWEEN(2979,3282)))</f>
        <v>109218817.47980678</v>
      </c>
      <c r="B4787">
        <v>152397542.17954695</v>
      </c>
    </row>
    <row r="4788" spans="1:2" x14ac:dyDescent="0.25">
      <c r="A4788">
        <f ca="1">25910.2185096026*((RANDBETWEEN(2979,3282)))</f>
        <v>78663423.395153612</v>
      </c>
      <c r="B4788">
        <v>186612043.69050783</v>
      </c>
    </row>
    <row r="4789" spans="1:2" x14ac:dyDescent="0.25">
      <c r="A4789">
        <f ca="1">27269.3863382718*((RANDBETWEEN(2979,3282)))</f>
        <v>86852995.487395808</v>
      </c>
      <c r="B4789">
        <v>169431902.85250208</v>
      </c>
    </row>
    <row r="4790" spans="1:2" x14ac:dyDescent="0.25">
      <c r="A4790">
        <f ca="1">25527.7552978352*((RANDBETWEEN(2979,3282)))</f>
        <v>79059458.157395467</v>
      </c>
      <c r="B4790">
        <v>159664443.01415396</v>
      </c>
    </row>
    <row r="4791" spans="1:2" x14ac:dyDescent="0.25">
      <c r="A4791">
        <f ca="1">26430.9348781914*((RANDBETWEEN(2979,3282)))</f>
        <v>85054748.438020021</v>
      </c>
      <c r="B4791">
        <v>197427144.13030654</v>
      </c>
    </row>
    <row r="4792" spans="1:2" x14ac:dyDescent="0.25">
      <c r="A4792">
        <f ca="1">27885.5188412956*((RANDBETWEEN(2979,3282)))</f>
        <v>85971054.5877143</v>
      </c>
      <c r="B4792">
        <v>158573953.14666885</v>
      </c>
    </row>
    <row r="4793" spans="1:2" x14ac:dyDescent="0.25">
      <c r="A4793">
        <f ca="1">25455.6922174333*((RANDBETWEEN(2979,3282)))</f>
        <v>75959785.576821104</v>
      </c>
      <c r="B4793">
        <v>151576327.2637696</v>
      </c>
    </row>
    <row r="4794" spans="1:2" x14ac:dyDescent="0.25">
      <c r="A4794">
        <f ca="1">29495.145249081*((RANDBETWEEN(2979,3282)))</f>
        <v>94649921.104300901</v>
      </c>
      <c r="B4794">
        <v>187770353.51990306</v>
      </c>
    </row>
    <row r="4795" spans="1:2" x14ac:dyDescent="0.25">
      <c r="A4795">
        <f ca="1">27283.427707224*((RANDBETWEEN(2979,3282)))</f>
        <v>84469492.181565464</v>
      </c>
      <c r="B4795">
        <v>172811379.59759486</v>
      </c>
    </row>
    <row r="4796" spans="1:2" x14ac:dyDescent="0.25">
      <c r="A4796">
        <f ca="1">27029.6268971865*((RANDBETWEEN(2979,3282)))</f>
        <v>87008368.982043326</v>
      </c>
      <c r="B4796">
        <v>143652465.31873992</v>
      </c>
    </row>
    <row r="4797" spans="1:2" x14ac:dyDescent="0.25">
      <c r="A4797">
        <f ca="1">28681.4145457726*((RANDBETWEEN(2979,3282)))</f>
        <v>91063491.182828099</v>
      </c>
      <c r="B4797">
        <v>201697403.46297014</v>
      </c>
    </row>
    <row r="4798" spans="1:2" x14ac:dyDescent="0.25">
      <c r="A4798">
        <f ca="1">30340.9217884752*((RANDBETWEEN(2979,3282)))</f>
        <v>95270494.41581212</v>
      </c>
      <c r="B4798">
        <v>183217642.10409015</v>
      </c>
    </row>
    <row r="4799" spans="1:2" x14ac:dyDescent="0.25">
      <c r="A4799">
        <f ca="1">29740.9313620073*((RANDBETWEEN(2979,3282)))</f>
        <v>94695125.456631228</v>
      </c>
      <c r="B4799">
        <v>155799022.2870155</v>
      </c>
    </row>
    <row r="4800" spans="1:2" x14ac:dyDescent="0.25">
      <c r="A4800">
        <f ca="1">28761.8138911701*((RANDBETWEEN(2979,3282)))</f>
        <v>88413815.901456788</v>
      </c>
      <c r="B4800">
        <v>153217642.23811844</v>
      </c>
    </row>
    <row r="4801" spans="1:2" x14ac:dyDescent="0.25">
      <c r="A4801">
        <f ca="1">29204.5878923896*((RANDBETWEEN(2979,3282)))</f>
        <v>95586616.1717913</v>
      </c>
      <c r="B4801">
        <v>174204911.83297658</v>
      </c>
    </row>
    <row r="4802" spans="1:2" x14ac:dyDescent="0.25">
      <c r="A4802">
        <f ca="1">31652.2548825166*((RANDBETWEEN(2979,3282)))</f>
        <v>97963728.861388892</v>
      </c>
      <c r="B4802">
        <v>187485809.00084364</v>
      </c>
    </row>
    <row r="4803" spans="1:2" x14ac:dyDescent="0.25">
      <c r="A4803">
        <f ca="1">27242.9421115012*((RANDBETWEEN(2979,3282)))</f>
        <v>82873029.903186619</v>
      </c>
      <c r="B4803">
        <v>168007662.5123288</v>
      </c>
    </row>
    <row r="4804" spans="1:2" x14ac:dyDescent="0.25">
      <c r="A4804">
        <f ca="1">26862.317369817*((RANDBETWEEN(2979,3282)))</f>
        <v>87974089.386150584</v>
      </c>
      <c r="B4804">
        <v>174766689.07574317</v>
      </c>
    </row>
    <row r="4805" spans="1:2" x14ac:dyDescent="0.25">
      <c r="A4805">
        <f ca="1">27626.7991696076*((RANDBETWEEN(2979,3282)))</f>
        <v>87107297.781772614</v>
      </c>
      <c r="B4805">
        <v>199766918.86651915</v>
      </c>
    </row>
    <row r="4806" spans="1:2" x14ac:dyDescent="0.25">
      <c r="A4806">
        <f ca="1">30838.965173966*((RANDBETWEEN(2979,3282)))</f>
        <v>99825730.268127888</v>
      </c>
      <c r="B4806">
        <v>159221513.68223393</v>
      </c>
    </row>
    <row r="4807" spans="1:2" x14ac:dyDescent="0.25">
      <c r="A4807">
        <f ca="1">27313.0233728965*((RANDBETWEEN(2979,3282)))</f>
        <v>83332034.310707182</v>
      </c>
      <c r="B4807">
        <v>168587552.40161783</v>
      </c>
    </row>
    <row r="4808" spans="1:2" x14ac:dyDescent="0.25">
      <c r="A4808">
        <f ca="1">30285.9424355879*((RANDBETWEEN(2979,3282)))</f>
        <v>93644134.010837659</v>
      </c>
      <c r="B4808">
        <v>144233601.01879895</v>
      </c>
    </row>
    <row r="4809" spans="1:2" x14ac:dyDescent="0.25">
      <c r="A4809">
        <f ca="1">27895.8247030479*((RANDBETWEEN(2979,3282)))</f>
        <v>89964034.667329505</v>
      </c>
      <c r="B4809">
        <v>181785052.62148249</v>
      </c>
    </row>
    <row r="4810" spans="1:2" x14ac:dyDescent="0.25">
      <c r="A4810">
        <f ca="1">27132.3285940558*((RANDBETWEEN(2979,3282)))</f>
        <v>89048302.445691302</v>
      </c>
      <c r="B4810">
        <v>163963773.95679981</v>
      </c>
    </row>
    <row r="4811" spans="1:2" x14ac:dyDescent="0.25">
      <c r="A4811">
        <f ca="1">31017.8199162355*((RANDBETWEEN(2979,3282)))</f>
        <v>95441831.882256776</v>
      </c>
      <c r="B4811">
        <v>169418725.62831339</v>
      </c>
    </row>
    <row r="4812" spans="1:2" x14ac:dyDescent="0.25">
      <c r="A4812">
        <f ca="1">31031.9426384216*((RANDBETWEEN(2979,3282)))</f>
        <v>98154034.565327659</v>
      </c>
      <c r="B4812">
        <v>148732299.74618292</v>
      </c>
    </row>
    <row r="4813" spans="1:2" x14ac:dyDescent="0.25">
      <c r="A4813">
        <f ca="1">26525.3797049504*((RANDBETWEEN(2979,3282)))</f>
        <v>83528420.690888941</v>
      </c>
      <c r="B4813">
        <v>160397831.31713343</v>
      </c>
    </row>
    <row r="4814" spans="1:2" x14ac:dyDescent="0.25">
      <c r="A4814">
        <f ca="1">27022.8646582293*((RANDBETWEEN(2979,3282)))</f>
        <v>84095154.816409662</v>
      </c>
      <c r="B4814">
        <v>163327494.15830955</v>
      </c>
    </row>
    <row r="4815" spans="1:2" x14ac:dyDescent="0.25">
      <c r="A4815">
        <f ca="1">27207.8622103969*((RANDBETWEEN(2979,3282)))</f>
        <v>85840805.273802102</v>
      </c>
      <c r="B4815">
        <v>154230911.73136839</v>
      </c>
    </row>
    <row r="4816" spans="1:2" x14ac:dyDescent="0.25">
      <c r="A4816">
        <f ca="1">29500.8930755673*((RANDBETWEEN(2979,3282)))</f>
        <v>95228882.847931102</v>
      </c>
      <c r="B4816">
        <v>182848660.39906219</v>
      </c>
    </row>
    <row r="4817" spans="1:2" x14ac:dyDescent="0.25">
      <c r="A4817">
        <f ca="1">26254.3022480509*((RANDBETWEEN(2979,3282)))</f>
        <v>84433836.029731542</v>
      </c>
      <c r="B4817">
        <v>161208785.83429998</v>
      </c>
    </row>
    <row r="4818" spans="1:2" x14ac:dyDescent="0.25">
      <c r="A4818">
        <f ca="1">29458.9349536793*((RANDBETWEEN(2979,3282)))</f>
        <v>87993838.70663999</v>
      </c>
      <c r="B4818">
        <v>187413221.60869753</v>
      </c>
    </row>
    <row r="4819" spans="1:2" x14ac:dyDescent="0.25">
      <c r="A4819">
        <f ca="1">27707.3240983265*((RANDBETWEEN(2979,3282)))</f>
        <v>85809582.732517108</v>
      </c>
      <c r="B4819">
        <v>190464034.62303859</v>
      </c>
    </row>
    <row r="4820" spans="1:2" x14ac:dyDescent="0.25">
      <c r="A4820">
        <f ca="1">27201.6739996458*((RANDBETWEEN(2979,3282)))</f>
        <v>81523416.976938441</v>
      </c>
      <c r="B4820">
        <v>177221300.54649675</v>
      </c>
    </row>
    <row r="4821" spans="1:2" x14ac:dyDescent="0.25">
      <c r="A4821">
        <f ca="1">27216.7355000778*((RANDBETWEEN(2979,3282)))</f>
        <v>83881978.811239839</v>
      </c>
      <c r="B4821">
        <v>154415180.39181378</v>
      </c>
    </row>
    <row r="4822" spans="1:2" x14ac:dyDescent="0.25">
      <c r="A4822">
        <f ca="1">27795.8110238532*((RANDBETWEEN(2979,3282)))</f>
        <v>83137270.772344783</v>
      </c>
      <c r="B4822">
        <v>158847928.17393988</v>
      </c>
    </row>
    <row r="4823" spans="1:2" x14ac:dyDescent="0.25">
      <c r="A4823">
        <f ca="1">26771.6288592607*((RANDBETWEEN(2979,3282)))</f>
        <v>83206222.494582132</v>
      </c>
      <c r="B4823">
        <v>151133369.57499826</v>
      </c>
    </row>
    <row r="4824" spans="1:2" x14ac:dyDescent="0.25">
      <c r="A4824">
        <f ca="1">26357.3038569184*((RANDBETWEEN(2979,3282)))</f>
        <v>79071911.570755303</v>
      </c>
      <c r="B4824">
        <v>150009335.10252792</v>
      </c>
    </row>
    <row r="4825" spans="1:2" x14ac:dyDescent="0.25">
      <c r="A4825">
        <f ca="1">31802.6806342745*((RANDBETWEEN(2979,3282)))</f>
        <v>101704972.66840991</v>
      </c>
      <c r="B4825">
        <v>161053543.24362519</v>
      </c>
    </row>
    <row r="4826" spans="1:2" x14ac:dyDescent="0.25">
      <c r="A4826">
        <f ca="1">26021.9410383373*((RANDBETWEEN(2979,3282)))</f>
        <v>79705205.400427178</v>
      </c>
      <c r="B4826">
        <v>176906600.81486517</v>
      </c>
    </row>
    <row r="4827" spans="1:2" x14ac:dyDescent="0.25">
      <c r="A4827">
        <f ca="1">26099.1920132832*((RANDBETWEEN(2979,3282)))</f>
        <v>80020122.71272634</v>
      </c>
      <c r="B4827">
        <v>159981912.72133088</v>
      </c>
    </row>
    <row r="4828" spans="1:2" x14ac:dyDescent="0.25">
      <c r="A4828">
        <f ca="1">27315.0903874104*((RANDBETWEEN(2979,3282)))</f>
        <v>87217083.60700126</v>
      </c>
      <c r="B4828">
        <v>171773393.79305285</v>
      </c>
    </row>
    <row r="4829" spans="1:2" x14ac:dyDescent="0.25">
      <c r="A4829">
        <f ca="1">30621.7667388338*((RANDBETWEEN(2979,3282)))</f>
        <v>97714057.663618654</v>
      </c>
      <c r="B4829">
        <v>149010464.69826669</v>
      </c>
    </row>
    <row r="4830" spans="1:2" x14ac:dyDescent="0.25">
      <c r="A4830">
        <f ca="1">26930.8179266225*((RANDBETWEEN(2979,3282)))</f>
        <v>84401183.382034972</v>
      </c>
      <c r="B4830">
        <v>190233189.70333049</v>
      </c>
    </row>
    <row r="4831" spans="1:2" x14ac:dyDescent="0.25">
      <c r="A4831">
        <f ca="1">27778.5981172247*((RANDBETWEEN(2979,3282)))</f>
        <v>89308192.94687748</v>
      </c>
      <c r="B4831">
        <v>184860056.20744497</v>
      </c>
    </row>
    <row r="4832" spans="1:2" x14ac:dyDescent="0.25">
      <c r="A4832">
        <f ca="1">26154.188507974*((RANDBETWEEN(2979,3282)))</f>
        <v>84530337.257772103</v>
      </c>
      <c r="B4832">
        <v>168561376.47287968</v>
      </c>
    </row>
    <row r="4833" spans="1:2" x14ac:dyDescent="0.25">
      <c r="A4833">
        <f ca="1">28285.7967381618*((RANDBETWEEN(2979,3282)))</f>
        <v>86356537.441607982</v>
      </c>
      <c r="B4833">
        <v>153726072.3203373</v>
      </c>
    </row>
    <row r="4834" spans="1:2" x14ac:dyDescent="0.25">
      <c r="A4834">
        <f ca="1">25791.0275801701*((RANDBETWEEN(2979,3282)))</f>
        <v>83640302.442491695</v>
      </c>
      <c r="B4834">
        <v>170881634.71896106</v>
      </c>
    </row>
    <row r="4835" spans="1:2" x14ac:dyDescent="0.25">
      <c r="A4835">
        <f ca="1">27664.4131819771*((RANDBETWEEN(2979,3282)))</f>
        <v>83214554.851387069</v>
      </c>
      <c r="B4835">
        <v>172842748.38480186</v>
      </c>
    </row>
    <row r="4836" spans="1:2" x14ac:dyDescent="0.25">
      <c r="A4836">
        <f ca="1">27495.9361063051*((RANDBETWEEN(2979,3282)))</f>
        <v>83532653.890954792</v>
      </c>
      <c r="B4836">
        <v>165070380.86833107</v>
      </c>
    </row>
    <row r="4837" spans="1:2" x14ac:dyDescent="0.25">
      <c r="A4837">
        <f ca="1">35193.9523102444*((RANDBETWEEN(2979,3282)))</f>
        <v>112726229.24971272</v>
      </c>
      <c r="B4837">
        <v>152984902.42490286</v>
      </c>
    </row>
    <row r="4838" spans="1:2" x14ac:dyDescent="0.25">
      <c r="A4838">
        <f ca="1">33612.8441954375*((RANDBETWEEN(2979,3282)))</f>
        <v>104065365.62907448</v>
      </c>
      <c r="B4838">
        <v>185876585.16395605</v>
      </c>
    </row>
    <row r="4839" spans="1:2" x14ac:dyDescent="0.25">
      <c r="A4839">
        <f ca="1">25324.924717852*((RANDBETWEEN(2979,3282)))</f>
        <v>82660554.279068828</v>
      </c>
      <c r="B4839">
        <v>143424085.59299842</v>
      </c>
    </row>
    <row r="4840" spans="1:2" x14ac:dyDescent="0.25">
      <c r="A4840">
        <f ca="1">27380.2012937332*((RANDBETWEEN(2979,3282)))</f>
        <v>82688207.907074302</v>
      </c>
      <c r="B4840">
        <v>147858660.00604698</v>
      </c>
    </row>
    <row r="4841" spans="1:2" x14ac:dyDescent="0.25">
      <c r="A4841">
        <f ca="1">26731.8633590882*((RANDBETWEEN(2979,3282)))</f>
        <v>87252802.004063755</v>
      </c>
      <c r="B4841">
        <v>158597569.55476683</v>
      </c>
    </row>
    <row r="4842" spans="1:2" x14ac:dyDescent="0.25">
      <c r="A4842">
        <f ca="1">29647.5909569788*((RANDBETWEEN(2979,3282)))</f>
        <v>92381893.42194581</v>
      </c>
      <c r="B4842">
        <v>187837891.91770339</v>
      </c>
    </row>
    <row r="4843" spans="1:2" x14ac:dyDescent="0.25">
      <c r="A4843">
        <f ca="1">31222.8255244573*((RANDBETWEEN(2979,3282)))</f>
        <v>100131601.45693441</v>
      </c>
      <c r="B4843">
        <v>158427636.10725284</v>
      </c>
    </row>
    <row r="4844" spans="1:2" x14ac:dyDescent="0.25">
      <c r="A4844">
        <f ca="1">27032.1136393231*((RANDBETWEEN(2979,3282)))</f>
        <v>83421102.690951064</v>
      </c>
      <c r="B4844">
        <v>163293708.02389127</v>
      </c>
    </row>
    <row r="4845" spans="1:2" x14ac:dyDescent="0.25">
      <c r="A4845">
        <f ca="1">26946.978507801*((RANDBETWEEN(2979,3282)))</f>
        <v>83778156.18075335</v>
      </c>
      <c r="B4845">
        <v>167547432.07611844</v>
      </c>
    </row>
    <row r="4846" spans="1:2" x14ac:dyDescent="0.25">
      <c r="A4846">
        <f ca="1">28251.5085187673*((RANDBETWEEN(2979,3282)))</f>
        <v>86054094.948165044</v>
      </c>
      <c r="B4846">
        <v>199395428.48235559</v>
      </c>
    </row>
    <row r="4847" spans="1:2" x14ac:dyDescent="0.25">
      <c r="A4847">
        <f ca="1">27190.6018221736*((RANDBETWEEN(2979,3282)))</f>
        <v>81272708.846476912</v>
      </c>
      <c r="B4847">
        <v>160939494.58474678</v>
      </c>
    </row>
    <row r="4848" spans="1:2" x14ac:dyDescent="0.25">
      <c r="A4848">
        <f ca="1">30476.2869116782*((RANDBETWEEN(2979,3282)))</f>
        <v>99566029.340452686</v>
      </c>
      <c r="B4848">
        <v>170738426.85440093</v>
      </c>
    </row>
    <row r="4849" spans="1:2" x14ac:dyDescent="0.25">
      <c r="A4849">
        <f ca="1">26984.6380600578*((RANDBETWEEN(2979,3282)))</f>
        <v>80522159.971212581</v>
      </c>
      <c r="B4849">
        <v>202805297.14523092</v>
      </c>
    </row>
    <row r="4850" spans="1:2" x14ac:dyDescent="0.25">
      <c r="A4850">
        <f ca="1">29341.1715677915*((RANDBETWEEN(2979,3282)))</f>
        <v>94537254.791424334</v>
      </c>
      <c r="B4850">
        <v>194628744.08537516</v>
      </c>
    </row>
    <row r="4851" spans="1:2" x14ac:dyDescent="0.25">
      <c r="A4851">
        <f ca="1">26688.3010624245*((RANDBETWEEN(2979,3282)))</f>
        <v>85028927.184884548</v>
      </c>
      <c r="B4851">
        <v>169632599.01339835</v>
      </c>
    </row>
    <row r="4852" spans="1:2" x14ac:dyDescent="0.25">
      <c r="A4852">
        <f ca="1">28156.019821936*((RANDBETWEEN(2979,3282)))</f>
        <v>91450752.381648138</v>
      </c>
      <c r="B4852">
        <v>199154469.41351599</v>
      </c>
    </row>
    <row r="4853" spans="1:2" x14ac:dyDescent="0.25">
      <c r="A4853">
        <f ca="1">32221.5485404385*((RANDBETWEEN(2979,3282)))</f>
        <v>101852314.9363261</v>
      </c>
      <c r="B4853">
        <v>173525309.09819081</v>
      </c>
    </row>
    <row r="4854" spans="1:2" x14ac:dyDescent="0.25">
      <c r="A4854">
        <f ca="1">30771.2981502863*((RANDBETWEEN(2979,3282)))</f>
        <v>99452835.621725395</v>
      </c>
      <c r="B4854">
        <v>193654809.48040503</v>
      </c>
    </row>
    <row r="4855" spans="1:2" x14ac:dyDescent="0.25">
      <c r="A4855">
        <f ca="1">30008.4589442479*((RANDBETWEEN(2979,3282)))</f>
        <v>97887593.076136693</v>
      </c>
      <c r="B4855">
        <v>173668483.24743849</v>
      </c>
    </row>
    <row r="4856" spans="1:2" x14ac:dyDescent="0.25">
      <c r="A4856">
        <f ca="1">29559.1022879043*((RANDBETWEEN(2979,3282)))</f>
        <v>95328104.878491342</v>
      </c>
      <c r="B4856">
        <v>168593163.74849713</v>
      </c>
    </row>
    <row r="4857" spans="1:2" x14ac:dyDescent="0.25">
      <c r="A4857">
        <f ca="1">27095.08812948*((RANDBETWEEN(2979,3282)))</f>
        <v>82423258.089878142</v>
      </c>
      <c r="B4857">
        <v>172619454.48741201</v>
      </c>
    </row>
    <row r="4858" spans="1:2" x14ac:dyDescent="0.25">
      <c r="A4858">
        <f ca="1">28274.626906925*((RANDBETWEEN(2979,3282)))</f>
        <v>89489194.160417646</v>
      </c>
      <c r="B4858">
        <v>153518504.71765524</v>
      </c>
    </row>
    <row r="4859" spans="1:2" x14ac:dyDescent="0.25">
      <c r="A4859">
        <f ca="1">27843.9322469001*((RANDBETWEEN(2979,3282)))</f>
        <v>90771219.124894276</v>
      </c>
      <c r="B4859">
        <v>153560870.74930876</v>
      </c>
    </row>
    <row r="4860" spans="1:2" x14ac:dyDescent="0.25">
      <c r="A4860">
        <f ca="1">29490.9781595761*((RANDBETWEEN(2979,3282)))</f>
        <v>92218288.704994321</v>
      </c>
      <c r="B4860">
        <v>198641736.45621654</v>
      </c>
    </row>
    <row r="4861" spans="1:2" x14ac:dyDescent="0.25">
      <c r="A4861">
        <f ca="1">26189.1134190629*((RANDBETWEEN(2979,3282)))</f>
        <v>85428887.972983122</v>
      </c>
      <c r="B4861">
        <v>185047998.9737986</v>
      </c>
    </row>
    <row r="4862" spans="1:2" x14ac:dyDescent="0.25">
      <c r="A4862">
        <f ca="1">27396.0682323342*((RANDBETWEEN(2979,3282)))</f>
        <v>89859103.802056044</v>
      </c>
      <c r="B4862">
        <v>165047865.51848218</v>
      </c>
    </row>
    <row r="4863" spans="1:2" x14ac:dyDescent="0.25">
      <c r="A4863">
        <f ca="1">29785.1071657925*((RANDBETWEEN(2979,3282)))</f>
        <v>91321138.570319921</v>
      </c>
      <c r="B4863">
        <v>162381556.87461311</v>
      </c>
    </row>
    <row r="4864" spans="1:2" x14ac:dyDescent="0.25">
      <c r="A4864">
        <f ca="1">26769.5274349482*((RANDBETWEEN(2979,3282)))</f>
        <v>84002777.090867296</v>
      </c>
      <c r="B4864">
        <v>171316858.70685485</v>
      </c>
    </row>
    <row r="4865" spans="1:2" x14ac:dyDescent="0.25">
      <c r="A4865">
        <f ca="1">27547.1321089733*((RANDBETWEEN(2979,3282)))</f>
        <v>86525541.95428504</v>
      </c>
      <c r="B4865">
        <v>203088657.68034542</v>
      </c>
    </row>
    <row r="4866" spans="1:2" x14ac:dyDescent="0.25">
      <c r="A4866">
        <f ca="1">26460.0361458349*((RANDBETWEEN(2979,3282)))</f>
        <v>80835410.425525591</v>
      </c>
      <c r="B4866">
        <v>168219908.13238749</v>
      </c>
    </row>
    <row r="4867" spans="1:2" x14ac:dyDescent="0.25">
      <c r="A4867">
        <f ca="1">28911.1194318565*((RANDBETWEEN(2979,3282)))</f>
        <v>91098937.329779983</v>
      </c>
      <c r="B4867">
        <v>152825882.82831329</v>
      </c>
    </row>
    <row r="4868" spans="1:2" x14ac:dyDescent="0.25">
      <c r="A4868">
        <f ca="1">28842.1822573364*((RANDBETWEEN(2979,3282)))</f>
        <v>92323825.405733824</v>
      </c>
      <c r="B4868">
        <v>154001964.22511882</v>
      </c>
    </row>
    <row r="4869" spans="1:2" x14ac:dyDescent="0.25">
      <c r="A4869">
        <f ca="1">30828.9670809985*((RANDBETWEEN(2979,3282)))</f>
        <v>98621865.692114159</v>
      </c>
      <c r="B4869">
        <v>177686089.24737456</v>
      </c>
    </row>
    <row r="4870" spans="1:2" x14ac:dyDescent="0.25">
      <c r="A4870">
        <f ca="1">28009.6817889308*((RANDBETWEEN(2979,3282)))</f>
        <v>84197103.457526088</v>
      </c>
      <c r="B4870">
        <v>166925578.1397059</v>
      </c>
    </row>
    <row r="4871" spans="1:2" x14ac:dyDescent="0.25">
      <c r="A4871">
        <f ca="1">29591.9671039465*((RANDBETWEEN(2979,3282)))</f>
        <v>96055525.219410434</v>
      </c>
      <c r="B4871">
        <v>154881454.37899059</v>
      </c>
    </row>
    <row r="4872" spans="1:2" x14ac:dyDescent="0.25">
      <c r="A4872">
        <f ca="1">29165.8428142462*((RANDBETWEEN(2979,3282)))</f>
        <v>90851600.366377056</v>
      </c>
      <c r="B4872">
        <v>185947499.48095852</v>
      </c>
    </row>
    <row r="4873" spans="1:2" x14ac:dyDescent="0.25">
      <c r="A4873">
        <f ca="1">27802.7730960477*((RANDBETWEEN(2979,3282)))</f>
        <v>85159893.993193984</v>
      </c>
      <c r="B4873">
        <v>203242357.1366303</v>
      </c>
    </row>
    <row r="4874" spans="1:2" x14ac:dyDescent="0.25">
      <c r="A4874">
        <f ca="1">27798.0974708718*((RANDBETWEEN(2979,3282)))</f>
        <v>87147035.571183026</v>
      </c>
      <c r="B4874">
        <v>143913944.40987128</v>
      </c>
    </row>
    <row r="4875" spans="1:2" x14ac:dyDescent="0.25">
      <c r="A4875">
        <f ca="1">27057.9147272196*((RANDBETWEEN(2979,3282)))</f>
        <v>84555983.522561312</v>
      </c>
      <c r="B4875">
        <v>191585249.13789651</v>
      </c>
    </row>
    <row r="4876" spans="1:2" x14ac:dyDescent="0.25">
      <c r="A4876">
        <f ca="1">26480.6854283053*((RANDBETWEEN(2979,3282)))</f>
        <v>83917292.122299433</v>
      </c>
      <c r="B4876">
        <v>144894870.96251991</v>
      </c>
    </row>
    <row r="4877" spans="1:2" x14ac:dyDescent="0.25">
      <c r="A4877">
        <f ca="1">30016.8708262422*((RANDBETWEEN(2979,3282)))</f>
        <v>96774391.543804944</v>
      </c>
      <c r="B4877">
        <v>184731222.01127282</v>
      </c>
    </row>
    <row r="4878" spans="1:2" x14ac:dyDescent="0.25">
      <c r="A4878">
        <f ca="1">26776.1567532938*((RANDBETWEEN(2979,3282)))</f>
        <v>84746536.124174729</v>
      </c>
      <c r="B4878">
        <v>181689943.33629358</v>
      </c>
    </row>
    <row r="4879" spans="1:2" x14ac:dyDescent="0.25">
      <c r="A4879">
        <f ca="1">26611.5090411386*((RANDBETWEEN(2979,3282)))</f>
        <v>81005433.521225914</v>
      </c>
      <c r="B4879">
        <v>173277843.35781506</v>
      </c>
    </row>
    <row r="4880" spans="1:2" x14ac:dyDescent="0.25">
      <c r="A4880">
        <f ca="1">26976.0862554875*((RANDBETWEEN(2979,3282)))</f>
        <v>85028623.877296612</v>
      </c>
      <c r="B4880">
        <v>164523655.49020106</v>
      </c>
    </row>
    <row r="4881" spans="1:2" x14ac:dyDescent="0.25">
      <c r="A4881">
        <f ca="1">26822.5657057311*((RANDBETWEEN(2979,3282)))</f>
        <v>86771000.058040008</v>
      </c>
      <c r="B4881">
        <v>197159951.84255981</v>
      </c>
    </row>
    <row r="4882" spans="1:2" x14ac:dyDescent="0.25">
      <c r="A4882">
        <f ca="1">28287.0539374202*((RANDBETWEEN(2979,3282)))</f>
        <v>90773156.085181504</v>
      </c>
      <c r="B4882">
        <v>176619212.51537114</v>
      </c>
    </row>
    <row r="4883" spans="1:2" x14ac:dyDescent="0.25">
      <c r="A4883">
        <f ca="1">31851.991360453*((RANDBETWEEN(2979,3282)))</f>
        <v>96001901.960405424</v>
      </c>
      <c r="B4883">
        <v>193978112.21982199</v>
      </c>
    </row>
    <row r="4884" spans="1:2" x14ac:dyDescent="0.25">
      <c r="A4884">
        <f ca="1">31539.538090836*((RANDBETWEEN(2979,3282)))</f>
        <v>97015619.16741167</v>
      </c>
      <c r="B4884">
        <v>143308292.32446429</v>
      </c>
    </row>
    <row r="4885" spans="1:2" x14ac:dyDescent="0.25">
      <c r="A4885">
        <f ca="1">30545.5113569623*((RANDBETWEEN(2979,3282)))</f>
        <v>98814729.239772901</v>
      </c>
      <c r="B4885">
        <v>192147215.15980071</v>
      </c>
    </row>
    <row r="4886" spans="1:2" x14ac:dyDescent="0.25">
      <c r="A4886">
        <f ca="1">28694.386534426*((RANDBETWEEN(2979,3282)))</f>
        <v>91908120.069766611</v>
      </c>
      <c r="B4886">
        <v>198320527.30034873</v>
      </c>
    </row>
    <row r="4887" spans="1:2" x14ac:dyDescent="0.25">
      <c r="A4887">
        <f ca="1">31877.4429703609*((RANDBETWEEN(2979,3282)))</f>
        <v>100860229.55822179</v>
      </c>
      <c r="B4887">
        <v>159196723.99840248</v>
      </c>
    </row>
    <row r="4888" spans="1:2" x14ac:dyDescent="0.25">
      <c r="A4888">
        <f ca="1">27814.5863966866*((RANDBETWEEN(2979,3282)))</f>
        <v>86253032.416125074</v>
      </c>
      <c r="B4888">
        <v>151289692.91633373</v>
      </c>
    </row>
    <row r="4889" spans="1:2" x14ac:dyDescent="0.25">
      <c r="A4889">
        <f ca="1">27691.9456480032*((RANDBETWEEN(2979,3282)))</f>
        <v>87949619.378058314</v>
      </c>
      <c r="B4889">
        <v>161305386.52027386</v>
      </c>
    </row>
    <row r="4890" spans="1:2" x14ac:dyDescent="0.25">
      <c r="A4890">
        <f ca="1">28378.387276359*((RANDBETWEEN(2979,3282)))</f>
        <v>90328406.700650811</v>
      </c>
      <c r="B4890">
        <v>151169048.1884253</v>
      </c>
    </row>
    <row r="4891" spans="1:2" x14ac:dyDescent="0.25">
      <c r="A4891">
        <f ca="1">30832.5303835827*((RANDBETWEEN(2979,3282)))</f>
        <v>97307465.890587032</v>
      </c>
      <c r="B4891">
        <v>200865412.31098676</v>
      </c>
    </row>
    <row r="4892" spans="1:2" x14ac:dyDescent="0.25">
      <c r="A4892">
        <f ca="1">26941.4529801362*((RANDBETWEEN(2979,3282)))</f>
        <v>81282363.641070902</v>
      </c>
      <c r="B4892">
        <v>145189536.57627559</v>
      </c>
    </row>
    <row r="4893" spans="1:2" x14ac:dyDescent="0.25">
      <c r="A4893">
        <f ca="1">27390.1951933496*((RANDBETWEEN(2979,3282)))</f>
        <v>87100820.714851677</v>
      </c>
      <c r="B4893">
        <v>144818881.92694843</v>
      </c>
    </row>
    <row r="4894" spans="1:2" x14ac:dyDescent="0.25">
      <c r="A4894">
        <f ca="1">27978.0738124181*((RANDBETWEEN(2979,3282)))</f>
        <v>86592138.449434131</v>
      </c>
      <c r="B4894">
        <v>167218183.95733449</v>
      </c>
    </row>
    <row r="4895" spans="1:2" x14ac:dyDescent="0.25">
      <c r="A4895">
        <f ca="1">28800.6343692081*((RANDBETWEEN(2979,3282)))</f>
        <v>89310767.178914264</v>
      </c>
      <c r="B4895">
        <v>151181893.23533291</v>
      </c>
    </row>
    <row r="4896" spans="1:2" x14ac:dyDescent="0.25">
      <c r="A4896">
        <f ca="1">27518.4603156473*((RANDBETWEEN(2979,3282)))</f>
        <v>89490032.946484864</v>
      </c>
      <c r="B4896">
        <v>168580628.43412998</v>
      </c>
    </row>
    <row r="4897" spans="1:2" x14ac:dyDescent="0.25">
      <c r="A4897">
        <f ca="1">26762.6265769706*((RANDBETWEEN(2979,3282)))</f>
        <v>83338819.160686567</v>
      </c>
      <c r="B4897">
        <v>159201325.33030239</v>
      </c>
    </row>
    <row r="4898" spans="1:2" x14ac:dyDescent="0.25">
      <c r="A4898">
        <f ca="1">26476.5981657338*((RANDBETWEEN(2979,3282)))</f>
        <v>79773990.273356006</v>
      </c>
      <c r="B4898">
        <v>171338865.29669839</v>
      </c>
    </row>
    <row r="4899" spans="1:2" x14ac:dyDescent="0.25">
      <c r="A4899">
        <f ca="1">28421.5910091198*((RANDBETWEEN(2979,3282)))</f>
        <v>91801738.959457055</v>
      </c>
      <c r="B4899">
        <v>163849304.31994876</v>
      </c>
    </row>
    <row r="4900" spans="1:2" x14ac:dyDescent="0.25">
      <c r="A4900">
        <f ca="1">28022.0962133177*((RANDBETWEEN(2979,3282)))</f>
        <v>87008608.742351338</v>
      </c>
      <c r="B4900">
        <v>175689127.86907136</v>
      </c>
    </row>
    <row r="4901" spans="1:2" x14ac:dyDescent="0.25">
      <c r="A4901">
        <f ca="1">31343.9584433916*((RANDBETWEEN(2979,3282)))</f>
        <v>95442353.460127279</v>
      </c>
      <c r="B4901">
        <v>152513867.912287</v>
      </c>
    </row>
    <row r="4902" spans="1:2" x14ac:dyDescent="0.25">
      <c r="A4902">
        <f ca="1">28054.0101909848*((RANDBETWEEN(2979,3282)))</f>
        <v>91820775.355093166</v>
      </c>
      <c r="B4902">
        <v>170193776.2424514</v>
      </c>
    </row>
    <row r="4903" spans="1:2" x14ac:dyDescent="0.25">
      <c r="A4903">
        <f ca="1">28228.3515468677*((RANDBETWEEN(2979,3282)))</f>
        <v>91742142.527319983</v>
      </c>
      <c r="B4903">
        <v>187893113.77052325</v>
      </c>
    </row>
    <row r="4904" spans="1:2" x14ac:dyDescent="0.25">
      <c r="A4904">
        <f ca="1">25638.7919819084*((RANDBETWEEN(2979,3282)))</f>
        <v>80198141.319409415</v>
      </c>
      <c r="B4904">
        <v>147334510.38176182</v>
      </c>
    </row>
    <row r="4905" spans="1:2" x14ac:dyDescent="0.25">
      <c r="A4905">
        <f ca="1">29415.4673867702*((RANDBETWEEN(2979,3282)))</f>
        <v>95806177.278710693</v>
      </c>
      <c r="B4905">
        <v>166256742.73799068</v>
      </c>
    </row>
    <row r="4906" spans="1:2" x14ac:dyDescent="0.25">
      <c r="A4906">
        <f ca="1">29110.2732150454*((RANDBETWEEN(2979,3282)))</f>
        <v>94841270.13461782</v>
      </c>
      <c r="B4906">
        <v>165999119.85064945</v>
      </c>
    </row>
    <row r="4907" spans="1:2" x14ac:dyDescent="0.25">
      <c r="A4907">
        <f ca="1">32472.5785972857*((RANDBETWEEN(2979,3282)))</f>
        <v>103814833.77552241</v>
      </c>
      <c r="B4907">
        <v>169565475.12035498</v>
      </c>
    </row>
    <row r="4908" spans="1:2" x14ac:dyDescent="0.25">
      <c r="A4908">
        <f ca="1">31323.1327957095*((RANDBETWEEN(2979,3282)))</f>
        <v>101988120.38283014</v>
      </c>
      <c r="B4908">
        <v>174229715.83281252</v>
      </c>
    </row>
    <row r="4909" spans="1:2" x14ac:dyDescent="0.25">
      <c r="A4909">
        <f ca="1">26594.38329614*((RANDBETWEEN(2979,3282)))</f>
        <v>83001070.267252937</v>
      </c>
      <c r="B4909">
        <v>177909198.84946364</v>
      </c>
    </row>
    <row r="4910" spans="1:2" x14ac:dyDescent="0.25">
      <c r="A4910">
        <f ca="1">27449.6709289629*((RANDBETWEEN(2979,3282)))</f>
        <v>87207604.541315243</v>
      </c>
      <c r="B4910">
        <v>147829182.25004014</v>
      </c>
    </row>
    <row r="4911" spans="1:2" x14ac:dyDescent="0.25">
      <c r="A4911">
        <f ca="1">29196.2624557511*((RANDBETWEEN(2979,3282)))</f>
        <v>92260189.360173389</v>
      </c>
      <c r="B4911">
        <v>201660265.36661816</v>
      </c>
    </row>
    <row r="4912" spans="1:2" x14ac:dyDescent="0.25">
      <c r="A4912">
        <f ca="1">28012.5111698017*((RANDBETWEEN(2979,3282)))</f>
        <v>89359910.631667554</v>
      </c>
      <c r="B4912">
        <v>187505857.59719601</v>
      </c>
    </row>
    <row r="4913" spans="1:2" x14ac:dyDescent="0.25">
      <c r="A4913">
        <f ca="1">26805.4798625801*((RANDBETWEEN(2979,3282)))</f>
        <v>87653919.150637001</v>
      </c>
      <c r="B4913">
        <v>184046463.65154341</v>
      </c>
    </row>
    <row r="4914" spans="1:2" x14ac:dyDescent="0.25">
      <c r="A4914">
        <f ca="1">27328.7647237165*((RANDBETWEEN(2979,3282)))</f>
        <v>82341568.112557918</v>
      </c>
      <c r="B4914">
        <v>151062139.87674356</v>
      </c>
    </row>
    <row r="4915" spans="1:2" x14ac:dyDescent="0.25">
      <c r="A4915">
        <f ca="1">30097.8290961574*((RANDBETWEEN(2979,3282)))</f>
        <v>97938335.878896192</v>
      </c>
      <c r="B4915">
        <v>157534485.22831962</v>
      </c>
    </row>
    <row r="4916" spans="1:2" x14ac:dyDescent="0.25">
      <c r="A4916">
        <f ca="1">27387.1059582915*((RANDBETWEEN(2979,3282)))</f>
        <v>82079156.556999579</v>
      </c>
      <c r="B4916">
        <v>149131713.32587367</v>
      </c>
    </row>
    <row r="4917" spans="1:2" x14ac:dyDescent="0.25">
      <c r="A4917">
        <f ca="1">32056.0567984377*((RANDBETWEEN(2979,3282)))</f>
        <v>103989848.25413206</v>
      </c>
      <c r="B4917">
        <v>164996243.49938834</v>
      </c>
    </row>
    <row r="4918" spans="1:2" x14ac:dyDescent="0.25">
      <c r="A4918">
        <f ca="1">31482.8163420493*((RANDBETWEEN(2979,3282)))</f>
        <v>98446766.701588213</v>
      </c>
      <c r="B4918">
        <v>180104480.80309606</v>
      </c>
    </row>
    <row r="4919" spans="1:2" x14ac:dyDescent="0.25">
      <c r="A4919">
        <f ca="1">27477.9806166414*((RANDBETWEEN(2979,3282)))</f>
        <v>86583116.923037171</v>
      </c>
      <c r="B4919">
        <v>153386907.67894989</v>
      </c>
    </row>
    <row r="4920" spans="1:2" x14ac:dyDescent="0.25">
      <c r="A4920">
        <f ca="1">27033.0288466126*((RANDBETWEEN(2979,3282)))</f>
        <v>88316905.241883263</v>
      </c>
      <c r="B4920">
        <v>143515250.76916671</v>
      </c>
    </row>
    <row r="4921" spans="1:2" x14ac:dyDescent="0.25">
      <c r="A4921">
        <f ca="1">26418.3355383588*((RANDBETWEEN(2979,3282)))</f>
        <v>80523086.720917493</v>
      </c>
      <c r="B4921">
        <v>148679771.99091795</v>
      </c>
    </row>
    <row r="4922" spans="1:2" x14ac:dyDescent="0.25">
      <c r="A4922">
        <f ca="1">25158.1983603582*((RANDBETWEEN(2979,3282)))</f>
        <v>78820635.46300225</v>
      </c>
      <c r="B4922">
        <v>144626094.95895818</v>
      </c>
    </row>
    <row r="4923" spans="1:2" x14ac:dyDescent="0.25">
      <c r="A4923">
        <f ca="1">28210.4002290769*((RANDBETWEEN(2979,3282)))</f>
        <v>88411394.317927018</v>
      </c>
      <c r="B4923">
        <v>161040251.21578947</v>
      </c>
    </row>
    <row r="4924" spans="1:2" x14ac:dyDescent="0.25">
      <c r="A4924">
        <f ca="1">29985.1266552881*((RANDBETWEEN(2979,3282)))</f>
        <v>97481646.756341636</v>
      </c>
      <c r="B4924">
        <v>197656021.7449753</v>
      </c>
    </row>
    <row r="4925" spans="1:2" x14ac:dyDescent="0.25">
      <c r="A4925">
        <f ca="1">27114.8533607133*((RANDBETWEEN(2979,3282)))</f>
        <v>84950835.57911469</v>
      </c>
      <c r="B4925">
        <v>154609167.71684593</v>
      </c>
    </row>
    <row r="4926" spans="1:2" x14ac:dyDescent="0.25">
      <c r="A4926">
        <f ca="1">26060.9351982629*((RANDBETWEEN(2979,3282)))</f>
        <v>81492544.364968032</v>
      </c>
      <c r="B4926">
        <v>168351976.70471311</v>
      </c>
    </row>
    <row r="4927" spans="1:2" x14ac:dyDescent="0.25">
      <c r="A4927">
        <f ca="1">30347.6790527874*((RANDBETWEEN(2979,3282)))</f>
        <v>97203616.006078139</v>
      </c>
      <c r="B4927">
        <v>191766937.32290697</v>
      </c>
    </row>
    <row r="4928" spans="1:2" x14ac:dyDescent="0.25">
      <c r="A4928">
        <f ca="1">26622.3117620204*((RANDBETWEEN(2979,3282)))</f>
        <v>85218019.950227439</v>
      </c>
      <c r="B4928">
        <v>189647803.74943754</v>
      </c>
    </row>
    <row r="4929" spans="1:2" x14ac:dyDescent="0.25">
      <c r="A4929">
        <f ca="1">26301.5750493095*((RANDBETWEEN(2979,3282)))</f>
        <v>81850501.553451031</v>
      </c>
      <c r="B4929">
        <v>164822027.60642007</v>
      </c>
    </row>
    <row r="4930" spans="1:2" x14ac:dyDescent="0.25">
      <c r="A4930">
        <f ca="1">25904.2142116025*((RANDBETWEEN(2979,3282)))</f>
        <v>80147638.770698041</v>
      </c>
      <c r="B4930">
        <v>163478447.78811866</v>
      </c>
    </row>
    <row r="4931" spans="1:2" x14ac:dyDescent="0.25">
      <c r="A4931">
        <f ca="1">27087.6050738342*((RANDBETWEEN(2979,3282)))</f>
        <v>81208640.011355028</v>
      </c>
      <c r="B4931">
        <v>188991478.2006377</v>
      </c>
    </row>
    <row r="4932" spans="1:2" x14ac:dyDescent="0.25">
      <c r="A4932">
        <f ca="1">26180.9009820964*((RANDBETWEEN(2979,3282)))</f>
        <v>79642300.787537217</v>
      </c>
      <c r="B4932">
        <v>150657184.54530162</v>
      </c>
    </row>
    <row r="4933" spans="1:2" x14ac:dyDescent="0.25">
      <c r="A4933">
        <f ca="1">30018.9246867364*((RANDBETWEEN(2979,3282)))</f>
        <v>94259423.516352445</v>
      </c>
      <c r="B4933">
        <v>201816201.95001882</v>
      </c>
    </row>
    <row r="4934" spans="1:2" x14ac:dyDescent="0.25">
      <c r="A4934">
        <f ca="1">25422.686189792*((RANDBETWEEN(2979,3282)))</f>
        <v>82166121.765407816</v>
      </c>
      <c r="B4934">
        <v>145250897.85528719</v>
      </c>
    </row>
    <row r="4935" spans="1:2" x14ac:dyDescent="0.25">
      <c r="A4935">
        <f ca="1">25739.4270425516*((RANDBETWEEN(2979,3282)))</f>
        <v>83601659.034207627</v>
      </c>
      <c r="B4935">
        <v>167878090.18193957</v>
      </c>
    </row>
    <row r="4936" spans="1:2" x14ac:dyDescent="0.25">
      <c r="A4936">
        <f ca="1">26834.6093423346*((RANDBETWEEN(2979,3282)))</f>
        <v>82140739.196886182</v>
      </c>
      <c r="B4936">
        <v>156648705.40945804</v>
      </c>
    </row>
    <row r="4937" spans="1:2" x14ac:dyDescent="0.25">
      <c r="A4937">
        <f ca="1">27600.6395916333*((RANDBETWEEN(2979,3282)))</f>
        <v>83464334.125099078</v>
      </c>
      <c r="B4937">
        <v>161771967.27695182</v>
      </c>
    </row>
    <row r="4938" spans="1:2" x14ac:dyDescent="0.25">
      <c r="A4938">
        <f ca="1">28442.511434877*((RANDBETWEEN(2979,3282)))</f>
        <v>86579004.807765678</v>
      </c>
      <c r="B4938">
        <v>199985717.37167647</v>
      </c>
    </row>
    <row r="4939" spans="1:2" x14ac:dyDescent="0.25">
      <c r="A4939">
        <f ca="1">32459.19060521*((RANDBETWEEN(2979,3282)))</f>
        <v>97215275.862603992</v>
      </c>
      <c r="B4939">
        <v>162042719.93724835</v>
      </c>
    </row>
    <row r="4940" spans="1:2" x14ac:dyDescent="0.25">
      <c r="A4940">
        <f ca="1">25567.816976769*((RANDBETWEEN(2979,3282)))</f>
        <v>81714743.057753742</v>
      </c>
      <c r="B4940">
        <v>182236828.99771002</v>
      </c>
    </row>
    <row r="4941" spans="1:2" x14ac:dyDescent="0.25">
      <c r="A4941">
        <f ca="1">28112.4811453999*((RANDBETWEEN(2979,3282)))</f>
        <v>90325401.92016986</v>
      </c>
      <c r="B4941">
        <v>144706485.96437079</v>
      </c>
    </row>
    <row r="4942" spans="1:2" x14ac:dyDescent="0.25">
      <c r="A4942">
        <f ca="1">28359.6873335239*((RANDBETWEEN(2979,3282)))</f>
        <v>90240525.095273182</v>
      </c>
      <c r="B4942">
        <v>151405861.37922025</v>
      </c>
    </row>
    <row r="4943" spans="1:2" x14ac:dyDescent="0.25">
      <c r="A4943">
        <f ca="1">33087.5224694585*((RANDBETWEEN(2979,3282)))</f>
        <v>100817680.96443996</v>
      </c>
      <c r="B4943">
        <v>198571905.42167628</v>
      </c>
    </row>
    <row r="4944" spans="1:2" x14ac:dyDescent="0.25">
      <c r="A4944">
        <f ca="1">26368.4523962967*((RANDBETWEEN(2979,3282)))</f>
        <v>80792938.14225316</v>
      </c>
      <c r="B4944">
        <v>164816967.51620573</v>
      </c>
    </row>
    <row r="4945" spans="1:2" x14ac:dyDescent="0.25">
      <c r="A4945">
        <f ca="1">27649.1424869244*((RANDBETWEEN(2979,3282)))</f>
        <v>85850587.421900377</v>
      </c>
      <c r="B4945">
        <v>145723324.08004963</v>
      </c>
    </row>
    <row r="4946" spans="1:2" x14ac:dyDescent="0.25">
      <c r="A4946">
        <f ca="1">26309.3430441243*((RANDBETWEEN(2979,3282)))</f>
        <v>82085150.297667667</v>
      </c>
      <c r="B4946">
        <v>156337238.78130025</v>
      </c>
    </row>
    <row r="4947" spans="1:2" x14ac:dyDescent="0.25">
      <c r="A4947">
        <f ca="1">26983.4587513361*((RANDBETWEEN(2979,3282)))</f>
        <v>83028102.57786122</v>
      </c>
      <c r="B4947">
        <v>168766751.69225681</v>
      </c>
    </row>
    <row r="4948" spans="1:2" x14ac:dyDescent="0.25">
      <c r="A4948">
        <f ca="1">26962.3078323112*((RANDBETWEEN(2979,3282)))</f>
        <v>82288963.504213825</v>
      </c>
      <c r="B4948">
        <v>161459739.05622333</v>
      </c>
    </row>
    <row r="4949" spans="1:2" x14ac:dyDescent="0.25">
      <c r="A4949">
        <f ca="1">26518.6697722371*((RANDBETWEEN(2979,3282)))</f>
        <v>85045373.959564507</v>
      </c>
      <c r="B4949">
        <v>143166245.0498023</v>
      </c>
    </row>
    <row r="4950" spans="1:2" x14ac:dyDescent="0.25">
      <c r="A4950">
        <f ca="1">27098.7256200785*((RANDBETWEEN(2979,3282)))</f>
        <v>84493826.483404875</v>
      </c>
      <c r="B4950">
        <v>152786797.44597688</v>
      </c>
    </row>
    <row r="4951" spans="1:2" x14ac:dyDescent="0.25">
      <c r="A4951">
        <f ca="1">29960.2972203374*((RANDBETWEEN(2979,3282)))</f>
        <v>95423546.646774545</v>
      </c>
      <c r="B4951">
        <v>188295557.15933937</v>
      </c>
    </row>
    <row r="4952" spans="1:2" x14ac:dyDescent="0.25">
      <c r="A4952">
        <f ca="1">28541.1434351007*((RANDBETWEEN(2979,3282)))</f>
        <v>93529327.036825076</v>
      </c>
      <c r="B4952">
        <v>187565861.39753187</v>
      </c>
    </row>
    <row r="4953" spans="1:2" x14ac:dyDescent="0.25">
      <c r="A4953">
        <f ca="1">26708.4509235505*((RANDBETWEEN(2979,3282)))</f>
        <v>81193690.807593375</v>
      </c>
      <c r="B4953">
        <v>148653576.02186877</v>
      </c>
    </row>
    <row r="4954" spans="1:2" x14ac:dyDescent="0.25">
      <c r="A4954">
        <f ca="1">27114.9856389425*((RANDBETWEEN(2979,3282)))</f>
        <v>84083570.466360599</v>
      </c>
      <c r="B4954">
        <v>172831912.84090263</v>
      </c>
    </row>
    <row r="4955" spans="1:2" x14ac:dyDescent="0.25">
      <c r="A4955">
        <f ca="1">29404.8597386894*((RANDBETWEEN(2979,3282)))</f>
        <v>95212935.833876118</v>
      </c>
      <c r="B4955">
        <v>190686976.98117968</v>
      </c>
    </row>
    <row r="4956" spans="1:2" x14ac:dyDescent="0.25">
      <c r="A4956">
        <f ca="1">25362.4925860869*((RANDBETWEEN(2979,3282)))</f>
        <v>80779538.886686876</v>
      </c>
      <c r="B4956">
        <v>153030736.78494945</v>
      </c>
    </row>
    <row r="4957" spans="1:2" x14ac:dyDescent="0.25">
      <c r="A4957">
        <f ca="1">27589.4324347863*((RANDBETWEEN(2979,3282)))</f>
        <v>86354923.520881236</v>
      </c>
      <c r="B4957">
        <v>145204833.27619839</v>
      </c>
    </row>
    <row r="4958" spans="1:2" x14ac:dyDescent="0.25">
      <c r="A4958">
        <f ca="1">30603.0785333573*((RANDBETWEEN(2979,3282)))</f>
        <v>95175574.238741234</v>
      </c>
      <c r="B4958">
        <v>153608758.42771703</v>
      </c>
    </row>
    <row r="4959" spans="1:2" x14ac:dyDescent="0.25">
      <c r="A4959">
        <f ca="1">29863.9898186237*((RANDBETWEEN(2979,3282)))</f>
        <v>94549391.765762508</v>
      </c>
      <c r="B4959">
        <v>163822015.37853816</v>
      </c>
    </row>
    <row r="4960" spans="1:2" x14ac:dyDescent="0.25">
      <c r="A4960">
        <f ca="1">25163.3897683132*((RANDBETWEEN(2979,3282)))</f>
        <v>75364352.356098175</v>
      </c>
      <c r="B4960">
        <v>148121548.52864411</v>
      </c>
    </row>
    <row r="4961" spans="1:2" x14ac:dyDescent="0.25">
      <c r="A4961">
        <f ca="1">32278.9086826656*((RANDBETWEEN(2979,3282)))</f>
        <v>101872235.80249262</v>
      </c>
      <c r="B4961">
        <v>184599440.98287165</v>
      </c>
    </row>
    <row r="4962" spans="1:2" x14ac:dyDescent="0.25">
      <c r="A4962">
        <f ca="1">25741.9092204235*((RANDBETWEEN(2979,3282)))</f>
        <v>78744500.305275485</v>
      </c>
      <c r="B4962">
        <v>153579273.26515055</v>
      </c>
    </row>
    <row r="4963" spans="1:2" x14ac:dyDescent="0.25">
      <c r="A4963">
        <f ca="1">28959.8773703466*((RANDBETWEEN(2979,3282)))</f>
        <v>90354817.395481333</v>
      </c>
      <c r="B4963">
        <v>196600577.26929313</v>
      </c>
    </row>
    <row r="4964" spans="1:2" x14ac:dyDescent="0.25">
      <c r="A4964">
        <f ca="1">29329.1369590447*((RANDBETWEEN(2979,3282)))</f>
        <v>93589276.036311582</v>
      </c>
      <c r="B4964">
        <v>147486078.3509829</v>
      </c>
    </row>
    <row r="4965" spans="1:2" x14ac:dyDescent="0.25">
      <c r="A4965">
        <f ca="1">28476.836318961*((RANDBETWEEN(2979,3282)))</f>
        <v>92350380.182390675</v>
      </c>
      <c r="B4965">
        <v>168770544.83796641</v>
      </c>
    </row>
    <row r="4966" spans="1:2" x14ac:dyDescent="0.25">
      <c r="A4966">
        <f ca="1">26366.7607534177*((RANDBETWEEN(2979,3282)))</f>
        <v>81499657.48881413</v>
      </c>
      <c r="B4966">
        <v>144345609.10146019</v>
      </c>
    </row>
    <row r="4967" spans="1:2" x14ac:dyDescent="0.25">
      <c r="A4967">
        <f ca="1">26018.7022732017*((RANDBETWEEN(2979,3282)))</f>
        <v>78758611.78098166</v>
      </c>
      <c r="B4967">
        <v>150823643.87265459</v>
      </c>
    </row>
    <row r="4968" spans="1:2" x14ac:dyDescent="0.25">
      <c r="A4968">
        <f ca="1">26429.7871661816*((RANDBETWEEN(2979,3282)))</f>
        <v>86689701.905075535</v>
      </c>
      <c r="B4968">
        <v>158793906.11333779</v>
      </c>
    </row>
    <row r="4969" spans="1:2" x14ac:dyDescent="0.25">
      <c r="A4969">
        <f ca="1">28037.1860742853*((RANDBETWEEN(2979,3282)))</f>
        <v>85485380.340496033</v>
      </c>
      <c r="B4969">
        <v>173517090.13590813</v>
      </c>
    </row>
    <row r="4970" spans="1:2" x14ac:dyDescent="0.25">
      <c r="A4970">
        <f ca="1">28081.0826857473*((RANDBETWEEN(2979,3282)))</f>
        <v>91768978.217022166</v>
      </c>
      <c r="B4970">
        <v>168802396.71549487</v>
      </c>
    </row>
    <row r="4971" spans="1:2" x14ac:dyDescent="0.25">
      <c r="A4971">
        <f ca="1">26377.6845044139*((RANDBETWEEN(2979,3282)))</f>
        <v>80214538.577922627</v>
      </c>
      <c r="B4971">
        <v>186016882.98265141</v>
      </c>
    </row>
    <row r="4972" spans="1:2" x14ac:dyDescent="0.25">
      <c r="A4972">
        <f ca="1">29782.4803233035*((RANDBETWEEN(2979,3282)))</f>
        <v>91164172.269632027</v>
      </c>
      <c r="B4972">
        <v>177927584.87333328</v>
      </c>
    </row>
    <row r="4973" spans="1:2" x14ac:dyDescent="0.25">
      <c r="A4973">
        <f ca="1">30081.6586572647*((RANDBETWEEN(2979,3282)))</f>
        <v>91237670.707483783</v>
      </c>
      <c r="B4973">
        <v>185945176.10588726</v>
      </c>
    </row>
    <row r="4974" spans="1:2" x14ac:dyDescent="0.25">
      <c r="A4974">
        <f ca="1">26434.5488097359*((RANDBETWEEN(2979,3282)))</f>
        <v>84352645.251867279</v>
      </c>
      <c r="B4974">
        <v>171604314.62161994</v>
      </c>
    </row>
    <row r="4975" spans="1:2" x14ac:dyDescent="0.25">
      <c r="A4975">
        <f ca="1">30354.323039971*((RANDBETWEEN(2979,3282)))</f>
        <v>93096708.763591111</v>
      </c>
      <c r="B4975">
        <v>165287387.01903847</v>
      </c>
    </row>
    <row r="4976" spans="1:2" x14ac:dyDescent="0.25">
      <c r="A4976">
        <f ca="1">29165.3527900469*((RANDBETWEEN(2979,3282)))</f>
        <v>94699900.509282321</v>
      </c>
      <c r="B4976">
        <v>201093064.25530061</v>
      </c>
    </row>
    <row r="4977" spans="1:2" x14ac:dyDescent="0.25">
      <c r="A4977">
        <f ca="1">29719.7375156374*((RANDBETWEEN(2979,3282)))</f>
        <v>97005223.251040503</v>
      </c>
      <c r="B4977">
        <v>172444577.02143463</v>
      </c>
    </row>
    <row r="4978" spans="1:2" x14ac:dyDescent="0.25">
      <c r="A4978">
        <f ca="1">27370.0353959121*((RANDBETWEEN(2979,3282)))</f>
        <v>89636865.921612069</v>
      </c>
      <c r="B4978">
        <v>195283922.12646973</v>
      </c>
    </row>
    <row r="4979" spans="1:2" x14ac:dyDescent="0.25">
      <c r="A4979">
        <f ca="1">31780.4961342902*((RANDBETWEEN(2979,3282)))</f>
        <v>101030197.21090855</v>
      </c>
      <c r="B4979">
        <v>145916368.01627481</v>
      </c>
    </row>
    <row r="4980" spans="1:2" x14ac:dyDescent="0.25">
      <c r="A4980">
        <f ca="1">27757.5702523916*((RANDBETWEEN(2979,3282)))</f>
        <v>89046285.369672343</v>
      </c>
      <c r="B4980">
        <v>144794067.61996725</v>
      </c>
    </row>
    <row r="4981" spans="1:2" x14ac:dyDescent="0.25">
      <c r="A4981">
        <f ca="1">29403.1802726895*((RANDBETWEEN(2979,3282)))</f>
        <v>88356556.719431967</v>
      </c>
      <c r="B4981">
        <v>162225633.04562831</v>
      </c>
    </row>
    <row r="4982" spans="1:2" x14ac:dyDescent="0.25">
      <c r="A4982">
        <f ca="1">33970.148118702*((RANDBETWEEN(2979,3282)))</f>
        <v>101876474.20798717</v>
      </c>
      <c r="B4982">
        <v>175531001.85593832</v>
      </c>
    </row>
    <row r="4983" spans="1:2" x14ac:dyDescent="0.25">
      <c r="A4983">
        <f ca="1">26526.2944377866*((RANDBETWEEN(2979,3282)))</f>
        <v>84910668.49535501</v>
      </c>
      <c r="B4983">
        <v>168898214.66584775</v>
      </c>
    </row>
    <row r="4984" spans="1:2" x14ac:dyDescent="0.25">
      <c r="A4984">
        <f ca="1">26211.3166080451*((RANDBETWEEN(2979,3282)))</f>
        <v>78266991.391622603</v>
      </c>
      <c r="B4984">
        <v>201078553.86944613</v>
      </c>
    </row>
    <row r="4985" spans="1:2" x14ac:dyDescent="0.25">
      <c r="A4985">
        <f ca="1">27763.0352394317*((RANDBETWEEN(2979,3282)))</f>
        <v>83761077.317365289</v>
      </c>
      <c r="B4985">
        <v>201471277.49688995</v>
      </c>
    </row>
    <row r="4986" spans="1:2" x14ac:dyDescent="0.25">
      <c r="A4986">
        <f ca="1">26994.291560579*((RANDBETWEEN(2979,3282)))</f>
        <v>81819697.720115021</v>
      </c>
      <c r="B4986">
        <v>148032623.3429566</v>
      </c>
    </row>
    <row r="4987" spans="1:2" x14ac:dyDescent="0.25">
      <c r="A4987">
        <f ca="1">27855.4284717446*((RANDBETWEEN(2979,3282)))</f>
        <v>87549611.686693132</v>
      </c>
      <c r="B4987">
        <v>193508369.63762918</v>
      </c>
    </row>
    <row r="4988" spans="1:2" x14ac:dyDescent="0.25">
      <c r="A4988">
        <f ca="1">31330.1944349742*((RANDBETWEEN(2979,3282)))</f>
        <v>100851895.88618204</v>
      </c>
      <c r="B4988">
        <v>148717101.53534123</v>
      </c>
    </row>
    <row r="4989" spans="1:2" x14ac:dyDescent="0.25">
      <c r="A4989">
        <f ca="1">27118.0116648981*((RANDBETWEEN(2979,3282)))</f>
        <v>81923513.239657059</v>
      </c>
      <c r="B4989">
        <v>200763296.03138167</v>
      </c>
    </row>
    <row r="4990" spans="1:2" x14ac:dyDescent="0.25">
      <c r="A4990">
        <f ca="1">32255.3922994166*((RANDBETWEEN(2979,3282)))</f>
        <v>104733258.79620577</v>
      </c>
      <c r="B4990">
        <v>162681227.02288592</v>
      </c>
    </row>
    <row r="4991" spans="1:2" x14ac:dyDescent="0.25">
      <c r="A4991">
        <f ca="1">31702.6291658342*((RANDBETWEEN(2979,3282)))</f>
        <v>102526302.72230773</v>
      </c>
      <c r="B4991">
        <v>190690924.59878555</v>
      </c>
    </row>
    <row r="4992" spans="1:2" x14ac:dyDescent="0.25">
      <c r="A4992">
        <f ca="1">29987.4605517694*((RANDBETWEEN(2979,3282)))</f>
        <v>98148958.385941237</v>
      </c>
      <c r="B4992">
        <v>188508408.37886789</v>
      </c>
    </row>
    <row r="4993" spans="1:2" x14ac:dyDescent="0.25">
      <c r="A4993">
        <f ca="1">26573.5758930829*((RANDBETWEEN(2979,3282)))</f>
        <v>82803262.482846394</v>
      </c>
      <c r="B4993">
        <v>164457674.63921922</v>
      </c>
    </row>
    <row r="4994" spans="1:2" x14ac:dyDescent="0.25">
      <c r="A4994">
        <f ca="1">27643.5936268043*((RANDBETWEEN(2979,3282)))</f>
        <v>85778071.023973897</v>
      </c>
      <c r="B4994">
        <v>172348052.75495204</v>
      </c>
    </row>
    <row r="4995" spans="1:2" x14ac:dyDescent="0.25">
      <c r="A4995">
        <f ca="1">26689.4119922754*((RANDBETWEEN(2979,3282)))</f>
        <v>84872330.13543573</v>
      </c>
      <c r="B4995">
        <v>144870488.6907703</v>
      </c>
    </row>
    <row r="4996" spans="1:2" x14ac:dyDescent="0.25">
      <c r="A4996">
        <f ca="1">27099.5068163078*((RANDBETWEEN(2979,3282)))</f>
        <v>85580242.525900185</v>
      </c>
      <c r="B4996">
        <v>144334247.02873537</v>
      </c>
    </row>
    <row r="4997" spans="1:2" x14ac:dyDescent="0.25">
      <c r="A4997">
        <f ca="1">28417.4632685259*((RANDBETWEEN(2979,3282)))</f>
        <v>92186250.843098</v>
      </c>
      <c r="B4997">
        <v>195165720.92459142</v>
      </c>
    </row>
    <row r="4998" spans="1:2" x14ac:dyDescent="0.25">
      <c r="A4998">
        <f ca="1">26334.6380094198*((RANDBETWEEN(2979,3282)))</f>
        <v>80742000.136881202</v>
      </c>
      <c r="B4998">
        <v>194517416.55912316</v>
      </c>
    </row>
    <row r="4999" spans="1:2" x14ac:dyDescent="0.25">
      <c r="A4999">
        <f ca="1">27324.3831096117*((RANDBETWEEN(2979,3282)))</f>
        <v>82027798.095054418</v>
      </c>
      <c r="B4999">
        <v>178421589.75890782</v>
      </c>
    </row>
    <row r="5000" spans="1:2" x14ac:dyDescent="0.25">
      <c r="A5000">
        <f ca="1">28729.6594128616*((RANDBETWEEN(2979,3282)))</f>
        <v>88113865.419246674</v>
      </c>
      <c r="B5000">
        <v>143840656.03581831</v>
      </c>
    </row>
    <row r="5001" spans="1:2" x14ac:dyDescent="0.25">
      <c r="A5001">
        <f ca="1">27409.5680369682*((RANDBETWEEN(2979,3282)))</f>
        <v>86148272.340190902</v>
      </c>
      <c r="B5001">
        <v>172326077.75631487</v>
      </c>
    </row>
    <row r="5002" spans="1:2" x14ac:dyDescent="0.25">
      <c r="A5002">
        <f ca="1">26725.2259346886*((RANDBETWEEN(2979,3282)))</f>
        <v>83115452.656881526</v>
      </c>
      <c r="B5002">
        <v>144793033.12353909</v>
      </c>
    </row>
    <row r="5003" spans="1:2" x14ac:dyDescent="0.25">
      <c r="A5003">
        <f ca="1">25946.1889838159*((RANDBETWEEN(2979,3282)))</f>
        <v>82119688.13377741</v>
      </c>
      <c r="B5003">
        <v>148479348.81618577</v>
      </c>
    </row>
    <row r="5004" spans="1:2" x14ac:dyDescent="0.25">
      <c r="A5004">
        <f ca="1">30158.4891802104*((RANDBETWEEN(2979,3282)))</f>
        <v>89842139.267846704</v>
      </c>
      <c r="B5004">
        <v>195939450.4830144</v>
      </c>
    </row>
    <row r="5005" spans="1:2" x14ac:dyDescent="0.25">
      <c r="A5005">
        <f ca="1">29280.7906177335*((RANDBETWEEN(2979,3282)))</f>
        <v>93259318.117481068</v>
      </c>
      <c r="B5005">
        <v>152148947.81956428</v>
      </c>
    </row>
    <row r="5006" spans="1:2" x14ac:dyDescent="0.25">
      <c r="A5006">
        <f ca="1">27196.1597395709*((RANDBETWEEN(2979,3282)))</f>
        <v>84933606.866679922</v>
      </c>
      <c r="B5006">
        <v>190064710.06048912</v>
      </c>
    </row>
    <row r="5007" spans="1:2" x14ac:dyDescent="0.25">
      <c r="A5007">
        <f ca="1">25974.8281526404*((RANDBETWEEN(2979,3282)))</f>
        <v>85067562.199897394</v>
      </c>
      <c r="B5007">
        <v>147024472.48676628</v>
      </c>
    </row>
    <row r="5008" spans="1:2" x14ac:dyDescent="0.25">
      <c r="A5008">
        <f ca="1">25685.5104818711*((RANDBETWEEN(2979,3282)))</f>
        <v>79470969.430909157</v>
      </c>
      <c r="B5008">
        <v>160862143.31397864</v>
      </c>
    </row>
    <row r="5009" spans="1:2" x14ac:dyDescent="0.25">
      <c r="A5009">
        <f ca="1">26071.0083089143*((RANDBETWEEN(2979,3282)))</f>
        <v>84939345.070442855</v>
      </c>
      <c r="B5009">
        <v>147774223.93009931</v>
      </c>
    </row>
    <row r="5010" spans="1:2" x14ac:dyDescent="0.25">
      <c r="A5010">
        <f ca="1">26586.8257856104*((RANDBETWEEN(2979,3282)))</f>
        <v>82950896.451104432</v>
      </c>
      <c r="B5010">
        <v>157030053.44819432</v>
      </c>
    </row>
    <row r="5011" spans="1:2" x14ac:dyDescent="0.25">
      <c r="A5011">
        <f ca="1">26293.3023210958*((RANDBETWEEN(2979,3282)))</f>
        <v>84848486.590176135</v>
      </c>
      <c r="B5011">
        <v>149346504.30912012</v>
      </c>
    </row>
    <row r="5012" spans="1:2" x14ac:dyDescent="0.25">
      <c r="A5012">
        <f ca="1">26591.5065650571*((RANDBETWEEN(2979,3282)))</f>
        <v>82087980.766331211</v>
      </c>
      <c r="B5012">
        <v>176488609.66424376</v>
      </c>
    </row>
    <row r="5013" spans="1:2" x14ac:dyDescent="0.25">
      <c r="A5013">
        <f ca="1">28314.9740367755*((RANDBETWEEN(2979,3282)))</f>
        <v>90947696.606122896</v>
      </c>
      <c r="B5013">
        <v>150290235.55814683</v>
      </c>
    </row>
    <row r="5014" spans="1:2" x14ac:dyDescent="0.25">
      <c r="A5014">
        <f ca="1">28549.9024649381*((RANDBETWEEN(2979,3282)))</f>
        <v>88133548.909263954</v>
      </c>
      <c r="B5014">
        <v>169902204.23313898</v>
      </c>
    </row>
    <row r="5015" spans="1:2" x14ac:dyDescent="0.25">
      <c r="A5015">
        <f ca="1">27187.2996268706*((RANDBETWEEN(2979,3282)))</f>
        <v>86156552.517552853</v>
      </c>
      <c r="B5015">
        <v>187730724.1446867</v>
      </c>
    </row>
    <row r="5016" spans="1:2" x14ac:dyDescent="0.25">
      <c r="A5016">
        <f ca="1">31612.9517359244*((RANDBETWEEN(2979,3282)))</f>
        <v>95882082.615058586</v>
      </c>
      <c r="B5016">
        <v>174936193.48670506</v>
      </c>
    </row>
    <row r="5017" spans="1:2" x14ac:dyDescent="0.25">
      <c r="A5017">
        <f ca="1">25824.8787074989*((RANDBETWEEN(2979,3282)))</f>
        <v>83207759.195561454</v>
      </c>
      <c r="B5017">
        <v>144369389.21766621</v>
      </c>
    </row>
    <row r="5018" spans="1:2" x14ac:dyDescent="0.25">
      <c r="A5018">
        <f ca="1">27421.1787053567*((RANDBETWEEN(2979,3282)))</f>
        <v>83991070.374507591</v>
      </c>
      <c r="B5018">
        <v>169302374.60052127</v>
      </c>
    </row>
    <row r="5019" spans="1:2" x14ac:dyDescent="0.25">
      <c r="A5019">
        <f ca="1">27149.6555001941*((RANDBETWEEN(2979,3282)))</f>
        <v>87313292.088624105</v>
      </c>
      <c r="B5019">
        <v>167313586.60553211</v>
      </c>
    </row>
    <row r="5020" spans="1:2" x14ac:dyDescent="0.25">
      <c r="A5020">
        <f ca="1">27929.4627862665*((RANDBETWEEN(2979,3282)))</f>
        <v>88340890.792960912</v>
      </c>
      <c r="B5020">
        <v>155355543.91020083</v>
      </c>
    </row>
    <row r="5021" spans="1:2" x14ac:dyDescent="0.25">
      <c r="A5021">
        <f ca="1">28239.7505461049*((RANDBETWEEN(2979,3282)))</f>
        <v>90621359.502450675</v>
      </c>
      <c r="B5021">
        <v>175059920.95468029</v>
      </c>
    </row>
    <row r="5022" spans="1:2" x14ac:dyDescent="0.25">
      <c r="A5022">
        <f ca="1">26860.607361083*((RANDBETWEEN(2979,3282)))</f>
        <v>81844270.629219919</v>
      </c>
      <c r="B5022">
        <v>162168760.69535053</v>
      </c>
    </row>
    <row r="5023" spans="1:2" x14ac:dyDescent="0.25">
      <c r="A5023">
        <f ca="1">27524.6657428254*((RANDBETWEEN(2979,3282)))</f>
        <v>85326463.802758858</v>
      </c>
      <c r="B5023">
        <v>178864783.71804291</v>
      </c>
    </row>
    <row r="5024" spans="1:2" x14ac:dyDescent="0.25">
      <c r="A5024">
        <f ca="1">28402.0649193238*((RANDBETWEEN(2979,3282)))</f>
        <v>88273617.769258291</v>
      </c>
      <c r="B5024">
        <v>169933453.32980567</v>
      </c>
    </row>
    <row r="5025" spans="1:2" x14ac:dyDescent="0.25">
      <c r="A5025">
        <f ca="1">25800.5113871392*((RANDBETWEEN(2979,3282)))</f>
        <v>78227150.525806174</v>
      </c>
      <c r="B5025">
        <v>167201707.61386931</v>
      </c>
    </row>
    <row r="5026" spans="1:2" x14ac:dyDescent="0.25">
      <c r="A5026">
        <f ca="1">30454.277734584*((RANDBETWEEN(2979,3282)))</f>
        <v>97301417.361995921</v>
      </c>
      <c r="B5026">
        <v>170816355.19258907</v>
      </c>
    </row>
    <row r="5027" spans="1:2" x14ac:dyDescent="0.25">
      <c r="A5027">
        <f ca="1">29620.8116816049*((RANDBETWEEN(2979,3282)))</f>
        <v>95438255.238131121</v>
      </c>
      <c r="B5027">
        <v>201836391.80670637</v>
      </c>
    </row>
    <row r="5028" spans="1:2" x14ac:dyDescent="0.25">
      <c r="A5028">
        <f ca="1">25817.3311551916*((RANDBETWEEN(2979,3282)))</f>
        <v>79259206.646438345</v>
      </c>
      <c r="B5028">
        <v>170308314.2854771</v>
      </c>
    </row>
    <row r="5029" spans="1:2" x14ac:dyDescent="0.25">
      <c r="A5029">
        <f ca="1">26431.8112947492*((RANDBETWEEN(2979,3282)))</f>
        <v>81991478.636312097</v>
      </c>
      <c r="B5029">
        <v>146425591.69855583</v>
      </c>
    </row>
    <row r="5030" spans="1:2" x14ac:dyDescent="0.25">
      <c r="A5030">
        <f ca="1">27337.4993941698*((RANDBETWEEN(2979,3282)))</f>
        <v>85757735.599510595</v>
      </c>
      <c r="B5030">
        <v>148529746.85640025</v>
      </c>
    </row>
    <row r="5031" spans="1:2" x14ac:dyDescent="0.25">
      <c r="A5031">
        <f ca="1">27516.943910379*((RANDBETWEEN(2979,3282)))</f>
        <v>84339433.085311711</v>
      </c>
      <c r="B5031">
        <v>182758328.87322572</v>
      </c>
    </row>
    <row r="5032" spans="1:2" x14ac:dyDescent="0.25">
      <c r="A5032">
        <f ca="1">26881.5548197681*((RANDBETWEEN(2979,3282)))</f>
        <v>82983359.72862421</v>
      </c>
      <c r="B5032">
        <v>177613299.54052231</v>
      </c>
    </row>
    <row r="5033" spans="1:2" x14ac:dyDescent="0.25">
      <c r="A5033">
        <f ca="1">26204.8749890067*((RANDBETWEEN(2979,3282)))</f>
        <v>81890234.340646073</v>
      </c>
      <c r="B5033">
        <v>143335953.18161097</v>
      </c>
    </row>
    <row r="5034" spans="1:2" x14ac:dyDescent="0.25">
      <c r="A5034">
        <f ca="1">26867.210208239*((RANDBETWEEN(2979,3282)))</f>
        <v>87130362.705319121</v>
      </c>
      <c r="B5034">
        <v>157934257.91493732</v>
      </c>
    </row>
    <row r="5035" spans="1:2" x14ac:dyDescent="0.25">
      <c r="A5035">
        <f ca="1">28210.8949244001*((RANDBETWEEN(2979,3282)))</f>
        <v>85930385.939722776</v>
      </c>
      <c r="B5035">
        <v>149916557.34344289</v>
      </c>
    </row>
    <row r="5036" spans="1:2" x14ac:dyDescent="0.25">
      <c r="A5036">
        <f ca="1">25732.8086998729*((RANDBETWEEN(2979,3282)))</f>
        <v>79643042.926106557</v>
      </c>
      <c r="B5036">
        <v>144267821.73603544</v>
      </c>
    </row>
    <row r="5037" spans="1:2" x14ac:dyDescent="0.25">
      <c r="A5037">
        <f ca="1">25471.4069121747*((RANDBETWEEN(2979,3282)))</f>
        <v>80795302.725418136</v>
      </c>
      <c r="B5037">
        <v>145468223.70677596</v>
      </c>
    </row>
    <row r="5038" spans="1:2" x14ac:dyDescent="0.25">
      <c r="A5038">
        <f ca="1">25185.128133526*((RANDBETWEEN(2979,3282)))</f>
        <v>79761300.798876762</v>
      </c>
      <c r="B5038">
        <v>154226974.40603533</v>
      </c>
    </row>
    <row r="5039" spans="1:2" x14ac:dyDescent="0.25">
      <c r="A5039">
        <f ca="1">30419.9532364042*((RANDBETWEEN(2979,3282)))</f>
        <v>96552931.572346807</v>
      </c>
      <c r="B5039">
        <v>194027790.65277934</v>
      </c>
    </row>
    <row r="5040" spans="1:2" x14ac:dyDescent="0.25">
      <c r="A5040">
        <f ca="1">27408.7169632099*((RANDBETWEEN(2979,3282)))</f>
        <v>88420520.923315093</v>
      </c>
      <c r="B5040">
        <v>179271133.81016782</v>
      </c>
    </row>
    <row r="5041" spans="1:2" x14ac:dyDescent="0.25">
      <c r="A5041">
        <f ca="1">27517.6746821641*((RANDBETWEEN(2979,3282)))</f>
        <v>88937124.572754472</v>
      </c>
      <c r="B5041">
        <v>153829212.08328339</v>
      </c>
    </row>
    <row r="5042" spans="1:2" x14ac:dyDescent="0.25">
      <c r="A5042">
        <f ca="1">27838.481056476*((RANDBETWEEN(2979,3282)))</f>
        <v>85491975.324437693</v>
      </c>
      <c r="B5042">
        <v>164417498.26849139</v>
      </c>
    </row>
    <row r="5043" spans="1:2" x14ac:dyDescent="0.25">
      <c r="A5043">
        <f ca="1">26841.1391404243*((RANDBETWEEN(2979,3282)))</f>
        <v>86482150.310447067</v>
      </c>
      <c r="B5043">
        <v>161403576.41580087</v>
      </c>
    </row>
    <row r="5044" spans="1:2" x14ac:dyDescent="0.25">
      <c r="A5044">
        <f ca="1">26230.5187638723*((RANDBETWEEN(2979,3282)))</f>
        <v>83072052.92518355</v>
      </c>
      <c r="B5044">
        <v>143248444.43000811</v>
      </c>
    </row>
    <row r="5045" spans="1:2" x14ac:dyDescent="0.25">
      <c r="A5045">
        <f ca="1">28900.1574507826*((RANDBETWEEN(2979,3282)))</f>
        <v>86411470.777839959</v>
      </c>
      <c r="B5045">
        <v>149745162.69117039</v>
      </c>
    </row>
    <row r="5046" spans="1:2" x14ac:dyDescent="0.25">
      <c r="A5046">
        <f ca="1">27474.7452869094*((RANDBETWEEN(2979,3282)))</f>
        <v>85501407.332862169</v>
      </c>
      <c r="B5046">
        <v>152734501.03067687</v>
      </c>
    </row>
    <row r="5047" spans="1:2" x14ac:dyDescent="0.25">
      <c r="A5047">
        <f ca="1">25512.6634547262*((RANDBETWEEN(2979,3282)))</f>
        <v>82507953.612584591</v>
      </c>
      <c r="B5047">
        <v>147576392.68145031</v>
      </c>
    </row>
    <row r="5048" spans="1:2" x14ac:dyDescent="0.25">
      <c r="A5048">
        <f ca="1">26037.9340835416*((RANDBETWEEN(2979,3282)))</f>
        <v>81941378.560905263</v>
      </c>
      <c r="B5048">
        <v>150946849.83305883</v>
      </c>
    </row>
    <row r="5049" spans="1:2" x14ac:dyDescent="0.25">
      <c r="A5049">
        <f ca="1">29588.5275731363*((RANDBETWEEN(2979,3282)))</f>
        <v>95452589.950937778</v>
      </c>
      <c r="B5049">
        <v>166561211.63644218</v>
      </c>
    </row>
    <row r="5050" spans="1:2" x14ac:dyDescent="0.25">
      <c r="A5050">
        <f ca="1">32262.285920672*((RANDBETWEEN(2979,3282)))</f>
        <v>98690332.63133575</v>
      </c>
      <c r="B5050">
        <v>158998110.4301351</v>
      </c>
    </row>
    <row r="5051" spans="1:2" x14ac:dyDescent="0.25">
      <c r="A5051">
        <f ca="1">28354.2700305989*((RANDBETWEEN(2979,3282)))</f>
        <v>89939744.537059739</v>
      </c>
      <c r="B5051">
        <v>159585203.07505691</v>
      </c>
    </row>
    <row r="5052" spans="1:2" x14ac:dyDescent="0.25">
      <c r="A5052">
        <f ca="1">31025.3440846421*((RANDBETWEEN(2979,3282)))</f>
        <v>99156999.694516033</v>
      </c>
      <c r="B5052">
        <v>193416248.36925465</v>
      </c>
    </row>
    <row r="5053" spans="1:2" x14ac:dyDescent="0.25">
      <c r="A5053">
        <f ca="1">29245.5411495581*((RANDBETWEEN(2979,3282)))</f>
        <v>92298927.868005425</v>
      </c>
      <c r="B5053">
        <v>154733257.40062886</v>
      </c>
    </row>
    <row r="5054" spans="1:2" x14ac:dyDescent="0.25">
      <c r="A5054">
        <f ca="1">26730.0172556178*((RANDBETWEEN(2979,3282)))</f>
        <v>85081644.924631551</v>
      </c>
      <c r="B5054">
        <v>173562393.39115354</v>
      </c>
    </row>
    <row r="5055" spans="1:2" x14ac:dyDescent="0.25">
      <c r="A5055">
        <f ca="1">27167.4817175651*((RANDBETWEEN(2979,3282)))</f>
        <v>82616311.903115332</v>
      </c>
      <c r="B5055">
        <v>161355367.90075997</v>
      </c>
    </row>
    <row r="5056" spans="1:2" x14ac:dyDescent="0.25">
      <c r="A5056">
        <f ca="1">28035.5714408836*((RANDBETWEEN(2979,3282)))</f>
        <v>90891322.611344576</v>
      </c>
      <c r="B5056">
        <v>146259799.95335439</v>
      </c>
    </row>
    <row r="5057" spans="1:2" x14ac:dyDescent="0.25">
      <c r="A5057">
        <f ca="1">27349.7781312473*((RANDBETWEEN(2979,3282)))</f>
        <v>83936469.084797919</v>
      </c>
      <c r="B5057">
        <v>152007667.49546468</v>
      </c>
    </row>
    <row r="5058" spans="1:2" x14ac:dyDescent="0.25">
      <c r="A5058">
        <f ca="1">25876.891315005*((RANDBETWEEN(2979,3282)))</f>
        <v>77216643.683975011</v>
      </c>
      <c r="B5058">
        <v>145748033.53692859</v>
      </c>
    </row>
    <row r="5059" spans="1:2" x14ac:dyDescent="0.25">
      <c r="A5059">
        <f ca="1">26264.4870511151*((RANDBETWEEN(2979,3282)))</f>
        <v>84860557.662152946</v>
      </c>
      <c r="B5059">
        <v>153939107.63120699</v>
      </c>
    </row>
    <row r="5060" spans="1:2" x14ac:dyDescent="0.25">
      <c r="A5060">
        <f ca="1">28354.0397433994*((RANDBETWEEN(2979,3282)))</f>
        <v>92575939.762199</v>
      </c>
      <c r="B5060">
        <v>180949953.57123095</v>
      </c>
    </row>
    <row r="5061" spans="1:2" x14ac:dyDescent="0.25">
      <c r="A5061">
        <f ca="1">33041.4390035352*((RANDBETWEEN(2979,3282)))</f>
        <v>103056248.25202617</v>
      </c>
      <c r="B5061">
        <v>196371352.4083845</v>
      </c>
    </row>
    <row r="5062" spans="1:2" x14ac:dyDescent="0.25">
      <c r="A5062">
        <f ca="1">29214.4156756817*((RANDBETWEEN(2979,3282)))</f>
        <v>94917636.530289739</v>
      </c>
      <c r="B5062">
        <v>146453738.03244072</v>
      </c>
    </row>
    <row r="5063" spans="1:2" x14ac:dyDescent="0.25">
      <c r="A5063">
        <f ca="1">30329.294697064*((RANDBETWEEN(2979,3282)))</f>
        <v>91715787.163921595</v>
      </c>
      <c r="B5063">
        <v>185408867.96041685</v>
      </c>
    </row>
    <row r="5064" spans="1:2" x14ac:dyDescent="0.25">
      <c r="A5064">
        <f ca="1">27208.3641229114*((RANDBETWEEN(2979,3282)))</f>
        <v>85679138.623048052</v>
      </c>
      <c r="B5064">
        <v>164457080.20226574</v>
      </c>
    </row>
    <row r="5065" spans="1:2" x14ac:dyDescent="0.25">
      <c r="A5065">
        <f ca="1">26181.728393734*((RANDBETWEEN(2979,3282)))</f>
        <v>83284078.020467922</v>
      </c>
      <c r="B5065">
        <v>146355437.41352773</v>
      </c>
    </row>
    <row r="5066" spans="1:2" x14ac:dyDescent="0.25">
      <c r="A5066">
        <f ca="1">26441.2019218437*((RANDBETWEEN(2979,3282)))</f>
        <v>84400316.534525007</v>
      </c>
      <c r="B5066">
        <v>162855342.78072971</v>
      </c>
    </row>
    <row r="5067" spans="1:2" x14ac:dyDescent="0.25">
      <c r="A5067">
        <f ca="1">30942.4540509503*((RANDBETWEEN(2979,3282)))</f>
        <v>93786578.22843051</v>
      </c>
      <c r="B5067">
        <v>177677189.55830842</v>
      </c>
    </row>
    <row r="5068" spans="1:2" x14ac:dyDescent="0.25">
      <c r="A5068">
        <f ca="1">30107.1619692284*((RANDBETWEEN(2979,3282)))</f>
        <v>95379489.118515626</v>
      </c>
      <c r="B5068">
        <v>193103958.07255733</v>
      </c>
    </row>
    <row r="5069" spans="1:2" x14ac:dyDescent="0.25">
      <c r="A5069">
        <f ca="1">24494.5552798147*((RANDBETWEEN(2979,3282)))</f>
        <v>77035376.355017215</v>
      </c>
      <c r="B5069">
        <v>167277993.40586221</v>
      </c>
    </row>
    <row r="5070" spans="1:2" x14ac:dyDescent="0.25">
      <c r="A5070">
        <f ca="1">26642.8313865191*((RANDBETWEEN(2979,3282)))</f>
        <v>79555494.520146117</v>
      </c>
      <c r="B5070">
        <v>159156383.0532966</v>
      </c>
    </row>
    <row r="5071" spans="1:2" x14ac:dyDescent="0.25">
      <c r="A5071">
        <f ca="1">26143.6109621932*((RANDBETWEEN(2979,3282)))</f>
        <v>80522321.76355502</v>
      </c>
      <c r="B5071">
        <v>143268363.78322393</v>
      </c>
    </row>
    <row r="5072" spans="1:2" x14ac:dyDescent="0.25">
      <c r="A5072">
        <f ca="1">31604.1134946735*((RANDBETWEEN(2979,3282)))</f>
        <v>100185039.77811486</v>
      </c>
      <c r="B5072">
        <v>180711084.71230876</v>
      </c>
    </row>
    <row r="5073" spans="1:2" x14ac:dyDescent="0.25">
      <c r="A5073">
        <f ca="1">26388.0165981583*((RANDBETWEEN(2979,3282)))</f>
        <v>85629113.861023635</v>
      </c>
      <c r="B5073">
        <v>149638094.9767071</v>
      </c>
    </row>
    <row r="5074" spans="1:2" x14ac:dyDescent="0.25">
      <c r="A5074">
        <f ca="1">27753.4548339423*((RANDBETWEEN(2979,3282)))</f>
        <v>91086838.764998734</v>
      </c>
      <c r="B5074">
        <v>168995110.15291017</v>
      </c>
    </row>
    <row r="5075" spans="1:2" x14ac:dyDescent="0.25">
      <c r="A5075">
        <f ca="1">28125.312863666*((RANDBETWEEN(2979,3282)))</f>
        <v>87694725.508910641</v>
      </c>
      <c r="B5075">
        <v>146703326.3132835</v>
      </c>
    </row>
    <row r="5076" spans="1:2" x14ac:dyDescent="0.25">
      <c r="A5076">
        <f ca="1">25106.1329075623*((RANDBETWEEN(2979,3282)))</f>
        <v>77904330.41216588</v>
      </c>
      <c r="B5076">
        <v>144450319.6355384</v>
      </c>
    </row>
    <row r="5077" spans="1:2" x14ac:dyDescent="0.25">
      <c r="A5077">
        <f ca="1">25435.0514752024*((RANDBETWEEN(2979,3282)))</f>
        <v>80501937.919015571</v>
      </c>
      <c r="B5077">
        <v>162339513.42547393</v>
      </c>
    </row>
    <row r="5078" spans="1:2" x14ac:dyDescent="0.25">
      <c r="A5078">
        <f ca="1">25926.6008116164*((RANDBETWEEN(2979,3282)))</f>
        <v>81876205.363084555</v>
      </c>
      <c r="B5078">
        <v>150051937.3799175</v>
      </c>
    </row>
    <row r="5079" spans="1:2" x14ac:dyDescent="0.25">
      <c r="A5079">
        <f ca="1">33004.0275260041*((RANDBETWEEN(2979,3282)))</f>
        <v>99870187.293688372</v>
      </c>
      <c r="B5079">
        <v>160598879.45868281</v>
      </c>
    </row>
    <row r="5080" spans="1:2" x14ac:dyDescent="0.25">
      <c r="A5080">
        <f ca="1">27070.0117829629*((RANDBETWEEN(2979,3282)))</f>
        <v>87923398.271063596</v>
      </c>
      <c r="B5080">
        <v>162379760.25709325</v>
      </c>
    </row>
    <row r="5081" spans="1:2" x14ac:dyDescent="0.25">
      <c r="A5081">
        <f ca="1">25717.4858843325*((RANDBETWEEN(2979,3282)))</f>
        <v>78592636.862520143</v>
      </c>
      <c r="B5081">
        <v>153207171.35604653</v>
      </c>
    </row>
    <row r="5082" spans="1:2" x14ac:dyDescent="0.25">
      <c r="A5082">
        <f ca="1">32295.0988094234*((RANDBETWEEN(2979,3282)))</f>
        <v>98080215.084218815</v>
      </c>
      <c r="B5082">
        <v>185819870.02348411</v>
      </c>
    </row>
    <row r="5083" spans="1:2" x14ac:dyDescent="0.25">
      <c r="A5083">
        <f ca="1">26494.3966569735*((RANDBETWEEN(2979,3282)))</f>
        <v>83881259.81597811</v>
      </c>
      <c r="B5083">
        <v>195666952.12433678</v>
      </c>
    </row>
    <row r="5084" spans="1:2" x14ac:dyDescent="0.25">
      <c r="A5084">
        <f ca="1">25972.2285106412*((RANDBETWEEN(2979,3282)))</f>
        <v>80072380.498306885</v>
      </c>
      <c r="B5084">
        <v>173020893.57762498</v>
      </c>
    </row>
    <row r="5085" spans="1:2" x14ac:dyDescent="0.25">
      <c r="A5085">
        <f ca="1">26185.3457443305*((RANDBETWEEN(2979,3282)))</f>
        <v>82405283.057408184</v>
      </c>
      <c r="B5085">
        <v>162253245.43107212</v>
      </c>
    </row>
    <row r="5086" spans="1:2" x14ac:dyDescent="0.25">
      <c r="A5086">
        <f ca="1">33230.8555519704*((RANDBETWEEN(2979,3282)))</f>
        <v>101653187.13347752</v>
      </c>
      <c r="B5086">
        <v>202156547.02469677</v>
      </c>
    </row>
    <row r="5087" spans="1:2" x14ac:dyDescent="0.25">
      <c r="A5087">
        <f ca="1">26580.0568282671*((RANDBETWEEN(2979,3282)))</f>
        <v>84684061.054859042</v>
      </c>
      <c r="B5087">
        <v>154952303.89203539</v>
      </c>
    </row>
    <row r="5088" spans="1:2" x14ac:dyDescent="0.25">
      <c r="A5088">
        <f ca="1">28612.5202937541*((RANDBETWEEN(2979,3282)))</f>
        <v>88641587.870050251</v>
      </c>
      <c r="B5088">
        <v>160607763.03954193</v>
      </c>
    </row>
    <row r="5089" spans="1:2" x14ac:dyDescent="0.25">
      <c r="A5089">
        <f ca="1">26215.1598928601*((RANDBETWEEN(2979,3282)))</f>
        <v>84045802.616509467</v>
      </c>
      <c r="B5089">
        <v>171117587.95862681</v>
      </c>
    </row>
    <row r="5090" spans="1:2" x14ac:dyDescent="0.25">
      <c r="A5090">
        <f ca="1">26311.9393203717*((RANDBETWEEN(2979,3282)))</f>
        <v>81856443.225676298</v>
      </c>
      <c r="B5090">
        <v>146514419.26528487</v>
      </c>
    </row>
    <row r="5091" spans="1:2" x14ac:dyDescent="0.25">
      <c r="A5091">
        <f ca="1">27067.6380199826*((RANDBETWEEN(2979,3282)))</f>
        <v>85939750.71344471</v>
      </c>
      <c r="B5091">
        <v>155660383.29163069</v>
      </c>
    </row>
    <row r="5092" spans="1:2" x14ac:dyDescent="0.25">
      <c r="A5092">
        <f ca="1">29211.7586816903*((RANDBETWEEN(2979,3282)))</f>
        <v>91870981.053915977</v>
      </c>
      <c r="B5092">
        <v>195175638.94533503</v>
      </c>
    </row>
    <row r="5093" spans="1:2" x14ac:dyDescent="0.25">
      <c r="A5093">
        <f ca="1">26307.1625202972*((RANDBETWEEN(2979,3282)))</f>
        <v>79289787.83617568</v>
      </c>
      <c r="B5093">
        <v>157835955.5426122</v>
      </c>
    </row>
    <row r="5094" spans="1:2" x14ac:dyDescent="0.25">
      <c r="A5094">
        <f ca="1">28861.1031716473*((RANDBETWEEN(2979,3282)))</f>
        <v>92326669.046099767</v>
      </c>
      <c r="B5094">
        <v>202914630.76485854</v>
      </c>
    </row>
    <row r="5095" spans="1:2" x14ac:dyDescent="0.25">
      <c r="A5095">
        <f ca="1">25005.6743040282*((RANDBETWEEN(2979,3282)))</f>
        <v>81618520.928348139</v>
      </c>
      <c r="B5095">
        <v>157634206.87441289</v>
      </c>
    </row>
    <row r="5096" spans="1:2" x14ac:dyDescent="0.25">
      <c r="A5096">
        <f ca="1">27889.0039084412*((RANDBETWEEN(2979,3282)))</f>
        <v>90304594.655532464</v>
      </c>
      <c r="B5096">
        <v>155544678.98634815</v>
      </c>
    </row>
    <row r="5097" spans="1:2" x14ac:dyDescent="0.25">
      <c r="A5097">
        <f ca="1">31608.5268975689*((RANDBETWEEN(2979,3282)))</f>
        <v>96121530.295506895</v>
      </c>
      <c r="B5097">
        <v>153273547.02143371</v>
      </c>
    </row>
    <row r="5098" spans="1:2" x14ac:dyDescent="0.25">
      <c r="A5098">
        <f ca="1">26881.2776375707*((RANDBETWEEN(2979,3282)))</f>
        <v>81181458.465463638</v>
      </c>
      <c r="B5098">
        <v>162852688.69529402</v>
      </c>
    </row>
    <row r="5099" spans="1:2" x14ac:dyDescent="0.25">
      <c r="A5099">
        <f ca="1">28705.367400556*((RANDBETWEEN(2979,3282)))</f>
        <v>92861863.540798813</v>
      </c>
      <c r="B5099">
        <v>191194730.85081458</v>
      </c>
    </row>
    <row r="5100" spans="1:2" x14ac:dyDescent="0.25">
      <c r="A5100">
        <f ca="1">25848.5935998019*((RANDBETWEEN(2979,3282)))</f>
        <v>82896439.674564585</v>
      </c>
      <c r="B5100">
        <v>197035369.43280363</v>
      </c>
    </row>
    <row r="5101" spans="1:2" x14ac:dyDescent="0.25">
      <c r="A5101">
        <f ca="1">25450.8305780754*((RANDBETWEEN(2979,3282)))</f>
        <v>79788353.862266287</v>
      </c>
      <c r="B5101">
        <v>154284633.82460558</v>
      </c>
    </row>
    <row r="5102" spans="1:2" x14ac:dyDescent="0.25">
      <c r="A5102">
        <f ca="1">27565.8124871556*((RANDBETWEEN(2979,3282)))</f>
        <v>82780134.8989283</v>
      </c>
      <c r="B5102">
        <v>143114784.28614861</v>
      </c>
    </row>
    <row r="5103" spans="1:2" x14ac:dyDescent="0.25">
      <c r="A5103">
        <f ca="1">26675.6715947316*((RANDBETWEEN(2979,3282)))</f>
        <v>81920987.467420653</v>
      </c>
      <c r="B5103">
        <v>163872899.27156401</v>
      </c>
    </row>
    <row r="5104" spans="1:2" x14ac:dyDescent="0.25">
      <c r="A5104">
        <f ca="1">28186.2516578339*((RANDBETWEEN(2979,3282)))</f>
        <v>91069779.106461242</v>
      </c>
      <c r="B5104">
        <v>144847378.88822031</v>
      </c>
    </row>
    <row r="5105" spans="1:2" x14ac:dyDescent="0.25">
      <c r="A5105">
        <f ca="1">27966.102325987*((RANDBETWEEN(2979,3282)))</f>
        <v>88736442.680356711</v>
      </c>
      <c r="B5105">
        <v>183374081.14194903</v>
      </c>
    </row>
    <row r="5106" spans="1:2" x14ac:dyDescent="0.25">
      <c r="A5106">
        <f ca="1">25444.4323304518*((RANDBETWEEN(2979,3282)))</f>
        <v>81244072.431132585</v>
      </c>
      <c r="B5106">
        <v>143787195.73305216</v>
      </c>
    </row>
    <row r="5107" spans="1:2" x14ac:dyDescent="0.25">
      <c r="A5107">
        <f ca="1">25750.9199927339*((RANDBETWEEN(2979,3282)))</f>
        <v>77767778.378056243</v>
      </c>
      <c r="B5107">
        <v>158313124.86609557</v>
      </c>
    </row>
    <row r="5108" spans="1:2" x14ac:dyDescent="0.25">
      <c r="A5108">
        <f ca="1">28167.5286330519*((RANDBETWEEN(2979,3282)))</f>
        <v>87770019.220589846</v>
      </c>
      <c r="B5108">
        <v>160038602.48601639</v>
      </c>
    </row>
    <row r="5109" spans="1:2" x14ac:dyDescent="0.25">
      <c r="A5109">
        <f ca="1">28035.8247871295*((RANDBETWEEN(2979,3282)))</f>
        <v>87836239.058076784</v>
      </c>
      <c r="B5109">
        <v>169911091.59534246</v>
      </c>
    </row>
    <row r="5110" spans="1:2" x14ac:dyDescent="0.25">
      <c r="A5110">
        <f ca="1">27746.152479659*((RANDBETWEEN(2979,3282)))</f>
        <v>87761080.293161377</v>
      </c>
      <c r="B5110">
        <v>153325735.38005418</v>
      </c>
    </row>
    <row r="5111" spans="1:2" x14ac:dyDescent="0.25">
      <c r="A5111">
        <f ca="1">27297.4270683555*((RANDBETWEEN(2979,3282)))</f>
        <v>89153396.80524914</v>
      </c>
      <c r="B5111">
        <v>160333459.62939379</v>
      </c>
    </row>
    <row r="5112" spans="1:2" x14ac:dyDescent="0.25">
      <c r="A5112">
        <f ca="1">27332.0412816673*((RANDBETWEEN(2979,3282)))</f>
        <v>84073358.982408613</v>
      </c>
      <c r="B5112">
        <v>149638181.19091755</v>
      </c>
    </row>
    <row r="5113" spans="1:2" x14ac:dyDescent="0.25">
      <c r="A5113">
        <f ca="1">25337.5075175664*((RANDBETWEEN(2979,3282)))</f>
        <v>82600274.507266343</v>
      </c>
      <c r="B5113">
        <v>151566467.16153982</v>
      </c>
    </row>
    <row r="5114" spans="1:2" x14ac:dyDescent="0.25">
      <c r="A5114">
        <f ca="1">27454.4486049671*((RANDBETWEEN(2979,3282)))</f>
        <v>87771872.190079927</v>
      </c>
      <c r="B5114">
        <v>170251638.69830123</v>
      </c>
    </row>
    <row r="5115" spans="1:2" x14ac:dyDescent="0.25">
      <c r="A5115">
        <f ca="1">29084.8623007402*((RANDBETWEEN(2979,3282)))</f>
        <v>92402607.529451698</v>
      </c>
      <c r="B5115">
        <v>198734338.9725596</v>
      </c>
    </row>
    <row r="5116" spans="1:2" x14ac:dyDescent="0.25">
      <c r="A5116">
        <f ca="1">31334.0148031598*((RANDBETWEEN(2979,3282)))</f>
        <v>98388806.481921807</v>
      </c>
      <c r="B5116">
        <v>177813054.74193484</v>
      </c>
    </row>
    <row r="5117" spans="1:2" x14ac:dyDescent="0.25">
      <c r="A5117">
        <f ca="1">26001.6908364673*((RANDBETWEEN(2979,3282)))</f>
        <v>79591175.650426537</v>
      </c>
      <c r="B5117">
        <v>151949608.92994922</v>
      </c>
    </row>
    <row r="5118" spans="1:2" x14ac:dyDescent="0.25">
      <c r="A5118">
        <f ca="1">30380.7922875318*((RANDBETWEEN(2979,3282)))</f>
        <v>98950240.480490953</v>
      </c>
      <c r="B5118">
        <v>175885010.65114048</v>
      </c>
    </row>
    <row r="5119" spans="1:2" x14ac:dyDescent="0.25">
      <c r="A5119">
        <f ca="1">27463.7583895356*((RANDBETWEEN(2979,3282)))</f>
        <v>83270115.43707186</v>
      </c>
      <c r="B5119">
        <v>152428829.90716356</v>
      </c>
    </row>
    <row r="5120" spans="1:2" x14ac:dyDescent="0.25">
      <c r="A5120">
        <f ca="1">30336.5737115025*((RANDBETWEEN(2979,3282)))</f>
        <v>91555779.461314574</v>
      </c>
      <c r="B5120">
        <v>182512105.91073042</v>
      </c>
    </row>
    <row r="5121" spans="1:2" x14ac:dyDescent="0.25">
      <c r="A5121">
        <f ca="1">29351.7722535641*((RANDBETWEEN(2979,3282)))</f>
        <v>89581608.917877764</v>
      </c>
      <c r="B5121">
        <v>203329374.98131752</v>
      </c>
    </row>
    <row r="5122" spans="1:2" x14ac:dyDescent="0.25">
      <c r="A5122">
        <f ca="1">28665.27564322*((RANDBETWEEN(2979,3282)))</f>
        <v>87773074.019539565</v>
      </c>
      <c r="B5122">
        <v>177596237.7523855</v>
      </c>
    </row>
    <row r="5123" spans="1:2" x14ac:dyDescent="0.25">
      <c r="A5123">
        <f ca="1">26521.3559036356*((RANDBETWEEN(2979,3282)))</f>
        <v>85080509.738862991</v>
      </c>
      <c r="B5123">
        <v>149171559.01330084</v>
      </c>
    </row>
    <row r="5124" spans="1:2" x14ac:dyDescent="0.25">
      <c r="A5124">
        <f ca="1">30594.1838790049*((RANDBETWEEN(2979,3282)))</f>
        <v>98574460.458153859</v>
      </c>
      <c r="B5124">
        <v>165119694.34592244</v>
      </c>
    </row>
    <row r="5125" spans="1:2" x14ac:dyDescent="0.25">
      <c r="A5125">
        <f ca="1">30657.22093479*((RANDBETWEEN(2979,3282)))</f>
        <v>95190671.002523094</v>
      </c>
      <c r="B5125">
        <v>158814487.86160642</v>
      </c>
    </row>
    <row r="5126" spans="1:2" x14ac:dyDescent="0.25">
      <c r="A5126">
        <f ca="1">31288.8140467124*((RANDBETWEEN(2979,3282)))</f>
        <v>102596021.25917001</v>
      </c>
      <c r="B5126">
        <v>168011578.45825687</v>
      </c>
    </row>
    <row r="5127" spans="1:2" x14ac:dyDescent="0.25">
      <c r="A5127">
        <f ca="1">28613.0614502864*((RANDBETWEEN(2979,3282)))</f>
        <v>88757716.618788436</v>
      </c>
      <c r="B5127">
        <v>194564023.99237624</v>
      </c>
    </row>
    <row r="5128" spans="1:2" x14ac:dyDescent="0.25">
      <c r="A5128">
        <f ca="1">26651.0380044527*((RANDBETWEEN(2979,3282)))</f>
        <v>84084024.904048115</v>
      </c>
      <c r="B5128">
        <v>147392146.09540498</v>
      </c>
    </row>
    <row r="5129" spans="1:2" x14ac:dyDescent="0.25">
      <c r="A5129">
        <f ca="1">28854.0135765109*((RANDBETWEEN(2979,3282)))</f>
        <v>92650237.59417662</v>
      </c>
      <c r="B5129">
        <v>203337077.09582877</v>
      </c>
    </row>
    <row r="5130" spans="1:2" x14ac:dyDescent="0.25">
      <c r="A5130">
        <f ca="1">28483.7184317699*((RANDBETWEEN(2979,3282)))</f>
        <v>88527396.885940939</v>
      </c>
      <c r="B5130">
        <v>186781980.7436462</v>
      </c>
    </row>
    <row r="5131" spans="1:2" x14ac:dyDescent="0.25">
      <c r="A5131">
        <f ca="1">28095.0785897726*((RANDBETWEEN(2979,3282)))</f>
        <v>89117589.286758766</v>
      </c>
      <c r="B5131">
        <v>158988780.33944857</v>
      </c>
    </row>
    <row r="5132" spans="1:2" x14ac:dyDescent="0.25">
      <c r="A5132">
        <f ca="1">27062.6238060257*((RANDBETWEEN(2979,3282)))</f>
        <v>82189188.498900041</v>
      </c>
      <c r="B5132">
        <v>157273310.01805204</v>
      </c>
    </row>
    <row r="5133" spans="1:2" x14ac:dyDescent="0.25">
      <c r="A5133">
        <f ca="1">32094.8579702724*((RANDBETWEEN(2979,3282)))</f>
        <v>97054850.502103671</v>
      </c>
      <c r="B5133">
        <v>163618870.48519692</v>
      </c>
    </row>
    <row r="5134" spans="1:2" x14ac:dyDescent="0.25">
      <c r="A5134">
        <f ca="1">27112.3411704119*((RANDBETWEEN(2979,3282)))</f>
        <v>86596817.698295563</v>
      </c>
      <c r="B5134">
        <v>161587730.50937214</v>
      </c>
    </row>
    <row r="5135" spans="1:2" x14ac:dyDescent="0.25">
      <c r="A5135">
        <f ca="1">29845.0138839821*((RANDBETWEEN(2979,3282)))</f>
        <v>89505196.638062239</v>
      </c>
      <c r="B5135">
        <v>158203951.34652391</v>
      </c>
    </row>
    <row r="5136" spans="1:2" x14ac:dyDescent="0.25">
      <c r="A5136">
        <f ca="1">28518.585295933*((RANDBETWEEN(2979,3282)))</f>
        <v>86696499.299636364</v>
      </c>
      <c r="B5136">
        <v>176216345.21136525</v>
      </c>
    </row>
    <row r="5137" spans="1:2" x14ac:dyDescent="0.25">
      <c r="A5137">
        <f ca="1">30426.2932080836*((RANDBETWEEN(2979,3282)))</f>
        <v>98976731.805895939</v>
      </c>
      <c r="B5137">
        <v>150131714.71033123</v>
      </c>
    </row>
    <row r="5138" spans="1:2" x14ac:dyDescent="0.25">
      <c r="A5138">
        <f ca="1">26583.9667396118*((RANDBETWEEN(2979,3282)))</f>
        <v>79751900.218835443</v>
      </c>
      <c r="B5138">
        <v>169168812.03302491</v>
      </c>
    </row>
    <row r="5139" spans="1:2" x14ac:dyDescent="0.25">
      <c r="A5139">
        <f ca="1">27861.0088167803*((RANDBETWEEN(2979,3282)))</f>
        <v>83192972.326905876</v>
      </c>
      <c r="B5139">
        <v>169667969.65410441</v>
      </c>
    </row>
    <row r="5140" spans="1:2" x14ac:dyDescent="0.25">
      <c r="A5140">
        <f ca="1">30373.1292251868*((RANDBETWEEN(2979,3282)))</f>
        <v>96951028.48679623</v>
      </c>
      <c r="B5140">
        <v>194531059.56891021</v>
      </c>
    </row>
    <row r="5141" spans="1:2" x14ac:dyDescent="0.25">
      <c r="A5141">
        <f ca="1">27388.4059856239*((RANDBETWEEN(2979,3282)))</f>
        <v>85177942.615290359</v>
      </c>
      <c r="B5141">
        <v>187558301.73636562</v>
      </c>
    </row>
    <row r="5142" spans="1:2" x14ac:dyDescent="0.25">
      <c r="A5142">
        <f ca="1">27401.178477137*((RANDBETWEEN(2979,3282)))</f>
        <v>88259195.874858245</v>
      </c>
      <c r="B5142">
        <v>152884699.47530285</v>
      </c>
    </row>
    <row r="5143" spans="1:2" x14ac:dyDescent="0.25">
      <c r="A5143">
        <f ca="1">30560.2664872885*((RANDBETWEEN(2979,3282)))</f>
        <v>99259745.550713047</v>
      </c>
      <c r="B5143">
        <v>176448825.44794372</v>
      </c>
    </row>
    <row r="5144" spans="1:2" x14ac:dyDescent="0.25">
      <c r="A5144">
        <f ca="1">27123.2543295358*((RANDBETWEEN(2979,3282)))</f>
        <v>85845099.952980816</v>
      </c>
      <c r="B5144">
        <v>153990479.3834478</v>
      </c>
    </row>
    <row r="5145" spans="1:2" x14ac:dyDescent="0.25">
      <c r="A5145">
        <f ca="1">26737.1874354929*((RANDBETWEEN(2979,3282)))</f>
        <v>87083019.477400258</v>
      </c>
      <c r="B5145">
        <v>143595740.7880798</v>
      </c>
    </row>
    <row r="5146" spans="1:2" x14ac:dyDescent="0.25">
      <c r="A5146">
        <f ca="1">31576.0669117754*((RANDBETWEEN(2979,3282)))</f>
        <v>102590641.39635833</v>
      </c>
      <c r="B5146">
        <v>168372114.23460361</v>
      </c>
    </row>
    <row r="5147" spans="1:2" x14ac:dyDescent="0.25">
      <c r="A5147">
        <f ca="1">26935.1933741747*((RANDBETWEEN(2979,3282)))</f>
        <v>85788590.896746486</v>
      </c>
      <c r="B5147">
        <v>146507663.12516522</v>
      </c>
    </row>
    <row r="5148" spans="1:2" x14ac:dyDescent="0.25">
      <c r="A5148">
        <f ca="1">27212.0060471926*((RANDBETWEEN(2979,3282)))</f>
        <v>83513646.558834001</v>
      </c>
      <c r="B5148">
        <v>159594842.86759308</v>
      </c>
    </row>
    <row r="5149" spans="1:2" x14ac:dyDescent="0.25">
      <c r="A5149">
        <f ca="1">26606.5301026981*((RANDBETWEEN(2979,3282)))</f>
        <v>83650930.642882973</v>
      </c>
      <c r="B5149">
        <v>152117721.26424101</v>
      </c>
    </row>
    <row r="5150" spans="1:2" x14ac:dyDescent="0.25">
      <c r="A5150">
        <f ca="1">26628.7960865375*((RANDBETWEEN(2979,3282)))</f>
        <v>83161730.178256765</v>
      </c>
      <c r="B5150">
        <v>174804668.04587954</v>
      </c>
    </row>
    <row r="5151" spans="1:2" x14ac:dyDescent="0.25">
      <c r="A5151">
        <f ca="1">27098.1239237399*((RANDBETWEEN(2979,3282)))</f>
        <v>86768192.803815231</v>
      </c>
      <c r="B5151">
        <v>153687674.5117079</v>
      </c>
    </row>
    <row r="5152" spans="1:2" x14ac:dyDescent="0.25">
      <c r="A5152">
        <f ca="1">25534.7667875315*((RANDBETWEEN(2979,3282)))</f>
        <v>76834113.263682216</v>
      </c>
      <c r="B5152">
        <v>145891524.02820396</v>
      </c>
    </row>
    <row r="5153" spans="1:2" x14ac:dyDescent="0.25">
      <c r="A5153">
        <f ca="1">26248.5374217497*((RANDBETWEEN(2979,3282)))</f>
        <v>80530512.809928045</v>
      </c>
      <c r="B5153">
        <v>179818972.90044498</v>
      </c>
    </row>
    <row r="5154" spans="1:2" x14ac:dyDescent="0.25">
      <c r="A5154">
        <f ca="1">24715.3906728477*((RANDBETWEEN(2979,3282)))</f>
        <v>77977057.572834551</v>
      </c>
      <c r="B5154">
        <v>154636583.65608606</v>
      </c>
    </row>
    <row r="5155" spans="1:2" x14ac:dyDescent="0.25">
      <c r="A5155">
        <f ca="1">32326.7972421188*((RANDBETWEEN(2979,3282)))</f>
        <v>97497620.482230157</v>
      </c>
      <c r="B5155">
        <v>193489961.83892226</v>
      </c>
    </row>
    <row r="5156" spans="1:2" x14ac:dyDescent="0.25">
      <c r="A5156">
        <f ca="1">27752.4192337973*((RANDBETWEEN(2979,3282)))</f>
        <v>86726310.105616659</v>
      </c>
      <c r="B5156">
        <v>175719299.08334988</v>
      </c>
    </row>
    <row r="5157" spans="1:2" x14ac:dyDescent="0.25">
      <c r="A5157">
        <f ca="1">30929.5467577196*((RANDBETWEEN(2979,3282)))</f>
        <v>95417651.747564912</v>
      </c>
      <c r="B5157">
        <v>200465712.09173539</v>
      </c>
    </row>
    <row r="5158" spans="1:2" x14ac:dyDescent="0.25">
      <c r="A5158">
        <f ca="1">28429.7285806452*((RANDBETWEEN(2979,3282)))</f>
        <v>86397945.156580746</v>
      </c>
      <c r="B5158">
        <v>149845684.56721824</v>
      </c>
    </row>
    <row r="5159" spans="1:2" x14ac:dyDescent="0.25">
      <c r="A5159">
        <f ca="1">28284.6434150497*((RANDBETWEEN(2979,3282)))</f>
        <v>91981660.385741532</v>
      </c>
      <c r="B5159">
        <v>186287096.44686651</v>
      </c>
    </row>
    <row r="5160" spans="1:2" x14ac:dyDescent="0.25">
      <c r="A5160">
        <f ca="1">25887.2479712992*((RANDBETWEEN(2979,3282)))</f>
        <v>83512261.955411375</v>
      </c>
      <c r="B5160">
        <v>160517290.56261909</v>
      </c>
    </row>
    <row r="5161" spans="1:2" x14ac:dyDescent="0.25">
      <c r="A5161">
        <f ca="1">28450.6972931336*((RANDBETWEEN(2979,3282)))</f>
        <v>85693500.246918529</v>
      </c>
      <c r="B5161">
        <v>162071697.26270148</v>
      </c>
    </row>
    <row r="5162" spans="1:2" x14ac:dyDescent="0.25">
      <c r="A5162">
        <f ca="1">29352.9360432395*((RANDBETWEEN(2979,3282)))</f>
        <v>91757278.071166754</v>
      </c>
      <c r="B5162">
        <v>158695854.44530433</v>
      </c>
    </row>
    <row r="5163" spans="1:2" x14ac:dyDescent="0.25">
      <c r="A5163">
        <f ca="1">31093.293332535*((RANDBETWEEN(2979,3282)))</f>
        <v>94026119.03758584</v>
      </c>
      <c r="B5163">
        <v>198649588.18237013</v>
      </c>
    </row>
    <row r="5164" spans="1:2" x14ac:dyDescent="0.25">
      <c r="A5164">
        <f ca="1">31144.8942249261*((RANDBETWEEN(2979,3282)))</f>
        <v>98137561.70274201</v>
      </c>
      <c r="B5164">
        <v>151966776.78792179</v>
      </c>
    </row>
    <row r="5165" spans="1:2" x14ac:dyDescent="0.25">
      <c r="A5165">
        <f ca="1">31996.2808041165*((RANDBETWEEN(2979,3282)))</f>
        <v>102484087.41558504</v>
      </c>
      <c r="B5165">
        <v>182393087.8148149</v>
      </c>
    </row>
    <row r="5166" spans="1:2" x14ac:dyDescent="0.25">
      <c r="A5166">
        <f ca="1">25608.7162691344*((RANDBETWEEN(2979,3282)))</f>
        <v>76544452.928442821</v>
      </c>
      <c r="B5166">
        <v>192042148.98931009</v>
      </c>
    </row>
    <row r="5167" spans="1:2" x14ac:dyDescent="0.25">
      <c r="A5167">
        <f ca="1">27534.0856017042*((RANDBETWEEN(2979,3282)))</f>
        <v>85190460.851672739</v>
      </c>
      <c r="B5167">
        <v>161948516.92623264</v>
      </c>
    </row>
    <row r="5168" spans="1:2" x14ac:dyDescent="0.25">
      <c r="A5168">
        <f ca="1">28748.3795657418*((RANDBETWEEN(2979,3282)))</f>
        <v>91506092.157756254</v>
      </c>
      <c r="B5168">
        <v>198241898.73714954</v>
      </c>
    </row>
    <row r="5169" spans="1:2" x14ac:dyDescent="0.25">
      <c r="A5169">
        <f ca="1">27250.0177177434*((RANDBETWEEN(2979,3282)))</f>
        <v>87172806.679061055</v>
      </c>
      <c r="B5169">
        <v>148868460.66775137</v>
      </c>
    </row>
    <row r="5170" spans="1:2" x14ac:dyDescent="0.25">
      <c r="A5170">
        <f ca="1">28764.1480409791*((RANDBETWEEN(2979,3282)))</f>
        <v>91211113.437944606</v>
      </c>
      <c r="B5170">
        <v>145462440.46216822</v>
      </c>
    </row>
    <row r="5171" spans="1:2" x14ac:dyDescent="0.25">
      <c r="A5171">
        <f ca="1">27537.2239417617*((RANDBETWEEN(2979,3282)))</f>
        <v>86962553.208083555</v>
      </c>
      <c r="B5171">
        <v>187360767.90480894</v>
      </c>
    </row>
    <row r="5172" spans="1:2" x14ac:dyDescent="0.25">
      <c r="A5172">
        <f ca="1">27146.4848799371*((RANDBETWEEN(2979,3282)))</f>
        <v>88470394.223715156</v>
      </c>
      <c r="B5172">
        <v>179232776.35425076</v>
      </c>
    </row>
    <row r="5173" spans="1:2" x14ac:dyDescent="0.25">
      <c r="A5173">
        <f ca="1">26292.5365704672*((RANDBETWEEN(2979,3282)))</f>
        <v>83873191.659790412</v>
      </c>
      <c r="B5173">
        <v>201393796.12425226</v>
      </c>
    </row>
    <row r="5174" spans="1:2" x14ac:dyDescent="0.25">
      <c r="A5174">
        <f ca="1">28832.4490180119*((RANDBETWEEN(2979,3282)))</f>
        <v>86295519.910909519</v>
      </c>
      <c r="B5174">
        <v>199431660.18149525</v>
      </c>
    </row>
    <row r="5175" spans="1:2" x14ac:dyDescent="0.25">
      <c r="A5175">
        <f ca="1">27503.3765316995*((RANDBETWEEN(2979,3282)))</f>
        <v>85397984.130926937</v>
      </c>
      <c r="B5175">
        <v>171529450.28399667</v>
      </c>
    </row>
    <row r="5176" spans="1:2" x14ac:dyDescent="0.25">
      <c r="A5176">
        <f ca="1">27078.3198028278*((RANDBETWEEN(2979,3282)))</f>
        <v>88681497.354260996</v>
      </c>
      <c r="B5176">
        <v>186872297.64947802</v>
      </c>
    </row>
    <row r="5177" spans="1:2" x14ac:dyDescent="0.25">
      <c r="A5177">
        <f ca="1">31119.1067501991*((RANDBETWEEN(2979,3282)))</f>
        <v>93668511.31809929</v>
      </c>
      <c r="B5177">
        <v>162460708.53445429</v>
      </c>
    </row>
    <row r="5178" spans="1:2" x14ac:dyDescent="0.25">
      <c r="A5178">
        <f ca="1">33236.6778554252*((RANDBETWEEN(2979,3282)))</f>
        <v>107121812.7280353</v>
      </c>
      <c r="B5178">
        <v>179431899.53886163</v>
      </c>
    </row>
    <row r="5179" spans="1:2" x14ac:dyDescent="0.25">
      <c r="A5179">
        <f ca="1">31281.1539536257*((RANDBETWEEN(2979,3282)))</f>
        <v>93561931.47529453</v>
      </c>
      <c r="B5179">
        <v>167716713.93576378</v>
      </c>
    </row>
    <row r="5180" spans="1:2" x14ac:dyDescent="0.25">
      <c r="A5180">
        <f ca="1">28477.616226911*((RANDBETWEEN(2979,3282)))</f>
        <v>86970639.956986204</v>
      </c>
      <c r="B5180">
        <v>152689505.41835308</v>
      </c>
    </row>
    <row r="5181" spans="1:2" x14ac:dyDescent="0.25">
      <c r="A5181">
        <f ca="1">26409.0193445002*((RANDBETWEEN(2979,3282)))</f>
        <v>79227058.033500522</v>
      </c>
      <c r="B5181">
        <v>147570367.09141639</v>
      </c>
    </row>
    <row r="5182" spans="1:2" x14ac:dyDescent="0.25">
      <c r="A5182">
        <f ca="1">30053.3769544399*((RANDBETWEEN(2979,3282)))</f>
        <v>97853795.363656327</v>
      </c>
      <c r="B5182">
        <v>179958466.95161778</v>
      </c>
    </row>
    <row r="5183" spans="1:2" x14ac:dyDescent="0.25">
      <c r="A5183">
        <f ca="1">27192.4629956233*((RANDBETWEEN(2979,3282)))</f>
        <v>83344899.081585333</v>
      </c>
      <c r="B5183">
        <v>165439314.49305612</v>
      </c>
    </row>
    <row r="5184" spans="1:2" x14ac:dyDescent="0.25">
      <c r="A5184">
        <f ca="1">31905.5345499441*((RANDBETWEEN(2979,3282)))</f>
        <v>95939942.39168179</v>
      </c>
      <c r="B5184">
        <v>161970876.76263243</v>
      </c>
    </row>
    <row r="5185" spans="1:2" x14ac:dyDescent="0.25">
      <c r="A5185">
        <f ca="1">25716.4519298418*((RANDBETWEEN(2979,3282)))</f>
        <v>81624018.425317943</v>
      </c>
      <c r="B5185">
        <v>153611072.65599135</v>
      </c>
    </row>
    <row r="5186" spans="1:2" x14ac:dyDescent="0.25">
      <c r="A5186">
        <f ca="1">28262.4789797855*((RANDBETWEEN(2979,3282)))</f>
        <v>90779082.483070984</v>
      </c>
      <c r="B5186">
        <v>162924357.11944148</v>
      </c>
    </row>
    <row r="5187" spans="1:2" x14ac:dyDescent="0.25">
      <c r="A5187">
        <f ca="1">27102.2964506382*((RANDBETWEEN(2979,3282)))</f>
        <v>86347916.491733223</v>
      </c>
      <c r="B5187">
        <v>165404991.54566294</v>
      </c>
    </row>
    <row r="5188" spans="1:2" x14ac:dyDescent="0.25">
      <c r="A5188">
        <f ca="1">27077.3015216888*((RANDBETWEEN(2979,3282)))</f>
        <v>83641784.400496721</v>
      </c>
      <c r="B5188">
        <v>158725887.20651859</v>
      </c>
    </row>
    <row r="5189" spans="1:2" x14ac:dyDescent="0.25">
      <c r="A5189">
        <f ca="1">30966.7374235321*((RANDBETWEEN(2979,3282)))</f>
        <v>93271813.119678721</v>
      </c>
      <c r="B5189">
        <v>172105344.18095428</v>
      </c>
    </row>
    <row r="5190" spans="1:2" x14ac:dyDescent="0.25">
      <c r="A5190">
        <f ca="1">28967.4486340448*((RANDBETWEEN(2979,3282)))</f>
        <v>92724803.077577561</v>
      </c>
      <c r="B5190">
        <v>159848765.60277188</v>
      </c>
    </row>
    <row r="5191" spans="1:2" x14ac:dyDescent="0.25">
      <c r="A5191">
        <f ca="1">33342.4222040933*((RANDBETWEEN(2979,3282)))</f>
        <v>100127293.87889208</v>
      </c>
      <c r="B5191">
        <v>152616369.69164473</v>
      </c>
    </row>
    <row r="5192" spans="1:2" x14ac:dyDescent="0.25">
      <c r="A5192">
        <f ca="1">28520.508967506*((RANDBETWEEN(2979,3282)))</f>
        <v>89611439.175903991</v>
      </c>
      <c r="B5192">
        <v>147692929.23265374</v>
      </c>
    </row>
    <row r="5193" spans="1:2" x14ac:dyDescent="0.25">
      <c r="A5193">
        <f ca="1">26648.815376428*((RANDBETWEEN(2979,3282)))</f>
        <v>81065696.375094101</v>
      </c>
      <c r="B5193">
        <v>146052387.4320209</v>
      </c>
    </row>
    <row r="5194" spans="1:2" x14ac:dyDescent="0.25">
      <c r="A5194">
        <f ca="1">26210.6201792777*((RANDBETWEEN(2979,3282)))</f>
        <v>84057458.91494368</v>
      </c>
      <c r="B5194">
        <v>155670308.48539788</v>
      </c>
    </row>
    <row r="5195" spans="1:2" x14ac:dyDescent="0.25">
      <c r="A5195">
        <f ca="1">25859.4802589342*((RANDBETWEEN(2979,3282)))</f>
        <v>80759156.848651469</v>
      </c>
      <c r="B5195">
        <v>187640118.06049621</v>
      </c>
    </row>
    <row r="5196" spans="1:2" x14ac:dyDescent="0.25">
      <c r="A5196">
        <f ca="1">26949.309337194*((RANDBETWEEN(2979,3282)))</f>
        <v>81710305.910372183</v>
      </c>
      <c r="B5196">
        <v>154392008.91569614</v>
      </c>
    </row>
    <row r="5197" spans="1:2" x14ac:dyDescent="0.25">
      <c r="A5197">
        <f ca="1">25652.0707815223*((RANDBETWEEN(2979,3282)))</f>
        <v>82727928.270409554</v>
      </c>
      <c r="B5197">
        <v>161641104.00035042</v>
      </c>
    </row>
    <row r="5198" spans="1:2" x14ac:dyDescent="0.25">
      <c r="A5198">
        <f ca="1">31638.152073303*((RANDBETWEEN(2979,3282)))</f>
        <v>100198027.6161505</v>
      </c>
      <c r="B5198">
        <v>201454743.15288156</v>
      </c>
    </row>
    <row r="5199" spans="1:2" x14ac:dyDescent="0.25">
      <c r="A5199">
        <f ca="1">25493.1405077392*((RANDBETWEEN(2979,3282)))</f>
        <v>81552556.484257668</v>
      </c>
      <c r="B5199">
        <v>161522949.77996358</v>
      </c>
    </row>
    <row r="5200" spans="1:2" x14ac:dyDescent="0.25">
      <c r="A5200">
        <f ca="1">27490.2699360394*((RANDBETWEEN(2979,3282)))</f>
        <v>82993124.936902806</v>
      </c>
      <c r="B5200">
        <v>167828295.58101609</v>
      </c>
    </row>
    <row r="5201" spans="1:2" x14ac:dyDescent="0.25">
      <c r="A5201">
        <f ca="1">28762.3536417775*((RANDBETWEEN(2979,3282)))</f>
        <v>89220820.996793866</v>
      </c>
      <c r="B5201">
        <v>178877756.82679284</v>
      </c>
    </row>
    <row r="5202" spans="1:2" x14ac:dyDescent="0.25">
      <c r="A5202">
        <f ca="1">26495.5802059666*((RANDBETWEEN(2979,3282)))</f>
        <v>80043147.802225128</v>
      </c>
      <c r="B5202">
        <v>166866713.92655891</v>
      </c>
    </row>
    <row r="5203" spans="1:2" x14ac:dyDescent="0.25">
      <c r="A5203">
        <f ca="1">26637.4721219329*((RANDBETWEEN(2979,3282)))</f>
        <v>85159998.373819605</v>
      </c>
      <c r="B5203">
        <v>161060521.80463257</v>
      </c>
    </row>
    <row r="5204" spans="1:2" x14ac:dyDescent="0.25">
      <c r="A5204">
        <f ca="1">27334.6847519517*((RANDBETWEEN(2979,3282)))</f>
        <v>83507461.917212546</v>
      </c>
      <c r="B5204">
        <v>160456492.36716858</v>
      </c>
    </row>
    <row r="5205" spans="1:2" x14ac:dyDescent="0.25">
      <c r="A5205">
        <f ca="1">32152.441907387*((RANDBETWEEN(2979,3282)))</f>
        <v>104270369.10565609</v>
      </c>
      <c r="B5205">
        <v>187277129.5430454</v>
      </c>
    </row>
    <row r="5206" spans="1:2" x14ac:dyDescent="0.25">
      <c r="A5206">
        <f ca="1">26266.0133052183*((RANDBETWEEN(2979,3282)))</f>
        <v>79428424.234980017</v>
      </c>
      <c r="B5206">
        <v>157586777.51787749</v>
      </c>
    </row>
    <row r="5207" spans="1:2" x14ac:dyDescent="0.25">
      <c r="A5207">
        <f ca="1">30458.1878330335*((RANDBETWEEN(2979,3282)))</f>
        <v>98836819.518193871</v>
      </c>
      <c r="B5207">
        <v>161505047.11900666</v>
      </c>
    </row>
    <row r="5208" spans="1:2" x14ac:dyDescent="0.25">
      <c r="A5208">
        <f ca="1">26234.0300410645*((RANDBETWEEN(2979,3282)))</f>
        <v>78439749.822782934</v>
      </c>
      <c r="B5208">
        <v>167257111.32065034</v>
      </c>
    </row>
    <row r="5209" spans="1:2" x14ac:dyDescent="0.25">
      <c r="A5209">
        <f ca="1">26621.284976283*((RANDBETWEEN(2979,3282)))</f>
        <v>85906886.618465379</v>
      </c>
      <c r="B5209">
        <v>186064468.64050862</v>
      </c>
    </row>
    <row r="5210" spans="1:2" x14ac:dyDescent="0.25">
      <c r="A5210">
        <f ca="1">25790.6439914651*((RANDBETWEEN(2979,3282)))</f>
        <v>83974336.836210355</v>
      </c>
      <c r="B5210">
        <v>177932420.73886535</v>
      </c>
    </row>
    <row r="5211" spans="1:2" x14ac:dyDescent="0.25">
      <c r="A5211">
        <f ca="1">27697.8886193758*((RANDBETWEEN(2979,3282)))</f>
        <v>87857702.700660065</v>
      </c>
      <c r="B5211">
        <v>173205950.1438975</v>
      </c>
    </row>
    <row r="5212" spans="1:2" x14ac:dyDescent="0.25">
      <c r="A5212">
        <f ca="1">26509.6515439892*((RANDBETWEEN(2979,3282)))</f>
        <v>86819108.806564778</v>
      </c>
      <c r="B5212">
        <v>171849266.81013042</v>
      </c>
    </row>
    <row r="5213" spans="1:2" x14ac:dyDescent="0.25">
      <c r="A5213">
        <f ca="1">28405.6841496869*((RANDBETWEEN(2979,3282)))</f>
        <v>87461101.496886</v>
      </c>
      <c r="B5213">
        <v>188525017.65349746</v>
      </c>
    </row>
    <row r="5214" spans="1:2" x14ac:dyDescent="0.25">
      <c r="A5214">
        <f ca="1">29538.649890275*((RANDBETWEEN(2979,3282)))</f>
        <v>92839976.605134293</v>
      </c>
      <c r="B5214">
        <v>186557062.0085091</v>
      </c>
    </row>
    <row r="5215" spans="1:2" x14ac:dyDescent="0.25">
      <c r="A5215">
        <f ca="1">27607.26811909*((RANDBETWEEN(2979,3282)))</f>
        <v>84008916.886390865</v>
      </c>
      <c r="B5215">
        <v>196132326.71791333</v>
      </c>
    </row>
    <row r="5216" spans="1:2" x14ac:dyDescent="0.25">
      <c r="A5216">
        <f ca="1">30844.2789671745*((RANDBETWEEN(2979,3282)))</f>
        <v>93118878.201899692</v>
      </c>
      <c r="B5216">
        <v>166487452.13580182</v>
      </c>
    </row>
    <row r="5217" spans="1:2" x14ac:dyDescent="0.25">
      <c r="A5217">
        <f ca="1">28200.924102551*((RANDBETWEEN(2979,3282)))</f>
        <v>89396929.405086666</v>
      </c>
      <c r="B5217">
        <v>145917640.64494717</v>
      </c>
    </row>
    <row r="5218" spans="1:2" x14ac:dyDescent="0.25">
      <c r="A5218">
        <f ca="1">25619.3672233868*((RANDBETWEEN(2979,3282)))</f>
        <v>76473811.161809742</v>
      </c>
      <c r="B5218">
        <v>155017747.81991571</v>
      </c>
    </row>
    <row r="5219" spans="1:2" x14ac:dyDescent="0.25">
      <c r="A5219">
        <f ca="1">26506.5207797132*((RANDBETWEEN(2979,3282)))</f>
        <v>79281003.652122319</v>
      </c>
      <c r="B5219">
        <v>145726755.35615262</v>
      </c>
    </row>
    <row r="5220" spans="1:2" x14ac:dyDescent="0.25">
      <c r="A5220">
        <f ca="1">26543.0990118808*((RANDBETWEEN(2979,3282)))</f>
        <v>86450873.481695741</v>
      </c>
      <c r="B5220">
        <v>148987388.81392753</v>
      </c>
    </row>
    <row r="5221" spans="1:2" x14ac:dyDescent="0.25">
      <c r="A5221">
        <f ca="1">26255.5696154995*((RANDBETWEEN(2979,3282)))</f>
        <v>79869442.770349368</v>
      </c>
      <c r="B5221">
        <v>155127080.5803442</v>
      </c>
    </row>
    <row r="5222" spans="1:2" x14ac:dyDescent="0.25">
      <c r="A5222">
        <f ca="1">28510.6047304786*((RANDBETWEEN(2979,3282)))</f>
        <v>88012236.802987546</v>
      </c>
      <c r="B5222">
        <v>148917292.63338915</v>
      </c>
    </row>
    <row r="5223" spans="1:2" x14ac:dyDescent="0.25">
      <c r="A5223">
        <f ca="1">28332.4632496799*((RANDBETWEEN(2979,3282)))</f>
        <v>85224049.455036998</v>
      </c>
      <c r="B5223">
        <v>154085247.37427655</v>
      </c>
    </row>
    <row r="5224" spans="1:2" x14ac:dyDescent="0.25">
      <c r="A5224">
        <f ca="1">30263.595526253*((RANDBETWEEN(2979,3282)))</f>
        <v>97297459.616903439</v>
      </c>
      <c r="B5224">
        <v>143911828.24032182</v>
      </c>
    </row>
    <row r="5225" spans="1:2" x14ac:dyDescent="0.25">
      <c r="A5225">
        <f ca="1">27072.7251662467*((RANDBETWEEN(2979,3282)))</f>
        <v>82815466.283548534</v>
      </c>
      <c r="B5225">
        <v>159501871.77556717</v>
      </c>
    </row>
    <row r="5226" spans="1:2" x14ac:dyDescent="0.25">
      <c r="A5226">
        <f ca="1">26791.575057392*((RANDBETWEEN(2979,3282)))</f>
        <v>84205920.405382976</v>
      </c>
      <c r="B5226">
        <v>155445384.85552314</v>
      </c>
    </row>
    <row r="5227" spans="1:2" x14ac:dyDescent="0.25">
      <c r="A5227">
        <f ca="1">29518.5926579257*((RANDBETWEEN(2979,3282)))</f>
        <v>90415449.311226308</v>
      </c>
      <c r="B5227">
        <v>199064778.45339367</v>
      </c>
    </row>
    <row r="5228" spans="1:2" x14ac:dyDescent="0.25">
      <c r="A5228">
        <f ca="1">28765.5253060172*((RANDBETWEEN(2979,3282)))</f>
        <v>90064859.733139724</v>
      </c>
      <c r="B5228">
        <v>198127947.09250838</v>
      </c>
    </row>
    <row r="5229" spans="1:2" x14ac:dyDescent="0.25">
      <c r="A5229">
        <f ca="1">29180.4342721708*((RANDBETWEEN(2979,3282)))</f>
        <v>95682643.978448138</v>
      </c>
      <c r="B5229">
        <v>181579735.0192911</v>
      </c>
    </row>
    <row r="5230" spans="1:2" x14ac:dyDescent="0.25">
      <c r="A5230">
        <f ca="1">27680.3465488193*((RANDBETWEEN(2979,3282)))</f>
        <v>86971648.856390238</v>
      </c>
      <c r="B5230">
        <v>163037882.80568147</v>
      </c>
    </row>
    <row r="5231" spans="1:2" x14ac:dyDescent="0.25">
      <c r="A5231">
        <f ca="1">29151.392559806*((RANDBETWEEN(2979,3282)))</f>
        <v>91068950.356833905</v>
      </c>
      <c r="B5231">
        <v>167329839.10162896</v>
      </c>
    </row>
    <row r="5232" spans="1:2" x14ac:dyDescent="0.25">
      <c r="A5232">
        <f ca="1">30016.0491419633*((RANDBETWEEN(2979,3282)))</f>
        <v>92059222.718401581</v>
      </c>
      <c r="B5232">
        <v>155358609.93688631</v>
      </c>
    </row>
    <row r="5233" spans="1:2" x14ac:dyDescent="0.25">
      <c r="A5233">
        <f ca="1">27424.6812649297*((RANDBETWEEN(2979,3282)))</f>
        <v>82219194.432259277</v>
      </c>
      <c r="B5233">
        <v>157830084.3230958</v>
      </c>
    </row>
    <row r="5234" spans="1:2" x14ac:dyDescent="0.25">
      <c r="A5234">
        <f ca="1">33672.521055772*((RANDBETWEEN(2979,3282)))</f>
        <v>102297118.96743529</v>
      </c>
      <c r="B5234">
        <v>184557539.95074856</v>
      </c>
    </row>
    <row r="5235" spans="1:2" x14ac:dyDescent="0.25">
      <c r="A5235">
        <f ca="1">27921.3655235276*((RANDBETWEEN(2979,3282)))</f>
        <v>91414550.724029496</v>
      </c>
      <c r="B5235">
        <v>160514310.05636132</v>
      </c>
    </row>
    <row r="5236" spans="1:2" x14ac:dyDescent="0.25">
      <c r="A5236">
        <f ca="1">32793.0774394861*((RANDBETWEEN(2979,3282)))</f>
        <v>99002300.789808586</v>
      </c>
      <c r="B5236">
        <v>186327119.29392684</v>
      </c>
    </row>
    <row r="5237" spans="1:2" x14ac:dyDescent="0.25">
      <c r="A5237">
        <f ca="1">28985.8366888496*((RANDBETWEEN(2979,3282)))</f>
        <v>93624252.50498417</v>
      </c>
      <c r="B5237">
        <v>156630304.2423338</v>
      </c>
    </row>
    <row r="5238" spans="1:2" x14ac:dyDescent="0.25">
      <c r="A5238">
        <f ca="1">27264.886023583*((RANDBETWEEN(2979,3282)))</f>
        <v>87411224.591607034</v>
      </c>
      <c r="B5238">
        <v>147146610.92677495</v>
      </c>
    </row>
    <row r="5239" spans="1:2" x14ac:dyDescent="0.25">
      <c r="A5239">
        <f ca="1">26065.1983550638*((RANDBETWEEN(2979,3282)))</f>
        <v>80671788.908922479</v>
      </c>
      <c r="B5239">
        <v>147324719.28749734</v>
      </c>
    </row>
    <row r="5240" spans="1:2" x14ac:dyDescent="0.25">
      <c r="A5240">
        <f ca="1">29386.8751074659*((RANDBETWEEN(2979,3282)))</f>
        <v>96153855.351628423</v>
      </c>
      <c r="B5240">
        <v>197315771.30670577</v>
      </c>
    </row>
    <row r="5241" spans="1:2" x14ac:dyDescent="0.25">
      <c r="A5241">
        <f ca="1">29715.0096103178*((RANDBETWEEN(2979,3282)))</f>
        <v>92859405.032243222</v>
      </c>
      <c r="B5241">
        <v>193778813.87986416</v>
      </c>
    </row>
    <row r="5242" spans="1:2" x14ac:dyDescent="0.25">
      <c r="A5242">
        <f ca="1">26843.8724003607*((RANDBETWEEN(2979,3282)))</f>
        <v>86088298.787956849</v>
      </c>
      <c r="B5242">
        <v>146960214.82564405</v>
      </c>
    </row>
    <row r="5243" spans="1:2" x14ac:dyDescent="0.25">
      <c r="A5243">
        <f ca="1">25800.1115603997*((RANDBETWEEN(2979,3282)))</f>
        <v>82224955.542993754</v>
      </c>
      <c r="B5243">
        <v>163221233.86870533</v>
      </c>
    </row>
    <row r="5244" spans="1:2" x14ac:dyDescent="0.25">
      <c r="A5244">
        <f ca="1">30053.7704653621*((RANDBETWEEN(2979,3282)))</f>
        <v>94098355.327048868</v>
      </c>
      <c r="B5244">
        <v>197610204.16619247</v>
      </c>
    </row>
    <row r="5245" spans="1:2" x14ac:dyDescent="0.25">
      <c r="A5245">
        <f ca="1">26340.5193948682*((RANDBETWEEN(2979,3282)))</f>
        <v>79100579.742789239</v>
      </c>
      <c r="B5245">
        <v>170401772.97440374</v>
      </c>
    </row>
    <row r="5246" spans="1:2" x14ac:dyDescent="0.25">
      <c r="A5246">
        <f ca="1">27828.3018926809*((RANDBETWEEN(2979,3282)))</f>
        <v>84653694.357535169</v>
      </c>
      <c r="B5246">
        <v>175878614.45952889</v>
      </c>
    </row>
    <row r="5247" spans="1:2" x14ac:dyDescent="0.25">
      <c r="A5247">
        <f ca="1">27296.9834998058*((RANDBETWEEN(2979,3282)))</f>
        <v>87896286.869374752</v>
      </c>
      <c r="B5247">
        <v>158917821.36370915</v>
      </c>
    </row>
    <row r="5248" spans="1:2" x14ac:dyDescent="0.25">
      <c r="A5248">
        <f ca="1">30389.2912465231*((RANDBETWEEN(2979,3282)))</f>
        <v>98795585.842446551</v>
      </c>
      <c r="B5248">
        <v>191420026.71219829</v>
      </c>
    </row>
    <row r="5249" spans="1:2" x14ac:dyDescent="0.25">
      <c r="A5249">
        <f ca="1">25453.2259060957*((RANDBETWEEN(2979,3282)))</f>
        <v>81984840.643534109</v>
      </c>
      <c r="B5249">
        <v>159596014.04583985</v>
      </c>
    </row>
    <row r="5250" spans="1:2" x14ac:dyDescent="0.25">
      <c r="A5250">
        <f ca="1">26486.0552847812*((RANDBETWEEN(2979,3282)))</f>
        <v>79299249.522634819</v>
      </c>
      <c r="B5250">
        <v>190803106.39812431</v>
      </c>
    </row>
    <row r="5251" spans="1:2" x14ac:dyDescent="0.25">
      <c r="A5251">
        <f ca="1">33608.7092242856*((RANDBETWEEN(2979,3282)))</f>
        <v>110236566.25565666</v>
      </c>
      <c r="B5251">
        <v>193246324.29459819</v>
      </c>
    </row>
    <row r="5252" spans="1:2" x14ac:dyDescent="0.25">
      <c r="A5252">
        <f ca="1">26642.7442197259*((RANDBETWEEN(2979,3282)))</f>
        <v>86482347.737230361</v>
      </c>
      <c r="B5252">
        <v>184787910.12501875</v>
      </c>
    </row>
    <row r="5253" spans="1:2" x14ac:dyDescent="0.25">
      <c r="A5253">
        <f ca="1">28034.9770121054*((RANDBETWEEN(2979,3282)))</f>
        <v>85002050.300703645</v>
      </c>
      <c r="B5253">
        <v>190832229.16730002</v>
      </c>
    </row>
    <row r="5254" spans="1:2" x14ac:dyDescent="0.25">
      <c r="A5254">
        <f ca="1">31037.8539637355*((RANDBETWEEN(2979,3282)))</f>
        <v>100686798.25835811</v>
      </c>
      <c r="B5254">
        <v>168207639.10540026</v>
      </c>
    </row>
    <row r="5255" spans="1:2" x14ac:dyDescent="0.25">
      <c r="A5255">
        <f ca="1">28602.5306101538*((RANDBETWEEN(2979,3282)))</f>
        <v>86923090.524257407</v>
      </c>
      <c r="B5255">
        <v>199131062.08498853</v>
      </c>
    </row>
    <row r="5256" spans="1:2" x14ac:dyDescent="0.25">
      <c r="A5256">
        <f ca="1">27074.9064884443*((RANDBETWEEN(2979,3282)))</f>
        <v>84446633.337457731</v>
      </c>
      <c r="B5256">
        <v>148890277.8646642</v>
      </c>
    </row>
    <row r="5257" spans="1:2" x14ac:dyDescent="0.25">
      <c r="A5257">
        <f ca="1">26381.4060127139*((RANDBETWEEN(2979,3282)))</f>
        <v>81518544.579285815</v>
      </c>
      <c r="B5257">
        <v>159281525.74139789</v>
      </c>
    </row>
    <row r="5258" spans="1:2" x14ac:dyDescent="0.25">
      <c r="A5258">
        <f ca="1">25910.3524419474*((RANDBETWEEN(2979,3282)))</f>
        <v>79311588.824801043</v>
      </c>
      <c r="B5258">
        <v>185461498.97314176</v>
      </c>
    </row>
    <row r="5259" spans="1:2" x14ac:dyDescent="0.25">
      <c r="A5259">
        <f ca="1">27895.3608993273*((RANDBETWEEN(2979,3282)))</f>
        <v>83769768.780680016</v>
      </c>
      <c r="B5259">
        <v>144348526.71881494</v>
      </c>
    </row>
    <row r="5260" spans="1:2" x14ac:dyDescent="0.25">
      <c r="A5260">
        <f ca="1">27728.7410610519*((RANDBETWEEN(2979,3282)))</f>
        <v>86901874.485336632</v>
      </c>
      <c r="B5260">
        <v>157201012.59468669</v>
      </c>
    </row>
    <row r="5261" spans="1:2" x14ac:dyDescent="0.25">
      <c r="A5261">
        <f ca="1">25987.3342542475*((RANDBETWEEN(2979,3282)))</f>
        <v>81860102.900879592</v>
      </c>
      <c r="B5261">
        <v>143915243.00184253</v>
      </c>
    </row>
    <row r="5262" spans="1:2" x14ac:dyDescent="0.25">
      <c r="A5262">
        <f ca="1">26978.1350440978*((RANDBETWEEN(2979,3282)))</f>
        <v>83200568.475997478</v>
      </c>
      <c r="B5262">
        <v>172375370.42281392</v>
      </c>
    </row>
    <row r="5263" spans="1:2" x14ac:dyDescent="0.25">
      <c r="A5263">
        <f ca="1">28012.3886438231*((RANDBETWEEN(2979,3282)))</f>
        <v>87986912.730248421</v>
      </c>
      <c r="B5263">
        <v>156761128.39815369</v>
      </c>
    </row>
    <row r="5264" spans="1:2" x14ac:dyDescent="0.25">
      <c r="A5264">
        <f ca="1">29122.4721850626*((RANDBETWEEN(2979,3282)))</f>
        <v>87862498.582333907</v>
      </c>
      <c r="B5264">
        <v>189148179.13687673</v>
      </c>
    </row>
    <row r="5265" spans="1:2" x14ac:dyDescent="0.25">
      <c r="A5265">
        <f ca="1">26298.3576902916*((RANDBETWEEN(2979,3282)))</f>
        <v>85785242.785731286</v>
      </c>
      <c r="B5265">
        <v>156375396.48633432</v>
      </c>
    </row>
    <row r="5266" spans="1:2" x14ac:dyDescent="0.25">
      <c r="A5266">
        <f ca="1">30660.5251774766*((RANDBETWEEN(2979,3282)))</f>
        <v>93085354.438818812</v>
      </c>
      <c r="B5266">
        <v>169123290.31811246</v>
      </c>
    </row>
    <row r="5267" spans="1:2" x14ac:dyDescent="0.25">
      <c r="A5267">
        <f ca="1">27293.2710318873*((RANDBETWEEN(2979,3282)))</f>
        <v>88648544.311569825</v>
      </c>
      <c r="B5267">
        <v>149248122.66093752</v>
      </c>
    </row>
    <row r="5268" spans="1:2" x14ac:dyDescent="0.25">
      <c r="A5268">
        <f ca="1">30154.6844875683*((RANDBETWEEN(2979,3282)))</f>
        <v>94836482.713402301</v>
      </c>
      <c r="B5268">
        <v>154554528.53621408</v>
      </c>
    </row>
    <row r="5269" spans="1:2" x14ac:dyDescent="0.25">
      <c r="A5269">
        <f ca="1">27757.4439842237*((RANDBETWEEN(2979,3282)))</f>
        <v>84438144.600008368</v>
      </c>
      <c r="B5269">
        <v>168539830.44508445</v>
      </c>
    </row>
    <row r="5270" spans="1:2" x14ac:dyDescent="0.25">
      <c r="A5270">
        <f ca="1">27420.0600939144*((RANDBETWEEN(2979,3282)))</f>
        <v>85303806.952167735</v>
      </c>
      <c r="B5270">
        <v>173057453.82448</v>
      </c>
    </row>
    <row r="5271" spans="1:2" x14ac:dyDescent="0.25">
      <c r="A5271">
        <f ca="1">28544.2953251516*((RANDBETWEEN(2979,3282)))</f>
        <v>85632885.975454718</v>
      </c>
      <c r="B5271">
        <v>173654576.34125143</v>
      </c>
    </row>
    <row r="5272" spans="1:2" x14ac:dyDescent="0.25">
      <c r="A5272">
        <f ca="1">30140.2136599968*((RANDBETWEEN(2979,3282)))</f>
        <v>92922278.713770002</v>
      </c>
      <c r="B5272">
        <v>163188493.25229272</v>
      </c>
    </row>
    <row r="5273" spans="1:2" x14ac:dyDescent="0.25">
      <c r="A5273">
        <f ca="1">28611.144090583*((RANDBETWEEN(2979,3282)))</f>
        <v>88580102.104444996</v>
      </c>
      <c r="B5273">
        <v>146740571.98461872</v>
      </c>
    </row>
    <row r="5274" spans="1:2" x14ac:dyDescent="0.25">
      <c r="A5274">
        <f ca="1">33283.0051814661*((RANDBETWEEN(2979,3282)))</f>
        <v>106971578.65323216</v>
      </c>
      <c r="B5274">
        <v>171188798.08529246</v>
      </c>
    </row>
    <row r="5275" spans="1:2" x14ac:dyDescent="0.25">
      <c r="A5275">
        <f ca="1">32122.9325874561*((RANDBETWEEN(2979,3282)))</f>
        <v>104271039.17888255</v>
      </c>
      <c r="B5275">
        <v>186380769.64475012</v>
      </c>
    </row>
    <row r="5276" spans="1:2" x14ac:dyDescent="0.25">
      <c r="A5276">
        <f ca="1">26955.155833891*((RANDBETWEEN(2979,3282)))</f>
        <v>88089449.265155673</v>
      </c>
      <c r="B5276">
        <v>166861394.99727124</v>
      </c>
    </row>
    <row r="5277" spans="1:2" x14ac:dyDescent="0.25">
      <c r="A5277">
        <f ca="1">28164.1996677147*((RANDBETWEEN(2979,3282)))</f>
        <v>91336499.522398859</v>
      </c>
      <c r="B5277">
        <v>203280435.42602256</v>
      </c>
    </row>
    <row r="5278" spans="1:2" x14ac:dyDescent="0.25">
      <c r="A5278">
        <f ca="1">29235.8442768736*((RANDBETWEEN(2979,3282)))</f>
        <v>92794569.734796941</v>
      </c>
      <c r="B5278">
        <v>199967927.81708667</v>
      </c>
    </row>
    <row r="5279" spans="1:2" x14ac:dyDescent="0.25">
      <c r="A5279">
        <f ca="1">26826.4334570765*((RANDBETWEEN(2979,3282)))</f>
        <v>84369133.222505599</v>
      </c>
      <c r="B5279">
        <v>150768946.5474911</v>
      </c>
    </row>
    <row r="5280" spans="1:2" x14ac:dyDescent="0.25">
      <c r="A5280">
        <f ca="1">27276.1914390904*((RANDBETWEEN(2979,3282)))</f>
        <v>88020269.77394475</v>
      </c>
      <c r="B5280">
        <v>161092163.9475145</v>
      </c>
    </row>
    <row r="5281" spans="1:2" x14ac:dyDescent="0.25">
      <c r="A5281">
        <f ca="1">33097.9612643904*((RANDBETWEEN(2979,3282)))</f>
        <v>103497324.87374866</v>
      </c>
      <c r="B5281">
        <v>192254459.39949888</v>
      </c>
    </row>
    <row r="5282" spans="1:2" x14ac:dyDescent="0.25">
      <c r="A5282">
        <f ca="1">26711.0137961976*((RANDBETWEEN(2979,3282)))</f>
        <v>83391785.0717289</v>
      </c>
      <c r="B5282">
        <v>144526045.23584116</v>
      </c>
    </row>
    <row r="5283" spans="1:2" x14ac:dyDescent="0.25">
      <c r="A5283">
        <f ca="1">27230.2911974266*((RANDBETWEEN(2979,3282)))</f>
        <v>88253373.770859718</v>
      </c>
      <c r="B5283">
        <v>143903393.21022347</v>
      </c>
    </row>
    <row r="5284" spans="1:2" x14ac:dyDescent="0.25">
      <c r="A5284">
        <f ca="1">27835.0462484763*((RANDBETWEEN(2979,3282)))</f>
        <v>82948437.820459306</v>
      </c>
      <c r="B5284">
        <v>197974040.5910002</v>
      </c>
    </row>
    <row r="5285" spans="1:2" x14ac:dyDescent="0.25">
      <c r="A5285">
        <f ca="1">30551.1158019886*((RANDBETWEEN(2979,3282)))</f>
        <v>92692085.343233362</v>
      </c>
      <c r="B5285">
        <v>180607899.59169883</v>
      </c>
    </row>
    <row r="5286" spans="1:2" x14ac:dyDescent="0.25">
      <c r="A5286">
        <f ca="1">27650.0332751063*((RANDBETWEEN(2979,3282)))</f>
        <v>85991603.485580593</v>
      </c>
      <c r="B5286">
        <v>189689761.22754845</v>
      </c>
    </row>
    <row r="5287" spans="1:2" x14ac:dyDescent="0.25">
      <c r="A5287">
        <f ca="1">29598.4423029344*((RANDBETWEEN(2979,3282)))</f>
        <v>92021557.119823053</v>
      </c>
      <c r="B5287">
        <v>198324563.60513902</v>
      </c>
    </row>
    <row r="5288" spans="1:2" x14ac:dyDescent="0.25">
      <c r="A5288">
        <f ca="1">27999.9123656348*((RANDBETWEEN(2979,3282)))</f>
        <v>86659728.771639809</v>
      </c>
      <c r="B5288">
        <v>148828822.86172163</v>
      </c>
    </row>
    <row r="5289" spans="1:2" x14ac:dyDescent="0.25">
      <c r="A5289">
        <f ca="1">27249.3344183272*((RANDBETWEEN(2979,3282)))</f>
        <v>84091446.01495783</v>
      </c>
      <c r="B5289">
        <v>150242400.13122329</v>
      </c>
    </row>
    <row r="5290" spans="1:2" x14ac:dyDescent="0.25">
      <c r="A5290">
        <f ca="1">31022.8550597508*((RANDBETWEEN(2979,3282)))</f>
        <v>98435519.104589269</v>
      </c>
      <c r="B5290">
        <v>162166059.24111673</v>
      </c>
    </row>
    <row r="5291" spans="1:2" x14ac:dyDescent="0.25">
      <c r="A5291">
        <f ca="1">29991.2094767349*((RANDBETWEEN(2979,3282)))</f>
        <v>93272661.472645685</v>
      </c>
      <c r="B5291">
        <v>187886989.16782761</v>
      </c>
    </row>
    <row r="5292" spans="1:2" x14ac:dyDescent="0.25">
      <c r="A5292">
        <f ca="1">26235.8287100686*((RANDBETWEEN(2979,3282)))</f>
        <v>82380502.149615422</v>
      </c>
      <c r="B5292">
        <v>160153435.89995405</v>
      </c>
    </row>
    <row r="5293" spans="1:2" x14ac:dyDescent="0.25">
      <c r="A5293">
        <f ca="1">25269.8948048613*((RANDBETWEEN(2979,3282)))</f>
        <v>75708604.835364446</v>
      </c>
      <c r="B5293">
        <v>180603931.61892638</v>
      </c>
    </row>
    <row r="5294" spans="1:2" x14ac:dyDescent="0.25">
      <c r="A5294">
        <f ca="1">25650.2160236582*((RANDBETWEEN(2979,3282)))</f>
        <v>76488944.182548627</v>
      </c>
      <c r="B5294">
        <v>158010717.21278423</v>
      </c>
    </row>
    <row r="5295" spans="1:2" x14ac:dyDescent="0.25">
      <c r="A5295">
        <f ca="1">30989.1467021897*((RANDBETWEEN(2979,3282)))</f>
        <v>98142627.605834901</v>
      </c>
      <c r="B5295">
        <v>200170377.90188691</v>
      </c>
    </row>
    <row r="5296" spans="1:2" x14ac:dyDescent="0.25">
      <c r="A5296">
        <f ca="1">26272.3151139585*((RANDBETWEEN(2979,3282)))</f>
        <v>79972927.206889778</v>
      </c>
      <c r="B5296">
        <v>151868031.0058969</v>
      </c>
    </row>
    <row r="5297" spans="1:2" x14ac:dyDescent="0.25">
      <c r="A5297">
        <f ca="1">26478.9394776804*((RANDBETWEEN(2979,3282)))</f>
        <v>84838522.086488053</v>
      </c>
      <c r="B5297">
        <v>166959216.9445802</v>
      </c>
    </row>
    <row r="5298" spans="1:2" x14ac:dyDescent="0.25">
      <c r="A5298">
        <f ca="1">25951.8559921321*((RANDBETWEEN(2979,3282)))</f>
        <v>83149746.598791137</v>
      </c>
      <c r="B5298">
        <v>182183659.63793474</v>
      </c>
    </row>
    <row r="5299" spans="1:2" x14ac:dyDescent="0.25">
      <c r="A5299">
        <f ca="1">28229.5622576827*((RANDBETWEEN(2979,3282)))</f>
        <v>88697284.613639042</v>
      </c>
      <c r="B5299">
        <v>152387981.08542904</v>
      </c>
    </row>
    <row r="5300" spans="1:2" x14ac:dyDescent="0.25">
      <c r="A5300">
        <f ca="1">25447.3636743078*((RANDBETWEEN(2979,3282)))</f>
        <v>76672906.750689358</v>
      </c>
      <c r="B5300">
        <v>156160003.8980771</v>
      </c>
    </row>
    <row r="5301" spans="1:2" x14ac:dyDescent="0.25">
      <c r="A5301">
        <f ca="1">28214.8284841588*((RANDBETWEEN(2979,3282)))</f>
        <v>90569599.434149787</v>
      </c>
      <c r="B5301">
        <v>178155990.81245226</v>
      </c>
    </row>
    <row r="5302" spans="1:2" x14ac:dyDescent="0.25">
      <c r="A5302">
        <f ca="1">26156.8572615846*((RANDBETWEEN(2979,3282)))</f>
        <v>78444414.927492127</v>
      </c>
      <c r="B5302">
        <v>158979179.96196991</v>
      </c>
    </row>
    <row r="5303" spans="1:2" x14ac:dyDescent="0.25">
      <c r="A5303">
        <f ca="1">28660.5948353414*((RANDBETWEEN(2979,3282)))</f>
        <v>93720145.111566216</v>
      </c>
      <c r="B5303">
        <v>202264980.77838841</v>
      </c>
    </row>
    <row r="5304" spans="1:2" x14ac:dyDescent="0.25">
      <c r="A5304">
        <f ca="1">31068.3456284579*((RANDBETWEEN(2979,3282)))</f>
        <v>95814777.918164104</v>
      </c>
      <c r="B5304">
        <v>162749191.29854214</v>
      </c>
    </row>
    <row r="5305" spans="1:2" x14ac:dyDescent="0.25">
      <c r="A5305">
        <f ca="1">26639.9710542217*((RANDBETWEEN(2979,3282)))</f>
        <v>79786713.307393968</v>
      </c>
      <c r="B5305">
        <v>167632352.98623925</v>
      </c>
    </row>
    <row r="5306" spans="1:2" x14ac:dyDescent="0.25">
      <c r="A5306">
        <f ca="1">30283.3039015203*((RANDBETWEEN(2979,3282)))</f>
        <v>99298953.493084982</v>
      </c>
      <c r="B5306">
        <v>162692351.03117725</v>
      </c>
    </row>
    <row r="5307" spans="1:2" x14ac:dyDescent="0.25">
      <c r="A5307">
        <f ca="1">27952.546211897*((RANDBETWEEN(2979,3282)))</f>
        <v>84276926.828869492</v>
      </c>
      <c r="B5307">
        <v>160052675.94271159</v>
      </c>
    </row>
    <row r="5308" spans="1:2" x14ac:dyDescent="0.25">
      <c r="A5308">
        <f ca="1">25621.2889690588*((RANDBETWEEN(2979,3282)))</f>
        <v>82013745.989957348</v>
      </c>
      <c r="B5308">
        <v>162464469.43587229</v>
      </c>
    </row>
    <row r="5309" spans="1:2" x14ac:dyDescent="0.25">
      <c r="A5309">
        <f ca="1">26892.8303194256*((RANDBETWEEN(2979,3282)))</f>
        <v>82480310.589678377</v>
      </c>
      <c r="B5309">
        <v>194385550.9291403</v>
      </c>
    </row>
    <row r="5310" spans="1:2" x14ac:dyDescent="0.25">
      <c r="A5310">
        <f ca="1">30223.508835081*((RANDBETWEEN(2979,3282)))</f>
        <v>97531263.010806531</v>
      </c>
      <c r="B5310">
        <v>154515782.00491321</v>
      </c>
    </row>
    <row r="5311" spans="1:2" x14ac:dyDescent="0.25">
      <c r="A5311">
        <f ca="1">27274.1762126704*((RANDBETWEEN(2979,3282)))</f>
        <v>82749850.629241854</v>
      </c>
      <c r="B5311">
        <v>178876025.10887498</v>
      </c>
    </row>
    <row r="5312" spans="1:2" x14ac:dyDescent="0.25">
      <c r="A5312">
        <f ca="1">26457.2254109548*((RANDBETWEEN(2979,3282)))</f>
        <v>83525460.622384176</v>
      </c>
      <c r="B5312">
        <v>170977166.36505368</v>
      </c>
    </row>
    <row r="5313" spans="1:2" x14ac:dyDescent="0.25">
      <c r="A5313">
        <f ca="1">27004.792958763*((RANDBETWEEN(2979,3282)))</f>
        <v>84443987.582052052</v>
      </c>
      <c r="B5313">
        <v>147561198.387887</v>
      </c>
    </row>
    <row r="5314" spans="1:2" x14ac:dyDescent="0.25">
      <c r="A5314">
        <f ca="1">29747.2500564203*((RANDBETWEEN(2979,3282)))</f>
        <v>93465859.677272677</v>
      </c>
      <c r="B5314">
        <v>158600340.83931541</v>
      </c>
    </row>
    <row r="5315" spans="1:2" x14ac:dyDescent="0.25">
      <c r="A5315">
        <f ca="1">26231.752478621*((RANDBETWEEN(2979,3282)))</f>
        <v>79482210.010221511</v>
      </c>
      <c r="B5315">
        <v>176122247.14114958</v>
      </c>
    </row>
    <row r="5316" spans="1:2" x14ac:dyDescent="0.25">
      <c r="A5316">
        <f ca="1">28027.1125891896*((RANDBETWEEN(2979,3282)))</f>
        <v>85426639.171849981</v>
      </c>
      <c r="B5316">
        <v>173523476.4248009</v>
      </c>
    </row>
    <row r="5317" spans="1:2" x14ac:dyDescent="0.25">
      <c r="A5317">
        <f ca="1">27828.3294814592*((RANDBETWEEN(2979,3282)))</f>
        <v>88438431.092077464</v>
      </c>
      <c r="B5317">
        <v>169077893.91365439</v>
      </c>
    </row>
    <row r="5318" spans="1:2" x14ac:dyDescent="0.25">
      <c r="A5318">
        <f ca="1">26835.735109904*((RANDBETWEEN(2979,3282)))</f>
        <v>86303724.113451317</v>
      </c>
      <c r="B5318">
        <v>143223575.87188384</v>
      </c>
    </row>
    <row r="5319" spans="1:2" x14ac:dyDescent="0.25">
      <c r="A5319">
        <f ca="1">26491.0173458098*((RANDBETWEEN(2979,3282)))</f>
        <v>83367231.587263301</v>
      </c>
      <c r="B5319">
        <v>179548317.88307965</v>
      </c>
    </row>
    <row r="5320" spans="1:2" x14ac:dyDescent="0.25">
      <c r="A5320">
        <f ca="1">31127.9850013806*((RANDBETWEEN(2979,3282)))</f>
        <v>96683521.414288059</v>
      </c>
      <c r="B5320">
        <v>150990974.08313754</v>
      </c>
    </row>
    <row r="5321" spans="1:2" x14ac:dyDescent="0.25">
      <c r="A5321">
        <f ca="1">26613.2707427355*((RANDBETWEEN(2979,3282)))</f>
        <v>79520452.979293525</v>
      </c>
      <c r="B5321">
        <v>176757492.47018728</v>
      </c>
    </row>
    <row r="5322" spans="1:2" x14ac:dyDescent="0.25">
      <c r="A5322">
        <f ca="1">28066.4326520637*((RANDBETWEEN(2979,3282)))</f>
        <v>88296997.123392284</v>
      </c>
      <c r="B5322">
        <v>154752329.70276511</v>
      </c>
    </row>
    <row r="5323" spans="1:2" x14ac:dyDescent="0.25">
      <c r="A5323">
        <f ca="1">25983.5841005619*((RANDBETWEEN(2979,3282)))</f>
        <v>82601813.855686322</v>
      </c>
      <c r="B5323">
        <v>150422095.23503521</v>
      </c>
    </row>
    <row r="5324" spans="1:2" x14ac:dyDescent="0.25">
      <c r="A5324">
        <f ca="1">26800.3713359776*((RANDBETWEEN(2979,3282)))</f>
        <v>80963921.805988342</v>
      </c>
      <c r="B5324">
        <v>187105588.00932187</v>
      </c>
    </row>
    <row r="5325" spans="1:2" x14ac:dyDescent="0.25">
      <c r="A5325">
        <f ca="1">29827.8521052429*((RANDBETWEEN(2979,3282)))</f>
        <v>93391004.941515386</v>
      </c>
      <c r="B5325">
        <v>199173171.21612379</v>
      </c>
    </row>
    <row r="5326" spans="1:2" x14ac:dyDescent="0.25">
      <c r="A5326">
        <f ca="1">26025.6412091294*((RANDBETWEEN(2979,3282)))</f>
        <v>78415256.963106915</v>
      </c>
      <c r="B5326">
        <v>154022665.46451867</v>
      </c>
    </row>
    <row r="5327" spans="1:2" x14ac:dyDescent="0.25">
      <c r="A5327">
        <f ca="1">26693.8892218939*((RANDBETWEEN(2979,3282)))</f>
        <v>83792118.267524958</v>
      </c>
      <c r="B5327">
        <v>146164799.10984746</v>
      </c>
    </row>
    <row r="5328" spans="1:2" x14ac:dyDescent="0.25">
      <c r="A5328">
        <f ca="1">29396.1937725694*((RANDBETWEEN(2979,3282)))</f>
        <v>95743403.117258474</v>
      </c>
      <c r="B5328">
        <v>196238738.75493091</v>
      </c>
    </row>
    <row r="5329" spans="1:2" x14ac:dyDescent="0.25">
      <c r="A5329">
        <f ca="1">27430.4380172878*((RANDBETWEEN(2979,3282)))</f>
        <v>89231214.870237142</v>
      </c>
      <c r="B5329">
        <v>151942592.46492368</v>
      </c>
    </row>
    <row r="5330" spans="1:2" x14ac:dyDescent="0.25">
      <c r="A5330">
        <f ca="1">30563.2358428358*((RANDBETWEEN(2979,3282)))</f>
        <v>99941781.206072971</v>
      </c>
      <c r="B5330">
        <v>167105791.79550731</v>
      </c>
    </row>
    <row r="5331" spans="1:2" x14ac:dyDescent="0.25">
      <c r="A5331">
        <f ca="1">27915.9940764269*((RANDBETWEEN(2979,3282)))</f>
        <v>83468822.288516298</v>
      </c>
      <c r="B5331">
        <v>164543744.77604744</v>
      </c>
    </row>
    <row r="5332" spans="1:2" x14ac:dyDescent="0.25">
      <c r="A5332">
        <f ca="1">29995.812913712*((RANDBETWEEN(2979,3282)))</f>
        <v>96736496.646721333</v>
      </c>
      <c r="B5332">
        <v>182252369.54594401</v>
      </c>
    </row>
    <row r="5333" spans="1:2" x14ac:dyDescent="0.25">
      <c r="A5333">
        <f ca="1">26820.1233380808*((RANDBETWEEN(2979,3282)))</f>
        <v>84510208.638292715</v>
      </c>
      <c r="B5333">
        <v>174827306.27449241</v>
      </c>
    </row>
    <row r="5334" spans="1:2" x14ac:dyDescent="0.25">
      <c r="A5334">
        <f ca="1">26694.3398027055*((RANDBETWEEN(2979,3282)))</f>
        <v>80269879.786735326</v>
      </c>
      <c r="B5334">
        <v>163803514.85941213</v>
      </c>
    </row>
    <row r="5335" spans="1:2" x14ac:dyDescent="0.25">
      <c r="A5335">
        <f ca="1">27391.9904213354*((RANDBETWEEN(2979,3282)))</f>
        <v>86503905.750577092</v>
      </c>
      <c r="B5335">
        <v>168677911.21535984</v>
      </c>
    </row>
    <row r="5336" spans="1:2" x14ac:dyDescent="0.25">
      <c r="A5336">
        <f ca="1">28341.0901311855*((RANDBETWEEN(2979,3282)))</f>
        <v>90209689.887563422</v>
      </c>
      <c r="B5336">
        <v>191452217.1981622</v>
      </c>
    </row>
    <row r="5337" spans="1:2" x14ac:dyDescent="0.25">
      <c r="A5337">
        <f ca="1">27086.2180994735*((RANDBETWEEN(2979,3282)))</f>
        <v>86675897.918315157</v>
      </c>
      <c r="B5337">
        <v>144430540.2888014</v>
      </c>
    </row>
    <row r="5338" spans="1:2" x14ac:dyDescent="0.25">
      <c r="A5338">
        <f ca="1">27654.8180994945*((RANDBETWEEN(2979,3282)))</f>
        <v>88108250.464989424</v>
      </c>
      <c r="B5338">
        <v>144664081.18749222</v>
      </c>
    </row>
    <row r="5339" spans="1:2" x14ac:dyDescent="0.25">
      <c r="A5339">
        <f ca="1">26693.9163008103*((RANDBETWEEN(2979,3282)))</f>
        <v>85634083.49299942</v>
      </c>
      <c r="B5339">
        <v>174630730.83768639</v>
      </c>
    </row>
    <row r="5340" spans="1:2" x14ac:dyDescent="0.25">
      <c r="A5340">
        <f ca="1">25759.2056215155*((RANDBETWEEN(2979,3282)))</f>
        <v>80755109.623450965</v>
      </c>
      <c r="B5340">
        <v>152062109.32362393</v>
      </c>
    </row>
    <row r="5341" spans="1:2" x14ac:dyDescent="0.25">
      <c r="A5341">
        <f ca="1">26160.285709255*((RANDBETWEEN(2979,3282)))</f>
        <v>82692663.126954958</v>
      </c>
      <c r="B5341">
        <v>143542632.63305283</v>
      </c>
    </row>
    <row r="5342" spans="1:2" x14ac:dyDescent="0.25">
      <c r="A5342">
        <f ca="1">25628.9670088671*((RANDBETWEEN(2979,3282)))</f>
        <v>80859390.912975758</v>
      </c>
      <c r="B5342">
        <v>144762497.33321208</v>
      </c>
    </row>
    <row r="5343" spans="1:2" x14ac:dyDescent="0.25">
      <c r="A5343">
        <f ca="1">30409.7537512441*((RANDBETWEEN(2979,3282)))</f>
        <v>97372031.511483699</v>
      </c>
      <c r="B5343">
        <v>181871369.76767394</v>
      </c>
    </row>
    <row r="5344" spans="1:2" x14ac:dyDescent="0.25">
      <c r="A5344">
        <f ca="1">29739.2618034295*((RANDBETWEEN(2979,3282)))</f>
        <v>95076419.985564187</v>
      </c>
      <c r="B5344">
        <v>149482248.70656309</v>
      </c>
    </row>
    <row r="5345" spans="1:2" x14ac:dyDescent="0.25">
      <c r="A5345">
        <f ca="1">26325.6063702227*((RANDBETWEEN(2979,3282)))</f>
        <v>78818865.472446665</v>
      </c>
      <c r="B5345">
        <v>143775072.39364612</v>
      </c>
    </row>
    <row r="5346" spans="1:2" x14ac:dyDescent="0.25">
      <c r="A5346">
        <f ca="1">29468.5055662052*((RANDBETWEEN(2979,3282)))</f>
        <v>87992957.620688602</v>
      </c>
      <c r="B5346">
        <v>168455687.22355419</v>
      </c>
    </row>
    <row r="5347" spans="1:2" x14ac:dyDescent="0.25">
      <c r="A5347">
        <f ca="1">31240.7679721039*((RANDBETWEEN(2979,3282)))</f>
        <v>97314992.233103782</v>
      </c>
      <c r="B5347">
        <v>202780117.41419977</v>
      </c>
    </row>
    <row r="5348" spans="1:2" x14ac:dyDescent="0.25">
      <c r="A5348">
        <f ca="1">27064.1047172045*((RANDBETWEEN(2979,3282)))</f>
        <v>83709275.890313521</v>
      </c>
      <c r="B5348">
        <v>160276215.02919185</v>
      </c>
    </row>
    <row r="5349" spans="1:2" x14ac:dyDescent="0.25">
      <c r="A5349">
        <f ca="1">28105.6653177658*((RANDBETWEEN(2979,3282)))</f>
        <v>90949932.968290061</v>
      </c>
      <c r="B5349">
        <v>173628726.4013623</v>
      </c>
    </row>
    <row r="5350" spans="1:2" x14ac:dyDescent="0.25">
      <c r="A5350">
        <f ca="1">27874.7353335567*((RANDBETWEEN(2979,3282)))</f>
        <v>86077182.71002309</v>
      </c>
      <c r="B5350">
        <v>153292534.96031818</v>
      </c>
    </row>
    <row r="5351" spans="1:2" x14ac:dyDescent="0.25">
      <c r="A5351">
        <f ca="1">27146.6659840894*((RANDBETWEEN(2979,3282)))</f>
        <v>85511997.849881634</v>
      </c>
      <c r="B5351">
        <v>165749696.12159672</v>
      </c>
    </row>
    <row r="5352" spans="1:2" x14ac:dyDescent="0.25">
      <c r="A5352">
        <f ca="1">33796.6416115383*((RANDBETWEEN(2979,3282)))</f>
        <v>104533012.50448793</v>
      </c>
      <c r="B5352">
        <v>190814234.80447263</v>
      </c>
    </row>
    <row r="5353" spans="1:2" x14ac:dyDescent="0.25">
      <c r="A5353">
        <f ca="1">30867.4221045582*((RANDBETWEEN(2979,3282)))</f>
        <v>93590023.821020365</v>
      </c>
      <c r="B5353">
        <v>146514956.78143352</v>
      </c>
    </row>
    <row r="5354" spans="1:2" x14ac:dyDescent="0.25">
      <c r="A5354">
        <f ca="1">32622.1375581816*((RANDBETWEEN(2979,3282)))</f>
        <v>100900271.46745555</v>
      </c>
      <c r="B5354">
        <v>167267962.77845719</v>
      </c>
    </row>
    <row r="5355" spans="1:2" x14ac:dyDescent="0.25">
      <c r="A5355">
        <f ca="1">28170.7740385862*((RANDBETWEEN(2979,3282)))</f>
        <v>91780381.817713827</v>
      </c>
      <c r="B5355">
        <v>170378233.12463331</v>
      </c>
    </row>
    <row r="5356" spans="1:2" x14ac:dyDescent="0.25">
      <c r="A5356">
        <f ca="1">28662.6964433764*((RANDBETWEEN(2979,3282)))</f>
        <v>87277910.670081258</v>
      </c>
      <c r="B5356">
        <v>178186877.91327322</v>
      </c>
    </row>
    <row r="5357" spans="1:2" x14ac:dyDescent="0.25">
      <c r="A5357">
        <f ca="1">30511.275624488*((RANDBETWEEN(2979,3282)))</f>
        <v>98337841.337724924</v>
      </c>
      <c r="B5357">
        <v>196840785.82638368</v>
      </c>
    </row>
    <row r="5358" spans="1:2" x14ac:dyDescent="0.25">
      <c r="A5358">
        <f ca="1">25846.0767476198*((RANDBETWEEN(2979,3282)))</f>
        <v>84439132.734473839</v>
      </c>
      <c r="B5358">
        <v>145051592.98879835</v>
      </c>
    </row>
    <row r="5359" spans="1:2" x14ac:dyDescent="0.25">
      <c r="A5359">
        <f ca="1">26566.6779114599*((RANDBETWEEN(2979,3282)))</f>
        <v>79221833.531973451</v>
      </c>
      <c r="B5359">
        <v>169693143.63950801</v>
      </c>
    </row>
    <row r="5360" spans="1:2" x14ac:dyDescent="0.25">
      <c r="A5360">
        <f ca="1">26771.1327695472*((RANDBETWEEN(2979,3282)))</f>
        <v>79804746.786020145</v>
      </c>
      <c r="B5360">
        <v>177199904.77294263</v>
      </c>
    </row>
    <row r="5361" spans="1:2" x14ac:dyDescent="0.25">
      <c r="A5361">
        <f ca="1">27320.6444634473*((RANDBETWEEN(2979,3282)))</f>
        <v>85540937.815053493</v>
      </c>
      <c r="B5361">
        <v>179347852.85221997</v>
      </c>
    </row>
    <row r="5362" spans="1:2" x14ac:dyDescent="0.25">
      <c r="A5362">
        <f ca="1">27290.3312856895*((RANDBETWEEN(2979,3282)))</f>
        <v>82908026.445924848</v>
      </c>
      <c r="B5362">
        <v>158101854.0494976</v>
      </c>
    </row>
    <row r="5363" spans="1:2" x14ac:dyDescent="0.25">
      <c r="A5363">
        <f ca="1">25378.6334327723*((RANDBETWEEN(2979,3282)))</f>
        <v>81541549.219497502</v>
      </c>
      <c r="B5363">
        <v>150293713.96368751</v>
      </c>
    </row>
    <row r="5364" spans="1:2" x14ac:dyDescent="0.25">
      <c r="A5364">
        <f ca="1">27216.3617584173*((RANDBETWEEN(2979,3282)))</f>
        <v>81948465.25459455</v>
      </c>
      <c r="B5364">
        <v>193403117.96499234</v>
      </c>
    </row>
    <row r="5365" spans="1:2" x14ac:dyDescent="0.25">
      <c r="A5365">
        <f ca="1">28038.0821890768*((RANDBETWEEN(2979,3282)))</f>
        <v>85319884.101360649</v>
      </c>
      <c r="B5365">
        <v>149396504.67973208</v>
      </c>
    </row>
    <row r="5366" spans="1:2" x14ac:dyDescent="0.25">
      <c r="A5366">
        <f ca="1">28825.0555996808*((RANDBETWEEN(2979,3282)))</f>
        <v>93854381.032560632</v>
      </c>
      <c r="B5366">
        <v>148285014.74313754</v>
      </c>
    </row>
    <row r="5367" spans="1:2" x14ac:dyDescent="0.25">
      <c r="A5367">
        <f ca="1">26902.3068234432*((RANDBETWEEN(2979,3282)))</f>
        <v>81218064.299975157</v>
      </c>
      <c r="B5367">
        <v>157406711.02708077</v>
      </c>
    </row>
    <row r="5368" spans="1:2" x14ac:dyDescent="0.25">
      <c r="A5368">
        <f ca="1">33687.326554228*((RANDBETWEEN(2979,3282)))</f>
        <v>109719622.58712071</v>
      </c>
      <c r="B5368">
        <v>177363083.54738283</v>
      </c>
    </row>
    <row r="5369" spans="1:2" x14ac:dyDescent="0.25">
      <c r="A5369">
        <f ca="1">31720.2994987486*((RANDBETWEEN(2979,3282)))</f>
        <v>103090973.37093294</v>
      </c>
      <c r="B5369">
        <v>165760590.85149747</v>
      </c>
    </row>
    <row r="5370" spans="1:2" x14ac:dyDescent="0.25">
      <c r="A5370">
        <f ca="1">26263.4344303311*((RANDBETWEEN(2979,3282)))</f>
        <v>78921620.463144824</v>
      </c>
      <c r="B5370">
        <v>145668169.77546853</v>
      </c>
    </row>
    <row r="5371" spans="1:2" x14ac:dyDescent="0.25">
      <c r="A5371">
        <f ca="1">29900.0098463353*((RANDBETWEEN(2979,3282)))</f>
        <v>91314630.070708141</v>
      </c>
      <c r="B5371">
        <v>190541975.38260591</v>
      </c>
    </row>
    <row r="5372" spans="1:2" x14ac:dyDescent="0.25">
      <c r="A5372">
        <f ca="1">26865.2353839587*((RANDBETWEEN(2979,3282)))</f>
        <v>87688128.293241277</v>
      </c>
      <c r="B5372">
        <v>182519469.10348326</v>
      </c>
    </row>
    <row r="5373" spans="1:2" x14ac:dyDescent="0.25">
      <c r="A5373">
        <f ca="1">29920.2565623449*((RANDBETWEEN(2979,3282)))</f>
        <v>93321280.217953876</v>
      </c>
      <c r="B5373">
        <v>185759658.04984349</v>
      </c>
    </row>
    <row r="5374" spans="1:2" x14ac:dyDescent="0.25">
      <c r="A5374">
        <f ca="1">32864.8411805002*((RANDBETWEEN(2979,3282)))</f>
        <v>105660464.39530808</v>
      </c>
      <c r="B5374">
        <v>156661918.39443821</v>
      </c>
    </row>
    <row r="5375" spans="1:2" x14ac:dyDescent="0.25">
      <c r="A5375">
        <f ca="1">30792.7466378172*((RANDBETWEEN(2979,3282)))</f>
        <v>95395929.083957836</v>
      </c>
      <c r="B5375">
        <v>174654598.23476785</v>
      </c>
    </row>
    <row r="5376" spans="1:2" x14ac:dyDescent="0.25">
      <c r="A5376">
        <f ca="1">27044.366958964*((RANDBETWEEN(2979,3282)))</f>
        <v>87191039.075699776</v>
      </c>
      <c r="B5376">
        <v>202740895.60677123</v>
      </c>
    </row>
    <row r="5377" spans="1:2" x14ac:dyDescent="0.25">
      <c r="A5377">
        <f ca="1">31005.5320172844*((RANDBETWEEN(2979,3282)))</f>
        <v>95373016.485166758</v>
      </c>
      <c r="B5377">
        <v>178584437.60368574</v>
      </c>
    </row>
    <row r="5378" spans="1:2" x14ac:dyDescent="0.25">
      <c r="A5378">
        <f ca="1">29293.9895742226*((RANDBETWEEN(2979,3282)))</f>
        <v>92539713.064969137</v>
      </c>
      <c r="B5378">
        <v>170994851.23185652</v>
      </c>
    </row>
    <row r="5379" spans="1:2" x14ac:dyDescent="0.25">
      <c r="A5379">
        <f ca="1">31941.7346213585*((RANDBETWEEN(2979,3282)))</f>
        <v>102596851.60380356</v>
      </c>
      <c r="B5379">
        <v>183566590.33033881</v>
      </c>
    </row>
    <row r="5380" spans="1:2" x14ac:dyDescent="0.25">
      <c r="A5380">
        <f ca="1">27955.656606243*((RANDBETWEEN(2979,3282)))</f>
        <v>89961302.958889872</v>
      </c>
      <c r="B5380">
        <v>144719464.37383464</v>
      </c>
    </row>
    <row r="5381" spans="1:2" x14ac:dyDescent="0.25">
      <c r="A5381">
        <f ca="1">25506.7602202581*((RANDBETWEEN(2979,3282)))</f>
        <v>81596125.944605753</v>
      </c>
      <c r="B5381">
        <v>182745302.87789962</v>
      </c>
    </row>
    <row r="5382" spans="1:2" x14ac:dyDescent="0.25">
      <c r="A5382">
        <f ca="1">27939.8188569709*((RANDBETWEEN(2979,3282)))</f>
        <v>90804411.28515549</v>
      </c>
      <c r="B5382">
        <v>159647366.90571022</v>
      </c>
    </row>
    <row r="5383" spans="1:2" x14ac:dyDescent="0.25">
      <c r="A5383">
        <f ca="1">27409.0921308877*((RANDBETWEEN(2979,3282)))</f>
        <v>88449140.306374475</v>
      </c>
      <c r="B5383">
        <v>143522895.80283207</v>
      </c>
    </row>
    <row r="5384" spans="1:2" x14ac:dyDescent="0.25">
      <c r="A5384">
        <f ca="1">29507.5367868301*((RANDBETWEEN(2979,3282)))</f>
        <v>96578167.903295055</v>
      </c>
      <c r="B5384">
        <v>190691235.86998111</v>
      </c>
    </row>
    <row r="5385" spans="1:2" x14ac:dyDescent="0.25">
      <c r="A5385">
        <f ca="1">30896.4757029709*((RANDBETWEEN(2979,3282)))</f>
        <v>95809971.154912755</v>
      </c>
      <c r="B5385">
        <v>145700259.98613444</v>
      </c>
    </row>
    <row r="5386" spans="1:2" x14ac:dyDescent="0.25">
      <c r="A5386">
        <f ca="1">26261.5612505022*((RANDBETWEEN(2979,3282)))</f>
        <v>84929889.084124058</v>
      </c>
      <c r="B5386">
        <v>177147253.81890073</v>
      </c>
    </row>
    <row r="5387" spans="1:2" x14ac:dyDescent="0.25">
      <c r="A5387">
        <f ca="1">25125.7547595063*((RANDBETWEEN(2979,3282)))</f>
        <v>80025528.909027457</v>
      </c>
      <c r="B5387">
        <v>200258963.98765126</v>
      </c>
    </row>
    <row r="5388" spans="1:2" x14ac:dyDescent="0.25">
      <c r="A5388">
        <f ca="1">27091.0064620279*((RANDBETWEEN(2979,3282)))</f>
        <v>81543929.450703993</v>
      </c>
      <c r="B5388">
        <v>161440971.86504272</v>
      </c>
    </row>
    <row r="5389" spans="1:2" x14ac:dyDescent="0.25">
      <c r="A5389">
        <f ca="1">27505.7325283241*((RANDBETWEEN(2979,3282)))</f>
        <v>86533034.53410764</v>
      </c>
      <c r="B5389">
        <v>143667686.17082447</v>
      </c>
    </row>
    <row r="5390" spans="1:2" x14ac:dyDescent="0.25">
      <c r="A5390">
        <f ca="1">29562.2375165202*((RANDBETWEEN(2979,3282)))</f>
        <v>96993701.291702613</v>
      </c>
      <c r="B5390">
        <v>163520007.35202432</v>
      </c>
    </row>
    <row r="5391" spans="1:2" x14ac:dyDescent="0.25">
      <c r="A5391">
        <f ca="1">30807.1299614643*((RANDBETWEEN(2979,3282)))</f>
        <v>93622867.952889889</v>
      </c>
      <c r="B5391">
        <v>152753669.00481859</v>
      </c>
    </row>
    <row r="5392" spans="1:2" x14ac:dyDescent="0.25">
      <c r="A5392">
        <f ca="1">26601.8651637329*((RANDBETWEEN(2979,3282)))</f>
        <v>81242096.210040361</v>
      </c>
      <c r="B5392">
        <v>169604118.49721715</v>
      </c>
    </row>
    <row r="5393" spans="1:2" x14ac:dyDescent="0.25">
      <c r="A5393">
        <f ca="1">24465.631313388*((RANDBETWEEN(2979,3282)))</f>
        <v>78118760.78364788</v>
      </c>
      <c r="B5393">
        <v>144628025.06066546</v>
      </c>
    </row>
    <row r="5394" spans="1:2" x14ac:dyDescent="0.25">
      <c r="A5394">
        <f ca="1">25795.4040097902*((RANDBETWEEN(2979,3282)))</f>
        <v>78289051.169713378</v>
      </c>
      <c r="B5394">
        <v>159490415.29644009</v>
      </c>
    </row>
    <row r="5395" spans="1:2" x14ac:dyDescent="0.25">
      <c r="A5395">
        <f ca="1">33197.7473000788*((RANDBETWEEN(2979,3282)))</f>
        <v>100290394.59353806</v>
      </c>
      <c r="B5395">
        <v>151911897.73477873</v>
      </c>
    </row>
    <row r="5396" spans="1:2" x14ac:dyDescent="0.25">
      <c r="A5396">
        <f ca="1">27880.9700242949*((RANDBETWEEN(2979,3282)))</f>
        <v>84172648.503346354</v>
      </c>
      <c r="B5396">
        <v>153877063.25497651</v>
      </c>
    </row>
    <row r="5397" spans="1:2" x14ac:dyDescent="0.25">
      <c r="A5397">
        <f ca="1">31420.283152881*((RANDBETWEEN(2979,3282)))</f>
        <v>98942471.648422316</v>
      </c>
      <c r="B5397">
        <v>157467847.33866781</v>
      </c>
    </row>
    <row r="5398" spans="1:2" x14ac:dyDescent="0.25">
      <c r="A5398">
        <f ca="1">32436.9553231656*((RANDBETWEEN(2979,3282)))</f>
        <v>97537924.65675883</v>
      </c>
      <c r="B5398">
        <v>162181149.82207045</v>
      </c>
    </row>
    <row r="5399" spans="1:2" x14ac:dyDescent="0.25">
      <c r="A5399">
        <f ca="1">27303.0051929708*((RANDBETWEEN(2979,3282)))</f>
        <v>87205798.586348876</v>
      </c>
      <c r="B5399">
        <v>162438788.05052054</v>
      </c>
    </row>
    <row r="5400" spans="1:2" x14ac:dyDescent="0.25">
      <c r="A5400">
        <f ca="1">26080.7529108483*((RANDBETWEEN(2979,3282)))</f>
        <v>81554514.352222726</v>
      </c>
      <c r="B5400">
        <v>166879199.08198476</v>
      </c>
    </row>
    <row r="5401" spans="1:2" x14ac:dyDescent="0.25">
      <c r="A5401">
        <f ca="1">29404.0014254369*((RANDBETWEEN(2979,3282)))</f>
        <v>94239824.56852527</v>
      </c>
      <c r="B5401">
        <v>181300744.66691804</v>
      </c>
    </row>
    <row r="5402" spans="1:2" x14ac:dyDescent="0.25">
      <c r="A5402">
        <f ca="1">26262.8199918986*((RANDBETWEEN(2979,3282)))</f>
        <v>85826895.733524606</v>
      </c>
      <c r="B5402">
        <v>198761597.97265375</v>
      </c>
    </row>
    <row r="5403" spans="1:2" x14ac:dyDescent="0.25">
      <c r="A5403">
        <f ca="1">26969.3110734064*((RANDBETWEEN(2979,3282)))</f>
        <v>83658802.949706763</v>
      </c>
      <c r="B5403">
        <v>168236105.54002208</v>
      </c>
    </row>
    <row r="5404" spans="1:2" x14ac:dyDescent="0.25">
      <c r="A5404">
        <f ca="1">27236.9961435789*((RANDBETWEEN(2979,3282)))</f>
        <v>81438618.46930103</v>
      </c>
      <c r="B5404">
        <v>153658374.17963672</v>
      </c>
    </row>
    <row r="5405" spans="1:2" x14ac:dyDescent="0.25">
      <c r="A5405">
        <f ca="1">28491.2755581661*((RANDBETWEEN(2979,3282)))</f>
        <v>90744712.652758896</v>
      </c>
      <c r="B5405">
        <v>164183871.68187472</v>
      </c>
    </row>
    <row r="5406" spans="1:2" x14ac:dyDescent="0.25">
      <c r="A5406">
        <f ca="1">26725.9526626065*((RANDBETWEEN(2979,3282)))</f>
        <v>87180057.585422546</v>
      </c>
      <c r="B5406">
        <v>173344922.77369505</v>
      </c>
    </row>
    <row r="5407" spans="1:2" x14ac:dyDescent="0.25">
      <c r="A5407">
        <f ca="1">26670.7834015659*((RANDBETWEEN(2979,3282)))</f>
        <v>85079799.05099529</v>
      </c>
      <c r="B5407">
        <v>147450205.78439364</v>
      </c>
    </row>
    <row r="5408" spans="1:2" x14ac:dyDescent="0.25">
      <c r="A5408">
        <f ca="1">26634.3538915406*((RANDBETWEEN(2979,3282)))</f>
        <v>79929696.028513223</v>
      </c>
      <c r="B5408">
        <v>145447523.92429954</v>
      </c>
    </row>
    <row r="5409" spans="1:2" x14ac:dyDescent="0.25">
      <c r="A5409">
        <f ca="1">28073.2435046861*((RANDBETWEEN(2979,3282)))</f>
        <v>92108311.93887496</v>
      </c>
      <c r="B5409">
        <v>182475715.62622526</v>
      </c>
    </row>
    <row r="5410" spans="1:2" x14ac:dyDescent="0.25">
      <c r="A5410">
        <f ca="1">26141.8578064917*((RANDBETWEEN(2979,3282)))</f>
        <v>79549673.305154189</v>
      </c>
      <c r="B5410">
        <v>154237261.52383584</v>
      </c>
    </row>
    <row r="5411" spans="1:2" x14ac:dyDescent="0.25">
      <c r="A5411">
        <f ca="1">29160.5510910721*((RANDBETWEEN(2979,3282)))</f>
        <v>94421864.432891354</v>
      </c>
      <c r="B5411">
        <v>157337515.75662029</v>
      </c>
    </row>
    <row r="5412" spans="1:2" x14ac:dyDescent="0.25">
      <c r="A5412">
        <f ca="1">27887.4343022504*((RANDBETWEEN(2979,3282)))</f>
        <v>88598378.778249547</v>
      </c>
      <c r="B5412">
        <v>182748700.37362418</v>
      </c>
    </row>
    <row r="5413" spans="1:2" x14ac:dyDescent="0.25">
      <c r="A5413">
        <f ca="1">31359.1752161338*((RANDBETWEEN(2979,3282)))</f>
        <v>95425970.182695195</v>
      </c>
      <c r="B5413">
        <v>187136366.2522487</v>
      </c>
    </row>
    <row r="5414" spans="1:2" x14ac:dyDescent="0.25">
      <c r="A5414">
        <f ca="1">27146.8536921625*((RANDBETWEEN(2979,3282)))</f>
        <v>87630043.718300655</v>
      </c>
      <c r="B5414">
        <v>167903036.37619928</v>
      </c>
    </row>
    <row r="5415" spans="1:2" x14ac:dyDescent="0.25">
      <c r="A5415">
        <f ca="1">31287.7400007052*((RANDBETWEEN(2979,3282)))</f>
        <v>101372277.60228488</v>
      </c>
      <c r="B5415">
        <v>186174977.33399248</v>
      </c>
    </row>
    <row r="5416" spans="1:2" x14ac:dyDescent="0.25">
      <c r="A5416">
        <f ca="1">26323.4549967347*((RANDBETWEEN(2979,3282)))</f>
        <v>80944624.114959121</v>
      </c>
      <c r="B5416">
        <v>149546267.82521397</v>
      </c>
    </row>
    <row r="5417" spans="1:2" x14ac:dyDescent="0.25">
      <c r="A5417">
        <f ca="1">26071.3752348579*((RANDBETWEEN(2979,3282)))</f>
        <v>77718769.575111434</v>
      </c>
      <c r="B5417">
        <v>163110266.78851721</v>
      </c>
    </row>
    <row r="5418" spans="1:2" x14ac:dyDescent="0.25">
      <c r="A5418">
        <f ca="1">26986.9984745367*((RANDBETWEEN(2979,3282)))</f>
        <v>82580215.33208245</v>
      </c>
      <c r="B5418">
        <v>171221719.84037745</v>
      </c>
    </row>
    <row r="5419" spans="1:2" x14ac:dyDescent="0.25">
      <c r="A5419">
        <f ca="1">31675.8568871689*((RANDBETWEEN(2979,3282)))</f>
        <v>102724803.88508886</v>
      </c>
      <c r="B5419">
        <v>158845806.18533859</v>
      </c>
    </row>
    <row r="5420" spans="1:2" x14ac:dyDescent="0.25">
      <c r="A5420">
        <f ca="1">25929.5944914734*((RANDBETWEEN(2979,3282)))</f>
        <v>82378321.69941093</v>
      </c>
      <c r="B5420">
        <v>164233455.86452138</v>
      </c>
    </row>
    <row r="5421" spans="1:2" x14ac:dyDescent="0.25">
      <c r="A5421">
        <f ca="1">28944.7158696831*((RANDBETWEEN(2979,3282)))</f>
        <v>90625905.387977824</v>
      </c>
      <c r="B5421">
        <v>155298360.64666587</v>
      </c>
    </row>
    <row r="5422" spans="1:2" x14ac:dyDescent="0.25">
      <c r="A5422">
        <f ca="1">28635.7663983439*((RANDBETWEEN(2979,3282)))</f>
        <v>86050478.027023539</v>
      </c>
      <c r="B5422">
        <v>170996962.20874432</v>
      </c>
    </row>
    <row r="5423" spans="1:2" x14ac:dyDescent="0.25">
      <c r="A5423">
        <f ca="1">26060.7052919334*((RANDBETWEEN(2979,3282)))</f>
        <v>82091221.669590235</v>
      </c>
      <c r="B5423">
        <v>149757084.66108316</v>
      </c>
    </row>
    <row r="5424" spans="1:2" x14ac:dyDescent="0.25">
      <c r="A5424">
        <f ca="1">27852.170046536*((RANDBETWEEN(2979,3282)))</f>
        <v>91410822.092731223</v>
      </c>
      <c r="B5424">
        <v>162714225.11745158</v>
      </c>
    </row>
    <row r="5425" spans="1:2" x14ac:dyDescent="0.25">
      <c r="A5425">
        <f ca="1">28181.843420756*((RANDBETWEEN(2979,3282)))</f>
        <v>84122802.61095652</v>
      </c>
      <c r="B5425">
        <v>157689884.84247947</v>
      </c>
    </row>
    <row r="5426" spans="1:2" x14ac:dyDescent="0.25">
      <c r="A5426">
        <f ca="1">30212.529048907*((RANDBETWEEN(2979,3282)))</f>
        <v>91785663.250579432</v>
      </c>
      <c r="B5426">
        <v>157917070.32207847</v>
      </c>
    </row>
    <row r="5427" spans="1:2" x14ac:dyDescent="0.25">
      <c r="A5427">
        <f ca="1">25836.5465227392*((RANDBETWEEN(2979,3282)))</f>
        <v>80765044.430082798</v>
      </c>
      <c r="B5427">
        <v>148202892.02002576</v>
      </c>
    </row>
    <row r="5428" spans="1:2" x14ac:dyDescent="0.25">
      <c r="A5428">
        <f ca="1">31152.3222142886*((RANDBETWEEN(2979,3282)))</f>
        <v>102117312.21843813</v>
      </c>
      <c r="B5428">
        <v>200719707.58322155</v>
      </c>
    </row>
    <row r="5429" spans="1:2" x14ac:dyDescent="0.25">
      <c r="A5429">
        <f ca="1">26409.6590749751*((RANDBETWEEN(2979,3282)))</f>
        <v>79889218.701799721</v>
      </c>
      <c r="B5429">
        <v>158042966.78611153</v>
      </c>
    </row>
    <row r="5430" spans="1:2" x14ac:dyDescent="0.25">
      <c r="A5430">
        <f ca="1">26585.0808927783*((RANDBETWEEN(2979,3282)))</f>
        <v>82041559.635113895</v>
      </c>
      <c r="B5430">
        <v>165747352.77380008</v>
      </c>
    </row>
    <row r="5431" spans="1:2" x14ac:dyDescent="0.25">
      <c r="A5431">
        <f ca="1">30439.271247822*((RANDBETWEEN(2979,3282)))</f>
        <v>93966030.342026636</v>
      </c>
      <c r="B5431">
        <v>174878075.85925621</v>
      </c>
    </row>
    <row r="5432" spans="1:2" x14ac:dyDescent="0.25">
      <c r="A5432">
        <f ca="1">26033.608278103*((RANDBETWEEN(2979,3282)))</f>
        <v>84661294.120390803</v>
      </c>
      <c r="B5432">
        <v>146975776.5227122</v>
      </c>
    </row>
    <row r="5433" spans="1:2" x14ac:dyDescent="0.25">
      <c r="A5433">
        <f ca="1">27997.3267825071*((RANDBETWEEN(2979,3282)))</f>
        <v>83516025.79221876</v>
      </c>
      <c r="B5433">
        <v>144051592.56309435</v>
      </c>
    </row>
    <row r="5434" spans="1:2" x14ac:dyDescent="0.25">
      <c r="A5434">
        <f ca="1">29269.4955762128*((RANDBETWEEN(2979,3282)))</f>
        <v>88364607.144586489</v>
      </c>
      <c r="B5434">
        <v>172059676.45038366</v>
      </c>
    </row>
    <row r="5435" spans="1:2" x14ac:dyDescent="0.25">
      <c r="A5435">
        <f ca="1">28844.6581457488*((RANDBETWEEN(2979,3282)))</f>
        <v>91639478.929043964</v>
      </c>
      <c r="B5435">
        <v>150634877.07705089</v>
      </c>
    </row>
    <row r="5436" spans="1:2" x14ac:dyDescent="0.25">
      <c r="A5436">
        <f ca="1">25880.4548953801*((RANDBETWEEN(2979,3282)))</f>
        <v>79970605.626724422</v>
      </c>
      <c r="B5436">
        <v>152522520.18362197</v>
      </c>
    </row>
    <row r="5437" spans="1:2" x14ac:dyDescent="0.25">
      <c r="A5437">
        <f ca="1">27369.8925036192*((RANDBETWEEN(2979,3282)))</f>
        <v>86680449.558961883</v>
      </c>
      <c r="B5437">
        <v>153543728.93283665</v>
      </c>
    </row>
    <row r="5438" spans="1:2" x14ac:dyDescent="0.25">
      <c r="A5438">
        <f ca="1">27605.8963121511*((RANDBETWEEN(2979,3282)))</f>
        <v>84253195.544685021</v>
      </c>
      <c r="B5438">
        <v>203289999.70004526</v>
      </c>
    </row>
    <row r="5439" spans="1:2" x14ac:dyDescent="0.25">
      <c r="A5439">
        <f ca="1">27381.8271734442*((RANDBETWEEN(2979,3282)))</f>
        <v>88525447.251745105</v>
      </c>
      <c r="B5439">
        <v>154678859.23896641</v>
      </c>
    </row>
    <row r="5440" spans="1:2" x14ac:dyDescent="0.25">
      <c r="A5440">
        <f ca="1">26403.4243713525*((RANDBETWEEN(2979,3282)))</f>
        <v>81137723.093166232</v>
      </c>
      <c r="B5440">
        <v>154381791.55334029</v>
      </c>
    </row>
    <row r="5441" spans="1:2" x14ac:dyDescent="0.25">
      <c r="A5441">
        <f ca="1">31359.6312221324*((RANDBETWEEN(2979,3282)))</f>
        <v>99692267.655158952</v>
      </c>
      <c r="B5441">
        <v>163176188.38066542</v>
      </c>
    </row>
    <row r="5442" spans="1:2" x14ac:dyDescent="0.25">
      <c r="A5442">
        <f ca="1">27388.9651390801*((RANDBETWEEN(2979,3282)))</f>
        <v>82605118.85946548</v>
      </c>
      <c r="B5442">
        <v>164602107.10551977</v>
      </c>
    </row>
    <row r="5443" spans="1:2" x14ac:dyDescent="0.25">
      <c r="A5443">
        <f ca="1">25736.6782357052*((RANDBETWEEN(2979,3282)))</f>
        <v>77493138.167708218</v>
      </c>
      <c r="B5443">
        <v>176666465.81206369</v>
      </c>
    </row>
    <row r="5444" spans="1:2" x14ac:dyDescent="0.25">
      <c r="A5444">
        <f ca="1">31068.9974033915*((RANDBETWEEN(2979,3282)))</f>
        <v>93797303.160838827</v>
      </c>
      <c r="B5444">
        <v>197733223.2569696</v>
      </c>
    </row>
    <row r="5445" spans="1:2" x14ac:dyDescent="0.25">
      <c r="A5445">
        <f ca="1">27042.743456706*((RANDBETWEEN(2979,3282)))</f>
        <v>87321018.621703789</v>
      </c>
      <c r="B5445">
        <v>183272426.81711537</v>
      </c>
    </row>
    <row r="5446" spans="1:2" x14ac:dyDescent="0.25">
      <c r="A5446">
        <f ca="1">31130.1620302804*((RANDBETWEEN(2979,3282)))</f>
        <v>98277921.529595122</v>
      </c>
      <c r="B5446">
        <v>188319022.47881982</v>
      </c>
    </row>
    <row r="5447" spans="1:2" x14ac:dyDescent="0.25">
      <c r="A5447">
        <f ca="1">31985.5807333563*((RANDBETWEEN(2979,3282)))</f>
        <v>98899415.627537712</v>
      </c>
      <c r="B5447">
        <v>168847449.20875055</v>
      </c>
    </row>
    <row r="5448" spans="1:2" x14ac:dyDescent="0.25">
      <c r="A5448">
        <f ca="1">27959.9086856639*((RANDBETWEEN(2979,3282)))</f>
        <v>86452037.656072751</v>
      </c>
      <c r="B5448">
        <v>172661985.96832648</v>
      </c>
    </row>
    <row r="5449" spans="1:2" x14ac:dyDescent="0.25">
      <c r="A5449">
        <f ca="1">27484.9920830207*((RANDBETWEEN(2979,3282)))</f>
        <v>84488865.663205728</v>
      </c>
      <c r="B5449">
        <v>146872761.91791469</v>
      </c>
    </row>
    <row r="5450" spans="1:2" x14ac:dyDescent="0.25">
      <c r="A5450">
        <f ca="1">24863.5147257123*((RANDBETWEEN(2979,3282)))</f>
        <v>79985926.872616366</v>
      </c>
      <c r="B5450">
        <v>158756515.26243991</v>
      </c>
    </row>
    <row r="5451" spans="1:2" x14ac:dyDescent="0.25">
      <c r="A5451">
        <f ca="1">27731.2891080594*((RANDBETWEEN(2979,3282)))</f>
        <v>84081268.575635999</v>
      </c>
      <c r="B5451">
        <v>188847649.14906538</v>
      </c>
    </row>
    <row r="5452" spans="1:2" x14ac:dyDescent="0.25">
      <c r="A5452">
        <f ca="1">26615.3272533953*((RANDBETWEEN(2979,3282)))</f>
        <v>79473367.178638443</v>
      </c>
      <c r="B5452">
        <v>162673729.69321984</v>
      </c>
    </row>
    <row r="5453" spans="1:2" x14ac:dyDescent="0.25">
      <c r="A5453">
        <f ca="1">27062.0531477865*((RANDBETWEEN(2979,3282)))</f>
        <v>83459371.90777342</v>
      </c>
      <c r="B5453">
        <v>148644290.0803051</v>
      </c>
    </row>
    <row r="5454" spans="1:2" x14ac:dyDescent="0.25">
      <c r="A5454">
        <f ca="1">29711.3686541878*((RANDBETWEEN(2979,3282)))</f>
        <v>88599301.326787904</v>
      </c>
      <c r="B5454">
        <v>176809347.01010987</v>
      </c>
    </row>
    <row r="5455" spans="1:2" x14ac:dyDescent="0.25">
      <c r="A5455">
        <f ca="1">28578.4704969686*((RANDBETWEEN(2979,3282)))</f>
        <v>87135756.54525736</v>
      </c>
      <c r="B5455">
        <v>145724070.38226339</v>
      </c>
    </row>
    <row r="5456" spans="1:2" x14ac:dyDescent="0.25">
      <c r="A5456">
        <f ca="1">28683.5003568617*((RANDBETWEEN(2979,3282)))</f>
        <v>85935767.069157586</v>
      </c>
      <c r="B5456">
        <v>183414210.44621027</v>
      </c>
    </row>
    <row r="5457" spans="1:2" x14ac:dyDescent="0.25">
      <c r="A5457">
        <f ca="1">26065.0529206528*((RANDBETWEEN(2979,3282)))</f>
        <v>84424706.409994483</v>
      </c>
      <c r="B5457">
        <v>146770345.20629337</v>
      </c>
    </row>
    <row r="5458" spans="1:2" x14ac:dyDescent="0.25">
      <c r="A5458">
        <f ca="1">27622.910334558*((RANDBETWEEN(2979,3282)))</f>
        <v>86929298.822854027</v>
      </c>
      <c r="B5458">
        <v>182505033.02661359</v>
      </c>
    </row>
    <row r="5459" spans="1:2" x14ac:dyDescent="0.25">
      <c r="A5459">
        <f ca="1">27117.5466322409*((RANDBETWEEN(2979,3282)))</f>
        <v>87779498.448563635</v>
      </c>
      <c r="B5459">
        <v>180120343.62797958</v>
      </c>
    </row>
    <row r="5460" spans="1:2" x14ac:dyDescent="0.25">
      <c r="A5460">
        <f ca="1">27565.7078280381*((RANDBETWEEN(2979,3282)))</f>
        <v>90167430.305512711</v>
      </c>
      <c r="B5460">
        <v>188155495.80914229</v>
      </c>
    </row>
    <row r="5461" spans="1:2" x14ac:dyDescent="0.25">
      <c r="A5461">
        <f ca="1">26879.8307875272*((RANDBETWEEN(2979,3282)))</f>
        <v>84913385.45779857</v>
      </c>
      <c r="B5461">
        <v>196569731.22010648</v>
      </c>
    </row>
    <row r="5462" spans="1:2" x14ac:dyDescent="0.25">
      <c r="A5462">
        <f ca="1">25823.0186709834*((RANDBETWEEN(2979,3282)))</f>
        <v>81988084.280372173</v>
      </c>
      <c r="B5462">
        <v>143236973.04541165</v>
      </c>
    </row>
    <row r="5463" spans="1:2" x14ac:dyDescent="0.25">
      <c r="A5463">
        <f ca="1">28004.2830580848*((RANDBETWEEN(2979,3282)))</f>
        <v>86169178.969727024</v>
      </c>
      <c r="B5463">
        <v>168958386.66131192</v>
      </c>
    </row>
    <row r="5464" spans="1:2" x14ac:dyDescent="0.25">
      <c r="A5464">
        <f ca="1">28052.7029244523*((RANDBETWEEN(2979,3282)))</f>
        <v>91900654.780505776</v>
      </c>
      <c r="B5464">
        <v>163714358.66976556</v>
      </c>
    </row>
    <row r="5465" spans="1:2" x14ac:dyDescent="0.25">
      <c r="A5465">
        <f ca="1">29645.8898192518*((RANDBETWEEN(2979,3282)))</f>
        <v>88315105.771551132</v>
      </c>
      <c r="B5465">
        <v>171978985.53680259</v>
      </c>
    </row>
    <row r="5466" spans="1:2" x14ac:dyDescent="0.25">
      <c r="A5466">
        <f ca="1">26761.1950598054*((RANDBETWEEN(2979,3282)))</f>
        <v>80444152.349775165</v>
      </c>
      <c r="B5466">
        <v>162998143.75147846</v>
      </c>
    </row>
    <row r="5467" spans="1:2" x14ac:dyDescent="0.25">
      <c r="A5467">
        <f ca="1">28070.9271194073*((RANDBETWEEN(2979,3282)))</f>
        <v>85644398.641311601</v>
      </c>
      <c r="B5467">
        <v>162794756.67607731</v>
      </c>
    </row>
    <row r="5468" spans="1:2" x14ac:dyDescent="0.25">
      <c r="A5468">
        <f ca="1">25789.5878111238*((RANDBETWEEN(2979,3282)))</f>
        <v>81701414.18564032</v>
      </c>
      <c r="B5468">
        <v>162627816.72536138</v>
      </c>
    </row>
    <row r="5469" spans="1:2" x14ac:dyDescent="0.25">
      <c r="A5469">
        <f ca="1">25498.8687199639*((RANDBETWEEN(2979,3282)))</f>
        <v>83432298.451722026</v>
      </c>
      <c r="B5469">
        <v>143907951.9036127</v>
      </c>
    </row>
    <row r="5470" spans="1:2" x14ac:dyDescent="0.25">
      <c r="A5470">
        <f ca="1">25293.9742232636*((RANDBETWEEN(2979,3282)))</f>
        <v>76969563.5613911</v>
      </c>
      <c r="B5470">
        <v>147345126.05207348</v>
      </c>
    </row>
    <row r="5471" spans="1:2" x14ac:dyDescent="0.25">
      <c r="A5471">
        <f ca="1">25752.1605619449*((RANDBETWEEN(2979,3282)))</f>
        <v>83488504.541825429</v>
      </c>
      <c r="B5471">
        <v>142987988.6510669</v>
      </c>
    </row>
    <row r="5472" spans="1:2" x14ac:dyDescent="0.25">
      <c r="A5472">
        <f ca="1">25668.3509184405*((RANDBETWEEN(2979,3282)))</f>
        <v>78134460.195732996</v>
      </c>
      <c r="B5472">
        <v>149062711.12117201</v>
      </c>
    </row>
    <row r="5473" spans="1:2" x14ac:dyDescent="0.25">
      <c r="A5473">
        <f ca="1">26564.3395855851*((RANDBETWEEN(2979,3282)))</f>
        <v>80835285.358935565</v>
      </c>
      <c r="B5473">
        <v>148618269.15974939</v>
      </c>
    </row>
    <row r="5474" spans="1:2" x14ac:dyDescent="0.25">
      <c r="A5474">
        <f ca="1">30636.4540249125*((RANDBETWEEN(2979,3282)))</f>
        <v>96780558.264698461</v>
      </c>
      <c r="B5474">
        <v>171918977.75363854</v>
      </c>
    </row>
    <row r="5475" spans="1:2" x14ac:dyDescent="0.25">
      <c r="A5475">
        <f ca="1">27552.548931823*((RANDBETWEEN(2979,3282)))</f>
        <v>84200589.535651192</v>
      </c>
      <c r="B5475">
        <v>148320721.75158083</v>
      </c>
    </row>
    <row r="5476" spans="1:2" x14ac:dyDescent="0.25">
      <c r="A5476">
        <f ca="1">25813.0324640043*((RANDBETWEEN(2979,3282)))</f>
        <v>78290927.463324994</v>
      </c>
      <c r="B5476">
        <v>155739991.16318065</v>
      </c>
    </row>
    <row r="5477" spans="1:2" x14ac:dyDescent="0.25">
      <c r="A5477">
        <f ca="1">27940.9429308828*((RANDBETWEEN(2979,3282)))</f>
        <v>84269883.879542574</v>
      </c>
      <c r="B5477">
        <v>158201792.34302825</v>
      </c>
    </row>
    <row r="5478" spans="1:2" x14ac:dyDescent="0.25">
      <c r="A5478">
        <f ca="1">27785.0626140469*((RANDBETWEEN(2979,3282)))</f>
        <v>83410757.967368841</v>
      </c>
      <c r="B5478">
        <v>149419242.20534691</v>
      </c>
    </row>
    <row r="5479" spans="1:2" x14ac:dyDescent="0.25">
      <c r="A5479">
        <f ca="1">27367.1247145698*((RANDBETWEEN(2979,3282)))</f>
        <v>86014872.977892876</v>
      </c>
      <c r="B5479">
        <v>189516244.22592077</v>
      </c>
    </row>
    <row r="5480" spans="1:2" x14ac:dyDescent="0.25">
      <c r="A5480">
        <f ca="1">28200.5597640884*((RANDBETWEEN(2979,3282)))</f>
        <v>91257011.396590203</v>
      </c>
      <c r="B5480">
        <v>166240407.47165495</v>
      </c>
    </row>
    <row r="5481" spans="1:2" x14ac:dyDescent="0.25">
      <c r="A5481">
        <f ca="1">26982.8236240478*((RANDBETWEEN(2979,3282)))</f>
        <v>86722795.127689585</v>
      </c>
      <c r="B5481">
        <v>150180181.52190295</v>
      </c>
    </row>
    <row r="5482" spans="1:2" x14ac:dyDescent="0.25">
      <c r="A5482">
        <f ca="1">28866.8183051739*((RANDBETWEEN(2979,3282)))</f>
        <v>86254053.095859736</v>
      </c>
      <c r="B5482">
        <v>145769739.47423896</v>
      </c>
    </row>
    <row r="5483" spans="1:2" x14ac:dyDescent="0.25">
      <c r="A5483">
        <f ca="1">29576.1640003878*((RANDBETWEEN(2979,3282)))</f>
        <v>93224068.929222301</v>
      </c>
      <c r="B5483">
        <v>177165585.44762784</v>
      </c>
    </row>
    <row r="5484" spans="1:2" x14ac:dyDescent="0.25">
      <c r="A5484">
        <f ca="1">30181.762495692*((RANDBETWEEN(2979,3282)))</f>
        <v>92899464.961739883</v>
      </c>
      <c r="B5484">
        <v>171018763.33309805</v>
      </c>
    </row>
    <row r="5485" spans="1:2" x14ac:dyDescent="0.25">
      <c r="A5485">
        <f ca="1">25959.5990349062*((RANDBETWEEN(2979,3282)))</f>
        <v>77515362.71822986</v>
      </c>
      <c r="B5485">
        <v>167784405.42703173</v>
      </c>
    </row>
    <row r="5486" spans="1:2" x14ac:dyDescent="0.25">
      <c r="A5486">
        <f ca="1">26908.3950246908*((RANDBETWEEN(2979,3282)))</f>
        <v>86537398.399405733</v>
      </c>
      <c r="B5486">
        <v>202848830.39944625</v>
      </c>
    </row>
    <row r="5487" spans="1:2" x14ac:dyDescent="0.25">
      <c r="A5487">
        <f ca="1">25501.9062670816*((RANDBETWEEN(2979,3282)))</f>
        <v>75970178.769636154</v>
      </c>
      <c r="B5487">
        <v>165128821.03744119</v>
      </c>
    </row>
    <row r="5488" spans="1:2" x14ac:dyDescent="0.25">
      <c r="A5488">
        <f ca="1">28500.1572876587*((RANDBETWEEN(2979,3282)))</f>
        <v>86155975.480592296</v>
      </c>
      <c r="B5488">
        <v>201070506.61812449</v>
      </c>
    </row>
    <row r="5489" spans="1:2" x14ac:dyDescent="0.25">
      <c r="A5489">
        <f ca="1">26380.1410533011*((RANDBETWEEN(2979,3282)))</f>
        <v>81857577.688393459</v>
      </c>
      <c r="B5489">
        <v>145889404.21112511</v>
      </c>
    </row>
    <row r="5490" spans="1:2" x14ac:dyDescent="0.25">
      <c r="A5490">
        <f ca="1">29145.3995342013*((RANDBETWEEN(2979,3282)))</f>
        <v>89796975.964874312</v>
      </c>
      <c r="B5490">
        <v>161456299.76487562</v>
      </c>
    </row>
    <row r="5491" spans="1:2" x14ac:dyDescent="0.25">
      <c r="A5491">
        <f ca="1">25644.7474627085*((RANDBETWEEN(2979,3282)))</f>
        <v>83730100.465743363</v>
      </c>
      <c r="B5491">
        <v>150689749.40295652</v>
      </c>
    </row>
    <row r="5492" spans="1:2" x14ac:dyDescent="0.25">
      <c r="A5492">
        <f ca="1">25886.469434692*((RANDBETWEEN(2979,3282)))</f>
        <v>80118622.900371864</v>
      </c>
      <c r="B5492">
        <v>159130077.97306567</v>
      </c>
    </row>
    <row r="5493" spans="1:2" x14ac:dyDescent="0.25">
      <c r="A5493">
        <f ca="1">27122.8564986854*((RANDBETWEEN(2979,3282)))</f>
        <v>81070218.074570611</v>
      </c>
      <c r="B5493">
        <v>187653625.66889247</v>
      </c>
    </row>
    <row r="5494" spans="1:2" x14ac:dyDescent="0.25">
      <c r="A5494">
        <f ca="1">27377.987700658*((RANDBETWEEN(2979,3282)))</f>
        <v>85282431.687549606</v>
      </c>
      <c r="B5494">
        <v>164584005.59001797</v>
      </c>
    </row>
    <row r="5495" spans="1:2" x14ac:dyDescent="0.25">
      <c r="A5495">
        <f ca="1">32873.0269517368*((RANDBETWEEN(2979,3282)))</f>
        <v>102465225.00856358</v>
      </c>
      <c r="B5495">
        <v>150248020.78304198</v>
      </c>
    </row>
    <row r="5496" spans="1:2" x14ac:dyDescent="0.25">
      <c r="A5496">
        <f ca="1">26992.847287401*((RANDBETWEEN(2979,3282)))</f>
        <v>84298662.07855317</v>
      </c>
      <c r="B5496">
        <v>189130571.5303106</v>
      </c>
    </row>
    <row r="5497" spans="1:2" x14ac:dyDescent="0.25">
      <c r="A5497">
        <f ca="1">27972.1445700151*((RANDBETWEEN(2979,3282)))</f>
        <v>84028322.288325414</v>
      </c>
      <c r="B5497">
        <v>174342432.78075236</v>
      </c>
    </row>
    <row r="5498" spans="1:2" x14ac:dyDescent="0.25">
      <c r="A5498">
        <f ca="1">29697.9522533692*((RANDBETWEEN(2979,3282)))</f>
        <v>89034460.855600923</v>
      </c>
      <c r="B5498">
        <v>150896920.13571066</v>
      </c>
    </row>
    <row r="5499" spans="1:2" x14ac:dyDescent="0.25">
      <c r="A5499">
        <f ca="1">31219.9229906542*((RANDBETWEEN(2979,3282)))</f>
        <v>93909528.355887845</v>
      </c>
      <c r="B5499">
        <v>192284684.97716862</v>
      </c>
    </row>
    <row r="5500" spans="1:2" x14ac:dyDescent="0.25">
      <c r="A5500">
        <f ca="1">26834.4981123884*((RANDBETWEEN(2979,3282)))</f>
        <v>81469536.269211218</v>
      </c>
      <c r="B5500">
        <v>167380785.86076266</v>
      </c>
    </row>
    <row r="5501" spans="1:2" x14ac:dyDescent="0.25">
      <c r="A5501">
        <f ca="1">27510.4008767551*((RANDBETWEEN(2979,3282)))</f>
        <v>88941126.034549147</v>
      </c>
      <c r="B5501">
        <v>163291462.34169498</v>
      </c>
    </row>
    <row r="5502" spans="1:2" x14ac:dyDescent="0.25">
      <c r="A5502">
        <f ca="1">26561.6950371887*((RANDBETWEEN(2979,3282)))</f>
        <v>79392906.46615696</v>
      </c>
      <c r="B5502">
        <v>163345568.39672354</v>
      </c>
    </row>
    <row r="5503" spans="1:2" x14ac:dyDescent="0.25">
      <c r="A5503">
        <f ca="1">26073.1908721652*((RANDBETWEEN(2979,3282)))</f>
        <v>84737870.334537029</v>
      </c>
      <c r="B5503">
        <v>155739184.96249118</v>
      </c>
    </row>
    <row r="5504" spans="1:2" x14ac:dyDescent="0.25">
      <c r="A5504">
        <f ca="1">28262.1741998796*((RANDBETWEEN(2979,3282)))</f>
        <v>90212860.04601562</v>
      </c>
      <c r="B5504">
        <v>163670122.96171075</v>
      </c>
    </row>
    <row r="5505" spans="1:2" x14ac:dyDescent="0.25">
      <c r="A5505">
        <f ca="1">29924.2587446529*((RANDBETWEEN(2979,3282)))</f>
        <v>90790201.031276941</v>
      </c>
      <c r="B5505">
        <v>163641998.70808274</v>
      </c>
    </row>
    <row r="5506" spans="1:2" x14ac:dyDescent="0.25">
      <c r="A5506">
        <f ca="1">30804.1951003125*((RANDBETWEEN(2979,3282)))</f>
        <v>99189508.223006263</v>
      </c>
      <c r="B5506">
        <v>182787427.15982994</v>
      </c>
    </row>
    <row r="5507" spans="1:2" x14ac:dyDescent="0.25">
      <c r="A5507">
        <f ca="1">25595.9134719759*((RANDBETWEEN(2979,3282)))</f>
        <v>81906923.110323042</v>
      </c>
      <c r="B5507">
        <v>146033685.93215454</v>
      </c>
    </row>
    <row r="5508" spans="1:2" x14ac:dyDescent="0.25">
      <c r="A5508">
        <f ca="1">27399.5491060355*((RANDBETWEEN(2979,3282)))</f>
        <v>87568958.942889392</v>
      </c>
      <c r="B5508">
        <v>169874575.41981509</v>
      </c>
    </row>
    <row r="5509" spans="1:2" x14ac:dyDescent="0.25">
      <c r="A5509">
        <f ca="1">27642.9097987326*((RANDBETWEEN(2979,3282)))</f>
        <v>90613458.320245355</v>
      </c>
      <c r="B5509">
        <v>158447805.23729941</v>
      </c>
    </row>
    <row r="5510" spans="1:2" x14ac:dyDescent="0.25">
      <c r="A5510">
        <f ca="1">29954.6714188777*((RANDBETWEEN(2979,3282)))</f>
        <v>92769617.384264186</v>
      </c>
      <c r="B5510">
        <v>144687947.85760948</v>
      </c>
    </row>
    <row r="5511" spans="1:2" x14ac:dyDescent="0.25">
      <c r="A5511">
        <f ca="1">26671.2109889211*((RANDBETWEEN(2979,3282)))</f>
        <v>82307357.111810595</v>
      </c>
      <c r="B5511">
        <v>166026712.29426867</v>
      </c>
    </row>
    <row r="5512" spans="1:2" x14ac:dyDescent="0.25">
      <c r="A5512">
        <f ca="1">27946.0082639572*((RANDBETWEEN(2979,3282)))</f>
        <v>85291217.221597329</v>
      </c>
      <c r="B5512">
        <v>146026215.02541095</v>
      </c>
    </row>
    <row r="5513" spans="1:2" x14ac:dyDescent="0.25">
      <c r="A5513">
        <f ca="1">29816.7942801872*((RANDBETWEEN(2979,3282)))</f>
        <v>91686642.41157572</v>
      </c>
      <c r="B5513">
        <v>184824885.37480861</v>
      </c>
    </row>
    <row r="5514" spans="1:2" x14ac:dyDescent="0.25">
      <c r="A5514">
        <f ca="1">29146.5111240805*((RANDBETWEEN(2979,3282)))</f>
        <v>93327128.619305819</v>
      </c>
      <c r="B5514">
        <v>196953983.64548868</v>
      </c>
    </row>
    <row r="5515" spans="1:2" x14ac:dyDescent="0.25">
      <c r="A5515">
        <f ca="1">27875.9053579751*((RANDBETWEEN(2979,3282)))</f>
        <v>83209577.493555814</v>
      </c>
      <c r="B5515">
        <v>179265808.46445113</v>
      </c>
    </row>
    <row r="5516" spans="1:2" x14ac:dyDescent="0.25">
      <c r="A5516">
        <f ca="1">26332.3818461251*((RANDBETWEEN(2979,3282)))</f>
        <v>84342619.053138644</v>
      </c>
      <c r="B5516">
        <v>155780482.43541002</v>
      </c>
    </row>
    <row r="5517" spans="1:2" x14ac:dyDescent="0.25">
      <c r="A5517">
        <f ca="1">32310.6363036792*((RANDBETWEEN(2979,3282)))</f>
        <v>104169491.44306174</v>
      </c>
      <c r="B5517">
        <v>180746716.3024483</v>
      </c>
    </row>
    <row r="5518" spans="1:2" x14ac:dyDescent="0.25">
      <c r="A5518">
        <f ca="1">30717.448287366*((RANDBETWEEN(2979,3282)))</f>
        <v>91753018.034362301</v>
      </c>
      <c r="B5518">
        <v>171428226.07953453</v>
      </c>
    </row>
    <row r="5519" spans="1:2" x14ac:dyDescent="0.25">
      <c r="A5519">
        <f ca="1">29019.675606609*((RANDBETWEEN(2979,3282)))</f>
        <v>92108450.375377044</v>
      </c>
      <c r="B5519">
        <v>145657982.97471696</v>
      </c>
    </row>
    <row r="5520" spans="1:2" x14ac:dyDescent="0.25">
      <c r="A5520">
        <f ca="1">29411.9895754434*((RANDBETWEEN(2979,3282)))</f>
        <v>95324258.214012101</v>
      </c>
      <c r="B5520">
        <v>184682873.68981072</v>
      </c>
    </row>
    <row r="5521" spans="1:2" x14ac:dyDescent="0.25">
      <c r="A5521">
        <f ca="1">26856.7569343543*((RANDBETWEEN(2979,3282)))</f>
        <v>82342816.760730207</v>
      </c>
      <c r="B5521">
        <v>147088337.6758008</v>
      </c>
    </row>
    <row r="5522" spans="1:2" x14ac:dyDescent="0.25">
      <c r="A5522">
        <f ca="1">26990.9703049328*((RANDBETWEEN(2979,3282)))</f>
        <v>87828617.372251272</v>
      </c>
      <c r="B5522">
        <v>195408771.82394353</v>
      </c>
    </row>
    <row r="5523" spans="1:2" x14ac:dyDescent="0.25">
      <c r="A5523">
        <f ca="1">26384.5153599257*((RANDBETWEEN(2979,3282)))</f>
        <v>80235311.209533975</v>
      </c>
      <c r="B5523">
        <v>173996349.52601269</v>
      </c>
    </row>
    <row r="5524" spans="1:2" x14ac:dyDescent="0.25">
      <c r="A5524">
        <f ca="1">32492.1045399126*((RANDBETWEEN(2979,3282)))</f>
        <v>102610066.13704397</v>
      </c>
      <c r="B5524">
        <v>202870134.43642914</v>
      </c>
    </row>
    <row r="5525" spans="1:2" x14ac:dyDescent="0.25">
      <c r="A5525">
        <f ca="1">29271.3188350552*((RANDBETWEEN(2979,3282)))</f>
        <v>91941212.460908532</v>
      </c>
      <c r="B5525">
        <v>170859461.7856645</v>
      </c>
    </row>
    <row r="5526" spans="1:2" x14ac:dyDescent="0.25">
      <c r="A5526">
        <f ca="1">31766.6696099585*((RANDBETWEEN(2979,3282)))</f>
        <v>100541509.31551865</v>
      </c>
      <c r="B5526">
        <v>195316000.23995465</v>
      </c>
    </row>
    <row r="5527" spans="1:2" x14ac:dyDescent="0.25">
      <c r="A5527">
        <f ca="1">27197.7857943145*((RANDBETWEEN(2979,3282)))</f>
        <v>87903243.687224463</v>
      </c>
      <c r="B5527">
        <v>157978653.72445944</v>
      </c>
    </row>
    <row r="5528" spans="1:2" x14ac:dyDescent="0.25">
      <c r="A5528">
        <f ca="1">25529.519442769*((RANDBETWEEN(2979,3282)))</f>
        <v>82690113.47512877</v>
      </c>
      <c r="B5528">
        <v>163993716.78663161</v>
      </c>
    </row>
    <row r="5529" spans="1:2" x14ac:dyDescent="0.25">
      <c r="A5529">
        <f ca="1">32879.3108490364*((RANDBETWEEN(2979,3282)))</f>
        <v>102156018.80795595</v>
      </c>
      <c r="B5529">
        <v>201497767.08905742</v>
      </c>
    </row>
    <row r="5530" spans="1:2" x14ac:dyDescent="0.25">
      <c r="A5530">
        <f ca="1">28026.241398265*((RANDBETWEEN(2979,3282)))</f>
        <v>90468707.233599424</v>
      </c>
      <c r="B5530">
        <v>181996743.39444175</v>
      </c>
    </row>
    <row r="5531" spans="1:2" x14ac:dyDescent="0.25">
      <c r="A5531">
        <f ca="1">32136.2635778426*((RANDBETWEEN(2979,3282)))</f>
        <v>98947555.556177497</v>
      </c>
      <c r="B5531">
        <v>187774670.59161952</v>
      </c>
    </row>
    <row r="5532" spans="1:2" x14ac:dyDescent="0.25">
      <c r="A5532">
        <f ca="1">28406.4272980438*((RANDBETWEEN(2979,3282)))</f>
        <v>86213506.849563017</v>
      </c>
      <c r="B5532">
        <v>151079862.34085339</v>
      </c>
    </row>
    <row r="5533" spans="1:2" x14ac:dyDescent="0.25">
      <c r="A5533">
        <f ca="1">27222.8473306534*((RANDBETWEEN(2979,3282)))</f>
        <v>82893570.121839672</v>
      </c>
      <c r="B5533">
        <v>162186701.55949008</v>
      </c>
    </row>
    <row r="5534" spans="1:2" x14ac:dyDescent="0.25">
      <c r="A5534">
        <f ca="1">27398.1627996267*((RANDBETWEEN(2979,3282)))</f>
        <v>87263148.516811058</v>
      </c>
      <c r="B5534">
        <v>162028105.49342638</v>
      </c>
    </row>
    <row r="5535" spans="1:2" x14ac:dyDescent="0.25">
      <c r="A5535">
        <f ca="1">26517.507555042*((RANDBETWEEN(2979,3282)))</f>
        <v>87030459.795647949</v>
      </c>
      <c r="B5535">
        <v>163735088.8109706</v>
      </c>
    </row>
    <row r="5536" spans="1:2" x14ac:dyDescent="0.25">
      <c r="A5536">
        <f ca="1">28015.9166161629*((RANDBETWEEN(2979,3282)))</f>
        <v>89762996.838185892</v>
      </c>
      <c r="B5536">
        <v>173418366.14683998</v>
      </c>
    </row>
    <row r="5537" spans="1:2" x14ac:dyDescent="0.25">
      <c r="A5537">
        <f ca="1">31814.578298424*((RANDBETWEEN(2979,3282)))</f>
        <v>100820398.62770563</v>
      </c>
      <c r="B5537">
        <v>191808201.64554578</v>
      </c>
    </row>
    <row r="5538" spans="1:2" x14ac:dyDescent="0.25">
      <c r="A5538">
        <f ca="1">35116.5225143901*((RANDBETWEEN(2979,3282)))</f>
        <v>113285901.63142259</v>
      </c>
      <c r="B5538">
        <v>179984478.08657891</v>
      </c>
    </row>
    <row r="5539" spans="1:2" x14ac:dyDescent="0.25">
      <c r="A5539">
        <f ca="1">26393.602087335*((RANDBETWEEN(2979,3282)))</f>
        <v>82823123.35005717</v>
      </c>
      <c r="B5539">
        <v>155481219.32198331</v>
      </c>
    </row>
    <row r="5540" spans="1:2" x14ac:dyDescent="0.25">
      <c r="A5540">
        <f ca="1">27031.6317780124*((RANDBETWEEN(2979,3282)))</f>
        <v>81013800.43870309</v>
      </c>
      <c r="B5540">
        <v>175124061.21078959</v>
      </c>
    </row>
    <row r="5541" spans="1:2" x14ac:dyDescent="0.25">
      <c r="A5541">
        <f ca="1">27122.5415275108*((RANDBETWEEN(2979,3282)))</f>
        <v>85652986.143879056</v>
      </c>
      <c r="B5541">
        <v>171239834.96607047</v>
      </c>
    </row>
    <row r="5542" spans="1:2" x14ac:dyDescent="0.25">
      <c r="A5542">
        <f ca="1">25516.8355515882*((RANDBETWEEN(2979,3282)))</f>
        <v>79510459.578748956</v>
      </c>
      <c r="B5542">
        <v>183325396.94838578</v>
      </c>
    </row>
    <row r="5543" spans="1:2" x14ac:dyDescent="0.25">
      <c r="A5543">
        <f ca="1">28722.8290038856*((RANDBETWEEN(2979,3282)))</f>
        <v>89299275.373080179</v>
      </c>
      <c r="B5543">
        <v>200564770.98316601</v>
      </c>
    </row>
    <row r="5544" spans="1:2" x14ac:dyDescent="0.25">
      <c r="A5544">
        <f ca="1">30062.6531989339*((RANDBETWEEN(2979,3282)))</f>
        <v>95959989.010997102</v>
      </c>
      <c r="B5544">
        <v>162996919.14528942</v>
      </c>
    </row>
    <row r="5545" spans="1:2" x14ac:dyDescent="0.25">
      <c r="A5545">
        <f ca="1">34352.2407446889*((RANDBETWEEN(2979,3282)))</f>
        <v>109583647.97555757</v>
      </c>
      <c r="B5545">
        <v>160265599.340482</v>
      </c>
    </row>
    <row r="5546" spans="1:2" x14ac:dyDescent="0.25">
      <c r="A5546">
        <f ca="1">26180.199031857*((RANDBETWEEN(2979,3282)))</f>
        <v>80530292.221992269</v>
      </c>
      <c r="B5546">
        <v>144884600.49881655</v>
      </c>
    </row>
    <row r="5547" spans="1:2" x14ac:dyDescent="0.25">
      <c r="A5547">
        <f ca="1">29191.2006673772*((RANDBETWEEN(2979,3282)))</f>
        <v>94170813.352959007</v>
      </c>
      <c r="B5547">
        <v>196682218.45600784</v>
      </c>
    </row>
    <row r="5548" spans="1:2" x14ac:dyDescent="0.25">
      <c r="A5548">
        <f ca="1">32067.8934482533*((RANDBETWEEN(2979,3282)))</f>
        <v>97871210.804069147</v>
      </c>
      <c r="B5548">
        <v>156795637.07680291</v>
      </c>
    </row>
    <row r="5549" spans="1:2" x14ac:dyDescent="0.25">
      <c r="A5549">
        <f ca="1">28672.0797287904*((RANDBETWEEN(2979,3282)))</f>
        <v>86102255.425557643</v>
      </c>
      <c r="B5549">
        <v>154112825.5955061</v>
      </c>
    </row>
    <row r="5550" spans="1:2" x14ac:dyDescent="0.25">
      <c r="A5550">
        <f ca="1">31189.6161184102*((RANDBETWEEN(2979,3282)))</f>
        <v>97186843.824966237</v>
      </c>
      <c r="B5550">
        <v>185449289.02325547</v>
      </c>
    </row>
    <row r="5551" spans="1:2" x14ac:dyDescent="0.25">
      <c r="A5551">
        <f ca="1">26757.7478817814*((RANDBETWEEN(2979,3282)))</f>
        <v>86802134.128498763</v>
      </c>
      <c r="B5551">
        <v>143253986.354684</v>
      </c>
    </row>
    <row r="5552" spans="1:2" x14ac:dyDescent="0.25">
      <c r="A5552">
        <f ca="1">28781.8061981213*((RANDBETWEEN(2979,3282)))</f>
        <v>93137924.857120484</v>
      </c>
      <c r="B5552">
        <v>176591106.76305318</v>
      </c>
    </row>
    <row r="5553" spans="1:2" x14ac:dyDescent="0.25">
      <c r="A5553">
        <f ca="1">30684.6056059864*((RANDBETWEEN(2979,3282)))</f>
        <v>94723377.505680144</v>
      </c>
      <c r="B5553">
        <v>202105446.92742559</v>
      </c>
    </row>
    <row r="5554" spans="1:2" x14ac:dyDescent="0.25">
      <c r="A5554">
        <f ca="1">29107.7657963375*((RANDBETWEEN(2979,3282)))</f>
        <v>91311061.303110808</v>
      </c>
      <c r="B5554">
        <v>157225103.81364971</v>
      </c>
    </row>
    <row r="5555" spans="1:2" x14ac:dyDescent="0.25">
      <c r="A5555">
        <f ca="1">27642.7752052043*((RANDBETWEEN(2979,3282)))</f>
        <v>83453538.344511777</v>
      </c>
      <c r="B5555">
        <v>187133947.08319095</v>
      </c>
    </row>
    <row r="5556" spans="1:2" x14ac:dyDescent="0.25">
      <c r="A5556">
        <f ca="1">25710.0970485332*((RANDBETWEEN(2979,3282)))</f>
        <v>82966483.175616771</v>
      </c>
      <c r="B5556">
        <v>179977331.9521434</v>
      </c>
    </row>
    <row r="5557" spans="1:2" x14ac:dyDescent="0.25">
      <c r="A5557">
        <f ca="1">27282.3657763423*((RANDBETWEEN(2979,3282)))</f>
        <v>88367582.749572739</v>
      </c>
      <c r="B5557">
        <v>188297356.48809451</v>
      </c>
    </row>
    <row r="5558" spans="1:2" x14ac:dyDescent="0.25">
      <c r="A5558">
        <f ca="1">30952.1912876945*((RANDBETWEEN(2979,3282)))</f>
        <v>99635103.755088702</v>
      </c>
      <c r="B5558">
        <v>144145485.76327664</v>
      </c>
    </row>
    <row r="5559" spans="1:2" x14ac:dyDescent="0.25">
      <c r="A5559">
        <f ca="1">31220.9853086533*((RANDBETWEEN(2979,3282)))</f>
        <v>99938373.97299923</v>
      </c>
      <c r="B5559">
        <v>145001393.12322038</v>
      </c>
    </row>
    <row r="5560" spans="1:2" x14ac:dyDescent="0.25">
      <c r="A5560">
        <f ca="1">26345.2624579305*((RANDBETWEEN(2979,3282)))</f>
        <v>85911900.87531139</v>
      </c>
      <c r="B5560">
        <v>166553418.14228398</v>
      </c>
    </row>
    <row r="5561" spans="1:2" x14ac:dyDescent="0.25">
      <c r="A5561">
        <f ca="1">28410.5758756261*((RANDBETWEEN(2979,3282)))</f>
        <v>85714707.416763797</v>
      </c>
      <c r="B5561">
        <v>177388445.4771989</v>
      </c>
    </row>
    <row r="5562" spans="1:2" x14ac:dyDescent="0.25">
      <c r="A5562">
        <f ca="1">25499.3127859494*((RANDBETWEEN(2979,3282)))</f>
        <v>76446939.73227641</v>
      </c>
      <c r="B5562">
        <v>142945982.82577208</v>
      </c>
    </row>
    <row r="5563" spans="1:2" x14ac:dyDescent="0.25">
      <c r="A5563">
        <f ca="1">27031.0331798699*((RANDBETWEEN(2979,3282)))</f>
        <v>83877295.957136363</v>
      </c>
      <c r="B5563">
        <v>178464302.5178811</v>
      </c>
    </row>
    <row r="5564" spans="1:2" x14ac:dyDescent="0.25">
      <c r="A5564">
        <f ca="1">28215.5714316644*((RANDBETWEEN(2979,3282)))</f>
        <v>85747121.580828115</v>
      </c>
      <c r="B5564">
        <v>170775712.51683152</v>
      </c>
    </row>
    <row r="5565" spans="1:2" x14ac:dyDescent="0.25">
      <c r="A5565">
        <f ca="1">28865.3167078902*((RANDBETWEEN(2979,3282)))</f>
        <v>93898875.250766695</v>
      </c>
      <c r="B5565">
        <v>160362642.54750207</v>
      </c>
    </row>
    <row r="5566" spans="1:2" x14ac:dyDescent="0.25">
      <c r="A5566">
        <f ca="1">29687.2487440981*((RANDBETWEEN(2979,3282)))</f>
        <v>90516421.420755103</v>
      </c>
      <c r="B5566">
        <v>184452919.8080416</v>
      </c>
    </row>
    <row r="5567" spans="1:2" x14ac:dyDescent="0.25">
      <c r="A5567">
        <f ca="1">30348.3864074692*((RANDBETWEEN(2979,3282)))</f>
        <v>97418320.367976055</v>
      </c>
      <c r="B5567">
        <v>164617742.75936705</v>
      </c>
    </row>
    <row r="5568" spans="1:2" x14ac:dyDescent="0.25">
      <c r="A5568">
        <f ca="1">28790.810461665*((RANDBETWEEN(2979,3282)))</f>
        <v>86660339.48961176</v>
      </c>
      <c r="B5568">
        <v>178433549.96895847</v>
      </c>
    </row>
    <row r="5569" spans="1:2" x14ac:dyDescent="0.25">
      <c r="A5569">
        <f ca="1">26902.3389570429*((RANDBETWEEN(2979,3282)))</f>
        <v>81029844.938613281</v>
      </c>
      <c r="B5569">
        <v>154270093.67720866</v>
      </c>
    </row>
    <row r="5570" spans="1:2" x14ac:dyDescent="0.25">
      <c r="A5570">
        <f ca="1">29324.8985772502*((RANDBETWEEN(2979,3282)))</f>
        <v>89704864.747808278</v>
      </c>
      <c r="B5570">
        <v>149879879.37607533</v>
      </c>
    </row>
    <row r="5571" spans="1:2" x14ac:dyDescent="0.25">
      <c r="A5571">
        <f ca="1">31878.0281781678*((RANDBETWEEN(2979,3282)))</f>
        <v>101722787.91653337</v>
      </c>
      <c r="B5571">
        <v>168876213.6402483</v>
      </c>
    </row>
    <row r="5572" spans="1:2" x14ac:dyDescent="0.25">
      <c r="A5572">
        <f ca="1">29471.6602539913*((RANDBETWEEN(2979,3282)))</f>
        <v>93778822.928200349</v>
      </c>
      <c r="B5572">
        <v>185049266.14937606</v>
      </c>
    </row>
    <row r="5573" spans="1:2" x14ac:dyDescent="0.25">
      <c r="A5573">
        <f ca="1">25767.6248810755*((RANDBETWEEN(2979,3282)))</f>
        <v>77869762.390610144</v>
      </c>
      <c r="B5573">
        <v>159768570.21581602</v>
      </c>
    </row>
    <row r="5574" spans="1:2" x14ac:dyDescent="0.25">
      <c r="A5574">
        <f ca="1">26295.8890980809*((RANDBETWEEN(2979,3282)))</f>
        <v>84278324.559349239</v>
      </c>
      <c r="B5574">
        <v>161406716.22889262</v>
      </c>
    </row>
    <row r="5575" spans="1:2" x14ac:dyDescent="0.25">
      <c r="A5575">
        <f ca="1">27142.2270431757*((RANDBETWEEN(2979,3282)))</f>
        <v>82729508.027599543</v>
      </c>
      <c r="B5575">
        <v>153994918.83904755</v>
      </c>
    </row>
    <row r="5576" spans="1:2" x14ac:dyDescent="0.25">
      <c r="A5576">
        <f ca="1">32864.1524266543*((RANDBETWEEN(2979,3282)))</f>
        <v>104080770.73521423</v>
      </c>
      <c r="B5576">
        <v>196123940.61951709</v>
      </c>
    </row>
    <row r="5577" spans="1:2" x14ac:dyDescent="0.25">
      <c r="A5577">
        <f ca="1">26945.8036055549*((RANDBETWEEN(2979,3282)))</f>
        <v>86037950.912536949</v>
      </c>
      <c r="B5577">
        <v>145639251.99000922</v>
      </c>
    </row>
    <row r="5578" spans="1:2" x14ac:dyDescent="0.25">
      <c r="A5578">
        <f ca="1">31644.2043016695*((RANDBETWEEN(2979,3282)))</f>
        <v>101229809.56104064</v>
      </c>
      <c r="B5578">
        <v>151130255.58549178</v>
      </c>
    </row>
    <row r="5579" spans="1:2" x14ac:dyDescent="0.25">
      <c r="A5579">
        <f ca="1">27508.1791922007*((RANDBETWEEN(2979,3282)))</f>
        <v>89924237.779304236</v>
      </c>
      <c r="B5579">
        <v>163199248.1003519</v>
      </c>
    </row>
    <row r="5580" spans="1:2" x14ac:dyDescent="0.25">
      <c r="A5580">
        <f ca="1">28794.1461716812*((RANDBETWEEN(2979,3282)))</f>
        <v>91795737.99531965</v>
      </c>
      <c r="B5580">
        <v>144039201.84531328</v>
      </c>
    </row>
    <row r="5581" spans="1:2" x14ac:dyDescent="0.25">
      <c r="A5581">
        <f ca="1">26885.1441436354*((RANDBETWEEN(2979,3282)))</f>
        <v>86355082.989356875</v>
      </c>
      <c r="B5581">
        <v>146934792.18930161</v>
      </c>
    </row>
    <row r="5582" spans="1:2" x14ac:dyDescent="0.25">
      <c r="A5582">
        <f ca="1">31192.3906341591*((RANDBETWEEN(2979,3282)))</f>
        <v>95978985.981307566</v>
      </c>
      <c r="B5582">
        <v>166512573.93482554</v>
      </c>
    </row>
    <row r="5583" spans="1:2" x14ac:dyDescent="0.25">
      <c r="A5583">
        <f ca="1">26212.7484877724*((RANDBETWEEN(2979,3282)))</f>
        <v>79634329.905852616</v>
      </c>
      <c r="B5583">
        <v>143154085.68322277</v>
      </c>
    </row>
    <row r="5584" spans="1:2" x14ac:dyDescent="0.25">
      <c r="A5584">
        <f ca="1">28145.7487556476*((RANDBETWEEN(2979,3282)))</f>
        <v>87702153.122597784</v>
      </c>
      <c r="B5584">
        <v>155739221.78168109</v>
      </c>
    </row>
    <row r="5585" spans="1:2" x14ac:dyDescent="0.25">
      <c r="A5585">
        <f ca="1">28152.3021120612*((RANDBETWEEN(2979,3282)))</f>
        <v>85414084.607993752</v>
      </c>
      <c r="B5585">
        <v>149654408.193169</v>
      </c>
    </row>
    <row r="5586" spans="1:2" x14ac:dyDescent="0.25">
      <c r="A5586">
        <f ca="1">26708.2932038234*((RANDBETWEEN(2979,3282)))</f>
        <v>84665289.456120268</v>
      </c>
      <c r="B5586">
        <v>163539923.58922476</v>
      </c>
    </row>
    <row r="5587" spans="1:2" x14ac:dyDescent="0.25">
      <c r="A5587">
        <f ca="1">32345.8724087644*((RANDBETWEEN(2979,3282)))</f>
        <v>96940579.609067023</v>
      </c>
      <c r="B5587">
        <v>158300669.05131793</v>
      </c>
    </row>
    <row r="5588" spans="1:2" x14ac:dyDescent="0.25">
      <c r="A5588">
        <f ca="1">30903.5799780599*((RANDBETWEEN(2979,3282)))</f>
        <v>96944530.391173944</v>
      </c>
      <c r="B5588">
        <v>143577105.08694401</v>
      </c>
    </row>
    <row r="5589" spans="1:2" x14ac:dyDescent="0.25">
      <c r="A5589">
        <f ca="1">29624.5774829744*((RANDBETWEEN(2979,3282)))</f>
        <v>91658442.732322678</v>
      </c>
      <c r="B5589">
        <v>184330177.74931622</v>
      </c>
    </row>
    <row r="5590" spans="1:2" x14ac:dyDescent="0.25">
      <c r="A5590">
        <f ca="1">26835.0058647504*((RANDBETWEEN(2979,3282)))</f>
        <v>82356632.9989191</v>
      </c>
      <c r="B5590">
        <v>147341764.30499896</v>
      </c>
    </row>
    <row r="5591" spans="1:2" x14ac:dyDescent="0.25">
      <c r="A5591">
        <f ca="1">31809.6584085385*((RANDBETWEEN(2979,3282)))</f>
        <v>96446884.294688866</v>
      </c>
      <c r="B5591">
        <v>165176938.36805558</v>
      </c>
    </row>
    <row r="5592" spans="1:2" x14ac:dyDescent="0.25">
      <c r="A5592">
        <f ca="1">27433.0328503861*((RANDBETWEEN(2979,3282)))</f>
        <v>88828160.369550154</v>
      </c>
      <c r="B5592">
        <v>165562335.25044715</v>
      </c>
    </row>
    <row r="5593" spans="1:2" x14ac:dyDescent="0.25">
      <c r="A5593">
        <f ca="1">26075.0748237557*((RANDBETWEEN(2979,3282)))</f>
        <v>85448020.197447509</v>
      </c>
      <c r="B5593">
        <v>159805369.83839858</v>
      </c>
    </row>
    <row r="5594" spans="1:2" x14ac:dyDescent="0.25">
      <c r="A5594">
        <f ca="1">28231.8351258739*((RANDBETWEEN(2979,3282)))</f>
        <v>89325526.338265091</v>
      </c>
      <c r="B5594">
        <v>170575193.81863561</v>
      </c>
    </row>
    <row r="5595" spans="1:2" x14ac:dyDescent="0.25">
      <c r="A5595">
        <f ca="1">28086.8648062392*((RANDBETWEEN(2979,3282)))</f>
        <v>87687191.92507875</v>
      </c>
      <c r="B5595">
        <v>157077710.63867226</v>
      </c>
    </row>
    <row r="5596" spans="1:2" x14ac:dyDescent="0.25">
      <c r="A5596">
        <f ca="1">28742.5552416486*((RANDBETWEEN(2979,3282)))</f>
        <v>87434853.045095086</v>
      </c>
      <c r="B5596">
        <v>165377535.0466935</v>
      </c>
    </row>
    <row r="5597" spans="1:2" x14ac:dyDescent="0.25">
      <c r="A5597">
        <f ca="1">25528.8106781771*((RANDBETWEEN(2979,3282)))</f>
        <v>82789933.029328182</v>
      </c>
      <c r="B5597">
        <v>153583252.0332067</v>
      </c>
    </row>
    <row r="5598" spans="1:2" x14ac:dyDescent="0.25">
      <c r="A5598">
        <f ca="1">27742.5724418981*((RANDBETWEEN(2979,3282)))</f>
        <v>86279400.294303223</v>
      </c>
      <c r="B5598">
        <v>175265240.76107469</v>
      </c>
    </row>
    <row r="5599" spans="1:2" x14ac:dyDescent="0.25">
      <c r="A5599">
        <f ca="1">30382.3037055392*((RANDBETWEEN(2979,3282)))</f>
        <v>96038462.013209388</v>
      </c>
      <c r="B5599">
        <v>158397072.50877133</v>
      </c>
    </row>
    <row r="5600" spans="1:2" x14ac:dyDescent="0.25">
      <c r="A5600">
        <f ca="1">27229.9275774308*((RANDBETWEEN(2979,3282)))</f>
        <v>84821224.403696939</v>
      </c>
      <c r="B5600">
        <v>160194846.59533036</v>
      </c>
    </row>
    <row r="5601" spans="1:2" x14ac:dyDescent="0.25">
      <c r="A5601">
        <f ca="1">27355.9622711735*((RANDBETWEEN(2979,3282)))</f>
        <v>89481352.589008644</v>
      </c>
      <c r="B5601">
        <v>189054567.26009026</v>
      </c>
    </row>
    <row r="5602" spans="1:2" x14ac:dyDescent="0.25">
      <c r="A5602">
        <f ca="1">31490.7440526084*((RANDBETWEEN(2979,3282)))</f>
        <v>98440065.908453867</v>
      </c>
      <c r="B5602">
        <v>193274790.55985731</v>
      </c>
    </row>
    <row r="5603" spans="1:2" x14ac:dyDescent="0.25">
      <c r="A5603">
        <f ca="1">27391.7818007256*((RANDBETWEEN(2979,3282)))</f>
        <v>85407575.654662505</v>
      </c>
      <c r="B5603">
        <v>160747359.66579801</v>
      </c>
    </row>
    <row r="5604" spans="1:2" x14ac:dyDescent="0.25">
      <c r="A5604">
        <f ca="1">26208.2658159623*((RANDBETWEEN(2979,3282)))</f>
        <v>80800083.510611877</v>
      </c>
      <c r="B5604">
        <v>203236179.17986274</v>
      </c>
    </row>
    <row r="5605" spans="1:2" x14ac:dyDescent="0.25">
      <c r="A5605">
        <f ca="1">28205.9469018235*((RANDBETWEEN(2979,3282)))</f>
        <v>86874316.457616478</v>
      </c>
      <c r="B5605">
        <v>195274102.00619</v>
      </c>
    </row>
    <row r="5606" spans="1:2" x14ac:dyDescent="0.25">
      <c r="A5606">
        <f ca="1">29609.5787643373*((RANDBETWEEN(2979,3282)))</f>
        <v>92559543.217318311</v>
      </c>
      <c r="B5606">
        <v>147997045.00201377</v>
      </c>
    </row>
    <row r="5607" spans="1:2" x14ac:dyDescent="0.25">
      <c r="A5607">
        <f ca="1">27338.0815418573*((RANDBETWEEN(2979,3282)))</f>
        <v>88329341.461740896</v>
      </c>
      <c r="B5607">
        <v>170763716.22839716</v>
      </c>
    </row>
    <row r="5608" spans="1:2" x14ac:dyDescent="0.25">
      <c r="A5608">
        <f ca="1">25851.3388179934*((RANDBETWEEN(2979,3282)))</f>
        <v>80449366.401595458</v>
      </c>
      <c r="B5608">
        <v>162078961.13459605</v>
      </c>
    </row>
    <row r="5609" spans="1:2" x14ac:dyDescent="0.25">
      <c r="A5609">
        <f ca="1">28520.0506434431*((RANDBETWEEN(2979,3282)))</f>
        <v>86073512.841911197</v>
      </c>
      <c r="B5609">
        <v>159470862.33992574</v>
      </c>
    </row>
    <row r="5610" spans="1:2" x14ac:dyDescent="0.25">
      <c r="A5610">
        <f ca="1">28077.9608385622*((RANDBETWEEN(2979,3282)))</f>
        <v>90186410.213461787</v>
      </c>
      <c r="B5610">
        <v>160075674.41819394</v>
      </c>
    </row>
    <row r="5611" spans="1:2" x14ac:dyDescent="0.25">
      <c r="A5611">
        <f ca="1">33070.4338565484*((RANDBETWEEN(2979,3282)))</f>
        <v>106056881.37795059</v>
      </c>
      <c r="B5611">
        <v>172054277.21039185</v>
      </c>
    </row>
    <row r="5612" spans="1:2" x14ac:dyDescent="0.25">
      <c r="A5612">
        <f ca="1">26744.9903838914*((RANDBETWEEN(2979,3282)))</f>
        <v>80823360.940119892</v>
      </c>
      <c r="B5612">
        <v>148079448.19405854</v>
      </c>
    </row>
    <row r="5613" spans="1:2" x14ac:dyDescent="0.25">
      <c r="A5613">
        <f ca="1">27721.2233707397*((RANDBETWEEN(2979,3282)))</f>
        <v>90925612.656026289</v>
      </c>
      <c r="B5613">
        <v>168220477.28159374</v>
      </c>
    </row>
    <row r="5614" spans="1:2" x14ac:dyDescent="0.25">
      <c r="A5614">
        <f ca="1">24216.95836552*((RANDBETWEEN(2979,3282)))</f>
        <v>78535595.979381338</v>
      </c>
      <c r="B5614">
        <v>144728738.4252311</v>
      </c>
    </row>
    <row r="5615" spans="1:2" x14ac:dyDescent="0.25">
      <c r="A5615">
        <f ca="1">26578.6482975076*((RANDBETWEEN(2979,3282)))</f>
        <v>82659596.205248669</v>
      </c>
      <c r="B5615">
        <v>197933789.38331056</v>
      </c>
    </row>
    <row r="5616" spans="1:2" x14ac:dyDescent="0.25">
      <c r="A5616">
        <f ca="1">31884.0847010405*((RANDBETWEEN(2979,3282)))</f>
        <v>97533415.100482732</v>
      </c>
      <c r="B5616">
        <v>176947403.21636921</v>
      </c>
    </row>
    <row r="5617" spans="1:2" x14ac:dyDescent="0.25">
      <c r="A5617">
        <f ca="1">25967.8574196011*((RANDBETWEEN(2979,3282)))</f>
        <v>81071650.863994494</v>
      </c>
      <c r="B5617">
        <v>157725180.49348152</v>
      </c>
    </row>
    <row r="5618" spans="1:2" x14ac:dyDescent="0.25">
      <c r="A5618">
        <f ca="1">26624.9819120595*((RANDBETWEEN(2979,3282)))</f>
        <v>85945441.612128034</v>
      </c>
      <c r="B5618">
        <v>197224243.35457087</v>
      </c>
    </row>
    <row r="5619" spans="1:2" x14ac:dyDescent="0.25">
      <c r="A5619">
        <f ca="1">32368.8094218027*((RANDBETWEEN(2979,3282)))</f>
        <v>104162828.71936102</v>
      </c>
      <c r="B5619">
        <v>202275279.46940735</v>
      </c>
    </row>
    <row r="5620" spans="1:2" x14ac:dyDescent="0.25">
      <c r="A5620">
        <f ca="1">28803.3521800415*((RANDBETWEEN(2979,3282)))</f>
        <v>89175178.349408597</v>
      </c>
      <c r="B5620">
        <v>185710821.57907739</v>
      </c>
    </row>
    <row r="5621" spans="1:2" x14ac:dyDescent="0.25">
      <c r="A5621">
        <f ca="1">31012.9812822374*((RANDBETWEEN(2979,3282)))</f>
        <v>99830786.747522131</v>
      </c>
      <c r="B5621">
        <v>176591694.73021016</v>
      </c>
    </row>
    <row r="5622" spans="1:2" x14ac:dyDescent="0.25">
      <c r="A5622">
        <f ca="1">26689.339566613*((RANDBETWEEN(2979,3282)))</f>
        <v>85299129.254895136</v>
      </c>
      <c r="B5622">
        <v>145155966.92700595</v>
      </c>
    </row>
    <row r="5623" spans="1:2" x14ac:dyDescent="0.25">
      <c r="A5623">
        <f ca="1">25996.226319063*((RANDBETWEEN(2979,3282)))</f>
        <v>80848263.852285877</v>
      </c>
      <c r="B5623">
        <v>199789648.14749047</v>
      </c>
    </row>
    <row r="5624" spans="1:2" x14ac:dyDescent="0.25">
      <c r="A5624">
        <f ca="1">27388.9546067505*((RANDBETWEEN(2979,3282)))</f>
        <v>85343982.554634675</v>
      </c>
      <c r="B5624">
        <v>184167103.5509074</v>
      </c>
    </row>
    <row r="5625" spans="1:2" x14ac:dyDescent="0.25">
      <c r="A5625">
        <f ca="1">26108.4960991665*((RANDBETWEEN(2979,3282)))</f>
        <v>82763932.634357929</v>
      </c>
      <c r="B5625">
        <v>146573991.79468927</v>
      </c>
    </row>
    <row r="5626" spans="1:2" x14ac:dyDescent="0.25">
      <c r="A5626">
        <f ca="1">27917.6816016899*((RANDBETWEEN(2979,3282)))</f>
        <v>87689437.91090782</v>
      </c>
      <c r="B5626">
        <v>179023481.9301317</v>
      </c>
    </row>
    <row r="5627" spans="1:2" x14ac:dyDescent="0.25">
      <c r="A5627">
        <f ca="1">26280.9002123112*((RANDBETWEEN(2979,3282)))</f>
        <v>82180374.96389702</v>
      </c>
      <c r="B5627">
        <v>143686394.09915581</v>
      </c>
    </row>
    <row r="5628" spans="1:2" x14ac:dyDescent="0.25">
      <c r="A5628">
        <f ca="1">26747.1409260181*((RANDBETWEEN(2979,3282)))</f>
        <v>82033481.220097482</v>
      </c>
      <c r="B5628">
        <v>150287243.68423307</v>
      </c>
    </row>
    <row r="5629" spans="1:2" x14ac:dyDescent="0.25">
      <c r="A5629">
        <f ca="1">34050.050867428*((RANDBETWEEN(2979,3282)))</f>
        <v>101503201.63580285</v>
      </c>
      <c r="B5629">
        <v>177138793.74946511</v>
      </c>
    </row>
    <row r="5630" spans="1:2" x14ac:dyDescent="0.25">
      <c r="A5630">
        <f ca="1">31078.1196336111*((RANDBETWEEN(2979,3282)))</f>
        <v>99108123.511585742</v>
      </c>
      <c r="B5630">
        <v>176326193.71821791</v>
      </c>
    </row>
    <row r="5631" spans="1:2" x14ac:dyDescent="0.25">
      <c r="A5631">
        <f ca="1">28605.5891577271*((RANDBETWEEN(2979,3282)))</f>
        <v>91766730.017988458</v>
      </c>
      <c r="B5631">
        <v>161393412.65088731</v>
      </c>
    </row>
    <row r="5632" spans="1:2" x14ac:dyDescent="0.25">
      <c r="A5632">
        <f ca="1">27160.6601172539*((RANDBETWEEN(2979,3282)))</f>
        <v>87158558.316267893</v>
      </c>
      <c r="B5632">
        <v>194595681.3977977</v>
      </c>
    </row>
    <row r="5633" spans="1:2" x14ac:dyDescent="0.25">
      <c r="A5633">
        <f ca="1">28402.6420015106*((RANDBETWEEN(2979,3282)))</f>
        <v>90064777.786790088</v>
      </c>
      <c r="B5633">
        <v>147159346.70055458</v>
      </c>
    </row>
    <row r="5634" spans="1:2" x14ac:dyDescent="0.25">
      <c r="A5634">
        <f ca="1">28042.4447568004*((RANDBETWEEN(2979,3282)))</f>
        <v>90128417.448356539</v>
      </c>
      <c r="B5634">
        <v>149189931.53402945</v>
      </c>
    </row>
    <row r="5635" spans="1:2" x14ac:dyDescent="0.25">
      <c r="A5635">
        <f ca="1">27511.3345725211*((RANDBETWEEN(2979,3282)))</f>
        <v>82891651.067006215</v>
      </c>
      <c r="B5635">
        <v>185524386.10618129</v>
      </c>
    </row>
    <row r="5636" spans="1:2" x14ac:dyDescent="0.25">
      <c r="A5636">
        <f ca="1">25645.4538847317*((RANDBETWEEN(2979,3282)))</f>
        <v>81552543.353446692</v>
      </c>
      <c r="B5636">
        <v>152958328.43371096</v>
      </c>
    </row>
    <row r="5637" spans="1:2" x14ac:dyDescent="0.25">
      <c r="A5637">
        <f ca="1">26820.919123418*((RANDBETWEEN(2979,3282)))</f>
        <v>80999175.752722457</v>
      </c>
      <c r="B5637">
        <v>166116049.48898849</v>
      </c>
    </row>
    <row r="5638" spans="1:2" x14ac:dyDescent="0.25">
      <c r="A5638">
        <f ca="1">26815.5873566219*((RANDBETWEEN(2979,3282)))</f>
        <v>84335022.236575976</v>
      </c>
      <c r="B5638">
        <v>146936658.64742845</v>
      </c>
    </row>
    <row r="5639" spans="1:2" x14ac:dyDescent="0.25">
      <c r="A5639">
        <f ca="1">29988.6124962339*((RANDBETWEEN(2979,3282)))</f>
        <v>93534482.375753567</v>
      </c>
      <c r="B5639">
        <v>189760453.94745293</v>
      </c>
    </row>
    <row r="5640" spans="1:2" x14ac:dyDescent="0.25">
      <c r="A5640">
        <f ca="1">27220.715889901*((RANDBETWEEN(2979,3282)))</f>
        <v>83458714.918436423</v>
      </c>
      <c r="B5640">
        <v>182418673.6937241</v>
      </c>
    </row>
    <row r="5641" spans="1:2" x14ac:dyDescent="0.25">
      <c r="A5641">
        <f ca="1">27698.9737617832*((RANDBETWEEN(2979,3282)))</f>
        <v>85562129.950148419</v>
      </c>
      <c r="B5641">
        <v>158896005.75884449</v>
      </c>
    </row>
    <row r="5642" spans="1:2" x14ac:dyDescent="0.25">
      <c r="A5642">
        <f ca="1">31973.8754247452*((RANDBETWEEN(2979,3282)))</f>
        <v>102668113.98885694</v>
      </c>
      <c r="B5642">
        <v>203473556.01740521</v>
      </c>
    </row>
    <row r="5643" spans="1:2" x14ac:dyDescent="0.25">
      <c r="A5643">
        <f ca="1">31688.9328243337*((RANDBETWEEN(2979,3282)))</f>
        <v>99408182.269934714</v>
      </c>
      <c r="B5643">
        <v>198919270.51348412</v>
      </c>
    </row>
    <row r="5644" spans="1:2" x14ac:dyDescent="0.25">
      <c r="A5644">
        <f ca="1">26906.5390001639*((RANDBETWEEN(2979,3282)))</f>
        <v>83437177.439508289</v>
      </c>
      <c r="B5644">
        <v>148813174.86556143</v>
      </c>
    </row>
    <row r="5645" spans="1:2" x14ac:dyDescent="0.25">
      <c r="A5645">
        <f ca="1">27385.8487902922*((RANDBETWEEN(2979,3282)))</f>
        <v>81801530.336602926</v>
      </c>
      <c r="B5645">
        <v>146987532.23709187</v>
      </c>
    </row>
    <row r="5646" spans="1:2" x14ac:dyDescent="0.25">
      <c r="A5646">
        <f ca="1">31759.5529748708*((RANDBETWEEN(2979,3282)))</f>
        <v>100074351.42381789</v>
      </c>
      <c r="B5646">
        <v>176242063.27591342</v>
      </c>
    </row>
    <row r="5647" spans="1:2" x14ac:dyDescent="0.25">
      <c r="A5647">
        <f ca="1">27034.9954194912*((RANDBETWEEN(2979,3282)))</f>
        <v>85673900.484367698</v>
      </c>
      <c r="B5647">
        <v>183350055.66911152</v>
      </c>
    </row>
    <row r="5648" spans="1:2" x14ac:dyDescent="0.25">
      <c r="A5648">
        <f ca="1">26673.3261040664*((RANDBETWEEN(2979,3282)))</f>
        <v>84341057.141057834</v>
      </c>
      <c r="B5648">
        <v>175863847.55537999</v>
      </c>
    </row>
    <row r="5649" spans="1:2" x14ac:dyDescent="0.25">
      <c r="A5649">
        <f ca="1">27592.8269652775*((RANDBETWEEN(2979,3282)))</f>
        <v>90118172.86859642</v>
      </c>
      <c r="B5649">
        <v>157464841.07886887</v>
      </c>
    </row>
    <row r="5650" spans="1:2" x14ac:dyDescent="0.25">
      <c r="A5650">
        <f ca="1">26668.940999496*((RANDBETWEEN(2979,3282)))</f>
        <v>80086829.821486473</v>
      </c>
      <c r="B5650">
        <v>170424794.93504274</v>
      </c>
    </row>
    <row r="5651" spans="1:2" x14ac:dyDescent="0.25">
      <c r="A5651">
        <f ca="1">28698.0299812669*((RANDBETWEEN(2979,3282)))</f>
        <v>89164779.151796281</v>
      </c>
      <c r="B5651">
        <v>143908377.00732362</v>
      </c>
    </row>
    <row r="5652" spans="1:2" x14ac:dyDescent="0.25">
      <c r="A5652">
        <f ca="1">26635.9667855717*((RANDBETWEEN(2979,3282)))</f>
        <v>83157488.304554984</v>
      </c>
      <c r="B5652">
        <v>176272695.51761645</v>
      </c>
    </row>
    <row r="5653" spans="1:2" x14ac:dyDescent="0.25">
      <c r="A5653">
        <f ca="1">27532.9604831144*((RANDBETWEEN(2979,3282)))</f>
        <v>83204606.579971597</v>
      </c>
      <c r="B5653">
        <v>152910917.00432003</v>
      </c>
    </row>
    <row r="5654" spans="1:2" x14ac:dyDescent="0.25">
      <c r="A5654">
        <f ca="1">26854.9185341585*((RANDBETWEEN(2979,3282)))</f>
        <v>84297589.278723598</v>
      </c>
      <c r="B5654">
        <v>164954497.01659894</v>
      </c>
    </row>
    <row r="5655" spans="1:2" x14ac:dyDescent="0.25">
      <c r="A5655">
        <f ca="1">26266.1366820576*((RANDBETWEEN(2979,3282)))</f>
        <v>84970952.166456342</v>
      </c>
      <c r="B5655">
        <v>193362106.05618864</v>
      </c>
    </row>
    <row r="5656" spans="1:2" x14ac:dyDescent="0.25">
      <c r="A5656">
        <f ca="1">27820.3231388178*((RANDBETWEEN(2979,3282)))</f>
        <v>87133252.070777386</v>
      </c>
      <c r="B5656">
        <v>179401769.70360136</v>
      </c>
    </row>
    <row r="5657" spans="1:2" x14ac:dyDescent="0.25">
      <c r="A5657">
        <f ca="1">27551.3190162822*((RANDBETWEEN(2979,3282)))</f>
        <v>82488649.134749025</v>
      </c>
      <c r="B5657">
        <v>172932579.80751437</v>
      </c>
    </row>
    <row r="5658" spans="1:2" x14ac:dyDescent="0.25">
      <c r="A5658">
        <f ca="1">26705.0446724421*((RANDBETWEEN(2979,3282)))</f>
        <v>80408889.50872311</v>
      </c>
      <c r="B5658">
        <v>162935253.7457172</v>
      </c>
    </row>
    <row r="5659" spans="1:2" x14ac:dyDescent="0.25">
      <c r="A5659">
        <f ca="1">27199.4816995124*((RANDBETWEEN(2979,3282)))</f>
        <v>85324774.091370374</v>
      </c>
      <c r="B5659">
        <v>152876827.32462639</v>
      </c>
    </row>
    <row r="5660" spans="1:2" x14ac:dyDescent="0.25">
      <c r="A5660">
        <f ca="1">31939.4150973469*((RANDBETWEEN(2979,3282)))</f>
        <v>98277580.254536539</v>
      </c>
      <c r="B5660">
        <v>172552414.50117075</v>
      </c>
    </row>
    <row r="5661" spans="1:2" x14ac:dyDescent="0.25">
      <c r="A5661">
        <f ca="1">29791.2851504512*((RANDBETWEEN(2979,3282)))</f>
        <v>95719399.188399673</v>
      </c>
      <c r="B5661">
        <v>171618424.81353453</v>
      </c>
    </row>
    <row r="5662" spans="1:2" x14ac:dyDescent="0.25">
      <c r="A5662">
        <f ca="1">26429.8838675797*((RANDBETWEEN(2979,3282)))</f>
        <v>84443478.956917048</v>
      </c>
      <c r="B5662">
        <v>176524337.72634968</v>
      </c>
    </row>
    <row r="5663" spans="1:2" x14ac:dyDescent="0.25">
      <c r="A5663">
        <f ca="1">26159.6825597695*((RANDBETWEEN(2979,3282)))</f>
        <v>79394636.568900511</v>
      </c>
      <c r="B5663">
        <v>166694040.06456965</v>
      </c>
    </row>
    <row r="5664" spans="1:2" x14ac:dyDescent="0.25">
      <c r="A5664">
        <f ca="1">25518.8320447337*((RANDBETWEEN(2979,3282)))</f>
        <v>80231207.948642746</v>
      </c>
      <c r="B5664">
        <v>203120903.87475261</v>
      </c>
    </row>
    <row r="5665" spans="1:2" x14ac:dyDescent="0.25">
      <c r="A5665">
        <f ca="1">28876.2558818506*((RANDBETWEEN(2979,3282)))</f>
        <v>93097048.963086337</v>
      </c>
      <c r="B5665">
        <v>180047242.36637005</v>
      </c>
    </row>
    <row r="5666" spans="1:2" x14ac:dyDescent="0.25">
      <c r="A5666">
        <f ca="1">27632.4049558418*((RANDBETWEEN(2979,3282)))</f>
        <v>89971110.536220849</v>
      </c>
      <c r="B5666">
        <v>150240793.78882509</v>
      </c>
    </row>
    <row r="5667" spans="1:2" x14ac:dyDescent="0.25">
      <c r="A5667">
        <f ca="1">27219.0931172985*((RANDBETWEEN(2979,3282)))</f>
        <v>83535396.776989147</v>
      </c>
      <c r="B5667">
        <v>193707080.80641299</v>
      </c>
    </row>
    <row r="5668" spans="1:2" x14ac:dyDescent="0.25">
      <c r="A5668">
        <f ca="1">31732.6672294826*((RANDBETWEEN(2979,3282)))</f>
        <v>95578793.695201546</v>
      </c>
      <c r="B5668">
        <v>196066174.00974157</v>
      </c>
    </row>
    <row r="5669" spans="1:2" x14ac:dyDescent="0.25">
      <c r="A5669">
        <f ca="1">26773.442939028*((RANDBETWEEN(2979,3282)))</f>
        <v>83265407.5403772</v>
      </c>
      <c r="B5669">
        <v>158380578.5104529</v>
      </c>
    </row>
    <row r="5670" spans="1:2" x14ac:dyDescent="0.25">
      <c r="A5670">
        <f ca="1">29454.6712397267*((RANDBETWEEN(2979,3282)))</f>
        <v>88040012.335542977</v>
      </c>
      <c r="B5670">
        <v>157634381.19937989</v>
      </c>
    </row>
    <row r="5671" spans="1:2" x14ac:dyDescent="0.25">
      <c r="A5671">
        <f ca="1">25230.9482043661*((RANDBETWEEN(2979,3282)))</f>
        <v>75617151.768485323</v>
      </c>
      <c r="B5671">
        <v>183309333.53188613</v>
      </c>
    </row>
    <row r="5672" spans="1:2" x14ac:dyDescent="0.25">
      <c r="A5672">
        <f ca="1">32430.7944949115*((RANDBETWEEN(2979,3282)))</f>
        <v>98200445.730592057</v>
      </c>
      <c r="B5672">
        <v>175112983.69266897</v>
      </c>
    </row>
    <row r="5673" spans="1:2" x14ac:dyDescent="0.25">
      <c r="A5673">
        <f ca="1">26421.7006179224*((RANDBETWEEN(2979,3282)))</f>
        <v>80586186.884663224</v>
      </c>
      <c r="B5673">
        <v>143937510.18477222</v>
      </c>
    </row>
    <row r="5674" spans="1:2" x14ac:dyDescent="0.25">
      <c r="A5674">
        <f ca="1">31454.9309310207*((RANDBETWEEN(2979,3282)))</f>
        <v>98642663.399680957</v>
      </c>
      <c r="B5674">
        <v>189650972.47400531</v>
      </c>
    </row>
    <row r="5675" spans="1:2" x14ac:dyDescent="0.25">
      <c r="A5675">
        <f ca="1">25704.4737982658*((RANDBETWEEN(2979,3282)))</f>
        <v>77062012.447200999</v>
      </c>
      <c r="B5675">
        <v>183206783.42844903</v>
      </c>
    </row>
    <row r="5676" spans="1:2" x14ac:dyDescent="0.25">
      <c r="A5676">
        <f ca="1">31200.2610109332*((RANDBETWEEN(2979,3282)))</f>
        <v>96065603.652663395</v>
      </c>
      <c r="B5676">
        <v>157652062.75364977</v>
      </c>
    </row>
    <row r="5677" spans="1:2" x14ac:dyDescent="0.25">
      <c r="A5677">
        <f ca="1">29582.7849041416*((RANDBETWEEN(2979,3282)))</f>
        <v>88186281.799246162</v>
      </c>
      <c r="B5677">
        <v>186227315.6335735</v>
      </c>
    </row>
    <row r="5678" spans="1:2" x14ac:dyDescent="0.25">
      <c r="A5678">
        <f ca="1">27680.6975992237*((RANDBETWEEN(2979,3282)))</f>
        <v>84702934.653624669</v>
      </c>
      <c r="B5678">
        <v>166390793.39178926</v>
      </c>
    </row>
    <row r="5679" spans="1:2" x14ac:dyDescent="0.25">
      <c r="A5679">
        <f ca="1">30235.1806251413*((RANDBETWEEN(2979,3282)))</f>
        <v>98989981.366712525</v>
      </c>
      <c r="B5679">
        <v>161690285.14361942</v>
      </c>
    </row>
    <row r="5680" spans="1:2" x14ac:dyDescent="0.25">
      <c r="A5680">
        <f ca="1">25463.3900853841*((RANDBETWEEN(2979,3282)))</f>
        <v>79980508.258191511</v>
      </c>
      <c r="B5680">
        <v>145860920.12689257</v>
      </c>
    </row>
    <row r="5681" spans="1:2" x14ac:dyDescent="0.25">
      <c r="A5681">
        <f ca="1">28501.1142181121*((RANDBETWEEN(2979,3282)))</f>
        <v>88153946.276620686</v>
      </c>
      <c r="B5681">
        <v>159098390.67244622</v>
      </c>
    </row>
    <row r="5682" spans="1:2" x14ac:dyDescent="0.25">
      <c r="A5682">
        <f ca="1">27201.0286260894*((RANDBETWEEN(2979,3282)))</f>
        <v>87723317.319138423</v>
      </c>
      <c r="B5682">
        <v>154317617.42535138</v>
      </c>
    </row>
    <row r="5683" spans="1:2" x14ac:dyDescent="0.25">
      <c r="A5683">
        <f ca="1">26622.3069400212*((RANDBETWEEN(2979,3282)))</f>
        <v>83274576.108386412</v>
      </c>
      <c r="B5683">
        <v>149598433.75703964</v>
      </c>
    </row>
    <row r="5684" spans="1:2" x14ac:dyDescent="0.25">
      <c r="A5684">
        <f ca="1">26804.2335650408*((RANDBETWEEN(2979,3282)))</f>
        <v>85371483.90465492</v>
      </c>
      <c r="B5684">
        <v>170087652.94081119</v>
      </c>
    </row>
    <row r="5685" spans="1:2" x14ac:dyDescent="0.25">
      <c r="A5685">
        <f ca="1">29128.0913930594*((RANDBETWEEN(2979,3282)))</f>
        <v>92481690.172963455</v>
      </c>
      <c r="B5685">
        <v>168131713.77156085</v>
      </c>
    </row>
    <row r="5686" spans="1:2" x14ac:dyDescent="0.25">
      <c r="A5686">
        <f ca="1">33978.9477491608*((RANDBETWEEN(2979,3282)))</f>
        <v>110703411.76676574</v>
      </c>
      <c r="B5686">
        <v>194430912.38223433</v>
      </c>
    </row>
    <row r="5687" spans="1:2" x14ac:dyDescent="0.25">
      <c r="A5687">
        <f ca="1">28281.423161051*((RANDBETWEEN(2979,3282)))</f>
        <v>90076332.767947376</v>
      </c>
      <c r="B5687">
        <v>198837076.70665979</v>
      </c>
    </row>
    <row r="5688" spans="1:2" x14ac:dyDescent="0.25">
      <c r="A5688">
        <f ca="1">26047.1169735828*((RANDBETWEEN(2979,3282)))</f>
        <v>78740434.611140668</v>
      </c>
      <c r="B5688">
        <v>154434165.78426257</v>
      </c>
    </row>
    <row r="5689" spans="1:2" x14ac:dyDescent="0.25">
      <c r="A5689">
        <f ca="1">25953.869788619*((RANDBETWEEN(2979,3282)))</f>
        <v>78432594.501206502</v>
      </c>
      <c r="B5689">
        <v>160377606.13606352</v>
      </c>
    </row>
    <row r="5690" spans="1:2" x14ac:dyDescent="0.25">
      <c r="A5690">
        <f ca="1">27985.1449762977*((RANDBETWEEN(2979,3282)))</f>
        <v>90979706.317943767</v>
      </c>
      <c r="B5690">
        <v>197896981.39054742</v>
      </c>
    </row>
    <row r="5691" spans="1:2" x14ac:dyDescent="0.25">
      <c r="A5691">
        <f ca="1">25631.9092090064*((RANDBETWEEN(2979,3282)))</f>
        <v>76844463.808601066</v>
      </c>
      <c r="B5691">
        <v>196403434.87210846</v>
      </c>
    </row>
    <row r="5692" spans="1:2" x14ac:dyDescent="0.25">
      <c r="A5692">
        <f ca="1">30346.2454748692*((RANDBETWEEN(2979,3282)))</f>
        <v>90765620.215333685</v>
      </c>
      <c r="B5692">
        <v>161556135.78747776</v>
      </c>
    </row>
    <row r="5693" spans="1:2" x14ac:dyDescent="0.25">
      <c r="A5693">
        <f ca="1">28131.1161253263*((RANDBETWEEN(2979,3282)))</f>
        <v>84337086.143728107</v>
      </c>
      <c r="B5693">
        <v>150679978.75557643</v>
      </c>
    </row>
    <row r="5694" spans="1:2" x14ac:dyDescent="0.25">
      <c r="A5694">
        <f ca="1">26798.3343558785*((RANDBETWEEN(2979,3282)))</f>
        <v>84548744.892796651</v>
      </c>
      <c r="B5694">
        <v>163463137.99955654</v>
      </c>
    </row>
    <row r="5695" spans="1:2" x14ac:dyDescent="0.25">
      <c r="A5695">
        <f ca="1">27447.5401554574*((RANDBETWEEN(2979,3282)))</f>
        <v>86459751.489690915</v>
      </c>
      <c r="B5695">
        <v>170284107.16445643</v>
      </c>
    </row>
    <row r="5696" spans="1:2" x14ac:dyDescent="0.25">
      <c r="A5696">
        <f ca="1">26558.9157192931*((RANDBETWEEN(2979,3282)))</f>
        <v>86475829.582018226</v>
      </c>
      <c r="B5696">
        <v>148102617.59926039</v>
      </c>
    </row>
    <row r="5697" spans="1:2" x14ac:dyDescent="0.25">
      <c r="A5697">
        <f ca="1">25552.9946046455*((RANDBETWEEN(2979,3282)))</f>
        <v>83609398.346400127</v>
      </c>
      <c r="B5697">
        <v>201537799.27591842</v>
      </c>
    </row>
    <row r="5698" spans="1:2" x14ac:dyDescent="0.25">
      <c r="A5698">
        <f ca="1">29883.4507390785*((RANDBETWEEN(2979,3282)))</f>
        <v>94102986.377358168</v>
      </c>
      <c r="B5698">
        <v>180325082.65968674</v>
      </c>
    </row>
    <row r="5699" spans="1:2" x14ac:dyDescent="0.25">
      <c r="A5699">
        <f ca="1">27282.7201098659*((RANDBETWEEN(2979,3282)))</f>
        <v>84030777.938386992</v>
      </c>
      <c r="B5699">
        <v>194962078.83901772</v>
      </c>
    </row>
    <row r="5700" spans="1:2" x14ac:dyDescent="0.25">
      <c r="A5700">
        <f ca="1">26181.6023631868*((RANDBETWEEN(2979,3282)))</f>
        <v>78597170.294286922</v>
      </c>
      <c r="B5700">
        <v>162002522.43135375</v>
      </c>
    </row>
    <row r="5701" spans="1:2" x14ac:dyDescent="0.25">
      <c r="A5701">
        <f ca="1">32658.8578837778*((RANDBETWEEN(2979,3282)))</f>
        <v>101209800.58182752</v>
      </c>
      <c r="B5701">
        <v>163299969.47418347</v>
      </c>
    </row>
    <row r="5702" spans="1:2" x14ac:dyDescent="0.25">
      <c r="A5702">
        <f ca="1">31321.9730124046*((RANDBETWEEN(2979,3282)))</f>
        <v>97286048.176528573</v>
      </c>
      <c r="B5702">
        <v>192250081.21932921</v>
      </c>
    </row>
    <row r="5703" spans="1:2" x14ac:dyDescent="0.25">
      <c r="A5703">
        <f ca="1">28783.8222948659*((RANDBETWEEN(2979,3282)))</f>
        <v>88855659.424251184</v>
      </c>
      <c r="B5703">
        <v>175375259.60755694</v>
      </c>
    </row>
    <row r="5704" spans="1:2" x14ac:dyDescent="0.25">
      <c r="A5704">
        <f ca="1">32010.9586798594*((RANDBETWEEN(2979,3282)))</f>
        <v>103331374.61858629</v>
      </c>
      <c r="B5704">
        <v>178239454.76248151</v>
      </c>
    </row>
    <row r="5705" spans="1:2" x14ac:dyDescent="0.25">
      <c r="A5705">
        <f ca="1">26034.5579369071*((RANDBETWEEN(2979,3282)))</f>
        <v>82191099.406815693</v>
      </c>
      <c r="B5705">
        <v>146011106.19453964</v>
      </c>
    </row>
    <row r="5706" spans="1:2" x14ac:dyDescent="0.25">
      <c r="A5706">
        <f ca="1">25398.2468146967*((RANDBETWEEN(2979,3282)))</f>
        <v>80512442.402588591</v>
      </c>
      <c r="B5706">
        <v>144911479.94690448</v>
      </c>
    </row>
    <row r="5707" spans="1:2" x14ac:dyDescent="0.25">
      <c r="A5707">
        <f ca="1">26239.2534290644*((RANDBETWEEN(2979,3282)))</f>
        <v>85277573.644459456</v>
      </c>
      <c r="B5707">
        <v>162400107.24997658</v>
      </c>
    </row>
    <row r="5708" spans="1:2" x14ac:dyDescent="0.25">
      <c r="A5708">
        <f ca="1">31620.3184646648*((RANDBETWEEN(2979,3282)))</f>
        <v>100647473.6730281</v>
      </c>
      <c r="B5708">
        <v>191846202.61401197</v>
      </c>
    </row>
    <row r="5709" spans="1:2" x14ac:dyDescent="0.25">
      <c r="A5709">
        <f ca="1">27216.4212360623*((RANDBETWEEN(2979,3282)))</f>
        <v>81975860.76301977</v>
      </c>
      <c r="B5709">
        <v>201563776.52460682</v>
      </c>
    </row>
    <row r="5710" spans="1:2" x14ac:dyDescent="0.25">
      <c r="A5710">
        <f ca="1">27546.1365039595*((RANDBETWEEN(2979,3282)))</f>
        <v>90296235.459979117</v>
      </c>
      <c r="B5710">
        <v>163769529.73457083</v>
      </c>
    </row>
    <row r="5711" spans="1:2" x14ac:dyDescent="0.25">
      <c r="A5711">
        <f ca="1">30847.4052572577*((RANDBETWEEN(2979,3282)))</f>
        <v>96644920.670988351</v>
      </c>
      <c r="B5711">
        <v>147826018.24442422</v>
      </c>
    </row>
    <row r="5712" spans="1:2" x14ac:dyDescent="0.25">
      <c r="A5712">
        <f ca="1">26729.7212337318*((RANDBETWEEN(2979,3282)))</f>
        <v>84252081.3287227</v>
      </c>
      <c r="B5712">
        <v>145875106.89437512</v>
      </c>
    </row>
    <row r="5713" spans="1:2" x14ac:dyDescent="0.25">
      <c r="A5713">
        <f ca="1">25693.5045084949*((RANDBETWEEN(2979,3282)))</f>
        <v>77260368.057044163</v>
      </c>
      <c r="B5713">
        <v>142998025.88680705</v>
      </c>
    </row>
    <row r="5714" spans="1:2" x14ac:dyDescent="0.25">
      <c r="A5714">
        <f ca="1">30738.7381178271*((RANDBETWEEN(2979,3282)))</f>
        <v>95628214.284560189</v>
      </c>
      <c r="B5714">
        <v>155269975.46491599</v>
      </c>
    </row>
    <row r="5715" spans="1:2" x14ac:dyDescent="0.25">
      <c r="A5715">
        <f ca="1">26262.4438103369*((RANDBETWEEN(2979,3282)))</f>
        <v>78656019.211959139</v>
      </c>
      <c r="B5715">
        <v>146814679.36189032</v>
      </c>
    </row>
    <row r="5716" spans="1:2" x14ac:dyDescent="0.25">
      <c r="A5716">
        <f ca="1">26964.9564322466*((RANDBETWEEN(2979,3282)))</f>
        <v>83861014.504287019</v>
      </c>
      <c r="B5716">
        <v>152303480.67708868</v>
      </c>
    </row>
    <row r="5717" spans="1:2" x14ac:dyDescent="0.25">
      <c r="A5717">
        <f ca="1">27192.2827962497*((RANDBETWEEN(2979,3282)))</f>
        <v>88130188.542645335</v>
      </c>
      <c r="B5717">
        <v>146089614.96976343</v>
      </c>
    </row>
    <row r="5718" spans="1:2" x14ac:dyDescent="0.25">
      <c r="A5718">
        <f ca="1">27639.1984290701*((RANDBETWEEN(2979,3282)))</f>
        <v>83663853.644795284</v>
      </c>
      <c r="B5718">
        <v>197127386.20032501</v>
      </c>
    </row>
    <row r="5719" spans="1:2" x14ac:dyDescent="0.25">
      <c r="A5719">
        <f ca="1">29247.759603374*((RANDBETWEEN(2979,3282)))</f>
        <v>95230705.268585593</v>
      </c>
      <c r="B5719">
        <v>201821483.63218498</v>
      </c>
    </row>
    <row r="5720" spans="1:2" x14ac:dyDescent="0.25">
      <c r="A5720">
        <f ca="1">28291.2890323324*((RANDBETWEEN(2979,3282)))</f>
        <v>90277503.302172765</v>
      </c>
      <c r="B5720">
        <v>153927590.96093246</v>
      </c>
    </row>
    <row r="5721" spans="1:2" x14ac:dyDescent="0.25">
      <c r="A5721">
        <f ca="1">25535.9462469213*((RANDBETWEEN(2979,3282)))</f>
        <v>83477008.281185746</v>
      </c>
      <c r="B5721">
        <v>153931147.0759142</v>
      </c>
    </row>
    <row r="5722" spans="1:2" x14ac:dyDescent="0.25">
      <c r="A5722">
        <f ca="1">27599.2187746774*((RANDBETWEEN(2979,3282)))</f>
        <v>84315613.356639564</v>
      </c>
      <c r="B5722">
        <v>155211387.90157723</v>
      </c>
    </row>
    <row r="5723" spans="1:2" x14ac:dyDescent="0.25">
      <c r="A5723">
        <f ca="1">27306.1779635273*((RANDBETWEEN(2979,3282)))</f>
        <v>82055064.780399665</v>
      </c>
      <c r="B5723">
        <v>176668733.6492694</v>
      </c>
    </row>
    <row r="5724" spans="1:2" x14ac:dyDescent="0.25">
      <c r="A5724">
        <f ca="1">27605.3906689041*((RANDBETWEEN(2979,3282)))</f>
        <v>83782360.680123836</v>
      </c>
      <c r="B5724">
        <v>181450320.72803292</v>
      </c>
    </row>
    <row r="5725" spans="1:2" x14ac:dyDescent="0.25">
      <c r="A5725">
        <f ca="1">26819.8926651439*((RANDBETWEEN(2979,3282)))</f>
        <v>80137839.283449858</v>
      </c>
      <c r="B5725">
        <v>159336467.16580966</v>
      </c>
    </row>
    <row r="5726" spans="1:2" x14ac:dyDescent="0.25">
      <c r="A5726">
        <f ca="1">30470.3318772903*((RANDBETWEEN(2979,3282)))</f>
        <v>93330626.540140197</v>
      </c>
      <c r="B5726">
        <v>178382207.6697278</v>
      </c>
    </row>
    <row r="5727" spans="1:2" x14ac:dyDescent="0.25">
      <c r="A5727">
        <f ca="1">26367.7225155515*((RANDBETWEEN(2979,3282)))</f>
        <v>86301555.793400005</v>
      </c>
      <c r="B5727">
        <v>155553368.50283614</v>
      </c>
    </row>
    <row r="5728" spans="1:2" x14ac:dyDescent="0.25">
      <c r="A5728">
        <f ca="1">31084.0313481034*((RANDBETWEEN(2979,3282)))</f>
        <v>101458278.32020961</v>
      </c>
      <c r="B5728">
        <v>164061743.54904929</v>
      </c>
    </row>
    <row r="5729" spans="1:2" x14ac:dyDescent="0.25">
      <c r="A5729">
        <f ca="1">27335.6340768175*((RANDBETWEEN(2979,3282)))</f>
        <v>86243925.512359083</v>
      </c>
      <c r="B5729">
        <v>165843233.95034152</v>
      </c>
    </row>
    <row r="5730" spans="1:2" x14ac:dyDescent="0.25">
      <c r="A5730">
        <f ca="1">29561.3763428022*((RANDBETWEEN(2979,3282)))</f>
        <v>95808420.727021843</v>
      </c>
      <c r="B5730">
        <v>155886965.8096512</v>
      </c>
    </row>
    <row r="5731" spans="1:2" x14ac:dyDescent="0.25">
      <c r="A5731">
        <f ca="1">32929.0946627728*((RANDBETWEEN(2979,3282)))</f>
        <v>101981406.1706074</v>
      </c>
      <c r="B5731">
        <v>168739734.41253263</v>
      </c>
    </row>
    <row r="5732" spans="1:2" x14ac:dyDescent="0.25">
      <c r="A5732">
        <f ca="1">30063.0252089177*((RANDBETWEEN(2979,3282)))</f>
        <v>98245966.38274312</v>
      </c>
      <c r="B5732">
        <v>143274955.28350145</v>
      </c>
    </row>
    <row r="5733" spans="1:2" x14ac:dyDescent="0.25">
      <c r="A5733">
        <f ca="1">28948.7275489725*((RANDBETWEEN(2979,3282)))</f>
        <v>94893928.905531764</v>
      </c>
      <c r="B5733">
        <v>171477532.33536598</v>
      </c>
    </row>
    <row r="5734" spans="1:2" x14ac:dyDescent="0.25">
      <c r="A5734">
        <f ca="1">26412.6318016013*((RANDBETWEEN(2979,3282)))</f>
        <v>80188750.149661452</v>
      </c>
      <c r="B5734">
        <v>147708348.51377383</v>
      </c>
    </row>
    <row r="5735" spans="1:2" x14ac:dyDescent="0.25">
      <c r="A5735">
        <f ca="1">28187.5781181949*((RANDBETWEEN(2979,3282)))</f>
        <v>85521112.010603324</v>
      </c>
      <c r="B5735">
        <v>169150038.92071</v>
      </c>
    </row>
    <row r="5736" spans="1:2" x14ac:dyDescent="0.25">
      <c r="A5736">
        <f ca="1">28047.4132236126*((RANDBETWEEN(2979,3282)))</f>
        <v>85516562.918794796</v>
      </c>
      <c r="B5736">
        <v>187000199.72121769</v>
      </c>
    </row>
    <row r="5737" spans="1:2" x14ac:dyDescent="0.25">
      <c r="A5737">
        <f ca="1">26624.1328829847*((RANDBETWEEN(2979,3282)))</f>
        <v>82614684.335901499</v>
      </c>
      <c r="B5737">
        <v>188862912.71491194</v>
      </c>
    </row>
    <row r="5738" spans="1:2" x14ac:dyDescent="0.25">
      <c r="A5738">
        <f ca="1">26715.7025588373*((RANDBETWEEN(2979,3282)))</f>
        <v>80253970.486747444</v>
      </c>
      <c r="B5738">
        <v>152713450.49982697</v>
      </c>
    </row>
    <row r="5739" spans="1:2" x14ac:dyDescent="0.25">
      <c r="A5739">
        <f ca="1">27480.5003917938*((RANDBETWEEN(2979,3282)))</f>
        <v>85766641.722788408</v>
      </c>
      <c r="B5739">
        <v>173970293.61512852</v>
      </c>
    </row>
    <row r="5740" spans="1:2" x14ac:dyDescent="0.25">
      <c r="A5740">
        <f ca="1">28216.7044979368*((RANDBETWEEN(2979,3282)))</f>
        <v>85722348.264732137</v>
      </c>
      <c r="B5740">
        <v>153183474.32585999</v>
      </c>
    </row>
    <row r="5741" spans="1:2" x14ac:dyDescent="0.25">
      <c r="A5741">
        <f ca="1">26428.4396582276*((RANDBETWEEN(2979,3282)))</f>
        <v>86050999.527188972</v>
      </c>
      <c r="B5741">
        <v>157194804.8862313</v>
      </c>
    </row>
    <row r="5742" spans="1:2" x14ac:dyDescent="0.25">
      <c r="A5742">
        <f ca="1">30964.179334796*((RANDBETWEEN(2979,3282)))</f>
        <v>97165594.752589867</v>
      </c>
      <c r="B5742">
        <v>160410038.32851145</v>
      </c>
    </row>
    <row r="5743" spans="1:2" x14ac:dyDescent="0.25">
      <c r="A5743">
        <f ca="1">27459.45414807*((RANDBETWEEN(2979,3282)))</f>
        <v>86607118.383012801</v>
      </c>
      <c r="B5743">
        <v>151888407.20243269</v>
      </c>
    </row>
    <row r="5744" spans="1:2" x14ac:dyDescent="0.25">
      <c r="A5744">
        <f ca="1">27908.2894856416*((RANDBETWEEN(2979,3282)))</f>
        <v>88608819.116912186</v>
      </c>
      <c r="B5744">
        <v>197988638.44281894</v>
      </c>
    </row>
    <row r="5745" spans="1:2" x14ac:dyDescent="0.25">
      <c r="A5745">
        <f ca="1">26645.3850711057*((RANDBETWEEN(2979,3282)))</f>
        <v>87370217.648155689</v>
      </c>
      <c r="B5745">
        <v>148973914.50518516</v>
      </c>
    </row>
    <row r="5746" spans="1:2" x14ac:dyDescent="0.25">
      <c r="A5746">
        <f ca="1">29265.3225913922*((RANDBETWEEN(2979,3282)))</f>
        <v>91044418.581821024</v>
      </c>
      <c r="B5746">
        <v>162144729.85596475</v>
      </c>
    </row>
    <row r="5747" spans="1:2" x14ac:dyDescent="0.25">
      <c r="A5747">
        <f ca="1">27622.2887401608*((RANDBETWEEN(2979,3282)))</f>
        <v>85076649.319695354</v>
      </c>
      <c r="B5747">
        <v>199165746.95381662</v>
      </c>
    </row>
    <row r="5748" spans="1:2" x14ac:dyDescent="0.25">
      <c r="A5748">
        <f ca="1">28490.0486465351*((RANDBETWEEN(2979,3282)))</f>
        <v>85327695.696372539</v>
      </c>
      <c r="B5748">
        <v>184988231.60765567</v>
      </c>
    </row>
    <row r="5749" spans="1:2" x14ac:dyDescent="0.25">
      <c r="A5749">
        <f ca="1">27337.4644726652*((RANDBETWEEN(2979,3282)))</f>
        <v>88354685.175654039</v>
      </c>
      <c r="B5749">
        <v>153472944.69096789</v>
      </c>
    </row>
    <row r="5750" spans="1:2" x14ac:dyDescent="0.25">
      <c r="A5750">
        <f ca="1">26813.4634878516*((RANDBETWEEN(2979,3282)))</f>
        <v>84516036.913708389</v>
      </c>
      <c r="B5750">
        <v>160109156.85431182</v>
      </c>
    </row>
    <row r="5751" spans="1:2" x14ac:dyDescent="0.25">
      <c r="A5751">
        <f ca="1">33832.5666682071*((RANDBETWEEN(2979,3282)))</f>
        <v>105117784.6381194</v>
      </c>
      <c r="B5751">
        <v>143366303.70188028</v>
      </c>
    </row>
    <row r="5752" spans="1:2" x14ac:dyDescent="0.25">
      <c r="A5752">
        <f ca="1">26474.9102384944*((RANDBETWEEN(2979,3282)))</f>
        <v>79345305.984767675</v>
      </c>
      <c r="B5752">
        <v>158700545.93424636</v>
      </c>
    </row>
    <row r="5753" spans="1:2" x14ac:dyDescent="0.25">
      <c r="A5753">
        <f ca="1">26933.3546190405*((RANDBETWEEN(2979,3282)))</f>
        <v>82200598.297311634</v>
      </c>
      <c r="B5753">
        <v>152429297.13250193</v>
      </c>
    </row>
    <row r="5754" spans="1:2" x14ac:dyDescent="0.25">
      <c r="A5754">
        <f ca="1">26821.601900348*((RANDBETWEEN(2979,3282)))</f>
        <v>83495646.715783328</v>
      </c>
      <c r="B5754">
        <v>144396563.17927414</v>
      </c>
    </row>
    <row r="5755" spans="1:2" x14ac:dyDescent="0.25">
      <c r="A5755">
        <f ca="1">27405.4308888911*((RANDBETWEEN(2979,3282)))</f>
        <v>82874023.008006647</v>
      </c>
      <c r="B5755">
        <v>170414049.29159558</v>
      </c>
    </row>
    <row r="5756" spans="1:2" x14ac:dyDescent="0.25">
      <c r="A5756">
        <f ca="1">31403.431240982*((RANDBETWEEN(2979,3282)))</f>
        <v>98072915.765586898</v>
      </c>
      <c r="B5756">
        <v>201903846.50583717</v>
      </c>
    </row>
    <row r="5757" spans="1:2" x14ac:dyDescent="0.25">
      <c r="A5757">
        <f ca="1">28491.0158877151*((RANDBETWEEN(2979,3282)))</f>
        <v>89860664.109853491</v>
      </c>
      <c r="B5757">
        <v>176024461.33050215</v>
      </c>
    </row>
    <row r="5758" spans="1:2" x14ac:dyDescent="0.25">
      <c r="A5758">
        <f ca="1">27073.3270502115*((RANDBETWEEN(2979,3282)))</f>
        <v>81436567.767036334</v>
      </c>
      <c r="B5758">
        <v>163213030.94220954</v>
      </c>
    </row>
    <row r="5759" spans="1:2" x14ac:dyDescent="0.25">
      <c r="A5759">
        <f ca="1">31630.3455758883*((RANDBETWEEN(2979,3282)))</f>
        <v>102893514.15836474</v>
      </c>
      <c r="B5759">
        <v>189807903.73578143</v>
      </c>
    </row>
    <row r="5760" spans="1:2" x14ac:dyDescent="0.25">
      <c r="A5760">
        <f ca="1">26662.9137657721*((RANDBETWEEN(2979,3282)))</f>
        <v>82255088.967406988</v>
      </c>
      <c r="B5760">
        <v>150220978.29985586</v>
      </c>
    </row>
    <row r="5761" spans="1:2" x14ac:dyDescent="0.25">
      <c r="A5761">
        <f ca="1">25800.9706402509*((RANDBETWEEN(2979,3282)))</f>
        <v>78615557.540844619</v>
      </c>
      <c r="B5761">
        <v>147711131.3406862</v>
      </c>
    </row>
    <row r="5762" spans="1:2" x14ac:dyDescent="0.25">
      <c r="A5762">
        <f ca="1">28826.20719651*((RANDBETWEEN(2979,3282)))</f>
        <v>92445646.479207456</v>
      </c>
      <c r="B5762">
        <v>143171283.0409869</v>
      </c>
    </row>
    <row r="5763" spans="1:2" x14ac:dyDescent="0.25">
      <c r="A5763">
        <f ca="1">26852.2391079126*((RANDBETWEEN(2979,3282)))</f>
        <v>84047508.407766491</v>
      </c>
      <c r="B5763">
        <v>162797268.92498469</v>
      </c>
    </row>
    <row r="5764" spans="1:2" x14ac:dyDescent="0.25">
      <c r="A5764">
        <f ca="1">29905.7287885435*((RANDBETWEEN(2979,3282)))</f>
        <v>89687280.636841848</v>
      </c>
      <c r="B5764">
        <v>191894479.72011554</v>
      </c>
    </row>
    <row r="5765" spans="1:2" x14ac:dyDescent="0.25">
      <c r="A5765">
        <f ca="1">28565.5507467831*((RANDBETWEEN(2979,3282)))</f>
        <v>86467922.110512406</v>
      </c>
      <c r="B5765">
        <v>190960831.12233359</v>
      </c>
    </row>
    <row r="5766" spans="1:2" x14ac:dyDescent="0.25">
      <c r="A5766">
        <f ca="1">26276.4627431359*((RANDBETWEEN(2979,3282)))</f>
        <v>78960770.543123335</v>
      </c>
      <c r="B5766">
        <v>167709792.13864303</v>
      </c>
    </row>
    <row r="5767" spans="1:2" x14ac:dyDescent="0.25">
      <c r="A5767">
        <f ca="1">26842.7817874027*((RANDBETWEEN(2979,3282)))</f>
        <v>88044324.262680948</v>
      </c>
      <c r="B5767">
        <v>170524913.06682888</v>
      </c>
    </row>
    <row r="5768" spans="1:2" x14ac:dyDescent="0.25">
      <c r="A5768">
        <f ca="1">27388.2146467027*((RANDBETWEEN(2979,3282)))</f>
        <v>82328973.227988183</v>
      </c>
      <c r="B5768">
        <v>143859438.36024264</v>
      </c>
    </row>
    <row r="5769" spans="1:2" x14ac:dyDescent="0.25">
      <c r="A5769">
        <f ca="1">26465.5156282838*((RANDBETWEEN(2979,3282)))</f>
        <v>83419305.260350555</v>
      </c>
      <c r="B5769">
        <v>166241489.15365881</v>
      </c>
    </row>
    <row r="5770" spans="1:2" x14ac:dyDescent="0.25">
      <c r="A5770">
        <f ca="1">27617.5179432405*((RANDBETWEEN(2979,3282)))</f>
        <v>83957254.547451213</v>
      </c>
      <c r="B5770">
        <v>166479132.43613639</v>
      </c>
    </row>
    <row r="5771" spans="1:2" x14ac:dyDescent="0.25">
      <c r="A5771">
        <f ca="1">32539.2287353953*((RANDBETWEEN(2979,3282)))</f>
        <v>104971551.90038508</v>
      </c>
      <c r="B5771">
        <v>173155947.57548872</v>
      </c>
    </row>
    <row r="5772" spans="1:2" x14ac:dyDescent="0.25">
      <c r="A5772">
        <f ca="1">26415.643524739*((RANDBETWEEN(2979,3282)))</f>
        <v>79035605.426019132</v>
      </c>
      <c r="B5772">
        <v>147070524.12225553</v>
      </c>
    </row>
    <row r="5773" spans="1:2" x14ac:dyDescent="0.25">
      <c r="A5773">
        <f ca="1">28621.6789338518*((RANDBETWEEN(2979,3282)))</f>
        <v>89757585.136559159</v>
      </c>
      <c r="B5773">
        <v>172854124.96182907</v>
      </c>
    </row>
    <row r="5774" spans="1:2" x14ac:dyDescent="0.25">
      <c r="A5774">
        <f ca="1">32707.3565122323*((RANDBETWEEN(2979,3282)))</f>
        <v>105154151.18682683</v>
      </c>
      <c r="B5774">
        <v>193888639.76239735</v>
      </c>
    </row>
    <row r="5775" spans="1:2" x14ac:dyDescent="0.25">
      <c r="A5775">
        <f ca="1">30405.9850148335*((RANDBETWEEN(2979,3282)))</f>
        <v>98789045.313193992</v>
      </c>
      <c r="B5775">
        <v>174831906.25507513</v>
      </c>
    </row>
    <row r="5776" spans="1:2" x14ac:dyDescent="0.25">
      <c r="A5776">
        <f ca="1">26903.481211695*((RANDBETWEEN(2979,3282)))</f>
        <v>81409934.146589041</v>
      </c>
      <c r="B5776">
        <v>159430453.37089556</v>
      </c>
    </row>
    <row r="5777" spans="1:2" x14ac:dyDescent="0.25">
      <c r="A5777">
        <f ca="1">29504.457144892*((RANDBETWEEN(2979,3282)))</f>
        <v>90313143.320514306</v>
      </c>
      <c r="B5777">
        <v>191352964.569976</v>
      </c>
    </row>
    <row r="5778" spans="1:2" x14ac:dyDescent="0.25">
      <c r="A5778">
        <f ca="1">26901.7981210646*((RANDBETWEEN(2979,3282)))</f>
        <v>82373305.846699938</v>
      </c>
      <c r="B5778">
        <v>151995929.75836244</v>
      </c>
    </row>
    <row r="5779" spans="1:2" x14ac:dyDescent="0.25">
      <c r="A5779">
        <f ca="1">26213.2995017053*((RANDBETWEEN(2979,3282)))</f>
        <v>80894242.262262434</v>
      </c>
      <c r="B5779">
        <v>159706582.10062343</v>
      </c>
    </row>
    <row r="5780" spans="1:2" x14ac:dyDescent="0.25">
      <c r="A5780">
        <f ca="1">27255.9854906171*((RANDBETWEEN(2979,3282)))</f>
        <v>82585636.036569923</v>
      </c>
      <c r="B5780">
        <v>145067147.8397142</v>
      </c>
    </row>
    <row r="5781" spans="1:2" x14ac:dyDescent="0.25">
      <c r="A5781">
        <f ca="1">33251.2988166285*((RANDBETWEEN(2979,3282)))</f>
        <v>105506371.14516218</v>
      </c>
      <c r="B5781">
        <v>198966888.30528715</v>
      </c>
    </row>
    <row r="5782" spans="1:2" x14ac:dyDescent="0.25">
      <c r="A5782">
        <f ca="1">25708.1413790662*((RANDBETWEEN(2979,3282)))</f>
        <v>83088712.937142</v>
      </c>
      <c r="B5782">
        <v>156606413.3889879</v>
      </c>
    </row>
    <row r="5783" spans="1:2" x14ac:dyDescent="0.25">
      <c r="A5783">
        <f ca="1">25664.968284823*((RANDBETWEEN(2979,3282)))</f>
        <v>79048102.317254871</v>
      </c>
      <c r="B5783">
        <v>149965718.42073205</v>
      </c>
    </row>
    <row r="5784" spans="1:2" x14ac:dyDescent="0.25">
      <c r="A5784">
        <f ca="1">31573.656078163*((RANDBETWEEN(2979,3282)))</f>
        <v>100814683.85757455</v>
      </c>
      <c r="B5784">
        <v>143029349.86802846</v>
      </c>
    </row>
    <row r="5785" spans="1:2" x14ac:dyDescent="0.25">
      <c r="A5785">
        <f ca="1">27806.1793550001*((RANDBETWEEN(2979,3282)))</f>
        <v>87533852.609540328</v>
      </c>
      <c r="B5785">
        <v>158225963.52241096</v>
      </c>
    </row>
    <row r="5786" spans="1:2" x14ac:dyDescent="0.25">
      <c r="A5786">
        <f ca="1">26424.1541819689*((RANDBETWEEN(2979,3282)))</f>
        <v>82443361.047743112</v>
      </c>
      <c r="B5786">
        <v>153347879.45208293</v>
      </c>
    </row>
    <row r="5787" spans="1:2" x14ac:dyDescent="0.25">
      <c r="A5787">
        <f ca="1">27222.3178681079*((RANDBETWEEN(2979,3282)))</f>
        <v>84198629.166057751</v>
      </c>
      <c r="B5787">
        <v>143792567.86423627</v>
      </c>
    </row>
    <row r="5788" spans="1:2" x14ac:dyDescent="0.25">
      <c r="A5788">
        <f ca="1">25770.5702684525*((RANDBETWEEN(2979,3282)))</f>
        <v>79167191.864686087</v>
      </c>
      <c r="B5788">
        <v>145634162.55659211</v>
      </c>
    </row>
    <row r="5789" spans="1:2" x14ac:dyDescent="0.25">
      <c r="A5789">
        <f ca="1">28291.4698273287*((RANDBETWEEN(2979,3282)))</f>
        <v>90278080.219005808</v>
      </c>
      <c r="B5789">
        <v>200928583.43128049</v>
      </c>
    </row>
    <row r="5790" spans="1:2" x14ac:dyDescent="0.25">
      <c r="A5790">
        <f ca="1">32430.7566184017*((RANDBETWEEN(2979,3282)))</f>
        <v>102221744.86120214</v>
      </c>
      <c r="B5790">
        <v>151245818.03092423</v>
      </c>
    </row>
    <row r="5791" spans="1:2" x14ac:dyDescent="0.25">
      <c r="A5791">
        <f ca="1">30238.1442449424*((RANDBETWEEN(2979,3282)))</f>
        <v>90200384.282663107</v>
      </c>
      <c r="B5791">
        <v>165754011.35982746</v>
      </c>
    </row>
    <row r="5792" spans="1:2" x14ac:dyDescent="0.25">
      <c r="A5792">
        <f ca="1">27159.5613796006*((RANDBETWEEN(2979,3282)))</f>
        <v>88268574.483701825</v>
      </c>
      <c r="B5792">
        <v>149375623.41169751</v>
      </c>
    </row>
    <row r="5793" spans="1:2" x14ac:dyDescent="0.25">
      <c r="A5793">
        <f ca="1">26647.3816460297*((RANDBETWEEN(2979,3282)))</f>
        <v>83326362.40713492</v>
      </c>
      <c r="B5793">
        <v>168958113.37381417</v>
      </c>
    </row>
    <row r="5794" spans="1:2" x14ac:dyDescent="0.25">
      <c r="A5794">
        <f ca="1">28891.3760848522*((RANDBETWEEN(2979,3282)))</f>
        <v>93521384.386666566</v>
      </c>
      <c r="B5794">
        <v>201880958.02516389</v>
      </c>
    </row>
    <row r="5795" spans="1:2" x14ac:dyDescent="0.25">
      <c r="A5795">
        <f ca="1">26255.3770309105*((RANDBETWEEN(2979,3282)))</f>
        <v>79343749.38741143</v>
      </c>
      <c r="B5795">
        <v>158137996.41075972</v>
      </c>
    </row>
    <row r="5796" spans="1:2" x14ac:dyDescent="0.25">
      <c r="A5796">
        <f ca="1">32168.3651466968*((RANDBETWEEN(2979,3282)))</f>
        <v>103099610.29516333</v>
      </c>
      <c r="B5796">
        <v>179367517.36965951</v>
      </c>
    </row>
    <row r="5797" spans="1:2" x14ac:dyDescent="0.25">
      <c r="A5797">
        <f ca="1">29396.7415746062*((RANDBETWEEN(2979,3282)))</f>
        <v>91512056.521749005</v>
      </c>
      <c r="B5797">
        <v>146012118.15579361</v>
      </c>
    </row>
    <row r="5798" spans="1:2" x14ac:dyDescent="0.25">
      <c r="A5798">
        <f ca="1">26559.0794739194*((RANDBETWEEN(2979,3282)))</f>
        <v>81270783.190193519</v>
      </c>
      <c r="B5798">
        <v>160218326.48593268</v>
      </c>
    </row>
    <row r="5799" spans="1:2" x14ac:dyDescent="0.25">
      <c r="A5799">
        <f ca="1">26506.3540655417*((RANDBETWEEN(2979,3282)))</f>
        <v>83760078.847111702</v>
      </c>
      <c r="B5799">
        <v>171757054.2828424</v>
      </c>
    </row>
    <row r="5800" spans="1:2" x14ac:dyDescent="0.25">
      <c r="A5800">
        <f ca="1">28359.1097615061*((RANDBETWEEN(2979,3282)))</f>
        <v>89132681.980413705</v>
      </c>
      <c r="B5800">
        <v>160269048.97561222</v>
      </c>
    </row>
    <row r="5801" spans="1:2" x14ac:dyDescent="0.25">
      <c r="A5801">
        <f ca="1">26092.2185535197*((RANDBETWEEN(2979,3282)))</f>
        <v>82921070.563085482</v>
      </c>
      <c r="B5801">
        <v>190989230.89856187</v>
      </c>
    </row>
    <row r="5802" spans="1:2" x14ac:dyDescent="0.25">
      <c r="A5802">
        <f ca="1">26159.8928913762*((RANDBETWEEN(2979,3282)))</f>
        <v>79656873.854240432</v>
      </c>
      <c r="B5802">
        <v>191854908.53949735</v>
      </c>
    </row>
    <row r="5803" spans="1:2" x14ac:dyDescent="0.25">
      <c r="A5803">
        <f ca="1">28623.7913597408*((RANDBETWEEN(2979,3282)))</f>
        <v>87617425.352166653</v>
      </c>
      <c r="B5803">
        <v>182093834.08710706</v>
      </c>
    </row>
    <row r="5804" spans="1:2" x14ac:dyDescent="0.25">
      <c r="A5804">
        <f ca="1">26363.0827618365*((RANDBETWEEN(2979,3282)))</f>
        <v>79721962.271793589</v>
      </c>
      <c r="B5804">
        <v>151868352.6934287</v>
      </c>
    </row>
    <row r="5805" spans="1:2" x14ac:dyDescent="0.25">
      <c r="A5805">
        <f ca="1">26522.0303083027*((RANDBETWEEN(2979,3282)))</f>
        <v>81369588.985872626</v>
      </c>
      <c r="B5805">
        <v>151697250.01608855</v>
      </c>
    </row>
    <row r="5806" spans="1:2" x14ac:dyDescent="0.25">
      <c r="A5806">
        <f ca="1">33362.0559868005*((RANDBETWEEN(2979,3282)))</f>
        <v>105891165.70210484</v>
      </c>
      <c r="B5806">
        <v>189706594.31811985</v>
      </c>
    </row>
    <row r="5807" spans="1:2" x14ac:dyDescent="0.25">
      <c r="A5807">
        <f ca="1">26597.1493154567*((RANDBETWEEN(2979,3282)))</f>
        <v>81121305.412142783</v>
      </c>
      <c r="B5807">
        <v>150393044.11140811</v>
      </c>
    </row>
    <row r="5808" spans="1:2" x14ac:dyDescent="0.25">
      <c r="A5808">
        <f ca="1">26887.1049802416*((RANDBETWEEN(2979,3282)))</f>
        <v>87571300.920646966</v>
      </c>
      <c r="B5808">
        <v>147288414.83173656</v>
      </c>
    </row>
    <row r="5809" spans="1:2" x14ac:dyDescent="0.25">
      <c r="A5809">
        <f ca="1">27536.3875263392*((RANDBETWEEN(2979,3282)))</f>
        <v>84123663.89296636</v>
      </c>
      <c r="B5809">
        <v>158499217.63798296</v>
      </c>
    </row>
    <row r="5810" spans="1:2" x14ac:dyDescent="0.25">
      <c r="A5810">
        <f ca="1">25941.0676055308*((RANDBETWEEN(2979,3282)))</f>
        <v>79172138.332080066</v>
      </c>
      <c r="B5810">
        <v>191517614.16907963</v>
      </c>
    </row>
    <row r="5811" spans="1:2" x14ac:dyDescent="0.25">
      <c r="A5811">
        <f ca="1">26433.4850812018*((RANDBETWEEN(2979,3282)))</f>
        <v>80939331.318639994</v>
      </c>
      <c r="B5811">
        <v>148196792.98226598</v>
      </c>
    </row>
    <row r="5812" spans="1:2" x14ac:dyDescent="0.25">
      <c r="A5812">
        <f ca="1">27472.0348440758*((RANDBETWEEN(2979,3282)))</f>
        <v>82196328.253474697</v>
      </c>
      <c r="B5812">
        <v>149154819.66573322</v>
      </c>
    </row>
    <row r="5813" spans="1:2" x14ac:dyDescent="0.25">
      <c r="A5813">
        <f ca="1">31763.9529403083*((RANDBETWEEN(2979,3282)))</f>
        <v>102534040.09131509</v>
      </c>
      <c r="B5813">
        <v>202781720.71378636</v>
      </c>
    </row>
    <row r="5814" spans="1:2" x14ac:dyDescent="0.25">
      <c r="A5814">
        <f ca="1">30529.8876058094*((RANDBETWEEN(2979,3282)))</f>
        <v>96840803.485627398</v>
      </c>
      <c r="B5814">
        <v>146360642.60848665</v>
      </c>
    </row>
    <row r="5815" spans="1:2" x14ac:dyDescent="0.25">
      <c r="A5815">
        <f ca="1">30618.051688279*((RANDBETWEEN(2979,3282)))</f>
        <v>92619606.357044011</v>
      </c>
      <c r="B5815">
        <v>173091723.59666497</v>
      </c>
    </row>
    <row r="5816" spans="1:2" x14ac:dyDescent="0.25">
      <c r="A5816">
        <f ca="1">27042.0054882227*((RANDBETWEEN(2979,3282)))</f>
        <v>80747428.387832925</v>
      </c>
      <c r="B5816">
        <v>172823642.59921989</v>
      </c>
    </row>
    <row r="5817" spans="1:2" x14ac:dyDescent="0.25">
      <c r="A5817">
        <f ca="1">31784.6251512327*((RANDBETWEEN(2979,3282)))</f>
        <v>96784183.585503489</v>
      </c>
      <c r="B5817">
        <v>171229972.04601386</v>
      </c>
    </row>
    <row r="5818" spans="1:2" x14ac:dyDescent="0.25">
      <c r="A5818">
        <f ca="1">28192.238377922*((RANDBETWEEN(2979,3282)))</f>
        <v>87706053.593715221</v>
      </c>
      <c r="B5818">
        <v>145787182.49177551</v>
      </c>
    </row>
    <row r="5819" spans="1:2" x14ac:dyDescent="0.25">
      <c r="A5819">
        <f ca="1">28283.6289154041*((RANDBETWEEN(2979,3282)))</f>
        <v>87537831.493175641</v>
      </c>
      <c r="B5819">
        <v>195386297.8098101</v>
      </c>
    </row>
    <row r="5820" spans="1:2" x14ac:dyDescent="0.25">
      <c r="A5820">
        <f ca="1">26352.1895499437*((RANDBETWEEN(2979,3282)))</f>
        <v>79583612.440830112</v>
      </c>
      <c r="B5820">
        <v>152319719.58634704</v>
      </c>
    </row>
    <row r="5821" spans="1:2" x14ac:dyDescent="0.25">
      <c r="A5821">
        <f ca="1">32261.9937697283*((RANDBETWEEN(2979,3282)))</f>
        <v>98399080.997671336</v>
      </c>
      <c r="B5821">
        <v>180577986.75287709</v>
      </c>
    </row>
    <row r="5822" spans="1:2" x14ac:dyDescent="0.25">
      <c r="A5822">
        <f ca="1">27906.4476990981*((RANDBETWEEN(2979,3282)))</f>
        <v>91421522.662245408</v>
      </c>
      <c r="B5822">
        <v>178104647.42782253</v>
      </c>
    </row>
    <row r="5823" spans="1:2" x14ac:dyDescent="0.25">
      <c r="A5823">
        <f ca="1">28824.3059973707*((RANDBETWEEN(2979,3282)))</f>
        <v>92295427.803580925</v>
      </c>
      <c r="B5823">
        <v>199180895.51213554</v>
      </c>
    </row>
    <row r="5824" spans="1:2" x14ac:dyDescent="0.25">
      <c r="A5824">
        <f ca="1">29937.3470342103*((RANDBETWEEN(2979,3282)))</f>
        <v>94991202.13954933</v>
      </c>
      <c r="B5824">
        <v>194067587.70794505</v>
      </c>
    </row>
    <row r="5825" spans="1:2" x14ac:dyDescent="0.25">
      <c r="A5825">
        <f ca="1">29024.2419881622*((RANDBETWEEN(2979,3282)))</f>
        <v>93341962.233929664</v>
      </c>
      <c r="B5825">
        <v>167223254.13804823</v>
      </c>
    </row>
    <row r="5826" spans="1:2" x14ac:dyDescent="0.25">
      <c r="A5826">
        <f ca="1">27853.4511172113*((RANDBETWEEN(2979,3282)))</f>
        <v>89604552.244068787</v>
      </c>
      <c r="B5826">
        <v>145375981.67355919</v>
      </c>
    </row>
    <row r="5827" spans="1:2" x14ac:dyDescent="0.25">
      <c r="A5827">
        <f ca="1">26613.1646075056*((RANDBETWEEN(2979,3282)))</f>
        <v>79972559.645554349</v>
      </c>
      <c r="B5827">
        <v>180855314.43555805</v>
      </c>
    </row>
    <row r="5828" spans="1:2" x14ac:dyDescent="0.25">
      <c r="A5828">
        <f ca="1">26566.2439676959*((RANDBETWEEN(2979,3282)))</f>
        <v>86526256.602785677</v>
      </c>
      <c r="B5828">
        <v>147218430.99100477</v>
      </c>
    </row>
    <row r="5829" spans="1:2" x14ac:dyDescent="0.25">
      <c r="A5829">
        <f ca="1">26616.1451311389*((RANDBETWEEN(2979,3282)))</f>
        <v>84639341.517021686</v>
      </c>
      <c r="B5829">
        <v>198667836.63254941</v>
      </c>
    </row>
    <row r="5830" spans="1:2" x14ac:dyDescent="0.25">
      <c r="A5830">
        <f ca="1">27052.8906062694*((RANDBETWEEN(2979,3282)))</f>
        <v>84594388.925804526</v>
      </c>
      <c r="B5830">
        <v>152612470.26661396</v>
      </c>
    </row>
    <row r="5831" spans="1:2" x14ac:dyDescent="0.25">
      <c r="A5831">
        <f ca="1">28624.8237104849*((RANDBETWEEN(2979,3282)))</f>
        <v>90855190.457079172</v>
      </c>
      <c r="B5831">
        <v>154485211.86770347</v>
      </c>
    </row>
    <row r="5832" spans="1:2" x14ac:dyDescent="0.25">
      <c r="A5832">
        <f ca="1">28527.9888663782*((RANDBETWEEN(2979,3282)))</f>
        <v>90490780.684151664</v>
      </c>
      <c r="B5832">
        <v>173301811.64673167</v>
      </c>
    </row>
    <row r="5833" spans="1:2" x14ac:dyDescent="0.25">
      <c r="A5833">
        <f ca="1">29557.4009635341*((RANDBETWEEN(2979,3282)))</f>
        <v>93637846.252476111</v>
      </c>
      <c r="B5833">
        <v>143381435.31546599</v>
      </c>
    </row>
    <row r="5834" spans="1:2" x14ac:dyDescent="0.25">
      <c r="A5834">
        <f ca="1">29463.5348268048*((RANDBETWEEN(2979,3282)))</f>
        <v>89952171.826234937</v>
      </c>
      <c r="B5834">
        <v>165065798.31200647</v>
      </c>
    </row>
    <row r="5835" spans="1:2" x14ac:dyDescent="0.25">
      <c r="A5835">
        <f ca="1">26027.0219151932*((RANDBETWEEN(2979,3282)))</f>
        <v>80839930.068590119</v>
      </c>
      <c r="B5835">
        <v>147130123.61905673</v>
      </c>
    </row>
    <row r="5836" spans="1:2" x14ac:dyDescent="0.25">
      <c r="A5836">
        <f ca="1">29670.1458780028*((RANDBETWEEN(2979,3282)))</f>
        <v>89811531.572714537</v>
      </c>
      <c r="B5836">
        <v>186697399.14083815</v>
      </c>
    </row>
    <row r="5837" spans="1:2" x14ac:dyDescent="0.25">
      <c r="A5837">
        <f ca="1">29130.6152691135*((RANDBETWEEN(2979,3282)))</f>
        <v>93334491.322239622</v>
      </c>
      <c r="B5837">
        <v>198316894.74402285</v>
      </c>
    </row>
    <row r="5838" spans="1:2" x14ac:dyDescent="0.25">
      <c r="A5838">
        <f ca="1">28208.4426494779*((RANDBETWEEN(2979,3282)))</f>
        <v>88518093.034061804</v>
      </c>
      <c r="B5838">
        <v>188960499.5964576</v>
      </c>
    </row>
    <row r="5839" spans="1:2" x14ac:dyDescent="0.25">
      <c r="A5839">
        <f ca="1">27239.1644090793*((RANDBETWEEN(2979,3282)))</f>
        <v>88963110.960052863</v>
      </c>
      <c r="B5839">
        <v>173843710.17482638</v>
      </c>
    </row>
    <row r="5840" spans="1:2" x14ac:dyDescent="0.25">
      <c r="A5840">
        <f ca="1">27749.9800854952*((RANDBETWEEN(2979,3282)))</f>
        <v>85358938.742983252</v>
      </c>
      <c r="B5840">
        <v>176074247.5545032</v>
      </c>
    </row>
    <row r="5841" spans="1:2" x14ac:dyDescent="0.25">
      <c r="A5841">
        <f ca="1">26304.8681012271*((RANDBETWEEN(2979,3282)))</f>
        <v>78651555.622668967</v>
      </c>
      <c r="B5841">
        <v>164980448.74171638</v>
      </c>
    </row>
    <row r="5842" spans="1:2" x14ac:dyDescent="0.25">
      <c r="A5842">
        <f ca="1">26211.9355897423*((RANDBETWEEN(2979,3282)))</f>
        <v>80156099.033431917</v>
      </c>
      <c r="B5842">
        <v>165681326.4068293</v>
      </c>
    </row>
    <row r="5843" spans="1:2" x14ac:dyDescent="0.25">
      <c r="A5843">
        <f ca="1">28210.0393794096*((RANDBETWEEN(2979,3282)))</f>
        <v>88015322.863757953</v>
      </c>
      <c r="B5843">
        <v>192618499.12135616</v>
      </c>
    </row>
    <row r="5844" spans="1:2" x14ac:dyDescent="0.25">
      <c r="A5844">
        <f ca="1">28264.5500848705*((RANDBETWEEN(2979,3282)))</f>
        <v>87535311.612844095</v>
      </c>
      <c r="B5844">
        <v>172201554.7545909</v>
      </c>
    </row>
    <row r="5845" spans="1:2" x14ac:dyDescent="0.25">
      <c r="A5845">
        <f ca="1">29092.2534056498*((RANDBETWEEN(2979,3282)))</f>
        <v>90796922.879033089</v>
      </c>
      <c r="B5845">
        <v>194793235.96424851</v>
      </c>
    </row>
    <row r="5846" spans="1:2" x14ac:dyDescent="0.25">
      <c r="A5846">
        <f ca="1">31826.8156923056*((RANDBETWEEN(2979,3282)))</f>
        <v>102832441.50183927</v>
      </c>
      <c r="B5846">
        <v>170106073.93445313</v>
      </c>
    </row>
    <row r="5847" spans="1:2" x14ac:dyDescent="0.25">
      <c r="A5847">
        <f ca="1">31326.2025480991*((RANDBETWEEN(2979,3282)))</f>
        <v>94636457.8978073</v>
      </c>
      <c r="B5847">
        <v>164265066.9004423</v>
      </c>
    </row>
    <row r="5848" spans="1:2" x14ac:dyDescent="0.25">
      <c r="A5848">
        <f ca="1">28835.2373441288*((RANDBETWEEN(2979,3282)))</f>
        <v>87370769.152710259</v>
      </c>
      <c r="B5848">
        <v>154019832.07883179</v>
      </c>
    </row>
    <row r="5849" spans="1:2" x14ac:dyDescent="0.25">
      <c r="A5849">
        <f ca="1">31528.3269805259*((RANDBETWEEN(2979,3282)))</f>
        <v>98179210.21735765</v>
      </c>
      <c r="B5849">
        <v>145164504.56821153</v>
      </c>
    </row>
    <row r="5850" spans="1:2" x14ac:dyDescent="0.25">
      <c r="A5850">
        <f ca="1">33027.8177536687*((RANDBETWEEN(2979,3282)))</f>
        <v>104301848.46608564</v>
      </c>
      <c r="B5850">
        <v>162514570.3357521</v>
      </c>
    </row>
    <row r="5851" spans="1:2" x14ac:dyDescent="0.25">
      <c r="A5851">
        <f ca="1">30240.3170956841*((RANDBETWEEN(2979,3282)))</f>
        <v>94531231.241108507</v>
      </c>
      <c r="B5851">
        <v>183811504.9860695</v>
      </c>
    </row>
    <row r="5852" spans="1:2" x14ac:dyDescent="0.25">
      <c r="A5852">
        <f ca="1">27384.5604892265*((RANDBETWEEN(2979,3282)))</f>
        <v>83522909.492140964</v>
      </c>
      <c r="B5852">
        <v>191438681.69626641</v>
      </c>
    </row>
    <row r="5853" spans="1:2" x14ac:dyDescent="0.25">
      <c r="A5853">
        <f ca="1">25411.3054188465*((RANDBETWEEN(2979,3282)))</f>
        <v>83044146.108790308</v>
      </c>
      <c r="B5853">
        <v>143535098.40019935</v>
      </c>
    </row>
    <row r="5854" spans="1:2" x14ac:dyDescent="0.25">
      <c r="A5854">
        <f ca="1">26658.3259712126*((RANDBETWEEN(2979,3282)))</f>
        <v>81734427.427737698</v>
      </c>
      <c r="B5854">
        <v>178649415.81802019</v>
      </c>
    </row>
    <row r="5855" spans="1:2" x14ac:dyDescent="0.25">
      <c r="A5855">
        <f ca="1">26223.6296706871*((RANDBETWEEN(2979,3282)))</f>
        <v>80270530.421973184</v>
      </c>
      <c r="B5855">
        <v>160829122.9703024</v>
      </c>
    </row>
    <row r="5856" spans="1:2" x14ac:dyDescent="0.25">
      <c r="A5856">
        <f ca="1">26318.3408765115*((RANDBETWEEN(2979,3282)))</f>
        <v>84981922.690255597</v>
      </c>
      <c r="B5856">
        <v>160591414.64351159</v>
      </c>
    </row>
    <row r="5857" spans="1:2" x14ac:dyDescent="0.25">
      <c r="A5857">
        <f ca="1">26289.1898635771*((RANDBETWEEN(2979,3282)))</f>
        <v>78893858.780595005</v>
      </c>
      <c r="B5857">
        <v>153234443.69488049</v>
      </c>
    </row>
    <row r="5858" spans="1:2" x14ac:dyDescent="0.25">
      <c r="A5858">
        <f ca="1">29340.2060486555*((RANDBETWEEN(2979,3282)))</f>
        <v>88225999.588307187</v>
      </c>
      <c r="B5858">
        <v>163693961.53183824</v>
      </c>
    </row>
    <row r="5859" spans="1:2" x14ac:dyDescent="0.25">
      <c r="A5859">
        <f ca="1">30416.4310461729*((RANDBETWEEN(2979,3282)))</f>
        <v>95994256.381721646</v>
      </c>
      <c r="B5859">
        <v>176728706.33535612</v>
      </c>
    </row>
    <row r="5860" spans="1:2" x14ac:dyDescent="0.25">
      <c r="A5860">
        <f ca="1">29060.6226361985*((RANDBETWEEN(2979,3282)))</f>
        <v>87734019.738683268</v>
      </c>
      <c r="B5860">
        <v>188573005.4292773</v>
      </c>
    </row>
    <row r="5861" spans="1:2" x14ac:dyDescent="0.25">
      <c r="A5861">
        <f ca="1">26195.3104179478*((RANDBETWEEN(2979,3282)))</f>
        <v>78821689.047604844</v>
      </c>
      <c r="B5861">
        <v>188468217.75918168</v>
      </c>
    </row>
    <row r="5862" spans="1:2" x14ac:dyDescent="0.25">
      <c r="A5862">
        <f ca="1">28707.6648463868*((RANDBETWEEN(2979,3282)))</f>
        <v>88850222.699567094</v>
      </c>
      <c r="B5862">
        <v>176197669.77213365</v>
      </c>
    </row>
    <row r="5863" spans="1:2" x14ac:dyDescent="0.25">
      <c r="A5863">
        <f ca="1">32781.8596499654*((RANDBETWEEN(2979,3282)))</f>
        <v>101722110.49384256</v>
      </c>
      <c r="B5863">
        <v>161075823.21259034</v>
      </c>
    </row>
    <row r="5864" spans="1:2" x14ac:dyDescent="0.25">
      <c r="A5864">
        <f ca="1">26988.2570543948*((RANDBETWEEN(2979,3282)))</f>
        <v>84311315.037929416</v>
      </c>
      <c r="B5864">
        <v>176610512.84325957</v>
      </c>
    </row>
    <row r="5865" spans="1:2" x14ac:dyDescent="0.25">
      <c r="A5865">
        <f ca="1">28283.3573983181*((RANDBETWEEN(2979,3282)))</f>
        <v>92514862.049898371</v>
      </c>
      <c r="B5865">
        <v>190433010.06582838</v>
      </c>
    </row>
    <row r="5866" spans="1:2" x14ac:dyDescent="0.25">
      <c r="A5866">
        <f ca="1">27118.6671563193*((RANDBETWEEN(2979,3282)))</f>
        <v>83308545.504212767</v>
      </c>
      <c r="B5866">
        <v>145158589.40912715</v>
      </c>
    </row>
    <row r="5867" spans="1:2" x14ac:dyDescent="0.25">
      <c r="A5867">
        <f ca="1">26569.6326333366*((RANDBETWEEN(2979,3282)))</f>
        <v>84332013.978210241</v>
      </c>
      <c r="B5867">
        <v>157732610.17512926</v>
      </c>
    </row>
    <row r="5868" spans="1:2" x14ac:dyDescent="0.25">
      <c r="A5868">
        <f ca="1">26221.1836182164*((RANDBETWEEN(2979,3282)))</f>
        <v>78820877.956358418</v>
      </c>
      <c r="B5868">
        <v>158475661.89646587</v>
      </c>
    </row>
    <row r="5869" spans="1:2" x14ac:dyDescent="0.25">
      <c r="A5869">
        <f ca="1">26634.4117173109*((RANDBETWEEN(2979,3282)))</f>
        <v>86215590.72893551</v>
      </c>
      <c r="B5869">
        <v>170030172.34689423</v>
      </c>
    </row>
    <row r="5870" spans="1:2" x14ac:dyDescent="0.25">
      <c r="A5870">
        <f ca="1">28407.2215550317*((RANDBETWEEN(2979,3282)))</f>
        <v>91499660.628757045</v>
      </c>
      <c r="B5870">
        <v>167549941.83067751</v>
      </c>
    </row>
    <row r="5871" spans="1:2" x14ac:dyDescent="0.25">
      <c r="A5871">
        <f ca="1">31203.1222633307*((RANDBETWEEN(2979,3282)))</f>
        <v>99007506.941548422</v>
      </c>
      <c r="B5871">
        <v>169219233.62384298</v>
      </c>
    </row>
    <row r="5872" spans="1:2" x14ac:dyDescent="0.25">
      <c r="A5872">
        <f ca="1">32897.3320679872*((RANDBETWEEN(2979,3282)))</f>
        <v>99251250.849117368</v>
      </c>
      <c r="B5872">
        <v>159143752.1097416</v>
      </c>
    </row>
    <row r="5873" spans="1:2" x14ac:dyDescent="0.25">
      <c r="A5873">
        <f ca="1">26577.1158787246*((RANDBETWEEN(2979,3282)))</f>
        <v>81086780.545988724</v>
      </c>
      <c r="B5873">
        <v>160177272.49991888</v>
      </c>
    </row>
    <row r="5874" spans="1:2" x14ac:dyDescent="0.25">
      <c r="A5874">
        <f ca="1">27953.278883699*((RANDBETWEEN(2979,3282)))</f>
        <v>91155642.439742506</v>
      </c>
      <c r="B5874">
        <v>183469766.66575015</v>
      </c>
    </row>
    <row r="5875" spans="1:2" x14ac:dyDescent="0.25">
      <c r="A5875">
        <f ca="1">28245.6827095584*((RANDBETWEEN(2979,3282)))</f>
        <v>90922852.642068431</v>
      </c>
      <c r="B5875">
        <v>188780820.33254576</v>
      </c>
    </row>
    <row r="5876" spans="1:2" x14ac:dyDescent="0.25">
      <c r="A5876">
        <f ca="1">27939.7616491146*((RANDBETWEEN(2979,3282)))</f>
        <v>90468948.219832987</v>
      </c>
      <c r="B5876">
        <v>164662295.73164564</v>
      </c>
    </row>
    <row r="5877" spans="1:2" x14ac:dyDescent="0.25">
      <c r="A5877">
        <f ca="1">28059.9688482245*((RANDBETWEEN(2979,3282)))</f>
        <v>92036697.822176293</v>
      </c>
      <c r="B5877">
        <v>191568017.03008896</v>
      </c>
    </row>
    <row r="5878" spans="1:2" x14ac:dyDescent="0.25">
      <c r="A5878">
        <f ca="1">26945.9969264195*((RANDBETWEEN(2979,3282)))</f>
        <v>87116408.063114315</v>
      </c>
      <c r="B5878">
        <v>162208598.00238609</v>
      </c>
    </row>
    <row r="5879" spans="1:2" x14ac:dyDescent="0.25">
      <c r="A5879">
        <f ca="1">26394.2114659961*((RANDBETWEEN(2979,3282)))</f>
        <v>79024269.129192397</v>
      </c>
      <c r="B5879">
        <v>188169061.81501174</v>
      </c>
    </row>
    <row r="5880" spans="1:2" x14ac:dyDescent="0.25">
      <c r="A5880">
        <f ca="1">26325.7563691775*((RANDBETWEEN(2979,3282)))</f>
        <v>81478215.962604478</v>
      </c>
      <c r="B5880">
        <v>184331484.60107049</v>
      </c>
    </row>
    <row r="5881" spans="1:2" x14ac:dyDescent="0.25">
      <c r="A5881">
        <f ca="1">27576.3713489169*((RANDBETWEEN(2979,3282)))</f>
        <v>88740763.000814438</v>
      </c>
      <c r="B5881">
        <v>155298680.13154849</v>
      </c>
    </row>
    <row r="5882" spans="1:2" x14ac:dyDescent="0.25">
      <c r="A5882">
        <f ca="1">27660.0249759821*((RANDBETWEEN(2979,3282)))</f>
        <v>89120600.472614184</v>
      </c>
      <c r="B5882">
        <v>170017912.15044084</v>
      </c>
    </row>
    <row r="5883" spans="1:2" x14ac:dyDescent="0.25">
      <c r="A5883">
        <f ca="1">26857.7176558145*((RANDBETWEEN(2979,3282)))</f>
        <v>85541830.733769119</v>
      </c>
      <c r="B5883">
        <v>167128414.3036364</v>
      </c>
    </row>
    <row r="5884" spans="1:2" x14ac:dyDescent="0.25">
      <c r="A5884">
        <f ca="1">28514.8824141518*((RANDBETWEEN(2979,3282)))</f>
        <v>89451186.133194163</v>
      </c>
      <c r="B5884">
        <v>197913330.93016917</v>
      </c>
    </row>
    <row r="5885" spans="1:2" x14ac:dyDescent="0.25">
      <c r="A5885">
        <f ca="1">26490.6541452318*((RANDBETWEEN(2979,3282)))</f>
        <v>82703822.241413519</v>
      </c>
      <c r="B5885">
        <v>149403181.57176334</v>
      </c>
    </row>
    <row r="5886" spans="1:2" x14ac:dyDescent="0.25">
      <c r="A5886">
        <f ca="1">27701.0566934157*((RANDBETWEEN(2979,3282)))</f>
        <v>84017304.951129764</v>
      </c>
      <c r="B5886">
        <v>153088916.0609135</v>
      </c>
    </row>
    <row r="5887" spans="1:2" x14ac:dyDescent="0.25">
      <c r="A5887">
        <f ca="1">26974.4601051798*((RANDBETWEEN(2979,3282)))</f>
        <v>87019608.299310118</v>
      </c>
      <c r="B5887">
        <v>197475769.67546439</v>
      </c>
    </row>
    <row r="5888" spans="1:2" x14ac:dyDescent="0.25">
      <c r="A5888">
        <f ca="1">27135.289686824*((RANDBETWEEN(2979,3282)))</f>
        <v>86181680.045352921</v>
      </c>
      <c r="B5888">
        <v>143965966.34498459</v>
      </c>
    </row>
    <row r="5889" spans="1:2" x14ac:dyDescent="0.25">
      <c r="A5889">
        <f ca="1">27657.0702298356*((RANDBETWEEN(2979,3282)))</f>
        <v>85653946.501800939</v>
      </c>
      <c r="B5889">
        <v>192927825.73345357</v>
      </c>
    </row>
    <row r="5890" spans="1:2" x14ac:dyDescent="0.25">
      <c r="A5890">
        <f ca="1">31161.057151551*((RANDBETWEEN(2979,3282)))</f>
        <v>95882572.85532254</v>
      </c>
      <c r="B5890">
        <v>149141310.35211855</v>
      </c>
    </row>
    <row r="5891" spans="1:2" x14ac:dyDescent="0.25">
      <c r="A5891">
        <f ca="1">29330.7331919373*((RANDBETWEEN(2979,3282)))</f>
        <v>93711692.548239589</v>
      </c>
      <c r="B5891">
        <v>176423133.05801851</v>
      </c>
    </row>
    <row r="5892" spans="1:2" x14ac:dyDescent="0.25">
      <c r="A5892">
        <f ca="1">26400.0890682349*((RANDBETWEEN(2979,3282)))</f>
        <v>86064290.362445816</v>
      </c>
      <c r="B5892">
        <v>153013377.69554281</v>
      </c>
    </row>
    <row r="5893" spans="1:2" x14ac:dyDescent="0.25">
      <c r="A5893">
        <f ca="1">27050.3306507681*((RANDBETWEEN(2979,3282)))</f>
        <v>84180628.985190243</v>
      </c>
      <c r="B5893">
        <v>196237330.66105774</v>
      </c>
    </row>
    <row r="5894" spans="1:2" x14ac:dyDescent="0.25">
      <c r="A5894">
        <f ca="1">25528.2620481957*((RANDBETWEEN(2979,3282)))</f>
        <v>82660512.512057677</v>
      </c>
      <c r="B5894">
        <v>145736062.53172314</v>
      </c>
    </row>
    <row r="5895" spans="1:2" x14ac:dyDescent="0.25">
      <c r="A5895">
        <f ca="1">25221.9284814266*((RANDBETWEEN(2979,3282)))</f>
        <v>79524740.50193812</v>
      </c>
      <c r="B5895">
        <v>160750838.94717619</v>
      </c>
    </row>
    <row r="5896" spans="1:2" x14ac:dyDescent="0.25">
      <c r="A5896">
        <f ca="1">25487.6413836548*((RANDBETWEEN(2979,3282)))</f>
        <v>83115198.552098304</v>
      </c>
      <c r="B5896">
        <v>162631099.32396641</v>
      </c>
    </row>
    <row r="5897" spans="1:2" x14ac:dyDescent="0.25">
      <c r="A5897">
        <f ca="1">29259.8831820078*((RANDBETWEEN(2979,3282)))</f>
        <v>95826117.421075687</v>
      </c>
      <c r="B5897">
        <v>163742602.37052003</v>
      </c>
    </row>
    <row r="5898" spans="1:2" x14ac:dyDescent="0.25">
      <c r="A5898">
        <f ca="1">28945.2224432779*((RANDBETWEEN(2979,3282)))</f>
        <v>93348342.379571289</v>
      </c>
      <c r="B5898">
        <v>199294863.58604437</v>
      </c>
    </row>
    <row r="5899" spans="1:2" x14ac:dyDescent="0.25">
      <c r="A5899">
        <f ca="1">28023.716580704*((RANDBETWEEN(2979,3282)))</f>
        <v>83678817.709982187</v>
      </c>
      <c r="B5899">
        <v>185522803.82579926</v>
      </c>
    </row>
    <row r="5900" spans="1:2" x14ac:dyDescent="0.25">
      <c r="A5900">
        <f ca="1">26142.7072533277*((RANDBETWEEN(2979,3282)))</f>
        <v>81617532.044889018</v>
      </c>
      <c r="B5900">
        <v>173006838.81568193</v>
      </c>
    </row>
    <row r="5901" spans="1:2" x14ac:dyDescent="0.25">
      <c r="A5901">
        <f ca="1">28729.3473717171*((RANDBETWEEN(2979,3282)))</f>
        <v>87394674.704763547</v>
      </c>
      <c r="B5901">
        <v>184887505.91338524</v>
      </c>
    </row>
    <row r="5902" spans="1:2" x14ac:dyDescent="0.25">
      <c r="A5902">
        <f ca="1">27979.0879463073*((RANDBETWEEN(2979,3282)))</f>
        <v>87070921.688908398</v>
      </c>
      <c r="B5902">
        <v>144197061.42034507</v>
      </c>
    </row>
    <row r="5903" spans="1:2" x14ac:dyDescent="0.25">
      <c r="A5903">
        <f ca="1">26788.7566150619*((RANDBETWEEN(2979,3282)))</f>
        <v>80312692.331955448</v>
      </c>
      <c r="B5903">
        <v>162067418.70127109</v>
      </c>
    </row>
    <row r="5904" spans="1:2" x14ac:dyDescent="0.25">
      <c r="A5904">
        <f ca="1">30738.8542654294*((RANDBETWEEN(2979,3282)))</f>
        <v>98087683.960985109</v>
      </c>
      <c r="B5904">
        <v>149035150.76301485</v>
      </c>
    </row>
    <row r="5905" spans="1:2" x14ac:dyDescent="0.25">
      <c r="A5905">
        <f ca="1">26794.9711205911*((RANDBETWEEN(2979,3282)))</f>
        <v>82448126.138058946</v>
      </c>
      <c r="B5905">
        <v>172527452.91370237</v>
      </c>
    </row>
    <row r="5906" spans="1:2" x14ac:dyDescent="0.25">
      <c r="A5906">
        <f ca="1">27591.1956495627*((RANDBETWEEN(2979,3282)))</f>
        <v>84842926.622405291</v>
      </c>
      <c r="B5906">
        <v>185847813.01780599</v>
      </c>
    </row>
    <row r="5907" spans="1:2" x14ac:dyDescent="0.25">
      <c r="A5907">
        <f ca="1">34507.7225424953*((RANDBETWEEN(2979,3282)))</f>
        <v>104420368.41359067</v>
      </c>
      <c r="B5907">
        <v>198005605.61538601</v>
      </c>
    </row>
    <row r="5908" spans="1:2" x14ac:dyDescent="0.25">
      <c r="A5908">
        <f ca="1">26421.3611441255*((RANDBETWEEN(2979,3282)))</f>
        <v>79792510.655259117</v>
      </c>
      <c r="B5908">
        <v>145036179.88146949</v>
      </c>
    </row>
    <row r="5909" spans="1:2" x14ac:dyDescent="0.25">
      <c r="A5909">
        <f ca="1">26519.1358419443*((RANDBETWEEN(2979,3282)))</f>
        <v>80936402.589613914</v>
      </c>
      <c r="B5909">
        <v>142899507.18472415</v>
      </c>
    </row>
    <row r="5910" spans="1:2" x14ac:dyDescent="0.25">
      <c r="A5910">
        <f ca="1">29082.8325218192*((RANDBETWEEN(2979,3282)))</f>
        <v>93443140.892605096</v>
      </c>
      <c r="B5910">
        <v>144210004.6921283</v>
      </c>
    </row>
    <row r="5911" spans="1:2" x14ac:dyDescent="0.25">
      <c r="A5911">
        <f ca="1">30533.939418654*((RANDBETWEEN(2979,3282)))</f>
        <v>95571230.380386859</v>
      </c>
      <c r="B5911">
        <v>156297989.17523557</v>
      </c>
    </row>
    <row r="5912" spans="1:2" x14ac:dyDescent="0.25">
      <c r="A5912">
        <f ca="1">27644.9532405449*((RANDBETWEEN(2979,3282)))</f>
        <v>86252254.110499963</v>
      </c>
      <c r="B5912">
        <v>161046260.54304454</v>
      </c>
    </row>
    <row r="5913" spans="1:2" x14ac:dyDescent="0.25">
      <c r="A5913">
        <f ca="1">26324.6745499015*((RANDBETWEEN(2979,3282)))</f>
        <v>80711452.16999799</v>
      </c>
      <c r="B5913">
        <v>159362524.25939935</v>
      </c>
    </row>
    <row r="5914" spans="1:2" x14ac:dyDescent="0.25">
      <c r="A5914">
        <f ca="1">29522.560218137*((RANDBETWEEN(2979,3282)))</f>
        <v>92641793.964513958</v>
      </c>
      <c r="B5914">
        <v>170869387.20118266</v>
      </c>
    </row>
    <row r="5915" spans="1:2" x14ac:dyDescent="0.25">
      <c r="A5915">
        <f ca="1">31337.7365455059*((RANDBETWEEN(2979,3282)))</f>
        <v>99465975.795435712</v>
      </c>
      <c r="B5915">
        <v>168180546.32930464</v>
      </c>
    </row>
    <row r="5916" spans="1:2" x14ac:dyDescent="0.25">
      <c r="A5916">
        <f ca="1">33991.5909885608*((RANDBETWEEN(2979,3282)))</f>
        <v>101634857.05579676</v>
      </c>
      <c r="B5916">
        <v>160973750.71168047</v>
      </c>
    </row>
    <row r="5917" spans="1:2" x14ac:dyDescent="0.25">
      <c r="A5917">
        <f ca="1">25813.105809823*((RANDBETWEEN(2979,3282)))</f>
        <v>81956610.946188107</v>
      </c>
      <c r="B5917">
        <v>150837347.02386349</v>
      </c>
    </row>
    <row r="5918" spans="1:2" x14ac:dyDescent="0.25">
      <c r="A5918">
        <f ca="1">26356.5689470262*((RANDBETWEEN(2979,3282)))</f>
        <v>79148776.547919676</v>
      </c>
      <c r="B5918">
        <v>197807760.14025292</v>
      </c>
    </row>
    <row r="5919" spans="1:2" x14ac:dyDescent="0.25">
      <c r="A5919">
        <f ca="1">28576.5472925667*((RANDBETWEEN(2979,3282)))</f>
        <v>86758397.580232412</v>
      </c>
      <c r="B5919">
        <v>159120718.54370159</v>
      </c>
    </row>
    <row r="5920" spans="1:2" x14ac:dyDescent="0.25">
      <c r="A5920">
        <f ca="1">27068.5325630634*((RANDBETWEEN(2979,3282)))</f>
        <v>86402755.941298261</v>
      </c>
      <c r="B5920">
        <v>173190557.45958623</v>
      </c>
    </row>
    <row r="5921" spans="1:2" x14ac:dyDescent="0.25">
      <c r="A5921">
        <f ca="1">28936.3170314177*((RANDBETWEEN(2979,3282)))</f>
        <v>91583443.40443705</v>
      </c>
      <c r="B5921">
        <v>149971473.91031584</v>
      </c>
    </row>
    <row r="5922" spans="1:2" x14ac:dyDescent="0.25">
      <c r="A5922">
        <f ca="1">28472.9293393128*((RANDBETWEEN(2979,3282)))</f>
        <v>92223818.130034089</v>
      </c>
      <c r="B5922">
        <v>162159115.47069448</v>
      </c>
    </row>
    <row r="5923" spans="1:2" x14ac:dyDescent="0.25">
      <c r="A5923">
        <f ca="1">29259.8201529709*((RANDBETWEEN(2979,3282)))</f>
        <v>94977376.21654363</v>
      </c>
      <c r="B5923">
        <v>186496597.50906384</v>
      </c>
    </row>
    <row r="5924" spans="1:2" x14ac:dyDescent="0.25">
      <c r="A5924">
        <f ca="1">30034.7012111031*((RANDBETWEEN(2979,3282)))</f>
        <v>96681703.198540851</v>
      </c>
      <c r="B5924">
        <v>176477593.73054969</v>
      </c>
    </row>
    <row r="5925" spans="1:2" x14ac:dyDescent="0.25">
      <c r="A5925">
        <f ca="1">31141.7625315164*((RANDBETWEEN(2979,3282)))</f>
        <v>94826666.908467472</v>
      </c>
      <c r="B5925">
        <v>178439879.80493474</v>
      </c>
    </row>
    <row r="5926" spans="1:2" x14ac:dyDescent="0.25">
      <c r="A5926">
        <f ca="1">28470.9069186993*((RANDBETWEEN(2979,3282)))</f>
        <v>88402165.982561469</v>
      </c>
      <c r="B5926">
        <v>178445297.81614384</v>
      </c>
    </row>
    <row r="5927" spans="1:2" x14ac:dyDescent="0.25">
      <c r="A5927">
        <f ca="1">26586.8368356196*((RANDBETWEEN(2979,3282)))</f>
        <v>86354046.042092368</v>
      </c>
      <c r="B5927">
        <v>165291289.13435051</v>
      </c>
    </row>
    <row r="5928" spans="1:2" x14ac:dyDescent="0.25">
      <c r="A5928">
        <f ca="1">27176.3639266164*((RANDBETWEEN(2979,3282)))</f>
        <v>81664973.599482328</v>
      </c>
      <c r="B5928">
        <v>159675360.10273618</v>
      </c>
    </row>
    <row r="5929" spans="1:2" x14ac:dyDescent="0.25">
      <c r="A5929">
        <f ca="1">28086.1586554371*((RANDBETWEEN(2979,3282)))</f>
        <v>90662120.139750987</v>
      </c>
      <c r="B5929">
        <v>154466058.70691007</v>
      </c>
    </row>
    <row r="5930" spans="1:2" x14ac:dyDescent="0.25">
      <c r="A5930">
        <f ca="1">25960.7221022316*((RANDBETWEEN(2979,3282)))</f>
        <v>82451253.396687597</v>
      </c>
      <c r="B5930">
        <v>201522794.73513308</v>
      </c>
    </row>
    <row r="5931" spans="1:2" x14ac:dyDescent="0.25">
      <c r="A5931">
        <f ca="1">27678.8554411012*((RANDBETWEEN(2979,3282)))</f>
        <v>85942846.144619331</v>
      </c>
      <c r="B5931">
        <v>171844541.23565382</v>
      </c>
    </row>
    <row r="5932" spans="1:2" x14ac:dyDescent="0.25">
      <c r="A5932">
        <f ca="1">26044.9046085355*((RANDBETWEEN(2979,3282)))</f>
        <v>79853677.529769719</v>
      </c>
      <c r="B5932">
        <v>168300066.01871976</v>
      </c>
    </row>
    <row r="5933" spans="1:2" x14ac:dyDescent="0.25">
      <c r="A5933">
        <f ca="1">28546.8759004265*((RANDBETWEEN(2979,3282)))</f>
        <v>85897549.584383205</v>
      </c>
      <c r="B5933">
        <v>157192516.06491154</v>
      </c>
    </row>
    <row r="5934" spans="1:2" x14ac:dyDescent="0.25">
      <c r="A5934">
        <f ca="1">30839.0426432313*((RANDBETWEEN(2979,3282)))</f>
        <v>100781991.35807981</v>
      </c>
      <c r="B5934">
        <v>192607691.83705848</v>
      </c>
    </row>
    <row r="5935" spans="1:2" x14ac:dyDescent="0.25">
      <c r="A5935">
        <f ca="1">30090.4614878076*((RANDBETWEEN(2979,3282)))</f>
        <v>96169114.915033087</v>
      </c>
      <c r="B5935">
        <v>186889897.69013941</v>
      </c>
    </row>
    <row r="5936" spans="1:2" x14ac:dyDescent="0.25">
      <c r="A5936">
        <f ca="1">25830.8668275217*((RANDBETWEEN(2979,3282)))</f>
        <v>78035048.685943171</v>
      </c>
      <c r="B5936">
        <v>148793212.89537537</v>
      </c>
    </row>
    <row r="5937" spans="1:2" x14ac:dyDescent="0.25">
      <c r="A5937">
        <f ca="1">26713.0230600322*((RANDBETWEEN(2979,3282)))</f>
        <v>84146022.63910155</v>
      </c>
      <c r="B5937">
        <v>158147121.71498072</v>
      </c>
    </row>
    <row r="5938" spans="1:2" x14ac:dyDescent="0.25">
      <c r="A5938">
        <f ca="1">29039.836673753*((RANDBETWEEN(2979,3282)))</f>
        <v>90226772.545350581</v>
      </c>
      <c r="B5938">
        <v>202876244.19780344</v>
      </c>
    </row>
    <row r="5939" spans="1:2" x14ac:dyDescent="0.25">
      <c r="A5939">
        <f ca="1">32705.8914485586*((RANDBETWEEN(2979,3282)))</f>
        <v>98673674.500301406</v>
      </c>
      <c r="B5939">
        <v>160033909.15725142</v>
      </c>
    </row>
    <row r="5940" spans="1:2" x14ac:dyDescent="0.25">
      <c r="A5940">
        <f ca="1">27844.927198232*((RANDBETWEEN(2979,3282)))</f>
        <v>87683675.747232512</v>
      </c>
      <c r="B5940">
        <v>193224899.15984857</v>
      </c>
    </row>
    <row r="5941" spans="1:2" x14ac:dyDescent="0.25">
      <c r="A5941">
        <f ca="1">28856.2943073187*((RANDBETWEEN(2979,3282)))</f>
        <v>90147063.416063517</v>
      </c>
      <c r="B5941">
        <v>148997482.75459293</v>
      </c>
    </row>
    <row r="5942" spans="1:2" x14ac:dyDescent="0.25">
      <c r="A5942">
        <f ca="1">26274.9397790212*((RANDBETWEEN(2979,3282)))</f>
        <v>79744442.229329452</v>
      </c>
      <c r="B5942">
        <v>155011057.61689842</v>
      </c>
    </row>
    <row r="5943" spans="1:2" x14ac:dyDescent="0.25">
      <c r="A5943">
        <f ca="1">28307.3737798378*((RANDBETWEEN(2979,3282)))</f>
        <v>84554125.480375469</v>
      </c>
      <c r="B5943">
        <v>155044595.48081708</v>
      </c>
    </row>
    <row r="5944" spans="1:2" x14ac:dyDescent="0.25">
      <c r="A5944">
        <f ca="1">30145.1530272987*((RANDBETWEEN(2979,3282)))</f>
        <v>95499844.790482417</v>
      </c>
      <c r="B5944">
        <v>148122365.35932046</v>
      </c>
    </row>
    <row r="5945" spans="1:2" x14ac:dyDescent="0.25">
      <c r="A5945">
        <f ca="1">29158.6426388703*((RANDBETWEEN(2979,3282)))</f>
        <v>88234052.62522158</v>
      </c>
      <c r="B5945">
        <v>166483887.41103703</v>
      </c>
    </row>
    <row r="5946" spans="1:2" x14ac:dyDescent="0.25">
      <c r="A5946">
        <f ca="1">31007.3759724961*((RANDBETWEEN(2979,3282)))</f>
        <v>95068614.731673166</v>
      </c>
      <c r="B5946">
        <v>148583478.85115921</v>
      </c>
    </row>
    <row r="5947" spans="1:2" x14ac:dyDescent="0.25">
      <c r="A5947">
        <f ca="1">27463.2260496924*((RANDBETWEEN(2979,3282)))</f>
        <v>86564088.508630499</v>
      </c>
      <c r="B5947">
        <v>148930189.53303432</v>
      </c>
    </row>
    <row r="5948" spans="1:2" x14ac:dyDescent="0.25">
      <c r="A5948">
        <f ca="1">26527.2836768457*((RANDBETWEEN(2979,3282)))</f>
        <v>84887307.76590617</v>
      </c>
      <c r="B5948">
        <v>149415370.87020522</v>
      </c>
    </row>
    <row r="5949" spans="1:2" x14ac:dyDescent="0.25">
      <c r="A5949">
        <f ca="1">29098.511225142*((RANDBETWEEN(2979,3282)))</f>
        <v>93115235.920454293</v>
      </c>
      <c r="B5949">
        <v>193240397.00004569</v>
      </c>
    </row>
    <row r="5950" spans="1:2" x14ac:dyDescent="0.25">
      <c r="A5950">
        <f ca="1">31896.8734009436*((RANDBETWEEN(2979,3282)))</f>
        <v>101878613.64261401</v>
      </c>
      <c r="B5950">
        <v>191982011.2480545</v>
      </c>
    </row>
    <row r="5951" spans="1:2" x14ac:dyDescent="0.25">
      <c r="A5951">
        <f ca="1">26852.3154005714*((RANDBETWEEN(2979,3282)))</f>
        <v>87243172.736456543</v>
      </c>
      <c r="B5951">
        <v>158541251.72051913</v>
      </c>
    </row>
    <row r="5952" spans="1:2" x14ac:dyDescent="0.25">
      <c r="A5952">
        <f ca="1">26063.9287122883*((RANDBETWEEN(2979,3282)))</f>
        <v>84290745.455540299</v>
      </c>
      <c r="B5952">
        <v>186652347.72005272</v>
      </c>
    </row>
    <row r="5953" spans="1:2" x14ac:dyDescent="0.25">
      <c r="A5953">
        <f ca="1">26917.9202129621*((RANDBETWEEN(2979,3282)))</f>
        <v>80780678.559099361</v>
      </c>
      <c r="B5953">
        <v>173732342.70250356</v>
      </c>
    </row>
    <row r="5954" spans="1:2" x14ac:dyDescent="0.25">
      <c r="A5954">
        <f ca="1">27119.4376518859*((RANDBETWEEN(2979,3282)))</f>
        <v>87839858.554458365</v>
      </c>
      <c r="B5954">
        <v>166356427.42536765</v>
      </c>
    </row>
    <row r="5955" spans="1:2" x14ac:dyDescent="0.25">
      <c r="A5955">
        <f ca="1">30604.4121075024*((RANDBETWEEN(2979,3282)))</f>
        <v>97872909.919792548</v>
      </c>
      <c r="B5955">
        <v>187830747.36680198</v>
      </c>
    </row>
    <row r="5956" spans="1:2" x14ac:dyDescent="0.25">
      <c r="A5956">
        <f ca="1">27316.6956479992*((RANDBETWEEN(2979,3282)))</f>
        <v>83042754.769917697</v>
      </c>
      <c r="B5956">
        <v>198607637.58739316</v>
      </c>
    </row>
    <row r="5957" spans="1:2" x14ac:dyDescent="0.25">
      <c r="A5957">
        <f ca="1">28512.733951363*((RANDBETWEEN(2979,3282)))</f>
        <v>85081998.110867128</v>
      </c>
      <c r="B5957">
        <v>163245134.19265875</v>
      </c>
    </row>
    <row r="5958" spans="1:2" x14ac:dyDescent="0.25">
      <c r="A5958">
        <f ca="1">25709.8990968752*((RANDBETWEEN(2979,3282)))</f>
        <v>83017264.183809876</v>
      </c>
      <c r="B5958">
        <v>170679593.94095218</v>
      </c>
    </row>
    <row r="5959" spans="1:2" x14ac:dyDescent="0.25">
      <c r="A5959">
        <f ca="1">26210.8881911871*((RANDBETWEEN(2979,3282)))</f>
        <v>85368862.838696361</v>
      </c>
      <c r="B5959">
        <v>163315807.46227413</v>
      </c>
    </row>
    <row r="5960" spans="1:2" x14ac:dyDescent="0.25">
      <c r="A5960">
        <f ca="1">25919.7501856339*((RANDBETWEEN(2979,3282)))</f>
        <v>82502564.840872779</v>
      </c>
      <c r="B5960">
        <v>158594490.66558117</v>
      </c>
    </row>
    <row r="5961" spans="1:2" x14ac:dyDescent="0.25">
      <c r="A5961">
        <f ca="1">30838.7265915023*((RANDBETWEEN(2979,3282)))</f>
        <v>92608695.95428136</v>
      </c>
      <c r="B5961">
        <v>185054663.70549098</v>
      </c>
    </row>
    <row r="5962" spans="1:2" x14ac:dyDescent="0.25">
      <c r="A5962">
        <f ca="1">28037.0210327623*((RANDBETWEEN(2979,3282)))</f>
        <v>85232543.939597532</v>
      </c>
      <c r="B5962">
        <v>156992386.8873603</v>
      </c>
    </row>
    <row r="5963" spans="1:2" x14ac:dyDescent="0.25">
      <c r="A5963">
        <f ca="1">27799.9280425439*((RANDBETWEEN(2979,3282)))</f>
        <v>90655565.346735701</v>
      </c>
      <c r="B5963">
        <v>188823529.09523782</v>
      </c>
    </row>
    <row r="5964" spans="1:2" x14ac:dyDescent="0.25">
      <c r="A5964">
        <f ca="1">29710.8777071744*((RANDBETWEEN(2979,3282)))</f>
        <v>92549384.057848319</v>
      </c>
      <c r="B5964">
        <v>143367666.62598634</v>
      </c>
    </row>
    <row r="5965" spans="1:2" x14ac:dyDescent="0.25">
      <c r="A5965">
        <f ca="1">25591.5926393181*((RANDBETWEEN(2979,3282)))</f>
        <v>80459967.258016184</v>
      </c>
      <c r="B5965">
        <v>152998277.93318927</v>
      </c>
    </row>
    <row r="5966" spans="1:2" x14ac:dyDescent="0.25">
      <c r="A5966">
        <f ca="1">30427.8643017185*((RANDBETWEEN(2979,3282)))</f>
        <v>99529544.130921215</v>
      </c>
      <c r="B5966">
        <v>180019237.47555393</v>
      </c>
    </row>
    <row r="5967" spans="1:2" x14ac:dyDescent="0.25">
      <c r="A5967">
        <f ca="1">30619.0416245393*((RANDBETWEEN(2979,3282)))</f>
        <v>95929457.409681633</v>
      </c>
      <c r="B5967">
        <v>188247973.05705118</v>
      </c>
    </row>
    <row r="5968" spans="1:2" x14ac:dyDescent="0.25">
      <c r="A5968">
        <f ca="1">25519.3148786709*((RANDBETWEEN(2979,3282)))</f>
        <v>77221446.822858334</v>
      </c>
      <c r="B5968">
        <v>151403134.29955772</v>
      </c>
    </row>
    <row r="5969" spans="1:2" x14ac:dyDescent="0.25">
      <c r="A5969">
        <f ca="1">26277.1709599305*((RANDBETWEEN(2979,3282)))</f>
        <v>81354121.291944772</v>
      </c>
      <c r="B5969">
        <v>144209620.96239901</v>
      </c>
    </row>
    <row r="5970" spans="1:2" x14ac:dyDescent="0.25">
      <c r="A5970">
        <f ca="1">29939.3878704786*((RANDBETWEEN(2979,3282)))</f>
        <v>94428829.343489423</v>
      </c>
      <c r="B5970">
        <v>180702843.4521091</v>
      </c>
    </row>
    <row r="5971" spans="1:2" x14ac:dyDescent="0.25">
      <c r="A5971">
        <f ca="1">26548.3824185729*((RANDBETWEEN(2979,3282)))</f>
        <v>82114146.820646092</v>
      </c>
      <c r="B5971">
        <v>178338530.71133971</v>
      </c>
    </row>
    <row r="5972" spans="1:2" x14ac:dyDescent="0.25">
      <c r="A5972">
        <f ca="1">28498.202322498*((RANDBETWEEN(2979,3282)))</f>
        <v>91137251.027348563</v>
      </c>
      <c r="B5972">
        <v>143720114.1098198</v>
      </c>
    </row>
    <row r="5973" spans="1:2" x14ac:dyDescent="0.25">
      <c r="A5973">
        <f ca="1">27462.387780043*((RANDBETWEEN(2979,3282)))</f>
        <v>88923211.631779268</v>
      </c>
      <c r="B5973">
        <v>151310517.22890013</v>
      </c>
    </row>
    <row r="5974" spans="1:2" x14ac:dyDescent="0.25">
      <c r="A5974">
        <f ca="1">30577.3723681165*((RANDBETWEEN(2979,3282)))</f>
        <v>97878168.950340897</v>
      </c>
      <c r="B5974">
        <v>191178383.65004528</v>
      </c>
    </row>
    <row r="5975" spans="1:2" x14ac:dyDescent="0.25">
      <c r="A5975">
        <f ca="1">28239.4004864837*((RANDBETWEEN(2979,3282)))</f>
        <v>87457423.306639895</v>
      </c>
      <c r="B5975">
        <v>155728155.31926107</v>
      </c>
    </row>
    <row r="5976" spans="1:2" x14ac:dyDescent="0.25">
      <c r="A5976">
        <f ca="1">26509.0432437782*((RANDBETWEEN(2979,3282)))</f>
        <v>79341566.428628057</v>
      </c>
      <c r="B5976">
        <v>192230337.84469453</v>
      </c>
    </row>
    <row r="5977" spans="1:2" x14ac:dyDescent="0.25">
      <c r="A5977">
        <f ca="1">27543.094378191*((RANDBETWEEN(2979,3282)))</f>
        <v>87036178.23508364</v>
      </c>
      <c r="B5977">
        <v>174472659.96397719</v>
      </c>
    </row>
    <row r="5978" spans="1:2" x14ac:dyDescent="0.25">
      <c r="A5978">
        <f ca="1">26090.8916438312*((RANDBETWEEN(2979,3282)))</f>
        <v>80151219.129849568</v>
      </c>
      <c r="B5978">
        <v>178368639.65862405</v>
      </c>
    </row>
    <row r="5979" spans="1:2" x14ac:dyDescent="0.25">
      <c r="A5979">
        <f ca="1">27458.3282689556*((RANDBETWEEN(2979,3282)))</f>
        <v>89651441.7981399</v>
      </c>
      <c r="B5979">
        <v>202248349.12001389</v>
      </c>
    </row>
    <row r="5980" spans="1:2" x14ac:dyDescent="0.25">
      <c r="A5980">
        <f ca="1">26708.7663291383*((RANDBETWEEN(2979,3282)))</f>
        <v>81007688.276276335</v>
      </c>
      <c r="B5980">
        <v>167654092.26032746</v>
      </c>
    </row>
    <row r="5981" spans="1:2" x14ac:dyDescent="0.25">
      <c r="A5981">
        <f ca="1">27539.5518939815*((RANDBETWEEN(2979,3282)))</f>
        <v>90192032.452789575</v>
      </c>
      <c r="B5981">
        <v>146666723.71031713</v>
      </c>
    </row>
    <row r="5982" spans="1:2" x14ac:dyDescent="0.25">
      <c r="A5982">
        <f ca="1">29831.5668733583*((RANDBETWEEN(2979,3282)))</f>
        <v>94536235.421672314</v>
      </c>
      <c r="B5982">
        <v>158004651.01324424</v>
      </c>
    </row>
    <row r="5983" spans="1:2" x14ac:dyDescent="0.25">
      <c r="A5983">
        <f ca="1">33539.7243127739*((RANDBETWEEN(2979,3282)))</f>
        <v>107528356.14675304</v>
      </c>
      <c r="B5983">
        <v>173841595.16143847</v>
      </c>
    </row>
    <row r="5984" spans="1:2" x14ac:dyDescent="0.25">
      <c r="A5984">
        <f ca="1">26654.8722459718*((RANDBETWEEN(2979,3282)))</f>
        <v>82630103.962512583</v>
      </c>
      <c r="B5984">
        <v>169112167.19159532</v>
      </c>
    </row>
    <row r="5985" spans="1:2" x14ac:dyDescent="0.25">
      <c r="A5985">
        <f ca="1">30370.6382043993*((RANDBETWEEN(2979,3282)))</f>
        <v>97975678.847392127</v>
      </c>
      <c r="B5985">
        <v>154165983.87577188</v>
      </c>
    </row>
    <row r="5986" spans="1:2" x14ac:dyDescent="0.25">
      <c r="A5986">
        <f ca="1">27783.5533270067*((RANDBETWEEN(2979,3282)))</f>
        <v>83989681.707541123</v>
      </c>
      <c r="B5986">
        <v>181709513.86349374</v>
      </c>
    </row>
    <row r="5987" spans="1:2" x14ac:dyDescent="0.25">
      <c r="A5987">
        <f ca="1">26766.6037815709*((RANDBETWEEN(2979,3282)))</f>
        <v>83886536.251443073</v>
      </c>
      <c r="B5987">
        <v>154747112.23532924</v>
      </c>
    </row>
    <row r="5988" spans="1:2" x14ac:dyDescent="0.25">
      <c r="A5988">
        <f ca="1">27248.5235612854*((RANDBETWEEN(2979,3282)))</f>
        <v>84034446.663004115</v>
      </c>
      <c r="B5988">
        <v>145446012.34227753</v>
      </c>
    </row>
    <row r="5989" spans="1:2" x14ac:dyDescent="0.25">
      <c r="A5989">
        <f ca="1">27605.6437348024*((RANDBETWEEN(2979,3282)))</f>
        <v>89718342.138107762</v>
      </c>
      <c r="B5989">
        <v>153357937.53157043</v>
      </c>
    </row>
    <row r="5990" spans="1:2" x14ac:dyDescent="0.25">
      <c r="A5990">
        <f ca="1">28158.137089129*((RANDBETWEEN(2979,3282)))</f>
        <v>89739982.903053999</v>
      </c>
      <c r="B5990">
        <v>145741203.060891</v>
      </c>
    </row>
    <row r="5991" spans="1:2" x14ac:dyDescent="0.25">
      <c r="A5991">
        <f ca="1">26879.7355937037*((RANDBETWEEN(2979,3282)))</f>
        <v>85773236.279508546</v>
      </c>
      <c r="B5991">
        <v>172753817.67427695</v>
      </c>
    </row>
    <row r="5992" spans="1:2" x14ac:dyDescent="0.25">
      <c r="A5992">
        <f ca="1">31830.6577074931*((RANDBETWEEN(2979,3282)))</f>
        <v>95396481.149356872</v>
      </c>
      <c r="B5992">
        <v>184279893.5116404</v>
      </c>
    </row>
    <row r="5993" spans="1:2" x14ac:dyDescent="0.25">
      <c r="A5993">
        <f ca="1">30549.7996738889*((RANDBETWEEN(2979,3282)))</f>
        <v>91160602.226884574</v>
      </c>
      <c r="B5993">
        <v>143625529.44585997</v>
      </c>
    </row>
    <row r="5994" spans="1:2" x14ac:dyDescent="0.25">
      <c r="A5994">
        <f ca="1">28242.074301924*((RANDBETWEEN(2979,3282)))</f>
        <v>92210372.595781997</v>
      </c>
      <c r="B5994">
        <v>202335091.03495246</v>
      </c>
    </row>
    <row r="5995" spans="1:2" x14ac:dyDescent="0.25">
      <c r="A5995">
        <f ca="1">29167.4745160965*((RANDBETWEEN(2979,3282)))</f>
        <v>92840071.384735301</v>
      </c>
      <c r="B5995">
        <v>152731116.47440416</v>
      </c>
    </row>
    <row r="5996" spans="1:2" x14ac:dyDescent="0.25">
      <c r="A5996">
        <f ca="1">28287.5888212887*((RANDBETWEEN(2979,3282)))</f>
        <v>86163995.549645245</v>
      </c>
      <c r="B5996">
        <v>181782034.20284808</v>
      </c>
    </row>
    <row r="5997" spans="1:2" x14ac:dyDescent="0.25">
      <c r="A5997">
        <f ca="1">28986.3660716644*((RANDBETWEEN(2979,3282)))</f>
        <v>89828748.456087872</v>
      </c>
      <c r="B5997">
        <v>155345365.38013914</v>
      </c>
    </row>
    <row r="5998" spans="1:2" x14ac:dyDescent="0.25">
      <c r="A5998">
        <f ca="1">26989.4254123119*((RANDBETWEEN(2979,3282)))</f>
        <v>81265159.916471034</v>
      </c>
      <c r="B5998">
        <v>147154029.6051352</v>
      </c>
    </row>
    <row r="5999" spans="1:2" x14ac:dyDescent="0.25">
      <c r="A5999">
        <f ca="1">33556.6707864754*((RANDBETWEEN(2979,3282)))</f>
        <v>106743769.7717784</v>
      </c>
      <c r="B5999">
        <v>148860030.18125495</v>
      </c>
    </row>
    <row r="6000" spans="1:2" x14ac:dyDescent="0.25">
      <c r="A6000">
        <f ca="1">26217.7994531088*((RANDBETWEEN(2979,3282)))</f>
        <v>82350108.082214668</v>
      </c>
      <c r="B6000">
        <v>144023053.51062128</v>
      </c>
    </row>
    <row r="6001" spans="1:2" x14ac:dyDescent="0.25">
      <c r="A6001">
        <f ca="1">26349.1453440471*((RANDBETWEEN(2979,3282)))</f>
        <v>83922027.920790046</v>
      </c>
      <c r="B6001">
        <v>183324571.13583007</v>
      </c>
    </row>
    <row r="6002" spans="1:2" x14ac:dyDescent="0.25">
      <c r="A6002">
        <f ca="1">30023.8957847241*((RANDBETWEEN(2979,3282)))</f>
        <v>91723001.622331977</v>
      </c>
      <c r="B6002">
        <v>186107319.87858355</v>
      </c>
    </row>
    <row r="6003" spans="1:2" x14ac:dyDescent="0.25">
      <c r="A6003">
        <f ca="1">31210.8481238765*((RANDBETWEEN(2979,3282)))</f>
        <v>93195592.497895122</v>
      </c>
      <c r="B6003">
        <v>176639852.76766983</v>
      </c>
    </row>
    <row r="6004" spans="1:2" x14ac:dyDescent="0.25">
      <c r="A6004">
        <f ca="1">28641.6806441837*((RANDBETWEEN(2979,3282)))</f>
        <v>88245018.06472984</v>
      </c>
      <c r="B6004">
        <v>153962169.16628551</v>
      </c>
    </row>
    <row r="6005" spans="1:2" x14ac:dyDescent="0.25">
      <c r="A6005">
        <f ca="1">31976.7541094115*((RANDBETWEEN(2979,3282)))</f>
        <v>103125032.00285214</v>
      </c>
      <c r="B6005">
        <v>185886762.38103637</v>
      </c>
    </row>
    <row r="6006" spans="1:2" x14ac:dyDescent="0.25">
      <c r="A6006">
        <f ca="1">31894.5761631963*((RANDBETWEEN(2979,3282)))</f>
        <v>104359053.20597838</v>
      </c>
      <c r="B6006">
        <v>203232787.82529706</v>
      </c>
    </row>
    <row r="6007" spans="1:2" x14ac:dyDescent="0.25">
      <c r="A6007">
        <f ca="1">26826.9978942784*((RANDBETWEEN(2979,3282)))</f>
        <v>86463414.21325931</v>
      </c>
      <c r="B6007">
        <v>168454205.53939563</v>
      </c>
    </row>
    <row r="6008" spans="1:2" x14ac:dyDescent="0.25">
      <c r="A6008">
        <f ca="1">28276.8085246707*((RANDBETWEEN(2979,3282)))</f>
        <v>89891974.299928278</v>
      </c>
      <c r="B6008">
        <v>151246048.74394178</v>
      </c>
    </row>
    <row r="6009" spans="1:2" x14ac:dyDescent="0.25">
      <c r="A6009">
        <f ca="1">29597.1403901455*((RANDBETWEEN(2979,3282)))</f>
        <v>93822935.036761284</v>
      </c>
      <c r="B6009">
        <v>163872992.37138203</v>
      </c>
    </row>
    <row r="6010" spans="1:2" x14ac:dyDescent="0.25">
      <c r="A6010">
        <f ca="1">30729.5455554252*((RANDBETWEEN(2979,3282)))</f>
        <v>100608532.14846221</v>
      </c>
      <c r="B6010">
        <v>184264305.85602692</v>
      </c>
    </row>
    <row r="6011" spans="1:2" x14ac:dyDescent="0.25">
      <c r="A6011">
        <f ca="1">25586.4369612203*((RANDBETWEEN(2979,3282)))</f>
        <v>80187893.436464503</v>
      </c>
      <c r="B6011">
        <v>143851985.61325997</v>
      </c>
    </row>
    <row r="6012" spans="1:2" x14ac:dyDescent="0.25">
      <c r="A6012">
        <f ca="1">26236.940851496*((RANDBETWEEN(2979,3282)))</f>
        <v>81833018.515816018</v>
      </c>
      <c r="B6012">
        <v>153816572.29608038</v>
      </c>
    </row>
    <row r="6013" spans="1:2" x14ac:dyDescent="0.25">
      <c r="A6013">
        <f ca="1">27826.9129766787*((RANDBETWEEN(2979,3282)))</f>
        <v>85957334.184960514</v>
      </c>
      <c r="B6013">
        <v>168136990.47982845</v>
      </c>
    </row>
    <row r="6014" spans="1:2" x14ac:dyDescent="0.25">
      <c r="A6014">
        <f ca="1">27810.6415861387*((RANDBETWEEN(2979,3282)))</f>
        <v>89160916.925160661</v>
      </c>
      <c r="B6014">
        <v>153778720.96656123</v>
      </c>
    </row>
    <row r="6015" spans="1:2" x14ac:dyDescent="0.25">
      <c r="A6015">
        <f ca="1">28747.2721631096*((RANDBETWEEN(2979,3282)))</f>
        <v>90151445.503511801</v>
      </c>
      <c r="B6015">
        <v>163175322.37539822</v>
      </c>
    </row>
    <row r="6016" spans="1:2" x14ac:dyDescent="0.25">
      <c r="A6016">
        <f ca="1">26882.3928157837*((RANDBETWEEN(2979,3282)))</f>
        <v>81507415.017456099</v>
      </c>
      <c r="B6016">
        <v>144727512.74051633</v>
      </c>
    </row>
    <row r="6017" spans="1:2" x14ac:dyDescent="0.25">
      <c r="A6017">
        <f ca="1">31391.3908643771*((RANDBETWEEN(2979,3282)))</f>
        <v>101582540.83712421</v>
      </c>
      <c r="B6017">
        <v>153089549.53786165</v>
      </c>
    </row>
    <row r="6018" spans="1:2" x14ac:dyDescent="0.25">
      <c r="A6018">
        <f ca="1">28400.5597146081*((RANDBETWEEN(2979,3282)))</f>
        <v>89830970.377305359</v>
      </c>
      <c r="B6018">
        <v>162950881.45423472</v>
      </c>
    </row>
    <row r="6019" spans="1:2" x14ac:dyDescent="0.25">
      <c r="A6019">
        <f ca="1">27784.5114928396*((RANDBETWEEN(2979,3282)))</f>
        <v>90160739.794264644</v>
      </c>
      <c r="B6019">
        <v>166425507.27781081</v>
      </c>
    </row>
    <row r="6020" spans="1:2" x14ac:dyDescent="0.25">
      <c r="A6020">
        <f ca="1">25589.4257596232*((RANDBETWEEN(2979,3282)))</f>
        <v>77689496.606216013</v>
      </c>
      <c r="B6020">
        <v>151742564.32474187</v>
      </c>
    </row>
    <row r="6021" spans="1:2" x14ac:dyDescent="0.25">
      <c r="A6021">
        <f ca="1">28590.7671965105*((RANDBETWEEN(2979,3282)))</f>
        <v>85514984.684762999</v>
      </c>
      <c r="B6021">
        <v>145214872.12837321</v>
      </c>
    </row>
    <row r="6022" spans="1:2" x14ac:dyDescent="0.25">
      <c r="A6022">
        <f ca="1">28754.9932249232*((RANDBETWEEN(2979,3282)))</f>
        <v>90894533.583982214</v>
      </c>
      <c r="B6022">
        <v>144606257.33667091</v>
      </c>
    </row>
    <row r="6023" spans="1:2" x14ac:dyDescent="0.25">
      <c r="A6023">
        <f ca="1">26032.376729014*((RANDBETWEEN(2979,3282)))</f>
        <v>78409518.7077903</v>
      </c>
      <c r="B6023">
        <v>149060233.30896139</v>
      </c>
    </row>
    <row r="6024" spans="1:2" x14ac:dyDescent="0.25">
      <c r="A6024">
        <f ca="1">28261.9723843687*((RANDBETWEEN(2979,3282)))</f>
        <v>90494835.574748442</v>
      </c>
      <c r="B6024">
        <v>180234061.42845905</v>
      </c>
    </row>
    <row r="6025" spans="1:2" x14ac:dyDescent="0.25">
      <c r="A6025">
        <f ca="1">28369.2304108799*((RANDBETWEEN(2979,3282)))</f>
        <v>86355937.370718539</v>
      </c>
      <c r="B6025">
        <v>174360852.66467595</v>
      </c>
    </row>
    <row r="6026" spans="1:2" x14ac:dyDescent="0.25">
      <c r="A6026">
        <f ca="1">29789.4256283228*((RANDBETWEEN(2979,3282)))</f>
        <v>95117636.031234711</v>
      </c>
      <c r="B6026">
        <v>153236550.76641136</v>
      </c>
    </row>
    <row r="6027" spans="1:2" x14ac:dyDescent="0.25">
      <c r="A6027">
        <f ca="1">31558.7982978981*((RANDBETWEEN(2979,3282)))</f>
        <v>96191217.21199353</v>
      </c>
      <c r="B6027">
        <v>172932849.35277328</v>
      </c>
    </row>
    <row r="6028" spans="1:2" x14ac:dyDescent="0.25">
      <c r="A6028">
        <f ca="1">29539.2374102521*((RANDBETWEEN(2979,3282)))</f>
        <v>88676790.705576912</v>
      </c>
      <c r="B6028">
        <v>171506349.36157206</v>
      </c>
    </row>
    <row r="6029" spans="1:2" x14ac:dyDescent="0.25">
      <c r="A6029">
        <f ca="1">29950.8768458412*((RANDBETWEEN(2979,3282)))</f>
        <v>94674721.709703892</v>
      </c>
      <c r="B6029">
        <v>188841569.94088888</v>
      </c>
    </row>
    <row r="6030" spans="1:2" x14ac:dyDescent="0.25">
      <c r="A6030">
        <f ca="1">26868.4656725389*((RANDBETWEEN(2979,3282)))</f>
        <v>86516459.465575099</v>
      </c>
      <c r="B6030">
        <v>184066384.85412216</v>
      </c>
    </row>
    <row r="6031" spans="1:2" x14ac:dyDescent="0.25">
      <c r="A6031">
        <f ca="1">26576.961528543*((RANDBETWEEN(2979,3282)))</f>
        <v>79438538.008814946</v>
      </c>
      <c r="B6031">
        <v>153385320.11808556</v>
      </c>
    </row>
    <row r="6032" spans="1:2" x14ac:dyDescent="0.25">
      <c r="A6032">
        <f ca="1">27456.9827542199*((RANDBETWEEN(2979,3282)))</f>
        <v>86626780.589563876</v>
      </c>
      <c r="B6032">
        <v>180774498.15223765</v>
      </c>
    </row>
    <row r="6033" spans="1:2" x14ac:dyDescent="0.25">
      <c r="A6033">
        <f ca="1">27560.0658998511*((RANDBETWEEN(2979,3282)))</f>
        <v>84361361.719444171</v>
      </c>
      <c r="B6033">
        <v>167006091.14599898</v>
      </c>
    </row>
    <row r="6034" spans="1:2" x14ac:dyDescent="0.25">
      <c r="A6034">
        <f ca="1">29385.4664695298*((RANDBETWEEN(2979,3282)))</f>
        <v>89625672.732065916</v>
      </c>
      <c r="B6034">
        <v>166479255.70281863</v>
      </c>
    </row>
    <row r="6035" spans="1:2" x14ac:dyDescent="0.25">
      <c r="A6035">
        <f ca="1">33321.4946811302*((RANDBETWEEN(2979,3282)))</f>
        <v>107661749.31473178</v>
      </c>
      <c r="B6035">
        <v>159704057.57396218</v>
      </c>
    </row>
    <row r="6036" spans="1:2" x14ac:dyDescent="0.25">
      <c r="A6036">
        <f ca="1">26160.3513212862*((RANDBETWEEN(2979,3282)))</f>
        <v>82588229.121300429</v>
      </c>
      <c r="B6036">
        <v>188640696.36196291</v>
      </c>
    </row>
    <row r="6037" spans="1:2" x14ac:dyDescent="0.25">
      <c r="A6037">
        <f ca="1">29456.7564363268*((RANDBETWEEN(2979,3282)))</f>
        <v>96382507.059661269</v>
      </c>
      <c r="B6037">
        <v>183003782.72594535</v>
      </c>
    </row>
    <row r="6038" spans="1:2" x14ac:dyDescent="0.25">
      <c r="A6038">
        <f ca="1">30386.1794373208*((RANDBETWEEN(2979,3282)))</f>
        <v>96141871.739683062</v>
      </c>
      <c r="B6038">
        <v>177017366.28398663</v>
      </c>
    </row>
    <row r="6039" spans="1:2" x14ac:dyDescent="0.25">
      <c r="A6039">
        <f ca="1">25633.4572225649*((RANDBETWEEN(2979,3282)))</f>
        <v>77566841.555481434</v>
      </c>
      <c r="B6039">
        <v>156911516.55889744</v>
      </c>
    </row>
    <row r="6040" spans="1:2" x14ac:dyDescent="0.25">
      <c r="A6040">
        <f ca="1">28719.4756770182*((RANDBETWEEN(2979,3282)))</f>
        <v>91931041.642135397</v>
      </c>
      <c r="B6040">
        <v>145528287.89925194</v>
      </c>
    </row>
    <row r="6041" spans="1:2" x14ac:dyDescent="0.25">
      <c r="A6041">
        <f ca="1">29498.0188945855*((RANDBETWEEN(2979,3282)))</f>
        <v>88671044.797123894</v>
      </c>
      <c r="B6041">
        <v>187279445.85425276</v>
      </c>
    </row>
    <row r="6042" spans="1:2" x14ac:dyDescent="0.25">
      <c r="A6042">
        <f ca="1">30050.7786142252*((RANDBETWEEN(2979,3282)))</f>
        <v>95771831.443535686</v>
      </c>
      <c r="B6042">
        <v>153842403.9133954</v>
      </c>
    </row>
    <row r="6043" spans="1:2" x14ac:dyDescent="0.25">
      <c r="A6043">
        <f ca="1">30740.290118345*((RANDBETWEEN(2979,3282)))</f>
        <v>94895275.595330998</v>
      </c>
      <c r="B6043">
        <v>192092320.35422981</v>
      </c>
    </row>
    <row r="6044" spans="1:2" x14ac:dyDescent="0.25">
      <c r="A6044">
        <f ca="1">30024.2424940966*((RANDBETWEEN(2979,3282)))</f>
        <v>93045127.489205286</v>
      </c>
      <c r="B6044">
        <v>158225828.12303686</v>
      </c>
    </row>
    <row r="6045" spans="1:2" x14ac:dyDescent="0.25">
      <c r="A6045">
        <f ca="1">28574.9584450307*((RANDBETWEEN(2979,3282)))</f>
        <v>89725369.51739639</v>
      </c>
      <c r="B6045">
        <v>174566567.85905936</v>
      </c>
    </row>
    <row r="6046" spans="1:2" x14ac:dyDescent="0.25">
      <c r="A6046">
        <f ca="1">27013.1007813634*((RANDBETWEEN(2979,3282)))</f>
        <v>86225817.694112122</v>
      </c>
      <c r="B6046">
        <v>161493930.47713357</v>
      </c>
    </row>
    <row r="6047" spans="1:2" x14ac:dyDescent="0.25">
      <c r="A6047">
        <f ca="1">29302.3283532376*((RANDBETWEEN(2979,3282)))</f>
        <v>88317217.656658188</v>
      </c>
      <c r="B6047">
        <v>172046263.05574071</v>
      </c>
    </row>
    <row r="6048" spans="1:2" x14ac:dyDescent="0.25">
      <c r="A6048">
        <f ca="1">27008.2165431076*((RANDBETWEEN(2979,3282)))</f>
        <v>85264939.62659058</v>
      </c>
      <c r="B6048">
        <v>145972154.65450943</v>
      </c>
    </row>
    <row r="6049" spans="1:2" x14ac:dyDescent="0.25">
      <c r="A6049">
        <f ca="1">29846.8990825083*((RANDBETWEEN(2979,3282)))</f>
        <v>91301664.293392867</v>
      </c>
      <c r="B6049">
        <v>145782055.81435874</v>
      </c>
    </row>
    <row r="6050" spans="1:2" x14ac:dyDescent="0.25">
      <c r="A6050">
        <f ca="1">25397.0898381478*((RANDBETWEEN(2979,3282)))</f>
        <v>77283344.377483726</v>
      </c>
      <c r="B6050">
        <v>149847124.08543292</v>
      </c>
    </row>
    <row r="6051" spans="1:2" x14ac:dyDescent="0.25">
      <c r="A6051">
        <f ca="1">26980.4132369429*((RANDBETWEEN(2979,3282)))</f>
        <v>82479123.265334293</v>
      </c>
      <c r="B6051">
        <v>158328326.57042599</v>
      </c>
    </row>
    <row r="6052" spans="1:2" x14ac:dyDescent="0.25">
      <c r="A6052">
        <f ca="1">28287.3938137073*((RANDBETWEEN(2979,3282)))</f>
        <v>85512791.498837188</v>
      </c>
      <c r="B6052">
        <v>203615151.24314284</v>
      </c>
    </row>
    <row r="6053" spans="1:2" x14ac:dyDescent="0.25">
      <c r="A6053">
        <f ca="1">27022.2836376622*((RANDBETWEEN(2979,3282)))</f>
        <v>84201435.814955443</v>
      </c>
      <c r="B6053">
        <v>152044325.0490703</v>
      </c>
    </row>
    <row r="6054" spans="1:2" x14ac:dyDescent="0.25">
      <c r="A6054">
        <f ca="1">25971.7219090162*((RANDBETWEEN(2979,3282)))</f>
        <v>78798204.271955237</v>
      </c>
      <c r="B6054">
        <v>171087829.39368674</v>
      </c>
    </row>
    <row r="6055" spans="1:2" x14ac:dyDescent="0.25">
      <c r="A6055">
        <f ca="1">25729.9888652484*((RANDBETWEEN(2979,3282)))</f>
        <v>78553656.005603477</v>
      </c>
      <c r="B6055">
        <v>200940777.99947825</v>
      </c>
    </row>
    <row r="6056" spans="1:2" x14ac:dyDescent="0.25">
      <c r="A6056">
        <f ca="1">28105.1877551128*((RANDBETWEEN(2979,3282)))</f>
        <v>85664612.277583763</v>
      </c>
      <c r="B6056">
        <v>161396942.66638112</v>
      </c>
    </row>
    <row r="6057" spans="1:2" x14ac:dyDescent="0.25">
      <c r="A6057">
        <f ca="1">29012.1403562097*((RANDBETWEEN(2979,3282)))</f>
        <v>93245019.104857862</v>
      </c>
      <c r="B6057">
        <v>145080755.51210386</v>
      </c>
    </row>
    <row r="6058" spans="1:2" x14ac:dyDescent="0.25">
      <c r="A6058">
        <f ca="1">29926.5441767146*((RANDBETWEEN(2979,3282)))</f>
        <v>89989118.33938095</v>
      </c>
      <c r="B6058">
        <v>193120385.38824582</v>
      </c>
    </row>
    <row r="6059" spans="1:2" x14ac:dyDescent="0.25">
      <c r="A6059">
        <f ca="1">26183.9932449237*((RANDBETWEEN(2979,3282)))</f>
        <v>79285131.54562889</v>
      </c>
      <c r="B6059">
        <v>144746222.82139796</v>
      </c>
    </row>
    <row r="6060" spans="1:2" x14ac:dyDescent="0.25">
      <c r="A6060">
        <f ca="1">34181.455437312*((RANDBETWEEN(2979,3282)))</f>
        <v>108970479.93415074</v>
      </c>
      <c r="B6060">
        <v>148012210.40068644</v>
      </c>
    </row>
    <row r="6061" spans="1:2" x14ac:dyDescent="0.25">
      <c r="A6061">
        <f ca="1">33173.0494228519*((RANDBETWEEN(2979,3282)))</f>
        <v>103334048.95218368</v>
      </c>
      <c r="B6061">
        <v>146093175.54791772</v>
      </c>
    </row>
    <row r="6062" spans="1:2" x14ac:dyDescent="0.25">
      <c r="A6062">
        <f ca="1">27929.9082094448*((RANDBETWEEN(2979,3282)))</f>
        <v>88928827.738872156</v>
      </c>
      <c r="B6062">
        <v>197247006.70271304</v>
      </c>
    </row>
    <row r="6063" spans="1:2" x14ac:dyDescent="0.25">
      <c r="A6063">
        <f ca="1">26362.8118105324*((RANDBETWEEN(2979,3282)))</f>
        <v>81276548.811871246</v>
      </c>
      <c r="B6063">
        <v>180572108.33238298</v>
      </c>
    </row>
    <row r="6064" spans="1:2" x14ac:dyDescent="0.25">
      <c r="A6064">
        <f ca="1">30055.3916277134*((RANDBETWEEN(2979,3282)))</f>
        <v>96598028.691470996</v>
      </c>
      <c r="B6064">
        <v>149594437.09616581</v>
      </c>
    </row>
    <row r="6065" spans="1:2" x14ac:dyDescent="0.25">
      <c r="A6065">
        <f ca="1">27651.6470020412*((RANDBETWEEN(2979,3282)))</f>
        <v>90448537.343676671</v>
      </c>
      <c r="B6065">
        <v>183249975.08093759</v>
      </c>
    </row>
    <row r="6066" spans="1:2" x14ac:dyDescent="0.25">
      <c r="A6066">
        <f ca="1">26416.2683453377*((RANDBETWEEN(2979,3282)))</f>
        <v>85747207.048966318</v>
      </c>
      <c r="B6066">
        <v>150503472.33288565</v>
      </c>
    </row>
    <row r="6067" spans="1:2" x14ac:dyDescent="0.25">
      <c r="A6067">
        <f ca="1">28849.1959505621*((RANDBETWEEN(2979,3282)))</f>
        <v>89663301.014347062</v>
      </c>
      <c r="B6067">
        <v>151250313.76355007</v>
      </c>
    </row>
    <row r="6068" spans="1:2" x14ac:dyDescent="0.25">
      <c r="A6068">
        <f ca="1">26110.2228401683*((RANDBETWEEN(2979,3282)))</f>
        <v>77991235.62358278</v>
      </c>
      <c r="B6068">
        <v>155325981.58743936</v>
      </c>
    </row>
    <row r="6069" spans="1:2" x14ac:dyDescent="0.25">
      <c r="A6069">
        <f ca="1">26341.6993604921*((RANDBETWEEN(2979,3282)))</f>
        <v>85004663.836308017</v>
      </c>
      <c r="B6069">
        <v>143571212.85528821</v>
      </c>
    </row>
    <row r="6070" spans="1:2" x14ac:dyDescent="0.25">
      <c r="A6070">
        <f ca="1">25065.4299812544*((RANDBETWEEN(2979,3282)))</f>
        <v>76800477.462563619</v>
      </c>
      <c r="B6070">
        <v>193196375.12729234</v>
      </c>
    </row>
    <row r="6071" spans="1:2" x14ac:dyDescent="0.25">
      <c r="A6071">
        <f ca="1">30643.4811465412*((RANDBETWEEN(2979,3282)))</f>
        <v>97507557.008294135</v>
      </c>
      <c r="B6071">
        <v>177270393.93615907</v>
      </c>
    </row>
    <row r="6072" spans="1:2" x14ac:dyDescent="0.25">
      <c r="A6072">
        <f ca="1">27296.0068771236*((RANDBETWEEN(2979,3282)))</f>
        <v>89449014.536334068</v>
      </c>
      <c r="B6072">
        <v>148728725.35548964</v>
      </c>
    </row>
    <row r="6073" spans="1:2" x14ac:dyDescent="0.25">
      <c r="A6073">
        <f ca="1">28104.6568048539*((RANDBETWEEN(2979,3282)))</f>
        <v>91874123.095067397</v>
      </c>
      <c r="B6073">
        <v>165224638.49492347</v>
      </c>
    </row>
    <row r="6074" spans="1:2" x14ac:dyDescent="0.25">
      <c r="A6074">
        <f ca="1">26131.7705675292*((RANDBETWEEN(2979,3282)))</f>
        <v>83882983.521768615</v>
      </c>
      <c r="B6074">
        <v>196472599.82153708</v>
      </c>
    </row>
    <row r="6075" spans="1:2" x14ac:dyDescent="0.25">
      <c r="A6075">
        <f ca="1">25629.5338802824*((RANDBETWEEN(2979,3282)))</f>
        <v>76709194.903685138</v>
      </c>
      <c r="B6075">
        <v>144667662.2755568</v>
      </c>
    </row>
    <row r="6076" spans="1:2" x14ac:dyDescent="0.25">
      <c r="A6076">
        <f ca="1">27421.8246050868*((RANDBETWEEN(2979,3282)))</f>
        <v>86104529.259972513</v>
      </c>
      <c r="B6076">
        <v>169033936.17049095</v>
      </c>
    </row>
    <row r="6077" spans="1:2" x14ac:dyDescent="0.25">
      <c r="A6077">
        <f ca="1">29467.625180915*((RANDBETWEEN(2979,3282)))</f>
        <v>90878156.057941779</v>
      </c>
      <c r="B6077">
        <v>188809160.0156422</v>
      </c>
    </row>
    <row r="6078" spans="1:2" x14ac:dyDescent="0.25">
      <c r="A6078">
        <f ca="1">27151.6217072804*((RANDBETWEEN(2979,3282)))</f>
        <v>84522998.374763772</v>
      </c>
      <c r="B6078">
        <v>152720848.22835991</v>
      </c>
    </row>
    <row r="6079" spans="1:2" x14ac:dyDescent="0.25">
      <c r="A6079">
        <f ca="1">27077.8625311384*((RANDBETWEEN(2979,3282)))</f>
        <v>85647279.185990617</v>
      </c>
      <c r="B6079">
        <v>194175476.26625541</v>
      </c>
    </row>
    <row r="6080" spans="1:2" x14ac:dyDescent="0.25">
      <c r="A6080">
        <f ca="1">28864.3178533341*((RANDBETWEEN(2979,3282)))</f>
        <v>91528751.912922338</v>
      </c>
      <c r="B6080">
        <v>183845535.53100181</v>
      </c>
    </row>
    <row r="6081" spans="1:2" x14ac:dyDescent="0.25">
      <c r="A6081">
        <f ca="1">26259.6015470868*((RANDBETWEEN(2979,3282)))</f>
        <v>83873167.341395363</v>
      </c>
      <c r="B6081">
        <v>161113658.83070815</v>
      </c>
    </row>
    <row r="6082" spans="1:2" x14ac:dyDescent="0.25">
      <c r="A6082">
        <f ca="1">26863.2273344622*((RANDBETWEEN(2979,3282)))</f>
        <v>84511713.194218144</v>
      </c>
      <c r="B6082">
        <v>148665711.72600383</v>
      </c>
    </row>
    <row r="6083" spans="1:2" x14ac:dyDescent="0.25">
      <c r="A6083">
        <f ca="1">25253.5106441535*((RANDBETWEEN(2979,3282)))</f>
        <v>77149475.017889053</v>
      </c>
      <c r="B6083">
        <v>144542609.93987343</v>
      </c>
    </row>
    <row r="6084" spans="1:2" x14ac:dyDescent="0.25">
      <c r="A6084">
        <f ca="1">34919.7837471862*((RANDBETWEEN(2979,3282)))</f>
        <v>110311596.85736106</v>
      </c>
      <c r="B6084">
        <v>185395473.73469791</v>
      </c>
    </row>
    <row r="6085" spans="1:2" x14ac:dyDescent="0.25">
      <c r="A6085">
        <f ca="1">25092.9193185069*((RANDBETWEEN(2979,3282)))</f>
        <v>75078014.600972667</v>
      </c>
      <c r="B6085">
        <v>147210256.99340004</v>
      </c>
    </row>
    <row r="6086" spans="1:2" x14ac:dyDescent="0.25">
      <c r="A6086">
        <f ca="1">27296.2518985385*((RANDBETWEEN(2979,3282)))</f>
        <v>84045159.595600158</v>
      </c>
      <c r="B6086">
        <v>199170398.58329111</v>
      </c>
    </row>
    <row r="6087" spans="1:2" x14ac:dyDescent="0.25">
      <c r="A6087">
        <f ca="1">31122.1738417226*((RANDBETWEEN(2979,3282)))</f>
        <v>99279734.555094987</v>
      </c>
      <c r="B6087">
        <v>168386888.80604792</v>
      </c>
    </row>
    <row r="6088" spans="1:2" x14ac:dyDescent="0.25">
      <c r="A6088">
        <f ca="1">33137.241068654*((RANDBETWEEN(2979,3282)))</f>
        <v>107464072.78564483</v>
      </c>
      <c r="B6088">
        <v>162168387.59736839</v>
      </c>
    </row>
    <row r="6089" spans="1:2" x14ac:dyDescent="0.25">
      <c r="A6089">
        <f ca="1">29823.3181543563*((RANDBETWEEN(2979,3282)))</f>
        <v>96985430.637966678</v>
      </c>
      <c r="B6089">
        <v>164813616.35579363</v>
      </c>
    </row>
    <row r="6090" spans="1:2" x14ac:dyDescent="0.25">
      <c r="A6090">
        <f ca="1">29985.2004234925*((RANDBETWEEN(2979,3282)))</f>
        <v>94063573.728495851</v>
      </c>
      <c r="B6090">
        <v>181773855.98268485</v>
      </c>
    </row>
    <row r="6091" spans="1:2" x14ac:dyDescent="0.25">
      <c r="A6091">
        <f ca="1">27788.4614168352*((RANDBETWEEN(2979,3282)))</f>
        <v>89756730.376377568</v>
      </c>
      <c r="B6091">
        <v>153259888.40766501</v>
      </c>
    </row>
    <row r="6092" spans="1:2" x14ac:dyDescent="0.25">
      <c r="A6092">
        <f ca="1">26262.8064575854*((RANDBETWEEN(2979,3282)))</f>
        <v>82649051.922021121</v>
      </c>
      <c r="B6092">
        <v>147249743.46694681</v>
      </c>
    </row>
    <row r="6093" spans="1:2" x14ac:dyDescent="0.25">
      <c r="A6093">
        <f ca="1">29348.4728267676*((RANDBETWEEN(2979,3282)))</f>
        <v>90451993.252097696</v>
      </c>
      <c r="B6093">
        <v>164626082.90579855</v>
      </c>
    </row>
    <row r="6094" spans="1:2" x14ac:dyDescent="0.25">
      <c r="A6094">
        <f ca="1">26671.6674258564*((RANDBETWEEN(2979,3282)))</f>
        <v>79588255.598755509</v>
      </c>
      <c r="B6094">
        <v>152405792.88437906</v>
      </c>
    </row>
    <row r="6095" spans="1:2" x14ac:dyDescent="0.25">
      <c r="A6095">
        <f ca="1">27744.1558137977*((RANDBETWEEN(2979,3282)))</f>
        <v>86783719.385559067</v>
      </c>
      <c r="B6095">
        <v>187683605.31169406</v>
      </c>
    </row>
    <row r="6096" spans="1:2" x14ac:dyDescent="0.25">
      <c r="A6096">
        <f ca="1">30021.2314225675*((RANDBETWEEN(2979,3282)))</f>
        <v>95797749.469412893</v>
      </c>
      <c r="B6096">
        <v>177562308.47588181</v>
      </c>
    </row>
    <row r="6097" spans="1:2" x14ac:dyDescent="0.25">
      <c r="A6097">
        <f ca="1">30285.5489480644*((RANDBETWEEN(2979,3282)))</f>
        <v>93612631.798467204</v>
      </c>
      <c r="B6097">
        <v>175866670.29151016</v>
      </c>
    </row>
    <row r="6098" spans="1:2" x14ac:dyDescent="0.25">
      <c r="A6098">
        <f ca="1">25853.0296648318*((RANDBETWEEN(2979,3282)))</f>
        <v>79084417.744720504</v>
      </c>
      <c r="B6098">
        <v>163687711.53574228</v>
      </c>
    </row>
    <row r="6099" spans="1:2" x14ac:dyDescent="0.25">
      <c r="A6099">
        <f ca="1">26202.1827496295*((RANDBETWEEN(2979,3282)))</f>
        <v>83532558.605818897</v>
      </c>
      <c r="B6099">
        <v>185980412.77721334</v>
      </c>
    </row>
    <row r="6100" spans="1:2" x14ac:dyDescent="0.25">
      <c r="A6100">
        <f ca="1">25226.0337608614*((RANDBETWEEN(2979,3282)))</f>
        <v>80269239.427060828</v>
      </c>
      <c r="B6100">
        <v>160466371.02957538</v>
      </c>
    </row>
    <row r="6101" spans="1:2" x14ac:dyDescent="0.25">
      <c r="A6101">
        <f ca="1">29987.7611323221*((RANDBETWEEN(2979,3282)))</f>
        <v>93082010.554727808</v>
      </c>
      <c r="B6101">
        <v>200866698.90203312</v>
      </c>
    </row>
    <row r="6102" spans="1:2" x14ac:dyDescent="0.25">
      <c r="A6102">
        <f ca="1">25537.0776137953*((RANDBETWEEN(2979,3282)))</f>
        <v>81948482.062669128</v>
      </c>
      <c r="B6102">
        <v>146613533.77794921</v>
      </c>
    </row>
    <row r="6103" spans="1:2" x14ac:dyDescent="0.25">
      <c r="A6103">
        <f ca="1">26795.7092012914*((RANDBETWEEN(2979,3282)))</f>
        <v>80601493.277484477</v>
      </c>
      <c r="B6103">
        <v>173553549.84823555</v>
      </c>
    </row>
    <row r="6104" spans="1:2" x14ac:dyDescent="0.25">
      <c r="A6104">
        <f ca="1">27826.7803699476*((RANDBETWEEN(2979,3282)))</f>
        <v>87014342.21682629</v>
      </c>
      <c r="B6104">
        <v>178020391.38077658</v>
      </c>
    </row>
    <row r="6105" spans="1:2" x14ac:dyDescent="0.25">
      <c r="A6105">
        <f ca="1">28394.0647538322*((RANDBETWEEN(2979,3282)))</f>
        <v>86715473.758203432</v>
      </c>
      <c r="B6105">
        <v>155240281.46282753</v>
      </c>
    </row>
    <row r="6106" spans="1:2" x14ac:dyDescent="0.25">
      <c r="A6106">
        <f ca="1">27625.2625875155*((RANDBETWEEN(2979,3282)))</f>
        <v>88621842.380749747</v>
      </c>
      <c r="B6106">
        <v>196761955.29294908</v>
      </c>
    </row>
    <row r="6107" spans="1:2" x14ac:dyDescent="0.25">
      <c r="A6107">
        <f ca="1">32861.1138468503*((RANDBETWEEN(2979,3282)))</f>
        <v>100062091.66365914</v>
      </c>
      <c r="B6107">
        <v>159054233.27718198</v>
      </c>
    </row>
    <row r="6108" spans="1:2" x14ac:dyDescent="0.25">
      <c r="A6108">
        <f ca="1">27534.8707806895*((RANDBETWEEN(2979,3282)))</f>
        <v>82108984.66801618</v>
      </c>
      <c r="B6108">
        <v>165081360.89925784</v>
      </c>
    </row>
    <row r="6109" spans="1:2" x14ac:dyDescent="0.25">
      <c r="A6109">
        <f ca="1">27993.0261608991*((RANDBETWEEN(2979,3282)))</f>
        <v>85070806.502972513</v>
      </c>
      <c r="B6109">
        <v>149339701.65696257</v>
      </c>
    </row>
    <row r="6110" spans="1:2" x14ac:dyDescent="0.25">
      <c r="A6110">
        <f ca="1">26917.5486194129*((RANDBETWEEN(2979,3282)))</f>
        <v>85194041.380441785</v>
      </c>
      <c r="B6110">
        <v>149832472.45875818</v>
      </c>
    </row>
    <row r="6111" spans="1:2" x14ac:dyDescent="0.25">
      <c r="A6111">
        <f ca="1">28348.180542824*((RANDBETWEEN(2979,3282)))</f>
        <v>84959497.086843535</v>
      </c>
      <c r="B6111">
        <v>154301785.81549516</v>
      </c>
    </row>
    <row r="6112" spans="1:2" x14ac:dyDescent="0.25">
      <c r="A6112">
        <f ca="1">27294.2479639307*((RANDBETWEEN(2979,3282)))</f>
        <v>86850297.021227539</v>
      </c>
      <c r="B6112">
        <v>144047218.03923732</v>
      </c>
    </row>
    <row r="6113" spans="1:2" x14ac:dyDescent="0.25">
      <c r="A6113">
        <f ca="1">29947.8760222041*((RANDBETWEEN(2979,3282)))</f>
        <v>90921751.60341166</v>
      </c>
      <c r="B6113">
        <v>178328416.96913654</v>
      </c>
    </row>
    <row r="6114" spans="1:2" x14ac:dyDescent="0.25">
      <c r="A6114">
        <f ca="1">27291.1429554108*((RANDBETWEEN(2979,3282)))</f>
        <v>86458340.882741466</v>
      </c>
      <c r="B6114">
        <v>148105565.73799598</v>
      </c>
    </row>
    <row r="6115" spans="1:2" x14ac:dyDescent="0.25">
      <c r="A6115">
        <f ca="1">27435.1922818968*((RANDBETWEEN(2979,3282)))</f>
        <v>87984661.648043141</v>
      </c>
      <c r="B6115">
        <v>155226551.46434718</v>
      </c>
    </row>
    <row r="6116" spans="1:2" x14ac:dyDescent="0.25">
      <c r="A6116">
        <f ca="1">26704.5676760825*((RANDBETWEEN(2979,3282)))</f>
        <v>85107457.183674917</v>
      </c>
      <c r="B6116">
        <v>163858646.78947854</v>
      </c>
    </row>
    <row r="6117" spans="1:2" x14ac:dyDescent="0.25">
      <c r="A6117">
        <f ca="1">31693.5740940872*((RANDBETWEEN(2979,3282)))</f>
        <v>96950643.153812751</v>
      </c>
      <c r="B6117">
        <v>202752667.79200318</v>
      </c>
    </row>
    <row r="6118" spans="1:2" x14ac:dyDescent="0.25">
      <c r="A6118">
        <f ca="1">27619.6423165407*((RANDBETWEEN(2979,3282)))</f>
        <v>84930400.123362601</v>
      </c>
      <c r="B6118">
        <v>163535934.40548509</v>
      </c>
    </row>
    <row r="6119" spans="1:2" x14ac:dyDescent="0.25">
      <c r="A6119">
        <f ca="1">29417.211356034*((RANDBETWEEN(2979,3282)))</f>
        <v>90163752.806244165</v>
      </c>
      <c r="B6119">
        <v>192029046.89328861</v>
      </c>
    </row>
    <row r="6120" spans="1:2" x14ac:dyDescent="0.25">
      <c r="A6120">
        <f ca="1">25927.9304612763*((RANDBETWEEN(2979,3282)))</f>
        <v>79287611.350582913</v>
      </c>
      <c r="B6120">
        <v>194293463.10157105</v>
      </c>
    </row>
    <row r="6121" spans="1:2" x14ac:dyDescent="0.25">
      <c r="A6121">
        <f ca="1">26550.6401409313*((RANDBETWEEN(2979,3282)))</f>
        <v>86369232.378449544</v>
      </c>
      <c r="B6121">
        <v>151563092.65463781</v>
      </c>
    </row>
    <row r="6122" spans="1:2" x14ac:dyDescent="0.25">
      <c r="A6122">
        <f ca="1">26848.3554628339*((RANDBETWEEN(2979,3282)))</f>
        <v>87928364.140781149</v>
      </c>
      <c r="B6122">
        <v>152188984.289671</v>
      </c>
    </row>
    <row r="6123" spans="1:2" x14ac:dyDescent="0.25">
      <c r="A6123">
        <f ca="1">26801.8208220721*((RANDBETWEEN(2979,3282)))</f>
        <v>84184519.202128381</v>
      </c>
      <c r="B6123">
        <v>172273986.02839386</v>
      </c>
    </row>
    <row r="6124" spans="1:2" x14ac:dyDescent="0.25">
      <c r="A6124">
        <f ca="1">27452.1798911446*((RANDBETWEEN(2979,3282)))</f>
        <v>84854688.043528095</v>
      </c>
      <c r="B6124">
        <v>165145913.88057631</v>
      </c>
    </row>
    <row r="6125" spans="1:2" x14ac:dyDescent="0.25">
      <c r="A6125">
        <f ca="1">28427.987220372*((RANDBETWEEN(2979,3282)))</f>
        <v>90912703.130749688</v>
      </c>
      <c r="B6125">
        <v>189730733.29226014</v>
      </c>
    </row>
    <row r="6126" spans="1:2" x14ac:dyDescent="0.25">
      <c r="A6126">
        <f ca="1">29217.177371375*((RANDBETWEEN(2979,3282)))</f>
        <v>88089789.774695545</v>
      </c>
      <c r="B6126">
        <v>190257231.06207711</v>
      </c>
    </row>
    <row r="6127" spans="1:2" x14ac:dyDescent="0.25">
      <c r="A6127">
        <f ca="1">26230.5734886281*((RANDBETWEEN(2979,3282)))</f>
        <v>80475399.463110968</v>
      </c>
      <c r="B6127">
        <v>169549214.18171591</v>
      </c>
    </row>
    <row r="6128" spans="1:2" x14ac:dyDescent="0.25">
      <c r="A6128">
        <f ca="1">30849.5088070931*((RANDBETWEEN(2979,3282)))</f>
        <v>100353452.14947371</v>
      </c>
      <c r="B6128">
        <v>198666046.92699674</v>
      </c>
    </row>
    <row r="6129" spans="1:2" x14ac:dyDescent="0.25">
      <c r="A6129">
        <f ca="1">26969.1089016084*((RANDBETWEEN(2979,3282)))</f>
        <v>86193272.049540505</v>
      </c>
      <c r="B6129">
        <v>160745624.27264738</v>
      </c>
    </row>
    <row r="6130" spans="1:2" x14ac:dyDescent="0.25">
      <c r="A6130">
        <f ca="1">27840.8787232813*((RANDBETWEEN(2979,3282)))</f>
        <v>87141950.403870627</v>
      </c>
      <c r="B6130">
        <v>143507115.41836944</v>
      </c>
    </row>
    <row r="6131" spans="1:2" x14ac:dyDescent="0.25">
      <c r="A6131">
        <f ca="1">26336.6136730108*((RANDBETWEEN(2979,3282)))</f>
        <v>83987461.003231406</v>
      </c>
      <c r="B6131">
        <v>202013643.6708023</v>
      </c>
    </row>
    <row r="6132" spans="1:2" x14ac:dyDescent="0.25">
      <c r="A6132">
        <f ca="1">27226.1127779763*((RANDBETWEEN(2979,3282)))</f>
        <v>88076474.836753264</v>
      </c>
      <c r="B6132">
        <v>165128786.51292562</v>
      </c>
    </row>
    <row r="6133" spans="1:2" x14ac:dyDescent="0.25">
      <c r="A6133">
        <f ca="1">31089.9562504975*((RANDBETWEEN(2979,3282)))</f>
        <v>100669278.33911094</v>
      </c>
      <c r="B6133">
        <v>166581774.43785247</v>
      </c>
    </row>
    <row r="6134" spans="1:2" x14ac:dyDescent="0.25">
      <c r="A6134">
        <f ca="1">29162.2883508153*((RANDBETWEEN(2979,3282)))</f>
        <v>89294926.93019633</v>
      </c>
      <c r="B6134">
        <v>152669294.41342348</v>
      </c>
    </row>
    <row r="6135" spans="1:2" x14ac:dyDescent="0.25">
      <c r="A6135">
        <f ca="1">25706.8941063338*((RANDBETWEEN(2979,3282)))</f>
        <v>83598819.633797646</v>
      </c>
      <c r="B6135">
        <v>160000811.55448449</v>
      </c>
    </row>
    <row r="6136" spans="1:2" x14ac:dyDescent="0.25">
      <c r="A6136">
        <f ca="1">28601.305132761*((RANDBETWEEN(2979,3282)))</f>
        <v>87548595.011381328</v>
      </c>
      <c r="B6136">
        <v>172714784.74758071</v>
      </c>
    </row>
    <row r="6137" spans="1:2" x14ac:dyDescent="0.25">
      <c r="A6137">
        <f ca="1">27501.7477879562*((RANDBETWEEN(2979,3282)))</f>
        <v>83962835.996630177</v>
      </c>
      <c r="B6137">
        <v>142978934.15938219</v>
      </c>
    </row>
    <row r="6138" spans="1:2" x14ac:dyDescent="0.25">
      <c r="A6138">
        <f ca="1">27113.1094045577*((RANDBETWEEN(2979,3282)))</f>
        <v>87494004.048507825</v>
      </c>
      <c r="B6138">
        <v>201227134.37589011</v>
      </c>
    </row>
    <row r="6139" spans="1:2" x14ac:dyDescent="0.25">
      <c r="A6139">
        <f ca="1">24273.4778451788*((RANDBETWEEN(2979,3282)))</f>
        <v>78281966.050701499</v>
      </c>
      <c r="B6139">
        <v>146991021.009507</v>
      </c>
    </row>
    <row r="6140" spans="1:2" x14ac:dyDescent="0.25">
      <c r="A6140">
        <f ca="1">25800.796057464*((RANDBETWEEN(2979,3282)))</f>
        <v>84342802.311849967</v>
      </c>
      <c r="B6140">
        <v>164256490.45723584</v>
      </c>
    </row>
    <row r="6141" spans="1:2" x14ac:dyDescent="0.25">
      <c r="A6141">
        <f ca="1">26017.5696715243*((RANDBETWEEN(2979,3282)))</f>
        <v>79275534.789134458</v>
      </c>
      <c r="B6141">
        <v>163390333.71825507</v>
      </c>
    </row>
    <row r="6142" spans="1:2" x14ac:dyDescent="0.25">
      <c r="A6142">
        <f ca="1">26407.76840958*((RANDBETWEEN(2979,3282)))</f>
        <v>86194956.088869065</v>
      </c>
      <c r="B6142">
        <v>144248570.20902807</v>
      </c>
    </row>
    <row r="6143" spans="1:2" x14ac:dyDescent="0.25">
      <c r="A6143">
        <f ca="1">27578.2487941122*((RANDBETWEEN(2979,3282)))</f>
        <v>89877512.820011631</v>
      </c>
      <c r="B6143">
        <v>170825534.66777188</v>
      </c>
    </row>
    <row r="6144" spans="1:2" x14ac:dyDescent="0.25">
      <c r="A6144">
        <f ca="1">33621.1904758437*((RANDBETWEEN(2979,3282)))</f>
        <v>106814522.14175554</v>
      </c>
      <c r="B6144">
        <v>172902725.26285067</v>
      </c>
    </row>
    <row r="6145" spans="1:2" x14ac:dyDescent="0.25">
      <c r="A6145">
        <f ca="1">29412.4445753487*((RANDBETWEEN(2979,3282)))</f>
        <v>94737483.977198154</v>
      </c>
      <c r="B6145">
        <v>203183730.19148457</v>
      </c>
    </row>
    <row r="6146" spans="1:2" x14ac:dyDescent="0.25">
      <c r="A6146">
        <f ca="1">25844.9933571061*((RANDBETWEEN(2979,3282)))</f>
        <v>83582708.516881034</v>
      </c>
      <c r="B6146">
        <v>157641683.93260673</v>
      </c>
    </row>
    <row r="6147" spans="1:2" x14ac:dyDescent="0.25">
      <c r="A6147">
        <f ca="1">27012.0620564054*((RANDBETWEEN(2979,3282)))</f>
        <v>87465056.938640594</v>
      </c>
      <c r="B6147">
        <v>145377975.91242683</v>
      </c>
    </row>
    <row r="6148" spans="1:2" x14ac:dyDescent="0.25">
      <c r="A6148">
        <f ca="1">31695.5513571528*((RANDBETWEEN(2979,3282)))</f>
        <v>103042237.46210386</v>
      </c>
      <c r="B6148">
        <v>189480394.80540943</v>
      </c>
    </row>
    <row r="6149" spans="1:2" x14ac:dyDescent="0.25">
      <c r="A6149">
        <f ca="1">28728.0472537483*((RANDBETWEEN(2979,3282)))</f>
        <v>87534359.982171044</v>
      </c>
      <c r="B6149">
        <v>176440725.07722294</v>
      </c>
    </row>
    <row r="6150" spans="1:2" x14ac:dyDescent="0.25">
      <c r="A6150">
        <f ca="1">26374.390408279*((RANDBETWEEN(2979,3282)))</f>
        <v>79729782.204227284</v>
      </c>
      <c r="B6150">
        <v>149196340.66518292</v>
      </c>
    </row>
    <row r="6151" spans="1:2" x14ac:dyDescent="0.25">
      <c r="A6151">
        <f ca="1">27605.6046107762*((RANDBETWEEN(2979,3282)))</f>
        <v>83092869.878436208</v>
      </c>
      <c r="B6151">
        <v>152608782.13388669</v>
      </c>
    </row>
    <row r="6152" spans="1:2" x14ac:dyDescent="0.25">
      <c r="A6152">
        <f ca="1">26877.0272969248*((RANDBETWEEN(2979,3282)))</f>
        <v>80174172.426726565</v>
      </c>
      <c r="B6152">
        <v>143959555.27285069</v>
      </c>
    </row>
    <row r="6153" spans="1:2" x14ac:dyDescent="0.25">
      <c r="A6153">
        <f ca="1">26892.1306419722*((RANDBETWEEN(2979,3282)))</f>
        <v>83526957.773965776</v>
      </c>
      <c r="B6153">
        <v>148191128.55697402</v>
      </c>
    </row>
    <row r="6154" spans="1:2" x14ac:dyDescent="0.25">
      <c r="A6154">
        <f ca="1">29241.7065687268*((RANDBETWEEN(2979,3282)))</f>
        <v>91877442.03893961</v>
      </c>
      <c r="B6154">
        <v>181404274.68872234</v>
      </c>
    </row>
    <row r="6155" spans="1:2" x14ac:dyDescent="0.25">
      <c r="A6155">
        <f ca="1">27146.5337729567*((RANDBETWEEN(2979,3282)))</f>
        <v>85158676.445765018</v>
      </c>
      <c r="B6155">
        <v>144121315.50218794</v>
      </c>
    </row>
    <row r="6156" spans="1:2" x14ac:dyDescent="0.25">
      <c r="A6156">
        <f ca="1">27384.8981809341*((RANDBETWEEN(2979,3282)))</f>
        <v>81853460.66281192</v>
      </c>
      <c r="B6156">
        <v>178118323.7634654</v>
      </c>
    </row>
    <row r="6157" spans="1:2" x14ac:dyDescent="0.25">
      <c r="A6157">
        <f ca="1">32313.7285236404*((RANDBETWEEN(2979,3282)))</f>
        <v>98524558.268579647</v>
      </c>
      <c r="B6157">
        <v>149708542.92588696</v>
      </c>
    </row>
    <row r="6158" spans="1:2" x14ac:dyDescent="0.25">
      <c r="A6158">
        <f ca="1">26869.3372552819*((RANDBETWEEN(2979,3282)))</f>
        <v>83832332.236479387</v>
      </c>
      <c r="B6158">
        <v>147335343.85069919</v>
      </c>
    </row>
    <row r="6159" spans="1:2" x14ac:dyDescent="0.25">
      <c r="A6159">
        <f ca="1">28005.0425325381*((RANDBETWEEN(2979,3282)))</f>
        <v>86507576.383010149</v>
      </c>
      <c r="B6159">
        <v>146194246.53876078</v>
      </c>
    </row>
    <row r="6160" spans="1:2" x14ac:dyDescent="0.25">
      <c r="A6160">
        <f ca="1">26664.7125790282*((RANDBETWEEN(2979,3282)))</f>
        <v>81727344.054721504</v>
      </c>
      <c r="B6160">
        <v>174307571.73773766</v>
      </c>
    </row>
    <row r="6161" spans="1:2" x14ac:dyDescent="0.25">
      <c r="A6161">
        <f ca="1">26629.3060718513*((RANDBETWEEN(2979,3282)))</f>
        <v>85267038.04206793</v>
      </c>
      <c r="B6161">
        <v>176906668.06647348</v>
      </c>
    </row>
    <row r="6162" spans="1:2" x14ac:dyDescent="0.25">
      <c r="A6162">
        <f ca="1">27129.1681441125*((RANDBETWEEN(2979,3282)))</f>
        <v>82337025.317381486</v>
      </c>
      <c r="B6162">
        <v>166384974.57337585</v>
      </c>
    </row>
    <row r="6163" spans="1:2" x14ac:dyDescent="0.25">
      <c r="A6163">
        <f ca="1">27971.3050261816*((RANDBETWEEN(2979,3282)))</f>
        <v>87885840.392262682</v>
      </c>
      <c r="B6163">
        <v>198024295.19355416</v>
      </c>
    </row>
    <row r="6164" spans="1:2" x14ac:dyDescent="0.25">
      <c r="A6164">
        <f ca="1">26741.096771493*((RANDBETWEEN(2979,3282)))</f>
        <v>84287937.02374585</v>
      </c>
      <c r="B6164">
        <v>181781400.46827394</v>
      </c>
    </row>
    <row r="6165" spans="1:2" x14ac:dyDescent="0.25">
      <c r="A6165">
        <f ca="1">25957.4997545837*((RANDBETWEEN(2979,3282)))</f>
        <v>79040586.752707392</v>
      </c>
      <c r="B6165">
        <v>148462431.02442661</v>
      </c>
    </row>
    <row r="6166" spans="1:2" x14ac:dyDescent="0.25">
      <c r="A6166">
        <f ca="1">28699.2793476001*((RANDBETWEEN(2979,3282)))</f>
        <v>86844019.305838004</v>
      </c>
      <c r="B6166">
        <v>156445776.52189237</v>
      </c>
    </row>
    <row r="6167" spans="1:2" x14ac:dyDescent="0.25">
      <c r="A6167">
        <f ca="1">26183.8938231364*((RANDBETWEEN(2979,3282)))</f>
        <v>84966735.456077531</v>
      </c>
      <c r="B6167">
        <v>151360830.21291333</v>
      </c>
    </row>
    <row r="6168" spans="1:2" x14ac:dyDescent="0.25">
      <c r="A6168">
        <f ca="1">29448.3712800101*((RANDBETWEEN(2979,3282)))</f>
        <v>92909611.388431981</v>
      </c>
      <c r="B6168">
        <v>166951133.68809965</v>
      </c>
    </row>
    <row r="6169" spans="1:2" x14ac:dyDescent="0.25">
      <c r="A6169">
        <f ca="1">31865.7450523697*((RANDBETWEEN(2979,3282)))</f>
        <v>95055517.491218746</v>
      </c>
      <c r="B6169">
        <v>199292866.23513725</v>
      </c>
    </row>
    <row r="6170" spans="1:2" x14ac:dyDescent="0.25">
      <c r="A6170">
        <f ca="1">29572.642339489*((RANDBETWEEN(2979,3282)))</f>
        <v>93774848.858519778</v>
      </c>
      <c r="B6170">
        <v>162429573.40114266</v>
      </c>
    </row>
    <row r="6171" spans="1:2" x14ac:dyDescent="0.25">
      <c r="A6171">
        <f ca="1">25129.9786531923*((RANDBETWEEN(2979,3282)))</f>
        <v>80767751.391360089</v>
      </c>
      <c r="B6171">
        <v>181872962.64402276</v>
      </c>
    </row>
    <row r="6172" spans="1:2" x14ac:dyDescent="0.25">
      <c r="A6172">
        <f ca="1">27413.5813256648*((RANDBETWEEN(2979,3282)))</f>
        <v>81719885.931806698</v>
      </c>
      <c r="B6172">
        <v>152739800.9310073</v>
      </c>
    </row>
    <row r="6173" spans="1:2" x14ac:dyDescent="0.25">
      <c r="A6173">
        <f ca="1">26400.429951077*((RANDBETWEEN(2979,3282)))</f>
        <v>80732514.790393606</v>
      </c>
      <c r="B6173">
        <v>173418860.73834673</v>
      </c>
    </row>
    <row r="6174" spans="1:2" x14ac:dyDescent="0.25">
      <c r="A6174">
        <f ca="1">28453.1200650776*((RANDBETWEEN(2979,3282)))</f>
        <v>87920141.001089856</v>
      </c>
      <c r="B6174">
        <v>159581947.81526545</v>
      </c>
    </row>
    <row r="6175" spans="1:2" x14ac:dyDescent="0.25">
      <c r="A6175">
        <f ca="1">30882.9903549784*((RANDBETWEEN(2979,3282)))</f>
        <v>98146143.348121464</v>
      </c>
      <c r="B6175">
        <v>148153598.77939287</v>
      </c>
    </row>
    <row r="6176" spans="1:2" x14ac:dyDescent="0.25">
      <c r="A6176">
        <f ca="1">30834.6934627846*((RANDBETWEEN(2979,3282)))</f>
        <v>99534390.497868791</v>
      </c>
      <c r="B6176">
        <v>198366723.4862271</v>
      </c>
    </row>
    <row r="6177" spans="1:2" x14ac:dyDescent="0.25">
      <c r="A6177">
        <f ca="1">30249.397705402*((RANDBETWEEN(2979,3282)))</f>
        <v>97433310.009099692</v>
      </c>
      <c r="B6177">
        <v>150712168.96977413</v>
      </c>
    </row>
    <row r="6178" spans="1:2" x14ac:dyDescent="0.25">
      <c r="A6178">
        <f ca="1">27508.8692172274*((RANDBETWEEN(2979,3282)))</f>
        <v>82829205.213071659</v>
      </c>
      <c r="B6178">
        <v>184762122.58392039</v>
      </c>
    </row>
    <row r="6179" spans="1:2" x14ac:dyDescent="0.25">
      <c r="A6179">
        <f ca="1">28453.3081610763*((RANDBETWEEN(2979,3282)))</f>
        <v>85103844.709779084</v>
      </c>
      <c r="B6179">
        <v>182650903.03468513</v>
      </c>
    </row>
    <row r="6180" spans="1:2" x14ac:dyDescent="0.25">
      <c r="A6180">
        <f ca="1">29885.2096622806*((RANDBETWEEN(2979,3282)))</f>
        <v>96051063.854569733</v>
      </c>
      <c r="B6180">
        <v>152746731.63208732</v>
      </c>
    </row>
    <row r="6181" spans="1:2" x14ac:dyDescent="0.25">
      <c r="A6181">
        <f ca="1">27965.0595727244*((RANDBETWEEN(2979,3282)))</f>
        <v>86412034.079718485</v>
      </c>
      <c r="B6181">
        <v>157290179.52950585</v>
      </c>
    </row>
    <row r="6182" spans="1:2" x14ac:dyDescent="0.25">
      <c r="A6182">
        <f ca="1">26424.1404663636*((RANDBETWEEN(2979,3282)))</f>
        <v>81729866.462462649</v>
      </c>
      <c r="B6182">
        <v>166298764.90154496</v>
      </c>
    </row>
    <row r="6183" spans="1:2" x14ac:dyDescent="0.25">
      <c r="A6183">
        <f ca="1">29243.1679660878*((RANDBETWEEN(2979,3282)))</f>
        <v>90741550.1987703</v>
      </c>
      <c r="B6183">
        <v>177013009.84412557</v>
      </c>
    </row>
    <row r="6184" spans="1:2" x14ac:dyDescent="0.25">
      <c r="A6184">
        <f ca="1">26917.9681325204*((RANDBETWEEN(2979,3282)))</f>
        <v>84226322.286656439</v>
      </c>
      <c r="B6184">
        <v>189159501.31346643</v>
      </c>
    </row>
    <row r="6185" spans="1:2" x14ac:dyDescent="0.25">
      <c r="A6185">
        <f ca="1">27047.8098458423*((RANDBETWEEN(2979,3282)))</f>
        <v>85281744.443940699</v>
      </c>
      <c r="B6185">
        <v>149178763.75899357</v>
      </c>
    </row>
    <row r="6186" spans="1:2" x14ac:dyDescent="0.25">
      <c r="A6186">
        <f ca="1">28256.8156036291*((RANDBETWEEN(2979,3282)))</f>
        <v>86381085.300294161</v>
      </c>
      <c r="B6186">
        <v>144428557.58093226</v>
      </c>
    </row>
    <row r="6187" spans="1:2" x14ac:dyDescent="0.25">
      <c r="A6187">
        <f ca="1">27059.5978201314*((RANDBETWEEN(2979,3282)))</f>
        <v>85535388.709435225</v>
      </c>
      <c r="B6187">
        <v>161485472.2522409</v>
      </c>
    </row>
    <row r="6188" spans="1:2" x14ac:dyDescent="0.25">
      <c r="A6188">
        <f ca="1">26252.4090125479*((RANDBETWEEN(2979,3282)))</f>
        <v>78809731.855668932</v>
      </c>
      <c r="B6188">
        <v>159513676.18688157</v>
      </c>
    </row>
    <row r="6189" spans="1:2" x14ac:dyDescent="0.25">
      <c r="A6189">
        <f ca="1">27896.494683074*((RANDBETWEEN(2979,3282)))</f>
        <v>88180819.693197012</v>
      </c>
      <c r="B6189">
        <v>186665698.45636818</v>
      </c>
    </row>
    <row r="6190" spans="1:2" x14ac:dyDescent="0.25">
      <c r="A6190">
        <f ca="1">27180.3485991074*((RANDBETWEEN(2979,3282)))</f>
        <v>83362129.153462619</v>
      </c>
      <c r="B6190">
        <v>152466253.57052308</v>
      </c>
    </row>
    <row r="6191" spans="1:2" x14ac:dyDescent="0.25">
      <c r="A6191">
        <f ca="1">25256.9316934064*((RANDBETWEEN(2979,3282)))</f>
        <v>77336724.845210493</v>
      </c>
      <c r="B6191">
        <v>155234726.73152852</v>
      </c>
    </row>
    <row r="6192" spans="1:2" x14ac:dyDescent="0.25">
      <c r="A6192">
        <f ca="1">26383.2120301791*((RANDBETWEEN(2979,3282)))</f>
        <v>85244158.069508731</v>
      </c>
      <c r="B6192">
        <v>165086926.79524919</v>
      </c>
    </row>
    <row r="6193" spans="1:2" x14ac:dyDescent="0.25">
      <c r="A6193">
        <f ca="1">26246.4419848761*((RANDBETWEEN(2979,3282)))</f>
        <v>80812794.87143366</v>
      </c>
      <c r="B6193">
        <v>164301786.81557354</v>
      </c>
    </row>
    <row r="6194" spans="1:2" x14ac:dyDescent="0.25">
      <c r="A6194">
        <f ca="1">29358.1541495427*((RANDBETWEEN(2979,3282)))</f>
        <v>90452472.934741095</v>
      </c>
      <c r="B6194">
        <v>192286996.23373249</v>
      </c>
    </row>
    <row r="6195" spans="1:2" x14ac:dyDescent="0.25">
      <c r="A6195">
        <f ca="1">26725.1041479653*((RANDBETWEEN(2979,3282)))</f>
        <v>86963488.897479206</v>
      </c>
      <c r="B6195">
        <v>152685905.3413941</v>
      </c>
    </row>
    <row r="6196" spans="1:2" x14ac:dyDescent="0.25">
      <c r="A6196">
        <f ca="1">28492.168063439*((RANDBETWEEN(2979,3282)))</f>
        <v>93482803.416143417</v>
      </c>
      <c r="B6196">
        <v>160934342.64740732</v>
      </c>
    </row>
    <row r="6197" spans="1:2" x14ac:dyDescent="0.25">
      <c r="A6197">
        <f ca="1">32569.6777545876*((RANDBETWEEN(2979,3282)))</f>
        <v>105460616.56935449</v>
      </c>
      <c r="B6197">
        <v>169361070.00496024</v>
      </c>
    </row>
    <row r="6198" spans="1:2" x14ac:dyDescent="0.25">
      <c r="A6198">
        <f ca="1">29400.7683230179*((RANDBETWEEN(2979,3282)))</f>
        <v>91436389.484585658</v>
      </c>
      <c r="B6198">
        <v>142976430.47630942</v>
      </c>
    </row>
    <row r="6199" spans="1:2" x14ac:dyDescent="0.25">
      <c r="A6199">
        <f ca="1">29232.3377891496*((RANDBETWEEN(2979,3282)))</f>
        <v>94186592.356640145</v>
      </c>
      <c r="B6199">
        <v>190446632.72437841</v>
      </c>
    </row>
    <row r="6200" spans="1:2" x14ac:dyDescent="0.25">
      <c r="A6200">
        <f ca="1">33590.8092902139*((RANDBETWEEN(2979,3282)))</f>
        <v>104097917.99037288</v>
      </c>
      <c r="B6200">
        <v>170776037.07039034</v>
      </c>
    </row>
    <row r="6201" spans="1:2" x14ac:dyDescent="0.25">
      <c r="A6201">
        <f ca="1">25904.5980297411*((RANDBETWEEN(2979,3282)))</f>
        <v>80925964.244911194</v>
      </c>
      <c r="B6201">
        <v>144744915.09171578</v>
      </c>
    </row>
    <row r="6202" spans="1:2" x14ac:dyDescent="0.25">
      <c r="A6202">
        <f ca="1">26854.4187015265*((RANDBETWEEN(2979,3282)))</f>
        <v>81395743.084326819</v>
      </c>
      <c r="B6202">
        <v>158995255.39464793</v>
      </c>
    </row>
    <row r="6203" spans="1:2" x14ac:dyDescent="0.25">
      <c r="A6203">
        <f ca="1">27380.9088473987*((RANDBETWEEN(2979,3282)))</f>
        <v>82580821.083754614</v>
      </c>
      <c r="B6203">
        <v>163457926.65770224</v>
      </c>
    </row>
    <row r="6204" spans="1:2" x14ac:dyDescent="0.25">
      <c r="A6204">
        <f ca="1">27235.9756659819*((RANDBETWEEN(2979,3282)))</f>
        <v>81789634.924943626</v>
      </c>
      <c r="B6204">
        <v>156274173.68011788</v>
      </c>
    </row>
    <row r="6205" spans="1:2" x14ac:dyDescent="0.25">
      <c r="A6205">
        <f ca="1">27385.6089523281*((RANDBETWEEN(2979,3282)))</f>
        <v>85306171.886502102</v>
      </c>
      <c r="B6205">
        <v>185856481.21505886</v>
      </c>
    </row>
    <row r="6206" spans="1:2" x14ac:dyDescent="0.25">
      <c r="A6206">
        <f ca="1">29520.7647600536*((RANDBETWEEN(2979,3282)))</f>
        <v>91337246.167605922</v>
      </c>
      <c r="B6206">
        <v>155312096.02742019</v>
      </c>
    </row>
    <row r="6207" spans="1:2" x14ac:dyDescent="0.25">
      <c r="A6207">
        <f ca="1">29586.2961057575*((RANDBETWEEN(2979,3282)))</f>
        <v>91717517.927848309</v>
      </c>
      <c r="B6207">
        <v>163927716.22079989</v>
      </c>
    </row>
    <row r="6208" spans="1:2" x14ac:dyDescent="0.25">
      <c r="A6208">
        <f ca="1">25160.1407698623*((RANDBETWEEN(2979,3282)))</f>
        <v>75304301.324198008</v>
      </c>
      <c r="B6208">
        <v>153714836.26845896</v>
      </c>
    </row>
    <row r="6209" spans="1:2" x14ac:dyDescent="0.25">
      <c r="A6209">
        <f ca="1">31381.151716884*((RANDBETWEEN(2979,3282)))</f>
        <v>102522222.65906011</v>
      </c>
      <c r="B6209">
        <v>198987988.11976233</v>
      </c>
    </row>
    <row r="6210" spans="1:2" x14ac:dyDescent="0.25">
      <c r="A6210">
        <f ca="1">29205.7364960469*((RANDBETWEEN(2979,3282)))</f>
        <v>91005074.921682119</v>
      </c>
      <c r="B6210">
        <v>146311289.54626793</v>
      </c>
    </row>
    <row r="6211" spans="1:2" x14ac:dyDescent="0.25">
      <c r="A6211">
        <f ca="1">27365.9000656962*((RANDBETWEEN(2979,3282)))</f>
        <v>85819462.606023192</v>
      </c>
      <c r="B6211">
        <v>179310512.58450028</v>
      </c>
    </row>
    <row r="6212" spans="1:2" x14ac:dyDescent="0.25">
      <c r="A6212">
        <f ca="1">28640.3587359446*((RANDBETWEEN(2979,3282)))</f>
        <v>86808927.32864815</v>
      </c>
      <c r="B6212">
        <v>188598904.85623139</v>
      </c>
    </row>
    <row r="6213" spans="1:2" x14ac:dyDescent="0.25">
      <c r="A6213">
        <f ca="1">25721.3820853155*((RANDBETWEEN(2979,3282)))</f>
        <v>81202403.243341178</v>
      </c>
      <c r="B6213">
        <v>157771502.1832968</v>
      </c>
    </row>
    <row r="6214" spans="1:2" x14ac:dyDescent="0.25">
      <c r="A6214">
        <f ca="1">31161.4858085965*((RANDBETWEEN(2979,3282)))</f>
        <v>97784742.467375845</v>
      </c>
      <c r="B6214">
        <v>157974531.99125361</v>
      </c>
    </row>
    <row r="6215" spans="1:2" x14ac:dyDescent="0.25">
      <c r="A6215">
        <f ca="1">25859.012134082*((RANDBETWEEN(2979,3282)))</f>
        <v>79930206.506447509</v>
      </c>
      <c r="B6215">
        <v>154335845.1085611</v>
      </c>
    </row>
    <row r="6216" spans="1:2" x14ac:dyDescent="0.25">
      <c r="A6216">
        <f ca="1">29874.2997472248*((RANDBETWEEN(2979,3282)))</f>
        <v>94462535.800724685</v>
      </c>
      <c r="B6216">
        <v>171988844.61566347</v>
      </c>
    </row>
    <row r="6217" spans="1:2" x14ac:dyDescent="0.25">
      <c r="A6217">
        <f ca="1">26033.2309249234*((RANDBETWEEN(2979,3282)))</f>
        <v>79088955.549917266</v>
      </c>
      <c r="B6217">
        <v>145397410.45286903</v>
      </c>
    </row>
    <row r="6218" spans="1:2" x14ac:dyDescent="0.25">
      <c r="A6218">
        <f ca="1">27344.5547132773*((RANDBETWEEN(2979,3282)))</f>
        <v>86053313.682683781</v>
      </c>
      <c r="B6218">
        <v>146580615.02106887</v>
      </c>
    </row>
    <row r="6219" spans="1:2" x14ac:dyDescent="0.25">
      <c r="A6219">
        <f ca="1">34012.878257986*((RANDBETWEEN(2979,3282)))</f>
        <v>109929622.52981082</v>
      </c>
      <c r="B6219">
        <v>203514021.86546621</v>
      </c>
    </row>
    <row r="6220" spans="1:2" x14ac:dyDescent="0.25">
      <c r="A6220">
        <f ca="1">28328.2978987043*((RANDBETWEEN(2979,3282)))</f>
        <v>85579787.951985583</v>
      </c>
      <c r="B6220">
        <v>149893349.38398337</v>
      </c>
    </row>
    <row r="6221" spans="1:2" x14ac:dyDescent="0.25">
      <c r="A6221">
        <f ca="1">26667.4126623909*((RANDBETWEEN(2979,3282)))</f>
        <v>79868900.923860848</v>
      </c>
      <c r="B6221">
        <v>144706301.63918215</v>
      </c>
    </row>
    <row r="6222" spans="1:2" x14ac:dyDescent="0.25">
      <c r="A6222">
        <f ca="1">25876.3684203021*((RANDBETWEEN(2979,3282)))</f>
        <v>81588189.629212663</v>
      </c>
      <c r="B6222">
        <v>154422788.6492396</v>
      </c>
    </row>
    <row r="6223" spans="1:2" x14ac:dyDescent="0.25">
      <c r="A6223">
        <f ca="1">26432.1278744528*((RANDBETWEEN(2979,3282)))</f>
        <v>81860300.027180448</v>
      </c>
      <c r="B6223">
        <v>202668073.13667729</v>
      </c>
    </row>
    <row r="6224" spans="1:2" x14ac:dyDescent="0.25">
      <c r="A6224">
        <f ca="1">26948.1032801332*((RANDBETWEEN(2979,3282)))</f>
        <v>84131978.440575838</v>
      </c>
      <c r="B6224">
        <v>178156354.60423017</v>
      </c>
    </row>
    <row r="6225" spans="1:2" x14ac:dyDescent="0.25">
      <c r="A6225">
        <f ca="1">26678.4559102603*((RANDBETWEEN(2979,3282)))</f>
        <v>79501798.612575725</v>
      </c>
      <c r="B6225">
        <v>191103522.31420252</v>
      </c>
    </row>
    <row r="6226" spans="1:2" x14ac:dyDescent="0.25">
      <c r="A6226">
        <f ca="1">26250.0419132541*((RANDBETWEEN(2979,3282)))</f>
        <v>83343883.074581772</v>
      </c>
      <c r="B6226">
        <v>147078334.79218411</v>
      </c>
    </row>
    <row r="6227" spans="1:2" x14ac:dyDescent="0.25">
      <c r="A6227">
        <f ca="1">27056.0870354509*((RANDBETWEEN(2979,3282)))</f>
        <v>87932282.865215346</v>
      </c>
      <c r="B6227">
        <v>158789442.15326515</v>
      </c>
    </row>
    <row r="6228" spans="1:2" x14ac:dyDescent="0.25">
      <c r="A6228">
        <f ca="1">29371.2611974639*((RANDBETWEEN(2979,3282)))</f>
        <v>90140400.615016788</v>
      </c>
      <c r="B6228">
        <v>143350312.70440233</v>
      </c>
    </row>
    <row r="6229" spans="1:2" x14ac:dyDescent="0.25">
      <c r="A6229">
        <f ca="1">27431.8427908576*((RANDBETWEEN(2979,3282)))</f>
        <v>88138510.88702549</v>
      </c>
      <c r="B6229">
        <v>169389386.44156259</v>
      </c>
    </row>
    <row r="6230" spans="1:2" x14ac:dyDescent="0.25">
      <c r="A6230">
        <f ca="1">26746.7277595211*((RANDBETWEEN(2979,3282)))</f>
        <v>80694877.65047501</v>
      </c>
      <c r="B6230">
        <v>177396408.3838957</v>
      </c>
    </row>
    <row r="6231" spans="1:2" x14ac:dyDescent="0.25">
      <c r="A6231">
        <f ca="1">29307.8023329863*((RANDBETWEEN(2979,3282)))</f>
        <v>88421639.638619706</v>
      </c>
      <c r="B6231">
        <v>170127431.28208145</v>
      </c>
    </row>
    <row r="6232" spans="1:2" x14ac:dyDescent="0.25">
      <c r="A6232">
        <f ca="1">28667.725702723*((RANDBETWEEN(2979,3282)))</f>
        <v>89729981.449523106</v>
      </c>
      <c r="B6232">
        <v>189118502.7808603</v>
      </c>
    </row>
    <row r="6233" spans="1:2" x14ac:dyDescent="0.25">
      <c r="A6233">
        <f ca="1">30962.7758826001*((RANDBETWEEN(2979,3282)))</f>
        <v>95767865.804882228</v>
      </c>
      <c r="B6233">
        <v>203128890.35163808</v>
      </c>
    </row>
    <row r="6234" spans="1:2" x14ac:dyDescent="0.25">
      <c r="A6234">
        <f ca="1">31837.1267832515*((RANDBETWEEN(2979,3282)))</f>
        <v>95415868.969404697</v>
      </c>
      <c r="B6234">
        <v>196394008.96122584</v>
      </c>
    </row>
    <row r="6235" spans="1:2" x14ac:dyDescent="0.25">
      <c r="A6235">
        <f ca="1">27330.4362503269*((RANDBETWEEN(2979,3282)))</f>
        <v>83439821.872248009</v>
      </c>
      <c r="B6235">
        <v>161897671.70427269</v>
      </c>
    </row>
    <row r="6236" spans="1:2" x14ac:dyDescent="0.25">
      <c r="A6236">
        <f ca="1">27789.8317424954*((RANDBETWEEN(2979,3282)))</f>
        <v>89455468.379092723</v>
      </c>
      <c r="B6236">
        <v>166307577.57980084</v>
      </c>
    </row>
    <row r="6237" spans="1:2" x14ac:dyDescent="0.25">
      <c r="A6237">
        <f ca="1">26366.494698575*((RANDBETWEEN(2979,3282)))</f>
        <v>78914918.632835045</v>
      </c>
      <c r="B6237">
        <v>145732078.81931734</v>
      </c>
    </row>
    <row r="6238" spans="1:2" x14ac:dyDescent="0.25">
      <c r="A6238">
        <f ca="1">29215.3529198561*((RANDBETWEEN(2979,3282)))</f>
        <v>89778779.522717789</v>
      </c>
      <c r="B6238">
        <v>155503597.34527561</v>
      </c>
    </row>
    <row r="6239" spans="1:2" x14ac:dyDescent="0.25">
      <c r="A6239">
        <f ca="1">26268.9970205874*((RANDBETWEEN(2979,3282)))</f>
        <v>85242895.331806213</v>
      </c>
      <c r="B6239">
        <v>153724731.72821885</v>
      </c>
    </row>
    <row r="6240" spans="1:2" x14ac:dyDescent="0.25">
      <c r="A6240">
        <f ca="1">27988.3794370374*((RANDBETWEEN(2979,3282)))</f>
        <v>88107418.467793807</v>
      </c>
      <c r="B6240">
        <v>172475007.30069074</v>
      </c>
    </row>
    <row r="6241" spans="1:2" x14ac:dyDescent="0.25">
      <c r="A6241">
        <f ca="1">29226.7742208457*((RANDBETWEEN(2979,3282)))</f>
        <v>94227120.088006407</v>
      </c>
      <c r="B6241">
        <v>148024926.15783349</v>
      </c>
    </row>
    <row r="6242" spans="1:2" x14ac:dyDescent="0.25">
      <c r="A6242">
        <f ca="1">30817.8511461273*((RANDBETWEEN(2979,3282)))</f>
        <v>98863666.476776317</v>
      </c>
      <c r="B6242">
        <v>164584678.90759963</v>
      </c>
    </row>
    <row r="6243" spans="1:2" x14ac:dyDescent="0.25">
      <c r="A6243">
        <f ca="1">28371.2995088356*((RANDBETWEEN(2979,3282)))</f>
        <v>85255755.024051115</v>
      </c>
      <c r="B6243">
        <v>155348446.93961424</v>
      </c>
    </row>
    <row r="6244" spans="1:2" x14ac:dyDescent="0.25">
      <c r="A6244">
        <f ca="1">27528.3290144897*((RANDBETWEEN(2979,3282)))</f>
        <v>86411424.776483014</v>
      </c>
      <c r="B6244">
        <v>157792376.5063017</v>
      </c>
    </row>
    <row r="6245" spans="1:2" x14ac:dyDescent="0.25">
      <c r="A6245">
        <f ca="1">32829.2459195007*((RANDBETWEEN(2979,3282)))</f>
        <v>98028128.315629035</v>
      </c>
      <c r="B6245">
        <v>194439975.14096248</v>
      </c>
    </row>
    <row r="6246" spans="1:2" x14ac:dyDescent="0.25">
      <c r="A6246">
        <f ca="1">26796.2207505779*((RANDBETWEEN(2979,3282)))</f>
        <v>87677234.295891002</v>
      </c>
      <c r="B6246">
        <v>153225298.91509557</v>
      </c>
    </row>
    <row r="6247" spans="1:2" x14ac:dyDescent="0.25">
      <c r="A6247">
        <f ca="1">27435.2985810126*((RANDBETWEEN(2979,3282)))</f>
        <v>87765520.160659418</v>
      </c>
      <c r="B6247">
        <v>152691411.61333638</v>
      </c>
    </row>
    <row r="6248" spans="1:2" x14ac:dyDescent="0.25">
      <c r="A6248">
        <f ca="1">26173.8999551101*((RANDBETWEEN(2979,3282)))</f>
        <v>81584046.160078138</v>
      </c>
      <c r="B6248">
        <v>146999240.71761334</v>
      </c>
    </row>
    <row r="6249" spans="1:2" x14ac:dyDescent="0.25">
      <c r="A6249">
        <f ca="1">26870.2673093468*((RANDBETWEEN(2979,3282)))</f>
        <v>87220887.686139867</v>
      </c>
      <c r="B6249">
        <v>147802359.0293698</v>
      </c>
    </row>
    <row r="6250" spans="1:2" x14ac:dyDescent="0.25">
      <c r="A6250">
        <f ca="1">32118.9602437997*((RANDBETWEEN(2979,3282)))</f>
        <v>103904836.38869204</v>
      </c>
      <c r="B6250">
        <v>143004385.39716524</v>
      </c>
    </row>
    <row r="6251" spans="1:2" x14ac:dyDescent="0.25">
      <c r="A6251">
        <f ca="1">26664.6357499947*((RANDBETWEEN(2979,3282)))</f>
        <v>82420389.10323368</v>
      </c>
      <c r="B6251">
        <v>154631146.04259792</v>
      </c>
    </row>
    <row r="6252" spans="1:2" x14ac:dyDescent="0.25">
      <c r="A6252">
        <f ca="1">31951.174496381*((RANDBETWEEN(2979,3282)))</f>
        <v>100614248.48910373</v>
      </c>
      <c r="B6252">
        <v>145406201.06798276</v>
      </c>
    </row>
    <row r="6253" spans="1:2" x14ac:dyDescent="0.25">
      <c r="A6253">
        <f ca="1">25406.2259700944*((RANDBETWEEN(2979,3282)))</f>
        <v>77870082.598339438</v>
      </c>
      <c r="B6253">
        <v>164683946.27375153</v>
      </c>
    </row>
    <row r="6254" spans="1:2" x14ac:dyDescent="0.25">
      <c r="A6254">
        <f ca="1">33227.7942710158*((RANDBETWEEN(2979,3282)))</f>
        <v>101245089.14378506</v>
      </c>
      <c r="B6254">
        <v>150632813.31540516</v>
      </c>
    </row>
    <row r="6255" spans="1:2" x14ac:dyDescent="0.25">
      <c r="A6255">
        <f ca="1">29987.1825660694*((RANDBETWEEN(2979,3282)))</f>
        <v>97878163.89565061</v>
      </c>
      <c r="B6255">
        <v>199107858.1532453</v>
      </c>
    </row>
    <row r="6256" spans="1:2" x14ac:dyDescent="0.25">
      <c r="A6256">
        <f ca="1">27362.7327384116*((RANDBETWEEN(2979,3282)))</f>
        <v>81650394.49142012</v>
      </c>
      <c r="B6256">
        <v>147002716.34017402</v>
      </c>
    </row>
    <row r="6257" spans="1:2" x14ac:dyDescent="0.25">
      <c r="A6257">
        <f ca="1">32506.8759303311*((RANDBETWEEN(2979,3282)))</f>
        <v>105712360.5254366</v>
      </c>
      <c r="B6257">
        <v>195075205.91999266</v>
      </c>
    </row>
    <row r="6258" spans="1:2" x14ac:dyDescent="0.25">
      <c r="A6258">
        <f ca="1">27759.9339847038*((RANDBETWEEN(2979,3282)))</f>
        <v>88942828.486990944</v>
      </c>
      <c r="B6258">
        <v>183021848.01220435</v>
      </c>
    </row>
    <row r="6259" spans="1:2" x14ac:dyDescent="0.25">
      <c r="A6259">
        <f ca="1">29461.3182394413*((RANDBETWEEN(2979,3282)))</f>
        <v>96073358.778818056</v>
      </c>
      <c r="B6259">
        <v>166830027.90036237</v>
      </c>
    </row>
    <row r="6260" spans="1:2" x14ac:dyDescent="0.25">
      <c r="A6260">
        <f ca="1">28258.7336780294*((RANDBETWEEN(2979,3282)))</f>
        <v>89071528.553148627</v>
      </c>
      <c r="B6260">
        <v>166509069.60718286</v>
      </c>
    </row>
    <row r="6261" spans="1:2" x14ac:dyDescent="0.25">
      <c r="A6261">
        <f ca="1">26502.3851603026*((RANDBETWEEN(2979,3282)))</f>
        <v>80964786.664724499</v>
      </c>
      <c r="B6261">
        <v>163466140.82517558</v>
      </c>
    </row>
    <row r="6262" spans="1:2" x14ac:dyDescent="0.25">
      <c r="A6262">
        <f ca="1">29401.2633433243*((RANDBETWEEN(2979,3282)))</f>
        <v>93525418.695114449</v>
      </c>
      <c r="B6262">
        <v>171355081.05617702</v>
      </c>
    </row>
    <row r="6263" spans="1:2" x14ac:dyDescent="0.25">
      <c r="A6263">
        <f ca="1">27241.0475971353*((RANDBETWEEN(2979,3282)))</f>
        <v>88587886.785884038</v>
      </c>
      <c r="B6263">
        <v>173743840.96579957</v>
      </c>
    </row>
    <row r="6264" spans="1:2" x14ac:dyDescent="0.25">
      <c r="A6264">
        <f ca="1">25840.3054500269*((RANDBETWEEN(2979,3282)))</f>
        <v>81345281.556684658</v>
      </c>
      <c r="B6264">
        <v>166473954.01003477</v>
      </c>
    </row>
    <row r="6265" spans="1:2" x14ac:dyDescent="0.25">
      <c r="A6265">
        <f ca="1">25892.6806075525*((RANDBETWEEN(2979,3282)))</f>
        <v>84565494.8642665</v>
      </c>
      <c r="B6265">
        <v>149478757.08558869</v>
      </c>
    </row>
    <row r="6266" spans="1:2" x14ac:dyDescent="0.25">
      <c r="A6266">
        <f ca="1">27671.5978449658*((RANDBETWEEN(2979,3282)))</f>
        <v>88521441.506045625</v>
      </c>
      <c r="B6266">
        <v>187209532.62018055</v>
      </c>
    </row>
    <row r="6267" spans="1:2" x14ac:dyDescent="0.25">
      <c r="A6267">
        <f ca="1">30240.5638503824*((RANDBETWEEN(2979,3282)))</f>
        <v>94108634.702390045</v>
      </c>
      <c r="B6267">
        <v>166802297.08819568</v>
      </c>
    </row>
    <row r="6268" spans="1:2" x14ac:dyDescent="0.25">
      <c r="A6268">
        <f ca="1">28618.8464163297*((RANDBETWEEN(2979,3282)))</f>
        <v>86829580.027144402</v>
      </c>
      <c r="B6268">
        <v>165079772.10248348</v>
      </c>
    </row>
    <row r="6269" spans="1:2" x14ac:dyDescent="0.25">
      <c r="A6269">
        <f ca="1">26179.3201075849*((RANDBETWEEN(2979,3282)))</f>
        <v>85527838.791479975</v>
      </c>
      <c r="B6269">
        <v>147827079.27244192</v>
      </c>
    </row>
    <row r="6270" spans="1:2" x14ac:dyDescent="0.25">
      <c r="A6270">
        <f ca="1">33126.8781613834*((RANDBETWEEN(2979,3282)))</f>
        <v>106237898.26355651</v>
      </c>
      <c r="B6270">
        <v>203545824.39027885</v>
      </c>
    </row>
    <row r="6271" spans="1:2" x14ac:dyDescent="0.25">
      <c r="A6271">
        <f ca="1">26958.982466916*((RANDBETWEEN(2979,3282)))</f>
        <v>80445603.681277454</v>
      </c>
      <c r="B6271">
        <v>194098627.3424325</v>
      </c>
    </row>
    <row r="6272" spans="1:2" x14ac:dyDescent="0.25">
      <c r="A6272">
        <f ca="1">26102.8888842018*((RANDBETWEEN(2979,3282)))</f>
        <v>83711964.65163523</v>
      </c>
      <c r="B6272">
        <v>155515052.44967115</v>
      </c>
    </row>
    <row r="6273" spans="1:2" x14ac:dyDescent="0.25">
      <c r="A6273">
        <f ca="1">28978.0188189558*((RANDBETWEEN(2979,3282)))</f>
        <v>89281275.981202736</v>
      </c>
      <c r="B6273">
        <v>147108385.72742879</v>
      </c>
    </row>
    <row r="6274" spans="1:2" x14ac:dyDescent="0.25">
      <c r="A6274">
        <f ca="1">28531.4579024258*((RANDBETWEEN(2979,3282)))</f>
        <v>89474651.98200731</v>
      </c>
      <c r="B6274">
        <v>178970460.01077765</v>
      </c>
    </row>
    <row r="6275" spans="1:2" x14ac:dyDescent="0.25">
      <c r="A6275">
        <f ca="1">30036.3994541031*((RANDBETWEEN(2979,3282)))</f>
        <v>90830071.949207738</v>
      </c>
      <c r="B6275">
        <v>161875852.84532058</v>
      </c>
    </row>
    <row r="6276" spans="1:2" x14ac:dyDescent="0.25">
      <c r="A6276">
        <f ca="1">27564.2850437044*((RANDBETWEEN(2979,3282)))</f>
        <v>86276212.186794862</v>
      </c>
      <c r="B6276">
        <v>149274921.50786504</v>
      </c>
    </row>
    <row r="6277" spans="1:2" x14ac:dyDescent="0.25">
      <c r="A6277">
        <f ca="1">25816.0007386268*((RANDBETWEEN(2979,3282)))</f>
        <v>84495770.41752547</v>
      </c>
      <c r="B6277">
        <v>145175994.45240998</v>
      </c>
    </row>
    <row r="6278" spans="1:2" x14ac:dyDescent="0.25">
      <c r="A6278">
        <f ca="1">28013.9509320416*((RANDBETWEEN(2979,3282)))</f>
        <v>87179415.300513342</v>
      </c>
      <c r="B6278">
        <v>189037010.25035983</v>
      </c>
    </row>
    <row r="6279" spans="1:2" x14ac:dyDescent="0.25">
      <c r="A6279">
        <f ca="1">26130.6913423964*((RANDBETWEEN(2979,3282)))</f>
        <v>77973982.965710819</v>
      </c>
      <c r="B6279">
        <v>153071411.42998931</v>
      </c>
    </row>
    <row r="6280" spans="1:2" x14ac:dyDescent="0.25">
      <c r="A6280">
        <f ca="1">32194.9830561272*((RANDBETWEEN(2979,3282)))</f>
        <v>96520559.202269375</v>
      </c>
      <c r="B6280">
        <v>157593417.94453365</v>
      </c>
    </row>
    <row r="6281" spans="1:2" x14ac:dyDescent="0.25">
      <c r="A6281">
        <f ca="1">26639.352225592*((RANDBETWEEN(2979,3282)))</f>
        <v>83514369.227230951</v>
      </c>
      <c r="B6281">
        <v>157391333.30730647</v>
      </c>
    </row>
    <row r="6282" spans="1:2" x14ac:dyDescent="0.25">
      <c r="A6282">
        <f ca="1">30001.234489623*((RANDBETWEEN(2979,3282)))</f>
        <v>96033951.601283178</v>
      </c>
      <c r="B6282">
        <v>197179071.25693437</v>
      </c>
    </row>
    <row r="6283" spans="1:2" x14ac:dyDescent="0.25">
      <c r="A6283">
        <f ca="1">26239.4404433441*((RANDBETWEEN(2979,3282)))</f>
        <v>81735856.981016949</v>
      </c>
      <c r="B6283">
        <v>153722607.53914478</v>
      </c>
    </row>
    <row r="6284" spans="1:2" x14ac:dyDescent="0.25">
      <c r="A6284">
        <f ca="1">25781.9053603485*((RANDBETWEEN(2979,3282)))</f>
        <v>78299646.579378381</v>
      </c>
      <c r="B6284">
        <v>158287964.31781554</v>
      </c>
    </row>
    <row r="6285" spans="1:2" x14ac:dyDescent="0.25">
      <c r="A6285">
        <f ca="1">26629.6705341047*((RANDBETWEEN(2979,3282)))</f>
        <v>82205792.938781112</v>
      </c>
      <c r="B6285">
        <v>172934371.24137938</v>
      </c>
    </row>
    <row r="6286" spans="1:2" x14ac:dyDescent="0.25">
      <c r="A6286">
        <f ca="1">26820.8691249659*((RANDBETWEEN(2979,3282)))</f>
        <v>84995334.257016942</v>
      </c>
      <c r="B6286">
        <v>167625929.92654678</v>
      </c>
    </row>
    <row r="6287" spans="1:2" x14ac:dyDescent="0.25">
      <c r="A6287">
        <f ca="1">29077.4445302582*((RANDBETWEEN(2979,3282)))</f>
        <v>89471296.819604337</v>
      </c>
      <c r="B6287">
        <v>181874590.38846433</v>
      </c>
    </row>
    <row r="6288" spans="1:2" x14ac:dyDescent="0.25">
      <c r="A6288">
        <f ca="1">27025.0443367528*((RANDBETWEEN(2979,3282)))</f>
        <v>87804369.050109878</v>
      </c>
      <c r="B6288">
        <v>149314231.00110739</v>
      </c>
    </row>
    <row r="6289" spans="1:2" x14ac:dyDescent="0.25">
      <c r="A6289">
        <f ca="1">27147.257982769*((RANDBETWEEN(2979,3282)))</f>
        <v>84183647.004566759</v>
      </c>
      <c r="B6289">
        <v>157756137.61105585</v>
      </c>
    </row>
    <row r="6290" spans="1:2" x14ac:dyDescent="0.25">
      <c r="A6290">
        <f ca="1">29504.362053855*((RANDBETWEEN(2979,3282)))</f>
        <v>95623637.416543961</v>
      </c>
      <c r="B6290">
        <v>178089101.32073587</v>
      </c>
    </row>
    <row r="6291" spans="1:2" x14ac:dyDescent="0.25">
      <c r="A6291">
        <f ca="1">26724.8548643428*((RANDBETWEEN(2979,3282)))</f>
        <v>85840233.824269056</v>
      </c>
      <c r="B6291">
        <v>175055756.24211225</v>
      </c>
    </row>
    <row r="6292" spans="1:2" x14ac:dyDescent="0.25">
      <c r="A6292">
        <f ca="1">27256.5604618654*((RANDBETWEEN(2979,3282)))</f>
        <v>84740646.475939497</v>
      </c>
      <c r="B6292">
        <v>153179169.18901259</v>
      </c>
    </row>
    <row r="6293" spans="1:2" x14ac:dyDescent="0.25">
      <c r="A6293">
        <f ca="1">26780.6979337027*((RANDBETWEEN(2979,3282)))</f>
        <v>81493663.812257245</v>
      </c>
      <c r="B6293">
        <v>160586683.79647332</v>
      </c>
    </row>
    <row r="6294" spans="1:2" x14ac:dyDescent="0.25">
      <c r="A6294">
        <f ca="1">26060.2651541678*((RANDBETWEEN(2979,3282)))</f>
        <v>82037714.705320328</v>
      </c>
      <c r="B6294">
        <v>157781518.97640038</v>
      </c>
    </row>
    <row r="6295" spans="1:2" x14ac:dyDescent="0.25">
      <c r="A6295">
        <f ca="1">28305.8362853131*((RANDBETWEEN(2979,3282)))</f>
        <v>90918346.148425832</v>
      </c>
      <c r="B6295">
        <v>175616081.07560191</v>
      </c>
    </row>
    <row r="6296" spans="1:2" x14ac:dyDescent="0.25">
      <c r="A6296">
        <f ca="1">26694.242406173*((RANDBETWEEN(2979,3282)))</f>
        <v>80322975.400174409</v>
      </c>
      <c r="B6296">
        <v>185355743.68853375</v>
      </c>
    </row>
    <row r="6297" spans="1:2" x14ac:dyDescent="0.25">
      <c r="A6297">
        <f ca="1">27866.5445299416*((RANDBETWEEN(2979,3282)))</f>
        <v>86386288.042818904</v>
      </c>
      <c r="B6297">
        <v>169491495.75853732</v>
      </c>
    </row>
    <row r="6298" spans="1:2" x14ac:dyDescent="0.25">
      <c r="A6298">
        <f ca="1">25331.580473425*((RANDBETWEEN(2979,3282)))</f>
        <v>81694347.026795551</v>
      </c>
      <c r="B6298">
        <v>196510290.96879208</v>
      </c>
    </row>
    <row r="6299" spans="1:2" x14ac:dyDescent="0.25">
      <c r="A6299">
        <f ca="1">26435.4705392412*((RANDBETWEEN(2979,3282)))</f>
        <v>86364682.251701012</v>
      </c>
      <c r="B6299">
        <v>169156196.93507779</v>
      </c>
    </row>
    <row r="6300" spans="1:2" x14ac:dyDescent="0.25">
      <c r="A6300">
        <f ca="1">27728.4246937844*((RANDBETWEEN(2979,3282)))</f>
        <v>88204118.950928286</v>
      </c>
      <c r="B6300">
        <v>171906005.36528748</v>
      </c>
    </row>
    <row r="6301" spans="1:2" x14ac:dyDescent="0.25">
      <c r="A6301">
        <f ca="1">28276.6096007253*((RANDBETWEEN(2979,3282)))</f>
        <v>91898981.202357247</v>
      </c>
      <c r="B6301">
        <v>156550028.99614385</v>
      </c>
    </row>
    <row r="6302" spans="1:2" x14ac:dyDescent="0.25">
      <c r="A6302">
        <f ca="1">25506.7863985271*((RANDBETWEEN(2979,3282)))</f>
        <v>81341141.824902833</v>
      </c>
      <c r="B6302">
        <v>148777447.09380502</v>
      </c>
    </row>
    <row r="6303" spans="1:2" x14ac:dyDescent="0.25">
      <c r="A6303">
        <f ca="1">26384.7909202173*((RANDBETWEEN(2979,3282)))</f>
        <v>78811370.478688985</v>
      </c>
      <c r="B6303">
        <v>160598411.76483843</v>
      </c>
    </row>
    <row r="6304" spans="1:2" x14ac:dyDescent="0.25">
      <c r="A6304">
        <f ca="1">26241.0772527178*((RANDBETWEEN(2979,3282)))</f>
        <v>85650876.152870744</v>
      </c>
      <c r="B6304">
        <v>163236725.92638531</v>
      </c>
    </row>
    <row r="6305" spans="1:2" x14ac:dyDescent="0.25">
      <c r="A6305">
        <f ca="1">30591.3575066322*((RANDBETWEEN(2979,3282)))</f>
        <v>99268955.109021634</v>
      </c>
      <c r="B6305">
        <v>159759402.47137344</v>
      </c>
    </row>
    <row r="6306" spans="1:2" x14ac:dyDescent="0.25">
      <c r="A6306">
        <f ca="1">26177.1769344342*((RANDBETWEEN(2979,3282)))</f>
        <v>78688593.864909127</v>
      </c>
      <c r="B6306">
        <v>151324355.49034482</v>
      </c>
    </row>
    <row r="6307" spans="1:2" x14ac:dyDescent="0.25">
      <c r="A6307">
        <f ca="1">27928.4753261771*((RANDBETWEEN(2979,3282)))</f>
        <v>84707065.664295107</v>
      </c>
      <c r="B6307">
        <v>150706967.93591464</v>
      </c>
    </row>
    <row r="6308" spans="1:2" x14ac:dyDescent="0.25">
      <c r="A6308">
        <f ca="1">26171.7988085454*((RANDBETWEEN(2979,3282)))</f>
        <v>84953658.93253845</v>
      </c>
      <c r="B6308">
        <v>143912894.76287317</v>
      </c>
    </row>
    <row r="6309" spans="1:2" x14ac:dyDescent="0.25">
      <c r="A6309">
        <f ca="1">29922.1117312897*((RANDBETWEEN(2979,3282)))</f>
        <v>95930290.210514724</v>
      </c>
      <c r="B6309">
        <v>151577330.11866474</v>
      </c>
    </row>
    <row r="6310" spans="1:2" x14ac:dyDescent="0.25">
      <c r="A6310">
        <f ca="1">32093.4598806891*((RANDBETWEEN(2979,3282)))</f>
        <v>98238080.694789365</v>
      </c>
      <c r="B6310">
        <v>198229615.20807105</v>
      </c>
    </row>
    <row r="6311" spans="1:2" x14ac:dyDescent="0.25">
      <c r="A6311">
        <f ca="1">26546.076828481*((RANDBETWEEN(2979,3282)))</f>
        <v>80062967.714698836</v>
      </c>
      <c r="B6311">
        <v>145617159.49300829</v>
      </c>
    </row>
    <row r="6312" spans="1:2" x14ac:dyDescent="0.25">
      <c r="A6312">
        <f ca="1">29337.9327155936*((RANDBETWEEN(2979,3282)))</f>
        <v>96287095.172578335</v>
      </c>
      <c r="B6312">
        <v>180624195.18591866</v>
      </c>
    </row>
    <row r="6313" spans="1:2" x14ac:dyDescent="0.25">
      <c r="A6313">
        <f ca="1">27954.8915544463*((RANDBETWEEN(2979,3282)))</f>
        <v>84926960.542407975</v>
      </c>
      <c r="B6313">
        <v>175399456.4008159</v>
      </c>
    </row>
    <row r="6314" spans="1:2" x14ac:dyDescent="0.25">
      <c r="A6314">
        <f ca="1">30714.7192480283*((RANDBETWEEN(2979,3282)))</f>
        <v>100682849.69503687</v>
      </c>
      <c r="B6314">
        <v>155958526.42971516</v>
      </c>
    </row>
    <row r="6315" spans="1:2" x14ac:dyDescent="0.25">
      <c r="A6315">
        <f ca="1">29402.3579446067*((RANDBETWEEN(2979,3282)))</f>
        <v>94469776.07602118</v>
      </c>
      <c r="B6315">
        <v>194101506.47074643</v>
      </c>
    </row>
    <row r="6316" spans="1:2" x14ac:dyDescent="0.25">
      <c r="A6316">
        <f ca="1">25540.3159568095*((RANDBETWEEN(2979,3282)))</f>
        <v>83823316.970248908</v>
      </c>
      <c r="B6316">
        <v>152437983.57558116</v>
      </c>
    </row>
    <row r="6317" spans="1:2" x14ac:dyDescent="0.25">
      <c r="A6317">
        <f ca="1">27676.5525685643*((RANDBETWEEN(2979,3282)))</f>
        <v>85741959.857412264</v>
      </c>
      <c r="B6317">
        <v>165171245.24495786</v>
      </c>
    </row>
    <row r="6318" spans="1:2" x14ac:dyDescent="0.25">
      <c r="A6318">
        <f ca="1">31706.900631578*((RANDBETWEEN(2979,3282)))</f>
        <v>99654788.685049787</v>
      </c>
      <c r="B6318">
        <v>163273246.47368011</v>
      </c>
    </row>
    <row r="6319" spans="1:2" x14ac:dyDescent="0.25">
      <c r="A6319">
        <f ca="1">29578.2145802525*((RANDBETWEEN(2979,3282)))</f>
        <v>94117878.794363573</v>
      </c>
      <c r="B6319">
        <v>183431857.32223794</v>
      </c>
    </row>
    <row r="6320" spans="1:2" x14ac:dyDescent="0.25">
      <c r="A6320">
        <f ca="1">25652.5806287461*((RANDBETWEEN(2979,3282)))</f>
        <v>78932990.594651639</v>
      </c>
      <c r="B6320">
        <v>162807819.85664731</v>
      </c>
    </row>
    <row r="6321" spans="1:2" x14ac:dyDescent="0.25">
      <c r="A6321">
        <f ca="1">31301.8954687123*((RANDBETWEEN(2979,3282)))</f>
        <v>99133102.949411899</v>
      </c>
      <c r="B6321">
        <v>199536709.90452781</v>
      </c>
    </row>
    <row r="6322" spans="1:2" x14ac:dyDescent="0.25">
      <c r="A6322">
        <f ca="1">26270.0812815339*((RANDBETWEEN(2979,3282)))</f>
        <v>81910113.43582283</v>
      </c>
      <c r="B6322">
        <v>149189729.41077864</v>
      </c>
    </row>
    <row r="6323" spans="1:2" x14ac:dyDescent="0.25">
      <c r="A6323">
        <f ca="1">27263.0101677603*((RANDBETWEEN(2979,3282)))</f>
        <v>82334290.706636205</v>
      </c>
      <c r="B6323">
        <v>149628678.39987886</v>
      </c>
    </row>
    <row r="6324" spans="1:2" x14ac:dyDescent="0.25">
      <c r="A6324">
        <f ca="1">26320.0918942191*((RANDBETWEEN(2979,3282)))</f>
        <v>86277261.229250088</v>
      </c>
      <c r="B6324">
        <v>148753121.45062453</v>
      </c>
    </row>
    <row r="6325" spans="1:2" x14ac:dyDescent="0.25">
      <c r="A6325">
        <f ca="1">26631.8593804664*((RANDBETWEEN(2979,3282)))</f>
        <v>83757197.751566857</v>
      </c>
      <c r="B6325">
        <v>150627615.63357762</v>
      </c>
    </row>
    <row r="6326" spans="1:2" x14ac:dyDescent="0.25">
      <c r="A6326">
        <f ca="1">30262.2979698776*((RANDBETWEEN(2979,3282)))</f>
        <v>95235451.711204708</v>
      </c>
      <c r="B6326">
        <v>176773092.53068575</v>
      </c>
    </row>
    <row r="6327" spans="1:2" x14ac:dyDescent="0.25">
      <c r="A6327">
        <f ca="1">25772.3375592212*((RANDBETWEEN(2979,3282)))</f>
        <v>82703431.227540672</v>
      </c>
      <c r="B6327">
        <v>145517904.21456394</v>
      </c>
    </row>
    <row r="6328" spans="1:2" x14ac:dyDescent="0.25">
      <c r="A6328">
        <f ca="1">30800.5066878129*((RANDBETWEEN(2979,3282)))</f>
        <v>97237199.613425389</v>
      </c>
      <c r="B6328">
        <v>165688453.09138775</v>
      </c>
    </row>
    <row r="6329" spans="1:2" x14ac:dyDescent="0.25">
      <c r="A6329">
        <f ca="1">25911.5630321359*((RANDBETWEEN(2979,3282)))</f>
        <v>78563859.113436148</v>
      </c>
      <c r="B6329">
        <v>152220999.31394196</v>
      </c>
    </row>
    <row r="6330" spans="1:2" x14ac:dyDescent="0.25">
      <c r="A6330">
        <f ca="1">26553.4387607837*((RANDBETWEEN(2979,3282)))</f>
        <v>81917358.577017859</v>
      </c>
      <c r="B6330">
        <v>166111644.83491707</v>
      </c>
    </row>
    <row r="6331" spans="1:2" x14ac:dyDescent="0.25">
      <c r="A6331">
        <f ca="1">29493.3411156954*((RANDBETWEEN(2979,3282)))</f>
        <v>93375917.972291499</v>
      </c>
      <c r="B6331">
        <v>177758972.47127661</v>
      </c>
    </row>
    <row r="6332" spans="1:2" x14ac:dyDescent="0.25">
      <c r="A6332">
        <f ca="1">26476.1822514612*((RANDBETWEEN(2979,3282)))</f>
        <v>83108736.0873366</v>
      </c>
      <c r="B6332">
        <v>171896887.56072494</v>
      </c>
    </row>
    <row r="6333" spans="1:2" x14ac:dyDescent="0.25">
      <c r="A6333">
        <f ca="1">27740.1209434593*((RANDBETWEEN(2979,3282)))</f>
        <v>90432794.275677383</v>
      </c>
      <c r="B6333">
        <v>181799308.59511334</v>
      </c>
    </row>
    <row r="6334" spans="1:2" x14ac:dyDescent="0.25">
      <c r="A6334">
        <f ca="1">29547.936508013*((RANDBETWEEN(2979,3282)))</f>
        <v>95646670.47643812</v>
      </c>
      <c r="B6334">
        <v>171709439.7116107</v>
      </c>
    </row>
    <row r="6335" spans="1:2" x14ac:dyDescent="0.25">
      <c r="A6335">
        <f ca="1">26671.4158160421*((RANDBETWEEN(2979,3282)))</f>
        <v>82174632.129225612</v>
      </c>
      <c r="B6335">
        <v>144860495.67206115</v>
      </c>
    </row>
    <row r="6336" spans="1:2" x14ac:dyDescent="0.25">
      <c r="A6336">
        <f ca="1">30228.8688906299*((RANDBETWEEN(2979,3282)))</f>
        <v>94525673.020999804</v>
      </c>
      <c r="B6336">
        <v>191716183.86357269</v>
      </c>
    </row>
    <row r="6337" spans="1:2" x14ac:dyDescent="0.25">
      <c r="A6337">
        <f ca="1">29435.2408506192*((RANDBETWEEN(2979,3282)))</f>
        <v>91219811.396068767</v>
      </c>
      <c r="B6337">
        <v>199803055.86005872</v>
      </c>
    </row>
    <row r="6338" spans="1:2" x14ac:dyDescent="0.25">
      <c r="A6338">
        <f ca="1">27735.5768468694*((RANDBETWEEN(2979,3282)))</f>
        <v>89502706.484847456</v>
      </c>
      <c r="B6338">
        <v>151207187.45573992</v>
      </c>
    </row>
    <row r="6339" spans="1:2" x14ac:dyDescent="0.25">
      <c r="A6339">
        <f ca="1">26072.2067255892*((RANDBETWEEN(2979,3282)))</f>
        <v>81032418.503131121</v>
      </c>
      <c r="B6339">
        <v>154331781.64326143</v>
      </c>
    </row>
    <row r="6340" spans="1:2" x14ac:dyDescent="0.25">
      <c r="A6340">
        <f ca="1">27271.0304803691*((RANDBETWEEN(2979,3282)))</f>
        <v>81349483.922941133</v>
      </c>
      <c r="B6340">
        <v>152204051.77170542</v>
      </c>
    </row>
    <row r="6341" spans="1:2" x14ac:dyDescent="0.25">
      <c r="A6341">
        <f ca="1">26594.3439824034*((RANDBETWEEN(2979,3282)))</f>
        <v>86484806.630775735</v>
      </c>
      <c r="B6341">
        <v>173828350.63724369</v>
      </c>
    </row>
    <row r="6342" spans="1:2" x14ac:dyDescent="0.25">
      <c r="A6342">
        <f ca="1">27382.4449123506*((RANDBETWEEN(2979,3282)))</f>
        <v>86391613.698466212</v>
      </c>
      <c r="B6342">
        <v>153103117.22616836</v>
      </c>
    </row>
    <row r="6343" spans="1:2" x14ac:dyDescent="0.25">
      <c r="A6343">
        <f ca="1">27699.0108330623*((RANDBETWEEN(2979,3282)))</f>
        <v>85922331.604159117</v>
      </c>
      <c r="B6343">
        <v>144600515.23678797</v>
      </c>
    </row>
    <row r="6344" spans="1:2" x14ac:dyDescent="0.25">
      <c r="A6344">
        <f ca="1">27330.6471457009*((RANDBETWEEN(2979,3282)))</f>
        <v>87075441.806203008</v>
      </c>
      <c r="B6344">
        <v>200478897.63287181</v>
      </c>
    </row>
    <row r="6345" spans="1:2" x14ac:dyDescent="0.25">
      <c r="A6345">
        <f ca="1">32465.0310926362*((RANDBETWEEN(2979,3282)))</f>
        <v>103530984.1544167</v>
      </c>
      <c r="B6345">
        <v>180426849.11087501</v>
      </c>
    </row>
    <row r="6346" spans="1:2" x14ac:dyDescent="0.25">
      <c r="A6346">
        <f ca="1">29342.4080157824*((RANDBETWEEN(2979,3282)))</f>
        <v>91783052.273367271</v>
      </c>
      <c r="B6346">
        <v>158163412.75144482</v>
      </c>
    </row>
    <row r="6347" spans="1:2" x14ac:dyDescent="0.25">
      <c r="A6347">
        <f ca="1">26460.9092576915*((RANDBETWEEN(2979,3282)))</f>
        <v>78985814.134209082</v>
      </c>
      <c r="B6347">
        <v>152748740.3283897</v>
      </c>
    </row>
    <row r="6348" spans="1:2" x14ac:dyDescent="0.25">
      <c r="A6348">
        <f ca="1">26268.6823692229*((RANDBETWEEN(2979,3282)))</f>
        <v>82089632.403821662</v>
      </c>
      <c r="B6348">
        <v>151364345.76931959</v>
      </c>
    </row>
    <row r="6349" spans="1:2" x14ac:dyDescent="0.25">
      <c r="A6349">
        <f ca="1">28158.5884633648*((RANDBETWEEN(2979,3282)))</f>
        <v>87967430.359551534</v>
      </c>
      <c r="B6349">
        <v>196258659.27284154</v>
      </c>
    </row>
    <row r="6350" spans="1:2" x14ac:dyDescent="0.25">
      <c r="A6350">
        <f ca="1">25176.0745852391*((RANDBETWEEN(2979,3282)))</f>
        <v>80437558.299838871</v>
      </c>
      <c r="B6350">
        <v>154907247.7258431</v>
      </c>
    </row>
    <row r="6351" spans="1:2" x14ac:dyDescent="0.25">
      <c r="A6351">
        <f ca="1">31799.9826436692*((RANDBETWEEN(2979,3282)))</f>
        <v>95558947.844225883</v>
      </c>
      <c r="B6351">
        <v>149069584.69452009</v>
      </c>
    </row>
    <row r="6352" spans="1:2" x14ac:dyDescent="0.25">
      <c r="A6352">
        <f ca="1">27215.4822999678*((RANDBETWEEN(2979,3282)))</f>
        <v>86953465.948397025</v>
      </c>
      <c r="B6352">
        <v>155506029.70969486</v>
      </c>
    </row>
    <row r="6353" spans="1:2" x14ac:dyDescent="0.25">
      <c r="A6353">
        <f ca="1">26528.5368579636*((RANDBETWEEN(2979,3282)))</f>
        <v>81814007.66995962</v>
      </c>
      <c r="B6353">
        <v>159495726.10448793</v>
      </c>
    </row>
    <row r="6354" spans="1:2" x14ac:dyDescent="0.25">
      <c r="A6354">
        <f ca="1">27676.4748498434*((RANDBETWEEN(2979,3282)))</f>
        <v>85022130.738718867</v>
      </c>
      <c r="B6354">
        <v>148133178.04827422</v>
      </c>
    </row>
    <row r="6355" spans="1:2" x14ac:dyDescent="0.25">
      <c r="A6355">
        <f ca="1">28719.2753058346*((RANDBETWEEN(2979,3282)))</f>
        <v>90810348.517049119</v>
      </c>
      <c r="B6355">
        <v>176634077.23064458</v>
      </c>
    </row>
    <row r="6356" spans="1:2" x14ac:dyDescent="0.25">
      <c r="A6356">
        <f ca="1">28953.3827931711*((RANDBETWEEN(2979,3282)))</f>
        <v>90710948.291005045</v>
      </c>
      <c r="B6356">
        <v>181316520.02290511</v>
      </c>
    </row>
    <row r="6357" spans="1:2" x14ac:dyDescent="0.25">
      <c r="A6357">
        <f ca="1">27403.909800198*((RANDBETWEEN(2979,3282)))</f>
        <v>85746833.764819682</v>
      </c>
      <c r="B6357">
        <v>195486163.78402591</v>
      </c>
    </row>
    <row r="6358" spans="1:2" x14ac:dyDescent="0.25">
      <c r="A6358">
        <f ca="1">26405.5836179032*((RANDBETWEEN(2979,3282)))</f>
        <v>80695463.536312267</v>
      </c>
      <c r="B6358">
        <v>177921121.09919518</v>
      </c>
    </row>
    <row r="6359" spans="1:2" x14ac:dyDescent="0.25">
      <c r="A6359">
        <f ca="1">27281.1334513719*((RANDBETWEEN(2979,3282)))</f>
        <v>82716396.624559745</v>
      </c>
      <c r="B6359">
        <v>156393434.91153404</v>
      </c>
    </row>
    <row r="6360" spans="1:2" x14ac:dyDescent="0.25">
      <c r="A6360">
        <f ca="1">27260.5547209155*((RANDBETWEEN(2979,3282)))</f>
        <v>81890706.381630018</v>
      </c>
      <c r="B6360">
        <v>193198125.27952307</v>
      </c>
    </row>
    <row r="6361" spans="1:2" x14ac:dyDescent="0.25">
      <c r="A6361">
        <f ca="1">29439.6186289237*((RANDBETWEEN(2979,3282)))</f>
        <v>88083338.937739685</v>
      </c>
      <c r="B6361">
        <v>156675232.94714481</v>
      </c>
    </row>
    <row r="6362" spans="1:2" x14ac:dyDescent="0.25">
      <c r="A6362">
        <f ca="1">26797.4210334579*((RANDBETWEEN(2979,3282)))</f>
        <v>80767426.994842082</v>
      </c>
      <c r="B6362">
        <v>170348178.94564503</v>
      </c>
    </row>
    <row r="6363" spans="1:2" x14ac:dyDescent="0.25">
      <c r="A6363">
        <f ca="1">26639.4002542118*((RANDBETWEEN(2979,3282)))</f>
        <v>81250170.775345996</v>
      </c>
      <c r="B6363">
        <v>165721910.8031854</v>
      </c>
    </row>
    <row r="6364" spans="1:2" x14ac:dyDescent="0.25">
      <c r="A6364">
        <f ca="1">26183.5260961889*((RANDBETWEEN(2979,3282)))</f>
        <v>81195114.424281746</v>
      </c>
      <c r="B6364">
        <v>151872491.47408414</v>
      </c>
    </row>
    <row r="6365" spans="1:2" x14ac:dyDescent="0.25">
      <c r="A6365">
        <f ca="1">32654.3157900096*((RANDBETWEEN(2979,3282)))</f>
        <v>100477329.68585943</v>
      </c>
      <c r="B6365">
        <v>159546980.40623343</v>
      </c>
    </row>
    <row r="6366" spans="1:2" x14ac:dyDescent="0.25">
      <c r="A6366">
        <f ca="1">27764.60298266*((RANDBETWEEN(2979,3282)))</f>
        <v>88180379.072928146</v>
      </c>
      <c r="B6366">
        <v>183621210.60915571</v>
      </c>
    </row>
    <row r="6367" spans="1:2" x14ac:dyDescent="0.25">
      <c r="A6367">
        <f ca="1">28498.0871986324*((RANDBETWEEN(2979,3282)))</f>
        <v>91535856.0820072</v>
      </c>
      <c r="B6367">
        <v>154822276.97005117</v>
      </c>
    </row>
    <row r="6368" spans="1:2" x14ac:dyDescent="0.25">
      <c r="A6368">
        <f ca="1">28607.4833556226*((RANDBETWEEN(2979,3282)))</f>
        <v>92087488.92174913</v>
      </c>
      <c r="B6368">
        <v>191121871.82189646</v>
      </c>
    </row>
    <row r="6369" spans="1:2" x14ac:dyDescent="0.25">
      <c r="A6369">
        <f ca="1">29320.0713839854*((RANDBETWEEN(2979,3282)))</f>
        <v>93941508.714289278</v>
      </c>
      <c r="B6369">
        <v>176660809.70798069</v>
      </c>
    </row>
    <row r="6370" spans="1:2" x14ac:dyDescent="0.25">
      <c r="A6370">
        <f ca="1">28087.0602453753*((RANDBETWEEN(2979,3282)))</f>
        <v>90721204.592562184</v>
      </c>
      <c r="B6370">
        <v>171156963.95599794</v>
      </c>
    </row>
    <row r="6371" spans="1:2" x14ac:dyDescent="0.25">
      <c r="A6371">
        <f ca="1">31358.6635885076*((RANDBETWEEN(2979,3282)))</f>
        <v>94922674.682412595</v>
      </c>
      <c r="B6371">
        <v>176200698.48879471</v>
      </c>
    </row>
    <row r="6372" spans="1:2" x14ac:dyDescent="0.25">
      <c r="A6372">
        <f ca="1">31884.0125050121*((RANDBETWEEN(2979,3282)))</f>
        <v>102507100.20361403</v>
      </c>
      <c r="B6372">
        <v>168067774.71483347</v>
      </c>
    </row>
    <row r="6373" spans="1:2" x14ac:dyDescent="0.25">
      <c r="A6373">
        <f ca="1">31568.1479937695*((RANDBETWEEN(2979,3282)))</f>
        <v>99629075.068336651</v>
      </c>
      <c r="B6373">
        <v>199559293.69877246</v>
      </c>
    </row>
    <row r="6374" spans="1:2" x14ac:dyDescent="0.25">
      <c r="A6374">
        <f ca="1">28112.0948436228*((RANDBETWEEN(2979,3282)))</f>
        <v>86360355.359609336</v>
      </c>
      <c r="B6374">
        <v>157265694.17540962</v>
      </c>
    </row>
    <row r="6375" spans="1:2" x14ac:dyDescent="0.25">
      <c r="A6375">
        <f ca="1">26441.7241012217*((RANDBETWEEN(2979,3282)))</f>
        <v>80885234.02563706</v>
      </c>
      <c r="B6375">
        <v>144273068.08738831</v>
      </c>
    </row>
    <row r="6376" spans="1:2" x14ac:dyDescent="0.25">
      <c r="A6376">
        <f ca="1">30771.2756647146*((RANDBETWEEN(2979,3282)))</f>
        <v>94129332.258361846</v>
      </c>
      <c r="B6376">
        <v>165988938.442247</v>
      </c>
    </row>
    <row r="6377" spans="1:2" x14ac:dyDescent="0.25">
      <c r="A6377">
        <f ca="1">29516.8483115874*((RANDBETWEEN(2979,3282)))</f>
        <v>89554117.777356222</v>
      </c>
      <c r="B6377">
        <v>178516179.28796101</v>
      </c>
    </row>
    <row r="6378" spans="1:2" x14ac:dyDescent="0.25">
      <c r="A6378">
        <f ca="1">29110.285605277*((RANDBETWEEN(2979,3282)))</f>
        <v>91784730.513438404</v>
      </c>
      <c r="B6378">
        <v>202476230.63748357</v>
      </c>
    </row>
    <row r="6379" spans="1:2" x14ac:dyDescent="0.25">
      <c r="A6379">
        <f ca="1">27190.2027313791*((RANDBETWEEN(2979,3282)))</f>
        <v>85404426.779261872</v>
      </c>
      <c r="B6379">
        <v>169023395.2475712</v>
      </c>
    </row>
    <row r="6380" spans="1:2" x14ac:dyDescent="0.25">
      <c r="A6380">
        <f ca="1">25448.1125844448*((RANDBETWEEN(2979,3282)))</f>
        <v>76089856.627489999</v>
      </c>
      <c r="B6380">
        <v>147529273.82664442</v>
      </c>
    </row>
    <row r="6381" spans="1:2" x14ac:dyDescent="0.25">
      <c r="A6381">
        <f ca="1">27188.1675564068*((RANDBETWEEN(2979,3282)))</f>
        <v>83848308.743958637</v>
      </c>
      <c r="B6381">
        <v>184382001.75183767</v>
      </c>
    </row>
    <row r="6382" spans="1:2" x14ac:dyDescent="0.25">
      <c r="A6382">
        <f ca="1">26722.6706697846*((RANDBETWEEN(2979,3282)))</f>
        <v>84577252.669868276</v>
      </c>
      <c r="B6382">
        <v>175231256.6034925</v>
      </c>
    </row>
    <row r="6383" spans="1:2" x14ac:dyDescent="0.25">
      <c r="A6383">
        <f ca="1">30225.28432546*((RANDBETWEEN(2979,3282)))</f>
        <v>93577480.271624207</v>
      </c>
      <c r="B6383">
        <v>169690042.82321963</v>
      </c>
    </row>
    <row r="6384" spans="1:2" x14ac:dyDescent="0.25">
      <c r="A6384">
        <f ca="1">27910.4759911784*((RANDBETWEEN(2979,3282)))</f>
        <v>86969043.188511968</v>
      </c>
      <c r="B6384">
        <v>195209003.60952276</v>
      </c>
    </row>
    <row r="6385" spans="1:2" x14ac:dyDescent="0.25">
      <c r="A6385">
        <f ca="1">27013.1113188299*((RANDBETWEEN(2979,3282)))</f>
        <v>82876225.526170239</v>
      </c>
      <c r="B6385">
        <v>169534622.12125146</v>
      </c>
    </row>
    <row r="6386" spans="1:2" x14ac:dyDescent="0.25">
      <c r="A6386">
        <f ca="1">29399.9015348513*((RANDBETWEEN(2979,3282)))</f>
        <v>90022498.499714807</v>
      </c>
      <c r="B6386">
        <v>161918992.17974669</v>
      </c>
    </row>
    <row r="6387" spans="1:2" x14ac:dyDescent="0.25">
      <c r="A6387">
        <f ca="1">27556.7665994468*((RANDBETWEEN(2979,3282)))</f>
        <v>86555803.88886252</v>
      </c>
      <c r="B6387">
        <v>161895092.9722431</v>
      </c>
    </row>
    <row r="6388" spans="1:2" x14ac:dyDescent="0.25">
      <c r="A6388">
        <f ca="1">31573.6073514133*((RANDBETWEEN(2979,3282)))</f>
        <v>103624579.32733856</v>
      </c>
      <c r="B6388">
        <v>196143195.97326982</v>
      </c>
    </row>
    <row r="6389" spans="1:2" x14ac:dyDescent="0.25">
      <c r="A6389">
        <f ca="1">26067.6837289548*((RANDBETWEEN(2979,3282)))</f>
        <v>78515863.391611844</v>
      </c>
      <c r="B6389">
        <v>167176330.20854002</v>
      </c>
    </row>
    <row r="6390" spans="1:2" x14ac:dyDescent="0.25">
      <c r="A6390">
        <f ca="1">32202.6637178063*((RANDBETWEEN(2979,3282)))</f>
        <v>101084161.41019383</v>
      </c>
      <c r="B6390">
        <v>151526951.16310066</v>
      </c>
    </row>
    <row r="6391" spans="1:2" x14ac:dyDescent="0.25">
      <c r="A6391">
        <f ca="1">28835.0035335534*((RANDBETWEEN(2979,3282)))</f>
        <v>89013655.908079311</v>
      </c>
      <c r="B6391">
        <v>148787704.28494087</v>
      </c>
    </row>
    <row r="6392" spans="1:2" x14ac:dyDescent="0.25">
      <c r="A6392">
        <f ca="1">33389.3462259216*((RANDBETWEEN(2979,3282)))</f>
        <v>101637169.91170536</v>
      </c>
      <c r="B6392">
        <v>188531842.87071693</v>
      </c>
    </row>
    <row r="6393" spans="1:2" x14ac:dyDescent="0.25">
      <c r="A6393">
        <f ca="1">30510.8170076686*((RANDBETWEEN(2979,3282)))</f>
        <v>91837559.193082556</v>
      </c>
      <c r="B6393">
        <v>162486053.29573557</v>
      </c>
    </row>
    <row r="6394" spans="1:2" x14ac:dyDescent="0.25">
      <c r="A6394">
        <f ca="1">30937.7894418537*((RANDBETWEEN(2979,3282)))</f>
        <v>94731511.27095595</v>
      </c>
      <c r="B6394">
        <v>151776000.40931541</v>
      </c>
    </row>
    <row r="6395" spans="1:2" x14ac:dyDescent="0.25">
      <c r="A6395">
        <f ca="1">28935.4643346879*((RANDBETWEEN(2979,3282)))</f>
        <v>92043712.048642188</v>
      </c>
      <c r="B6395">
        <v>155113226.32326582</v>
      </c>
    </row>
    <row r="6396" spans="1:2" x14ac:dyDescent="0.25">
      <c r="A6396">
        <f ca="1">28113.6429147529*((RANDBETWEEN(2979,3282)))</f>
        <v>89092134.396851897</v>
      </c>
      <c r="B6396">
        <v>172249122.71913141</v>
      </c>
    </row>
    <row r="6397" spans="1:2" x14ac:dyDescent="0.25">
      <c r="A6397">
        <f ca="1">29201.8441237303*((RANDBETWEEN(2979,3282)))</f>
        <v>90759331.536553875</v>
      </c>
      <c r="B6397">
        <v>155777309.61076379</v>
      </c>
    </row>
    <row r="6398" spans="1:2" x14ac:dyDescent="0.25">
      <c r="A6398">
        <f ca="1">26313.0382301423*((RANDBETWEEN(2979,3282)))</f>
        <v>82912383.463178426</v>
      </c>
      <c r="B6398">
        <v>160997725.29110104</v>
      </c>
    </row>
    <row r="6399" spans="1:2" x14ac:dyDescent="0.25">
      <c r="A6399">
        <f ca="1">26423.107383292*((RANDBETWEEN(2979,3282)))</f>
        <v>85320213.740649983</v>
      </c>
      <c r="B6399">
        <v>151531511.86090872</v>
      </c>
    </row>
    <row r="6400" spans="1:2" x14ac:dyDescent="0.25">
      <c r="A6400">
        <f ca="1">25147.1351616511*((RANDBETWEEN(2979,3282)))</f>
        <v>79087740.083392799</v>
      </c>
      <c r="B6400">
        <v>143350186.39138892</v>
      </c>
    </row>
    <row r="6401" spans="1:2" x14ac:dyDescent="0.25">
      <c r="A6401">
        <f ca="1">27606.5595376416*((RANDBETWEEN(2979,3282)))</f>
        <v>88120138.044152007</v>
      </c>
      <c r="B6401">
        <v>180514266.74048477</v>
      </c>
    </row>
    <row r="6402" spans="1:2" x14ac:dyDescent="0.25">
      <c r="A6402">
        <f ca="1">27675.0131410582*((RANDBETWEEN(2979,3282)))</f>
        <v>86124640.89497298</v>
      </c>
      <c r="B6402">
        <v>178965859.64572796</v>
      </c>
    </row>
    <row r="6403" spans="1:2" x14ac:dyDescent="0.25">
      <c r="A6403">
        <f ca="1">29875.6484256275*((RANDBETWEEN(2979,3282)))</f>
        <v>90463463.432800174</v>
      </c>
      <c r="B6403">
        <v>193345374.89323187</v>
      </c>
    </row>
    <row r="6404" spans="1:2" x14ac:dyDescent="0.25">
      <c r="A6404">
        <f ca="1">26952.3551541589*((RANDBETWEEN(2979,3282)))</f>
        <v>82366397.351109684</v>
      </c>
      <c r="B6404">
        <v>164225549.33961341</v>
      </c>
    </row>
    <row r="6405" spans="1:2" x14ac:dyDescent="0.25">
      <c r="A6405">
        <f ca="1">26813.9742822882*((RANDBETWEEN(2979,3282)))</f>
        <v>82908808.480835229</v>
      </c>
      <c r="B6405">
        <v>149734854.96099576</v>
      </c>
    </row>
    <row r="6406" spans="1:2" x14ac:dyDescent="0.25">
      <c r="A6406">
        <f ca="1">28048.4086101201*((RANDBETWEEN(2979,3282)))</f>
        <v>83808644.927038819</v>
      </c>
      <c r="B6406">
        <v>154664761.78593764</v>
      </c>
    </row>
    <row r="6407" spans="1:2" x14ac:dyDescent="0.25">
      <c r="A6407">
        <f ca="1">32392.3867526603*((RANDBETWEEN(2979,3282)))</f>
        <v>105080902.62562992</v>
      </c>
      <c r="B6407">
        <v>187385216.73645142</v>
      </c>
    </row>
    <row r="6408" spans="1:2" x14ac:dyDescent="0.25">
      <c r="A6408">
        <f ca="1">30063.6978837177*((RANDBETWEEN(2979,3282)))</f>
        <v>98248164.683989421</v>
      </c>
      <c r="B6408">
        <v>196837764.22673094</v>
      </c>
    </row>
    <row r="6409" spans="1:2" x14ac:dyDescent="0.25">
      <c r="A6409">
        <f ca="1">30548.3651813628*((RANDBETWEEN(2979,3282)))</f>
        <v>95585834.652484193</v>
      </c>
      <c r="B6409">
        <v>162966801.0607872</v>
      </c>
    </row>
    <row r="6410" spans="1:2" x14ac:dyDescent="0.25">
      <c r="A6410">
        <f ca="1">26873.2250468194*((RANDBETWEEN(2979,3282)))</f>
        <v>86182432.72514987</v>
      </c>
      <c r="B6410">
        <v>161697277.45586225</v>
      </c>
    </row>
    <row r="6411" spans="1:2" x14ac:dyDescent="0.25">
      <c r="A6411">
        <f ca="1">23865.8962398067*((RANDBETWEEN(2979,3282)))</f>
        <v>73793351.173482433</v>
      </c>
      <c r="B6411">
        <v>143998269.15819708</v>
      </c>
    </row>
    <row r="6412" spans="1:2" x14ac:dyDescent="0.25">
      <c r="A6412">
        <f ca="1">26365.4761857042*((RANDBETWEEN(2979,3282)))</f>
        <v>85055026.175081819</v>
      </c>
      <c r="B6412">
        <v>201497754.48959902</v>
      </c>
    </row>
    <row r="6413" spans="1:2" x14ac:dyDescent="0.25">
      <c r="A6413">
        <f ca="1">27612.0490172409*((RANDBETWEEN(2979,3282)))</f>
        <v>90236176.188343108</v>
      </c>
      <c r="B6413">
        <v>200262635.00357378</v>
      </c>
    </row>
    <row r="6414" spans="1:2" x14ac:dyDescent="0.25">
      <c r="A6414">
        <f ca="1">28096.6595476277*((RANDBETWEEN(2979,3282)))</f>
        <v>83812335.430573463</v>
      </c>
      <c r="B6414">
        <v>194702598.46315894</v>
      </c>
    </row>
    <row r="6415" spans="1:2" x14ac:dyDescent="0.25">
      <c r="A6415">
        <f ca="1">33447.7866495567*((RANDBETWEEN(2979,3282)))</f>
        <v>100109225.44212307</v>
      </c>
      <c r="B6415">
        <v>189840463.40390408</v>
      </c>
    </row>
    <row r="6416" spans="1:2" x14ac:dyDescent="0.25">
      <c r="A6416">
        <f ca="1">27309.5190904327*((RANDBETWEEN(2979,3282)))</f>
        <v>85396866.195782989</v>
      </c>
      <c r="B6416">
        <v>157171529.98063204</v>
      </c>
    </row>
    <row r="6417" spans="1:2" x14ac:dyDescent="0.25">
      <c r="A6417">
        <f ca="1">32162.649651533*((RANDBETWEEN(2979,3282)))</f>
        <v>102180737.94292037</v>
      </c>
      <c r="B6417">
        <v>147209709.97593623</v>
      </c>
    </row>
    <row r="6418" spans="1:2" x14ac:dyDescent="0.25">
      <c r="A6418">
        <f ca="1">26942.1300705953*((RANDBETWEEN(2979,3282)))</f>
        <v>84032503.690186784</v>
      </c>
      <c r="B6418">
        <v>155420081.48551327</v>
      </c>
    </row>
    <row r="6419" spans="1:2" x14ac:dyDescent="0.25">
      <c r="A6419">
        <f ca="1">25929.1731939897*((RANDBETWEEN(2979,3282)))</f>
        <v>79213624.107638597</v>
      </c>
      <c r="B6419">
        <v>192449688.19789678</v>
      </c>
    </row>
    <row r="6420" spans="1:2" x14ac:dyDescent="0.25">
      <c r="A6420">
        <f ca="1">31082.4093085321*((RANDBETWEEN(2979,3282)))</f>
        <v>96013562.354055718</v>
      </c>
      <c r="B6420">
        <v>181641995.97108847</v>
      </c>
    </row>
    <row r="6421" spans="1:2" x14ac:dyDescent="0.25">
      <c r="A6421">
        <f ca="1">27165.7207732774*((RANDBETWEEN(2979,3282)))</f>
        <v>83262934.170095161</v>
      </c>
      <c r="B6421">
        <v>173944860.10065773</v>
      </c>
    </row>
    <row r="6422" spans="1:2" x14ac:dyDescent="0.25">
      <c r="A6422">
        <f ca="1">30762.2059752535*((RANDBETWEEN(2979,3282)))</f>
        <v>98131437.061058655</v>
      </c>
      <c r="B6422">
        <v>170724105.20348126</v>
      </c>
    </row>
    <row r="6423" spans="1:2" x14ac:dyDescent="0.25">
      <c r="A6423">
        <f ca="1">29150.1277451502*((RANDBETWEEN(2979,3282)))</f>
        <v>87712734.385157064</v>
      </c>
      <c r="B6423">
        <v>146175355.260387</v>
      </c>
    </row>
    <row r="6424" spans="1:2" x14ac:dyDescent="0.25">
      <c r="A6424">
        <f ca="1">27916.3289793216*((RANDBETWEEN(2979,3282)))</f>
        <v>91118897.788505539</v>
      </c>
      <c r="B6424">
        <v>174478210.6877825</v>
      </c>
    </row>
    <row r="6425" spans="1:2" x14ac:dyDescent="0.25">
      <c r="A6425">
        <f ca="1">26197.6182755084*((RANDBETWEEN(2979,3282)))</f>
        <v>83046449.933361754</v>
      </c>
      <c r="B6425">
        <v>186719756.68672165</v>
      </c>
    </row>
    <row r="6426" spans="1:2" x14ac:dyDescent="0.25">
      <c r="A6426">
        <f ca="1">27995.3360861376*((RANDBETWEEN(2979,3282)))</f>
        <v>87401439.260921583</v>
      </c>
      <c r="B6426">
        <v>156956287.83383685</v>
      </c>
    </row>
    <row r="6427" spans="1:2" x14ac:dyDescent="0.25">
      <c r="A6427">
        <f ca="1">26930.4065483108*((RANDBETWEEN(2979,3282)))</f>
        <v>80360333.140159369</v>
      </c>
      <c r="B6427">
        <v>177361992.4168694</v>
      </c>
    </row>
    <row r="6428" spans="1:2" x14ac:dyDescent="0.25">
      <c r="A6428">
        <f ca="1">30196.1048310595*((RANDBETWEEN(2979,3282)))</f>
        <v>90165569.025543705</v>
      </c>
      <c r="B6428">
        <v>168592706.0005354</v>
      </c>
    </row>
    <row r="6429" spans="1:2" x14ac:dyDescent="0.25">
      <c r="A6429">
        <f ca="1">30562.0317105483*((RANDBETWEEN(2979,3282)))</f>
        <v>94161619.700199261</v>
      </c>
      <c r="B6429">
        <v>199481993.5635016</v>
      </c>
    </row>
    <row r="6430" spans="1:2" x14ac:dyDescent="0.25">
      <c r="A6430">
        <f ca="1">28989.1784895483*((RANDBETWEEN(2979,3282)))</f>
        <v>87634286.57390444</v>
      </c>
      <c r="B6430">
        <v>158653058.33408958</v>
      </c>
    </row>
    <row r="6431" spans="1:2" x14ac:dyDescent="0.25">
      <c r="A6431">
        <f ca="1">25324.0506861371*((RANDBETWEEN(2979,3282)))</f>
        <v>80935665.992894143</v>
      </c>
      <c r="B6431">
        <v>149553429.56672847</v>
      </c>
    </row>
    <row r="6432" spans="1:2" x14ac:dyDescent="0.25">
      <c r="A6432">
        <f ca="1">28202.855556429*((RANDBETWEEN(2979,3282)))</f>
        <v>85370043.769310534</v>
      </c>
      <c r="B6432">
        <v>196929408.74823254</v>
      </c>
    </row>
    <row r="6433" spans="1:2" x14ac:dyDescent="0.25">
      <c r="A6433">
        <f ca="1">29689.0501992505*((RANDBETWEEN(2979,3282)))</f>
        <v>90640670.258311853</v>
      </c>
      <c r="B6433">
        <v>168743025.30577651</v>
      </c>
    </row>
    <row r="6434" spans="1:2" x14ac:dyDescent="0.25">
      <c r="A6434">
        <f ca="1">26272.7877240711*((RANDBETWEEN(2979,3282)))</f>
        <v>83337282.660753608</v>
      </c>
      <c r="B6434">
        <v>161255179.06928352</v>
      </c>
    </row>
    <row r="6435" spans="1:2" x14ac:dyDescent="0.25">
      <c r="A6435">
        <f ca="1">29299.4567700915*((RANDBETWEEN(2979,3282)))</f>
        <v>87986268.680584848</v>
      </c>
      <c r="B6435">
        <v>171459190.67816496</v>
      </c>
    </row>
    <row r="6436" spans="1:2" x14ac:dyDescent="0.25">
      <c r="A6436">
        <f ca="1">26260.086525176*((RANDBETWEEN(2979,3282)))</f>
        <v>84951379.908944368</v>
      </c>
      <c r="B6436">
        <v>154297355.35609809</v>
      </c>
    </row>
    <row r="6437" spans="1:2" x14ac:dyDescent="0.25">
      <c r="A6437">
        <f ca="1">32719.1747958972*((RANDBETWEEN(2979,3282)))</f>
        <v>106599071.48503301</v>
      </c>
      <c r="B6437">
        <v>156495706.30934608</v>
      </c>
    </row>
    <row r="6438" spans="1:2" x14ac:dyDescent="0.25">
      <c r="A6438">
        <f ca="1">26229.9717068172*((RANDBETWEEN(2979,3282)))</f>
        <v>81496522.093081087</v>
      </c>
      <c r="B6438">
        <v>148748788.13208318</v>
      </c>
    </row>
    <row r="6439" spans="1:2" x14ac:dyDescent="0.25">
      <c r="A6439">
        <f ca="1">25645.755039791*((RANDBETWEEN(2979,3282)))</f>
        <v>77783575.035686046</v>
      </c>
      <c r="B6439">
        <v>145570530.24945834</v>
      </c>
    </row>
    <row r="6440" spans="1:2" x14ac:dyDescent="0.25">
      <c r="A6440">
        <f ca="1">29808.7292864526*((RANDBETWEEN(2979,3282)))</f>
        <v>92824382.998013541</v>
      </c>
      <c r="B6440">
        <v>149377877.56471688</v>
      </c>
    </row>
    <row r="6441" spans="1:2" x14ac:dyDescent="0.25">
      <c r="A6441">
        <f ca="1">27795.9752241962*((RANDBETWEEN(2979,3282)))</f>
        <v>86612258.79859525</v>
      </c>
      <c r="B6441">
        <v>173724264.13006645</v>
      </c>
    </row>
    <row r="6442" spans="1:2" x14ac:dyDescent="0.25">
      <c r="A6442">
        <f ca="1">32114.1656802907*((RANDBETWEEN(2979,3282)))</f>
        <v>100870594.40179318</v>
      </c>
      <c r="B6442">
        <v>172370699.98194048</v>
      </c>
    </row>
    <row r="6443" spans="1:2" x14ac:dyDescent="0.25">
      <c r="A6443">
        <f ca="1">33438.0888901682*((RANDBETWEEN(2979,3282)))</f>
        <v>100983028.44830801</v>
      </c>
      <c r="B6443">
        <v>161827786.33599141</v>
      </c>
    </row>
    <row r="6444" spans="1:2" x14ac:dyDescent="0.25">
      <c r="A6444">
        <f ca="1">31857.9769156402*((RANDBETWEEN(2979,3282)))</f>
        <v>101403940.52248274</v>
      </c>
      <c r="B6444">
        <v>184400232.09151196</v>
      </c>
    </row>
    <row r="6445" spans="1:2" x14ac:dyDescent="0.25">
      <c r="A6445">
        <f ca="1">28011.9550435972*((RANDBETWEEN(2979,3282)))</f>
        <v>87257239.960805312</v>
      </c>
      <c r="B6445">
        <v>158466500.76665956</v>
      </c>
    </row>
    <row r="6446" spans="1:2" x14ac:dyDescent="0.25">
      <c r="A6446">
        <f ca="1">27219.419454369*((RANDBETWEEN(2979,3282)))</f>
        <v>87292678.190161332</v>
      </c>
      <c r="B6446">
        <v>149884371.47727883</v>
      </c>
    </row>
    <row r="6447" spans="1:2" x14ac:dyDescent="0.25">
      <c r="A6447">
        <f ca="1">32165.7972919271*((RANDBETWEEN(2979,3282)))</f>
        <v>100807608.71289942</v>
      </c>
      <c r="B6447">
        <v>159131470.73926511</v>
      </c>
    </row>
    <row r="6448" spans="1:2" x14ac:dyDescent="0.25">
      <c r="A6448">
        <f ca="1">32061.7404542799*((RANDBETWEEN(2979,3282)))</f>
        <v>96826456.171925187</v>
      </c>
      <c r="B6448">
        <v>164942561.61792237</v>
      </c>
    </row>
    <row r="6449" spans="1:2" x14ac:dyDescent="0.25">
      <c r="A6449">
        <f ca="1">32458.5942091499*((RANDBETWEEN(2979,3282)))</f>
        <v>106496647.60022086</v>
      </c>
      <c r="B6449">
        <v>203112512.54656094</v>
      </c>
    </row>
    <row r="6450" spans="1:2" x14ac:dyDescent="0.25">
      <c r="A6450">
        <f ca="1">25887.9627659022*((RANDBETWEEN(2979,3282)))</f>
        <v>83281576.21790728</v>
      </c>
      <c r="B6450">
        <v>144457052.63492116</v>
      </c>
    </row>
    <row r="6451" spans="1:2" x14ac:dyDescent="0.25">
      <c r="A6451">
        <f ca="1">26999.0795844518*((RANDBETWEEN(2979,3282)))</f>
        <v>86424053.749830097</v>
      </c>
      <c r="B6451">
        <v>149777500.64638647</v>
      </c>
    </row>
    <row r="6452" spans="1:2" x14ac:dyDescent="0.25">
      <c r="A6452">
        <f ca="1">30590.5938237694*((RANDBETWEEN(2979,3282)))</f>
        <v>94983793.822804004</v>
      </c>
      <c r="B6452">
        <v>173352277.1724273</v>
      </c>
    </row>
    <row r="6453" spans="1:2" x14ac:dyDescent="0.25">
      <c r="A6453">
        <f ca="1">30888.4067014962*((RANDBETWEEN(2979,3282)))</f>
        <v>100016660.89944455</v>
      </c>
      <c r="B6453">
        <v>184160765.06638896</v>
      </c>
    </row>
    <row r="6454" spans="1:2" x14ac:dyDescent="0.25">
      <c r="A6454">
        <f ca="1">27006.6429605822*((RANDBETWEEN(2979,3282)))</f>
        <v>85773098.042809203</v>
      </c>
      <c r="B6454">
        <v>183873086.54635474</v>
      </c>
    </row>
    <row r="6455" spans="1:2" x14ac:dyDescent="0.25">
      <c r="A6455">
        <f ca="1">26114.6359339301*((RANDBETWEEN(2979,3282)))</f>
        <v>83697408.16824612</v>
      </c>
      <c r="B6455">
        <v>154442206.48329446</v>
      </c>
    </row>
    <row r="6456" spans="1:2" x14ac:dyDescent="0.25">
      <c r="A6456">
        <f ca="1">27465.7574567788*((RANDBETWEEN(2979,3282)))</f>
        <v>86324875.686655849</v>
      </c>
      <c r="B6456">
        <v>159233033.60906154</v>
      </c>
    </row>
    <row r="6457" spans="1:2" x14ac:dyDescent="0.25">
      <c r="A6457">
        <f ca="1">27506.2722448554*((RANDBETWEEN(2979,3282)))</f>
        <v>85544506.681500331</v>
      </c>
      <c r="B6457">
        <v>200547394.2953026</v>
      </c>
    </row>
    <row r="6458" spans="1:2" x14ac:dyDescent="0.25">
      <c r="A6458">
        <f ca="1">31773.8703593212*((RANDBETWEEN(2979,3282)))</f>
        <v>104091199.29713623</v>
      </c>
      <c r="B6458">
        <v>179439653.17834228</v>
      </c>
    </row>
    <row r="6459" spans="1:2" x14ac:dyDescent="0.25">
      <c r="A6459">
        <f ca="1">29834.8124685487*((RANDBETWEEN(2979,3282)))</f>
        <v>94725529.587642238</v>
      </c>
      <c r="B6459">
        <v>186732167.55944636</v>
      </c>
    </row>
    <row r="6460" spans="1:2" x14ac:dyDescent="0.25">
      <c r="A6460">
        <f ca="1">27669.2693320995*((RANDBETWEEN(2979,3282)))</f>
        <v>85110672.465538129</v>
      </c>
      <c r="B6460">
        <v>160671825.82294145</v>
      </c>
    </row>
    <row r="6461" spans="1:2" x14ac:dyDescent="0.25">
      <c r="A6461">
        <f ca="1">29023.1319552594*((RANDBETWEEN(2979,3282)))</f>
        <v>87940089.824435994</v>
      </c>
      <c r="B6461">
        <v>191763165.24214119</v>
      </c>
    </row>
    <row r="6462" spans="1:2" x14ac:dyDescent="0.25">
      <c r="A6462">
        <f ca="1">28421.4774697924*((RANDBETWEEN(2979,3282)))</f>
        <v>93137181.668509737</v>
      </c>
      <c r="B6462">
        <v>179597407.5679414</v>
      </c>
    </row>
    <row r="6463" spans="1:2" x14ac:dyDescent="0.25">
      <c r="A6463">
        <f ca="1">26049.5766144536*((RANDBETWEEN(2979,3282)))</f>
        <v>84452727.38405852</v>
      </c>
      <c r="B6463">
        <v>163993671.99227205</v>
      </c>
    </row>
    <row r="6464" spans="1:2" x14ac:dyDescent="0.25">
      <c r="A6464">
        <f ca="1">26804.343755637*((RANDBETWEEN(2979,3282)))</f>
        <v>82208922.29853861</v>
      </c>
      <c r="B6464">
        <v>154832296.20271391</v>
      </c>
    </row>
    <row r="6465" spans="1:2" x14ac:dyDescent="0.25">
      <c r="A6465">
        <f ca="1">30848.1629150148*((RANDBETWEEN(2979,3282)))</f>
        <v>96554749.923996285</v>
      </c>
      <c r="B6465">
        <v>173828272.361433</v>
      </c>
    </row>
    <row r="6466" spans="1:2" x14ac:dyDescent="0.25">
      <c r="A6466">
        <f ca="1">26268.4482148673*((RANDBETWEEN(2979,3282)))</f>
        <v>82220242.912534788</v>
      </c>
      <c r="B6466">
        <v>163334516.61227727</v>
      </c>
    </row>
    <row r="6467" spans="1:2" x14ac:dyDescent="0.25">
      <c r="A6467">
        <f ca="1">28601.7932003189*((RANDBETWEEN(2979,3282)))</f>
        <v>86835044.156168163</v>
      </c>
      <c r="B6467">
        <v>179546179.38849369</v>
      </c>
    </row>
    <row r="6468" spans="1:2" x14ac:dyDescent="0.25">
      <c r="A6468">
        <f ca="1">27102.6307459182*((RANDBETWEEN(2979,3282)))</f>
        <v>81714431.698943451</v>
      </c>
      <c r="B6468">
        <v>158324482.06274709</v>
      </c>
    </row>
    <row r="6469" spans="1:2" x14ac:dyDescent="0.25">
      <c r="A6469">
        <f ca="1">33251.842882854*((RANDBETWEEN(2979,3282)))</f>
        <v>100586824.72063328</v>
      </c>
      <c r="B6469">
        <v>189041829.14883465</v>
      </c>
    </row>
    <row r="6470" spans="1:2" x14ac:dyDescent="0.25">
      <c r="A6470">
        <f ca="1">30831.0549070298*((RANDBETWEEN(2979,3282)))</f>
        <v>100262590.55766091</v>
      </c>
      <c r="B6470">
        <v>182191437.47593874</v>
      </c>
    </row>
    <row r="6471" spans="1:2" x14ac:dyDescent="0.25">
      <c r="A6471">
        <f ca="1">26884.384404629*((RANDBETWEEN(2979,3282)))</f>
        <v>83234054.11673151</v>
      </c>
      <c r="B6471">
        <v>186839592.64878127</v>
      </c>
    </row>
    <row r="6472" spans="1:2" x14ac:dyDescent="0.25">
      <c r="A6472">
        <f ca="1">30937.4789544131*((RANDBETWEEN(2979,3282)))</f>
        <v>96153684.590315774</v>
      </c>
      <c r="B6472">
        <v>160324128.24627608</v>
      </c>
    </row>
    <row r="6473" spans="1:2" x14ac:dyDescent="0.25">
      <c r="A6473">
        <f ca="1">26684.2778795565*((RANDBETWEEN(2979,3282)))</f>
        <v>85069477.880026087</v>
      </c>
      <c r="B6473">
        <v>170355889.28052062</v>
      </c>
    </row>
    <row r="6474" spans="1:2" x14ac:dyDescent="0.25">
      <c r="A6474">
        <f ca="1">28394.5872163995*((RANDBETWEEN(2979,3282)))</f>
        <v>91600938.360104918</v>
      </c>
      <c r="B6474">
        <v>164186195.64943168</v>
      </c>
    </row>
    <row r="6475" spans="1:2" x14ac:dyDescent="0.25">
      <c r="A6475">
        <f ca="1">27046.782030512*((RANDBETWEEN(2979,3282)))</f>
        <v>86360375.023424819</v>
      </c>
      <c r="B6475">
        <v>145318471.00012338</v>
      </c>
    </row>
    <row r="6476" spans="1:2" x14ac:dyDescent="0.25">
      <c r="A6476">
        <f ca="1">30678.2580997876*((RANDBETWEEN(2979,3282)))</f>
        <v>91881383.008863986</v>
      </c>
      <c r="B6476">
        <v>157794414.47450131</v>
      </c>
    </row>
    <row r="6477" spans="1:2" x14ac:dyDescent="0.25">
      <c r="A6477">
        <f ca="1">27319.8446981759*((RANDBETWEEN(2979,3282)))</f>
        <v>82396651.609698564</v>
      </c>
      <c r="B6477">
        <v>202487570.40469554</v>
      </c>
    </row>
    <row r="6478" spans="1:2" x14ac:dyDescent="0.25">
      <c r="A6478">
        <f ca="1">33254.6849241931*((RANDBETWEEN(2979,3282)))</f>
        <v>106481501.12726627</v>
      </c>
      <c r="B6478">
        <v>183060566.96841449</v>
      </c>
    </row>
    <row r="6479" spans="1:2" x14ac:dyDescent="0.25">
      <c r="A6479">
        <f ca="1">29298.9247443405*((RANDBETWEEN(2979,3282)))</f>
        <v>91178253.80438751</v>
      </c>
      <c r="B6479">
        <v>178265777.18187153</v>
      </c>
    </row>
    <row r="6480" spans="1:2" x14ac:dyDescent="0.25">
      <c r="A6480">
        <f ca="1">29622.0632267137*((RANDBETWEEN(2979,3282)))</f>
        <v>92924412.34220095</v>
      </c>
      <c r="B6480">
        <v>171470390.59927914</v>
      </c>
    </row>
    <row r="6481" spans="1:2" x14ac:dyDescent="0.25">
      <c r="A6481">
        <f ca="1">27398.3580739617*((RANDBETWEEN(2979,3282)))</f>
        <v>83208813.470621556</v>
      </c>
      <c r="B6481">
        <v>148840343.65282804</v>
      </c>
    </row>
    <row r="6482" spans="1:2" x14ac:dyDescent="0.25">
      <c r="A6482">
        <f ca="1">31495.1262320129*((RANDBETWEEN(2979,3282)))</f>
        <v>102138694.37041791</v>
      </c>
      <c r="B6482">
        <v>193832585.45527083</v>
      </c>
    </row>
    <row r="6483" spans="1:2" x14ac:dyDescent="0.25">
      <c r="A6483">
        <f ca="1">27929.9984245932*((RANDBETWEEN(2979,3282)))</f>
        <v>84097225.256450191</v>
      </c>
      <c r="B6483">
        <v>190861924.87760156</v>
      </c>
    </row>
    <row r="6484" spans="1:2" x14ac:dyDescent="0.25">
      <c r="A6484">
        <f ca="1">27972.0710555806*((RANDBETWEEN(2979,3282)))</f>
        <v>85650481.572187915</v>
      </c>
      <c r="B6484">
        <v>180788642.06163079</v>
      </c>
    </row>
    <row r="6485" spans="1:2" x14ac:dyDescent="0.25">
      <c r="A6485">
        <f ca="1">26355.8787584002*((RANDBETWEEN(2979,3282)))</f>
        <v>81413309.484698176</v>
      </c>
      <c r="B6485">
        <v>154550925.97477475</v>
      </c>
    </row>
    <row r="6486" spans="1:2" x14ac:dyDescent="0.25">
      <c r="A6486">
        <f ca="1">30519.5101719029*((RANDBETWEEN(2979,3282)))</f>
        <v>98913732.467137188</v>
      </c>
      <c r="B6486">
        <v>189771929.37509704</v>
      </c>
    </row>
    <row r="6487" spans="1:2" x14ac:dyDescent="0.25">
      <c r="A6487">
        <f ca="1">27614.4301419548*((RANDBETWEEN(2979,3282)))</f>
        <v>90547716.435469821</v>
      </c>
      <c r="B6487">
        <v>178153809.25960845</v>
      </c>
    </row>
    <row r="6488" spans="1:2" x14ac:dyDescent="0.25">
      <c r="A6488">
        <f ca="1">25603.0436624514*((RANDBETWEEN(2979,3282)))</f>
        <v>77858855.777514637</v>
      </c>
      <c r="B6488">
        <v>143874158.9496448</v>
      </c>
    </row>
    <row r="6489" spans="1:2" x14ac:dyDescent="0.25">
      <c r="A6489">
        <f ca="1">29820.2207572546*((RANDBETWEEN(2979,3282)))</f>
        <v>93218010.087177962</v>
      </c>
      <c r="B6489">
        <v>153525042.78999811</v>
      </c>
    </row>
    <row r="6490" spans="1:2" x14ac:dyDescent="0.25">
      <c r="A6490">
        <f ca="1">26377.9515953539*((RANDBETWEEN(2979,3282)))</f>
        <v>85279917.507779062</v>
      </c>
      <c r="B6490">
        <v>172216118.21344545</v>
      </c>
    </row>
    <row r="6491" spans="1:2" x14ac:dyDescent="0.25">
      <c r="A6491">
        <f ca="1">27151.1743231187*((RANDBETWEEN(2979,3282)))</f>
        <v>87779746.586642772</v>
      </c>
      <c r="B6491">
        <v>153585146.26979935</v>
      </c>
    </row>
    <row r="6492" spans="1:2" x14ac:dyDescent="0.25">
      <c r="A6492">
        <f ca="1">25634.3122195162*((RANDBETWEEN(2979,3282)))</f>
        <v>81004426.613671139</v>
      </c>
      <c r="B6492">
        <v>166279422.58385691</v>
      </c>
    </row>
    <row r="6493" spans="1:2" x14ac:dyDescent="0.25">
      <c r="A6493">
        <f ca="1">28107.777485517*((RANDBETWEEN(2979,3282)))</f>
        <v>88708145.744291782</v>
      </c>
      <c r="B6493">
        <v>172917249.69627529</v>
      </c>
    </row>
    <row r="6494" spans="1:2" x14ac:dyDescent="0.25">
      <c r="A6494">
        <f ca="1">29649.578250828*((RANDBETWEEN(2979,3282)))</f>
        <v>91646846.37330924</v>
      </c>
      <c r="B6494">
        <v>187393257.77258256</v>
      </c>
    </row>
    <row r="6495" spans="1:2" x14ac:dyDescent="0.25">
      <c r="A6495">
        <f ca="1">25565.3467943308*((RANDBETWEEN(2979,3282)))</f>
        <v>83649814.711050466</v>
      </c>
      <c r="B6495">
        <v>148222997.77464008</v>
      </c>
    </row>
    <row r="6496" spans="1:2" x14ac:dyDescent="0.25">
      <c r="A6496">
        <f ca="1">27006.7398089043*((RANDBETWEEN(2979,3282)))</f>
        <v>83531846.228941023</v>
      </c>
      <c r="B6496">
        <v>171251384.80171764</v>
      </c>
    </row>
    <row r="6497" spans="1:2" x14ac:dyDescent="0.25">
      <c r="A6497">
        <f ca="1">26655.5827861144*((RANDBETWEEN(2979,3282)))</f>
        <v>82872206.882029682</v>
      </c>
      <c r="B6497">
        <v>154019074.22112077</v>
      </c>
    </row>
    <row r="6498" spans="1:2" x14ac:dyDescent="0.25">
      <c r="A6498">
        <f ca="1">26627.5462087653*((RANDBETWEEN(2979,3282)))</f>
        <v>86938938.371618763</v>
      </c>
      <c r="B6498">
        <v>145722173.9410128</v>
      </c>
    </row>
    <row r="6499" spans="1:2" x14ac:dyDescent="0.25">
      <c r="A6499">
        <f ca="1">29810.4768709238*((RANDBETWEEN(2979,3282)))</f>
        <v>88924652.50596571</v>
      </c>
      <c r="B6499">
        <v>147663288.09655607</v>
      </c>
    </row>
    <row r="6500" spans="1:2" x14ac:dyDescent="0.25">
      <c r="A6500">
        <f ca="1">26590.9756538121*((RANDBETWEEN(2979,3282)))</f>
        <v>82777707.210317105</v>
      </c>
      <c r="B6500">
        <v>151654841.80045584</v>
      </c>
    </row>
    <row r="6501" spans="1:2" x14ac:dyDescent="0.25">
      <c r="A6501">
        <f ca="1">25851.9653968356*((RANDBETWEEN(2979,3282)))</f>
        <v>77400784.398125887</v>
      </c>
      <c r="B6501">
        <v>144911110.37906921</v>
      </c>
    </row>
    <row r="6502" spans="1:2" x14ac:dyDescent="0.25">
      <c r="A6502">
        <f ca="1">28459.1318378821*((RANDBETWEEN(2979,3282)))</f>
        <v>91894536.704521298</v>
      </c>
      <c r="B6502">
        <v>176097529.56555215</v>
      </c>
    </row>
    <row r="6503" spans="1:2" x14ac:dyDescent="0.25">
      <c r="A6503">
        <f ca="1">29073.0081152319*((RANDBETWEEN(2979,3282)))</f>
        <v>92103289.709054545</v>
      </c>
      <c r="B6503">
        <v>153125465.22767812</v>
      </c>
    </row>
    <row r="6504" spans="1:2" x14ac:dyDescent="0.25">
      <c r="A6504">
        <f ca="1">29660.260882869*((RANDBETWEEN(2979,3282)))</f>
        <v>90226513.605687544</v>
      </c>
      <c r="B6504">
        <v>169913318.64713368</v>
      </c>
    </row>
    <row r="6505" spans="1:2" x14ac:dyDescent="0.25">
      <c r="A6505">
        <f ca="1">30618.7019543129*((RANDBETWEEN(2979,3282)))</f>
        <v>98163558.465527266</v>
      </c>
      <c r="B6505">
        <v>202193193.9685913</v>
      </c>
    </row>
    <row r="6506" spans="1:2" x14ac:dyDescent="0.25">
      <c r="A6506">
        <f ca="1">27138.8467738329*((RANDBETWEEN(2979,3282)))</f>
        <v>85134562.329513699</v>
      </c>
      <c r="B6506">
        <v>164612259.59286621</v>
      </c>
    </row>
    <row r="6507" spans="1:2" x14ac:dyDescent="0.25">
      <c r="A6507">
        <f ca="1">26537.9953320466*((RANDBETWEEN(2979,3282)))</f>
        <v>83010849.398641765</v>
      </c>
      <c r="B6507">
        <v>148132127.05302984</v>
      </c>
    </row>
    <row r="6508" spans="1:2" x14ac:dyDescent="0.25">
      <c r="A6508">
        <f ca="1">33500.6276316119*((RANDBETWEEN(2979,3282)))</f>
        <v>104454956.95536576</v>
      </c>
      <c r="B6508">
        <v>185576048.06677976</v>
      </c>
    </row>
    <row r="6509" spans="1:2" x14ac:dyDescent="0.25">
      <c r="A6509">
        <f ca="1">27646.3305570026*((RANDBETWEEN(2979,3282)))</f>
        <v>88993538.0629915</v>
      </c>
      <c r="B6509">
        <v>196705125.00058404</v>
      </c>
    </row>
    <row r="6510" spans="1:2" x14ac:dyDescent="0.25">
      <c r="A6510">
        <f ca="1">25256.4269812249*((RANDBETWEEN(2979,3282)))</f>
        <v>79431462.855952173</v>
      </c>
      <c r="B6510">
        <v>200499941.67072403</v>
      </c>
    </row>
    <row r="6511" spans="1:2" x14ac:dyDescent="0.25">
      <c r="A6511">
        <f ca="1">25852.2173953309*((RANDBETWEEN(2979,3282)))</f>
        <v>81046701.534362257</v>
      </c>
      <c r="B6511">
        <v>186791388.46253616</v>
      </c>
    </row>
    <row r="6512" spans="1:2" x14ac:dyDescent="0.25">
      <c r="A6512">
        <f ca="1">25966.2561461155*((RANDBETWEEN(2979,3282)))</f>
        <v>81144550.456611007</v>
      </c>
      <c r="B6512">
        <v>152476119.79753053</v>
      </c>
    </row>
    <row r="6513" spans="1:2" x14ac:dyDescent="0.25">
      <c r="A6513">
        <f ca="1">29792.8660284236*((RANDBETWEEN(2979,3282)))</f>
        <v>95396757.023012415</v>
      </c>
      <c r="B6513">
        <v>144097028.91604412</v>
      </c>
    </row>
    <row r="6514" spans="1:2" x14ac:dyDescent="0.25">
      <c r="A6514">
        <f ca="1">29089.5706721032*((RANDBETWEEN(2979,3282)))</f>
        <v>92824820.014681324</v>
      </c>
      <c r="B6514">
        <v>159574059.60596299</v>
      </c>
    </row>
    <row r="6515" spans="1:2" x14ac:dyDescent="0.25">
      <c r="A6515">
        <f ca="1">30951.3963186731*((RANDBETWEEN(2979,3282)))</f>
        <v>101458677.13261054</v>
      </c>
      <c r="B6515">
        <v>164926892.60378206</v>
      </c>
    </row>
    <row r="6516" spans="1:2" x14ac:dyDescent="0.25">
      <c r="A6516">
        <f ca="1">29547.1033723067*((RANDBETWEEN(2979,3282)))</f>
        <v>92305150.935085982</v>
      </c>
      <c r="B6516">
        <v>198484467.47686946</v>
      </c>
    </row>
    <row r="6517" spans="1:2" x14ac:dyDescent="0.25">
      <c r="A6517">
        <f ca="1">28363.4462719524*((RANDBETWEEN(2979,3282)))</f>
        <v>85572517.402480468</v>
      </c>
      <c r="B6517">
        <v>145161365.76306868</v>
      </c>
    </row>
    <row r="6518" spans="1:2" x14ac:dyDescent="0.25">
      <c r="A6518">
        <f ca="1">25834.9335939996*((RANDBETWEEN(2979,3282)))</f>
        <v>83136816.305490673</v>
      </c>
      <c r="B6518">
        <v>147132965.92981648</v>
      </c>
    </row>
    <row r="6519" spans="1:2" x14ac:dyDescent="0.25">
      <c r="A6519">
        <f ca="1">28469.1399446034*((RANDBETWEEN(2979,3282)))</f>
        <v>91129716.962675527</v>
      </c>
      <c r="B6519">
        <v>180921054.71782649</v>
      </c>
    </row>
    <row r="6520" spans="1:2" x14ac:dyDescent="0.25">
      <c r="A6520">
        <f ca="1">27989.0214236766*((RANDBETWEEN(2979,3282)))</f>
        <v>91720023.205388069</v>
      </c>
      <c r="B6520">
        <v>180178347.98992574</v>
      </c>
    </row>
    <row r="6521" spans="1:2" x14ac:dyDescent="0.25">
      <c r="A6521">
        <f ca="1">27233.4144168864*((RANDBETWEEN(2979,3282)))</f>
        <v>82517245.683165655</v>
      </c>
      <c r="B6521">
        <v>156407170.99347007</v>
      </c>
    </row>
    <row r="6522" spans="1:2" x14ac:dyDescent="0.25">
      <c r="A6522">
        <f ca="1">26725.3247166509*((RANDBETWEEN(2979,3282)))</f>
        <v>79908720.902786151</v>
      </c>
      <c r="B6522">
        <v>181860889.98326802</v>
      </c>
    </row>
    <row r="6523" spans="1:2" x14ac:dyDescent="0.25">
      <c r="A6523">
        <f ca="1">29162.0140668605*((RANDBETWEEN(2979,3282)))</f>
        <v>91714534.240276262</v>
      </c>
      <c r="B6523">
        <v>160869678.68904635</v>
      </c>
    </row>
    <row r="6524" spans="1:2" x14ac:dyDescent="0.25">
      <c r="A6524">
        <f ca="1">29295.506942916*((RANDBETWEEN(2979,3282)))</f>
        <v>95444761.620020226</v>
      </c>
      <c r="B6524">
        <v>176534373.41354614</v>
      </c>
    </row>
    <row r="6525" spans="1:2" x14ac:dyDescent="0.25">
      <c r="A6525">
        <f ca="1">27964.5408407997*((RANDBETWEEN(2979,3282)))</f>
        <v>89654317.935603723</v>
      </c>
      <c r="B6525">
        <v>154621014.10397714</v>
      </c>
    </row>
    <row r="6526" spans="1:2" x14ac:dyDescent="0.25">
      <c r="A6526">
        <f ca="1">25984.8086871181*((RANDBETWEEN(2979,3282)))</f>
        <v>80319043.651882097</v>
      </c>
      <c r="B6526">
        <v>157363068.63226193</v>
      </c>
    </row>
    <row r="6527" spans="1:2" x14ac:dyDescent="0.25">
      <c r="A6527">
        <f ca="1">26539.5520593279*((RANDBETWEEN(2979,3282)))</f>
        <v>86492400.16134958</v>
      </c>
      <c r="B6527">
        <v>174835416.39082313</v>
      </c>
    </row>
    <row r="6528" spans="1:2" x14ac:dyDescent="0.25">
      <c r="A6528">
        <f ca="1">29954.461506085*((RANDBETWEEN(2979,3282)))</f>
        <v>91421016.516571388</v>
      </c>
      <c r="B6528">
        <v>154958304.81706226</v>
      </c>
    </row>
    <row r="6529" spans="1:2" x14ac:dyDescent="0.25">
      <c r="A6529">
        <f ca="1">33844.5658239605*((RANDBETWEEN(2979,3282)))</f>
        <v>104207418.17197444</v>
      </c>
      <c r="B6529">
        <v>203642940.63133049</v>
      </c>
    </row>
    <row r="6530" spans="1:2" x14ac:dyDescent="0.25">
      <c r="A6530">
        <f ca="1">29276.7241943593*((RANDBETWEEN(2979,3282)))</f>
        <v>93890454.491310343</v>
      </c>
      <c r="B6530">
        <v>162978410.48289394</v>
      </c>
    </row>
    <row r="6531" spans="1:2" x14ac:dyDescent="0.25">
      <c r="A6531">
        <f ca="1">26309.610880049*((RANDBETWEEN(2979,3282)))</f>
        <v>84217064.427036911</v>
      </c>
      <c r="B6531">
        <v>177219255.65526816</v>
      </c>
    </row>
    <row r="6532" spans="1:2" x14ac:dyDescent="0.25">
      <c r="A6532">
        <f ca="1">26006.5044593679*((RANDBETWEEN(2979,3282)))</f>
        <v>81582404.48903726</v>
      </c>
      <c r="B6532">
        <v>143224233.51173204</v>
      </c>
    </row>
    <row r="6533" spans="1:2" x14ac:dyDescent="0.25">
      <c r="A6533">
        <f ca="1">27687.5921008259*((RANDBETWEEN(2979,3282)))</f>
        <v>87077477.157097444</v>
      </c>
      <c r="B6533">
        <v>176149257.18106478</v>
      </c>
    </row>
    <row r="6534" spans="1:2" x14ac:dyDescent="0.25">
      <c r="A6534">
        <f ca="1">26686.5135576839*((RANDBETWEEN(2979,3282)))</f>
        <v>81340493.323820665</v>
      </c>
      <c r="B6534">
        <v>164042285.15140978</v>
      </c>
    </row>
    <row r="6535" spans="1:2" x14ac:dyDescent="0.25">
      <c r="A6535">
        <f ca="1">26976.7568023012*((RANDBETWEEN(2979,3282)))</f>
        <v>85165621.22486499</v>
      </c>
      <c r="B6535">
        <v>158538314.44130382</v>
      </c>
    </row>
    <row r="6536" spans="1:2" x14ac:dyDescent="0.25">
      <c r="A6536">
        <f ca="1">27201.0053624139*((RANDBETWEEN(2979,3282)))</f>
        <v>87968051.342046529</v>
      </c>
      <c r="B6536">
        <v>187230761.97489351</v>
      </c>
    </row>
    <row r="6537" spans="1:2" x14ac:dyDescent="0.25">
      <c r="A6537">
        <f ca="1">29071.3197239814*((RANDBETWEEN(2979,3282)))</f>
        <v>93871291.38873589</v>
      </c>
      <c r="B6537">
        <v>171689862.98546109</v>
      </c>
    </row>
    <row r="6538" spans="1:2" x14ac:dyDescent="0.25">
      <c r="A6538">
        <f ca="1">28003.3102368963*((RANDBETWEEN(2979,3282)))</f>
        <v>89386566.276172906</v>
      </c>
      <c r="B6538">
        <v>168018425.67184156</v>
      </c>
    </row>
    <row r="6539" spans="1:2" x14ac:dyDescent="0.25">
      <c r="A6539">
        <f ca="1">32004.0614505556*((RANDBETWEEN(2979,3282)))</f>
        <v>104877309.37347054</v>
      </c>
      <c r="B6539">
        <v>147941123.87252709</v>
      </c>
    </row>
    <row r="6540" spans="1:2" x14ac:dyDescent="0.25">
      <c r="A6540">
        <f ca="1">26379.5812419143*((RANDBETWEEN(2979,3282)))</f>
        <v>81117212.318886578</v>
      </c>
      <c r="B6540">
        <v>148620192.71841884</v>
      </c>
    </row>
    <row r="6541" spans="1:2" x14ac:dyDescent="0.25">
      <c r="A6541">
        <f ca="1">29152.6627760484*((RANDBETWEEN(2979,3282)))</f>
        <v>89032232.118051738</v>
      </c>
      <c r="B6541">
        <v>201963186.81121162</v>
      </c>
    </row>
    <row r="6542" spans="1:2" x14ac:dyDescent="0.25">
      <c r="A6542">
        <f ca="1">28297.4363277699*((RANDBETWEEN(2979,3282)))</f>
        <v>90325416.75824149</v>
      </c>
      <c r="B6542">
        <v>174832569.1439032</v>
      </c>
    </row>
    <row r="6543" spans="1:2" x14ac:dyDescent="0.25">
      <c r="A6543">
        <f ca="1">25448.8621683637*((RANDBETWEEN(2979,3282)))</f>
        <v>82327069.114656702</v>
      </c>
      <c r="B6543">
        <v>162233334.17274398</v>
      </c>
    </row>
    <row r="6544" spans="1:2" x14ac:dyDescent="0.25">
      <c r="A6544">
        <f ca="1">28499.238821133*((RANDBETWEEN(2979,3282)))</f>
        <v>88803628.166650429</v>
      </c>
      <c r="B6544">
        <v>197613830.6133382</v>
      </c>
    </row>
    <row r="6545" spans="1:2" x14ac:dyDescent="0.25">
      <c r="A6545">
        <f ca="1">25976.2913946548*((RANDBETWEEN(2979,3282)))</f>
        <v>81097981.734112352</v>
      </c>
      <c r="B6545">
        <v>177027378.50008979</v>
      </c>
    </row>
    <row r="6546" spans="1:2" x14ac:dyDescent="0.25">
      <c r="A6546">
        <f ca="1">26196.5930054756*((RANDBETWEEN(2979,3282)))</f>
        <v>81104651.944952607</v>
      </c>
      <c r="B6546">
        <v>169230438.27319497</v>
      </c>
    </row>
    <row r="6547" spans="1:2" x14ac:dyDescent="0.25">
      <c r="A6547">
        <f ca="1">27856.2019473478*((RANDBETWEEN(2979,3282)))</f>
        <v>90950499.358090565</v>
      </c>
      <c r="B6547">
        <v>154248806.94873428</v>
      </c>
    </row>
    <row r="6548" spans="1:2" x14ac:dyDescent="0.25">
      <c r="A6548">
        <f ca="1">28289.0708305956*((RANDBETWEEN(2979,3282)))</f>
        <v>86394822.316638991</v>
      </c>
      <c r="B6548">
        <v>167576101.19101688</v>
      </c>
    </row>
    <row r="6549" spans="1:2" x14ac:dyDescent="0.25">
      <c r="A6549">
        <f ca="1">27507.1232101338*((RANDBETWEEN(2979,3282)))</f>
        <v>84886982.226472899</v>
      </c>
      <c r="B6549">
        <v>182008182.62127179</v>
      </c>
    </row>
    <row r="6550" spans="1:2" x14ac:dyDescent="0.25">
      <c r="A6550">
        <f ca="1">26040.6473856291*((RANDBETWEEN(2979,3282)))</f>
        <v>84241494.292510211</v>
      </c>
      <c r="B6550">
        <v>188336197.99577951</v>
      </c>
    </row>
    <row r="6551" spans="1:2" x14ac:dyDescent="0.25">
      <c r="A6551">
        <f ca="1">30223.9378475123*((RANDBETWEEN(2979,3282)))</f>
        <v>96444585.671411604</v>
      </c>
      <c r="B6551">
        <v>154858571.68087333</v>
      </c>
    </row>
    <row r="6552" spans="1:2" x14ac:dyDescent="0.25">
      <c r="A6552">
        <f ca="1">27150.2677707533*((RANDBETWEEN(2979,3282)))</f>
        <v>85550493.745643497</v>
      </c>
      <c r="B6552">
        <v>144437892.38279688</v>
      </c>
    </row>
    <row r="6553" spans="1:2" x14ac:dyDescent="0.25">
      <c r="A6553">
        <f ca="1">29433.4030859592*((RANDBETWEEN(2979,3282)))</f>
        <v>94746124.533702776</v>
      </c>
      <c r="B6553">
        <v>146373752.7840268</v>
      </c>
    </row>
    <row r="6554" spans="1:2" x14ac:dyDescent="0.25">
      <c r="A6554">
        <f ca="1">26834.0826195275*((RANDBETWEEN(2979,3282)))</f>
        <v>87666947.917996272</v>
      </c>
      <c r="B6554">
        <v>167392980.76706886</v>
      </c>
    </row>
    <row r="6555" spans="1:2" x14ac:dyDescent="0.25">
      <c r="A6555">
        <f ca="1">28239.2453736857*((RANDBETWEEN(2979,3282)))</f>
        <v>89123058.399352074</v>
      </c>
      <c r="B6555">
        <v>149808399.33129004</v>
      </c>
    </row>
    <row r="6556" spans="1:2" x14ac:dyDescent="0.25">
      <c r="A6556">
        <f ca="1">32862.9014096165*((RANDBETWEEN(2979,3282)))</f>
        <v>101710679.86276297</v>
      </c>
      <c r="B6556">
        <v>175751204.00263074</v>
      </c>
    </row>
    <row r="6557" spans="1:2" x14ac:dyDescent="0.25">
      <c r="A6557">
        <f ca="1">29380.0558765152*((RANDBETWEEN(2979,3282)))</f>
        <v>91900814.781739637</v>
      </c>
      <c r="B6557">
        <v>159739779.46208134</v>
      </c>
    </row>
    <row r="6558" spans="1:2" x14ac:dyDescent="0.25">
      <c r="A6558">
        <f ca="1">26513.8498124031*((RANDBETWEEN(2979,3282)))</f>
        <v>80708158.828955069</v>
      </c>
      <c r="B6558">
        <v>145071702.17794064</v>
      </c>
    </row>
    <row r="6559" spans="1:2" x14ac:dyDescent="0.25">
      <c r="A6559">
        <f ca="1">28034.1261968715*((RANDBETWEEN(2979,3282)))</f>
        <v>90325954.606319964</v>
      </c>
      <c r="B6559">
        <v>164929151.69761404</v>
      </c>
    </row>
    <row r="6560" spans="1:2" x14ac:dyDescent="0.25">
      <c r="A6560">
        <f ca="1">30081.8650036959*((RANDBETWEEN(2979,3282)))</f>
        <v>96683114.121878743</v>
      </c>
      <c r="B6560">
        <v>153877418.73211151</v>
      </c>
    </row>
    <row r="6561" spans="1:2" x14ac:dyDescent="0.25">
      <c r="A6561">
        <f ca="1">26332.0698673054*((RANDBETWEEN(2979,3282)))</f>
        <v>85921543.977017641</v>
      </c>
      <c r="B6561">
        <v>151480887.81727323</v>
      </c>
    </row>
    <row r="6562" spans="1:2" x14ac:dyDescent="0.25">
      <c r="A6562">
        <f ca="1">28247.3325114698*((RANDBETWEEN(2979,3282)))</f>
        <v>87453741.455510587</v>
      </c>
      <c r="B6562">
        <v>147884050.86111802</v>
      </c>
    </row>
    <row r="6563" spans="1:2" x14ac:dyDescent="0.25">
      <c r="A6563">
        <f ca="1">25886.1992308756*((RANDBETWEEN(2979,3282)))</f>
        <v>82214568.757260799</v>
      </c>
      <c r="B6563">
        <v>147996884.25359097</v>
      </c>
    </row>
    <row r="6564" spans="1:2" x14ac:dyDescent="0.25">
      <c r="A6564">
        <f ca="1">27788.0181870369*((RANDBETWEEN(2979,3282)))</f>
        <v>88977234.23489213</v>
      </c>
      <c r="B6564">
        <v>167091184.02558485</v>
      </c>
    </row>
    <row r="6565" spans="1:2" x14ac:dyDescent="0.25">
      <c r="A6565">
        <f ca="1">28145.0669191478*((RANDBETWEEN(2979,3282)))</f>
        <v>85786163.969562486</v>
      </c>
      <c r="B6565">
        <v>154372968.47156879</v>
      </c>
    </row>
    <row r="6566" spans="1:2" x14ac:dyDescent="0.25">
      <c r="A6566">
        <f ca="1">28187.1139927279*((RANDBETWEEN(2979,3282)))</f>
        <v>88958531.761049122</v>
      </c>
      <c r="B6566">
        <v>145515822.66757125</v>
      </c>
    </row>
    <row r="6567" spans="1:2" x14ac:dyDescent="0.25">
      <c r="A6567">
        <f ca="1">27795.0313308878*((RANDBETWEEN(2979,3282)))</f>
        <v>88082454.287583321</v>
      </c>
      <c r="B6567">
        <v>154736923.25453535</v>
      </c>
    </row>
    <row r="6568" spans="1:2" x14ac:dyDescent="0.25">
      <c r="A6568">
        <f ca="1">29584.5229392471*((RANDBETWEEN(2979,3282)))</f>
        <v>94907149.589104846</v>
      </c>
      <c r="B6568">
        <v>150074180.19486484</v>
      </c>
    </row>
    <row r="6569" spans="1:2" x14ac:dyDescent="0.25">
      <c r="A6569">
        <f ca="1">25805.0876444197*((RANDBETWEEN(2979,3282)))</f>
        <v>78008779.94908084</v>
      </c>
      <c r="B6569">
        <v>144079207.68208122</v>
      </c>
    </row>
    <row r="6570" spans="1:2" x14ac:dyDescent="0.25">
      <c r="A6570">
        <f ca="1">35399.2930226138*((RANDBETWEEN(2979,3282)))</f>
        <v>107649250.08176847</v>
      </c>
      <c r="B6570">
        <v>153051815.51789677</v>
      </c>
    </row>
    <row r="6571" spans="1:2" x14ac:dyDescent="0.25">
      <c r="A6571">
        <f ca="1">28411.0222882881*((RANDBETWEEN(2979,3282)))</f>
        <v>85147833.797999352</v>
      </c>
      <c r="B6571">
        <v>168463577.42148608</v>
      </c>
    </row>
    <row r="6572" spans="1:2" x14ac:dyDescent="0.25">
      <c r="A6572">
        <f ca="1">31374.1771451006*((RANDBETWEEN(2979,3282)))</f>
        <v>100083625.09287085</v>
      </c>
      <c r="B6572">
        <v>182600519.22143289</v>
      </c>
    </row>
    <row r="6573" spans="1:2" x14ac:dyDescent="0.25">
      <c r="A6573">
        <f ca="1">28399.5756684932*((RANDBETWEEN(2979,3282)))</f>
        <v>91986225.590249345</v>
      </c>
      <c r="B6573">
        <v>179886189.85399884</v>
      </c>
    </row>
    <row r="6574" spans="1:2" x14ac:dyDescent="0.25">
      <c r="A6574">
        <f ca="1">27810.6442002943*((RANDBETWEEN(2979,3282)))</f>
        <v>89049682.72934249</v>
      </c>
      <c r="B6574">
        <v>173161822.98000094</v>
      </c>
    </row>
    <row r="6575" spans="1:2" x14ac:dyDescent="0.25">
      <c r="A6575">
        <f ca="1">26944.2957484208*((RANDBETWEEN(2979,3282)))</f>
        <v>87326462.520631939</v>
      </c>
      <c r="B6575">
        <v>155065617.87169451</v>
      </c>
    </row>
    <row r="6576" spans="1:2" x14ac:dyDescent="0.25">
      <c r="A6576">
        <f ca="1">34357.2962025592*((RANDBETWEEN(2979,3282)))</f>
        <v>110321278.10641778</v>
      </c>
      <c r="B6576">
        <v>153790163.28210932</v>
      </c>
    </row>
    <row r="6577" spans="1:2" x14ac:dyDescent="0.25">
      <c r="A6577">
        <f ca="1">26882.6719331803*((RANDBETWEEN(2979,3282)))</f>
        <v>80567367.78374134</v>
      </c>
      <c r="B6577">
        <v>170286912.25181678</v>
      </c>
    </row>
    <row r="6578" spans="1:2" x14ac:dyDescent="0.25">
      <c r="A6578">
        <f ca="1">27984.4539328227*((RANDBETWEEN(2979,3282)))</f>
        <v>86555916.014220715</v>
      </c>
      <c r="B6578">
        <v>168234780.43256563</v>
      </c>
    </row>
    <row r="6579" spans="1:2" x14ac:dyDescent="0.25">
      <c r="A6579">
        <f ca="1">34111.9312693628*((RANDBETWEEN(2979,3282)))</f>
        <v>103359151.74616942</v>
      </c>
      <c r="B6579">
        <v>157753598.14141908</v>
      </c>
    </row>
    <row r="6580" spans="1:2" x14ac:dyDescent="0.25">
      <c r="A6580">
        <f ca="1">29499.9586791442*((RANDBETWEEN(2979,3282)))</f>
        <v>89355374.839127734</v>
      </c>
      <c r="B6580">
        <v>176295876.0680123</v>
      </c>
    </row>
    <row r="6581" spans="1:2" x14ac:dyDescent="0.25">
      <c r="A6581">
        <f ca="1">26167.4257985761*((RANDBETWEEN(2979,3282)))</f>
        <v>81851707.897945955</v>
      </c>
      <c r="B6581">
        <v>145773303.05349424</v>
      </c>
    </row>
    <row r="6582" spans="1:2" x14ac:dyDescent="0.25">
      <c r="A6582">
        <f ca="1">28329.7858238482*((RANDBETWEEN(2979,3282)))</f>
        <v>90995272.066200495</v>
      </c>
      <c r="B6582">
        <v>156204281.19085237</v>
      </c>
    </row>
    <row r="6583" spans="1:2" x14ac:dyDescent="0.25">
      <c r="A6583">
        <f ca="1">29912.8073756052*((RANDBETWEEN(2979,3282)))</f>
        <v>97515752.044473082</v>
      </c>
      <c r="B6583">
        <v>145064637.77696258</v>
      </c>
    </row>
    <row r="6584" spans="1:2" x14ac:dyDescent="0.25">
      <c r="A6584">
        <f ca="1">31417.001068651*((RANDBETWEEN(2979,3282)))</f>
        <v>95570517.250836194</v>
      </c>
      <c r="B6584">
        <v>162033134.76400968</v>
      </c>
    </row>
    <row r="6585" spans="1:2" x14ac:dyDescent="0.25">
      <c r="A6585">
        <f ca="1">29122.196687862*((RANDBETWEEN(2979,3282)))</f>
        <v>92870685.237592041</v>
      </c>
      <c r="B6585">
        <v>165611978.71515787</v>
      </c>
    </row>
    <row r="6586" spans="1:2" x14ac:dyDescent="0.25">
      <c r="A6586">
        <f ca="1">31980.3615901574*((RANDBETWEEN(2979,3282)))</f>
        <v>100162492.50037292</v>
      </c>
      <c r="B6586">
        <v>146867940.61131409</v>
      </c>
    </row>
    <row r="6587" spans="1:2" x14ac:dyDescent="0.25">
      <c r="A6587">
        <f ca="1">27739.5942300606*((RANDBETWEEN(2979,3282)))</f>
        <v>82885907.559421197</v>
      </c>
      <c r="B6587">
        <v>159737533.80194971</v>
      </c>
    </row>
    <row r="6588" spans="1:2" x14ac:dyDescent="0.25">
      <c r="A6588">
        <f ca="1">35022.8844326472*((RANDBETWEEN(2979,3282)))</f>
        <v>105769110.98659447</v>
      </c>
      <c r="B6588">
        <v>164235168.35975376</v>
      </c>
    </row>
    <row r="6589" spans="1:2" x14ac:dyDescent="0.25">
      <c r="A6589">
        <f ca="1">30049.4386159573*((RANDBETWEEN(2979,3282)))</f>
        <v>97119785.606773987</v>
      </c>
      <c r="B6589">
        <v>186174082.10987061</v>
      </c>
    </row>
    <row r="6590" spans="1:2" x14ac:dyDescent="0.25">
      <c r="A6590">
        <f ca="1">28851.334952338*((RANDBETWEEN(2979,3282)))</f>
        <v>90362381.07072264</v>
      </c>
      <c r="B6590">
        <v>169030474.5620054</v>
      </c>
    </row>
    <row r="6591" spans="1:2" x14ac:dyDescent="0.25">
      <c r="A6591">
        <f ca="1">26064.816004408*((RANDBETWEEN(2979,3282)))</f>
        <v>77881670.221171185</v>
      </c>
      <c r="B6591">
        <v>180580065.06982708</v>
      </c>
    </row>
    <row r="6592" spans="1:2" x14ac:dyDescent="0.25">
      <c r="A6592">
        <f ca="1">29334.2670337631*((RANDBETWEEN(2979,3282)))</f>
        <v>90672219.401361823</v>
      </c>
      <c r="B6592">
        <v>159167723.08594495</v>
      </c>
    </row>
    <row r="6593" spans="1:2" x14ac:dyDescent="0.25">
      <c r="A6593">
        <f ca="1">28822.2800222039*((RANDBETWEEN(2979,3282)))</f>
        <v>90415492.429653704</v>
      </c>
      <c r="B6593">
        <v>158013223.7475003</v>
      </c>
    </row>
    <row r="6594" spans="1:2" x14ac:dyDescent="0.25">
      <c r="A6594">
        <f ca="1">27671.531933688*((RANDBETWEEN(2979,3282)))</f>
        <v>88742602.911337405</v>
      </c>
      <c r="B6594">
        <v>157568039.61069691</v>
      </c>
    </row>
    <row r="6595" spans="1:2" x14ac:dyDescent="0.25">
      <c r="A6595">
        <f ca="1">32277.8027684513*((RANDBETWEEN(2979,3282)))</f>
        <v>100609911.22926278</v>
      </c>
      <c r="B6595">
        <v>174758584.70624059</v>
      </c>
    </row>
    <row r="6596" spans="1:2" x14ac:dyDescent="0.25">
      <c r="A6596">
        <f ca="1">29240.3167391167*((RANDBETWEEN(2979,3282)))</f>
        <v>90469539.990826964</v>
      </c>
      <c r="B6596">
        <v>155337879.02993435</v>
      </c>
    </row>
    <row r="6597" spans="1:2" x14ac:dyDescent="0.25">
      <c r="A6597">
        <f ca="1">25921.4933738738*((RANDBETWEEN(2979,3282)))</f>
        <v>80330707.965634763</v>
      </c>
      <c r="B6597">
        <v>151295265.3158409</v>
      </c>
    </row>
    <row r="6598" spans="1:2" x14ac:dyDescent="0.25">
      <c r="A6598">
        <f ca="1">28555.7606424711*((RANDBETWEEN(2979,3282)))</f>
        <v>92749110.566746145</v>
      </c>
      <c r="B6598">
        <v>183481958.03163326</v>
      </c>
    </row>
    <row r="6599" spans="1:2" x14ac:dyDescent="0.25">
      <c r="A6599">
        <f ca="1">26903.7893027*((RANDBETWEEN(2979,3282)))</f>
        <v>80603752.750889182</v>
      </c>
      <c r="B6599">
        <v>155594472.55001575</v>
      </c>
    </row>
    <row r="6600" spans="1:2" x14ac:dyDescent="0.25">
      <c r="A6600">
        <f ca="1">26713.9240592139*((RANDBETWEEN(2979,3282)))</f>
        <v>81664465.84901683</v>
      </c>
      <c r="B6600">
        <v>156063510.65922821</v>
      </c>
    </row>
    <row r="6601" spans="1:2" x14ac:dyDescent="0.25">
      <c r="A6601">
        <f ca="1">27636.2513398168*((RANDBETWEEN(2979,3282)))</f>
        <v>83682569.056965232</v>
      </c>
      <c r="B6601">
        <v>163969276.66289586</v>
      </c>
    </row>
    <row r="6602" spans="1:2" x14ac:dyDescent="0.25">
      <c r="A6602">
        <f ca="1">31118.97231776*((RANDBETWEEN(2979,3282)))</f>
        <v>94912865.569167942</v>
      </c>
      <c r="B6602">
        <v>147585141.38979355</v>
      </c>
    </row>
    <row r="6603" spans="1:2" x14ac:dyDescent="0.25">
      <c r="A6603">
        <f ca="1">28485.492532457*((RANDBETWEEN(2979,3282)))</f>
        <v>87023179.686656192</v>
      </c>
      <c r="B6603">
        <v>158264551.13299471</v>
      </c>
    </row>
    <row r="6604" spans="1:2" x14ac:dyDescent="0.25">
      <c r="A6604">
        <f ca="1">30993.2911939981*((RANDBETWEEN(2979,3282)))</f>
        <v>93506759.532292277</v>
      </c>
      <c r="B6604">
        <v>174428681.07924792</v>
      </c>
    </row>
    <row r="6605" spans="1:2" x14ac:dyDescent="0.25">
      <c r="A6605">
        <f ca="1">25610.1194545855*((RANDBETWEEN(2979,3282)))</f>
        <v>80134063.773398101</v>
      </c>
      <c r="B6605">
        <v>145349793.00922024</v>
      </c>
    </row>
    <row r="6606" spans="1:2" x14ac:dyDescent="0.25">
      <c r="A6606">
        <f ca="1">28566.0454454289*((RANDBETWEEN(2979,3282)))</f>
        <v>93068176.061207324</v>
      </c>
      <c r="B6606">
        <v>163662873.28037697</v>
      </c>
    </row>
    <row r="6607" spans="1:2" x14ac:dyDescent="0.25">
      <c r="A6607">
        <f ca="1">31313.6713779062*((RANDBETWEEN(2979,3282)))</f>
        <v>96352166.829817295</v>
      </c>
      <c r="B6607">
        <v>168641395.18467653</v>
      </c>
    </row>
    <row r="6608" spans="1:2" x14ac:dyDescent="0.25">
      <c r="A6608">
        <f ca="1">27042.336342348*((RANDBETWEEN(2979,3282)))</f>
        <v>82533210.516846225</v>
      </c>
      <c r="B6608">
        <v>145643720.9283323</v>
      </c>
    </row>
    <row r="6609" spans="1:2" x14ac:dyDescent="0.25">
      <c r="A6609">
        <f ca="1">27351.8492163621*((RANDBETWEEN(2979,3282)))</f>
        <v>83259029.014606357</v>
      </c>
      <c r="B6609">
        <v>198536220.75006464</v>
      </c>
    </row>
    <row r="6610" spans="1:2" x14ac:dyDescent="0.25">
      <c r="A6610">
        <f ca="1">26757.1436958398*((RANDBETWEEN(2979,3282)))</f>
        <v>79896831.07577759</v>
      </c>
      <c r="B6610">
        <v>175198200.94112492</v>
      </c>
    </row>
    <row r="6611" spans="1:2" x14ac:dyDescent="0.25">
      <c r="A6611">
        <f ca="1">26015.7385406755*((RANDBETWEEN(2979,3282)))</f>
        <v>84941386.335305616</v>
      </c>
      <c r="B6611">
        <v>176090412.35667261</v>
      </c>
    </row>
    <row r="6612" spans="1:2" x14ac:dyDescent="0.25">
      <c r="A6612">
        <f ca="1">29967.9852286828*((RANDBETWEEN(2979,3282)))</f>
        <v>90563251.361079365</v>
      </c>
      <c r="B6612">
        <v>169223529.44418919</v>
      </c>
    </row>
    <row r="6613" spans="1:2" x14ac:dyDescent="0.25">
      <c r="A6613">
        <f ca="1">27102.6585694896*((RANDBETWEEN(2979,3282)))</f>
        <v>86050940.95812948</v>
      </c>
      <c r="B6613">
        <v>164591637.88154265</v>
      </c>
    </row>
    <row r="6614" spans="1:2" x14ac:dyDescent="0.25">
      <c r="A6614">
        <f ca="1">28277.9102914508*((RANDBETWEEN(2979,3282)))</f>
        <v>91139704.869346038</v>
      </c>
      <c r="B6614">
        <v>173040561.43529528</v>
      </c>
    </row>
    <row r="6615" spans="1:2" x14ac:dyDescent="0.25">
      <c r="A6615">
        <f ca="1">26466.6944663322*((RANDBETWEEN(2979,3282)))</f>
        <v>84455222.042065918</v>
      </c>
      <c r="B6615">
        <v>193400345.72265378</v>
      </c>
    </row>
    <row r="6616" spans="1:2" x14ac:dyDescent="0.25">
      <c r="A6616">
        <f ca="1">25469.985765704*((RANDBETWEEN(2979,3282)))</f>
        <v>81835064.265206903</v>
      </c>
      <c r="B6616">
        <v>202923124.87863755</v>
      </c>
    </row>
    <row r="6617" spans="1:2" x14ac:dyDescent="0.25">
      <c r="A6617">
        <f ca="1">27833.2056839612*((RANDBETWEEN(2979,3282)))</f>
        <v>89734255.125091046</v>
      </c>
      <c r="B6617">
        <v>186667042.31079271</v>
      </c>
    </row>
    <row r="6618" spans="1:2" x14ac:dyDescent="0.25">
      <c r="A6618">
        <f ca="1">26398.2723541043*((RANDBETWEEN(2979,3282)))</f>
        <v>80937103.037683874</v>
      </c>
      <c r="B6618">
        <v>166435711.76050118</v>
      </c>
    </row>
    <row r="6619" spans="1:2" x14ac:dyDescent="0.25">
      <c r="A6619">
        <f ca="1">26287.6414942861*((RANDBETWEEN(2979,3282)))</f>
        <v>79809279.576652452</v>
      </c>
      <c r="B6619">
        <v>150224044.12799779</v>
      </c>
    </row>
    <row r="6620" spans="1:2" x14ac:dyDescent="0.25">
      <c r="A6620">
        <f ca="1">27724.8571623337*((RANDBETWEEN(2979,3282)))</f>
        <v>86224305.774857908</v>
      </c>
      <c r="B6620">
        <v>163235127.85512188</v>
      </c>
    </row>
    <row r="6621" spans="1:2" x14ac:dyDescent="0.25">
      <c r="A6621">
        <f ca="1">25908.3630637777*((RANDBETWEEN(2979,3282)))</f>
        <v>78580065.172437638</v>
      </c>
      <c r="B6621">
        <v>146150079.22238645</v>
      </c>
    </row>
    <row r="6622" spans="1:2" x14ac:dyDescent="0.25">
      <c r="A6622">
        <f ca="1">28711.092292956*((RANDBETWEEN(2979,3282)))</f>
        <v>89951852.153831258</v>
      </c>
      <c r="B6622">
        <v>192508436.02645761</v>
      </c>
    </row>
    <row r="6623" spans="1:2" x14ac:dyDescent="0.25">
      <c r="A6623">
        <f ca="1">26559.1857761769*((RANDBETWEEN(2979,3282)))</f>
        <v>81111753.360444143</v>
      </c>
      <c r="B6623">
        <v>190717260.86818007</v>
      </c>
    </row>
    <row r="6624" spans="1:2" x14ac:dyDescent="0.25">
      <c r="A6624">
        <f ca="1">26398.7118529249*((RANDBETWEEN(2979,3282)))</f>
        <v>84343884.370095208</v>
      </c>
      <c r="B6624">
        <v>146881128.95486367</v>
      </c>
    </row>
    <row r="6625" spans="1:2" x14ac:dyDescent="0.25">
      <c r="A6625">
        <f ca="1">25868.6795923566*((RANDBETWEEN(2979,3282)))</f>
        <v>77709513.495439261</v>
      </c>
      <c r="B6625">
        <v>150520345.6407125</v>
      </c>
    </row>
    <row r="6626" spans="1:2" x14ac:dyDescent="0.25">
      <c r="A6626">
        <f ca="1">27566.6521737969*((RANDBETWEEN(2979,3282)))</f>
        <v>89122986.477885365</v>
      </c>
      <c r="B6626">
        <v>185660233.39133102</v>
      </c>
    </row>
    <row r="6627" spans="1:2" x14ac:dyDescent="0.25">
      <c r="A6627">
        <f ca="1">31187.058906744*((RANDBETWEEN(2979,3282)))</f>
        <v>93124557.895537555</v>
      </c>
      <c r="B6627">
        <v>173509137.13921282</v>
      </c>
    </row>
    <row r="6628" spans="1:2" x14ac:dyDescent="0.25">
      <c r="A6628">
        <f ca="1">27434.5070729992*((RANDBETWEEN(2979,3282)))</f>
        <v>84553150.798983455</v>
      </c>
      <c r="B6628">
        <v>189380576.68577117</v>
      </c>
    </row>
    <row r="6629" spans="1:2" x14ac:dyDescent="0.25">
      <c r="A6629">
        <f ca="1">25951.5553815367*((RANDBETWEEN(2979,3282)))</f>
        <v>78737019.027582347</v>
      </c>
      <c r="B6629">
        <v>166645068.83217609</v>
      </c>
    </row>
    <row r="6630" spans="1:2" x14ac:dyDescent="0.25">
      <c r="A6630">
        <f ca="1">29475.4188468866*((RANDBETWEEN(2979,3282)))</f>
        <v>91226421.331114128</v>
      </c>
      <c r="B6630">
        <v>179286349.66477364</v>
      </c>
    </row>
    <row r="6631" spans="1:2" x14ac:dyDescent="0.25">
      <c r="A6631">
        <f ca="1">28020.7248247956*((RANDBETWEEN(2979,3282)))</f>
        <v>85323107.091502726</v>
      </c>
      <c r="B6631">
        <v>165148708.34551245</v>
      </c>
    </row>
    <row r="6632" spans="1:2" x14ac:dyDescent="0.25">
      <c r="A6632">
        <f ca="1">28350.7145863061*((RANDBETWEEN(2979,3282)))</f>
        <v>84967091.615159467</v>
      </c>
      <c r="B6632">
        <v>180456084.77142596</v>
      </c>
    </row>
    <row r="6633" spans="1:2" x14ac:dyDescent="0.25">
      <c r="A6633">
        <f ca="1">25962.755858254*((RANDBETWEEN(2979,3282)))</f>
        <v>77576714.504463017</v>
      </c>
      <c r="B6633">
        <v>146536785.09576353</v>
      </c>
    </row>
    <row r="6634" spans="1:2" x14ac:dyDescent="0.25">
      <c r="A6634">
        <f ca="1">27354.8905657688*((RANDBETWEEN(2979,3282)))</f>
        <v>88520425.870827869</v>
      </c>
      <c r="B6634">
        <v>173961644.93298805</v>
      </c>
    </row>
    <row r="6635" spans="1:2" x14ac:dyDescent="0.25">
      <c r="A6635">
        <f ca="1">25622.6706978911*((RANDBETWEEN(2979,3282)))</f>
        <v>81480092.819293648</v>
      </c>
      <c r="B6635">
        <v>148848723.82165188</v>
      </c>
    </row>
    <row r="6636" spans="1:2" x14ac:dyDescent="0.25">
      <c r="A6636">
        <f ca="1">29370.059828208*((RANDBETWEEN(2979,3282)))</f>
        <v>92339468.099885985</v>
      </c>
      <c r="B6636">
        <v>149044134.81127191</v>
      </c>
    </row>
    <row r="6637" spans="1:2" x14ac:dyDescent="0.25">
      <c r="A6637">
        <f ca="1">27458.6814063789*((RANDBETWEEN(2979,3282)))</f>
        <v>87867780.500412554</v>
      </c>
      <c r="B6637">
        <v>151362162.29377806</v>
      </c>
    </row>
    <row r="6638" spans="1:2" x14ac:dyDescent="0.25">
      <c r="A6638">
        <f ca="1">28356.9733957792*((RANDBETWEEN(2979,3282)))</f>
        <v>88246901.207664907</v>
      </c>
      <c r="B6638">
        <v>167984493.75296125</v>
      </c>
    </row>
    <row r="6639" spans="1:2" x14ac:dyDescent="0.25">
      <c r="A6639">
        <f ca="1">25485.3764632321*((RANDBETWEEN(2979,3282)))</f>
        <v>79896655.212232605</v>
      </c>
      <c r="B6639">
        <v>145172920.38676751</v>
      </c>
    </row>
    <row r="6640" spans="1:2" x14ac:dyDescent="0.25">
      <c r="A6640">
        <f ca="1">28329.1689011015*((RANDBETWEEN(2979,3282)))</f>
        <v>86262319.303854078</v>
      </c>
      <c r="B6640">
        <v>155743404.74033019</v>
      </c>
    </row>
    <row r="6641" spans="1:2" x14ac:dyDescent="0.25">
      <c r="A6641">
        <f ca="1">26623.6366618956*((RANDBETWEEN(2979,3282)))</f>
        <v>84689788.221489951</v>
      </c>
      <c r="B6641">
        <v>176807579.65153188</v>
      </c>
    </row>
    <row r="6642" spans="1:2" x14ac:dyDescent="0.25">
      <c r="A6642">
        <f ca="1">26328.1399039537*((RANDBETWEEN(2979,3282)))</f>
        <v>80353482.986866564</v>
      </c>
      <c r="B6642">
        <v>153744146.7955364</v>
      </c>
    </row>
    <row r="6643" spans="1:2" x14ac:dyDescent="0.25">
      <c r="A6643">
        <f ca="1">26275.7153931304*((RANDBETWEEN(2979,3282)))</f>
        <v>84923112.150597349</v>
      </c>
      <c r="B6643">
        <v>143166870.47633135</v>
      </c>
    </row>
    <row r="6644" spans="1:2" x14ac:dyDescent="0.25">
      <c r="A6644">
        <f ca="1">31730.0242533982*((RANDBETWEEN(2979,3282)))</f>
        <v>103915829.42987913</v>
      </c>
      <c r="B6644">
        <v>198368480.09219551</v>
      </c>
    </row>
    <row r="6645" spans="1:2" x14ac:dyDescent="0.25">
      <c r="A6645">
        <f ca="1">26981.8985254442*((RANDBETWEEN(2979,3282)))</f>
        <v>82078935.314401135</v>
      </c>
      <c r="B6645">
        <v>177212080.16040498</v>
      </c>
    </row>
    <row r="6646" spans="1:2" x14ac:dyDescent="0.25">
      <c r="A6646">
        <f ca="1">31395.4163170223*((RANDBETWEEN(2979,3282)))</f>
        <v>102380452.60980976</v>
      </c>
      <c r="B6646">
        <v>174768437.0047124</v>
      </c>
    </row>
    <row r="6647" spans="1:2" x14ac:dyDescent="0.25">
      <c r="A6647">
        <f ca="1">29603.7891534741*((RANDBETWEEN(2979,3282)))</f>
        <v>90084330.394021645</v>
      </c>
      <c r="B6647">
        <v>155118527.17318216</v>
      </c>
    </row>
    <row r="6648" spans="1:2" x14ac:dyDescent="0.25">
      <c r="A6648">
        <f ca="1">26470.2963310267*((RANDBETWEEN(2979,3282)))</f>
        <v>86001992.779505625</v>
      </c>
      <c r="B6648">
        <v>185664476.04410207</v>
      </c>
    </row>
    <row r="6649" spans="1:2" x14ac:dyDescent="0.25">
      <c r="A6649">
        <f ca="1">25673.8722400362*((RANDBETWEEN(2979,3282)))</f>
        <v>79948438.15547283</v>
      </c>
      <c r="B6649">
        <v>154501898.18881801</v>
      </c>
    </row>
    <row r="6650" spans="1:2" x14ac:dyDescent="0.25">
      <c r="A6650">
        <f ca="1">28801.2776431315*((RANDBETWEEN(2979,3282)))</f>
        <v>89399165.804280326</v>
      </c>
      <c r="B6650">
        <v>157020457.80079448</v>
      </c>
    </row>
    <row r="6651" spans="1:2" x14ac:dyDescent="0.25">
      <c r="A6651">
        <f ca="1">27425.9864371158*((RANDBETWEEN(2979,3282)))</f>
        <v>86583839.181974605</v>
      </c>
      <c r="B6651">
        <v>197191820.16083801</v>
      </c>
    </row>
    <row r="6652" spans="1:2" x14ac:dyDescent="0.25">
      <c r="A6652">
        <f ca="1">30532.3013459727*((RANDBETWEEN(2979,3282)))</f>
        <v>97550702.800382778</v>
      </c>
      <c r="B6652">
        <v>155206982.92748269</v>
      </c>
    </row>
    <row r="6653" spans="1:2" x14ac:dyDescent="0.25">
      <c r="A6653">
        <f ca="1">27535.3043966408*((RANDBETWEEN(2979,3282)))</f>
        <v>87727479.807697445</v>
      </c>
      <c r="B6653">
        <v>146244930.25109372</v>
      </c>
    </row>
    <row r="6654" spans="1:2" x14ac:dyDescent="0.25">
      <c r="A6654">
        <f ca="1">26293.123413812*((RANDBETWEEN(2979,3282)))</f>
        <v>79589284.573608831</v>
      </c>
      <c r="B6654">
        <v>194711810.97600308</v>
      </c>
    </row>
    <row r="6655" spans="1:2" x14ac:dyDescent="0.25">
      <c r="A6655">
        <f ca="1">26842.0577866584*((RANDBETWEEN(2979,3282)))</f>
        <v>88041949.540239662</v>
      </c>
      <c r="B6655">
        <v>201020067.05369127</v>
      </c>
    </row>
    <row r="6656" spans="1:2" x14ac:dyDescent="0.25">
      <c r="A6656">
        <f ca="1">31976.0620428277*((RANDBETWEEN(2979,3282)))</f>
        <v>95672377.632140607</v>
      </c>
      <c r="B6656">
        <v>163408984.25905323</v>
      </c>
    </row>
    <row r="6657" spans="1:2" x14ac:dyDescent="0.25">
      <c r="A6657">
        <f ca="1">26688.9758402515*((RANDBETWEEN(2979,3282)))</f>
        <v>85511478.592165709</v>
      </c>
      <c r="B6657">
        <v>175946376.29802409</v>
      </c>
    </row>
    <row r="6658" spans="1:2" x14ac:dyDescent="0.25">
      <c r="A6658">
        <f ca="1">26686.4549381291*((RANDBETWEEN(2979,3282)))</f>
        <v>83154993.587210357</v>
      </c>
      <c r="B6658">
        <v>146628732.2644062</v>
      </c>
    </row>
    <row r="6659" spans="1:2" x14ac:dyDescent="0.25">
      <c r="A6659">
        <f ca="1">26529.8739938768*((RANDBETWEEN(2979,3282)))</f>
        <v>84762947.410436496</v>
      </c>
      <c r="B6659">
        <v>172692611.34536788</v>
      </c>
    </row>
    <row r="6660" spans="1:2" x14ac:dyDescent="0.25">
      <c r="A6660">
        <f ca="1">26327.7157381809*((RANDBETWEEN(2979,3282)))</f>
        <v>85670387.012040496</v>
      </c>
      <c r="B6660">
        <v>146172627.60202137</v>
      </c>
    </row>
    <row r="6661" spans="1:2" x14ac:dyDescent="0.25">
      <c r="A6661">
        <f ca="1">25596.0687313899*((RANDBETWEEN(2979,3282)))</f>
        <v>79629369.823354065</v>
      </c>
      <c r="B6661">
        <v>158788547.97933865</v>
      </c>
    </row>
    <row r="6662" spans="1:2" x14ac:dyDescent="0.25">
      <c r="A6662">
        <f ca="1">25793.5189936013*((RANDBETWEEN(2979,3282)))</f>
        <v>83106718.197383255</v>
      </c>
      <c r="B6662">
        <v>157527109.13264716</v>
      </c>
    </row>
    <row r="6663" spans="1:2" x14ac:dyDescent="0.25">
      <c r="A6663">
        <f ca="1">26236.0155800449*((RANDBETWEEN(2979,3282)))</f>
        <v>84506206.18332465</v>
      </c>
      <c r="B6663">
        <v>194226141.50746062</v>
      </c>
    </row>
    <row r="6664" spans="1:2" x14ac:dyDescent="0.25">
      <c r="A6664">
        <f ca="1">29017.5456502471*((RANDBETWEEN(2979,3282)))</f>
        <v>89345023.057110891</v>
      </c>
      <c r="B6664">
        <v>152158181.57047147</v>
      </c>
    </row>
    <row r="6665" spans="1:2" x14ac:dyDescent="0.25">
      <c r="A6665">
        <f ca="1">32467.6543272623*((RANDBETWEEN(2979,3282)))</f>
        <v>96915948.166878119</v>
      </c>
      <c r="B6665">
        <v>165570080.22801825</v>
      </c>
    </row>
    <row r="6666" spans="1:2" x14ac:dyDescent="0.25">
      <c r="A6666">
        <f ca="1">26446.2098613604*((RANDBETWEEN(2979,3282)))</f>
        <v>81110525.644792363</v>
      </c>
      <c r="B6666">
        <v>193166625.69204518</v>
      </c>
    </row>
    <row r="6667" spans="1:2" x14ac:dyDescent="0.25">
      <c r="A6667">
        <f ca="1">29055.3182006431*((RANDBETWEEN(2979,3282)))</f>
        <v>92018192.741436705</v>
      </c>
      <c r="B6667">
        <v>168174936.71501762</v>
      </c>
    </row>
    <row r="6668" spans="1:2" x14ac:dyDescent="0.25">
      <c r="A6668">
        <f ca="1">27839.8332749772*((RANDBETWEEN(2979,3282)))</f>
        <v>90006180.978001311</v>
      </c>
      <c r="B6668">
        <v>192126775.59312883</v>
      </c>
    </row>
    <row r="6669" spans="1:2" x14ac:dyDescent="0.25">
      <c r="A6669">
        <f ca="1">27690.6233929953*((RANDBETWEEN(2979,3282)))</f>
        <v>87391607.428293213</v>
      </c>
      <c r="B6669">
        <v>165216261.90893769</v>
      </c>
    </row>
    <row r="6670" spans="1:2" x14ac:dyDescent="0.25">
      <c r="A6670">
        <f ca="1">27223.0869162236*((RANDBETWEEN(2979,3282)))</f>
        <v>81424252.966424748</v>
      </c>
      <c r="B6670">
        <v>183177457.17736366</v>
      </c>
    </row>
    <row r="6671" spans="1:2" x14ac:dyDescent="0.25">
      <c r="A6671">
        <f ca="1">29887.5630900211*((RANDBETWEEN(2979,3282)))</f>
        <v>94384924.238286719</v>
      </c>
      <c r="B6671">
        <v>182216025.27464691</v>
      </c>
    </row>
    <row r="6672" spans="1:2" x14ac:dyDescent="0.25">
      <c r="A6672">
        <f ca="1">26102.3213301376*((RANDBETWEEN(2979,3282)))</f>
        <v>77993736.134451032</v>
      </c>
      <c r="B6672">
        <v>154458077.21082145</v>
      </c>
    </row>
    <row r="6673" spans="1:2" x14ac:dyDescent="0.25">
      <c r="A6673">
        <f ca="1">27077.3206884499*((RANDBETWEEN(2979,3282)))</f>
        <v>86755735.485793337</v>
      </c>
      <c r="B6673">
        <v>151679824.89172772</v>
      </c>
    </row>
    <row r="6674" spans="1:2" x14ac:dyDescent="0.25">
      <c r="A6674">
        <f ca="1">28798.1271782652*((RANDBETWEEN(2979,3282)))</f>
        <v>88727029.83623518</v>
      </c>
      <c r="B6674">
        <v>195638963.93560034</v>
      </c>
    </row>
    <row r="6675" spans="1:2" x14ac:dyDescent="0.25">
      <c r="A6675">
        <f ca="1">26797.3904511232*((RANDBETWEEN(2979,3282)))</f>
        <v>81624851.314121217</v>
      </c>
      <c r="B6675">
        <v>167217084.03638548</v>
      </c>
    </row>
    <row r="6676" spans="1:2" x14ac:dyDescent="0.25">
      <c r="A6676">
        <f ca="1">27743.1634195486*((RANDBETWEEN(2979,3282)))</f>
        <v>84672134.756462276</v>
      </c>
      <c r="B6676">
        <v>146822653.6425522</v>
      </c>
    </row>
    <row r="6677" spans="1:2" x14ac:dyDescent="0.25">
      <c r="A6677">
        <f ca="1">26078.0786337031*((RANDBETWEEN(2979,3282)))</f>
        <v>78625407.080614761</v>
      </c>
      <c r="B6677">
        <v>152579515.12678581</v>
      </c>
    </row>
    <row r="6678" spans="1:2" x14ac:dyDescent="0.25">
      <c r="A6678">
        <f ca="1">27837.5309713521*((RANDBETWEEN(2979,3282)))</f>
        <v>86630396.382847667</v>
      </c>
      <c r="B6678">
        <v>151882446.13495657</v>
      </c>
    </row>
    <row r="6679" spans="1:2" x14ac:dyDescent="0.25">
      <c r="A6679">
        <f ca="1">25560.5813586121*((RANDBETWEEN(2979,3282)))</f>
        <v>78292060.701428801</v>
      </c>
      <c r="B6679">
        <v>147330304.1304934</v>
      </c>
    </row>
    <row r="6680" spans="1:2" x14ac:dyDescent="0.25">
      <c r="A6680">
        <f ca="1">26976.4247431232*((RANDBETWEEN(2979,3282)))</f>
        <v>86918040.52234304</v>
      </c>
      <c r="B6680">
        <v>195887234.00878251</v>
      </c>
    </row>
    <row r="6681" spans="1:2" x14ac:dyDescent="0.25">
      <c r="A6681">
        <f ca="1">26059.2429515776*((RANDBETWEEN(2979,3282)))</f>
        <v>85448257.638222992</v>
      </c>
      <c r="B6681">
        <v>144412823.25327477</v>
      </c>
    </row>
    <row r="6682" spans="1:2" x14ac:dyDescent="0.25">
      <c r="A6682">
        <f ca="1">27334.1671984972*((RANDBETWEEN(2979,3282)))</f>
        <v>83560549.125806063</v>
      </c>
      <c r="B6682">
        <v>156295936.5774011</v>
      </c>
    </row>
    <row r="6683" spans="1:2" x14ac:dyDescent="0.25">
      <c r="A6683">
        <f ca="1">27827.9980940364*((RANDBETWEEN(2979,3282)))</f>
        <v>88465205.940941781</v>
      </c>
      <c r="B6683">
        <v>176110132.90901038</v>
      </c>
    </row>
    <row r="6684" spans="1:2" x14ac:dyDescent="0.25">
      <c r="A6684">
        <f ca="1">27721.9935148268*((RANDBETWEEN(2979,3282)))</f>
        <v>90817250.75457263</v>
      </c>
      <c r="B6684">
        <v>150172707.75269863</v>
      </c>
    </row>
    <row r="6685" spans="1:2" x14ac:dyDescent="0.25">
      <c r="A6685">
        <f ca="1">26678.3277109479*((RANDBETWEEN(2979,3282)))</f>
        <v>84703690.482259423</v>
      </c>
      <c r="B6685">
        <v>154359061.67910555</v>
      </c>
    </row>
    <row r="6686" spans="1:2" x14ac:dyDescent="0.25">
      <c r="A6686">
        <f ca="1">27030.1940808478*((RANDBETWEEN(2979,3282)))</f>
        <v>87550798.62786594</v>
      </c>
      <c r="B6686">
        <v>175695766.13162914</v>
      </c>
    </row>
    <row r="6687" spans="1:2" x14ac:dyDescent="0.25">
      <c r="A6687">
        <f ca="1">27623.9328004399*((RANDBETWEEN(2979,3282)))</f>
        <v>86987764.38858524</v>
      </c>
      <c r="B6687">
        <v>158435062.5481624</v>
      </c>
    </row>
    <row r="6688" spans="1:2" x14ac:dyDescent="0.25">
      <c r="A6688">
        <f ca="1">26456.1974942477*((RANDBETWEEN(2979,3282)))</f>
        <v>80585577.567478359</v>
      </c>
      <c r="B6688">
        <v>153504408.46292332</v>
      </c>
    </row>
    <row r="6689" spans="1:2" x14ac:dyDescent="0.25">
      <c r="A6689">
        <f ca="1">28383.4387925007*((RANDBETWEEN(2979,3282)))</f>
        <v>91110838.523927182</v>
      </c>
      <c r="B6689">
        <v>182885132.70960382</v>
      </c>
    </row>
    <row r="6690" spans="1:2" x14ac:dyDescent="0.25">
      <c r="A6690">
        <f ca="1">27931.7565769167*((RANDBETWEEN(2979,3282)))</f>
        <v>88878849.427749038</v>
      </c>
      <c r="B6690">
        <v>181072696.79511911</v>
      </c>
    </row>
    <row r="6691" spans="1:2" x14ac:dyDescent="0.25">
      <c r="A6691">
        <f ca="1">25901.7069738209*((RANDBETWEEN(2979,3282)))</f>
        <v>78663484.079493955</v>
      </c>
      <c r="B6691">
        <v>152441020.81866693</v>
      </c>
    </row>
    <row r="6692" spans="1:2" x14ac:dyDescent="0.25">
      <c r="A6692">
        <f ca="1">30669.2925590741*((RANDBETWEEN(2979,3282)))</f>
        <v>96884295.194115043</v>
      </c>
      <c r="B6692">
        <v>191745970.49483356</v>
      </c>
    </row>
    <row r="6693" spans="1:2" x14ac:dyDescent="0.25">
      <c r="A6693">
        <f ca="1">30795.6712612808*((RANDBETWEEN(2979,3282)))</f>
        <v>95497376.581231698</v>
      </c>
      <c r="B6693">
        <v>163205378.98412213</v>
      </c>
    </row>
    <row r="6694" spans="1:2" x14ac:dyDescent="0.25">
      <c r="A6694">
        <f ca="1">28146.2421719898*((RANDBETWEEN(2979,3282)))</f>
        <v>91728603.238514766</v>
      </c>
      <c r="B6694">
        <v>146948879.63525864</v>
      </c>
    </row>
    <row r="6695" spans="1:2" x14ac:dyDescent="0.25">
      <c r="A6695">
        <f ca="1">27341.4481181834*((RANDBETWEEN(2979,3282)))</f>
        <v>83528124.001050398</v>
      </c>
      <c r="B6695">
        <v>148613951.7569021</v>
      </c>
    </row>
    <row r="6696" spans="1:2" x14ac:dyDescent="0.25">
      <c r="A6696">
        <f ca="1">28176.9410138011*((RANDBETWEEN(2979,3282)))</f>
        <v>87376694.083797187</v>
      </c>
      <c r="B6696">
        <v>153997768.95329452</v>
      </c>
    </row>
    <row r="6697" spans="1:2" x14ac:dyDescent="0.25">
      <c r="A6697">
        <f ca="1">28193.1950102108*((RANDBETWEEN(2979,3282)))</f>
        <v>88554825.527072236</v>
      </c>
      <c r="B6697">
        <v>190121160.92577815</v>
      </c>
    </row>
    <row r="6698" spans="1:2" x14ac:dyDescent="0.25">
      <c r="A6698">
        <f ca="1">26294.2859936714*((RANDBETWEEN(2979,3282)))</f>
        <v>85614195.195394114</v>
      </c>
      <c r="B6698">
        <v>158703661.18076527</v>
      </c>
    </row>
    <row r="6699" spans="1:2" x14ac:dyDescent="0.25">
      <c r="A6699">
        <f ca="1">27464.7307276988*((RANDBETWEEN(2979,3282)))</f>
        <v>83053345.720561221</v>
      </c>
      <c r="B6699">
        <v>166787672.53245857</v>
      </c>
    </row>
    <row r="6700" spans="1:2" x14ac:dyDescent="0.25">
      <c r="A6700">
        <f ca="1">31405.1275611707*((RANDBETWEEN(2979,3282)))</f>
        <v>102851792.76283392</v>
      </c>
      <c r="B6700">
        <v>194123432.34780973</v>
      </c>
    </row>
    <row r="6701" spans="1:2" x14ac:dyDescent="0.25">
      <c r="A6701">
        <f ca="1">26266.4555685292*((RANDBETWEEN(2979,3282)))</f>
        <v>82949466.685415357</v>
      </c>
      <c r="B6701">
        <v>151075250.40551287</v>
      </c>
    </row>
    <row r="6702" spans="1:2" x14ac:dyDescent="0.25">
      <c r="A6702">
        <f ca="1">27627.1178077926*((RANDBETWEEN(2979,3282)))</f>
        <v>87881861.7465882</v>
      </c>
      <c r="B6702">
        <v>159352752.69022983</v>
      </c>
    </row>
    <row r="6703" spans="1:2" x14ac:dyDescent="0.25">
      <c r="A6703">
        <f ca="1">30537.0135458165*((RANDBETWEEN(2979,3282)))</f>
        <v>98512405.698804185</v>
      </c>
      <c r="B6703">
        <v>163318066.35922998</v>
      </c>
    </row>
    <row r="6704" spans="1:2" x14ac:dyDescent="0.25">
      <c r="A6704">
        <f ca="1">32238.5283390435*((RANDBETWEEN(2979,3282)))</f>
        <v>99713768.152661651</v>
      </c>
      <c r="B6704">
        <v>155088418.50864309</v>
      </c>
    </row>
    <row r="6705" spans="1:2" x14ac:dyDescent="0.25">
      <c r="A6705">
        <f ca="1">28595.0636829484*((RANDBETWEEN(2979,3282)))</f>
        <v>92419245.823289171</v>
      </c>
      <c r="B6705">
        <v>172151276.57301494</v>
      </c>
    </row>
    <row r="6706" spans="1:2" x14ac:dyDescent="0.25">
      <c r="A6706">
        <f ca="1">29840.7551820269*((RANDBETWEEN(2979,3282)))</f>
        <v>91103825.570728108</v>
      </c>
      <c r="B6706">
        <v>162028847.30322808</v>
      </c>
    </row>
    <row r="6707" spans="1:2" x14ac:dyDescent="0.25">
      <c r="A6707">
        <f ca="1">29579.7321970784*((RANDBETWEEN(2979,3282)))</f>
        <v>89833646.682526976</v>
      </c>
      <c r="B6707">
        <v>202387332.45253593</v>
      </c>
    </row>
    <row r="6708" spans="1:2" x14ac:dyDescent="0.25">
      <c r="A6708">
        <f ca="1">27791.264248431*((RANDBETWEEN(2979,3282)))</f>
        <v>90099278.693413228</v>
      </c>
      <c r="B6708">
        <v>196598615.29240918</v>
      </c>
    </row>
    <row r="6709" spans="1:2" x14ac:dyDescent="0.25">
      <c r="A6709">
        <f ca="1">26591.8282594135*((RANDBETWEEN(2979,3282)))</f>
        <v>84136544.612784326</v>
      </c>
      <c r="B6709">
        <v>171113259.13385957</v>
      </c>
    </row>
    <row r="6710" spans="1:2" x14ac:dyDescent="0.25">
      <c r="A6710">
        <f ca="1">30747.2213954449*((RANDBETWEEN(2979,3282)))</f>
        <v>93686783.591920599</v>
      </c>
      <c r="B6710">
        <v>200283906.38622749</v>
      </c>
    </row>
    <row r="6711" spans="1:2" x14ac:dyDescent="0.25">
      <c r="A6711">
        <f ca="1">30251.8332798304*((RANDBETWEEN(2979,3282)))</f>
        <v>95868059.663782567</v>
      </c>
      <c r="B6711">
        <v>171575333.39336532</v>
      </c>
    </row>
    <row r="6712" spans="1:2" x14ac:dyDescent="0.25">
      <c r="A6712">
        <f ca="1">30243.0860621084*((RANDBETWEEN(2979,3282)))</f>
        <v>96838361.570870996</v>
      </c>
      <c r="B6712">
        <v>199970669.03884211</v>
      </c>
    </row>
    <row r="6713" spans="1:2" x14ac:dyDescent="0.25">
      <c r="A6713">
        <f ca="1">27582.070319051*((RANDBETWEEN(2979,3282)))</f>
        <v>85063104.863953233</v>
      </c>
      <c r="B6713">
        <v>167661411.72022504</v>
      </c>
    </row>
    <row r="6714" spans="1:2" x14ac:dyDescent="0.25">
      <c r="A6714">
        <f ca="1">26266.3971968523*((RANDBETWEEN(2979,3282)))</f>
        <v>81846093.665391907</v>
      </c>
      <c r="B6714">
        <v>160500486.40011805</v>
      </c>
    </row>
    <row r="6715" spans="1:2" x14ac:dyDescent="0.25">
      <c r="A6715">
        <f ca="1">25973.4787605279*((RANDBETWEEN(2979,3282)))</f>
        <v>78699640.644399658</v>
      </c>
      <c r="B6715">
        <v>186532685.7947678</v>
      </c>
    </row>
    <row r="6716" spans="1:2" x14ac:dyDescent="0.25">
      <c r="A6716">
        <f ca="1">27360.9896331257*((RANDBETWEEN(2979,3282)))</f>
        <v>83232130.463968486</v>
      </c>
      <c r="B6716">
        <v>153094329.15677696</v>
      </c>
    </row>
    <row r="6717" spans="1:2" x14ac:dyDescent="0.25">
      <c r="A6717">
        <f ca="1">27793.5849728314*((RANDBETWEEN(2979,3282)))</f>
        <v>87327443.984636217</v>
      </c>
      <c r="B6717">
        <v>174887748.54771376</v>
      </c>
    </row>
    <row r="6718" spans="1:2" x14ac:dyDescent="0.25">
      <c r="A6718">
        <f ca="1">28673.1954000347*((RANDBETWEEN(2979,3282)))</f>
        <v>88886905.740107566</v>
      </c>
      <c r="B6718">
        <v>163824765.37540439</v>
      </c>
    </row>
    <row r="6719" spans="1:2" x14ac:dyDescent="0.25">
      <c r="A6719">
        <f ca="1">24908.5139696252*((RANDBETWEEN(2979,3282)))</f>
        <v>76693314.512476042</v>
      </c>
      <c r="B6719">
        <v>144256190.85740161</v>
      </c>
    </row>
    <row r="6720" spans="1:2" x14ac:dyDescent="0.25">
      <c r="A6720">
        <f ca="1">26509.9417821126*((RANDBETWEEN(2979,3282)))</f>
        <v>84248594.983553723</v>
      </c>
      <c r="B6720">
        <v>181527316.86343068</v>
      </c>
    </row>
    <row r="6721" spans="1:2" x14ac:dyDescent="0.25">
      <c r="A6721">
        <f ca="1">27146.1482309613*((RANDBETWEEN(2979,3282)))</f>
        <v>85103174.704063699</v>
      </c>
      <c r="B6721">
        <v>150884122.25458688</v>
      </c>
    </row>
    <row r="6722" spans="1:2" x14ac:dyDescent="0.25">
      <c r="A6722">
        <f ca="1">25765.3788950303*((RANDBETWEEN(2979,3282)))</f>
        <v>76780829.107190207</v>
      </c>
      <c r="B6722">
        <v>178246899.90846321</v>
      </c>
    </row>
    <row r="6723" spans="1:2" x14ac:dyDescent="0.25">
      <c r="A6723">
        <f ca="1">32211.4844851138*((RANDBETWEEN(2979,3282)))</f>
        <v>104848381.99904528</v>
      </c>
      <c r="B6723">
        <v>174445330.49393263</v>
      </c>
    </row>
    <row r="6724" spans="1:2" x14ac:dyDescent="0.25">
      <c r="A6724">
        <f ca="1">25877.8797038702*((RANDBETWEEN(2979,3282)))</f>
        <v>77167837.276941001</v>
      </c>
      <c r="B6724">
        <v>166728054.97732964</v>
      </c>
    </row>
    <row r="6725" spans="1:2" x14ac:dyDescent="0.25">
      <c r="A6725">
        <f ca="1">32511.6369053094*((RANDBETWEEN(2979,3282)))</f>
        <v>103256958.81126261</v>
      </c>
      <c r="B6725">
        <v>147240810.80832383</v>
      </c>
    </row>
    <row r="6726" spans="1:2" x14ac:dyDescent="0.25">
      <c r="A6726">
        <f ca="1">26945.8938417644*((RANDBETWEEN(2979,3282)))</f>
        <v>84825673.813874453</v>
      </c>
      <c r="B6726">
        <v>173530942.15778413</v>
      </c>
    </row>
    <row r="6727" spans="1:2" x14ac:dyDescent="0.25">
      <c r="A6727">
        <f ca="1">27010.3614085378*((RANDBETWEEN(2979,3282)))</f>
        <v>82111498.681954816</v>
      </c>
      <c r="B6727">
        <v>148709312.75200763</v>
      </c>
    </row>
    <row r="6728" spans="1:2" x14ac:dyDescent="0.25">
      <c r="A6728">
        <f ca="1">27649.1067427373*((RANDBETWEEN(2979,3282)))</f>
        <v>83583249.683294967</v>
      </c>
      <c r="B6728">
        <v>145585175.90367943</v>
      </c>
    </row>
    <row r="6729" spans="1:2" x14ac:dyDescent="0.25">
      <c r="A6729">
        <f ca="1">28918.4000470117*((RANDBETWEEN(2979,3282)))</f>
        <v>86841955.341176003</v>
      </c>
      <c r="B6729">
        <v>147775510.97155663</v>
      </c>
    </row>
    <row r="6730" spans="1:2" x14ac:dyDescent="0.25">
      <c r="A6730">
        <f ca="1">26697.6037146051*((RANDBETWEEN(2979,3282)))</f>
        <v>81400993.725831032</v>
      </c>
      <c r="B6730">
        <v>164162878.99544543</v>
      </c>
    </row>
    <row r="6731" spans="1:2" x14ac:dyDescent="0.25">
      <c r="A6731">
        <f ca="1">29492.737169179*((RANDBETWEEN(2979,3282)))</f>
        <v>93138063.980267331</v>
      </c>
      <c r="B6731">
        <v>203081241.75371861</v>
      </c>
    </row>
    <row r="6732" spans="1:2" x14ac:dyDescent="0.25">
      <c r="A6732">
        <f ca="1">26819.5522826452*((RANDBETWEEN(2979,3282)))</f>
        <v>86466236.559248075</v>
      </c>
      <c r="B6732">
        <v>151392913.71879637</v>
      </c>
    </row>
    <row r="6733" spans="1:2" x14ac:dyDescent="0.25">
      <c r="A6733">
        <f ca="1">31650.2541819083*((RANDBETWEEN(2979,3282)))</f>
        <v>99824901.689738616</v>
      </c>
      <c r="B6733">
        <v>189772443.01113161</v>
      </c>
    </row>
    <row r="6734" spans="1:2" x14ac:dyDescent="0.25">
      <c r="A6734">
        <f ca="1">26287.8365836789*((RANDBETWEEN(2979,3282)))</f>
        <v>80835097.494812474</v>
      </c>
      <c r="B6734">
        <v>158384780.86020312</v>
      </c>
    </row>
    <row r="6735" spans="1:2" x14ac:dyDescent="0.25">
      <c r="A6735">
        <f ca="1">29469.8256914486*((RANDBETWEEN(2979,3282)))</f>
        <v>88615765.854185909</v>
      </c>
      <c r="B6735">
        <v>192939327.63697797</v>
      </c>
    </row>
    <row r="6736" spans="1:2" x14ac:dyDescent="0.25">
      <c r="A6736">
        <f ca="1">30617.6755111957*((RANDBETWEEN(2979,3282)))</f>
        <v>97058031.370490268</v>
      </c>
      <c r="B6736">
        <v>145512788.87693781</v>
      </c>
    </row>
    <row r="6737" spans="1:2" x14ac:dyDescent="0.25">
      <c r="A6737">
        <f ca="1">26878.2870650626*((RANDBETWEEN(2979,3282)))</f>
        <v>80339200.03747201</v>
      </c>
      <c r="B6737">
        <v>154379081.74611562</v>
      </c>
    </row>
    <row r="6738" spans="1:2" x14ac:dyDescent="0.25">
      <c r="A6738">
        <f ca="1">26804.2779063219*((RANDBETWEEN(2979,3282)))</f>
        <v>82557175.951471329</v>
      </c>
      <c r="B6738">
        <v>159538529.81706291</v>
      </c>
    </row>
    <row r="6739" spans="1:2" x14ac:dyDescent="0.25">
      <c r="A6739">
        <f ca="1">32388.5923594417*((RANDBETWEEN(2979,3282)))</f>
        <v>103999770.06616718</v>
      </c>
      <c r="B6739">
        <v>191562858.29508269</v>
      </c>
    </row>
    <row r="6740" spans="1:2" x14ac:dyDescent="0.25">
      <c r="A6740">
        <f ca="1">26117.9566005263*((RANDBETWEEN(2979,3282)))</f>
        <v>82611096.72746481</v>
      </c>
      <c r="B6740">
        <v>155214622.49748448</v>
      </c>
    </row>
    <row r="6741" spans="1:2" x14ac:dyDescent="0.25">
      <c r="A6741">
        <f ca="1">27067.5914295195*((RANDBETWEEN(2979,3282)))</f>
        <v>85073439.862979919</v>
      </c>
      <c r="B6741">
        <v>175214943.85430336</v>
      </c>
    </row>
    <row r="6742" spans="1:2" x14ac:dyDescent="0.25">
      <c r="A6742">
        <f ca="1">29950.0116317561*((RANDBETWEEN(2979,3282)))</f>
        <v>94043036.52371408</v>
      </c>
      <c r="B6742">
        <v>184071691.0641661</v>
      </c>
    </row>
    <row r="6743" spans="1:2" x14ac:dyDescent="0.25">
      <c r="A6743">
        <f ca="1">26449.6340115095*((RANDBETWEEN(2979,3282)))</f>
        <v>83051850.796139881</v>
      </c>
      <c r="B6743">
        <v>153534338.86498073</v>
      </c>
    </row>
    <row r="6744" spans="1:2" x14ac:dyDescent="0.25">
      <c r="A6744">
        <f ca="1">27609.5405627847*((RANDBETWEEN(2979,3282)))</f>
        <v>89289254.180045575</v>
      </c>
      <c r="B6744">
        <v>185666243.80467641</v>
      </c>
    </row>
    <row r="6745" spans="1:2" x14ac:dyDescent="0.25">
      <c r="A6745">
        <f ca="1">26188.6703922767*((RANDBETWEEN(2979,3282)))</f>
        <v>80582538.797035471</v>
      </c>
      <c r="B6745">
        <v>149970026.68553004</v>
      </c>
    </row>
    <row r="6746" spans="1:2" x14ac:dyDescent="0.25">
      <c r="A6746">
        <f ca="1">26144.4764048593*((RANDBETWEEN(2979,3282)))</f>
        <v>83688468.971954554</v>
      </c>
      <c r="B6746">
        <v>177918505.87950391</v>
      </c>
    </row>
    <row r="6747" spans="1:2" x14ac:dyDescent="0.25">
      <c r="A6747">
        <f ca="1">25605.7378166519*((RANDBETWEEN(2979,3282)))</f>
        <v>81349429.043503195</v>
      </c>
      <c r="B6747">
        <v>191254148.27588749</v>
      </c>
    </row>
    <row r="6748" spans="1:2" x14ac:dyDescent="0.25">
      <c r="A6748">
        <f ca="1">27256.8954863201*((RANDBETWEEN(2979,3282)))</f>
        <v>82015998.51833716</v>
      </c>
      <c r="B6748">
        <v>188173869.33839697</v>
      </c>
    </row>
    <row r="6749" spans="1:2" x14ac:dyDescent="0.25">
      <c r="A6749">
        <f ca="1">27684.4035329151*((RANDBETWEEN(2979,3282)))</f>
        <v>88783882.130058676</v>
      </c>
      <c r="B6749">
        <v>167880595.9873808</v>
      </c>
    </row>
    <row r="6750" spans="1:2" x14ac:dyDescent="0.25">
      <c r="A6750">
        <f ca="1">27704.7469820349*((RANDBETWEEN(2979,3282)))</f>
        <v>86244877.355074748</v>
      </c>
      <c r="B6750">
        <v>177959919.13441914</v>
      </c>
    </row>
    <row r="6751" spans="1:2" x14ac:dyDescent="0.25">
      <c r="A6751">
        <f ca="1">31286.2290635351*((RANDBETWEEN(2979,3282)))</f>
        <v>101867961.8308704</v>
      </c>
      <c r="B6751">
        <v>197586378.63671196</v>
      </c>
    </row>
    <row r="6752" spans="1:2" x14ac:dyDescent="0.25">
      <c r="A6752">
        <f ca="1">28132.4843563225*((RANDBETWEEN(2979,3282)))</f>
        <v>87323231.442025214</v>
      </c>
      <c r="B6752">
        <v>150227173.40592492</v>
      </c>
    </row>
    <row r="6753" spans="1:2" x14ac:dyDescent="0.25">
      <c r="A6753">
        <f ca="1">32242.1043056826*((RANDBETWEEN(2979,3282)))</f>
        <v>101788323.29303986</v>
      </c>
      <c r="B6753">
        <v>166659297.08058029</v>
      </c>
    </row>
    <row r="6754" spans="1:2" x14ac:dyDescent="0.25">
      <c r="A6754">
        <f ca="1">26979.5323987604*((RANDBETWEEN(2979,3282)))</f>
        <v>84122182.019335002</v>
      </c>
      <c r="B6754">
        <v>158921673.17130291</v>
      </c>
    </row>
    <row r="6755" spans="1:2" x14ac:dyDescent="0.25">
      <c r="A6755">
        <f ca="1">32130.8315070365*((RANDBETWEEN(2979,3282)))</f>
        <v>98641652.726602107</v>
      </c>
      <c r="B6755">
        <v>188622419.89793378</v>
      </c>
    </row>
    <row r="6756" spans="1:2" x14ac:dyDescent="0.25">
      <c r="A6756">
        <f ca="1">27330.1194459282*((RANDBETWEEN(2979,3282)))</f>
        <v>84477399.207363918</v>
      </c>
      <c r="B6756">
        <v>180065832.87702242</v>
      </c>
    </row>
    <row r="6757" spans="1:2" x14ac:dyDescent="0.25">
      <c r="A6757">
        <f ca="1">26421.1031660712*((RANDBETWEEN(2979,3282)))</f>
        <v>80663627.966015279</v>
      </c>
      <c r="B6757">
        <v>153849429.71089759</v>
      </c>
    </row>
    <row r="6758" spans="1:2" x14ac:dyDescent="0.25">
      <c r="A6758">
        <f ca="1">28435.1500400179*((RANDBETWEEN(2979,3282)))</f>
        <v>85333885.270093754</v>
      </c>
      <c r="B6758">
        <v>151555033.83229882</v>
      </c>
    </row>
    <row r="6759" spans="1:2" x14ac:dyDescent="0.25">
      <c r="A6759">
        <f ca="1">27894.7997701856*((RANDBETWEEN(2979,3282)))</f>
        <v>90267572.056320652</v>
      </c>
      <c r="B6759">
        <v>150020025.22540104</v>
      </c>
    </row>
    <row r="6760" spans="1:2" x14ac:dyDescent="0.25">
      <c r="A6760">
        <f ca="1">29698.7064140322*((RANDBETWEEN(2979,3282)))</f>
        <v>89155516.65492478</v>
      </c>
      <c r="B6760">
        <v>146848499.87434769</v>
      </c>
    </row>
    <row r="6761" spans="1:2" x14ac:dyDescent="0.25">
      <c r="A6761">
        <f ca="1">27532.3037688831*((RANDBETWEEN(2979,3282)))</f>
        <v>84386511.051626831</v>
      </c>
      <c r="B6761">
        <v>166209559.55923694</v>
      </c>
    </row>
    <row r="6762" spans="1:2" x14ac:dyDescent="0.25">
      <c r="A6762">
        <f ca="1">31027.9870001131*((RANDBETWEEN(2979,3282)))</f>
        <v>99103390.47836116</v>
      </c>
      <c r="B6762">
        <v>152885114.55175453</v>
      </c>
    </row>
    <row r="6763" spans="1:2" x14ac:dyDescent="0.25">
      <c r="A6763">
        <f ca="1">28046.7252910819*((RANDBETWEEN(2979,3282)))</f>
        <v>85009624.357269302</v>
      </c>
      <c r="B6763">
        <v>153661471.45123518</v>
      </c>
    </row>
    <row r="6764" spans="1:2" x14ac:dyDescent="0.25">
      <c r="A6764">
        <f ca="1">27000.3954724966*((RANDBETWEEN(2979,3282)))</f>
        <v>84808242.179111719</v>
      </c>
      <c r="B6764">
        <v>189843513.05733979</v>
      </c>
    </row>
    <row r="6765" spans="1:2" x14ac:dyDescent="0.25">
      <c r="A6765">
        <f ca="1">26804.2278212252*((RANDBETWEEN(2979,3282)))</f>
        <v>83227127.384904385</v>
      </c>
      <c r="B6765">
        <v>172841623.94668597</v>
      </c>
    </row>
    <row r="6766" spans="1:2" x14ac:dyDescent="0.25">
      <c r="A6766">
        <f ca="1">24188.1083547819*((RANDBETWEEN(2979,3282)))</f>
        <v>73725354.265375227</v>
      </c>
      <c r="B6766">
        <v>153543693.24453461</v>
      </c>
    </row>
    <row r="6767" spans="1:2" x14ac:dyDescent="0.25">
      <c r="A6767">
        <f ca="1">25362.396633249*((RANDBETWEEN(2979,3282)))</f>
        <v>75960377.916580707</v>
      </c>
      <c r="B6767">
        <v>147456534.21080011</v>
      </c>
    </row>
    <row r="6768" spans="1:2" x14ac:dyDescent="0.25">
      <c r="A6768">
        <f ca="1">25604.1141672805*((RANDBETWEEN(2979,3282)))</f>
        <v>81958769.449464783</v>
      </c>
      <c r="B6768">
        <v>165189717.14533466</v>
      </c>
    </row>
    <row r="6769" spans="1:2" x14ac:dyDescent="0.25">
      <c r="A6769">
        <f ca="1">26981.3543043192*((RANDBETWEEN(2979,3282)))</f>
        <v>81051988.330175012</v>
      </c>
      <c r="B6769">
        <v>168528753.3050307</v>
      </c>
    </row>
    <row r="6770" spans="1:2" x14ac:dyDescent="0.25">
      <c r="A6770">
        <f ca="1">25523.7184539215*((RANDBETWEEN(2979,3282)))</f>
        <v>78128102.187453642</v>
      </c>
      <c r="B6770">
        <v>167149802.24617431</v>
      </c>
    </row>
    <row r="6771" spans="1:2" x14ac:dyDescent="0.25">
      <c r="A6771">
        <f ca="1">25780.5090572927*((RANDBETWEEN(2979,3282)))</f>
        <v>83967117.999602407</v>
      </c>
      <c r="B6771">
        <v>152597104.79194838</v>
      </c>
    </row>
    <row r="6772" spans="1:2" x14ac:dyDescent="0.25">
      <c r="A6772">
        <f ca="1">27642.4076007001*((RANDBETWEEN(2979,3282)))</f>
        <v>83010150.024902314</v>
      </c>
      <c r="B6772">
        <v>191059331.53349277</v>
      </c>
    </row>
    <row r="6773" spans="1:2" x14ac:dyDescent="0.25">
      <c r="A6773">
        <f ca="1">28420.8758326414*((RANDBETWEEN(2979,3282)))</f>
        <v>90946802.664452404</v>
      </c>
      <c r="B6773">
        <v>168678987.480551</v>
      </c>
    </row>
    <row r="6774" spans="1:2" x14ac:dyDescent="0.25">
      <c r="A6774">
        <f ca="1">32419.784218486*((RANDBETWEEN(2979,3282)))</f>
        <v>101538764.17229831</v>
      </c>
      <c r="B6774">
        <v>143702642.34754366</v>
      </c>
    </row>
    <row r="6775" spans="1:2" x14ac:dyDescent="0.25">
      <c r="A6775">
        <f ca="1">27208.4131564882*((RANDBETWEEN(2979,3282)))</f>
        <v>84536539.677208781</v>
      </c>
      <c r="B6775">
        <v>167500737.04004496</v>
      </c>
    </row>
    <row r="6776" spans="1:2" x14ac:dyDescent="0.25">
      <c r="A6776">
        <f ca="1">30043.3473475981*((RANDBETWEEN(2979,3282)))</f>
        <v>94906934.271062315</v>
      </c>
      <c r="B6776">
        <v>145205973.04746866</v>
      </c>
    </row>
    <row r="6777" spans="1:2" x14ac:dyDescent="0.25">
      <c r="A6777">
        <f ca="1">29243.6061161524*((RANDBETWEEN(2979,3282)))</f>
        <v>87467625.893411845</v>
      </c>
      <c r="B6777">
        <v>177748407.54959714</v>
      </c>
    </row>
    <row r="6778" spans="1:2" x14ac:dyDescent="0.25">
      <c r="A6778">
        <f ca="1">27051.9745326027*((RANDBETWEEN(2979,3282)))</f>
        <v>88189436.976284847</v>
      </c>
      <c r="B6778">
        <v>199513438.88809022</v>
      </c>
    </row>
    <row r="6779" spans="1:2" x14ac:dyDescent="0.25">
      <c r="A6779">
        <f ca="1">27894.1251122841*((RANDBETWEEN(2979,3282)))</f>
        <v>91325365.617618039</v>
      </c>
      <c r="B6779">
        <v>150079518.30595833</v>
      </c>
    </row>
    <row r="6780" spans="1:2" x14ac:dyDescent="0.25">
      <c r="A6780">
        <f ca="1">30881.1503703148*((RANDBETWEEN(2979,3282)))</f>
        <v>92705213.41168493</v>
      </c>
      <c r="B6780">
        <v>156288660.29576856</v>
      </c>
    </row>
    <row r="6781" spans="1:2" x14ac:dyDescent="0.25">
      <c r="A6781">
        <f ca="1">27890.2938904043*((RANDBETWEEN(2979,3282)))</f>
        <v>89221050.155403256</v>
      </c>
      <c r="B6781">
        <v>198204070.95808411</v>
      </c>
    </row>
    <row r="6782" spans="1:2" x14ac:dyDescent="0.25">
      <c r="A6782">
        <f ca="1">28372.3372962881*((RANDBETWEEN(2979,3282)))</f>
        <v>86989586.15041922</v>
      </c>
      <c r="B6782">
        <v>145787156.29002881</v>
      </c>
    </row>
    <row r="6783" spans="1:2" x14ac:dyDescent="0.25">
      <c r="A6783">
        <f ca="1">27839.2951177917*((RANDBETWEEN(2979,3282)))</f>
        <v>89976601.820702881</v>
      </c>
      <c r="B6783">
        <v>182559346.73883593</v>
      </c>
    </row>
    <row r="6784" spans="1:2" x14ac:dyDescent="0.25">
      <c r="A6784">
        <f ca="1">25801.8880150385*((RANDBETWEEN(2979,3282)))</f>
        <v>79185994.318153217</v>
      </c>
      <c r="B6784">
        <v>148631392.23629278</v>
      </c>
    </row>
    <row r="6785" spans="1:2" x14ac:dyDescent="0.25">
      <c r="A6785">
        <f ca="1">28550.7645960233*((RANDBETWEEN(2979,3282)))</f>
        <v>89592299.302321255</v>
      </c>
      <c r="B6785">
        <v>146449896.5640136</v>
      </c>
    </row>
    <row r="6786" spans="1:2" x14ac:dyDescent="0.25">
      <c r="A6786">
        <f ca="1">26127.5198627292*((RANDBETWEEN(2979,3282)))</f>
        <v>82458452.686773241</v>
      </c>
      <c r="B6786">
        <v>151891900.32170397</v>
      </c>
    </row>
    <row r="6787" spans="1:2" x14ac:dyDescent="0.25">
      <c r="A6787">
        <f ca="1">29415.7940235985*((RANDBETWEEN(2979,3282)))</f>
        <v>89629924.389904737</v>
      </c>
      <c r="B6787">
        <v>148994044.27132887</v>
      </c>
    </row>
    <row r="6788" spans="1:2" x14ac:dyDescent="0.25">
      <c r="A6788">
        <f ca="1">27659.1199880735*((RANDBETWEEN(2979,3282)))</f>
        <v>85162430.443278223</v>
      </c>
      <c r="B6788">
        <v>165495640.65002963</v>
      </c>
    </row>
    <row r="6789" spans="1:2" x14ac:dyDescent="0.25">
      <c r="A6789">
        <f ca="1">26781.6074464272*((RANDBETWEEN(2979,3282)))</f>
        <v>86451028.837066963</v>
      </c>
      <c r="B6789">
        <v>163777465.63771614</v>
      </c>
    </row>
    <row r="6790" spans="1:2" x14ac:dyDescent="0.25">
      <c r="A6790">
        <f ca="1">27525.7320036253*((RANDBETWEEN(2979,3282)))</f>
        <v>84751728.83916238</v>
      </c>
      <c r="B6790">
        <v>144727321.70049715</v>
      </c>
    </row>
    <row r="6791" spans="1:2" x14ac:dyDescent="0.25">
      <c r="A6791">
        <f ca="1">33514.3101176456*((RANDBETWEEN(2979,3282)))</f>
        <v>105838191.35152495</v>
      </c>
      <c r="B6791">
        <v>176582843.46644109</v>
      </c>
    </row>
    <row r="6792" spans="1:2" x14ac:dyDescent="0.25">
      <c r="A6792">
        <f ca="1">27102.7864341044*((RANDBETWEEN(2979,3282)))</f>
        <v>82934526.488359585</v>
      </c>
      <c r="B6792">
        <v>178487282.0319362</v>
      </c>
    </row>
    <row r="6793" spans="1:2" x14ac:dyDescent="0.25">
      <c r="A6793">
        <f ca="1">30417.2864587868*((RANDBETWEEN(2979,3282)))</f>
        <v>90826017.365937516</v>
      </c>
      <c r="B6793">
        <v>157020342.82120335</v>
      </c>
    </row>
    <row r="6794" spans="1:2" x14ac:dyDescent="0.25">
      <c r="A6794">
        <f ca="1">27508.4371088879*((RANDBETWEEN(2979,3282)))</f>
        <v>88082015.622659102</v>
      </c>
      <c r="B6794">
        <v>181223536.49703622</v>
      </c>
    </row>
    <row r="6795" spans="1:2" x14ac:dyDescent="0.25">
      <c r="A6795">
        <f ca="1">28568.4306408151*((RANDBETWEEN(2979,3282)))</f>
        <v>90733335.715228707</v>
      </c>
      <c r="B6795">
        <v>150408051.43835795</v>
      </c>
    </row>
    <row r="6796" spans="1:2" x14ac:dyDescent="0.25">
      <c r="A6796">
        <f ca="1">29263.4896203717*((RANDBETWEEN(2979,3282)))</f>
        <v>95369712.672791302</v>
      </c>
      <c r="B6796">
        <v>199437534.64053079</v>
      </c>
    </row>
    <row r="6797" spans="1:2" x14ac:dyDescent="0.25">
      <c r="A6797">
        <f ca="1">30495.7873166702*((RANDBETWEEN(2979,3282)))</f>
        <v>96336192.133361191</v>
      </c>
      <c r="B6797">
        <v>185676637.70202613</v>
      </c>
    </row>
    <row r="6798" spans="1:2" x14ac:dyDescent="0.25">
      <c r="A6798">
        <f ca="1">30150.7097099221*((RANDBETWEEN(2979,3282)))</f>
        <v>97205888.104788855</v>
      </c>
      <c r="B6798">
        <v>159392390.35309416</v>
      </c>
    </row>
    <row r="6799" spans="1:2" x14ac:dyDescent="0.25">
      <c r="A6799">
        <f ca="1">27440.3263221301*((RANDBETWEEN(2979,3282)))</f>
        <v>88577373.367836058</v>
      </c>
      <c r="B6799">
        <v>195635438.5076066</v>
      </c>
    </row>
    <row r="6800" spans="1:2" x14ac:dyDescent="0.25">
      <c r="A6800">
        <f ca="1">31092.8531752705*((RANDBETWEEN(2979,3282)))</f>
        <v>95019759.303626761</v>
      </c>
      <c r="B6800">
        <v>184737020.0163177</v>
      </c>
    </row>
    <row r="6801" spans="1:2" x14ac:dyDescent="0.25">
      <c r="A6801">
        <f ca="1">26069.8367089735*((RANDBETWEEN(2979,3282)))</f>
        <v>82484963.347192168</v>
      </c>
      <c r="B6801">
        <v>167459278.50239101</v>
      </c>
    </row>
    <row r="6802" spans="1:2" x14ac:dyDescent="0.25">
      <c r="A6802">
        <f ca="1">27834.5189416875*((RANDBETWEEN(2979,3282)))</f>
        <v>91130215.015084937</v>
      </c>
      <c r="B6802">
        <v>166648497.61631429</v>
      </c>
    </row>
    <row r="6803" spans="1:2" x14ac:dyDescent="0.25">
      <c r="A6803">
        <f ca="1">27618.2626060224*((RANDBETWEEN(2979,3282)))</f>
        <v>82495750.404188856</v>
      </c>
      <c r="B6803">
        <v>160100284.36248305</v>
      </c>
    </row>
    <row r="6804" spans="1:2" x14ac:dyDescent="0.25">
      <c r="A6804">
        <f ca="1">26337.7856628925*((RANDBETWEEN(2979,3282)))</f>
        <v>78749979.132048562</v>
      </c>
      <c r="B6804">
        <v>190886088.47777298</v>
      </c>
    </row>
    <row r="6805" spans="1:2" x14ac:dyDescent="0.25">
      <c r="A6805">
        <f ca="1">29761.7994781407*((RANDBETWEEN(2979,3282)))</f>
        <v>92142531.184323594</v>
      </c>
      <c r="B6805">
        <v>196161230.5428938</v>
      </c>
    </row>
    <row r="6806" spans="1:2" x14ac:dyDescent="0.25">
      <c r="A6806">
        <f ca="1">28854.6448548774*((RANDBETWEEN(2979,3282)))</f>
        <v>88901160.797877282</v>
      </c>
      <c r="B6806">
        <v>202510451.83094376</v>
      </c>
    </row>
    <row r="6807" spans="1:2" x14ac:dyDescent="0.25">
      <c r="A6807">
        <f ca="1">27278.9920586569*((RANDBETWEEN(2979,3282)))</f>
        <v>87074542.651232839</v>
      </c>
      <c r="B6807">
        <v>150178175.29685745</v>
      </c>
    </row>
    <row r="6808" spans="1:2" x14ac:dyDescent="0.25">
      <c r="A6808">
        <f ca="1">26634.3451436179*((RANDBETWEEN(2979,3282)))</f>
        <v>79530154.598843127</v>
      </c>
      <c r="B6808">
        <v>151089912.77218515</v>
      </c>
    </row>
    <row r="6809" spans="1:2" x14ac:dyDescent="0.25">
      <c r="A6809">
        <f ca="1">28246.0137809175*((RANDBETWEEN(2979,3282)))</f>
        <v>90669704.236745119</v>
      </c>
      <c r="B6809">
        <v>162193280.70796472</v>
      </c>
    </row>
    <row r="6810" spans="1:2" x14ac:dyDescent="0.25">
      <c r="A6810">
        <f ca="1">28987.8669466073*((RANDBETWEEN(2979,3282)))</f>
        <v>94819312.782352626</v>
      </c>
      <c r="B6810">
        <v>165483357.16327274</v>
      </c>
    </row>
    <row r="6811" spans="1:2" x14ac:dyDescent="0.25">
      <c r="A6811">
        <f ca="1">30598.0774580985*((RANDBETWEEN(2979,3282)))</f>
        <v>94854040.12010543</v>
      </c>
      <c r="B6811">
        <v>199368696.2161949</v>
      </c>
    </row>
    <row r="6812" spans="1:2" x14ac:dyDescent="0.25">
      <c r="A6812">
        <f ca="1">29185.8016115866*((RANDBETWEEN(2979,3282)))</f>
        <v>91001329.424926996</v>
      </c>
      <c r="B6812">
        <v>162556058.53925532</v>
      </c>
    </row>
    <row r="6813" spans="1:2" x14ac:dyDescent="0.25">
      <c r="A6813">
        <f ca="1">28088.4796763506*((RANDBETWEEN(2979,3282)))</f>
        <v>91877417.021342725</v>
      </c>
      <c r="B6813">
        <v>152985646.44662789</v>
      </c>
    </row>
    <row r="6814" spans="1:2" x14ac:dyDescent="0.25">
      <c r="A6814">
        <f ca="1">29503.5757347798*((RANDBETWEEN(2979,3282)))</f>
        <v>91756120.535165295</v>
      </c>
      <c r="B6814">
        <v>165182861.27883288</v>
      </c>
    </row>
    <row r="6815" spans="1:2" x14ac:dyDescent="0.25">
      <c r="A6815">
        <f ca="1">27092.0353293577*((RANDBETWEEN(2979,3282)))</f>
        <v>82034682.977294996</v>
      </c>
      <c r="B6815">
        <v>144297046.22189513</v>
      </c>
    </row>
    <row r="6816" spans="1:2" x14ac:dyDescent="0.25">
      <c r="A6816">
        <f ca="1">29332.3962967863*((RANDBETWEEN(2979,3282)))</f>
        <v>88935825.57185629</v>
      </c>
      <c r="B6816">
        <v>149165320.69107911</v>
      </c>
    </row>
    <row r="6817" spans="1:2" x14ac:dyDescent="0.25">
      <c r="A6817">
        <f ca="1">27762.6262065286*((RANDBETWEEN(2979,3282)))</f>
        <v>83149065.488553047</v>
      </c>
      <c r="B6817">
        <v>158794164.1951544</v>
      </c>
    </row>
    <row r="6818" spans="1:2" x14ac:dyDescent="0.25">
      <c r="A6818">
        <f ca="1">29108.2717210613*((RANDBETWEEN(2979,3282)))</f>
        <v>88256279.85825792</v>
      </c>
      <c r="B6818">
        <v>150308094.3332749</v>
      </c>
    </row>
    <row r="6819" spans="1:2" x14ac:dyDescent="0.25">
      <c r="A6819">
        <f ca="1">31990.673993791*((RANDBETWEEN(2979,3282)))</f>
        <v>103457839.69592014</v>
      </c>
      <c r="B6819">
        <v>149021884.43269289</v>
      </c>
    </row>
    <row r="6820" spans="1:2" x14ac:dyDescent="0.25">
      <c r="A6820">
        <f ca="1">31172.8325974149*((RANDBETWEEN(2979,3282)))</f>
        <v>94079608.778998226</v>
      </c>
      <c r="B6820">
        <v>167195077.3621794</v>
      </c>
    </row>
    <row r="6821" spans="1:2" x14ac:dyDescent="0.25">
      <c r="A6821">
        <f ca="1">26054.5012974295*((RANDBETWEEN(2979,3282)))</f>
        <v>81211880.544087797</v>
      </c>
      <c r="B6821">
        <v>154997671.48823413</v>
      </c>
    </row>
    <row r="6822" spans="1:2" x14ac:dyDescent="0.25">
      <c r="A6822">
        <f ca="1">26868.5257316959*((RANDBETWEEN(2979,3282)))</f>
        <v>80927999.503867954</v>
      </c>
      <c r="B6822">
        <v>154105326.82706857</v>
      </c>
    </row>
    <row r="6823" spans="1:2" x14ac:dyDescent="0.25">
      <c r="A6823">
        <f ca="1">31125.1744899023*((RANDBETWEEN(2979,3282)))</f>
        <v>100876690.52177349</v>
      </c>
      <c r="B6823">
        <v>198363298.14573091</v>
      </c>
    </row>
    <row r="6824" spans="1:2" x14ac:dyDescent="0.25">
      <c r="A6824">
        <f ca="1">26367.0628918996*((RANDBETWEEN(2979,3282)))</f>
        <v>82476172.725861803</v>
      </c>
      <c r="B6824">
        <v>195074240.26650316</v>
      </c>
    </row>
    <row r="6825" spans="1:2" x14ac:dyDescent="0.25">
      <c r="A6825">
        <f ca="1">26972.8908739876*((RANDBETWEEN(2979,3282)))</f>
        <v>80837753.94934088</v>
      </c>
      <c r="B6825">
        <v>188844947.64350402</v>
      </c>
    </row>
    <row r="6826" spans="1:2" x14ac:dyDescent="0.25">
      <c r="A6826">
        <f ca="1">28662.7945623832*((RANDBETWEEN(2979,3282)))</f>
        <v>85615767.357838586</v>
      </c>
      <c r="B6826">
        <v>180130048.72965562</v>
      </c>
    </row>
    <row r="6827" spans="1:2" x14ac:dyDescent="0.25">
      <c r="A6827">
        <f ca="1">27593.3637550652*((RANDBETWEEN(2979,3282)))</f>
        <v>89236938.383880988</v>
      </c>
      <c r="B6827">
        <v>153695623.17103174</v>
      </c>
    </row>
    <row r="6828" spans="1:2" x14ac:dyDescent="0.25">
      <c r="A6828">
        <f ca="1">26798.9534944329*((RANDBETWEEN(2979,3282)))</f>
        <v>82701570.483819932</v>
      </c>
      <c r="B6828">
        <v>144599374.94799766</v>
      </c>
    </row>
    <row r="6829" spans="1:2" x14ac:dyDescent="0.25">
      <c r="A6829">
        <f ca="1">31700.9722185155*((RANDBETWEEN(2979,3282)))</f>
        <v>103281767.48792364</v>
      </c>
      <c r="B6829">
        <v>178959225.08311385</v>
      </c>
    </row>
    <row r="6830" spans="1:2" x14ac:dyDescent="0.25">
      <c r="A6830">
        <f ca="1">27410.3305020263*((RANDBETWEEN(2979,3282)))</f>
        <v>83108122.082143679</v>
      </c>
      <c r="B6830">
        <v>200106132.89329731</v>
      </c>
    </row>
    <row r="6831" spans="1:2" x14ac:dyDescent="0.25">
      <c r="A6831">
        <f ca="1">27878.2616964667*((RANDBETWEEN(2979,3282)))</f>
        <v>90464959.205034301</v>
      </c>
      <c r="B6831">
        <v>194114167.35516024</v>
      </c>
    </row>
    <row r="6832" spans="1:2" x14ac:dyDescent="0.25">
      <c r="A6832">
        <f ca="1">28353.0722787524*((RANDBETWEEN(2979,3282)))</f>
        <v>87185697.25716351</v>
      </c>
      <c r="B6832">
        <v>193100021.46115017</v>
      </c>
    </row>
    <row r="6833" spans="1:2" x14ac:dyDescent="0.25">
      <c r="A6833">
        <f ca="1">27021.939770439*((RANDBETWEEN(2979,3282)))</f>
        <v>87497040.976681635</v>
      </c>
      <c r="B6833">
        <v>176154143.22515872</v>
      </c>
    </row>
    <row r="6834" spans="1:2" x14ac:dyDescent="0.25">
      <c r="A6834">
        <f ca="1">26698.5331900801*((RANDBETWEEN(2979,3282)))</f>
        <v>82631960.22329776</v>
      </c>
      <c r="B6834">
        <v>180716435.90061253</v>
      </c>
    </row>
    <row r="6835" spans="1:2" x14ac:dyDescent="0.25">
      <c r="A6835">
        <f ca="1">29894.3645309114*((RANDBETWEEN(2979,3282)))</f>
        <v>90819079.444908977</v>
      </c>
      <c r="B6835">
        <v>151028386.02007145</v>
      </c>
    </row>
    <row r="6836" spans="1:2" x14ac:dyDescent="0.25">
      <c r="A6836">
        <f ca="1">26331.7911810265*((RANDBETWEEN(2979,3282)))</f>
        <v>82076193.111259714</v>
      </c>
      <c r="B6836">
        <v>152821293.53321505</v>
      </c>
    </row>
    <row r="6837" spans="1:2" x14ac:dyDescent="0.25">
      <c r="A6837">
        <f ca="1">29532.1341636121*((RANDBETWEEN(2979,3282)))</f>
        <v>88714531.027490616</v>
      </c>
      <c r="B6837">
        <v>159804239.28482109</v>
      </c>
    </row>
    <row r="6838" spans="1:2" x14ac:dyDescent="0.25">
      <c r="A6838">
        <f ca="1">26184.5666738098*((RANDBETWEEN(2979,3282)))</f>
        <v>80779388.188703194</v>
      </c>
      <c r="B6838">
        <v>162054217.71576035</v>
      </c>
    </row>
    <row r="6839" spans="1:2" x14ac:dyDescent="0.25">
      <c r="A6839">
        <f ca="1">24928.1158744514*((RANDBETWEEN(2979,3282)))</f>
        <v>74809275.739228532</v>
      </c>
      <c r="B6839">
        <v>146770726.58227584</v>
      </c>
    </row>
    <row r="6840" spans="1:2" x14ac:dyDescent="0.25">
      <c r="A6840">
        <f ca="1">28306.9290133088*((RANDBETWEEN(2979,3282)))</f>
        <v>88600687.811656415</v>
      </c>
      <c r="B6840">
        <v>144055540.06259775</v>
      </c>
    </row>
    <row r="6841" spans="1:2" x14ac:dyDescent="0.25">
      <c r="A6841">
        <f ca="1">28537.7742842745*((RANDBETWEEN(2979,3282)))</f>
        <v>86840447.147047162</v>
      </c>
      <c r="B6841">
        <v>198579039.99514893</v>
      </c>
    </row>
    <row r="6842" spans="1:2" x14ac:dyDescent="0.25">
      <c r="A6842">
        <f ca="1">29055.6764876514*((RANDBETWEEN(2979,3282)))</f>
        <v>88445479.228410915</v>
      </c>
      <c r="B6842">
        <v>159303795.08700913</v>
      </c>
    </row>
    <row r="6843" spans="1:2" x14ac:dyDescent="0.25">
      <c r="A6843">
        <f ca="1">27886.5605300274*((RANDBETWEEN(2979,3282)))</f>
        <v>86085812.356194556</v>
      </c>
      <c r="B6843">
        <v>165626847.04259011</v>
      </c>
    </row>
    <row r="6844" spans="1:2" x14ac:dyDescent="0.25">
      <c r="A6844">
        <f ca="1">25315.265935039*((RANDBETWEEN(2979,3282)))</f>
        <v>80274708.280008554</v>
      </c>
      <c r="B6844">
        <v>174228716.44137731</v>
      </c>
    </row>
    <row r="6845" spans="1:2" x14ac:dyDescent="0.25">
      <c r="A6845">
        <f ca="1">26467.9538668545*((RANDBETWEEN(2979,3282)))</f>
        <v>85597362.805407301</v>
      </c>
      <c r="B6845">
        <v>147845131.89948758</v>
      </c>
    </row>
    <row r="6846" spans="1:2" x14ac:dyDescent="0.25">
      <c r="A6846">
        <f ca="1">30250.6248383602*((RANDBETWEEN(2979,3282)))</f>
        <v>90630872.015727118</v>
      </c>
      <c r="B6846">
        <v>174122143.48366922</v>
      </c>
    </row>
    <row r="6847" spans="1:2" x14ac:dyDescent="0.25">
      <c r="A6847">
        <f ca="1">27397.5697146115*((RANDBETWEEN(2979,3282)))</f>
        <v>89042101.572487459</v>
      </c>
      <c r="B6847">
        <v>169725139.66543689</v>
      </c>
    </row>
    <row r="6848" spans="1:2" x14ac:dyDescent="0.25">
      <c r="A6848">
        <f ca="1">30433.6303352724*((RANDBETWEEN(2979,3282)))</f>
        <v>93644280.541633144</v>
      </c>
      <c r="B6848">
        <v>157051738.04527289</v>
      </c>
    </row>
    <row r="6849" spans="1:2" x14ac:dyDescent="0.25">
      <c r="A6849">
        <f ca="1">27122.2019446153*((RANDBETWEEN(2979,3282)))</f>
        <v>83238037.768024355</v>
      </c>
      <c r="B6849">
        <v>153837000.71217093</v>
      </c>
    </row>
    <row r="6850" spans="1:2" x14ac:dyDescent="0.25">
      <c r="A6850">
        <f ca="1">26783.9419835217*((RANDBETWEEN(2979,3282)))</f>
        <v>82842732.555032626</v>
      </c>
      <c r="B6850">
        <v>145834582.79929119</v>
      </c>
    </row>
    <row r="6851" spans="1:2" x14ac:dyDescent="0.25">
      <c r="A6851">
        <f ca="1">30898.8650605402*((RANDBETWEEN(2979,3282)))</f>
        <v>97362323.805762261</v>
      </c>
      <c r="B6851">
        <v>178944145.56297553</v>
      </c>
    </row>
    <row r="6852" spans="1:2" x14ac:dyDescent="0.25">
      <c r="A6852">
        <f ca="1">29867.7876327978*((RANDBETWEEN(2979,3282)))</f>
        <v>97548194.408717766</v>
      </c>
      <c r="B6852">
        <v>167414987.6324459</v>
      </c>
    </row>
    <row r="6853" spans="1:2" x14ac:dyDescent="0.25">
      <c r="A6853">
        <f ca="1">26993.5806178441*((RANDBETWEEN(2979,3282)))</f>
        <v>85920567.106597632</v>
      </c>
      <c r="B6853">
        <v>155483659.88346961</v>
      </c>
    </row>
    <row r="6854" spans="1:2" x14ac:dyDescent="0.25">
      <c r="A6854">
        <f ca="1">26557.06211629*((RANDBETWEEN(2979,3282)))</f>
        <v>83362617.983034283</v>
      </c>
      <c r="B6854">
        <v>171969659.66922885</v>
      </c>
    </row>
    <row r="6855" spans="1:2" x14ac:dyDescent="0.25">
      <c r="A6855">
        <f ca="1">27077.1078630433*((RANDBETWEEN(2979,3282)))</f>
        <v>87594443.936945051</v>
      </c>
      <c r="B6855">
        <v>179215233.19177532</v>
      </c>
    </row>
    <row r="6856" spans="1:2" x14ac:dyDescent="0.25">
      <c r="A6856">
        <f ca="1">26675.9202648464*((RANDBETWEEN(2979,3282)))</f>
        <v>82722028.741288587</v>
      </c>
      <c r="B6856">
        <v>154738791.37045571</v>
      </c>
    </row>
    <row r="6857" spans="1:2" x14ac:dyDescent="0.25">
      <c r="A6857">
        <f ca="1">27571.1952216897*((RANDBETWEEN(2979,3282)))</f>
        <v>82548158.493739083</v>
      </c>
      <c r="B6857">
        <v>160675148.63699991</v>
      </c>
    </row>
    <row r="6858" spans="1:2" x14ac:dyDescent="0.25">
      <c r="A6858">
        <f ca="1">26671.7916669668*((RANDBETWEEN(2979,3282)))</f>
        <v>81962415.792589113</v>
      </c>
      <c r="B6858">
        <v>153888621.67424199</v>
      </c>
    </row>
    <row r="6859" spans="1:2" x14ac:dyDescent="0.25">
      <c r="A6859">
        <f ca="1">30205.4591055276*((RANDBETWEEN(2979,3282)))</f>
        <v>95539867.150783837</v>
      </c>
      <c r="B6859">
        <v>184473817.36360791</v>
      </c>
    </row>
    <row r="6860" spans="1:2" x14ac:dyDescent="0.25">
      <c r="A6860">
        <f ca="1">29098.9670694014*((RANDBETWEEN(2979,3282)))</f>
        <v>93844168.798819408</v>
      </c>
      <c r="B6860">
        <v>180712449.68762141</v>
      </c>
    </row>
    <row r="6861" spans="1:2" x14ac:dyDescent="0.25">
      <c r="A6861">
        <f ca="1">27890.4324588676*((RANDBETWEEN(2979,3282)))</f>
        <v>84703243.377580926</v>
      </c>
      <c r="B6861">
        <v>169806288.77938795</v>
      </c>
    </row>
    <row r="6862" spans="1:2" x14ac:dyDescent="0.25">
      <c r="A6862">
        <f ca="1">25562.0707349787*((RANDBETWEEN(2979,3282)))</f>
        <v>78628929.580794632</v>
      </c>
      <c r="B6862">
        <v>148091936.04986611</v>
      </c>
    </row>
    <row r="6863" spans="1:2" x14ac:dyDescent="0.25">
      <c r="A6863">
        <f ca="1">29850.5014875258*((RANDBETWEEN(2979,3282)))</f>
        <v>89223148.946214661</v>
      </c>
      <c r="B6863">
        <v>159742883.89475298</v>
      </c>
    </row>
    <row r="6864" spans="1:2" x14ac:dyDescent="0.25">
      <c r="A6864">
        <f ca="1">26953.1011391747*((RANDBETWEEN(2979,3282)))</f>
        <v>87301094.589786991</v>
      </c>
      <c r="B6864">
        <v>157380044.02639943</v>
      </c>
    </row>
    <row r="6865" spans="1:2" x14ac:dyDescent="0.25">
      <c r="A6865">
        <f ca="1">27834.0933600856*((RANDBETWEEN(2979,3282)))</f>
        <v>90683476.167158991</v>
      </c>
      <c r="B6865">
        <v>187305596.01216722</v>
      </c>
    </row>
    <row r="6866" spans="1:2" x14ac:dyDescent="0.25">
      <c r="A6866">
        <f ca="1">26220.9093711516*((RANDBETWEEN(2979,3282)))</f>
        <v>85191734.546871588</v>
      </c>
      <c r="B6866">
        <v>147272661.25923917</v>
      </c>
    </row>
    <row r="6867" spans="1:2" x14ac:dyDescent="0.25">
      <c r="A6867">
        <f ca="1">25682.7496594751*((RANDBETWEEN(2979,3282)))</f>
        <v>81131806.17428185</v>
      </c>
      <c r="B6867">
        <v>164226152.77412334</v>
      </c>
    </row>
    <row r="6868" spans="1:2" x14ac:dyDescent="0.25">
      <c r="A6868">
        <f ca="1">27498.1147564369*((RANDBETWEEN(2979,3282)))</f>
        <v>86701555.827045694</v>
      </c>
      <c r="B6868">
        <v>153331523.40366361</v>
      </c>
    </row>
    <row r="6869" spans="1:2" x14ac:dyDescent="0.25">
      <c r="A6869">
        <f ca="1">28064.3060578536*((RANDBETWEEN(2979,3282)))</f>
        <v>88262242.551949561</v>
      </c>
      <c r="B6869">
        <v>183023447.76216936</v>
      </c>
    </row>
    <row r="6870" spans="1:2" x14ac:dyDescent="0.25">
      <c r="A6870">
        <f ca="1">31114.5284558075*((RANDBETWEEN(2979,3282)))</f>
        <v>93499158.00970158</v>
      </c>
      <c r="B6870">
        <v>201334997.06088907</v>
      </c>
    </row>
    <row r="6871" spans="1:2" x14ac:dyDescent="0.25">
      <c r="A6871">
        <f ca="1">28022.2048055618*((RANDBETWEEN(2979,3282)))</f>
        <v>83702325.754213035</v>
      </c>
      <c r="B6871">
        <v>151025511.05790049</v>
      </c>
    </row>
    <row r="6872" spans="1:2" x14ac:dyDescent="0.25">
      <c r="A6872">
        <f ca="1">26092.1132038169*((RANDBETWEEN(2979,3282)))</f>
        <v>84564538.893570408</v>
      </c>
      <c r="B6872">
        <v>150655979.98910493</v>
      </c>
    </row>
    <row r="6873" spans="1:2" x14ac:dyDescent="0.25">
      <c r="A6873">
        <f ca="1">27379.2889146672*((RANDBETWEEN(2979,3282)))</f>
        <v>89338619.728559032</v>
      </c>
      <c r="B6873">
        <v>145929618.2107785</v>
      </c>
    </row>
    <row r="6874" spans="1:2" x14ac:dyDescent="0.25">
      <c r="A6874">
        <f ca="1">31743.263557631*((RANDBETWEEN(2979,3282)))</f>
        <v>98340630.501540884</v>
      </c>
      <c r="B6874">
        <v>159101134.96185955</v>
      </c>
    </row>
    <row r="6875" spans="1:2" x14ac:dyDescent="0.25">
      <c r="A6875">
        <f ca="1">26368.7327865046*((RANDBETWEEN(2979,3282)))</f>
        <v>86252124.944656506</v>
      </c>
      <c r="B6875">
        <v>144338617.56660774</v>
      </c>
    </row>
    <row r="6876" spans="1:2" x14ac:dyDescent="0.25">
      <c r="A6876">
        <f ca="1">26577.0940089193*((RANDBETWEEN(2979,3282)))</f>
        <v>80502017.753016517</v>
      </c>
      <c r="B6876">
        <v>157558201.87412417</v>
      </c>
    </row>
    <row r="6877" spans="1:2" x14ac:dyDescent="0.25">
      <c r="A6877">
        <f ca="1">27702.2977012458*((RANDBETWEEN(2979,3282)))</f>
        <v>86209550.446276829</v>
      </c>
      <c r="B6877">
        <v>186483771.90602455</v>
      </c>
    </row>
    <row r="6878" spans="1:2" x14ac:dyDescent="0.25">
      <c r="A6878">
        <f ca="1">28707.5025519462*((RANDBETWEEN(2979,3282)))</f>
        <v>88620060.377857849</v>
      </c>
      <c r="B6878">
        <v>144518421.39282838</v>
      </c>
    </row>
    <row r="6879" spans="1:2" x14ac:dyDescent="0.25">
      <c r="A6879">
        <f ca="1">28681.7305729128*((RANDBETWEEN(2979,3282)))</f>
        <v>91093176.299571171</v>
      </c>
      <c r="B6879">
        <v>178333309.46461728</v>
      </c>
    </row>
    <row r="6880" spans="1:2" x14ac:dyDescent="0.25">
      <c r="A6880">
        <f ca="1">27366.2799643522*((RANDBETWEEN(2979,3282)))</f>
        <v>83084025.971773192</v>
      </c>
      <c r="B6880">
        <v>182252624.76314914</v>
      </c>
    </row>
    <row r="6881" spans="1:2" x14ac:dyDescent="0.25">
      <c r="A6881">
        <f ca="1">28059.8073851701*((RANDBETWEEN(2979,3282)))</f>
        <v>86171668.479857475</v>
      </c>
      <c r="B6881">
        <v>184817521.1818825</v>
      </c>
    </row>
    <row r="6882" spans="1:2" x14ac:dyDescent="0.25">
      <c r="A6882">
        <f ca="1">29952.6135614862*((RANDBETWEEN(2979,3282)))</f>
        <v>91535187.043901756</v>
      </c>
      <c r="B6882">
        <v>174584129.08611175</v>
      </c>
    </row>
    <row r="6883" spans="1:2" x14ac:dyDescent="0.25">
      <c r="A6883">
        <f ca="1">26887.7667708786*((RANDBETWEEN(2979,3282)))</f>
        <v>81604372.149616495</v>
      </c>
      <c r="B6883">
        <v>147665477.69379961</v>
      </c>
    </row>
    <row r="6884" spans="1:2" x14ac:dyDescent="0.25">
      <c r="A6884">
        <f ca="1">28633.1837020682*((RANDBETWEEN(2979,3282)))</f>
        <v>85985450.657310843</v>
      </c>
      <c r="B6884">
        <v>183968284.11769366</v>
      </c>
    </row>
    <row r="6885" spans="1:2" x14ac:dyDescent="0.25">
      <c r="A6885">
        <f ca="1">25421.7660431132*((RANDBETWEEN(2979,3282)))</f>
        <v>78604100.60530594</v>
      </c>
      <c r="B6885">
        <v>150582751.06356874</v>
      </c>
    </row>
    <row r="6886" spans="1:2" x14ac:dyDescent="0.25">
      <c r="A6886">
        <f ca="1">26659.745913935*((RANDBETWEEN(2979,3282)))</f>
        <v>82778511.062768087</v>
      </c>
      <c r="B6886">
        <v>188088878.21437377</v>
      </c>
    </row>
    <row r="6887" spans="1:2" x14ac:dyDescent="0.25">
      <c r="A6887">
        <f ca="1">26272.6184273281*((RANDBETWEEN(2979,3282)))</f>
        <v>81234936.177298486</v>
      </c>
      <c r="B6887">
        <v>155904925.74872974</v>
      </c>
    </row>
    <row r="6888" spans="1:2" x14ac:dyDescent="0.25">
      <c r="A6888">
        <f ca="1">30460.5037504515*((RANDBETWEEN(2979,3282)))</f>
        <v>93726970.040139347</v>
      </c>
      <c r="B6888">
        <v>161447333.24375293</v>
      </c>
    </row>
    <row r="6889" spans="1:2" x14ac:dyDescent="0.25">
      <c r="A6889">
        <f ca="1">26397.5890745965*((RANDBETWEEN(2979,3282)))</f>
        <v>85422598.245394349</v>
      </c>
      <c r="B6889">
        <v>180151349.69508255</v>
      </c>
    </row>
    <row r="6890" spans="1:2" x14ac:dyDescent="0.25">
      <c r="A6890">
        <f ca="1">28513.7252757761*((RANDBETWEEN(2979,3282)))</f>
        <v>93467991.453994051</v>
      </c>
      <c r="B6890">
        <v>171233061.65364492</v>
      </c>
    </row>
    <row r="6891" spans="1:2" x14ac:dyDescent="0.25">
      <c r="A6891">
        <f ca="1">29119.4372444955*((RANDBETWEEN(2979,3282)))</f>
        <v>95366156.975722805</v>
      </c>
      <c r="B6891">
        <v>194380506.13023564</v>
      </c>
    </row>
    <row r="6892" spans="1:2" x14ac:dyDescent="0.25">
      <c r="A6892">
        <f ca="1">30100.6185421703*((RANDBETWEEN(2979,3282)))</f>
        <v>98188217.684559479</v>
      </c>
      <c r="B6892">
        <v>152146708.02651373</v>
      </c>
    </row>
    <row r="6893" spans="1:2" x14ac:dyDescent="0.25">
      <c r="A6893">
        <f ca="1">27756.0857471173*((RANDBETWEEN(2979,3282)))</f>
        <v>88652937.876292735</v>
      </c>
      <c r="B6893">
        <v>162472590.06961185</v>
      </c>
    </row>
    <row r="6894" spans="1:2" x14ac:dyDescent="0.25">
      <c r="A6894">
        <f ca="1">26889.6891164509*((RANDBETWEEN(2979,3282)))</f>
        <v>81421978.644613221</v>
      </c>
      <c r="B6894">
        <v>146778090.57544363</v>
      </c>
    </row>
    <row r="6895" spans="1:2" x14ac:dyDescent="0.25">
      <c r="A6895">
        <f ca="1">25515.0820245775*((RANDBETWEEN(2979,3282)))</f>
        <v>79147784.440239489</v>
      </c>
      <c r="B6895">
        <v>158238665.9651688</v>
      </c>
    </row>
    <row r="6896" spans="1:2" x14ac:dyDescent="0.25">
      <c r="A6896">
        <f ca="1">26763.6716205748*((RANDBETWEEN(2979,3282)))</f>
        <v>79996614.473898098</v>
      </c>
      <c r="B6896">
        <v>162039899.34268874</v>
      </c>
    </row>
    <row r="6897" spans="1:2" x14ac:dyDescent="0.25">
      <c r="A6897">
        <f ca="1">25586.1633644811*((RANDBETWEEN(2979,3282)))</f>
        <v>83692340.36521776</v>
      </c>
      <c r="B6897">
        <v>149672910.70640308</v>
      </c>
    </row>
    <row r="6898" spans="1:2" x14ac:dyDescent="0.25">
      <c r="A6898">
        <f ca="1">28816.470823859*((RANDBETWEEN(2979,3282)))</f>
        <v>93365365.469303146</v>
      </c>
      <c r="B6898">
        <v>152655808.6654743</v>
      </c>
    </row>
    <row r="6899" spans="1:2" x14ac:dyDescent="0.25">
      <c r="A6899">
        <f ca="1">27539.0046764719*((RANDBETWEEN(2979,3282)))</f>
        <v>88372666.006798208</v>
      </c>
      <c r="B6899">
        <v>185452936.00415742</v>
      </c>
    </row>
    <row r="6900" spans="1:2" x14ac:dyDescent="0.25">
      <c r="A6900">
        <f ca="1">25996.9381741311*((RANDBETWEEN(2979,3282)))</f>
        <v>78822716.543965459</v>
      </c>
      <c r="B6900">
        <v>144941870.31711242</v>
      </c>
    </row>
    <row r="6901" spans="1:2" x14ac:dyDescent="0.25">
      <c r="A6901">
        <f ca="1">28683.9888478224*((RANDBETWEEN(2979,3282)))</f>
        <v>91358504.48031421</v>
      </c>
      <c r="B6901">
        <v>198790648.03507587</v>
      </c>
    </row>
    <row r="6902" spans="1:2" x14ac:dyDescent="0.25">
      <c r="A6902">
        <f ca="1">34226.1198339901*((RANDBETWEEN(2979,3282)))</f>
        <v>111474472.29930565</v>
      </c>
      <c r="B6902">
        <v>175031454.4305205</v>
      </c>
    </row>
    <row r="6903" spans="1:2" x14ac:dyDescent="0.25">
      <c r="A6903">
        <f ca="1">26938.9866380418*((RANDBETWEEN(2979,3282)))</f>
        <v>82918200.871892631</v>
      </c>
      <c r="B6903">
        <v>160558061.81889898</v>
      </c>
    </row>
    <row r="6904" spans="1:2" x14ac:dyDescent="0.25">
      <c r="A6904">
        <f ca="1">26392.4244279524*((RANDBETWEEN(2979,3282)))</f>
        <v>84746074.838155031</v>
      </c>
      <c r="B6904">
        <v>182098074.21706223</v>
      </c>
    </row>
    <row r="6905" spans="1:2" x14ac:dyDescent="0.25">
      <c r="A6905">
        <f ca="1">26443.7949997012*((RANDBETWEEN(2979,3282)))</f>
        <v>80891568.904085889</v>
      </c>
      <c r="B6905">
        <v>153090730.36689916</v>
      </c>
    </row>
    <row r="6906" spans="1:2" x14ac:dyDescent="0.25">
      <c r="A6906">
        <f ca="1">26891.0921803415*((RANDBETWEEN(2979,3282)))</f>
        <v>85540564.22566627</v>
      </c>
      <c r="B6906">
        <v>169346258.59972009</v>
      </c>
    </row>
    <row r="6907" spans="1:2" x14ac:dyDescent="0.25">
      <c r="A6907">
        <f ca="1">27888.0606484978*((RANDBETWEEN(2979,3282)))</f>
        <v>88656144.801574543</v>
      </c>
      <c r="B6907">
        <v>161784823.15785807</v>
      </c>
    </row>
    <row r="6908" spans="1:2" x14ac:dyDescent="0.25">
      <c r="A6908">
        <f ca="1">29320.1462552442*((RANDBETWEEN(2979,3282)))</f>
        <v>89807607.97981301</v>
      </c>
      <c r="B6908">
        <v>166648150.04524186</v>
      </c>
    </row>
    <row r="6909" spans="1:2" x14ac:dyDescent="0.25">
      <c r="A6909">
        <f ca="1">26010.3432968779*((RANDBETWEEN(2979,3282)))</f>
        <v>83389160.609790564</v>
      </c>
      <c r="B6909">
        <v>160894100.42072326</v>
      </c>
    </row>
    <row r="6910" spans="1:2" x14ac:dyDescent="0.25">
      <c r="A6910">
        <f ca="1">26117.5318796511*((RANDBETWEEN(2979,3282)))</f>
        <v>80833761.167520255</v>
      </c>
      <c r="B6910">
        <v>162808769.84081066</v>
      </c>
    </row>
    <row r="6911" spans="1:2" x14ac:dyDescent="0.25">
      <c r="A6911">
        <f ca="1">26437.7542677611*((RANDBETWEEN(2979,3282)))</f>
        <v>83014548.400769725</v>
      </c>
      <c r="B6911">
        <v>164667833.58148915</v>
      </c>
    </row>
    <row r="6912" spans="1:2" x14ac:dyDescent="0.25">
      <c r="A6912">
        <f ca="1">27354.0085117802*((RANDBETWEEN(2979,3282)))</f>
        <v>83894744.105629772</v>
      </c>
      <c r="B6912">
        <v>197989252.47547978</v>
      </c>
    </row>
    <row r="6913" spans="1:2" x14ac:dyDescent="0.25">
      <c r="A6913">
        <f ca="1">28848.3418461018*((RANDBETWEEN(2979,3282)))</f>
        <v>93093599.137370586</v>
      </c>
      <c r="B6913">
        <v>168797567.09599346</v>
      </c>
    </row>
    <row r="6914" spans="1:2" x14ac:dyDescent="0.25">
      <c r="A6914">
        <f ca="1">26437.8838998751*((RANDBETWEEN(2979,3282)))</f>
        <v>85262175.577097133</v>
      </c>
      <c r="B6914">
        <v>173046743.76837754</v>
      </c>
    </row>
    <row r="6915" spans="1:2" x14ac:dyDescent="0.25">
      <c r="A6915">
        <f ca="1">29161.0228120601*((RANDBETWEEN(2979,3282)))</f>
        <v>91536450.607056782</v>
      </c>
      <c r="B6915">
        <v>166345262.8933143</v>
      </c>
    </row>
    <row r="6916" spans="1:2" x14ac:dyDescent="0.25">
      <c r="A6916">
        <f ca="1">32672.2573721214*((RANDBETWEEN(2979,3282)))</f>
        <v>102296837.83211219</v>
      </c>
      <c r="B6916">
        <v>195071522.18269867</v>
      </c>
    </row>
    <row r="6917" spans="1:2" x14ac:dyDescent="0.25">
      <c r="A6917">
        <f ca="1">30101.5939300061*((RANDBETWEEN(2979,3282)))</f>
        <v>97619469.115009815</v>
      </c>
      <c r="B6917">
        <v>158713699.32593697</v>
      </c>
    </row>
    <row r="6918" spans="1:2" x14ac:dyDescent="0.25">
      <c r="A6918">
        <f ca="1">26566.6707252917*((RANDBETWEEN(2979,3282)))</f>
        <v>84774246.284405932</v>
      </c>
      <c r="B6918">
        <v>165959030.85816365</v>
      </c>
    </row>
    <row r="6919" spans="1:2" x14ac:dyDescent="0.25">
      <c r="A6919">
        <f ca="1">26689.375374807*((RANDBETWEEN(2979,3282)))</f>
        <v>80708671.133416384</v>
      </c>
      <c r="B6919">
        <v>154690263.00846317</v>
      </c>
    </row>
    <row r="6920" spans="1:2" x14ac:dyDescent="0.25">
      <c r="A6920">
        <f ca="1">28937.2245679481*((RANDBETWEEN(2979,3282)))</f>
        <v>93467235.35447222</v>
      </c>
      <c r="B6920">
        <v>179353027.11231971</v>
      </c>
    </row>
    <row r="6921" spans="1:2" x14ac:dyDescent="0.25">
      <c r="A6921">
        <f ca="1">34546.4548285768*((RANDBETWEEN(2979,3282)))</f>
        <v>106126709.23338783</v>
      </c>
      <c r="B6921">
        <v>195218413.32078281</v>
      </c>
    </row>
    <row r="6922" spans="1:2" x14ac:dyDescent="0.25">
      <c r="A6922">
        <f ca="1">29620.4359443299*((RANDBETWEEN(2979,3282)))</f>
        <v>94874256.329688609</v>
      </c>
      <c r="B6922">
        <v>153464681.69021869</v>
      </c>
    </row>
    <row r="6923" spans="1:2" x14ac:dyDescent="0.25">
      <c r="A6923">
        <f ca="1">27387.6650130143*((RANDBETWEEN(2979,3282)))</f>
        <v>88434770.327023089</v>
      </c>
      <c r="B6923">
        <v>159218165.33195534</v>
      </c>
    </row>
    <row r="6924" spans="1:2" x14ac:dyDescent="0.25">
      <c r="A6924">
        <f ca="1">27962.4883117592*((RANDBETWEEN(2979,3282)))</f>
        <v>91241599.36127013</v>
      </c>
      <c r="B6924">
        <v>172437737.41861519</v>
      </c>
    </row>
    <row r="6925" spans="1:2" x14ac:dyDescent="0.25">
      <c r="A6925">
        <f ca="1">26156.3361647414*((RANDBETWEEN(2979,3282)))</f>
        <v>83491025.037854522</v>
      </c>
      <c r="B6925">
        <v>196105387.81063247</v>
      </c>
    </row>
    <row r="6926" spans="1:2" x14ac:dyDescent="0.25">
      <c r="A6926">
        <f ca="1">29634.1603105714*((RANDBETWEEN(2979,3282)))</f>
        <v>94088458.986064151</v>
      </c>
      <c r="B6926">
        <v>179592095.02050233</v>
      </c>
    </row>
    <row r="6927" spans="1:2" x14ac:dyDescent="0.25">
      <c r="A6927">
        <f ca="1">28604.8889278004*((RANDBETWEEN(2979,3282)))</f>
        <v>87902823.675130576</v>
      </c>
      <c r="B6927">
        <v>179276969.89841455</v>
      </c>
    </row>
    <row r="6928" spans="1:2" x14ac:dyDescent="0.25">
      <c r="A6928">
        <f ca="1">27577.9577779066*((RANDBETWEEN(2979,3282)))</f>
        <v>84471284.6737279</v>
      </c>
      <c r="B6928">
        <v>154349810.34037173</v>
      </c>
    </row>
    <row r="6929" spans="1:2" x14ac:dyDescent="0.25">
      <c r="A6929">
        <f ca="1">26584.9747815755*((RANDBETWEEN(2979,3282)))</f>
        <v>83131216.141986549</v>
      </c>
      <c r="B6929">
        <v>150619720.96463987</v>
      </c>
    </row>
    <row r="6930" spans="1:2" x14ac:dyDescent="0.25">
      <c r="A6930">
        <f ca="1">25972.6219271455*((RANDBETWEEN(2979,3282)))</f>
        <v>77684112.184092119</v>
      </c>
      <c r="B6930">
        <v>203341230.18337607</v>
      </c>
    </row>
    <row r="6931" spans="1:2" x14ac:dyDescent="0.25">
      <c r="A6931">
        <f ca="1">27672.3278485159*((RANDBETWEEN(2979,3282)))</f>
        <v>90128771.802616179</v>
      </c>
      <c r="B6931">
        <v>148079816.93450201</v>
      </c>
    </row>
    <row r="6932" spans="1:2" x14ac:dyDescent="0.25">
      <c r="A6932">
        <f ca="1">28010.0507184073*((RANDBETWEEN(2979,3282)))</f>
        <v>88091609.509390801</v>
      </c>
      <c r="B6932">
        <v>168790865.99115792</v>
      </c>
    </row>
    <row r="6933" spans="1:2" x14ac:dyDescent="0.25">
      <c r="A6933">
        <f ca="1">28340.7515800974*((RANDBETWEEN(2979,3282)))</f>
        <v>90747086.559471831</v>
      </c>
      <c r="B6933">
        <v>157060097.13007766</v>
      </c>
    </row>
    <row r="6934" spans="1:2" x14ac:dyDescent="0.25">
      <c r="A6934">
        <f ca="1">27637.8360689507*((RANDBETWEEN(2979,3282)))</f>
        <v>89104383.486296907</v>
      </c>
      <c r="B6934">
        <v>193823703.27470678</v>
      </c>
    </row>
    <row r="6935" spans="1:2" x14ac:dyDescent="0.25">
      <c r="A6935">
        <f ca="1">34245.5888271531*((RANDBETWEEN(2979,3282)))</f>
        <v>106024343.00886604</v>
      </c>
      <c r="B6935">
        <v>157958771.95921063</v>
      </c>
    </row>
    <row r="6936" spans="1:2" x14ac:dyDescent="0.25">
      <c r="A6936">
        <f ca="1">27098.714344032*((RANDBETWEEN(2979,3282)))</f>
        <v>85089963.040260613</v>
      </c>
      <c r="B6936">
        <v>161187709.09347764</v>
      </c>
    </row>
    <row r="6937" spans="1:2" x14ac:dyDescent="0.25">
      <c r="A6937">
        <f ca="1">28109.8352834885*((RANDBETWEEN(2979,3282)))</f>
        <v>86240974.649742782</v>
      </c>
      <c r="B6937">
        <v>185290886.90772378</v>
      </c>
    </row>
    <row r="6938" spans="1:2" x14ac:dyDescent="0.25">
      <c r="A6938">
        <f ca="1">26157.0572264448*((RANDBETWEEN(2979,3282)))</f>
        <v>85115064.214851454</v>
      </c>
      <c r="B6938">
        <v>143905188.31591406</v>
      </c>
    </row>
    <row r="6939" spans="1:2" x14ac:dyDescent="0.25">
      <c r="A6939">
        <f ca="1">32685.5951766627*((RANDBETWEEN(2979,3282)))</f>
        <v>98645126.243167892</v>
      </c>
      <c r="B6939">
        <v>169217259.21561345</v>
      </c>
    </row>
    <row r="6940" spans="1:2" x14ac:dyDescent="0.25">
      <c r="A6940">
        <f ca="1">28049.4851993424*((RANDBETWEEN(2979,3282)))</f>
        <v>92058410.424241826</v>
      </c>
      <c r="B6940">
        <v>198980392.03679731</v>
      </c>
    </row>
    <row r="6941" spans="1:2" x14ac:dyDescent="0.25">
      <c r="A6941">
        <f ca="1">26264.4330880082*((RANDBETWEEN(2979,3282)))</f>
        <v>78399332.767704457</v>
      </c>
      <c r="B6941">
        <v>159042177.84658077</v>
      </c>
    </row>
    <row r="6942" spans="1:2" x14ac:dyDescent="0.25">
      <c r="A6942">
        <f ca="1">26907.8804451741*((RANDBETWEEN(2979,3282)))</f>
        <v>80669825.574631825</v>
      </c>
      <c r="B6942">
        <v>177106635.55036676</v>
      </c>
    </row>
    <row r="6943" spans="1:2" x14ac:dyDescent="0.25">
      <c r="A6943">
        <f ca="1">31044.7301415101*((RANDBETWEEN(2979,3282)))</f>
        <v>93568816.646511376</v>
      </c>
      <c r="B6943">
        <v>165066604.2955105</v>
      </c>
    </row>
    <row r="6944" spans="1:2" x14ac:dyDescent="0.25">
      <c r="A6944">
        <f ca="1">29077.4998710895*((RANDBETWEEN(2979,3282)))</f>
        <v>93222464.586712912</v>
      </c>
      <c r="B6944">
        <v>187139559.98152015</v>
      </c>
    </row>
    <row r="6945" spans="1:2" x14ac:dyDescent="0.25">
      <c r="A6945">
        <f ca="1">30158.6572774061*((RANDBETWEEN(2979,3282)))</f>
        <v>96628337.916808993</v>
      </c>
      <c r="B6945">
        <v>144834624.46342039</v>
      </c>
    </row>
    <row r="6946" spans="1:2" x14ac:dyDescent="0.25">
      <c r="A6946">
        <f ca="1">25777.2575499272*((RANDBETWEEN(2979,3282)))</f>
        <v>82744996.735266373</v>
      </c>
      <c r="B6946">
        <v>151508615.74423933</v>
      </c>
    </row>
    <row r="6947" spans="1:2" x14ac:dyDescent="0.25">
      <c r="A6947">
        <f ca="1">29071.1263120303*((RANDBETWEEN(2979,3282)))</f>
        <v>94074164.745730028</v>
      </c>
      <c r="B6947">
        <v>154631598.23649132</v>
      </c>
    </row>
    <row r="6948" spans="1:2" x14ac:dyDescent="0.25">
      <c r="A6948">
        <f ca="1">25885.3922002352*((RANDBETWEEN(2979,3282)))</f>
        <v>79597581.015723124</v>
      </c>
      <c r="B6948">
        <v>162084723.95815027</v>
      </c>
    </row>
    <row r="6949" spans="1:2" x14ac:dyDescent="0.25">
      <c r="A6949">
        <f ca="1">29313.1242234226*((RANDBETWEEN(2979,3282)))</f>
        <v>91808705.067759603</v>
      </c>
      <c r="B6949">
        <v>173539221.48808238</v>
      </c>
    </row>
    <row r="6950" spans="1:2" x14ac:dyDescent="0.25">
      <c r="A6950">
        <f ca="1">26863.6425027356*((RANDBETWEEN(2979,3282)))</f>
        <v>81316245.855780795</v>
      </c>
      <c r="B6950">
        <v>151437314.37593824</v>
      </c>
    </row>
    <row r="6951" spans="1:2" x14ac:dyDescent="0.25">
      <c r="A6951">
        <f ca="1">27835.2771960809*((RANDBETWEEN(2979,3282)))</f>
        <v>88822369.532694206</v>
      </c>
      <c r="B6951">
        <v>155232152.44821313</v>
      </c>
    </row>
    <row r="6952" spans="1:2" x14ac:dyDescent="0.25">
      <c r="A6952">
        <f ca="1">27329.4023676665*((RANDBETWEEN(2979,3282)))</f>
        <v>86196935.067620173</v>
      </c>
      <c r="B6952">
        <v>156826508.96800002</v>
      </c>
    </row>
    <row r="6953" spans="1:2" x14ac:dyDescent="0.25">
      <c r="A6953">
        <f ca="1">27487.0402508529*((RANDBETWEEN(2979,3282)))</f>
        <v>88893088.171258405</v>
      </c>
      <c r="B6953">
        <v>171033498.02675086</v>
      </c>
    </row>
    <row r="6954" spans="1:2" x14ac:dyDescent="0.25">
      <c r="A6954">
        <f ca="1">27086.7699760388*((RANDBETWEEN(2979,3282)))</f>
        <v>87923655.34222202</v>
      </c>
      <c r="B6954">
        <v>201542818.95844802</v>
      </c>
    </row>
    <row r="6955" spans="1:2" x14ac:dyDescent="0.25">
      <c r="A6955">
        <f ca="1">28221.875529894*((RANDBETWEEN(2979,3282)))</f>
        <v>88419136.035157889</v>
      </c>
      <c r="B6955">
        <v>186736326.2221314</v>
      </c>
    </row>
    <row r="6956" spans="1:2" x14ac:dyDescent="0.25">
      <c r="A6956">
        <f ca="1">28637.5500119256*((RANDBETWEEN(2979,3282)))</f>
        <v>86342213.285955667</v>
      </c>
      <c r="B6956">
        <v>177842873.64892581</v>
      </c>
    </row>
    <row r="6957" spans="1:2" x14ac:dyDescent="0.25">
      <c r="A6957">
        <f ca="1">26685.1443364773*((RANDBETWEEN(2979,3282)))</f>
        <v>84164945.237249345</v>
      </c>
      <c r="B6957">
        <v>170210260.05265531</v>
      </c>
    </row>
    <row r="6958" spans="1:2" x14ac:dyDescent="0.25">
      <c r="A6958">
        <f ca="1">27055.3247981338*((RANDBETWEEN(2979,3282)))</f>
        <v>81382416.992786452</v>
      </c>
      <c r="B6958">
        <v>183754245.71905315</v>
      </c>
    </row>
    <row r="6959" spans="1:2" x14ac:dyDescent="0.25">
      <c r="A6959">
        <f ca="1">26844.1290133057*((RANDBETWEEN(2979,3282)))</f>
        <v>85122733.101192355</v>
      </c>
      <c r="B6959">
        <v>173174436.37692738</v>
      </c>
    </row>
    <row r="6960" spans="1:2" x14ac:dyDescent="0.25">
      <c r="A6960">
        <f ca="1">27178.1577844042*((RANDBETWEEN(2979,3282)))</f>
        <v>86997283.067877769</v>
      </c>
      <c r="B6960">
        <v>171220535.33473077</v>
      </c>
    </row>
    <row r="6961" spans="1:2" x14ac:dyDescent="0.25">
      <c r="A6961">
        <f ca="1">27033.7097671027*((RANDBETWEEN(2979,3282)))</f>
        <v>82074342.852923766</v>
      </c>
      <c r="B6961">
        <v>154043368.69196874</v>
      </c>
    </row>
    <row r="6962" spans="1:2" x14ac:dyDescent="0.25">
      <c r="A6962">
        <f ca="1">26498.7754263031*((RANDBETWEEN(2979,3282)))</f>
        <v>84663587.487038404</v>
      </c>
      <c r="B6962">
        <v>144287202.49157971</v>
      </c>
    </row>
    <row r="6963" spans="1:2" x14ac:dyDescent="0.25">
      <c r="A6963">
        <f ca="1">28490.6919387524*((RANDBETWEEN(2979,3282)))</f>
        <v>87124535.948704898</v>
      </c>
      <c r="B6963">
        <v>202250706.58836985</v>
      </c>
    </row>
    <row r="6964" spans="1:2" x14ac:dyDescent="0.25">
      <c r="A6964">
        <f ca="1">27084.2917312149*((RANDBETWEEN(2979,3282)))</f>
        <v>85396771.828520507</v>
      </c>
      <c r="B6964">
        <v>151425500.481646</v>
      </c>
    </row>
    <row r="6965" spans="1:2" x14ac:dyDescent="0.25">
      <c r="A6965">
        <f ca="1">26166.7205419699*((RANDBETWEEN(2979,3282)))</f>
        <v>80174831.740595654</v>
      </c>
      <c r="B6965">
        <v>164002597.06515554</v>
      </c>
    </row>
    <row r="6966" spans="1:2" x14ac:dyDescent="0.25">
      <c r="A6966">
        <f ca="1">30259.557996998*((RANDBETWEEN(2979,3282)))</f>
        <v>96527990.010423601</v>
      </c>
      <c r="B6966">
        <v>177718893.94884396</v>
      </c>
    </row>
    <row r="6967" spans="1:2" x14ac:dyDescent="0.25">
      <c r="A6967">
        <f ca="1">25976.1402466141*((RANDBETWEEN(2979,3282)))</f>
        <v>79486989.154639229</v>
      </c>
      <c r="B6967">
        <v>147159860.891076</v>
      </c>
    </row>
    <row r="6968" spans="1:2" x14ac:dyDescent="0.25">
      <c r="A6968">
        <f ca="1">29309.1634949492*((RANDBETWEEN(2979,3282)))</f>
        <v>91649754.248706177</v>
      </c>
      <c r="B6968">
        <v>170802333.99239102</v>
      </c>
    </row>
    <row r="6969" spans="1:2" x14ac:dyDescent="0.25">
      <c r="A6969">
        <f ca="1">24998.3069301705*((RANDBETWEEN(2979,3282)))</f>
        <v>80094575.404266298</v>
      </c>
      <c r="B6969">
        <v>148144616.47428578</v>
      </c>
    </row>
    <row r="6970" spans="1:2" x14ac:dyDescent="0.25">
      <c r="A6970">
        <f ca="1">27642.2066325641*((RANDBETWEEN(2979,3282)))</f>
        <v>85082712.015032351</v>
      </c>
      <c r="B6970">
        <v>158526417.83426443</v>
      </c>
    </row>
    <row r="6971" spans="1:2" x14ac:dyDescent="0.25">
      <c r="A6971">
        <f ca="1">30082.2087261011*((RANDBETWEEN(2979,3282)))</f>
        <v>90216543.969577298</v>
      </c>
      <c r="B6971">
        <v>199553101.27182493</v>
      </c>
    </row>
    <row r="6972" spans="1:2" x14ac:dyDescent="0.25">
      <c r="A6972">
        <f ca="1">31166.7752377664*((RANDBETWEEN(2979,3282)))</f>
        <v>93188657.960921392</v>
      </c>
      <c r="B6972">
        <v>169983785.23800492</v>
      </c>
    </row>
    <row r="6973" spans="1:2" x14ac:dyDescent="0.25">
      <c r="A6973">
        <f ca="1">28438.3306453701*((RANDBETWEEN(2979,3282)))</f>
        <v>88471646.637746468</v>
      </c>
      <c r="B6973">
        <v>155365069.77132675</v>
      </c>
    </row>
    <row r="6974" spans="1:2" x14ac:dyDescent="0.25">
      <c r="A6974">
        <f ca="1">26302.1709174815*((RANDBETWEEN(2979,3282)))</f>
        <v>78433073.675929829</v>
      </c>
      <c r="B6974">
        <v>151662034.46029338</v>
      </c>
    </row>
    <row r="6975" spans="1:2" x14ac:dyDescent="0.25">
      <c r="A6975">
        <f ca="1">25536.8115162746*((RANDBETWEEN(2979,3282)))</f>
        <v>78449084.977995485</v>
      </c>
      <c r="B6975">
        <v>152508782.75685176</v>
      </c>
    </row>
    <row r="6976" spans="1:2" x14ac:dyDescent="0.25">
      <c r="A6976">
        <f ca="1">27304.7987507902*((RANDBETWEEN(2979,3282)))</f>
        <v>85818982.473733485</v>
      </c>
      <c r="B6976">
        <v>160864223.92286503</v>
      </c>
    </row>
    <row r="6977" spans="1:2" x14ac:dyDescent="0.25">
      <c r="A6977">
        <f ca="1">27972.4777884272*((RANDBETWEEN(2979,3282)))</f>
        <v>91665809.712676004</v>
      </c>
      <c r="B6977">
        <v>185771333.88587588</v>
      </c>
    </row>
    <row r="6978" spans="1:2" x14ac:dyDescent="0.25">
      <c r="A6978">
        <f ca="1">28369.0123361653*((RANDBETWEEN(2979,3282)))</f>
        <v>85135406.020831957</v>
      </c>
      <c r="B6978">
        <v>146436949.4395197</v>
      </c>
    </row>
    <row r="6979" spans="1:2" x14ac:dyDescent="0.25">
      <c r="A6979">
        <f ca="1">32774.8794393786*((RANDBETWEEN(2979,3282)))</f>
        <v>105862860.58919272</v>
      </c>
      <c r="B6979">
        <v>144028589.35434246</v>
      </c>
    </row>
    <row r="6980" spans="1:2" x14ac:dyDescent="0.25">
      <c r="A6980">
        <f ca="1">29760.9460802344*((RANDBETWEEN(2979,3282)))</f>
        <v>89759013.377987027</v>
      </c>
      <c r="B6980">
        <v>182651636.03332683</v>
      </c>
    </row>
    <row r="6981" spans="1:2" x14ac:dyDescent="0.25">
      <c r="A6981">
        <f ca="1">30471.0917554951*((RANDBETWEEN(2979,3282)))</f>
        <v>96745716.323697075</v>
      </c>
      <c r="B6981">
        <v>165474557.3029466</v>
      </c>
    </row>
    <row r="6982" spans="1:2" x14ac:dyDescent="0.25">
      <c r="A6982">
        <f ca="1">28952.29430596*((RANDBETWEEN(2979,3282)))</f>
        <v>94847716.146324798</v>
      </c>
      <c r="B6982">
        <v>154072357.00087142</v>
      </c>
    </row>
    <row r="6983" spans="1:2" x14ac:dyDescent="0.25">
      <c r="A6983">
        <f ca="1">26973.2335713338*((RANDBETWEEN(2979,3282)))</f>
        <v>82322308.859710887</v>
      </c>
      <c r="B6983">
        <v>165123950.69138992</v>
      </c>
    </row>
    <row r="6984" spans="1:2" x14ac:dyDescent="0.25">
      <c r="A6984">
        <f ca="1">28543.0471060636*((RANDBETWEEN(2979,3282)))</f>
        <v>93221591.848403677</v>
      </c>
      <c r="B6984">
        <v>163954961.19967002</v>
      </c>
    </row>
    <row r="6985" spans="1:2" x14ac:dyDescent="0.25">
      <c r="A6985">
        <f ca="1">31779.6426734071*((RANDBETWEEN(2979,3282)))</f>
        <v>101821975.12559627</v>
      </c>
      <c r="B6985">
        <v>197391395.80655849</v>
      </c>
    </row>
    <row r="6986" spans="1:2" x14ac:dyDescent="0.25">
      <c r="A6986">
        <f ca="1">31038.7961782495*((RANDBETWEEN(2979,3282)))</f>
        <v>92806000.57296598</v>
      </c>
      <c r="B6986">
        <v>181511165.45733729</v>
      </c>
    </row>
    <row r="6987" spans="1:2" x14ac:dyDescent="0.25">
      <c r="A6987">
        <f ca="1">26209.2162320902*((RANDBETWEEN(2979,3282)))</f>
        <v>84315048.618634313</v>
      </c>
      <c r="B6987">
        <v>159954775.33958831</v>
      </c>
    </row>
    <row r="6988" spans="1:2" x14ac:dyDescent="0.25">
      <c r="A6988">
        <f ca="1">30178.2872629509*((RANDBETWEEN(2979,3282)))</f>
        <v>97083550.124912962</v>
      </c>
      <c r="B6988">
        <v>158885446.21986017</v>
      </c>
    </row>
    <row r="6989" spans="1:2" x14ac:dyDescent="0.25">
      <c r="A6989">
        <f ca="1">28317.0509803563*((RANDBETWEEN(2979,3282)))</f>
        <v>89453564.046945468</v>
      </c>
      <c r="B6989">
        <v>178064642.93472832</v>
      </c>
    </row>
    <row r="6990" spans="1:2" x14ac:dyDescent="0.25">
      <c r="A6990">
        <f ca="1">25921.800996828*((RANDBETWEEN(2979,3282)))</f>
        <v>82923841.388852805</v>
      </c>
      <c r="B6990">
        <v>148956438.3408553</v>
      </c>
    </row>
    <row r="6991" spans="1:2" x14ac:dyDescent="0.25">
      <c r="A6991">
        <f ca="1">28974.888485674*((RANDBETWEEN(2979,3282)))</f>
        <v>88894957.87404792</v>
      </c>
      <c r="B6991">
        <v>163809753.51020133</v>
      </c>
    </row>
    <row r="6992" spans="1:2" x14ac:dyDescent="0.25">
      <c r="A6992">
        <f ca="1">32014.3969071018*((RANDBETWEEN(2979,3282)))</f>
        <v>98764414.458409071</v>
      </c>
      <c r="B6992">
        <v>193987217.55575114</v>
      </c>
    </row>
    <row r="6993" spans="1:2" x14ac:dyDescent="0.25">
      <c r="A6993">
        <f ca="1">25710.5031732561*((RANDBETWEEN(2979,3282)))</f>
        <v>81785110.594127789</v>
      </c>
      <c r="B6993">
        <v>174375234.27528441</v>
      </c>
    </row>
    <row r="6994" spans="1:2" x14ac:dyDescent="0.25">
      <c r="A6994">
        <f ca="1">26459.1989995519*((RANDBETWEEN(2979,3282)))</f>
        <v>84854651.191562995</v>
      </c>
      <c r="B6994">
        <v>152275256.70832974</v>
      </c>
    </row>
    <row r="6995" spans="1:2" x14ac:dyDescent="0.25">
      <c r="A6995">
        <f ca="1">26327.7216610864*((RANDBETWEEN(2979,3282)))</f>
        <v>84169726.150493383</v>
      </c>
      <c r="B6995">
        <v>152548406.37584493</v>
      </c>
    </row>
    <row r="6996" spans="1:2" x14ac:dyDescent="0.25">
      <c r="A6996">
        <f ca="1">28112.5336705459*((RANDBETWEEN(2979,3282)))</f>
        <v>83859687.939238384</v>
      </c>
      <c r="B6996">
        <v>191952662.37190908</v>
      </c>
    </row>
    <row r="6997" spans="1:2" x14ac:dyDescent="0.25">
      <c r="A6997">
        <f ca="1">27165.6058613236*((RANDBETWEEN(2979,3282)))</f>
        <v>83507072.417708859</v>
      </c>
      <c r="B6997">
        <v>164279631.93238586</v>
      </c>
    </row>
    <row r="6998" spans="1:2" x14ac:dyDescent="0.25">
      <c r="A6998">
        <f ca="1">27401.2213571491*((RANDBETWEEN(2979,3282)))</f>
        <v>84423163.001376331</v>
      </c>
      <c r="B6998">
        <v>144051710.97389618</v>
      </c>
    </row>
    <row r="6999" spans="1:2" x14ac:dyDescent="0.25">
      <c r="A6999">
        <f ca="1">27753.6136695863*((RANDBETWEEN(2979,3282)))</f>
        <v>83011058.48573254</v>
      </c>
      <c r="B6999">
        <v>173546321.85750249</v>
      </c>
    </row>
    <row r="7000" spans="1:2" x14ac:dyDescent="0.25">
      <c r="A7000">
        <f ca="1">28907.5103379472*((RANDBETWEEN(2979,3282)))</f>
        <v>94151761.170694038</v>
      </c>
      <c r="B7000">
        <v>202284366.12402558</v>
      </c>
    </row>
    <row r="7001" spans="1:2" x14ac:dyDescent="0.25">
      <c r="A7001">
        <f ca="1">28494.4214720209*((RANDBETWEEN(2979,3282)))</f>
        <v>88104751.191488519</v>
      </c>
      <c r="B7001">
        <v>144249916.05102092</v>
      </c>
    </row>
    <row r="7002" spans="1:2" x14ac:dyDescent="0.25">
      <c r="A7002">
        <f ca="1">26539.7782134849*((RANDBETWEEN(2979,3282)))</f>
        <v>79884732.422589496</v>
      </c>
      <c r="B7002">
        <v>171367067.48617506</v>
      </c>
    </row>
    <row r="7003" spans="1:2" x14ac:dyDescent="0.25">
      <c r="A7003">
        <f ca="1">26914.593182297*((RANDBETWEEN(2979,3282)))</f>
        <v>87607000.808376849</v>
      </c>
      <c r="B7003">
        <v>177722617.62656495</v>
      </c>
    </row>
    <row r="7004" spans="1:2" x14ac:dyDescent="0.25">
      <c r="A7004">
        <f ca="1">30211.6772781094*((RANDBETWEEN(2979,3282)))</f>
        <v>92780060.921073973</v>
      </c>
      <c r="B7004">
        <v>171679117.55562943</v>
      </c>
    </row>
    <row r="7005" spans="1:2" x14ac:dyDescent="0.25">
      <c r="A7005">
        <f ca="1">25884.1923008273*((RANDBETWEEN(2979,3282)))</f>
        <v>84589540.439103514</v>
      </c>
      <c r="B7005">
        <v>159748565.65123922</v>
      </c>
    </row>
    <row r="7006" spans="1:2" x14ac:dyDescent="0.25">
      <c r="A7006">
        <f ca="1">27164.3213774994*((RANDBETWEEN(2979,3282)))</f>
        <v>86898664.086620554</v>
      </c>
      <c r="B7006">
        <v>148385138.31942141</v>
      </c>
    </row>
    <row r="7007" spans="1:2" x14ac:dyDescent="0.25">
      <c r="A7007">
        <f ca="1">32361.8751395128*((RANDBETWEEN(2979,3282)))</f>
        <v>98218291.048421264</v>
      </c>
      <c r="B7007">
        <v>172328000.57622439</v>
      </c>
    </row>
    <row r="7008" spans="1:2" x14ac:dyDescent="0.25">
      <c r="A7008">
        <f ca="1">27171.6545437477*((RANDBETWEEN(2979,3282)))</f>
        <v>82167083.340293124</v>
      </c>
      <c r="B7008">
        <v>152966009.52589649</v>
      </c>
    </row>
    <row r="7009" spans="1:2" x14ac:dyDescent="0.25">
      <c r="A7009">
        <f ca="1">32139.7292581879*((RANDBETWEEN(2979,3282)))</f>
        <v>97544078.298600405</v>
      </c>
      <c r="B7009">
        <v>199423778.17170015</v>
      </c>
    </row>
    <row r="7010" spans="1:2" x14ac:dyDescent="0.25">
      <c r="A7010">
        <f ca="1">27078.3045675826*((RANDBETWEEN(2979,3282)))</f>
        <v>88112803.062913761</v>
      </c>
      <c r="B7010">
        <v>144680622.29383636</v>
      </c>
    </row>
    <row r="7011" spans="1:2" x14ac:dyDescent="0.25">
      <c r="A7011">
        <f ca="1">26515.8408958578*((RANDBETWEEN(2979,3282)))</f>
        <v>79600554.369365156</v>
      </c>
      <c r="B7011">
        <v>146626417.27367347</v>
      </c>
    </row>
    <row r="7012" spans="1:2" x14ac:dyDescent="0.25">
      <c r="A7012">
        <f ca="1">30039.4760837475*((RANDBETWEEN(2979,3282)))</f>
        <v>94083639.094297126</v>
      </c>
      <c r="B7012">
        <v>183113274.96697766</v>
      </c>
    </row>
    <row r="7013" spans="1:2" x14ac:dyDescent="0.25">
      <c r="A7013">
        <f ca="1">24355.0507491214*((RANDBETWEEN(2979,3282)))</f>
        <v>76426149.250742957</v>
      </c>
      <c r="B7013">
        <v>149823706.40238491</v>
      </c>
    </row>
    <row r="7014" spans="1:2" x14ac:dyDescent="0.25">
      <c r="A7014">
        <f ca="1">25886.0530896287*((RANDBETWEEN(2979,3282)))</f>
        <v>77968791.905961767</v>
      </c>
      <c r="B7014">
        <v>160665070.65169358</v>
      </c>
    </row>
    <row r="7015" spans="1:2" x14ac:dyDescent="0.25">
      <c r="A7015">
        <f ca="1">28386.5487124445*((RANDBETWEEN(2979,3282)))</f>
        <v>89304082.249350339</v>
      </c>
      <c r="B7015">
        <v>147251117.88026783</v>
      </c>
    </row>
    <row r="7016" spans="1:2" x14ac:dyDescent="0.25">
      <c r="A7016">
        <f ca="1">27394.9635491108*((RANDBETWEEN(2979,3282)))</f>
        <v>84650437.366752505</v>
      </c>
      <c r="B7016">
        <v>169143441.864636</v>
      </c>
    </row>
    <row r="7017" spans="1:2" x14ac:dyDescent="0.25">
      <c r="A7017">
        <f ca="1">29850.0974812897*((RANDBETWEEN(2979,3282)))</f>
        <v>90415945.270826653</v>
      </c>
      <c r="B7017">
        <v>200634375.81388581</v>
      </c>
    </row>
    <row r="7018" spans="1:2" x14ac:dyDescent="0.25">
      <c r="A7018">
        <f ca="1">29184.6209265601*((RANDBETWEEN(2979,3282)))</f>
        <v>90880909.565308213</v>
      </c>
      <c r="B7018">
        <v>146182962.57886302</v>
      </c>
    </row>
    <row r="7019" spans="1:2" x14ac:dyDescent="0.25">
      <c r="A7019">
        <f ca="1">28622.2636022746*((RANDBETWEEN(2979,3282)))</f>
        <v>89959774.501948938</v>
      </c>
      <c r="B7019">
        <v>192455469.12878859</v>
      </c>
    </row>
    <row r="7020" spans="1:2" x14ac:dyDescent="0.25">
      <c r="A7020">
        <f ca="1">30821.417838274*((RANDBETWEEN(2979,3282)))</f>
        <v>93758753.06402941</v>
      </c>
      <c r="B7020">
        <v>203586811.17293325</v>
      </c>
    </row>
    <row r="7021" spans="1:2" x14ac:dyDescent="0.25">
      <c r="A7021">
        <f ca="1">26254.116455136*((RANDBETWEEN(2979,3282)))</f>
        <v>84932066.732364804</v>
      </c>
      <c r="B7021">
        <v>152823707.67980707</v>
      </c>
    </row>
    <row r="7022" spans="1:2" x14ac:dyDescent="0.25">
      <c r="A7022">
        <f ca="1">26645.1730459326*((RANDBETWEEN(2979,3282)))</f>
        <v>82653326.788483068</v>
      </c>
      <c r="B7022">
        <v>188695695.23239091</v>
      </c>
    </row>
    <row r="7023" spans="1:2" x14ac:dyDescent="0.25">
      <c r="A7023">
        <f ca="1">33010.2272713366*((RANDBETWEEN(2979,3282)))</f>
        <v>106226911.3591613</v>
      </c>
      <c r="B7023">
        <v>167878587.93998703</v>
      </c>
    </row>
    <row r="7024" spans="1:2" x14ac:dyDescent="0.25">
      <c r="A7024">
        <f ca="1">26895.9351386292*((RANDBETWEEN(2979,3282)))</f>
        <v>84533924.140711665</v>
      </c>
      <c r="B7024">
        <v>190292623.53618231</v>
      </c>
    </row>
    <row r="7025" spans="1:2" x14ac:dyDescent="0.25">
      <c r="A7025">
        <f ca="1">25728.6478489337*((RANDBETWEEN(2979,3282)))</f>
        <v>78626747.82634142</v>
      </c>
      <c r="B7025">
        <v>161460728.77827758</v>
      </c>
    </row>
    <row r="7026" spans="1:2" x14ac:dyDescent="0.25">
      <c r="A7026">
        <f ca="1">29749.5972895601*((RANDBETWEEN(2979,3282)))</f>
        <v>97429931.123309359</v>
      </c>
      <c r="B7026">
        <v>161930055.9868553</v>
      </c>
    </row>
    <row r="7027" spans="1:2" x14ac:dyDescent="0.25">
      <c r="A7027">
        <f ca="1">26401.7383406466*((RANDBETWEEN(2979,3282)))</f>
        <v>81581371.472597942</v>
      </c>
      <c r="B7027">
        <v>180805207.96809903</v>
      </c>
    </row>
    <row r="7028" spans="1:2" x14ac:dyDescent="0.25">
      <c r="A7028">
        <f ca="1">25873.4420160319*((RANDBETWEEN(2979,3282)))</f>
        <v>81941190.864773154</v>
      </c>
      <c r="B7028">
        <v>167526547.1220817</v>
      </c>
    </row>
    <row r="7029" spans="1:2" x14ac:dyDescent="0.25">
      <c r="A7029">
        <f ca="1">28487.7425519438*((RANDBETWEEN(2979,3282)))</f>
        <v>86574249.615357161</v>
      </c>
      <c r="B7029">
        <v>174097055.13552463</v>
      </c>
    </row>
    <row r="7030" spans="1:2" x14ac:dyDescent="0.25">
      <c r="A7030">
        <f ca="1">26946.920140973*((RANDBETWEEN(2979,3282)))</f>
        <v>84074390.839835808</v>
      </c>
      <c r="B7030">
        <v>147341868.32232484</v>
      </c>
    </row>
    <row r="7031" spans="1:2" x14ac:dyDescent="0.25">
      <c r="A7031">
        <f ca="1">31722.9837500688*((RANDBETWEEN(2979,3282)))</f>
        <v>102941082.26897322</v>
      </c>
      <c r="B7031">
        <v>187793606.76807928</v>
      </c>
    </row>
    <row r="7032" spans="1:2" x14ac:dyDescent="0.25">
      <c r="A7032">
        <f ca="1">27924.9697044737*((RANDBETWEEN(2979,3282)))</f>
        <v>89331978.084611386</v>
      </c>
      <c r="B7032">
        <v>145677449.11787081</v>
      </c>
    </row>
    <row r="7033" spans="1:2" x14ac:dyDescent="0.25">
      <c r="A7033">
        <f ca="1">28880.1237500824*((RANDBETWEEN(2979,3282)))</f>
        <v>87853336.447750598</v>
      </c>
      <c r="B7033">
        <v>155873353.5670014</v>
      </c>
    </row>
    <row r="7034" spans="1:2" x14ac:dyDescent="0.25">
      <c r="A7034">
        <f ca="1">27595.6220820023*((RANDBETWEEN(2979,3282)))</f>
        <v>86263914.628339231</v>
      </c>
      <c r="B7034">
        <v>168430626.75289029</v>
      </c>
    </row>
    <row r="7035" spans="1:2" x14ac:dyDescent="0.25">
      <c r="A7035">
        <f ca="1">30844.1889105627*((RANDBETWEEN(2979,3282)))</f>
        <v>93488736.587915599</v>
      </c>
      <c r="B7035">
        <v>185492933.27783138</v>
      </c>
    </row>
    <row r="7036" spans="1:2" x14ac:dyDescent="0.25">
      <c r="A7036">
        <f ca="1">25495.8742469992*((RANDBETWEEN(2979,3282)))</f>
        <v>83473492.284675345</v>
      </c>
      <c r="B7036">
        <v>168653327.6466915</v>
      </c>
    </row>
    <row r="7037" spans="1:2" x14ac:dyDescent="0.25">
      <c r="A7037">
        <f ca="1">27896.1648022833*((RANDBETWEEN(2979,3282)))</f>
        <v>90941497.255443707</v>
      </c>
      <c r="B7037">
        <v>149609213.73874426</v>
      </c>
    </row>
    <row r="7038" spans="1:2" x14ac:dyDescent="0.25">
      <c r="A7038">
        <f ca="1">31089.7089047908*((RANDBETWEEN(2979,3282)))</f>
        <v>93331306.132181853</v>
      </c>
      <c r="B7038">
        <v>188207970.21719614</v>
      </c>
    </row>
    <row r="7039" spans="1:2" x14ac:dyDescent="0.25">
      <c r="A7039">
        <f ca="1">27991.8978839741*((RANDBETWEEN(2979,3282)))</f>
        <v>85683199.422844723</v>
      </c>
      <c r="B7039">
        <v>183125706.07107979</v>
      </c>
    </row>
    <row r="7040" spans="1:2" x14ac:dyDescent="0.25">
      <c r="A7040">
        <f ca="1">26707.764389202*((RANDBETWEEN(2979,3282)))</f>
        <v>86506448.85662514</v>
      </c>
      <c r="B7040">
        <v>183560158.20647377</v>
      </c>
    </row>
    <row r="7041" spans="1:2" x14ac:dyDescent="0.25">
      <c r="A7041">
        <f ca="1">30160.9995480564*((RANDBETWEEN(2979,3282)))</f>
        <v>90663964.641457543</v>
      </c>
      <c r="B7041">
        <v>145471158.17552781</v>
      </c>
    </row>
    <row r="7042" spans="1:2" x14ac:dyDescent="0.25">
      <c r="A7042">
        <f ca="1">29067.0997100504*((RANDBETWEEN(2979,3282)))</f>
        <v>89468532.907535136</v>
      </c>
      <c r="B7042">
        <v>183599814.5407145</v>
      </c>
    </row>
    <row r="7043" spans="1:2" x14ac:dyDescent="0.25">
      <c r="A7043">
        <f ca="1">27257.7653003916*((RANDBETWEEN(2979,3282)))</f>
        <v>88778541.583375454</v>
      </c>
      <c r="B7043">
        <v>172557283.39739788</v>
      </c>
    </row>
    <row r="7044" spans="1:2" x14ac:dyDescent="0.25">
      <c r="A7044">
        <f ca="1">26866.0967496077*((RANDBETWEEN(2979,3282)))</f>
        <v>83526694.794530258</v>
      </c>
      <c r="B7044">
        <v>192552201.7032842</v>
      </c>
    </row>
    <row r="7045" spans="1:2" x14ac:dyDescent="0.25">
      <c r="A7045">
        <f ca="1">26653.7264218335*((RANDBETWEEN(2979,3282)))</f>
        <v>79667988.274860412</v>
      </c>
      <c r="B7045">
        <v>168384739.67461318</v>
      </c>
    </row>
    <row r="7046" spans="1:2" x14ac:dyDescent="0.25">
      <c r="A7046">
        <f ca="1">26684.4586120029*((RANDBETWEEN(2979,3282)))</f>
        <v>86831228.323457584</v>
      </c>
      <c r="B7046">
        <v>175329419.30533895</v>
      </c>
    </row>
    <row r="7047" spans="1:2" x14ac:dyDescent="0.25">
      <c r="A7047">
        <f ca="1">28537.3259106804*((RANDBETWEEN(2979,3282)))</f>
        <v>91861652.106480271</v>
      </c>
      <c r="B7047">
        <v>188322404.4232296</v>
      </c>
    </row>
    <row r="7048" spans="1:2" x14ac:dyDescent="0.25">
      <c r="A7048">
        <f ca="1">27907.2026959314*((RANDBETWEEN(2979,3282)))</f>
        <v>86819307.58704266</v>
      </c>
      <c r="B7048">
        <v>177204310.29180962</v>
      </c>
    </row>
    <row r="7049" spans="1:2" x14ac:dyDescent="0.25">
      <c r="A7049">
        <f ca="1">31122.0416583202*((RANDBETWEEN(2979,3282)))</f>
        <v>100461950.47305752</v>
      </c>
      <c r="B7049">
        <v>172192152.17776173</v>
      </c>
    </row>
    <row r="7050" spans="1:2" x14ac:dyDescent="0.25">
      <c r="A7050">
        <f ca="1">29021.799355662*((RANDBETWEEN(2979,3282)))</f>
        <v>89938556.20319666</v>
      </c>
      <c r="B7050">
        <v>160036726.66686726</v>
      </c>
    </row>
    <row r="7051" spans="1:2" x14ac:dyDescent="0.25">
      <c r="A7051">
        <f ca="1">28590.7726569494*((RANDBETWEEN(2979,3282)))</f>
        <v>93177328.088998199</v>
      </c>
      <c r="B7051">
        <v>184528429.57961231</v>
      </c>
    </row>
    <row r="7052" spans="1:2" x14ac:dyDescent="0.25">
      <c r="A7052">
        <f ca="1">30344.1455302455*((RANDBETWEEN(2979,3282)))</f>
        <v>92731708.740430221</v>
      </c>
      <c r="B7052">
        <v>196665291.10369945</v>
      </c>
    </row>
    <row r="7053" spans="1:2" x14ac:dyDescent="0.25">
      <c r="A7053">
        <f ca="1">27327.1688919384*((RANDBETWEEN(2979,3282)))</f>
        <v>87802193.649798065</v>
      </c>
      <c r="B7053">
        <v>169086191.007269</v>
      </c>
    </row>
    <row r="7054" spans="1:2" x14ac:dyDescent="0.25">
      <c r="A7054">
        <f ca="1">25588.7383403612*((RANDBETWEEN(2979,3282)))</f>
        <v>79760097.406906098</v>
      </c>
      <c r="B7054">
        <v>189101429.03860638</v>
      </c>
    </row>
    <row r="7055" spans="1:2" x14ac:dyDescent="0.25">
      <c r="A7055">
        <f ca="1">29059.6312701892*((RANDBETWEEN(2979,3282)))</f>
        <v>90055797.306316286</v>
      </c>
      <c r="B7055">
        <v>159248463.07401916</v>
      </c>
    </row>
    <row r="7056" spans="1:2" x14ac:dyDescent="0.25">
      <c r="A7056">
        <f ca="1">29203.6286573143*((RANDBETWEEN(2979,3282)))</f>
        <v>91407357.69739379</v>
      </c>
      <c r="B7056">
        <v>200550842.00044191</v>
      </c>
    </row>
    <row r="7057" spans="1:2" x14ac:dyDescent="0.25">
      <c r="A7057">
        <f ca="1">26779.8097065009*((RANDBETWEEN(2979,3282)))</f>
        <v>83847584.191054299</v>
      </c>
      <c r="B7057">
        <v>160622236.50353029</v>
      </c>
    </row>
    <row r="7058" spans="1:2" x14ac:dyDescent="0.25">
      <c r="A7058">
        <f ca="1">27232.9508772758*((RANDBETWEEN(2979,3282)))</f>
        <v>88970050.516060159</v>
      </c>
      <c r="B7058">
        <v>164796487.6131027</v>
      </c>
    </row>
    <row r="7059" spans="1:2" x14ac:dyDescent="0.25">
      <c r="A7059">
        <f ca="1">27072.1685142682*((RANDBETWEEN(2979,3282)))</f>
        <v>83653000.709088698</v>
      </c>
      <c r="B7059">
        <v>145046417.51649895</v>
      </c>
    </row>
    <row r="7060" spans="1:2" x14ac:dyDescent="0.25">
      <c r="A7060">
        <f ca="1">26951.4682829871*((RANDBETWEEN(2979,3282)))</f>
        <v>86999339.617482468</v>
      </c>
      <c r="B7060">
        <v>188248738.30591273</v>
      </c>
    </row>
    <row r="7061" spans="1:2" x14ac:dyDescent="0.25">
      <c r="A7061">
        <f ca="1">27883.9875803158*((RANDBETWEEN(2979,3282)))</f>
        <v>84209642.49255383</v>
      </c>
      <c r="B7061">
        <v>185740895.71200407</v>
      </c>
    </row>
    <row r="7062" spans="1:2" x14ac:dyDescent="0.25">
      <c r="A7062">
        <f ca="1">28146.9162642628*((RANDBETWEEN(2979,3282)))</f>
        <v>88944255.395070463</v>
      </c>
      <c r="B7062">
        <v>195972893.58234638</v>
      </c>
    </row>
    <row r="7063" spans="1:2" x14ac:dyDescent="0.25">
      <c r="A7063">
        <f ca="1">31749.4745258382*((RANDBETWEEN(2979,3282)))</f>
        <v>97661383.641478196</v>
      </c>
      <c r="B7063">
        <v>184564569.87381899</v>
      </c>
    </row>
    <row r="7064" spans="1:2" x14ac:dyDescent="0.25">
      <c r="A7064">
        <f ca="1">27176.8780636507*((RANDBETWEEN(2979,3282)))</f>
        <v>81421926.678697422</v>
      </c>
      <c r="B7064">
        <v>203083041.55277371</v>
      </c>
    </row>
    <row r="7065" spans="1:2" x14ac:dyDescent="0.25">
      <c r="A7065">
        <f ca="1">29639.7705432568*((RANDBETWEEN(2979,3282)))</f>
        <v>88474715.071621582</v>
      </c>
      <c r="B7065">
        <v>144960284.66587129</v>
      </c>
    </row>
    <row r="7066" spans="1:2" x14ac:dyDescent="0.25">
      <c r="A7066">
        <f ca="1">27243.9365665742*((RANDBETWEEN(2979,3282)))</f>
        <v>88706257.46076557</v>
      </c>
      <c r="B7066">
        <v>169675054.84677926</v>
      </c>
    </row>
    <row r="7067" spans="1:2" x14ac:dyDescent="0.25">
      <c r="A7067">
        <f ca="1">28042.9061170558*((RANDBETWEEN(2979,3282)))</f>
        <v>85166305.877498597</v>
      </c>
      <c r="B7067">
        <v>161055344.43154845</v>
      </c>
    </row>
    <row r="7068" spans="1:2" x14ac:dyDescent="0.25">
      <c r="A7068">
        <f ca="1">27226.7345004132*((RANDBETWEEN(2979,3282)))</f>
        <v>85219678.986293197</v>
      </c>
      <c r="B7068">
        <v>186885339.68171859</v>
      </c>
    </row>
    <row r="7069" spans="1:2" x14ac:dyDescent="0.25">
      <c r="A7069">
        <f ca="1">26908.2173212114*((RANDBETWEEN(2979,3282)))</f>
        <v>85783396.820021853</v>
      </c>
      <c r="B7069">
        <v>151143140.87489024</v>
      </c>
    </row>
    <row r="7070" spans="1:2" x14ac:dyDescent="0.25">
      <c r="A7070">
        <f ca="1">27074.0911899067*((RANDBETWEEN(2979,3282)))</f>
        <v>83550645.41205202</v>
      </c>
      <c r="B7070">
        <v>160457505.59861046</v>
      </c>
    </row>
    <row r="7071" spans="1:2" x14ac:dyDescent="0.25">
      <c r="A7071">
        <f ca="1">25874.0021353227*((RANDBETWEEN(2979,3282)))</f>
        <v>82408696.80100286</v>
      </c>
      <c r="B7071">
        <v>170301937.91028756</v>
      </c>
    </row>
    <row r="7072" spans="1:2" x14ac:dyDescent="0.25">
      <c r="A7072">
        <f ca="1">28794.1102144887*((RANDBETWEEN(2979,3282)))</f>
        <v>89463300.436416343</v>
      </c>
      <c r="B7072">
        <v>165077289.44524843</v>
      </c>
    </row>
    <row r="7073" spans="1:2" x14ac:dyDescent="0.25">
      <c r="A7073">
        <f ca="1">29478.3336755959*((RANDBETWEEN(2979,3282)))</f>
        <v>88081261.0226807</v>
      </c>
      <c r="B7073">
        <v>177662975.38406411</v>
      </c>
    </row>
    <row r="7074" spans="1:2" x14ac:dyDescent="0.25">
      <c r="A7074">
        <f ca="1">26158.6765102326*((RANDBETWEEN(2979,3282)))</f>
        <v>82295196.301191673</v>
      </c>
      <c r="B7074">
        <v>164752144.47926635</v>
      </c>
    </row>
    <row r="7075" spans="1:2" x14ac:dyDescent="0.25">
      <c r="A7075">
        <f ca="1">31112.2756155872*((RANDBETWEEN(2979,3282)))</f>
        <v>93243490.019914791</v>
      </c>
      <c r="B7075">
        <v>144432056.38604391</v>
      </c>
    </row>
    <row r="7076" spans="1:2" x14ac:dyDescent="0.25">
      <c r="A7076">
        <f ca="1">29898.6812673927*((RANDBETWEEN(2979,3282)))</f>
        <v>93523075.004404217</v>
      </c>
      <c r="B7076">
        <v>189930223.32347837</v>
      </c>
    </row>
    <row r="7077" spans="1:2" x14ac:dyDescent="0.25">
      <c r="A7077">
        <f ca="1">26385.1988749155*((RANDBETWEEN(2979,3282)))</f>
        <v>85065881.17272754</v>
      </c>
      <c r="B7077">
        <v>157634470.47138691</v>
      </c>
    </row>
    <row r="7078" spans="1:2" x14ac:dyDescent="0.25">
      <c r="A7078">
        <f ca="1">25870.3478782032*((RANDBETWEEN(2979,3282)))</f>
        <v>78568246.506102979</v>
      </c>
      <c r="B7078">
        <v>187612064.57932118</v>
      </c>
    </row>
    <row r="7079" spans="1:2" x14ac:dyDescent="0.25">
      <c r="A7079">
        <f ca="1">25849.0886088691*((RANDBETWEEN(2979,3282)))</f>
        <v>78710474.814006448</v>
      </c>
      <c r="B7079">
        <v>146429164.17247367</v>
      </c>
    </row>
    <row r="7080" spans="1:2" x14ac:dyDescent="0.25">
      <c r="A7080">
        <f ca="1">29764.8902438231*((RANDBETWEEN(2979,3282)))</f>
        <v>92509278.877802312</v>
      </c>
      <c r="B7080">
        <v>160043003.00251794</v>
      </c>
    </row>
    <row r="7081" spans="1:2" x14ac:dyDescent="0.25">
      <c r="A7081">
        <f ca="1">25639.3557153491*((RANDBETWEEN(2979,3282)))</f>
        <v>81610069.241956115</v>
      </c>
      <c r="B7081">
        <v>147325740.39796674</v>
      </c>
    </row>
    <row r="7082" spans="1:2" x14ac:dyDescent="0.25">
      <c r="A7082">
        <f ca="1">31292.3597707289*((RANDBETWEEN(2979,3282)))</f>
        <v>94753265.385767162</v>
      </c>
      <c r="B7082">
        <v>177925700.1488176</v>
      </c>
    </row>
    <row r="7083" spans="1:2" x14ac:dyDescent="0.25">
      <c r="A7083">
        <f ca="1">30091.733602728*((RANDBETWEEN(2979,3282)))</f>
        <v>94126942.709333315</v>
      </c>
      <c r="B7083">
        <v>162027428.79080927</v>
      </c>
    </row>
    <row r="7084" spans="1:2" x14ac:dyDescent="0.25">
      <c r="A7084">
        <f ca="1">27906.3568521891*((RANDBETWEEN(2979,3282)))</f>
        <v>85784140.963629186</v>
      </c>
      <c r="B7084">
        <v>182249075.00451481</v>
      </c>
    </row>
    <row r="7085" spans="1:2" x14ac:dyDescent="0.25">
      <c r="A7085">
        <f ca="1">29747.975660487*((RANDBETWEEN(2979,3282)))</f>
        <v>91147797.423732221</v>
      </c>
      <c r="B7085">
        <v>149224891.92587474</v>
      </c>
    </row>
    <row r="7086" spans="1:2" x14ac:dyDescent="0.25">
      <c r="A7086">
        <f ca="1">27307.1674852556*((RANDBETWEEN(2979,3282)))</f>
        <v>85935656.07609944</v>
      </c>
      <c r="B7086">
        <v>155557603.1491597</v>
      </c>
    </row>
    <row r="7087" spans="1:2" x14ac:dyDescent="0.25">
      <c r="A7087">
        <f ca="1">26839.402028915*((RANDBETWEEN(2979,3282)))</f>
        <v>87952720.448754534</v>
      </c>
      <c r="B7087">
        <v>156102858.50110209</v>
      </c>
    </row>
    <row r="7088" spans="1:2" x14ac:dyDescent="0.25">
      <c r="A7088">
        <f ca="1">26511.3666015676*((RANDBETWEEN(2979,3282)))</f>
        <v>85101486.791031897</v>
      </c>
      <c r="B7088">
        <v>167046994.16220936</v>
      </c>
    </row>
    <row r="7089" spans="1:2" x14ac:dyDescent="0.25">
      <c r="A7089">
        <f ca="1">27128.3011665181*((RANDBETWEEN(2979,3282)))</f>
        <v>85589790.180364668</v>
      </c>
      <c r="B7089">
        <v>197571205.61183277</v>
      </c>
    </row>
    <row r="7090" spans="1:2" x14ac:dyDescent="0.25">
      <c r="A7090">
        <f ca="1">27956.3151484284*((RANDBETWEEN(2979,3282)))</f>
        <v>86972096.426760748</v>
      </c>
      <c r="B7090">
        <v>166369960.61279804</v>
      </c>
    </row>
    <row r="7091" spans="1:2" x14ac:dyDescent="0.25">
      <c r="A7091">
        <f ca="1">28854.3085511259*((RANDBETWEEN(2979,3282)))</f>
        <v>88611581.560507536</v>
      </c>
      <c r="B7091">
        <v>156889234.39256698</v>
      </c>
    </row>
    <row r="7092" spans="1:2" x14ac:dyDescent="0.25">
      <c r="A7092">
        <f ca="1">26075.6276696802*((RANDBETWEEN(2979,3282)))</f>
        <v>82764042.223565057</v>
      </c>
      <c r="B7092">
        <v>162118390.11229253</v>
      </c>
    </row>
    <row r="7093" spans="1:2" x14ac:dyDescent="0.25">
      <c r="A7093">
        <f ca="1">26338.5208447409*((RANDBETWEEN(2979,3282)))</f>
        <v>78541469.159017444</v>
      </c>
      <c r="B7093">
        <v>181864106.06182295</v>
      </c>
    </row>
    <row r="7094" spans="1:2" x14ac:dyDescent="0.25">
      <c r="A7094">
        <f ca="1">27401.7326542354*((RANDBETWEEN(2979,3282)))</f>
        <v>82588822.219865561</v>
      </c>
      <c r="B7094">
        <v>194949131.97010311</v>
      </c>
    </row>
    <row r="7095" spans="1:2" x14ac:dyDescent="0.25">
      <c r="A7095">
        <f ca="1">26080.0570659417*((RANDBETWEEN(2979,3282)))</f>
        <v>85229626.491497621</v>
      </c>
      <c r="B7095">
        <v>184326371.76757345</v>
      </c>
    </row>
    <row r="7096" spans="1:2" x14ac:dyDescent="0.25">
      <c r="A7096">
        <f ca="1">29046.2443119816*((RANDBETWEEN(2979,3282)))</f>
        <v>88620091.395855799</v>
      </c>
      <c r="B7096">
        <v>201350457.9264949</v>
      </c>
    </row>
    <row r="7097" spans="1:2" x14ac:dyDescent="0.25">
      <c r="A7097">
        <f ca="1">26630.4542595667*((RANDBETWEEN(2979,3282)))</f>
        <v>81222885.491678491</v>
      </c>
      <c r="B7097">
        <v>182793241.64965782</v>
      </c>
    </row>
    <row r="7098" spans="1:2" x14ac:dyDescent="0.25">
      <c r="A7098">
        <f ca="1">29443.9854530842*((RANDBETWEEN(2979,3282)))</f>
        <v>94279641.420775458</v>
      </c>
      <c r="B7098">
        <v>156865752.91097909</v>
      </c>
    </row>
    <row r="7099" spans="1:2" x14ac:dyDescent="0.25">
      <c r="A7099">
        <f ca="1">30082.4994188488*((RANDBETWEEN(2979,3282)))</f>
        <v>91210138.237949505</v>
      </c>
      <c r="B7099">
        <v>163200921.70358187</v>
      </c>
    </row>
    <row r="7100" spans="1:2" x14ac:dyDescent="0.25">
      <c r="A7100">
        <f ca="1">26846.2686858548*((RANDBETWEEN(2979,3282)))</f>
        <v>82176428.447401434</v>
      </c>
      <c r="B7100">
        <v>148599152.53783447</v>
      </c>
    </row>
    <row r="7101" spans="1:2" x14ac:dyDescent="0.25">
      <c r="A7101">
        <f ca="1">27335.0098469668*((RANDBETWEEN(2979,3282)))</f>
        <v>88893452.02233617</v>
      </c>
      <c r="B7101">
        <v>191082438.41781831</v>
      </c>
    </row>
    <row r="7102" spans="1:2" x14ac:dyDescent="0.25">
      <c r="A7102">
        <f ca="1">29018.1033064612*((RANDBETWEEN(2979,3282)))</f>
        <v>86880201.299544707</v>
      </c>
      <c r="B7102">
        <v>170933139.47921613</v>
      </c>
    </row>
    <row r="7103" spans="1:2" x14ac:dyDescent="0.25">
      <c r="A7103">
        <f ca="1">29345.587161662*((RANDBETWEEN(2979,3282)))</f>
        <v>95578577.385533065</v>
      </c>
      <c r="B7103">
        <v>160849580.49154499</v>
      </c>
    </row>
    <row r="7104" spans="1:2" x14ac:dyDescent="0.25">
      <c r="A7104">
        <f ca="1">29750.1805282172*((RANDBETWEEN(2979,3282)))</f>
        <v>96747587.07776244</v>
      </c>
      <c r="B7104">
        <v>199503092.94471842</v>
      </c>
    </row>
    <row r="7105" spans="1:2" x14ac:dyDescent="0.25">
      <c r="A7105">
        <f ca="1">28460.276634433*((RANDBETWEEN(2979,3282)))</f>
        <v>91499789.379702017</v>
      </c>
      <c r="B7105">
        <v>166025084.8827807</v>
      </c>
    </row>
    <row r="7106" spans="1:2" x14ac:dyDescent="0.25">
      <c r="A7106">
        <f ca="1">25929.6428426308*((RANDBETWEEN(2979,3282)))</f>
        <v>81600586.025759012</v>
      </c>
      <c r="B7106">
        <v>153190479.82528204</v>
      </c>
    </row>
    <row r="7107" spans="1:2" x14ac:dyDescent="0.25">
      <c r="A7107">
        <f ca="1">28207.8667387608*((RANDBETWEEN(2979,3282)))</f>
        <v>85215965.417796522</v>
      </c>
      <c r="B7107">
        <v>157925934.58636945</v>
      </c>
    </row>
    <row r="7108" spans="1:2" x14ac:dyDescent="0.25">
      <c r="A7108">
        <f ca="1">32494.7831426918*((RANDBETWEEN(2979,3282)))</f>
        <v>97581833.777503341</v>
      </c>
      <c r="B7108">
        <v>198399223.70867071</v>
      </c>
    </row>
    <row r="7109" spans="1:2" x14ac:dyDescent="0.25">
      <c r="A7109">
        <f ca="1">26992.7278714249*((RANDBETWEEN(2979,3282)))</f>
        <v>86970569.201730967</v>
      </c>
      <c r="B7109">
        <v>150391803.60629207</v>
      </c>
    </row>
    <row r="7110" spans="1:2" x14ac:dyDescent="0.25">
      <c r="A7110">
        <f ca="1">28437.4671671676*((RANDBETWEEN(2979,3282)))</f>
        <v>85710526.041843131</v>
      </c>
      <c r="B7110">
        <v>186180854.28783131</v>
      </c>
    </row>
    <row r="7111" spans="1:2" x14ac:dyDescent="0.25">
      <c r="A7111">
        <f ca="1">32861.7680517766*((RANDBETWEEN(2979,3282)))</f>
        <v>104303251.79633898</v>
      </c>
      <c r="B7111">
        <v>177409895.52017412</v>
      </c>
    </row>
    <row r="7112" spans="1:2" x14ac:dyDescent="0.25">
      <c r="A7112">
        <f ca="1">30390.74694252*((RANDBETWEEN(2979,3282)))</f>
        <v>99499305.489810511</v>
      </c>
      <c r="B7112">
        <v>144099423.35078514</v>
      </c>
    </row>
    <row r="7113" spans="1:2" x14ac:dyDescent="0.25">
      <c r="A7113">
        <f ca="1">34108.277987774*((RANDBETWEEN(2979,3282)))</f>
        <v>103245757.46899204</v>
      </c>
      <c r="B7113">
        <v>176358280.34929445</v>
      </c>
    </row>
    <row r="7114" spans="1:2" x14ac:dyDescent="0.25">
      <c r="A7114">
        <f ca="1">25909.6276977478*((RANDBETWEEN(2979,3282)))</f>
        <v>78972545.222735137</v>
      </c>
      <c r="B7114">
        <v>151018836.5611946</v>
      </c>
    </row>
    <row r="7115" spans="1:2" x14ac:dyDescent="0.25">
      <c r="A7115">
        <f ca="1">28222.7616629002*((RANDBETWEEN(2979,3282)))</f>
        <v>90961960.83952722</v>
      </c>
      <c r="B7115">
        <v>198327014.82858425</v>
      </c>
    </row>
    <row r="7116" spans="1:2" x14ac:dyDescent="0.25">
      <c r="A7116">
        <f ca="1">27235.1719003916*((RANDBETWEEN(2979,3282)))</f>
        <v>88704954.879575521</v>
      </c>
      <c r="B7116">
        <v>183538004.37088105</v>
      </c>
    </row>
    <row r="7117" spans="1:2" x14ac:dyDescent="0.25">
      <c r="A7117">
        <f ca="1">29045.0623724462*((RANDBETWEEN(2979,3282)))</f>
        <v>88616485.298333645</v>
      </c>
      <c r="B7117">
        <v>199923041.22539851</v>
      </c>
    </row>
    <row r="7118" spans="1:2" x14ac:dyDescent="0.25">
      <c r="A7118">
        <f ca="1">31832.7765111438*((RANDBETWEEN(2979,3282)))</f>
        <v>96962637.252944022</v>
      </c>
      <c r="B7118">
        <v>178872853.95780987</v>
      </c>
    </row>
    <row r="7119" spans="1:2" x14ac:dyDescent="0.25">
      <c r="A7119">
        <f ca="1">27928.6772591471*((RANDBETWEEN(2979,3282)))</f>
        <v>83841889.131959707</v>
      </c>
      <c r="B7119">
        <v>193896790.49236989</v>
      </c>
    </row>
    <row r="7120" spans="1:2" x14ac:dyDescent="0.25">
      <c r="A7120">
        <f ca="1">28926.2365757349*((RANDBETWEEN(2979,3282)))</f>
        <v>87270455.748992324</v>
      </c>
      <c r="B7120">
        <v>165247083.47929204</v>
      </c>
    </row>
    <row r="7121" spans="1:2" x14ac:dyDescent="0.25">
      <c r="A7121">
        <f ca="1">25437.2993642889*((RANDBETWEEN(2979,3282)))</f>
        <v>82823846.730124503</v>
      </c>
      <c r="B7121">
        <v>143339999.09793961</v>
      </c>
    </row>
    <row r="7122" spans="1:2" x14ac:dyDescent="0.25">
      <c r="A7122">
        <f ca="1">29148.9780082279*((RANDBETWEEN(2979,3282)))</f>
        <v>87767572.782774091</v>
      </c>
      <c r="B7122">
        <v>182255449.92654783</v>
      </c>
    </row>
    <row r="7123" spans="1:2" x14ac:dyDescent="0.25">
      <c r="A7123">
        <f ca="1">29280.2656079802*((RANDBETWEEN(2979,3282)))</f>
        <v>94780219.77303198</v>
      </c>
      <c r="B7123">
        <v>156870265.81237859</v>
      </c>
    </row>
    <row r="7124" spans="1:2" x14ac:dyDescent="0.25">
      <c r="A7124">
        <f ca="1">31665.6739120137*((RANDBETWEEN(2979,3282)))</f>
        <v>95123684.431689307</v>
      </c>
      <c r="B7124">
        <v>152755352.49873874</v>
      </c>
    </row>
    <row r="7125" spans="1:2" x14ac:dyDescent="0.25">
      <c r="A7125">
        <f ca="1">26928.4537030384*((RANDBETWEEN(2979,3282)))</f>
        <v>86817334.738595814</v>
      </c>
      <c r="B7125">
        <v>184771749.30652347</v>
      </c>
    </row>
    <row r="7126" spans="1:2" x14ac:dyDescent="0.25">
      <c r="A7126">
        <f ca="1">26899.9278346505*((RANDBETWEEN(2979,3282)))</f>
        <v>81318481.844148472</v>
      </c>
      <c r="B7126">
        <v>191755799.0292421</v>
      </c>
    </row>
    <row r="7127" spans="1:2" x14ac:dyDescent="0.25">
      <c r="A7127">
        <f ca="1">26580.0156045474*((RANDBETWEEN(2979,3282)))</f>
        <v>84152329.403997153</v>
      </c>
      <c r="B7127">
        <v>158627657.91092899</v>
      </c>
    </row>
    <row r="7128" spans="1:2" x14ac:dyDescent="0.25">
      <c r="A7128">
        <f ca="1">23843.9241963661*((RANDBETWEEN(2979,3282)))</f>
        <v>77611973.259171754</v>
      </c>
      <c r="B7128">
        <v>149033816.95095843</v>
      </c>
    </row>
    <row r="7129" spans="1:2" x14ac:dyDescent="0.25">
      <c r="A7129">
        <f ca="1">26952.2367056839*((RANDBETWEEN(2979,3282)))</f>
        <v>83363268.130680159</v>
      </c>
      <c r="B7129">
        <v>171978598.93272725</v>
      </c>
    </row>
    <row r="7130" spans="1:2" x14ac:dyDescent="0.25">
      <c r="A7130">
        <f ca="1">32213.3489655619*((RANDBETWEEN(2979,3282)))</f>
        <v>104661170.78911076</v>
      </c>
      <c r="B7130">
        <v>198191310.09130099</v>
      </c>
    </row>
    <row r="7131" spans="1:2" x14ac:dyDescent="0.25">
      <c r="A7131">
        <f ca="1">25272.813466159*((RANDBETWEEN(2979,3282)))</f>
        <v>80771911.837844178</v>
      </c>
      <c r="B7131">
        <v>150315422.1281749</v>
      </c>
    </row>
    <row r="7132" spans="1:2" x14ac:dyDescent="0.25">
      <c r="A7132">
        <f ca="1">26563.5697881034*((RANDBETWEEN(2979,3282)))</f>
        <v>85455004.008328676</v>
      </c>
      <c r="B7132">
        <v>180602218.98046255</v>
      </c>
    </row>
    <row r="7133" spans="1:2" x14ac:dyDescent="0.25">
      <c r="A7133">
        <f ca="1">29849.6285734935*((RANDBETWEEN(2979,3282)))</f>
        <v>95668059.578046724</v>
      </c>
      <c r="B7133">
        <v>193266061.43426794</v>
      </c>
    </row>
    <row r="7134" spans="1:2" x14ac:dyDescent="0.25">
      <c r="A7134">
        <f ca="1">27318.6164098463*((RANDBETWEEN(2979,3282)))</f>
        <v>86080960.307425544</v>
      </c>
      <c r="B7134">
        <v>173767930.76026237</v>
      </c>
    </row>
    <row r="7135" spans="1:2" x14ac:dyDescent="0.25">
      <c r="A7135">
        <f ca="1">25193.7961696016*((RANDBETWEEN(2979,3282)))</f>
        <v>77874023.960238412</v>
      </c>
      <c r="B7135">
        <v>156122010.98060346</v>
      </c>
    </row>
    <row r="7136" spans="1:2" x14ac:dyDescent="0.25">
      <c r="A7136">
        <f ca="1">30176.308357092*((RANDBETWEEN(2979,3282)))</f>
        <v>98435117.860834166</v>
      </c>
      <c r="B7136">
        <v>153544230.90903348</v>
      </c>
    </row>
    <row r="7137" spans="1:2" x14ac:dyDescent="0.25">
      <c r="A7137">
        <f ca="1">31267.3781457036*((RANDBETWEEN(2979,3282)))</f>
        <v>97179011.276846841</v>
      </c>
      <c r="B7137">
        <v>196395948.1153602</v>
      </c>
    </row>
    <row r="7138" spans="1:2" x14ac:dyDescent="0.25">
      <c r="A7138">
        <f ca="1">30079.5664061682*((RANDBETWEEN(2979,3282)))</f>
        <v>95653021.171614915</v>
      </c>
      <c r="B7138">
        <v>187042912.06063014</v>
      </c>
    </row>
    <row r="7139" spans="1:2" x14ac:dyDescent="0.25">
      <c r="A7139">
        <f ca="1">29413.6542059278*((RANDBETWEEN(2979,3282)))</f>
        <v>88417444.543018952</v>
      </c>
      <c r="B7139">
        <v>174639468.29450345</v>
      </c>
    </row>
    <row r="7140" spans="1:2" x14ac:dyDescent="0.25">
      <c r="A7140">
        <f ca="1">29213.7139135931*((RANDBETWEEN(2979,3282)))</f>
        <v>90065879.995607644</v>
      </c>
      <c r="B7140">
        <v>164630364.38370898</v>
      </c>
    </row>
    <row r="7141" spans="1:2" x14ac:dyDescent="0.25">
      <c r="A7141">
        <f ca="1">29348.3692353914*((RANDBETWEEN(2979,3282)))</f>
        <v>88984255.521707013</v>
      </c>
      <c r="B7141">
        <v>189404375.82932442</v>
      </c>
    </row>
    <row r="7142" spans="1:2" x14ac:dyDescent="0.25">
      <c r="A7142">
        <f ca="1">29130.3081519841*((RANDBETWEEN(2979,3282)))</f>
        <v>89604827.875503138</v>
      </c>
      <c r="B7142">
        <v>202268702.38050118</v>
      </c>
    </row>
    <row r="7143" spans="1:2" x14ac:dyDescent="0.25">
      <c r="A7143">
        <f ca="1">26893.4672808293*((RANDBETWEEN(2979,3282)))</f>
        <v>81702353.599159285</v>
      </c>
      <c r="B7143">
        <v>145798140.29962343</v>
      </c>
    </row>
    <row r="7144" spans="1:2" x14ac:dyDescent="0.25">
      <c r="A7144">
        <f ca="1">26910.2353405747*((RANDBETWEEN(2979,3282)))</f>
        <v>80488513.903658926</v>
      </c>
      <c r="B7144">
        <v>158104836.22501093</v>
      </c>
    </row>
    <row r="7145" spans="1:2" x14ac:dyDescent="0.25">
      <c r="A7145">
        <f ca="1">27317.8887930213*((RANDBETWEEN(2979,3282)))</f>
        <v>88591913.355768144</v>
      </c>
      <c r="B7145">
        <v>164465282.45468128</v>
      </c>
    </row>
    <row r="7146" spans="1:2" x14ac:dyDescent="0.25">
      <c r="A7146">
        <f ca="1">28844.8211396922*((RANDBETWEEN(2979,3282)))</f>
        <v>91726531.224221215</v>
      </c>
      <c r="B7146">
        <v>163868161.75386196</v>
      </c>
    </row>
    <row r="7147" spans="1:2" x14ac:dyDescent="0.25">
      <c r="A7147">
        <f ca="1">25882.3247347448*((RANDBETWEEN(2979,3282)))</f>
        <v>83625791.217960447</v>
      </c>
      <c r="B7147">
        <v>145998559.90693918</v>
      </c>
    </row>
    <row r="7148" spans="1:2" x14ac:dyDescent="0.25">
      <c r="A7148">
        <f ca="1">27879.9102450716*((RANDBETWEEN(2979,3282)))</f>
        <v>90581828.386237711</v>
      </c>
      <c r="B7148">
        <v>149826792.00636157</v>
      </c>
    </row>
    <row r="7149" spans="1:2" x14ac:dyDescent="0.25">
      <c r="A7149">
        <f ca="1">27451.9639325301*((RANDBETWEEN(2979,3282)))</f>
        <v>86061906.928481907</v>
      </c>
      <c r="B7149">
        <v>159748259.55222774</v>
      </c>
    </row>
    <row r="7150" spans="1:2" x14ac:dyDescent="0.25">
      <c r="A7150">
        <f ca="1">26441.720870733*((RANDBETWEEN(2979,3282)))</f>
        <v>80990991.027055189</v>
      </c>
      <c r="B7150">
        <v>158735981.08767781</v>
      </c>
    </row>
    <row r="7151" spans="1:2" x14ac:dyDescent="0.25">
      <c r="A7151">
        <f ca="1">26681.0627553639*((RANDBETWEEN(2979,3282)))</f>
        <v>84472244.683482006</v>
      </c>
      <c r="B7151">
        <v>157422363.5585579</v>
      </c>
    </row>
    <row r="7152" spans="1:2" x14ac:dyDescent="0.25">
      <c r="A7152">
        <f ca="1">25960.4240311786*((RANDBETWEEN(2979,3282)))</f>
        <v>85098269.974203497</v>
      </c>
      <c r="B7152">
        <v>170241463.62453899</v>
      </c>
    </row>
    <row r="7153" spans="1:2" x14ac:dyDescent="0.25">
      <c r="A7153">
        <f ca="1">27036.5625803204*((RANDBETWEEN(2979,3282)))</f>
        <v>82488552.432557508</v>
      </c>
      <c r="B7153">
        <v>182603045.99597773</v>
      </c>
    </row>
    <row r="7154" spans="1:2" x14ac:dyDescent="0.25">
      <c r="A7154">
        <f ca="1">30917.3727792809*((RANDBETWEEN(2979,3282)))</f>
        <v>96122111.970784172</v>
      </c>
      <c r="B7154">
        <v>172590734.12446502</v>
      </c>
    </row>
    <row r="7155" spans="1:2" x14ac:dyDescent="0.25">
      <c r="A7155">
        <f ca="1">26496.9112268795*((RANDBETWEEN(2979,3282)))</f>
        <v>79199267.657142833</v>
      </c>
      <c r="B7155">
        <v>171237567.36833847</v>
      </c>
    </row>
    <row r="7156" spans="1:2" x14ac:dyDescent="0.25">
      <c r="A7156">
        <f ca="1">24753.4867024418*((RANDBETWEEN(2979,3282)))</f>
        <v>77131864.564808771</v>
      </c>
      <c r="B7156">
        <v>169640401.32056934</v>
      </c>
    </row>
    <row r="7157" spans="1:2" x14ac:dyDescent="0.25">
      <c r="A7157">
        <f ca="1">31100.8234323832*((RANDBETWEEN(2979,3282)))</f>
        <v>99553735.807058528</v>
      </c>
      <c r="B7157">
        <v>175189062.68836701</v>
      </c>
    </row>
    <row r="7158" spans="1:2" x14ac:dyDescent="0.25">
      <c r="A7158">
        <f ca="1">32902.8898401443*((RANDBETWEEN(2979,3282)))</f>
        <v>98840281.079793349</v>
      </c>
      <c r="B7158">
        <v>202029894.77670845</v>
      </c>
    </row>
    <row r="7159" spans="1:2" x14ac:dyDescent="0.25">
      <c r="A7159">
        <f ca="1">27304.6564871175*((RANDBETWEEN(2979,3282)))</f>
        <v>83852600.071937814</v>
      </c>
      <c r="B7159">
        <v>144664376.42137176</v>
      </c>
    </row>
    <row r="7160" spans="1:2" x14ac:dyDescent="0.25">
      <c r="A7160">
        <f ca="1">29533.6309461157*((RANDBETWEEN(2979,3282)))</f>
        <v>90343377.064167827</v>
      </c>
      <c r="B7160">
        <v>182501105.55720103</v>
      </c>
    </row>
    <row r="7161" spans="1:2" x14ac:dyDescent="0.25">
      <c r="A7161">
        <f ca="1">27042.9187140482*((RANDBETWEEN(2979,3282)))</f>
        <v>84509120.981400669</v>
      </c>
      <c r="B7161">
        <v>150014195.21383387</v>
      </c>
    </row>
    <row r="7162" spans="1:2" x14ac:dyDescent="0.25">
      <c r="A7162">
        <f ca="1">26784.7028933803*((RANDBETWEEN(2979,3282)))</f>
        <v>80273754.571460664</v>
      </c>
      <c r="B7162">
        <v>176582529.04134858</v>
      </c>
    </row>
    <row r="7163" spans="1:2" x14ac:dyDescent="0.25">
      <c r="A7163">
        <f ca="1">27023.0775726954*((RANDBETWEEN(2979,3282)))</f>
        <v>87554771.335532948</v>
      </c>
      <c r="B7163">
        <v>148324616.40336651</v>
      </c>
    </row>
    <row r="7164" spans="1:2" x14ac:dyDescent="0.25">
      <c r="A7164">
        <f ca="1">28684.8394889632*((RANDBETWEEN(2979,3282)))</f>
        <v>94000219.005332366</v>
      </c>
      <c r="B7164">
        <v>156745547.84521294</v>
      </c>
    </row>
    <row r="7165" spans="1:2" x14ac:dyDescent="0.25">
      <c r="A7165">
        <f ca="1">31109.042199502*((RANDBETWEEN(2979,3282)))</f>
        <v>94322615.948889971</v>
      </c>
      <c r="B7165">
        <v>158737184.88045219</v>
      </c>
    </row>
    <row r="7166" spans="1:2" x14ac:dyDescent="0.25">
      <c r="A7166">
        <f ca="1">26895.6067242243*((RANDBETWEEN(2979,3282)))</f>
        <v>81789540.04836604</v>
      </c>
      <c r="B7166">
        <v>158507486.62421539</v>
      </c>
    </row>
    <row r="7167" spans="1:2" x14ac:dyDescent="0.25">
      <c r="A7167">
        <f ca="1">27134.5887814931*((RANDBETWEEN(2979,3282)))</f>
        <v>87291972.110063434</v>
      </c>
      <c r="B7167">
        <v>142905767.36835253</v>
      </c>
    </row>
    <row r="7168" spans="1:2" x14ac:dyDescent="0.25">
      <c r="A7168">
        <f ca="1">26555.5078028356*((RANDBETWEEN(2979,3282)))</f>
        <v>82268963.173184633</v>
      </c>
      <c r="B7168">
        <v>148536923.97237998</v>
      </c>
    </row>
    <row r="7169" spans="1:2" x14ac:dyDescent="0.25">
      <c r="A7169">
        <f ca="1">28178.6891930013*((RANDBETWEEN(2979,3282)))</f>
        <v>91327131.674517348</v>
      </c>
      <c r="B7169">
        <v>170149780.72679868</v>
      </c>
    </row>
    <row r="7170" spans="1:2" x14ac:dyDescent="0.25">
      <c r="A7170">
        <f ca="1">26456.9350134592*((RANDBETWEEN(2979,3282)))</f>
        <v>80587824.050997019</v>
      </c>
      <c r="B7170">
        <v>187671667.36815968</v>
      </c>
    </row>
    <row r="7171" spans="1:2" x14ac:dyDescent="0.25">
      <c r="A7171">
        <f ca="1">34148.4377038304*((RANDBETWEEN(2979,3282)))</f>
        <v>106645570.94906223</v>
      </c>
      <c r="B7171">
        <v>164902235.0984183</v>
      </c>
    </row>
    <row r="7172" spans="1:2" x14ac:dyDescent="0.25">
      <c r="A7172">
        <f ca="1">33356.6173011207*((RANDBETWEEN(2979,3282)))</f>
        <v>103639009.95458208</v>
      </c>
      <c r="B7172">
        <v>180298260.83338499</v>
      </c>
    </row>
    <row r="7173" spans="1:2" x14ac:dyDescent="0.25">
      <c r="A7173">
        <f ca="1">28531.2686544064*((RANDBETWEEN(2979,3282)))</f>
        <v>87505400.963064402</v>
      </c>
      <c r="B7173">
        <v>156055579.19403565</v>
      </c>
    </row>
    <row r="7174" spans="1:2" x14ac:dyDescent="0.25">
      <c r="A7174">
        <f ca="1">28105.1693130779*((RANDBETWEEN(2979,3282)))</f>
        <v>83922035.568850666</v>
      </c>
      <c r="B7174">
        <v>164703588.57820964</v>
      </c>
    </row>
    <row r="7175" spans="1:2" x14ac:dyDescent="0.25">
      <c r="A7175">
        <f ca="1">28142.5896924714*((RANDBETWEEN(2979,3282)))</f>
        <v>86707318.842504442</v>
      </c>
      <c r="B7175">
        <v>187728248.68161544</v>
      </c>
    </row>
    <row r="7176" spans="1:2" x14ac:dyDescent="0.25">
      <c r="A7176">
        <f ca="1">29220.5774999975*((RANDBETWEEN(2979,3282)))</f>
        <v>89414967.149992287</v>
      </c>
      <c r="B7176">
        <v>173540824.74733138</v>
      </c>
    </row>
    <row r="7177" spans="1:2" x14ac:dyDescent="0.25">
      <c r="A7177">
        <f ca="1">28103.9866370032*((RANDBETWEEN(2979,3282)))</f>
        <v>89426885.478944317</v>
      </c>
      <c r="B7177">
        <v>151046682.46890068</v>
      </c>
    </row>
    <row r="7178" spans="1:2" x14ac:dyDescent="0.25">
      <c r="A7178">
        <f ca="1">33590.7673796831*((RANDBETWEEN(2979,3282)))</f>
        <v>109808218.56418397</v>
      </c>
      <c r="B7178">
        <v>146581310.04123694</v>
      </c>
    </row>
    <row r="7179" spans="1:2" x14ac:dyDescent="0.25">
      <c r="A7179">
        <f ca="1">27142.5782217584*((RANDBETWEEN(2979,3282)))</f>
        <v>82947719.045693532</v>
      </c>
      <c r="B7179">
        <v>173829660.11886659</v>
      </c>
    </row>
    <row r="7180" spans="1:2" x14ac:dyDescent="0.25">
      <c r="A7180">
        <f ca="1">27277.6391466908*((RANDBETWEEN(2979,3282)))</f>
        <v>87370278.186850637</v>
      </c>
      <c r="B7180">
        <v>183482775.8114838</v>
      </c>
    </row>
    <row r="7181" spans="1:2" x14ac:dyDescent="0.25">
      <c r="A7181">
        <f ca="1">26935.7646934648*((RANDBETWEEN(2979,3282)))</f>
        <v>84120393.13769044</v>
      </c>
      <c r="B7181">
        <v>143070286.43689191</v>
      </c>
    </row>
    <row r="7182" spans="1:2" x14ac:dyDescent="0.25">
      <c r="A7182">
        <f ca="1">29446.626731712*((RANDBETWEEN(2979,3282)))</f>
        <v>95554303.744405329</v>
      </c>
      <c r="B7182">
        <v>200200538.7362304</v>
      </c>
    </row>
    <row r="7183" spans="1:2" x14ac:dyDescent="0.25">
      <c r="A7183">
        <f ca="1">30289.1365317201*((RANDBETWEEN(2979,3282)))</f>
        <v>95319912.665323302</v>
      </c>
      <c r="B7183">
        <v>199808339.85734835</v>
      </c>
    </row>
    <row r="7184" spans="1:2" x14ac:dyDescent="0.25">
      <c r="A7184">
        <f ca="1">29067.3326238961*((RANDBETWEEN(2979,3282)))</f>
        <v>90079663.801454127</v>
      </c>
      <c r="B7184">
        <v>155582640.13986555</v>
      </c>
    </row>
    <row r="7185" spans="1:2" x14ac:dyDescent="0.25">
      <c r="A7185">
        <f ca="1">31739.1478450149*((RANDBETWEEN(2979,3282)))</f>
        <v>101025707.5906824</v>
      </c>
      <c r="B7185">
        <v>172566804.53814459</v>
      </c>
    </row>
    <row r="7186" spans="1:2" x14ac:dyDescent="0.25">
      <c r="A7186">
        <f ca="1">27592.7352247122*((RANDBETWEEN(2979,3282)))</f>
        <v>89621204.009865224</v>
      </c>
      <c r="B7186">
        <v>154080438.56772086</v>
      </c>
    </row>
    <row r="7187" spans="1:2" x14ac:dyDescent="0.25">
      <c r="A7187">
        <f ca="1">27250.6759974597*((RANDBETWEEN(2979,3282)))</f>
        <v>81670275.964386642</v>
      </c>
      <c r="B7187">
        <v>178571253.02161801</v>
      </c>
    </row>
    <row r="7188" spans="1:2" x14ac:dyDescent="0.25">
      <c r="A7188">
        <f ca="1">29328.705125224*((RANDBETWEEN(2979,3282)))</f>
        <v>94291786.977595106</v>
      </c>
      <c r="B7188">
        <v>159795871.9008286</v>
      </c>
    </row>
    <row r="7189" spans="1:2" x14ac:dyDescent="0.25">
      <c r="A7189">
        <f ca="1">28808.5784203077*((RANDBETWEEN(2979,3282)))</f>
        <v>93915965.650203183</v>
      </c>
      <c r="B7189">
        <v>196919896.13070846</v>
      </c>
    </row>
    <row r="7190" spans="1:2" x14ac:dyDescent="0.25">
      <c r="A7190">
        <f ca="1">28456.9736339536*((RANDBETWEEN(2979,3282)))</f>
        <v>85114808.139155075</v>
      </c>
      <c r="B7190">
        <v>163563109.57592651</v>
      </c>
    </row>
    <row r="7191" spans="1:2" x14ac:dyDescent="0.25">
      <c r="A7191">
        <f ca="1">26596.943958425*((RANDBETWEEN(2979,3282)))</f>
        <v>81147276.017154664</v>
      </c>
      <c r="B7191">
        <v>167024495.28618497</v>
      </c>
    </row>
    <row r="7192" spans="1:2" x14ac:dyDescent="0.25">
      <c r="A7192">
        <f ca="1">27540.1735741864*((RANDBETWEEN(2979,3282)))</f>
        <v>83887368.706971869</v>
      </c>
      <c r="B7192">
        <v>180904088.42000687</v>
      </c>
    </row>
    <row r="7193" spans="1:2" x14ac:dyDescent="0.25">
      <c r="A7193">
        <f ca="1">28394.9249721683*((RANDBETWEEN(2979,3282)))</f>
        <v>91090919.310715914</v>
      </c>
      <c r="B7193">
        <v>181589927.21472803</v>
      </c>
    </row>
    <row r="7194" spans="1:2" x14ac:dyDescent="0.25">
      <c r="A7194">
        <f ca="1">28044.3705624898*((RANDBETWEEN(2979,3282)))</f>
        <v>88283678.530717865</v>
      </c>
      <c r="B7194">
        <v>170391311.64028156</v>
      </c>
    </row>
    <row r="7195" spans="1:2" x14ac:dyDescent="0.25">
      <c r="A7195">
        <f ca="1">26226.9911964399*((RANDBETWEEN(2979,3282)))</f>
        <v>78313795.712569579</v>
      </c>
      <c r="B7195">
        <v>157378394.30846128</v>
      </c>
    </row>
    <row r="7196" spans="1:2" x14ac:dyDescent="0.25">
      <c r="A7196">
        <f ca="1">27384.4030660678*((RANDBETWEEN(2979,3282)))</f>
        <v>85548875.178395897</v>
      </c>
      <c r="B7196">
        <v>145896110.9779231</v>
      </c>
    </row>
    <row r="7197" spans="1:2" x14ac:dyDescent="0.25">
      <c r="A7197">
        <f ca="1">31161.2366379012*((RANDBETWEEN(2979,3282)))</f>
        <v>101741437.62274756</v>
      </c>
      <c r="B7197">
        <v>151832008.05853209</v>
      </c>
    </row>
    <row r="7198" spans="1:2" x14ac:dyDescent="0.25">
      <c r="A7198">
        <f ca="1">29428.9679139472*((RANDBETWEEN(2979,3282)))</f>
        <v>92583533.057277858</v>
      </c>
      <c r="B7198">
        <v>162628899.16305852</v>
      </c>
    </row>
    <row r="7199" spans="1:2" x14ac:dyDescent="0.25">
      <c r="A7199">
        <f ca="1">31067.2627340421*((RANDBETWEEN(2979,3282)))</f>
        <v>99943384.215413436</v>
      </c>
      <c r="B7199">
        <v>176812321.94080305</v>
      </c>
    </row>
    <row r="7200" spans="1:2" x14ac:dyDescent="0.25">
      <c r="A7200">
        <f ca="1">26674.9196868996*((RANDBETWEEN(2979,3282)))</f>
        <v>79517935.58664766</v>
      </c>
      <c r="B7200">
        <v>170920045.63749987</v>
      </c>
    </row>
    <row r="7201" spans="1:2" x14ac:dyDescent="0.25">
      <c r="A7201">
        <f ca="1">27783.6347872893*((RANDBETWEEN(2979,3282)))</f>
        <v>84323331.579423115</v>
      </c>
      <c r="B7201">
        <v>144339620.21246937</v>
      </c>
    </row>
    <row r="7202" spans="1:2" x14ac:dyDescent="0.25">
      <c r="A7202">
        <f ca="1">26217.009827154*((RANDBETWEEN(2979,3282)))</f>
        <v>85808273.164274991</v>
      </c>
      <c r="B7202">
        <v>148543155.98894674</v>
      </c>
    </row>
    <row r="7203" spans="1:2" x14ac:dyDescent="0.25">
      <c r="A7203">
        <f ca="1">27229.4823391474*((RANDBETWEEN(2979,3282)))</f>
        <v>89258243.107725129</v>
      </c>
      <c r="B7203">
        <v>160882980.5790666</v>
      </c>
    </row>
    <row r="7204" spans="1:2" x14ac:dyDescent="0.25">
      <c r="A7204">
        <f ca="1">27735.4660164888*((RANDBETWEEN(2979,3282)))</f>
        <v>90029322.689522803</v>
      </c>
      <c r="B7204">
        <v>171146780.68134141</v>
      </c>
    </row>
    <row r="7205" spans="1:2" x14ac:dyDescent="0.25">
      <c r="A7205">
        <f ca="1">29011.2764528904*((RANDBETWEEN(2979,3282)))</f>
        <v>94721817.618687034</v>
      </c>
      <c r="B7205">
        <v>179181414.895621</v>
      </c>
    </row>
    <row r="7206" spans="1:2" x14ac:dyDescent="0.25">
      <c r="A7206">
        <f ca="1">27191.6247550803*((RANDBETWEEN(2979,3282)))</f>
        <v>82635347.63068901</v>
      </c>
      <c r="B7206">
        <v>198503637.47405845</v>
      </c>
    </row>
    <row r="7207" spans="1:2" x14ac:dyDescent="0.25">
      <c r="A7207">
        <f ca="1">28934.4317722778*((RANDBETWEEN(2979,3282)))</f>
        <v>91548542.127486914</v>
      </c>
      <c r="B7207">
        <v>199392056.09383935</v>
      </c>
    </row>
    <row r="7208" spans="1:2" x14ac:dyDescent="0.25">
      <c r="A7208">
        <f ca="1">27001.8637937935*((RANDBETWEEN(2979,3282)))</f>
        <v>87918068.512591645</v>
      </c>
      <c r="B7208">
        <v>155497337.63097993</v>
      </c>
    </row>
    <row r="7209" spans="1:2" x14ac:dyDescent="0.25">
      <c r="A7209">
        <f ca="1">26133.2724511912*((RANDBETWEEN(2979,3282)))</f>
        <v>78295284.263768777</v>
      </c>
      <c r="B7209">
        <v>193280979.76494172</v>
      </c>
    </row>
    <row r="7210" spans="1:2" x14ac:dyDescent="0.25">
      <c r="A7210">
        <f ca="1">27638.0005008993*((RANDBETWEEN(2979,3282)))</f>
        <v>87363719.583342537</v>
      </c>
      <c r="B7210">
        <v>171066696.07415283</v>
      </c>
    </row>
    <row r="7211" spans="1:2" x14ac:dyDescent="0.25">
      <c r="A7211">
        <f ca="1">27915.3182188638*((RANDBETWEEN(2979,3282)))</f>
        <v>86035010.750538111</v>
      </c>
      <c r="B7211">
        <v>157422468.63642061</v>
      </c>
    </row>
    <row r="7212" spans="1:2" x14ac:dyDescent="0.25">
      <c r="A7212">
        <f ca="1">30484.5332627694*((RANDBETWEEN(2979,3282)))</f>
        <v>98129712.572854638</v>
      </c>
      <c r="B7212">
        <v>168584675.47720367</v>
      </c>
    </row>
    <row r="7213" spans="1:2" x14ac:dyDescent="0.25">
      <c r="A7213">
        <f ca="1">28389.2589171725*((RANDBETWEEN(2979,3282)))</f>
        <v>89170662.258838728</v>
      </c>
      <c r="B7213">
        <v>165841411.92867649</v>
      </c>
    </row>
    <row r="7214" spans="1:2" x14ac:dyDescent="0.25">
      <c r="A7214">
        <f ca="1">30555.8197441152*((RANDBETWEEN(2979,3282)))</f>
        <v>99459193.267094821</v>
      </c>
      <c r="B7214">
        <v>198299370.74313939</v>
      </c>
    </row>
    <row r="7215" spans="1:2" x14ac:dyDescent="0.25">
      <c r="A7215">
        <f ca="1">28457.0576220106*((RANDBETWEEN(2979,3282)))</f>
        <v>85428086.981275961</v>
      </c>
      <c r="B7215">
        <v>160785587.91759619</v>
      </c>
    </row>
    <row r="7216" spans="1:2" x14ac:dyDescent="0.25">
      <c r="A7216">
        <f ca="1">27711.0851815471*((RANDBETWEEN(2979,3282)))</f>
        <v>90920070.480656013</v>
      </c>
      <c r="B7216">
        <v>159081277.85222185</v>
      </c>
    </row>
    <row r="7217" spans="1:2" x14ac:dyDescent="0.25">
      <c r="A7217">
        <f ca="1">26580.7860702075*((RANDBETWEEN(2979,3282)))</f>
        <v>86972332.021718934</v>
      </c>
      <c r="B7217">
        <v>158696620.97296619</v>
      </c>
    </row>
    <row r="7218" spans="1:2" x14ac:dyDescent="0.25">
      <c r="A7218">
        <f ca="1">28420.0022407498*((RANDBETWEEN(2979,3282)))</f>
        <v>85572626.746897534</v>
      </c>
      <c r="B7218">
        <v>181117047.47708914</v>
      </c>
    </row>
    <row r="7219" spans="1:2" x14ac:dyDescent="0.25">
      <c r="A7219">
        <f ca="1">27382.9738287351*((RANDBETWEEN(2979,3282)))</f>
        <v>87762431.121096</v>
      </c>
      <c r="B7219">
        <v>164595614.97739196</v>
      </c>
    </row>
    <row r="7220" spans="1:2" x14ac:dyDescent="0.25">
      <c r="A7220">
        <f ca="1">28536.4438450918*((RANDBETWEEN(2979,3282)))</f>
        <v>93200025.598069862</v>
      </c>
      <c r="B7220">
        <v>155529219.01873317</v>
      </c>
    </row>
    <row r="7221" spans="1:2" x14ac:dyDescent="0.25">
      <c r="A7221">
        <f ca="1">27342.168831632*((RANDBETWEEN(2979,3282)))</f>
        <v>88069125.806686744</v>
      </c>
      <c r="B7221">
        <v>179766317.44320965</v>
      </c>
    </row>
    <row r="7222" spans="1:2" x14ac:dyDescent="0.25">
      <c r="A7222">
        <f ca="1">27655.9725929575*((RANDBETWEEN(2979,3282)))</f>
        <v>87309905.47596693</v>
      </c>
      <c r="B7222">
        <v>151559420.37134728</v>
      </c>
    </row>
    <row r="7223" spans="1:2" x14ac:dyDescent="0.25">
      <c r="A7223">
        <f ca="1">27286.1967384824*((RANDBETWEEN(2979,3282)))</f>
        <v>87097539.989235744</v>
      </c>
      <c r="B7223">
        <v>195986395.2848008</v>
      </c>
    </row>
    <row r="7224" spans="1:2" x14ac:dyDescent="0.25">
      <c r="A7224">
        <f ca="1">26511.8591148317*((RANDBETWEEN(2979,3282)))</f>
        <v>83273749.479686305</v>
      </c>
      <c r="B7224">
        <v>153904058.27981982</v>
      </c>
    </row>
    <row r="7225" spans="1:2" x14ac:dyDescent="0.25">
      <c r="A7225">
        <f ca="1">30371.4211143864*((RANDBETWEEN(2979,3282)))</f>
        <v>94303262.560169786</v>
      </c>
      <c r="B7225">
        <v>176915584.73282525</v>
      </c>
    </row>
    <row r="7226" spans="1:2" x14ac:dyDescent="0.25">
      <c r="A7226">
        <f ca="1">31290.6635811081*((RANDBETWEEN(2979,3282)))</f>
        <v>96156209.184745193</v>
      </c>
      <c r="B7226">
        <v>202303806.60532522</v>
      </c>
    </row>
    <row r="7227" spans="1:2" x14ac:dyDescent="0.25">
      <c r="A7227">
        <f ca="1">26832.3383646328*((RANDBETWEEN(2979,3282)))</f>
        <v>82885093.208350599</v>
      </c>
      <c r="B7227">
        <v>145595552.71414533</v>
      </c>
    </row>
    <row r="7228" spans="1:2" x14ac:dyDescent="0.25">
      <c r="A7228">
        <f ca="1">27825.9287597025*((RANDBETWEEN(2979,3282)))</f>
        <v>86093423.582519561</v>
      </c>
      <c r="B7228">
        <v>166671597.06825241</v>
      </c>
    </row>
    <row r="7229" spans="1:2" x14ac:dyDescent="0.25">
      <c r="A7229">
        <f ca="1">30902.7734731209*((RANDBETWEEN(2979,3282)))</f>
        <v>101113874.80405167</v>
      </c>
      <c r="B7229">
        <v>191503590.87921894</v>
      </c>
    </row>
    <row r="7230" spans="1:2" x14ac:dyDescent="0.25">
      <c r="A7230">
        <f ca="1">30670.7099967356*((RANDBETWEEN(2979,3282)))</f>
        <v>99311758.969429716</v>
      </c>
      <c r="B7230">
        <v>162555718.23057047</v>
      </c>
    </row>
    <row r="7231" spans="1:2" x14ac:dyDescent="0.25">
      <c r="A7231">
        <f ca="1">30985.9537318864*((RANDBETWEEN(2979,3282)))</f>
        <v>100890265.35102215</v>
      </c>
      <c r="B7231">
        <v>202623238.53014243</v>
      </c>
    </row>
    <row r="7232" spans="1:2" x14ac:dyDescent="0.25">
      <c r="A7232">
        <f ca="1">27667.3653785454*((RANDBETWEEN(2979,3282)))</f>
        <v>86322179.981061578</v>
      </c>
      <c r="B7232">
        <v>150060534.30978161</v>
      </c>
    </row>
    <row r="7233" spans="1:2" x14ac:dyDescent="0.25">
      <c r="A7233">
        <f ca="1">27319.8463994317*((RANDBETWEEN(2979,3282)))</f>
        <v>88652901.566155836</v>
      </c>
      <c r="B7233">
        <v>194455953.72208172</v>
      </c>
    </row>
    <row r="7234" spans="1:2" x14ac:dyDescent="0.25">
      <c r="A7234">
        <f ca="1">30181.2444054911*((RANDBETWEEN(2979,3282)))</f>
        <v>98843575.427983299</v>
      </c>
      <c r="B7234">
        <v>197847807.5943397</v>
      </c>
    </row>
    <row r="7235" spans="1:2" x14ac:dyDescent="0.25">
      <c r="A7235">
        <f ca="1">27301.7919166679*((RANDBETWEEN(2979,3282)))</f>
        <v>87911769.971670493</v>
      </c>
      <c r="B7235">
        <v>164890405.87017992</v>
      </c>
    </row>
    <row r="7236" spans="1:2" x14ac:dyDescent="0.25">
      <c r="A7236">
        <f ca="1">25212.2731229245*((RANDBETWEEN(2979,3282)))</f>
        <v>75914154.373125806</v>
      </c>
      <c r="B7236">
        <v>164508718.78337246</v>
      </c>
    </row>
    <row r="7237" spans="1:2" x14ac:dyDescent="0.25">
      <c r="A7237">
        <f ca="1">30666.4996036958*((RANDBETWEEN(2979,3282)))</f>
        <v>94974149.272645816</v>
      </c>
      <c r="B7237">
        <v>176228210.01753259</v>
      </c>
    </row>
    <row r="7238" spans="1:2" x14ac:dyDescent="0.25">
      <c r="A7238">
        <f ca="1">27828.6371019734*((RANDBETWEEN(2979,3282)))</f>
        <v>82957167.200982809</v>
      </c>
      <c r="B7238">
        <v>189742130.95932555</v>
      </c>
    </row>
    <row r="7239" spans="1:2" x14ac:dyDescent="0.25">
      <c r="A7239">
        <f ca="1">26638.9298051989*((RANDBETWEEN(2979,3282)))</f>
        <v>82740515.97494781</v>
      </c>
      <c r="B7239">
        <v>145839234.97097373</v>
      </c>
    </row>
    <row r="7240" spans="1:2" x14ac:dyDescent="0.25">
      <c r="A7240">
        <f ca="1">26451.6067764433*((RANDBETWEEN(2979,3282)))</f>
        <v>82846432.423820481</v>
      </c>
      <c r="B7240">
        <v>164344112.54280022</v>
      </c>
    </row>
    <row r="7241" spans="1:2" x14ac:dyDescent="0.25">
      <c r="A7241">
        <f ca="1">27803.9434622356*((RANDBETWEEN(2979,3282)))</f>
        <v>88499952.040295929</v>
      </c>
      <c r="B7241">
        <v>190433615.18142864</v>
      </c>
    </row>
    <row r="7242" spans="1:2" x14ac:dyDescent="0.25">
      <c r="A7242">
        <f ca="1">30710.6857208411*((RANDBETWEEN(2979,3282)))</f>
        <v>92101346.476802364</v>
      </c>
      <c r="B7242">
        <v>189584021.94635516</v>
      </c>
    </row>
    <row r="7243" spans="1:2" x14ac:dyDescent="0.25">
      <c r="A7243">
        <f ca="1">28752.9345873314*((RANDBETWEEN(2979,3282)))</f>
        <v>86517580.173280269</v>
      </c>
      <c r="B7243">
        <v>144429648.46882358</v>
      </c>
    </row>
    <row r="7244" spans="1:2" x14ac:dyDescent="0.25">
      <c r="A7244">
        <f ca="1">26926.543881139*((RANDBETWEEN(2979,3282)))</f>
        <v>81075823.626109436</v>
      </c>
      <c r="B7244">
        <v>161982971.19473371</v>
      </c>
    </row>
    <row r="7245" spans="1:2" x14ac:dyDescent="0.25">
      <c r="A7245">
        <f ca="1">28688.0805422678*((RANDBETWEEN(2979,3282)))</f>
        <v>91027279.560615689</v>
      </c>
      <c r="B7245">
        <v>185440878.6742329</v>
      </c>
    </row>
    <row r="7246" spans="1:2" x14ac:dyDescent="0.25">
      <c r="A7246">
        <f ca="1">28264.6366694343*((RANDBETWEEN(2979,3282)))</f>
        <v>86687640.665154874</v>
      </c>
      <c r="B7246">
        <v>164216178.1867564</v>
      </c>
    </row>
    <row r="7247" spans="1:2" x14ac:dyDescent="0.25">
      <c r="A7247">
        <f ca="1">29321.0574745111*((RANDBETWEEN(2979,3282)))</f>
        <v>88461630.400600106</v>
      </c>
      <c r="B7247">
        <v>183599532.90047529</v>
      </c>
    </row>
    <row r="7248" spans="1:2" x14ac:dyDescent="0.25">
      <c r="A7248">
        <f ca="1">29435.4911527855*((RANDBETWEEN(2979,3282)))</f>
        <v>89925425.471759751</v>
      </c>
      <c r="B7248">
        <v>189181397.10798424</v>
      </c>
    </row>
    <row r="7249" spans="1:2" x14ac:dyDescent="0.25">
      <c r="A7249">
        <f ca="1">26400.9689688303*((RANDBETWEEN(2979,3282)))</f>
        <v>79440515.627210289</v>
      </c>
      <c r="B7249">
        <v>162771614.54301375</v>
      </c>
    </row>
    <row r="7250" spans="1:2" x14ac:dyDescent="0.25">
      <c r="A7250">
        <f ca="1">25711.4621727312*((RANDBETWEEN(2979,3282)))</f>
        <v>76645868.736911625</v>
      </c>
      <c r="B7250">
        <v>146486295.74211407</v>
      </c>
    </row>
    <row r="7251" spans="1:2" x14ac:dyDescent="0.25">
      <c r="A7251">
        <f ca="1">29127.4543718584*((RANDBETWEEN(2979,3282)))</f>
        <v>91867991.088841259</v>
      </c>
      <c r="B7251">
        <v>146529845.6238654</v>
      </c>
    </row>
    <row r="7252" spans="1:2" x14ac:dyDescent="0.25">
      <c r="A7252">
        <f ca="1">31837.6582135007*((RANDBETWEEN(2979,3282)))</f>
        <v>104491194.25670931</v>
      </c>
      <c r="B7252">
        <v>200175683.88316512</v>
      </c>
    </row>
    <row r="7253" spans="1:2" x14ac:dyDescent="0.25">
      <c r="A7253">
        <f ca="1">26800.7455943612*((RANDBETWEEN(2979,3282)))</f>
        <v>87075622.436079651</v>
      </c>
      <c r="B7253">
        <v>183595804.30329323</v>
      </c>
    </row>
    <row r="7254" spans="1:2" x14ac:dyDescent="0.25">
      <c r="A7254">
        <f ca="1">25973.1198309269*((RANDBETWEEN(2979,3282)))</f>
        <v>78334929.41007553</v>
      </c>
      <c r="B7254">
        <v>150156458.63110763</v>
      </c>
    </row>
    <row r="7255" spans="1:2" x14ac:dyDescent="0.25">
      <c r="A7255">
        <f ca="1">26987.354939573*((RANDBETWEEN(2979,3282)))</f>
        <v>84146572.701588616</v>
      </c>
      <c r="B7255">
        <v>182920525.75827235</v>
      </c>
    </row>
    <row r="7256" spans="1:2" x14ac:dyDescent="0.25">
      <c r="A7256">
        <f ca="1">30064.7068237748*((RANDBETWEEN(2979,3282)))</f>
        <v>92298649.948988527</v>
      </c>
      <c r="B7256">
        <v>149777011.96995041</v>
      </c>
    </row>
    <row r="7257" spans="1:2" x14ac:dyDescent="0.25">
      <c r="A7257">
        <f ca="1">30673.0094599392*((RANDBETWEEN(2979,3282)))</f>
        <v>98214976.29072547</v>
      </c>
      <c r="B7257">
        <v>178182778.01051202</v>
      </c>
    </row>
    <row r="7258" spans="1:2" x14ac:dyDescent="0.25">
      <c r="A7258">
        <f ca="1">29496.1251287274*((RANDBETWEEN(2979,3282)))</f>
        <v>93945158.534996748</v>
      </c>
      <c r="B7258">
        <v>157280804.1993216</v>
      </c>
    </row>
    <row r="7259" spans="1:2" x14ac:dyDescent="0.25">
      <c r="A7259">
        <f ca="1">27492.8227215422*((RANDBETWEEN(2979,3282)))</f>
        <v>88746831.745138183</v>
      </c>
      <c r="B7259">
        <v>149517416.2382431</v>
      </c>
    </row>
    <row r="7260" spans="1:2" x14ac:dyDescent="0.25">
      <c r="A7260">
        <f ca="1">31247.4647550379*((RANDBETWEEN(2979,3282)))</f>
        <v>100960558.62352757</v>
      </c>
      <c r="B7260">
        <v>191209782.73163086</v>
      </c>
    </row>
    <row r="7261" spans="1:2" x14ac:dyDescent="0.25">
      <c r="A7261">
        <f ca="1">28931.9004934615*((RANDBETWEEN(2979,3282)))</f>
        <v>88763070.71393992</v>
      </c>
      <c r="B7261">
        <v>172188730.44660395</v>
      </c>
    </row>
    <row r="7262" spans="1:2" x14ac:dyDescent="0.25">
      <c r="A7262">
        <f ca="1">29288.8180997181*((RANDBETWEEN(2979,3282)))</f>
        <v>94895770.643086761</v>
      </c>
      <c r="B7262">
        <v>148882120.50604752</v>
      </c>
    </row>
    <row r="7263" spans="1:2" x14ac:dyDescent="0.25">
      <c r="A7263">
        <f ca="1">28003.8787265682*((RANDBETWEEN(2979,3282)))</f>
        <v>87820163.68651779</v>
      </c>
      <c r="B7263">
        <v>169066306.21771803</v>
      </c>
    </row>
    <row r="7264" spans="1:2" x14ac:dyDescent="0.25">
      <c r="A7264">
        <f ca="1">28924.7904745454*((RANDBETWEEN(2979,3282)))</f>
        <v>86542973.099839851</v>
      </c>
      <c r="B7264">
        <v>151659528.44467023</v>
      </c>
    </row>
    <row r="7265" spans="1:2" x14ac:dyDescent="0.25">
      <c r="A7265">
        <f ca="1">28880.4258012587*((RANDBETWEEN(2979,3282)))</f>
        <v>87709853.158422738</v>
      </c>
      <c r="B7265">
        <v>188106614.43143576</v>
      </c>
    </row>
    <row r="7266" spans="1:2" x14ac:dyDescent="0.25">
      <c r="A7266">
        <f ca="1">33568.7136449833*((RANDBETWEEN(2979,3282)))</f>
        <v>102216733.0489741</v>
      </c>
      <c r="B7266">
        <v>176895046.93274498</v>
      </c>
    </row>
    <row r="7267" spans="1:2" x14ac:dyDescent="0.25">
      <c r="A7267">
        <f ca="1">27077.0864142738*((RANDBETWEEN(2979,3282)))</f>
        <v>81474953.020549834</v>
      </c>
      <c r="B7267">
        <v>188159844.30744952</v>
      </c>
    </row>
    <row r="7268" spans="1:2" x14ac:dyDescent="0.25">
      <c r="A7268">
        <f ca="1">30381.2027339027*((RANDBETWEEN(2979,3282)))</f>
        <v>91842375.864587918</v>
      </c>
      <c r="B7268">
        <v>160706235.62290868</v>
      </c>
    </row>
    <row r="7269" spans="1:2" x14ac:dyDescent="0.25">
      <c r="A7269">
        <f ca="1">28465.9723039133*((RANDBETWEEN(2979,3282)))</f>
        <v>87532864.834533453</v>
      </c>
      <c r="B7269">
        <v>155675305.84996182</v>
      </c>
    </row>
    <row r="7270" spans="1:2" x14ac:dyDescent="0.25">
      <c r="A7270">
        <f ca="1">26909.5149714121*((RANDBETWEEN(2979,3282)))</f>
        <v>82773668.052063495</v>
      </c>
      <c r="B7270">
        <v>165222872.56437978</v>
      </c>
    </row>
    <row r="7271" spans="1:2" x14ac:dyDescent="0.25">
      <c r="A7271">
        <f ca="1">26941.0620245069*((RANDBETWEEN(2979,3282)))</f>
        <v>81927769.616525337</v>
      </c>
      <c r="B7271">
        <v>152149594.69493598</v>
      </c>
    </row>
    <row r="7272" spans="1:2" x14ac:dyDescent="0.25">
      <c r="A7272">
        <f ca="1">27058.2642234946*((RANDBETWEEN(2979,3282)))</f>
        <v>83664152.979045153</v>
      </c>
      <c r="B7272">
        <v>180078148.3868874</v>
      </c>
    </row>
    <row r="7273" spans="1:2" x14ac:dyDescent="0.25">
      <c r="A7273">
        <f ca="1">30717.1689068257*((RANDBETWEEN(2979,3282)))</f>
        <v>97680597.123705745</v>
      </c>
      <c r="B7273">
        <v>164942468.27702442</v>
      </c>
    </row>
    <row r="7274" spans="1:2" x14ac:dyDescent="0.25">
      <c r="A7274">
        <f ca="1">27297.0096121072*((RANDBETWEEN(2979,3282)))</f>
        <v>87405024.777967364</v>
      </c>
      <c r="B7274">
        <v>188801545.06631845</v>
      </c>
    </row>
    <row r="7275" spans="1:2" x14ac:dyDescent="0.25">
      <c r="A7275">
        <f ca="1">28503.1987253588*((RANDBETWEEN(2979,3282)))</f>
        <v>87390807.291949958</v>
      </c>
      <c r="B7275">
        <v>189079159.78764215</v>
      </c>
    </row>
    <row r="7276" spans="1:2" x14ac:dyDescent="0.25">
      <c r="A7276">
        <f ca="1">27468.5718403811*((RANDBETWEEN(2979,3282)))</f>
        <v>86223847.006956205</v>
      </c>
      <c r="B7276">
        <v>146456565.24102473</v>
      </c>
    </row>
    <row r="7277" spans="1:2" x14ac:dyDescent="0.25">
      <c r="A7277">
        <f ca="1">28004.1131940178*((RANDBETWEEN(2979,3282)))</f>
        <v>86616722.109097049</v>
      </c>
      <c r="B7277">
        <v>173137493.43759575</v>
      </c>
    </row>
    <row r="7278" spans="1:2" x14ac:dyDescent="0.25">
      <c r="A7278">
        <f ca="1">26623.5367482494*((RANDBETWEEN(2979,3282)))</f>
        <v>80589445.736950874</v>
      </c>
      <c r="B7278">
        <v>187322166.25499228</v>
      </c>
    </row>
    <row r="7279" spans="1:2" x14ac:dyDescent="0.25">
      <c r="A7279">
        <f ca="1">26655.8068403366*((RANDBETWEEN(2979,3282)))</f>
        <v>82153196.681917459</v>
      </c>
      <c r="B7279">
        <v>165826287.17123407</v>
      </c>
    </row>
    <row r="7280" spans="1:2" x14ac:dyDescent="0.25">
      <c r="A7280">
        <f ca="1">26482.9596858517*((RANDBETWEEN(2979,3282)))</f>
        <v>85142715.390013129</v>
      </c>
      <c r="B7280">
        <v>163048357.14437923</v>
      </c>
    </row>
    <row r="7281" spans="1:2" x14ac:dyDescent="0.25">
      <c r="A7281">
        <f ca="1">25072.9260238903*((RANDBETWEEN(2979,3282)))</f>
        <v>82239197.358360082</v>
      </c>
      <c r="B7281">
        <v>154437056.99225849</v>
      </c>
    </row>
    <row r="7282" spans="1:2" x14ac:dyDescent="0.25">
      <c r="A7282">
        <f ca="1">30175.025304776*((RANDBETWEEN(2979,3282)))</f>
        <v>95715180.266749427</v>
      </c>
      <c r="B7282">
        <v>185587110.19377291</v>
      </c>
    </row>
    <row r="7283" spans="1:2" x14ac:dyDescent="0.25">
      <c r="A7283">
        <f ca="1">25676.6241763722*((RANDBETWEEN(2979,3282)))</f>
        <v>79879977.812693864</v>
      </c>
      <c r="B7283">
        <v>150574576.36265361</v>
      </c>
    </row>
    <row r="7284" spans="1:2" x14ac:dyDescent="0.25">
      <c r="A7284">
        <f ca="1">33053.7820204021*((RANDBETWEEN(2979,3282)))</f>
        <v>107325630.22024554</v>
      </c>
      <c r="B7284">
        <v>157561166.10339519</v>
      </c>
    </row>
    <row r="7285" spans="1:2" x14ac:dyDescent="0.25">
      <c r="A7285">
        <f ca="1">26783.009026997*((RANDBETWEEN(2979,3282)))</f>
        <v>83937950.290608525</v>
      </c>
      <c r="B7285">
        <v>166489194.48635909</v>
      </c>
    </row>
    <row r="7286" spans="1:2" x14ac:dyDescent="0.25">
      <c r="A7286">
        <f ca="1">27868.7755872938*((RANDBETWEEN(2979,3282)))</f>
        <v>91158764.946038127</v>
      </c>
      <c r="B7286">
        <v>186041038.30975035</v>
      </c>
    </row>
    <row r="7287" spans="1:2" x14ac:dyDescent="0.25">
      <c r="A7287">
        <f ca="1">28686.4574218711*((RANDBETWEEN(2979,3282)))</f>
        <v>91509799.175768808</v>
      </c>
      <c r="B7287">
        <v>172681004.84798685</v>
      </c>
    </row>
    <row r="7288" spans="1:2" x14ac:dyDescent="0.25">
      <c r="A7288">
        <f ca="1">34365.7281238191*((RANDBETWEEN(2979,3282)))</f>
        <v>104231253.39954321</v>
      </c>
      <c r="B7288">
        <v>176340385.1782566</v>
      </c>
    </row>
    <row r="7289" spans="1:2" x14ac:dyDescent="0.25">
      <c r="A7289">
        <f ca="1">29513.1406215072*((RANDBETWEEN(2979,3282)))</f>
        <v>94146918.582607895</v>
      </c>
      <c r="B7289">
        <v>184207320.77966499</v>
      </c>
    </row>
    <row r="7290" spans="1:2" x14ac:dyDescent="0.25">
      <c r="A7290">
        <f ca="1">27485.5843594036*((RANDBETWEEN(2979,3282)))</f>
        <v>88008841.11881043</v>
      </c>
      <c r="B7290">
        <v>146368330.55919155</v>
      </c>
    </row>
    <row r="7291" spans="1:2" x14ac:dyDescent="0.25">
      <c r="A7291">
        <f ca="1">25976.9371790717*((RANDBETWEEN(2979,3282)))</f>
        <v>78814027.40130353</v>
      </c>
      <c r="B7291">
        <v>159790941.92068124</v>
      </c>
    </row>
    <row r="7292" spans="1:2" x14ac:dyDescent="0.25">
      <c r="A7292">
        <f ca="1">25680.7634873858*((RANDBETWEEN(2979,3282)))</f>
        <v>83025908.354718164</v>
      </c>
      <c r="B7292">
        <v>158248435.05069172</v>
      </c>
    </row>
    <row r="7293" spans="1:2" x14ac:dyDescent="0.25">
      <c r="A7293">
        <f ca="1">25782.4127488842*((RANDBETWEEN(2979,3282)))</f>
        <v>79409831.266563222</v>
      </c>
      <c r="B7293">
        <v>198365023.91040781</v>
      </c>
    </row>
    <row r="7294" spans="1:2" x14ac:dyDescent="0.25">
      <c r="A7294">
        <f ca="1">26321.2967505751*((RANDBETWEEN(2979,3282)))</f>
        <v>86017997.780879378</v>
      </c>
      <c r="B7294">
        <v>144073481.90456352</v>
      </c>
    </row>
    <row r="7295" spans="1:2" x14ac:dyDescent="0.25">
      <c r="A7295">
        <f ca="1">28170.6971785319*((RANDBETWEEN(2979,3282)))</f>
        <v>85019164.084809214</v>
      </c>
      <c r="B7295">
        <v>166891813.00100967</v>
      </c>
    </row>
    <row r="7296" spans="1:2" x14ac:dyDescent="0.25">
      <c r="A7296">
        <f ca="1">26279.0018530964*((RANDBETWEEN(2979,3282)))</f>
        <v>78495378.535198897</v>
      </c>
      <c r="B7296">
        <v>159632238.56542009</v>
      </c>
    </row>
    <row r="7297" spans="1:2" x14ac:dyDescent="0.25">
      <c r="A7297">
        <f ca="1">29996.3194704657*((RANDBETWEEN(2979,3282)))</f>
        <v>97248067.723249689</v>
      </c>
      <c r="B7297">
        <v>203025258.42745394</v>
      </c>
    </row>
    <row r="7298" spans="1:2" x14ac:dyDescent="0.25">
      <c r="A7298">
        <f ca="1">27244.8557843622*((RANDBETWEEN(2979,3282)))</f>
        <v>83832421.248482361</v>
      </c>
      <c r="B7298">
        <v>147190869.06938696</v>
      </c>
    </row>
    <row r="7299" spans="1:2" x14ac:dyDescent="0.25">
      <c r="A7299">
        <f ca="1">27218.3046113431*((RANDBETWEEN(2979,3282)))</f>
        <v>82879737.541539788</v>
      </c>
      <c r="B7299">
        <v>144406840.10560939</v>
      </c>
    </row>
    <row r="7300" spans="1:2" x14ac:dyDescent="0.25">
      <c r="A7300">
        <f ca="1">28727.3874235729*((RANDBETWEEN(2979,3282)))</f>
        <v>89945450.023206592</v>
      </c>
      <c r="B7300">
        <v>157479704.99793825</v>
      </c>
    </row>
    <row r="7301" spans="1:2" x14ac:dyDescent="0.25">
      <c r="A7301">
        <f ca="1">26501.9030641575*((RANDBETWEEN(2979,3282)))</f>
        <v>84196546.034828514</v>
      </c>
      <c r="B7301">
        <v>156449424.06679383</v>
      </c>
    </row>
    <row r="7302" spans="1:2" x14ac:dyDescent="0.25">
      <c r="A7302">
        <f ca="1">27131.2575358247*((RANDBETWEEN(2979,3282)))</f>
        <v>83455748.180196822</v>
      </c>
      <c r="B7302">
        <v>147230193.22202089</v>
      </c>
    </row>
    <row r="7303" spans="1:2" x14ac:dyDescent="0.25">
      <c r="A7303">
        <f ca="1">26752.1436932708*((RANDBETWEEN(2979,3282)))</f>
        <v>86061646.261252269</v>
      </c>
      <c r="B7303">
        <v>149627975.11298227</v>
      </c>
    </row>
    <row r="7304" spans="1:2" x14ac:dyDescent="0.25">
      <c r="A7304">
        <f ca="1">27666.4843241022*((RANDBETWEEN(2979,3282)))</f>
        <v>86513096.481467456</v>
      </c>
      <c r="B7304">
        <v>144712259.20482391</v>
      </c>
    </row>
    <row r="7305" spans="1:2" x14ac:dyDescent="0.25">
      <c r="A7305">
        <f ca="1">32051.8895352425*((RANDBETWEEN(2979,3282)))</f>
        <v>101059607.70461962</v>
      </c>
      <c r="B7305">
        <v>169522588.56924635</v>
      </c>
    </row>
    <row r="7306" spans="1:2" x14ac:dyDescent="0.25">
      <c r="A7306">
        <f ca="1">26684.2919501327*((RANDBETWEEN(2979,3282)))</f>
        <v>86937423.173532456</v>
      </c>
      <c r="B7306">
        <v>154371184.0458813</v>
      </c>
    </row>
    <row r="7307" spans="1:2" x14ac:dyDescent="0.25">
      <c r="A7307">
        <f ca="1">30240.5203675344*((RANDBETWEEN(2979,3282)))</f>
        <v>91144928.387748778</v>
      </c>
      <c r="B7307">
        <v>176183374.8793757</v>
      </c>
    </row>
    <row r="7308" spans="1:2" x14ac:dyDescent="0.25">
      <c r="A7308">
        <f ca="1">29583.9387910216*((RANDBETWEEN(2979,3282)))</f>
        <v>91384786.925465569</v>
      </c>
      <c r="B7308">
        <v>143093638.75981933</v>
      </c>
    </row>
    <row r="7309" spans="1:2" x14ac:dyDescent="0.25">
      <c r="A7309">
        <f ca="1">28310.0192456034*((RANDBETWEEN(2979,3282)))</f>
        <v>85354708.025494173</v>
      </c>
      <c r="B7309">
        <v>152848279.72590053</v>
      </c>
    </row>
    <row r="7310" spans="1:2" x14ac:dyDescent="0.25">
      <c r="A7310">
        <f ca="1">31669.3360859581*((RANDBETWEEN(2979,3282)))</f>
        <v>99695069.998596191</v>
      </c>
      <c r="B7310">
        <v>163259212.97183761</v>
      </c>
    </row>
    <row r="7311" spans="1:2" x14ac:dyDescent="0.25">
      <c r="A7311">
        <f ca="1">27643.1511203258*((RANDBETWEEN(2979,3282)))</f>
        <v>85583195.868528575</v>
      </c>
      <c r="B7311">
        <v>193332144.71155214</v>
      </c>
    </row>
    <row r="7312" spans="1:2" x14ac:dyDescent="0.25">
      <c r="A7312">
        <f ca="1">31728.2890239393*((RANDBETWEEN(2979,3282)))</f>
        <v>100229665.02662431</v>
      </c>
      <c r="B7312">
        <v>146655823.15594035</v>
      </c>
    </row>
    <row r="7313" spans="1:2" x14ac:dyDescent="0.25">
      <c r="A7313">
        <f ca="1">31636.4587901425*((RANDBETWEEN(2979,3282)))</f>
        <v>96744290.980255857</v>
      </c>
      <c r="B7313">
        <v>198255584.91459674</v>
      </c>
    </row>
    <row r="7314" spans="1:2" x14ac:dyDescent="0.25">
      <c r="A7314">
        <f ca="1">26785.0863416043*((RANDBETWEEN(2979,3282)))</f>
        <v>80194548.50676325</v>
      </c>
      <c r="B7314">
        <v>158359376.63519233</v>
      </c>
    </row>
    <row r="7315" spans="1:2" x14ac:dyDescent="0.25">
      <c r="A7315">
        <f ca="1">27385.8395664978*((RANDBETWEEN(2979,3282)))</f>
        <v>82595692.132557467</v>
      </c>
      <c r="B7315">
        <v>144795823.89749515</v>
      </c>
    </row>
    <row r="7316" spans="1:2" x14ac:dyDescent="0.25">
      <c r="A7316">
        <f ca="1">27280.2421256373*((RANDBETWEEN(2979,3282)))</f>
        <v>85032514.705611467</v>
      </c>
      <c r="B7316">
        <v>164431479.8514283</v>
      </c>
    </row>
    <row r="7317" spans="1:2" x14ac:dyDescent="0.25">
      <c r="A7317">
        <f ca="1">28674.3426879457*((RANDBETWEEN(2979,3282)))</f>
        <v>93679077.56151855</v>
      </c>
      <c r="B7317">
        <v>164137400.88036507</v>
      </c>
    </row>
    <row r="7318" spans="1:2" x14ac:dyDescent="0.25">
      <c r="A7318">
        <f ca="1">27836.8220375562*((RANDBETWEEN(2979,3282)))</f>
        <v>84790959.926396191</v>
      </c>
      <c r="B7318">
        <v>158047730.91817221</v>
      </c>
    </row>
    <row r="7319" spans="1:2" x14ac:dyDescent="0.25">
      <c r="A7319">
        <f ca="1">31624.7924949887*((RANDBETWEEN(2979,3282)))</f>
        <v>98637727.791869789</v>
      </c>
      <c r="B7319">
        <v>178925691.45092633</v>
      </c>
    </row>
    <row r="7320" spans="1:2" x14ac:dyDescent="0.25">
      <c r="A7320">
        <f ca="1">26783.6114201781*((RANDBETWEEN(2979,3282)))</f>
        <v>80832939.266097397</v>
      </c>
      <c r="B7320">
        <v>197143388.21182325</v>
      </c>
    </row>
    <row r="7321" spans="1:2" x14ac:dyDescent="0.25">
      <c r="A7321">
        <f ca="1">28425.7561592362*((RANDBETWEEN(2979,3282)))</f>
        <v>86556427.504874185</v>
      </c>
      <c r="B7321">
        <v>199626602.90558827</v>
      </c>
    </row>
    <row r="7322" spans="1:2" x14ac:dyDescent="0.25">
      <c r="A7322">
        <f ca="1">30915.3573442907*((RANDBETWEEN(2979,3282)))</f>
        <v>92282341.672707602</v>
      </c>
      <c r="B7322">
        <v>203087849.72194016</v>
      </c>
    </row>
    <row r="7323" spans="1:2" x14ac:dyDescent="0.25">
      <c r="A7323">
        <f ca="1">30976.2542904342*((RANDBETWEEN(2979,3282)))</f>
        <v>96305174.588960037</v>
      </c>
      <c r="B7323">
        <v>161856635.0691129</v>
      </c>
    </row>
    <row r="7324" spans="1:2" x14ac:dyDescent="0.25">
      <c r="A7324">
        <f ca="1">28175.2541536754*((RANDBETWEEN(2979,3282)))</f>
        <v>85483721.102251217</v>
      </c>
      <c r="B7324">
        <v>151144678.41113961</v>
      </c>
    </row>
    <row r="7325" spans="1:2" x14ac:dyDescent="0.25">
      <c r="A7325">
        <f ca="1">27154.4195582709*((RANDBETWEEN(2979,3282)))</f>
        <v>83472685.722124606</v>
      </c>
      <c r="B7325">
        <v>145824973.00515804</v>
      </c>
    </row>
    <row r="7326" spans="1:2" x14ac:dyDescent="0.25">
      <c r="A7326">
        <f ca="1">28102.826476183*((RANDBETWEEN(2979,3282)))</f>
        <v>92092962.362451717</v>
      </c>
      <c r="B7326">
        <v>148689814.14247364</v>
      </c>
    </row>
    <row r="7327" spans="1:2" x14ac:dyDescent="0.25">
      <c r="A7327">
        <f ca="1">30226.7267770306*((RANDBETWEEN(2979,3282)))</f>
        <v>97783461.123694122</v>
      </c>
      <c r="B7327">
        <v>184951054.0267438</v>
      </c>
    </row>
    <row r="7328" spans="1:2" x14ac:dyDescent="0.25">
      <c r="A7328">
        <f ca="1">26660.7052166639*((RANDBETWEEN(2979,3282)))</f>
        <v>85340917.398541152</v>
      </c>
      <c r="B7328">
        <v>158397151.68229795</v>
      </c>
    </row>
    <row r="7329" spans="1:2" x14ac:dyDescent="0.25">
      <c r="A7329">
        <f ca="1">28600.5869902186*((RANDBETWEEN(2979,3282)))</f>
        <v>89634239.627345175</v>
      </c>
      <c r="B7329">
        <v>151387290.17387396</v>
      </c>
    </row>
    <row r="7330" spans="1:2" x14ac:dyDescent="0.25">
      <c r="A7330">
        <f ca="1">28779.6384660936*((RANDBETWEEN(2979,3282)))</f>
        <v>86828169.252204522</v>
      </c>
      <c r="B7330">
        <v>183112551.29389507</v>
      </c>
    </row>
    <row r="7331" spans="1:2" x14ac:dyDescent="0.25">
      <c r="A7331">
        <f ca="1">28665.9937956209*((RANDBETWEEN(2979,3282)))</f>
        <v>93823797.693067163</v>
      </c>
      <c r="B7331">
        <v>173413508.62006998</v>
      </c>
    </row>
    <row r="7332" spans="1:2" x14ac:dyDescent="0.25">
      <c r="A7332">
        <f ca="1">27614.0501713453*((RANDBETWEEN(2979,3282)))</f>
        <v>86376748.935967952</v>
      </c>
      <c r="B7332">
        <v>182431059.33755827</v>
      </c>
    </row>
    <row r="7333" spans="1:2" x14ac:dyDescent="0.25">
      <c r="A7333">
        <f ca="1">32318.7313949714*((RANDBETWEEN(2979,3282)))</f>
        <v>101157629.26626076</v>
      </c>
      <c r="B7333">
        <v>155526901.97959578</v>
      </c>
    </row>
    <row r="7334" spans="1:2" x14ac:dyDescent="0.25">
      <c r="A7334">
        <f ca="1">26075.8860472668*((RANDBETWEEN(2979,3282)))</f>
        <v>85189919.716420725</v>
      </c>
      <c r="B7334">
        <v>156832646.51051414</v>
      </c>
    </row>
    <row r="7335" spans="1:2" x14ac:dyDescent="0.25">
      <c r="A7335">
        <f ca="1">28940.2273062916*((RANDBETWEEN(2979,3282)))</f>
        <v>86212937.145442694</v>
      </c>
      <c r="B7335">
        <v>183016533.39986238</v>
      </c>
    </row>
    <row r="7336" spans="1:2" x14ac:dyDescent="0.25">
      <c r="A7336">
        <f ca="1">31407.8696973617*((RANDBETWEEN(2979,3282)))</f>
        <v>96579199.319387361</v>
      </c>
      <c r="B7336">
        <v>192045003.6840879</v>
      </c>
    </row>
    <row r="7337" spans="1:2" x14ac:dyDescent="0.25">
      <c r="A7337">
        <f ca="1">30243.7580258512*((RANDBETWEEN(2979,3282)))</f>
        <v>94572231.346836835</v>
      </c>
      <c r="B7337">
        <v>172969733.87927511</v>
      </c>
    </row>
    <row r="7338" spans="1:2" x14ac:dyDescent="0.25">
      <c r="A7338">
        <f ca="1">31013.1585997856*((RANDBETWEEN(2979,3282)))</f>
        <v>95148370.584142342</v>
      </c>
      <c r="B7338">
        <v>167614515.31344998</v>
      </c>
    </row>
    <row r="7339" spans="1:2" x14ac:dyDescent="0.25">
      <c r="A7339">
        <f ca="1">27326.8263518804*((RANDBETWEEN(2979,3282)))</f>
        <v>89577336.781464025</v>
      </c>
      <c r="B7339">
        <v>153012208.93561396</v>
      </c>
    </row>
    <row r="7340" spans="1:2" x14ac:dyDescent="0.25">
      <c r="A7340">
        <f ca="1">27508.4069144712*((RANDBETWEEN(2979,3282)))</f>
        <v>84890943.738058165</v>
      </c>
      <c r="B7340">
        <v>146139708.87486044</v>
      </c>
    </row>
    <row r="7341" spans="1:2" x14ac:dyDescent="0.25">
      <c r="A7341">
        <f ca="1">31113.9169460399*((RANDBETWEEN(2979,3282)))</f>
        <v>100342382.15097874</v>
      </c>
      <c r="B7341">
        <v>191039180.04787987</v>
      </c>
    </row>
    <row r="7342" spans="1:2" x14ac:dyDescent="0.25">
      <c r="A7342">
        <f ca="1">29699.7020543235*((RANDBETWEEN(2979,3282)))</f>
        <v>89307004.07735087</v>
      </c>
      <c r="B7342">
        <v>178822307.76256755</v>
      </c>
    </row>
    <row r="7343" spans="1:2" x14ac:dyDescent="0.25">
      <c r="A7343">
        <f ca="1">26252.773588212*((RANDBETWEEN(2979,3282)))</f>
        <v>83772600.519984558</v>
      </c>
      <c r="B7343">
        <v>146379058.38758397</v>
      </c>
    </row>
    <row r="7344" spans="1:2" x14ac:dyDescent="0.25">
      <c r="A7344">
        <f ca="1">27939.5290619316*((RANDBETWEEN(2979,3282)))</f>
        <v>84992047.406395927</v>
      </c>
      <c r="B7344">
        <v>161027943.38517368</v>
      </c>
    </row>
    <row r="7345" spans="1:2" x14ac:dyDescent="0.25">
      <c r="A7345">
        <f ca="1">28495.8225138678*((RANDBETWEEN(2979,3282)))</f>
        <v>87881116.632768169</v>
      </c>
      <c r="B7345">
        <v>176202997.64294949</v>
      </c>
    </row>
    <row r="7346" spans="1:2" x14ac:dyDescent="0.25">
      <c r="A7346">
        <f ca="1">26550.8656707159*((RANDBETWEEN(2979,3282)))</f>
        <v>81219098.086719945</v>
      </c>
      <c r="B7346">
        <v>189357455.559012</v>
      </c>
    </row>
    <row r="7347" spans="1:2" x14ac:dyDescent="0.25">
      <c r="A7347">
        <f ca="1">29871.3086139689*((RANDBETWEEN(2979,3282)))</f>
        <v>94005008.208160043</v>
      </c>
      <c r="B7347">
        <v>179517754.45648259</v>
      </c>
    </row>
    <row r="7348" spans="1:2" x14ac:dyDescent="0.25">
      <c r="A7348">
        <f ca="1">29451.7253404531*((RANDBETWEEN(2979,3282)))</f>
        <v>94127714.188088194</v>
      </c>
      <c r="B7348">
        <v>167895999.09630892</v>
      </c>
    </row>
    <row r="7349" spans="1:2" x14ac:dyDescent="0.25">
      <c r="A7349">
        <f ca="1">26888.5201055646*((RANDBETWEEN(2979,3282)))</f>
        <v>82278871.523027599</v>
      </c>
      <c r="B7349">
        <v>185608562.09550971</v>
      </c>
    </row>
    <row r="7350" spans="1:2" x14ac:dyDescent="0.25">
      <c r="A7350">
        <f ca="1">27111.7071422101*((RANDBETWEEN(2979,3282)))</f>
        <v>81931578.983759016</v>
      </c>
      <c r="B7350">
        <v>190966387.36724031</v>
      </c>
    </row>
    <row r="7351" spans="1:2" x14ac:dyDescent="0.25">
      <c r="A7351">
        <f ca="1">35596.3697393977*((RANDBETWEEN(2979,3282)))</f>
        <v>112520124.7462361</v>
      </c>
      <c r="B7351">
        <v>191462939.10375625</v>
      </c>
    </row>
    <row r="7352" spans="1:2" x14ac:dyDescent="0.25">
      <c r="A7352">
        <f ca="1">27633.057013422*((RANDBETWEEN(2979,3282)))</f>
        <v>87707322.960601568</v>
      </c>
      <c r="B7352">
        <v>169221271.21175694</v>
      </c>
    </row>
    <row r="7353" spans="1:2" x14ac:dyDescent="0.25">
      <c r="A7353">
        <f ca="1">32611.627390442*((RANDBETWEEN(2979,3282)))</f>
        <v>102824461.16206376</v>
      </c>
      <c r="B7353">
        <v>155310422.40224016</v>
      </c>
    </row>
    <row r="7354" spans="1:2" x14ac:dyDescent="0.25">
      <c r="A7354">
        <f ca="1">29024.0417416474*((RANDBETWEEN(2979,3282)))</f>
        <v>89423072.606015757</v>
      </c>
      <c r="B7354">
        <v>163078054.51640373</v>
      </c>
    </row>
    <row r="7355" spans="1:2" x14ac:dyDescent="0.25">
      <c r="A7355">
        <f ca="1">33403.8947860147*((RANDBETWEEN(2979,3282)))</f>
        <v>100478915.51633231</v>
      </c>
      <c r="B7355">
        <v>196227257.5948838</v>
      </c>
    </row>
    <row r="7356" spans="1:2" x14ac:dyDescent="0.25">
      <c r="A7356">
        <f ca="1">25950.2227299404*((RANDBETWEEN(2979,3282)))</f>
        <v>83637567.858597755</v>
      </c>
      <c r="B7356">
        <v>191780889.62254682</v>
      </c>
    </row>
    <row r="7357" spans="1:2" x14ac:dyDescent="0.25">
      <c r="A7357">
        <f ca="1">26022.5407561894*((RANDBETWEEN(2979,3282)))</f>
        <v>80097380.447550818</v>
      </c>
      <c r="B7357">
        <v>147588098.86404964</v>
      </c>
    </row>
    <row r="7358" spans="1:2" x14ac:dyDescent="0.25">
      <c r="A7358">
        <f ca="1">29356.936368849*((RANDBETWEEN(2979,3282)))</f>
        <v>94382550.425849468</v>
      </c>
      <c r="B7358">
        <v>146054930.75635791</v>
      </c>
    </row>
    <row r="7359" spans="1:2" x14ac:dyDescent="0.25">
      <c r="A7359">
        <f ca="1">27342.866859102*((RANDBETWEEN(2979,3282)))</f>
        <v>84352744.26032953</v>
      </c>
      <c r="B7359">
        <v>156622532.29538512</v>
      </c>
    </row>
    <row r="7360" spans="1:2" x14ac:dyDescent="0.25">
      <c r="A7360">
        <f ca="1">27138.3113644655*((RANDBETWEEN(2979,3282)))</f>
        <v>84997191.193505868</v>
      </c>
      <c r="B7360">
        <v>180364027.53532246</v>
      </c>
    </row>
    <row r="7361" spans="1:2" x14ac:dyDescent="0.25">
      <c r="A7361">
        <f ca="1">26454.1004564027*((RANDBETWEEN(2979,3282)))</f>
        <v>80632098.191115409</v>
      </c>
      <c r="B7361">
        <v>180767505.31321102</v>
      </c>
    </row>
    <row r="7362" spans="1:2" x14ac:dyDescent="0.25">
      <c r="A7362">
        <f ca="1">28859.4856298222*((RANDBETWEEN(2979,3282)))</f>
        <v>90359049.506973311</v>
      </c>
      <c r="B7362">
        <v>174929172.78600097</v>
      </c>
    </row>
    <row r="7363" spans="1:2" x14ac:dyDescent="0.25">
      <c r="A7363">
        <f ca="1">31826.646198838*((RANDBETWEEN(2979,3282)))</f>
        <v>102991027.09943976</v>
      </c>
      <c r="B7363">
        <v>198981784.74346462</v>
      </c>
    </row>
    <row r="7364" spans="1:2" x14ac:dyDescent="0.25">
      <c r="A7364">
        <f ca="1">27193.2514371519*((RANDBETWEEN(2979,3282)))</f>
        <v>83592054.917805016</v>
      </c>
      <c r="B7364">
        <v>167867388.24043685</v>
      </c>
    </row>
    <row r="7365" spans="1:2" x14ac:dyDescent="0.25">
      <c r="A7365">
        <f ca="1">28480.8506712728*((RANDBETWEEN(2979,3282)))</f>
        <v>92989977.441705853</v>
      </c>
      <c r="B7365">
        <v>156115081.4742063</v>
      </c>
    </row>
    <row r="7366" spans="1:2" x14ac:dyDescent="0.25">
      <c r="A7366">
        <f ca="1">28944.4232137018*((RANDBETWEEN(2979,3282)))</f>
        <v>86601714.25539583</v>
      </c>
      <c r="B7366">
        <v>191814438.83570334</v>
      </c>
    </row>
    <row r="7367" spans="1:2" x14ac:dyDescent="0.25">
      <c r="A7367">
        <f ca="1">31179.8984349025*((RANDBETWEEN(2979,3282)))</f>
        <v>95909367.585759968</v>
      </c>
      <c r="B7367">
        <v>188163588.58648333</v>
      </c>
    </row>
    <row r="7368" spans="1:2" x14ac:dyDescent="0.25">
      <c r="A7368">
        <f ca="1">28063.9943524824*((RANDBETWEEN(2979,3282)))</f>
        <v>91544749.577797502</v>
      </c>
      <c r="B7368">
        <v>176392059.12852472</v>
      </c>
    </row>
    <row r="7369" spans="1:2" x14ac:dyDescent="0.25">
      <c r="A7369">
        <f ca="1">25587.3160180924*((RANDBETWEEN(2979,3282)))</f>
        <v>80574458.140972987</v>
      </c>
      <c r="B7369">
        <v>167818386.13881204</v>
      </c>
    </row>
    <row r="7370" spans="1:2" x14ac:dyDescent="0.25">
      <c r="A7370">
        <f ca="1">26047.2798584009*((RANDBETWEEN(2979,3282)))</f>
        <v>78610690.612653866</v>
      </c>
      <c r="B7370">
        <v>170856072.94737178</v>
      </c>
    </row>
    <row r="7371" spans="1:2" x14ac:dyDescent="0.25">
      <c r="A7371">
        <f ca="1">29580.7063871426*((RANDBETWEEN(2979,3282)))</f>
        <v>89954928.123300716</v>
      </c>
      <c r="B7371">
        <v>185455945.49560446</v>
      </c>
    </row>
    <row r="7372" spans="1:2" x14ac:dyDescent="0.25">
      <c r="A7372">
        <f ca="1">26583.4476238452*((RANDBETWEEN(2979,3282)))</f>
        <v>83631526.2246169</v>
      </c>
      <c r="B7372">
        <v>175341759.07248631</v>
      </c>
    </row>
    <row r="7373" spans="1:2" x14ac:dyDescent="0.25">
      <c r="A7373">
        <f ca="1">27305.8230612938*((RANDBETWEEN(2979,3282)))</f>
        <v>82736643.875720307</v>
      </c>
      <c r="B7373">
        <v>197440164.22804266</v>
      </c>
    </row>
    <row r="7374" spans="1:2" x14ac:dyDescent="0.25">
      <c r="A7374">
        <f ca="1">28035.8718799987*((RANDBETWEEN(2979,3282)))</f>
        <v>90359615.069235757</v>
      </c>
      <c r="B7374">
        <v>143540538.50354096</v>
      </c>
    </row>
    <row r="7375" spans="1:2" x14ac:dyDescent="0.25">
      <c r="A7375">
        <f ca="1">27898.1216971206*((RANDBETWEEN(2979,3282)))</f>
        <v>85563539.245068967</v>
      </c>
      <c r="B7375">
        <v>156075590.12131393</v>
      </c>
    </row>
    <row r="7376" spans="1:2" x14ac:dyDescent="0.25">
      <c r="A7376">
        <f ca="1">29191.4606016403*((RANDBETWEEN(2979,3282)))</f>
        <v>87807913.489734024</v>
      </c>
      <c r="B7376">
        <v>146955663.16344067</v>
      </c>
    </row>
    <row r="7377" spans="1:2" x14ac:dyDescent="0.25">
      <c r="A7377">
        <f ca="1">27061.934539402*((RANDBETWEEN(2979,3282)))</f>
        <v>81591732.636296928</v>
      </c>
      <c r="B7377">
        <v>163831572.64438713</v>
      </c>
    </row>
    <row r="7378" spans="1:2" x14ac:dyDescent="0.25">
      <c r="A7378">
        <f ca="1">31487.1294493005*((RANDBETWEEN(2979,3282)))</f>
        <v>94083542.794509858</v>
      </c>
      <c r="B7378">
        <v>170868715.48444834</v>
      </c>
    </row>
    <row r="7379" spans="1:2" x14ac:dyDescent="0.25">
      <c r="A7379">
        <f ca="1">27547.0893946564*((RANDBETWEEN(2979,3282)))</f>
        <v>89775964.337185279</v>
      </c>
      <c r="B7379">
        <v>179331111.95713088</v>
      </c>
    </row>
    <row r="7380" spans="1:2" x14ac:dyDescent="0.25">
      <c r="A7380">
        <f ca="1">26925.9754391595*((RANDBETWEEN(2979,3282)))</f>
        <v>84709118.731595725</v>
      </c>
      <c r="B7380">
        <v>151723336.9014895</v>
      </c>
    </row>
    <row r="7381" spans="1:2" x14ac:dyDescent="0.25">
      <c r="A7381">
        <f ca="1">26864.7257191918*((RANDBETWEEN(2979,3282)))</f>
        <v>81158336.397678524</v>
      </c>
      <c r="B7381">
        <v>147662438.68605113</v>
      </c>
    </row>
    <row r="7382" spans="1:2" x14ac:dyDescent="0.25">
      <c r="A7382">
        <f ca="1">30336.4565018839*((RANDBETWEEN(2979,3282)))</f>
        <v>99503577.326179311</v>
      </c>
      <c r="B7382">
        <v>155330872.94672132</v>
      </c>
    </row>
    <row r="7383" spans="1:2" x14ac:dyDescent="0.25">
      <c r="A7383">
        <f ca="1">27538.5214675929*((RANDBETWEEN(2979,3282)))</f>
        <v>88591423.561246201</v>
      </c>
      <c r="B7383">
        <v>149547356.15654016</v>
      </c>
    </row>
    <row r="7384" spans="1:2" x14ac:dyDescent="0.25">
      <c r="A7384">
        <f ca="1">26616.429971804*((RANDBETWEEN(2979,3282)))</f>
        <v>81366426.423804745</v>
      </c>
      <c r="B7384">
        <v>146869895.95350501</v>
      </c>
    </row>
    <row r="7385" spans="1:2" x14ac:dyDescent="0.25">
      <c r="A7385">
        <f ca="1">29816.0037564281*((RANDBETWEEN(2979,3282)))</f>
        <v>89269115.246745616</v>
      </c>
      <c r="B7385">
        <v>163547601.92923456</v>
      </c>
    </row>
    <row r="7386" spans="1:2" x14ac:dyDescent="0.25">
      <c r="A7386">
        <f ca="1">26331.4891856211*((RANDBETWEEN(2979,3282)))</f>
        <v>79731749.254060611</v>
      </c>
      <c r="B7386">
        <v>144352631.03463221</v>
      </c>
    </row>
    <row r="7387" spans="1:2" x14ac:dyDescent="0.25">
      <c r="A7387">
        <f ca="1">30040.4988048325*((RANDBETWEEN(2979,3282)))</f>
        <v>95709029.192196414</v>
      </c>
      <c r="B7387">
        <v>158348002.61010528</v>
      </c>
    </row>
    <row r="7388" spans="1:2" x14ac:dyDescent="0.25">
      <c r="A7388">
        <f ca="1">31753.4208058274*((RANDBETWEEN(2979,3282)))</f>
        <v>100626590.53366698</v>
      </c>
      <c r="B7388">
        <v>169872760.19996792</v>
      </c>
    </row>
    <row r="7389" spans="1:2" x14ac:dyDescent="0.25">
      <c r="A7389">
        <f ca="1">33274.6689249092*((RANDBETWEEN(2979,3282)))</f>
        <v>106478940.55970956</v>
      </c>
      <c r="B7389">
        <v>196403020.10212204</v>
      </c>
    </row>
    <row r="7390" spans="1:2" x14ac:dyDescent="0.25">
      <c r="A7390">
        <f ca="1">27009.7986574703*((RANDBETWEEN(2979,3282)))</f>
        <v>86647434.093164667</v>
      </c>
      <c r="B7390">
        <v>149551735.5282166</v>
      </c>
    </row>
    <row r="7391" spans="1:2" x14ac:dyDescent="0.25">
      <c r="A7391">
        <f ca="1">30543.9569441174*((RANDBETWEEN(2979,3282)))</f>
        <v>95602585.235087574</v>
      </c>
      <c r="B7391">
        <v>156245843.15551364</v>
      </c>
    </row>
    <row r="7392" spans="1:2" x14ac:dyDescent="0.25">
      <c r="A7392">
        <f ca="1">30314.4066912562*((RANDBETWEEN(2979,3282)))</f>
        <v>91973909.901271254</v>
      </c>
      <c r="B7392">
        <v>193266326.10979018</v>
      </c>
    </row>
    <row r="7393" spans="1:2" x14ac:dyDescent="0.25">
      <c r="A7393">
        <f ca="1">27566.3010540963*((RANDBETWEEN(2979,3282)))</f>
        <v>89700743.630029351</v>
      </c>
      <c r="B7393">
        <v>167450709.07076475</v>
      </c>
    </row>
    <row r="7394" spans="1:2" x14ac:dyDescent="0.25">
      <c r="A7394">
        <f ca="1">28327.7616777385*((RANDBETWEEN(2979,3282)))</f>
        <v>91583653.504128426</v>
      </c>
      <c r="B7394">
        <v>157972721.33025774</v>
      </c>
    </row>
    <row r="7395" spans="1:2" x14ac:dyDescent="0.25">
      <c r="A7395">
        <f ca="1">29038.0269487494*((RANDBETWEEN(2979,3282)))</f>
        <v>89727503.271635607</v>
      </c>
      <c r="B7395">
        <v>167946441.1119386</v>
      </c>
    </row>
    <row r="7396" spans="1:2" x14ac:dyDescent="0.25">
      <c r="A7396">
        <f ca="1">28730.7136750046*((RANDBETWEEN(2979,3282)))</f>
        <v>91967014.473689884</v>
      </c>
      <c r="B7396">
        <v>158248395.6696251</v>
      </c>
    </row>
    <row r="7397" spans="1:2" x14ac:dyDescent="0.25">
      <c r="A7397">
        <f ca="1">27266.1245652008*((RANDBETWEEN(2979,3282)))</f>
        <v>85806494.006686866</v>
      </c>
      <c r="B7397">
        <v>154823017.93486798</v>
      </c>
    </row>
    <row r="7398" spans="1:2" x14ac:dyDescent="0.25">
      <c r="A7398">
        <f ca="1">27708.1841167099*((RANDBETWEEN(2979,3282)))</f>
        <v>89913057.458723769</v>
      </c>
      <c r="B7398">
        <v>149693620.51760823</v>
      </c>
    </row>
    <row r="7399" spans="1:2" x14ac:dyDescent="0.25">
      <c r="A7399">
        <f ca="1">30807.9576464073*((RANDBETWEEN(2979,3282)))</f>
        <v>96213251.729730025</v>
      </c>
      <c r="B7399">
        <v>186880338.94930494</v>
      </c>
    </row>
    <row r="7400" spans="1:2" x14ac:dyDescent="0.25">
      <c r="A7400">
        <f ca="1">25018.4600723203*((RANDBETWEEN(2979,3282)))</f>
        <v>79308518.429255381</v>
      </c>
      <c r="B7400">
        <v>159012220.95635912</v>
      </c>
    </row>
    <row r="7401" spans="1:2" x14ac:dyDescent="0.25">
      <c r="A7401">
        <f ca="1">29955.0680056422*((RANDBETWEEN(2979,3282)))</f>
        <v>98192712.922495097</v>
      </c>
      <c r="B7401">
        <v>202364124.82232094</v>
      </c>
    </row>
    <row r="7402" spans="1:2" x14ac:dyDescent="0.25">
      <c r="A7402">
        <f ca="1">24576.9374577592*((RANDBETWEEN(2979,3282)))</f>
        <v>76458852.431088969</v>
      </c>
      <c r="B7402">
        <v>143588599.86661723</v>
      </c>
    </row>
    <row r="7403" spans="1:2" x14ac:dyDescent="0.25">
      <c r="A7403">
        <f ca="1">28629.1179388277*((RANDBETWEEN(2979,3282)))</f>
        <v>93216408.008823022</v>
      </c>
      <c r="B7403">
        <v>179898753.46137461</v>
      </c>
    </row>
    <row r="7404" spans="1:2" x14ac:dyDescent="0.25">
      <c r="A7404">
        <f ca="1">26636.5523874852*((RANDBETWEEN(2979,3282)))</f>
        <v>85583242.820990205</v>
      </c>
      <c r="B7404">
        <v>168192211.75257683</v>
      </c>
    </row>
    <row r="7405" spans="1:2" x14ac:dyDescent="0.25">
      <c r="A7405">
        <f ca="1">26136.5078586152*((RANDBETWEEN(2979,3282)))</f>
        <v>83950463.241872177</v>
      </c>
      <c r="B7405">
        <v>200921809.50819176</v>
      </c>
    </row>
    <row r="7406" spans="1:2" x14ac:dyDescent="0.25">
      <c r="A7406">
        <f ca="1">28825.6723729011*((RANDBETWEEN(2979,3282)))</f>
        <v>92703362.351249799</v>
      </c>
      <c r="B7406">
        <v>172905328.33295357</v>
      </c>
    </row>
    <row r="7407" spans="1:2" x14ac:dyDescent="0.25">
      <c r="A7407">
        <f ca="1">27551.0441019436*((RANDBETWEEN(2979,3282)))</f>
        <v>84003133.466826186</v>
      </c>
      <c r="B7407">
        <v>175570665.39813247</v>
      </c>
    </row>
    <row r="7408" spans="1:2" x14ac:dyDescent="0.25">
      <c r="A7408">
        <f ca="1">28238.7432243496*((RANDBETWEEN(2979,3282)))</f>
        <v>86777657.9284264</v>
      </c>
      <c r="B7408">
        <v>152480899.90553916</v>
      </c>
    </row>
    <row r="7409" spans="1:2" x14ac:dyDescent="0.25">
      <c r="A7409">
        <f ca="1">28876.0513830448*((RANDBETWEEN(2979,3282)))</f>
        <v>88158584.872435629</v>
      </c>
      <c r="B7409">
        <v>144342325.87860331</v>
      </c>
    </row>
    <row r="7410" spans="1:2" x14ac:dyDescent="0.25">
      <c r="A7410">
        <f ca="1">26467.5404198216*((RANDBETWEEN(2979,3282)))</f>
        <v>81070076.305913478</v>
      </c>
      <c r="B7410">
        <v>150223656.0335215</v>
      </c>
    </row>
    <row r="7411" spans="1:2" x14ac:dyDescent="0.25">
      <c r="A7411">
        <f ca="1">28721.3244007374*((RANDBETWEEN(2979,3282)))</f>
        <v>92281615.299569249</v>
      </c>
      <c r="B7411">
        <v>149496076.17596084</v>
      </c>
    </row>
    <row r="7412" spans="1:2" x14ac:dyDescent="0.25">
      <c r="A7412">
        <f ca="1">28449.8410697457*((RANDBETWEEN(2979,3282)))</f>
        <v>85321073.36816749</v>
      </c>
      <c r="B7412">
        <v>193563572.23453444</v>
      </c>
    </row>
    <row r="7413" spans="1:2" x14ac:dyDescent="0.25">
      <c r="A7413">
        <f ca="1">32842.914886595*((RANDBETWEEN(2979,3282)))</f>
        <v>105195856.38176376</v>
      </c>
      <c r="B7413">
        <v>189645343.51251331</v>
      </c>
    </row>
    <row r="7414" spans="1:2" x14ac:dyDescent="0.25">
      <c r="A7414">
        <f ca="1">31835.7409649037*((RANDBETWEEN(2979,3282)))</f>
        <v>97385531.611640319</v>
      </c>
      <c r="B7414">
        <v>157368242.66141459</v>
      </c>
    </row>
    <row r="7415" spans="1:2" x14ac:dyDescent="0.25">
      <c r="A7415">
        <f ca="1">30203.414317374*((RANDBETWEEN(2979,3282)))</f>
        <v>96258281.429470971</v>
      </c>
      <c r="B7415">
        <v>157223971.41277334</v>
      </c>
    </row>
    <row r="7416" spans="1:2" x14ac:dyDescent="0.25">
      <c r="A7416">
        <f ca="1">31184.7962927374*((RANDBETWEEN(2979,3282)))</f>
        <v>94988889.507678151</v>
      </c>
      <c r="B7416">
        <v>165691086.44667923</v>
      </c>
    </row>
    <row r="7417" spans="1:2" x14ac:dyDescent="0.25">
      <c r="A7417">
        <f ca="1">32583.6816869109*((RANDBETWEEN(2979,3282)))</f>
        <v>105114957.12197454</v>
      </c>
      <c r="B7417">
        <v>185314684.75159985</v>
      </c>
    </row>
    <row r="7418" spans="1:2" x14ac:dyDescent="0.25">
      <c r="A7418">
        <f ca="1">26533.2095419753*((RANDBETWEEN(2979,3282)))</f>
        <v>84030674.619435892</v>
      </c>
      <c r="B7418">
        <v>174283855.79998809</v>
      </c>
    </row>
    <row r="7419" spans="1:2" x14ac:dyDescent="0.25">
      <c r="A7419">
        <f ca="1">26663.5991987807*((RANDBETWEEN(2979,3282)))</f>
        <v>81137332.36188975</v>
      </c>
      <c r="B7419">
        <v>157178362.8533861</v>
      </c>
    </row>
    <row r="7420" spans="1:2" x14ac:dyDescent="0.25">
      <c r="A7420">
        <f ca="1">27661.8627077155*((RANDBETWEEN(2979,3282)))</f>
        <v>84175048.219578326</v>
      </c>
      <c r="B7420">
        <v>147841660.06446147</v>
      </c>
    </row>
    <row r="7421" spans="1:2" x14ac:dyDescent="0.25">
      <c r="A7421">
        <f ca="1">28871.252127221*((RANDBETWEEN(2979,3282)))</f>
        <v>86267301.356136367</v>
      </c>
      <c r="B7421">
        <v>163514259.2571339</v>
      </c>
    </row>
    <row r="7422" spans="1:2" x14ac:dyDescent="0.25">
      <c r="A7422">
        <f ca="1">26343.1418171285*((RANDBETWEEN(2979,3282)))</f>
        <v>80899788.520401508</v>
      </c>
      <c r="B7422">
        <v>144235861.77246079</v>
      </c>
    </row>
    <row r="7423" spans="1:2" x14ac:dyDescent="0.25">
      <c r="A7423">
        <f ca="1">31838.6895120945*((RANDBETWEEN(2979,3282)))</f>
        <v>102265870.71284761</v>
      </c>
      <c r="B7423">
        <v>164506595.25356913</v>
      </c>
    </row>
    <row r="7424" spans="1:2" x14ac:dyDescent="0.25">
      <c r="A7424">
        <f ca="1">26795.306086222*((RANDBETWEEN(2979,3282)))</f>
        <v>87272311.922825083</v>
      </c>
      <c r="B7424">
        <v>184143324.56454572</v>
      </c>
    </row>
    <row r="7425" spans="1:2" x14ac:dyDescent="0.25">
      <c r="A7425">
        <f ca="1">26806.6054268396*((RANDBETWEEN(2979,3282)))</f>
        <v>84923325.992227927</v>
      </c>
      <c r="B7425">
        <v>184943819.47917008</v>
      </c>
    </row>
    <row r="7426" spans="1:2" x14ac:dyDescent="0.25">
      <c r="A7426">
        <f ca="1">29140.6786327596*((RANDBETWEEN(2979,3282)))</f>
        <v>93949547.912017018</v>
      </c>
      <c r="B7426">
        <v>187385854.33725396</v>
      </c>
    </row>
    <row r="7427" spans="1:2" x14ac:dyDescent="0.25">
      <c r="A7427">
        <f ca="1">28194.8504798705*((RANDBETWEEN(2979,3282)))</f>
        <v>92507304.424455225</v>
      </c>
      <c r="B7427">
        <v>174093200.06368104</v>
      </c>
    </row>
    <row r="7428" spans="1:2" x14ac:dyDescent="0.25">
      <c r="A7428">
        <f ca="1">32104.124228099*((RANDBETWEEN(2979,3282)))</f>
        <v>104242091.36863753</v>
      </c>
      <c r="B7428">
        <v>170603452.83301568</v>
      </c>
    </row>
    <row r="7429" spans="1:2" x14ac:dyDescent="0.25">
      <c r="A7429">
        <f ca="1">26684.8460118743*((RANDBETWEEN(2979,3282)))</f>
        <v>83203349.86502409</v>
      </c>
      <c r="B7429">
        <v>192813792.67267767</v>
      </c>
    </row>
    <row r="7430" spans="1:2" x14ac:dyDescent="0.25">
      <c r="A7430">
        <f ca="1">27271.9660541478*((RANDBETWEEN(2979,3282)))</f>
        <v>89370232.759442419</v>
      </c>
      <c r="B7430">
        <v>150660874.44544971</v>
      </c>
    </row>
    <row r="7431" spans="1:2" x14ac:dyDescent="0.25">
      <c r="A7431">
        <f ca="1">30973.5512895384*((RANDBETWEEN(2979,3282)))</f>
        <v>98774655.062338084</v>
      </c>
      <c r="B7431">
        <v>202376565.41535106</v>
      </c>
    </row>
    <row r="7432" spans="1:2" x14ac:dyDescent="0.25">
      <c r="A7432">
        <f ca="1">26172.6942131322*((RANDBETWEEN(2979,3282)))</f>
        <v>83333858.374613002</v>
      </c>
      <c r="B7432">
        <v>178305254.01095593</v>
      </c>
    </row>
    <row r="7433" spans="1:2" x14ac:dyDescent="0.25">
      <c r="A7433">
        <f ca="1">30082.9684592201*((RANDBETWEEN(2979,3282)))</f>
        <v>96897241.40714781</v>
      </c>
      <c r="B7433">
        <v>193532272.84988731</v>
      </c>
    </row>
    <row r="7434" spans="1:2" x14ac:dyDescent="0.25">
      <c r="A7434">
        <f ca="1">28814.4823101515*((RANDBETWEEN(2979,3282)))</f>
        <v>86933293.129726946</v>
      </c>
      <c r="B7434">
        <v>172985455.27468526</v>
      </c>
    </row>
    <row r="7435" spans="1:2" x14ac:dyDescent="0.25">
      <c r="A7435">
        <f ca="1">27737.3511121185*((RANDBETWEEN(2979,3282)))</f>
        <v>88010615.078751922</v>
      </c>
      <c r="B7435">
        <v>145444156.26709276</v>
      </c>
    </row>
    <row r="7436" spans="1:2" x14ac:dyDescent="0.25">
      <c r="A7436">
        <f ca="1">28163.7891007599*((RANDBETWEEN(2979,3282)))</f>
        <v>84604022.458682656</v>
      </c>
      <c r="B7436">
        <v>171595110.24950576</v>
      </c>
    </row>
    <row r="7437" spans="1:2" x14ac:dyDescent="0.25">
      <c r="A7437">
        <f ca="1">28372.6526001827*((RANDBETWEEN(2979,3282)))</f>
        <v>90139917.310780331</v>
      </c>
      <c r="B7437">
        <v>176080432.41674373</v>
      </c>
    </row>
    <row r="7438" spans="1:2" x14ac:dyDescent="0.25">
      <c r="A7438">
        <f ca="1">27230.2175913451*((RANDBETWEEN(2979,3282)))</f>
        <v>87708530.861722559</v>
      </c>
      <c r="B7438">
        <v>184365497.40734616</v>
      </c>
    </row>
    <row r="7439" spans="1:2" x14ac:dyDescent="0.25">
      <c r="A7439">
        <f ca="1">26349.3962821327*((RANDBETWEEN(2979,3282)))</f>
        <v>80444706.849351272</v>
      </c>
      <c r="B7439">
        <v>172464452.76088125</v>
      </c>
    </row>
    <row r="7440" spans="1:2" x14ac:dyDescent="0.25">
      <c r="A7440">
        <f ca="1">27308.9477945048*((RANDBETWEEN(2979,3282)))</f>
        <v>89081787.705674708</v>
      </c>
      <c r="B7440">
        <v>176305268.75997385</v>
      </c>
    </row>
    <row r="7441" spans="1:2" x14ac:dyDescent="0.25">
      <c r="A7441">
        <f ca="1">27878.0329104216*((RANDBETWEEN(2979,3282)))</f>
        <v>86533414.153948754</v>
      </c>
      <c r="B7441">
        <v>164167964.10069481</v>
      </c>
    </row>
    <row r="7442" spans="1:2" x14ac:dyDescent="0.25">
      <c r="A7442">
        <f ca="1">27624.8830971642*((RANDBETWEEN(2979,3282)))</f>
        <v>86714508.041998416</v>
      </c>
      <c r="B7442">
        <v>155915095.90652314</v>
      </c>
    </row>
    <row r="7443" spans="1:2" x14ac:dyDescent="0.25">
      <c r="A7443">
        <f ca="1">25736.0992438254*((RANDBETWEEN(2979,3282)))</f>
        <v>82818767.366630107</v>
      </c>
      <c r="B7443">
        <v>150110327.44205239</v>
      </c>
    </row>
    <row r="7444" spans="1:2" x14ac:dyDescent="0.25">
      <c r="A7444">
        <f ca="1">30488.9803894693*((RANDBETWEEN(2979,3282)))</f>
        <v>92320632.619313136</v>
      </c>
      <c r="B7444">
        <v>148673909.86435929</v>
      </c>
    </row>
    <row r="7445" spans="1:2" x14ac:dyDescent="0.25">
      <c r="A7445">
        <f ca="1">28138.2550560819*((RANDBETWEEN(2979,3282)))</f>
        <v>87650664.499695078</v>
      </c>
      <c r="B7445">
        <v>155917208.23969904</v>
      </c>
    </row>
    <row r="7446" spans="1:2" x14ac:dyDescent="0.25">
      <c r="A7446">
        <f ca="1">26868.5235758147*((RANDBETWEEN(2979,3282)))</f>
        <v>84528375.169513151</v>
      </c>
      <c r="B7446">
        <v>195865307.93501335</v>
      </c>
    </row>
    <row r="7447" spans="1:2" x14ac:dyDescent="0.25">
      <c r="A7447">
        <f ca="1">25870.8965111003*((RANDBETWEEN(2979,3282)))</f>
        <v>83200803.179698646</v>
      </c>
      <c r="B7447">
        <v>148558188.86827251</v>
      </c>
    </row>
    <row r="7448" spans="1:2" x14ac:dyDescent="0.25">
      <c r="A7448">
        <f ca="1">27175.7292912822*((RANDBETWEEN(2979,3282)))</f>
        <v>83728421.946440354</v>
      </c>
      <c r="B7448">
        <v>197386897.33617067</v>
      </c>
    </row>
    <row r="7449" spans="1:2" x14ac:dyDescent="0.25">
      <c r="A7449">
        <f ca="1">32662.5081712232*((RANDBETWEEN(2979,3282)))</f>
        <v>103148200.80472293</v>
      </c>
      <c r="B7449">
        <v>159121007.35507953</v>
      </c>
    </row>
    <row r="7450" spans="1:2" x14ac:dyDescent="0.25">
      <c r="A7450">
        <f ca="1">26205.5317504657*((RANDBETWEEN(2979,3282)))</f>
        <v>78066279.084637389</v>
      </c>
      <c r="B7450">
        <v>145484869.37156102</v>
      </c>
    </row>
    <row r="7451" spans="1:2" x14ac:dyDescent="0.25">
      <c r="A7451">
        <f ca="1">28566.3919057585*((RANDBETWEEN(2979,3282)))</f>
        <v>91640985.233673334</v>
      </c>
      <c r="B7451">
        <v>152578650.77124131</v>
      </c>
    </row>
    <row r="7452" spans="1:2" x14ac:dyDescent="0.25">
      <c r="A7452">
        <f ca="1">28725.8928817473*((RANDBETWEEN(2979,3282)))</f>
        <v>89682237.576815054</v>
      </c>
      <c r="B7452">
        <v>143240950.53392112</v>
      </c>
    </row>
    <row r="7453" spans="1:2" x14ac:dyDescent="0.25">
      <c r="A7453">
        <f ca="1">27870.1826920897*((RANDBETWEEN(2979,3282)))</f>
        <v>88432089.682000533</v>
      </c>
      <c r="B7453">
        <v>154053084.66111672</v>
      </c>
    </row>
    <row r="7454" spans="1:2" x14ac:dyDescent="0.25">
      <c r="A7454">
        <f ca="1">25985.8444446953*((RANDBETWEEN(2979,3282)))</f>
        <v>84583923.667483166</v>
      </c>
      <c r="B7454">
        <v>157220650.96112892</v>
      </c>
    </row>
    <row r="7455" spans="1:2" x14ac:dyDescent="0.25">
      <c r="A7455">
        <f ca="1">30408.863842721*((RANDBETWEEN(2979,3282)))</f>
        <v>97156319.977493718</v>
      </c>
      <c r="B7455">
        <v>144676189.80587819</v>
      </c>
    </row>
    <row r="7456" spans="1:2" x14ac:dyDescent="0.25">
      <c r="A7456">
        <f ca="1">26615.2217692784*((RANDBETWEEN(2979,3282)))</f>
        <v>84237176.899766281</v>
      </c>
      <c r="B7456">
        <v>151999983.93289438</v>
      </c>
    </row>
    <row r="7457" spans="1:2" x14ac:dyDescent="0.25">
      <c r="A7457">
        <f ca="1">28684.4859095268*((RANDBETWEEN(2979,3282)))</f>
        <v>88032687.256337732</v>
      </c>
      <c r="B7457">
        <v>171890404.30270487</v>
      </c>
    </row>
    <row r="7458" spans="1:2" x14ac:dyDescent="0.25">
      <c r="A7458">
        <f ca="1">26430.7407137087*((RANDBETWEEN(2979,3282)))</f>
        <v>81485973.620363891</v>
      </c>
      <c r="B7458">
        <v>174464837.17989588</v>
      </c>
    </row>
    <row r="7459" spans="1:2" x14ac:dyDescent="0.25">
      <c r="A7459">
        <f ca="1">31846.7704402507*((RANDBETWEEN(2979,3282)))</f>
        <v>104489253.81446271</v>
      </c>
      <c r="B7459">
        <v>184753746.32596999</v>
      </c>
    </row>
    <row r="7460" spans="1:2" x14ac:dyDescent="0.25">
      <c r="A7460">
        <f ca="1">27328.4431273187*((RANDBETWEEN(2979,3282)))</f>
        <v>84882144.353451967</v>
      </c>
      <c r="B7460">
        <v>168657860.93152687</v>
      </c>
    </row>
    <row r="7461" spans="1:2" x14ac:dyDescent="0.25">
      <c r="A7461">
        <f ca="1">30315.0033693835*((RANDBETWEEN(2979,3282)))</f>
        <v>95310370.593341634</v>
      </c>
      <c r="B7461">
        <v>147000307.44963112</v>
      </c>
    </row>
    <row r="7462" spans="1:2" x14ac:dyDescent="0.25">
      <c r="A7462">
        <f ca="1">29355.3493258498*((RANDBETWEEN(2979,3282)))</f>
        <v>89533815.44384189</v>
      </c>
      <c r="B7462">
        <v>170249449.61763903</v>
      </c>
    </row>
    <row r="7463" spans="1:2" x14ac:dyDescent="0.25">
      <c r="A7463">
        <f ca="1">29506.067923855*((RANDBETWEEN(2979,3282)))</f>
        <v>91763871.243188962</v>
      </c>
      <c r="B7463">
        <v>173319961.45070201</v>
      </c>
    </row>
    <row r="7464" spans="1:2" x14ac:dyDescent="0.25">
      <c r="A7464">
        <f ca="1">29768.4596292552*((RANDBETWEEN(2979,3282)))</f>
        <v>90287738.055531174</v>
      </c>
      <c r="B7464">
        <v>176861472.1019544</v>
      </c>
    </row>
    <row r="7465" spans="1:2" x14ac:dyDescent="0.25">
      <c r="A7465">
        <f ca="1">27956.1902296069*((RANDBETWEEN(2979,3282)))</f>
        <v>89152290.64221637</v>
      </c>
      <c r="B7465">
        <v>191941108.60782427</v>
      </c>
    </row>
    <row r="7466" spans="1:2" x14ac:dyDescent="0.25">
      <c r="A7466">
        <f ca="1">26894.0082709959*((RANDBETWEEN(2979,3282)))</f>
        <v>87970301.054427713</v>
      </c>
      <c r="B7466">
        <v>167698171.84812924</v>
      </c>
    </row>
    <row r="7467" spans="1:2" x14ac:dyDescent="0.25">
      <c r="A7467">
        <f ca="1">28550.6147446181*((RANDBETWEEN(2979,3282)))</f>
        <v>87450532.962765306</v>
      </c>
      <c r="B7467">
        <v>188609922.25406918</v>
      </c>
    </row>
    <row r="7468" spans="1:2" x14ac:dyDescent="0.25">
      <c r="A7468">
        <f ca="1">27110.6806945306*((RANDBETWEEN(2979,3282)))</f>
        <v>88001269.534446284</v>
      </c>
      <c r="B7468">
        <v>160993923.61363634</v>
      </c>
    </row>
    <row r="7469" spans="1:2" x14ac:dyDescent="0.25">
      <c r="A7469">
        <f ca="1">27511.7088987862*((RANDBETWEEN(2979,3282)))</f>
        <v>87212117.209152371</v>
      </c>
      <c r="B7469">
        <v>164145855.17968521</v>
      </c>
    </row>
    <row r="7470" spans="1:2" x14ac:dyDescent="0.25">
      <c r="A7470">
        <f ca="1">28136.2035594116*((RANDBETWEEN(2979,3282)))</f>
        <v>91977249.435716689</v>
      </c>
      <c r="B7470">
        <v>155138210.69739813</v>
      </c>
    </row>
    <row r="7471" spans="1:2" x14ac:dyDescent="0.25">
      <c r="A7471">
        <f ca="1">28947.0244653208*((RANDBETWEEN(2979,3282)))</f>
        <v>93614677.120847359</v>
      </c>
      <c r="B7471">
        <v>169349923.52353173</v>
      </c>
    </row>
    <row r="7472" spans="1:2" x14ac:dyDescent="0.25">
      <c r="A7472">
        <f ca="1">32712.9903007464*((RANDBETWEEN(2979,3282)))</f>
        <v>102358946.65103556</v>
      </c>
      <c r="B7472">
        <v>153838945.08190361</v>
      </c>
    </row>
    <row r="7473" spans="1:2" x14ac:dyDescent="0.25">
      <c r="A7473">
        <f ca="1">25639.5111163243*((RANDBETWEEN(2979,3282)))</f>
        <v>76431382.637762889</v>
      </c>
      <c r="B7473">
        <v>159192316.20536488</v>
      </c>
    </row>
    <row r="7474" spans="1:2" x14ac:dyDescent="0.25">
      <c r="A7474">
        <f ca="1">27451.1579733208*((RANDBETWEEN(2979,3282)))</f>
        <v>82463278.551855564</v>
      </c>
      <c r="B7474">
        <v>167125988.48161438</v>
      </c>
    </row>
    <row r="7475" spans="1:2" x14ac:dyDescent="0.25">
      <c r="A7475">
        <f ca="1">26172.8158226718*((RANDBETWEEN(2979,3282)))</f>
        <v>81790049.445849374</v>
      </c>
      <c r="B7475">
        <v>188240799.01182878</v>
      </c>
    </row>
    <row r="7476" spans="1:2" x14ac:dyDescent="0.25">
      <c r="A7476">
        <f ca="1">25315.4063813905*((RANDBETWEEN(2979,3282)))</f>
        <v>80502992.292821661</v>
      </c>
      <c r="B7476">
        <v>182631963.59162042</v>
      </c>
    </row>
    <row r="7477" spans="1:2" x14ac:dyDescent="0.25">
      <c r="A7477">
        <f ca="1">30069.9902412996*((RANDBETWEEN(2979,3282)))</f>
        <v>97456838.372052014</v>
      </c>
      <c r="B7477">
        <v>157959710.18988901</v>
      </c>
    </row>
    <row r="7478" spans="1:2" x14ac:dyDescent="0.25">
      <c r="A7478">
        <f ca="1">26477.2023608905*((RANDBETWEEN(2979,3282)))</f>
        <v>85574318.03039813</v>
      </c>
      <c r="B7478">
        <v>146513263.26400998</v>
      </c>
    </row>
    <row r="7479" spans="1:2" x14ac:dyDescent="0.25">
      <c r="A7479">
        <f ca="1">27858.6657149764*((RANDBETWEEN(2979,3282)))</f>
        <v>84941071.764963001</v>
      </c>
      <c r="B7479">
        <v>162546787.73722571</v>
      </c>
    </row>
    <row r="7480" spans="1:2" x14ac:dyDescent="0.25">
      <c r="A7480">
        <f ca="1">25808.1306192398*((RANDBETWEEN(2979,3282)))</f>
        <v>80056821.180881858</v>
      </c>
      <c r="B7480">
        <v>155326044.29264629</v>
      </c>
    </row>
    <row r="7481" spans="1:2" x14ac:dyDescent="0.25">
      <c r="A7481">
        <f ca="1">27745.5998177183*((RANDBETWEEN(2979,3282)))</f>
        <v>88980138.615422562</v>
      </c>
      <c r="B7481">
        <v>144825401.97912073</v>
      </c>
    </row>
    <row r="7482" spans="1:2" x14ac:dyDescent="0.25">
      <c r="A7482">
        <f ca="1">31120.7608097844*((RANDBETWEEN(2979,3282)))</f>
        <v>99835400.677788481</v>
      </c>
      <c r="B7482">
        <v>165976088.9170275</v>
      </c>
    </row>
    <row r="7483" spans="1:2" x14ac:dyDescent="0.25">
      <c r="A7483">
        <f ca="1">27430.3994483972*((RANDBETWEEN(2979,3282)))</f>
        <v>83909591.912647128</v>
      </c>
      <c r="B7483">
        <v>167489560.81430778</v>
      </c>
    </row>
    <row r="7484" spans="1:2" x14ac:dyDescent="0.25">
      <c r="A7484">
        <f ca="1">25661.2121035905*((RANDBETWEEN(2979,3282)))</f>
        <v>83424600.548772618</v>
      </c>
      <c r="B7484">
        <v>146513491.06502563</v>
      </c>
    </row>
    <row r="7485" spans="1:2" x14ac:dyDescent="0.25">
      <c r="A7485">
        <f ca="1">30205.3831304303*((RANDBETWEEN(2979,3282)))</f>
        <v>92488883.145377636</v>
      </c>
      <c r="B7485">
        <v>160758829.16131252</v>
      </c>
    </row>
    <row r="7486" spans="1:2" x14ac:dyDescent="0.25">
      <c r="A7486">
        <f ca="1">26352.0333536468*((RANDBETWEEN(2979,3282)))</f>
        <v>78608115.493928328</v>
      </c>
      <c r="B7486">
        <v>167160192.01319298</v>
      </c>
    </row>
    <row r="7487" spans="1:2" x14ac:dyDescent="0.25">
      <c r="A7487">
        <f ca="1">25967.5000096812*((RANDBETWEEN(2979,3282)))</f>
        <v>80031835.029837444</v>
      </c>
      <c r="B7487">
        <v>155432879.03040141</v>
      </c>
    </row>
    <row r="7488" spans="1:2" x14ac:dyDescent="0.25">
      <c r="A7488">
        <f ca="1">30055.641591236*((RANDBETWEEN(2979,3282)))</f>
        <v>92901988.158510357</v>
      </c>
      <c r="B7488">
        <v>172820677.0381363</v>
      </c>
    </row>
    <row r="7489" spans="1:2" x14ac:dyDescent="0.25">
      <c r="A7489">
        <f ca="1">28086.9058651288*((RANDBETWEEN(2979,3282)))</f>
        <v>87546885.581606597</v>
      </c>
      <c r="B7489">
        <v>149840178.18594348</v>
      </c>
    </row>
    <row r="7490" spans="1:2" x14ac:dyDescent="0.25">
      <c r="A7490">
        <f ca="1">28360.1101864211*((RANDBETWEEN(2979,3282)))</f>
        <v>84825089.567585364</v>
      </c>
      <c r="B7490">
        <v>175858322.6401456</v>
      </c>
    </row>
    <row r="7491" spans="1:2" x14ac:dyDescent="0.25">
      <c r="A7491">
        <f ca="1">25600.9780094911*((RANDBETWEEN(2979,3282)))</f>
        <v>83561592.222979054</v>
      </c>
      <c r="B7491">
        <v>157047462.04110163</v>
      </c>
    </row>
    <row r="7492" spans="1:2" x14ac:dyDescent="0.25">
      <c r="A7492">
        <f ca="1">26173.4816095737*((RANDBETWEEN(2979,3282)))</f>
        <v>80404935.5046103</v>
      </c>
      <c r="B7492">
        <v>145510908.62716973</v>
      </c>
    </row>
    <row r="7493" spans="1:2" x14ac:dyDescent="0.25">
      <c r="A7493">
        <f ca="1">26320.7307188557*((RANDBETWEEN(2979,3282)))</f>
        <v>84226338.300338387</v>
      </c>
      <c r="B7493">
        <v>162643083.40655953</v>
      </c>
    </row>
    <row r="7494" spans="1:2" x14ac:dyDescent="0.25">
      <c r="A7494">
        <f ca="1">29068.5191153724*((RANDBETWEEN(2979,3282)))</f>
        <v>88193886.996039987</v>
      </c>
      <c r="B7494">
        <v>145911340.89585721</v>
      </c>
    </row>
    <row r="7495" spans="1:2" x14ac:dyDescent="0.25">
      <c r="A7495">
        <f ca="1">26079.9592974894*((RANDBETWEEN(2979,3282)))</f>
        <v>85203227.024898008</v>
      </c>
      <c r="B7495">
        <v>154977284.31058669</v>
      </c>
    </row>
    <row r="7496" spans="1:2" x14ac:dyDescent="0.25">
      <c r="A7496">
        <f ca="1">26280.3398462736*((RANDBETWEEN(2979,3282)))</f>
        <v>82152342.359451309</v>
      </c>
      <c r="B7496">
        <v>168851907.40519267</v>
      </c>
    </row>
    <row r="7497" spans="1:2" x14ac:dyDescent="0.25">
      <c r="A7497">
        <f ca="1">29512.0030477262*((RANDBETWEEN(2979,3282)))</f>
        <v>91634769.463189825</v>
      </c>
      <c r="B7497">
        <v>149816071.08831513</v>
      </c>
    </row>
    <row r="7498" spans="1:2" x14ac:dyDescent="0.25">
      <c r="A7498">
        <f ca="1">26654.70500158*((RANDBETWEEN(2979,3282)))</f>
        <v>86814374.19014594</v>
      </c>
      <c r="B7498">
        <v>195784705.42529207</v>
      </c>
    </row>
    <row r="7499" spans="1:2" x14ac:dyDescent="0.25">
      <c r="A7499">
        <f ca="1">29770.6713051033*((RANDBETWEEN(2979,3282)))</f>
        <v>94105091.995431617</v>
      </c>
      <c r="B7499">
        <v>161579663.59870714</v>
      </c>
    </row>
    <row r="7500" spans="1:2" x14ac:dyDescent="0.25">
      <c r="A7500">
        <f ca="1">31168.6936460508*((RANDBETWEEN(2979,3282)))</f>
        <v>101765784.75435573</v>
      </c>
      <c r="B7500">
        <v>192733001.1380536</v>
      </c>
    </row>
    <row r="7501" spans="1:2" x14ac:dyDescent="0.25">
      <c r="A7501">
        <f ca="1">27350.3584637771*((RANDBETWEEN(2979,3282)))</f>
        <v>87603198.159478053</v>
      </c>
      <c r="B7501">
        <v>179193148.31536686</v>
      </c>
    </row>
    <row r="7502" spans="1:2" x14ac:dyDescent="0.25">
      <c r="A7502">
        <f ca="1">26267.7213465809*((RANDBETWEEN(2979,3282)))</f>
        <v>85291291.212348059</v>
      </c>
      <c r="B7502">
        <v>151769567.17919123</v>
      </c>
    </row>
    <row r="7503" spans="1:2" x14ac:dyDescent="0.25">
      <c r="A7503">
        <f ca="1">27733.6330529089*((RANDBETWEEN(2979,3282)))</f>
        <v>90023372.889742181</v>
      </c>
      <c r="B7503">
        <v>154532529.26344252</v>
      </c>
    </row>
    <row r="7504" spans="1:2" x14ac:dyDescent="0.25">
      <c r="A7504">
        <f ca="1">31728.8626215251*((RANDBETWEEN(2979,3282)))</f>
        <v>99374797.730616674</v>
      </c>
      <c r="B7504">
        <v>191585261.64020506</v>
      </c>
    </row>
    <row r="7505" spans="1:2" x14ac:dyDescent="0.25">
      <c r="A7505">
        <f ca="1">26786.567295909*((RANDBETWEEN(2979,3282)))</f>
        <v>84752698.924256131</v>
      </c>
      <c r="B7505">
        <v>169277317.52155831</v>
      </c>
    </row>
    <row r="7506" spans="1:2" x14ac:dyDescent="0.25">
      <c r="A7506">
        <f ca="1">26824.0944576857*((RANDBETWEEN(2979,3282)))</f>
        <v>87661140.687716767</v>
      </c>
      <c r="B7506">
        <v>151272840.84976834</v>
      </c>
    </row>
    <row r="7507" spans="1:2" x14ac:dyDescent="0.25">
      <c r="A7507">
        <f ca="1">28638.0602018891*((RANDBETWEEN(2979,3282)))</f>
        <v>86458303.749503121</v>
      </c>
      <c r="B7507">
        <v>180555710.99156711</v>
      </c>
    </row>
    <row r="7508" spans="1:2" x14ac:dyDescent="0.25">
      <c r="A7508">
        <f ca="1">31771.3910436625*((RANDBETWEEN(2979,3282)))</f>
        <v>97951198.587611362</v>
      </c>
      <c r="B7508">
        <v>194854031.91621906</v>
      </c>
    </row>
    <row r="7509" spans="1:2" x14ac:dyDescent="0.25">
      <c r="A7509">
        <f ca="1">27229.0376600817*((RANDBETWEEN(2979,3282)))</f>
        <v>89011724.110806942</v>
      </c>
      <c r="B7509">
        <v>192577003.80693907</v>
      </c>
    </row>
    <row r="7510" spans="1:2" x14ac:dyDescent="0.25">
      <c r="A7510">
        <f ca="1">26840.1005691456*((RANDBETWEEN(2979,3282)))</f>
        <v>80439781.405729219</v>
      </c>
      <c r="B7510">
        <v>149575297.13566199</v>
      </c>
    </row>
    <row r="7511" spans="1:2" x14ac:dyDescent="0.25">
      <c r="A7511">
        <f ca="1">28357.8715904933*((RANDBETWEEN(2979,3282)))</f>
        <v>91709356.723655388</v>
      </c>
      <c r="B7511">
        <v>156976327.22134793</v>
      </c>
    </row>
    <row r="7512" spans="1:2" x14ac:dyDescent="0.25">
      <c r="A7512">
        <f ca="1">29676.3388401559*((RANDBETWEEN(2979,3282)))</f>
        <v>93124351.280409276</v>
      </c>
      <c r="B7512">
        <v>194893441.13560492</v>
      </c>
    </row>
    <row r="7513" spans="1:2" x14ac:dyDescent="0.25">
      <c r="A7513">
        <f ca="1">26664.255416721*((RANDBETWEEN(2979,3282)))</f>
        <v>82765848.813501909</v>
      </c>
      <c r="B7513">
        <v>187619902.64611119</v>
      </c>
    </row>
    <row r="7514" spans="1:2" x14ac:dyDescent="0.25">
      <c r="A7514">
        <f ca="1">31091.6545922359*((RANDBETWEEN(2979,3282)))</f>
        <v>93119505.50374645</v>
      </c>
      <c r="B7514">
        <v>161557054.82875621</v>
      </c>
    </row>
    <row r="7515" spans="1:2" x14ac:dyDescent="0.25">
      <c r="A7515">
        <f ca="1">26874.2578730746*((RANDBETWEEN(2979,3282)))</f>
        <v>83498319.211642817</v>
      </c>
      <c r="B7515">
        <v>145778902.11338288</v>
      </c>
    </row>
    <row r="7516" spans="1:2" x14ac:dyDescent="0.25">
      <c r="A7516">
        <f ca="1">31742.7242471463*((RANDBETWEEN(2979,3282)))</f>
        <v>100338751.34522952</v>
      </c>
      <c r="B7516">
        <v>192777255.56611216</v>
      </c>
    </row>
    <row r="7517" spans="1:2" x14ac:dyDescent="0.25">
      <c r="A7517">
        <f ca="1">26364.088015329*((RANDBETWEEN(2979,3282)))</f>
        <v>80647745.238891512</v>
      </c>
      <c r="B7517">
        <v>151669633.93292814</v>
      </c>
    </row>
    <row r="7518" spans="1:2" x14ac:dyDescent="0.25">
      <c r="A7518">
        <f ca="1">27392.8404001138*((RANDBETWEEN(2979,3282)))</f>
        <v>87465339.397563294</v>
      </c>
      <c r="B7518">
        <v>185787163.48648399</v>
      </c>
    </row>
    <row r="7519" spans="1:2" x14ac:dyDescent="0.25">
      <c r="A7519">
        <f ca="1">24890.4255383323*((RANDBETWEEN(2979,3282)))</f>
        <v>80371184.063275054</v>
      </c>
      <c r="B7519">
        <v>162723019.48944008</v>
      </c>
    </row>
    <row r="7520" spans="1:2" x14ac:dyDescent="0.25">
      <c r="A7520">
        <f ca="1">27372.565701878*((RANDBETWEEN(2979,3282)))</f>
        <v>83842168.744852245</v>
      </c>
      <c r="B7520">
        <v>181514268.50978845</v>
      </c>
    </row>
    <row r="7521" spans="1:2" x14ac:dyDescent="0.25">
      <c r="A7521">
        <f ca="1">30989.1965542877*((RANDBETWEEN(2979,3282)))</f>
        <v>95105844.225108966</v>
      </c>
      <c r="B7521">
        <v>168055915.8703256</v>
      </c>
    </row>
    <row r="7522" spans="1:2" x14ac:dyDescent="0.25">
      <c r="A7522">
        <f ca="1">26858.6818640793*((RANDBETWEEN(2979,3282)))</f>
        <v>81784686.276121438</v>
      </c>
      <c r="B7522">
        <v>171006653.81578201</v>
      </c>
    </row>
    <row r="7523" spans="1:2" x14ac:dyDescent="0.25">
      <c r="A7523">
        <f ca="1">27999.2045914291*((RANDBETWEEN(2979,3282)))</f>
        <v>86797534.233430207</v>
      </c>
      <c r="B7523">
        <v>182577844.04147351</v>
      </c>
    </row>
    <row r="7524" spans="1:2" x14ac:dyDescent="0.25">
      <c r="A7524">
        <f ca="1">27481.4672194397*((RANDBETWEEN(2979,3282)))</f>
        <v>84890252.240849212</v>
      </c>
      <c r="B7524">
        <v>187182090.07334039</v>
      </c>
    </row>
    <row r="7525" spans="1:2" x14ac:dyDescent="0.25">
      <c r="A7525">
        <f ca="1">26530.0054004918*((RANDBETWEEN(2979,3282)))</f>
        <v>85320497.367981672</v>
      </c>
      <c r="B7525">
        <v>193574739.00516129</v>
      </c>
    </row>
    <row r="7526" spans="1:2" x14ac:dyDescent="0.25">
      <c r="A7526">
        <f ca="1">27668.075267209*((RANDBETWEEN(2979,3282)))</f>
        <v>89118870.435680255</v>
      </c>
      <c r="B7526">
        <v>200818506.12894624</v>
      </c>
    </row>
    <row r="7527" spans="1:2" x14ac:dyDescent="0.25">
      <c r="A7527">
        <f ca="1">28593.3583445486*((RANDBETWEEN(2979,3282)))</f>
        <v>90984066.252353713</v>
      </c>
      <c r="B7527">
        <v>178570025.10094106</v>
      </c>
    </row>
    <row r="7528" spans="1:2" x14ac:dyDescent="0.25">
      <c r="A7528">
        <f ca="1">26591.406121399*((RANDBETWEEN(2979,3282)))</f>
        <v>84932951.151748449</v>
      </c>
      <c r="B7528">
        <v>156702440.6427432</v>
      </c>
    </row>
    <row r="7529" spans="1:2" x14ac:dyDescent="0.25">
      <c r="A7529">
        <f ca="1">27168.6687114052*((RANDBETWEEN(2979,3282)))</f>
        <v>86070342.477731749</v>
      </c>
      <c r="B7529">
        <v>165493834.9963007</v>
      </c>
    </row>
    <row r="7530" spans="1:2" x14ac:dyDescent="0.25">
      <c r="A7530">
        <f ca="1">26547.5401168731*((RANDBETWEEN(2979,3282)))</f>
        <v>85058318.534461513</v>
      </c>
      <c r="B7530">
        <v>149399191.97530055</v>
      </c>
    </row>
    <row r="7531" spans="1:2" x14ac:dyDescent="0.25">
      <c r="A7531">
        <f ca="1">24298.2726133126*((RANDBETWEEN(2979,3282)))</f>
        <v>76636751.822388008</v>
      </c>
      <c r="B7531">
        <v>160914485.78309557</v>
      </c>
    </row>
    <row r="7532" spans="1:2" x14ac:dyDescent="0.25">
      <c r="A7532">
        <f ca="1">26384.4619369797*((RANDBETWEEN(2979,3282)))</f>
        <v>86514650.691356555</v>
      </c>
      <c r="B7532">
        <v>149189465.2156474</v>
      </c>
    </row>
    <row r="7533" spans="1:2" x14ac:dyDescent="0.25">
      <c r="A7533">
        <f ca="1">29276.8925227096*((RANDBETWEEN(2979,3282)))</f>
        <v>87537908.642901644</v>
      </c>
      <c r="B7533">
        <v>163231941.23968318</v>
      </c>
    </row>
    <row r="7534" spans="1:2" x14ac:dyDescent="0.25">
      <c r="A7534">
        <f ca="1">25484.302685011*((RANDBETWEEN(2979,3282)))</f>
        <v>76198065.028182849</v>
      </c>
      <c r="B7534">
        <v>168547985.15858549</v>
      </c>
    </row>
    <row r="7535" spans="1:2" x14ac:dyDescent="0.25">
      <c r="A7535">
        <f ca="1">27529.3245002592*((RANDBETWEEN(2979,3282)))</f>
        <v>88892188.811337024</v>
      </c>
      <c r="B7535">
        <v>183157620.91541719</v>
      </c>
    </row>
    <row r="7536" spans="1:2" x14ac:dyDescent="0.25">
      <c r="A7536">
        <f ca="1">26058.7220538643*((RANDBETWEEN(2979,3282)))</f>
        <v>82658266.354857579</v>
      </c>
      <c r="B7536">
        <v>157101055.43068284</v>
      </c>
    </row>
    <row r="7537" spans="1:2" x14ac:dyDescent="0.25">
      <c r="A7537">
        <f ca="1">27381.8688779551*((RANDBETWEEN(2979,3282)))</f>
        <v>87512452.933944613</v>
      </c>
      <c r="B7537">
        <v>154842427.65805331</v>
      </c>
    </row>
    <row r="7538" spans="1:2" x14ac:dyDescent="0.25">
      <c r="A7538">
        <f ca="1">25669.2793907495*((RANDBETWEEN(2979,3282)))</f>
        <v>76571460.422605887</v>
      </c>
      <c r="B7538">
        <v>144599605.73292023</v>
      </c>
    </row>
    <row r="7539" spans="1:2" x14ac:dyDescent="0.25">
      <c r="A7539">
        <f ca="1">25970.4533169613*((RANDBETWEEN(2979,3282)))</f>
        <v>79469587.149901524</v>
      </c>
      <c r="B7539">
        <v>191788324.70177972</v>
      </c>
    </row>
    <row r="7540" spans="1:2" x14ac:dyDescent="0.25">
      <c r="A7540">
        <f ca="1">27321.0632758241*((RANDBETWEEN(2979,3282)))</f>
        <v>84203517.016089767</v>
      </c>
      <c r="B7540">
        <v>151080554.42770532</v>
      </c>
    </row>
    <row r="7541" spans="1:2" x14ac:dyDescent="0.25">
      <c r="A7541">
        <f ca="1">28997.0056900294*((RANDBETWEEN(2979,3282)))</f>
        <v>92848412.219474271</v>
      </c>
      <c r="B7541">
        <v>199680298.3722012</v>
      </c>
    </row>
    <row r="7542" spans="1:2" x14ac:dyDescent="0.25">
      <c r="A7542">
        <f ca="1">27645.5138273808*((RANDBETWEEN(2979,3282)))</f>
        <v>87885088.457243651</v>
      </c>
      <c r="B7542">
        <v>198333988.36783186</v>
      </c>
    </row>
    <row r="7543" spans="1:2" x14ac:dyDescent="0.25">
      <c r="A7543">
        <f ca="1">26108.0266745062*((RANDBETWEEN(2979,3282)))</f>
        <v>85242707.092262879</v>
      </c>
      <c r="B7543">
        <v>193180061.54545379</v>
      </c>
    </row>
    <row r="7544" spans="1:2" x14ac:dyDescent="0.25">
      <c r="A7544">
        <f ca="1">28713.7912957037*((RANDBETWEEN(2979,3282)))</f>
        <v>92314839.015687406</v>
      </c>
      <c r="B7544">
        <v>183446848.79458344</v>
      </c>
    </row>
    <row r="7545" spans="1:2" x14ac:dyDescent="0.25">
      <c r="A7545">
        <f ca="1">32435.5370427425*((RANDBETWEEN(2979,3282)))</f>
        <v>99706840.869390562</v>
      </c>
      <c r="B7545">
        <v>200165290.53647971</v>
      </c>
    </row>
    <row r="7546" spans="1:2" x14ac:dyDescent="0.25">
      <c r="A7546">
        <f ca="1">26144.9717871573*((RANDBETWEEN(2979,3282)))</f>
        <v>81520022.032356545</v>
      </c>
      <c r="B7546">
        <v>198802627.42191687</v>
      </c>
    </row>
    <row r="7547" spans="1:2" x14ac:dyDescent="0.25">
      <c r="A7547">
        <f ca="1">26177.0049755316*((RANDBETWEEN(2979,3282)))</f>
        <v>80284874.259955555</v>
      </c>
      <c r="B7547">
        <v>177342392.69016379</v>
      </c>
    </row>
    <row r="7548" spans="1:2" x14ac:dyDescent="0.25">
      <c r="A7548">
        <f ca="1">27515.6507526087*((RANDBETWEEN(2979,3282)))</f>
        <v>82491920.956320792</v>
      </c>
      <c r="B7548">
        <v>151018379.57138318</v>
      </c>
    </row>
    <row r="7549" spans="1:2" x14ac:dyDescent="0.25">
      <c r="A7549">
        <f ca="1">27006.4201379105*((RANDBETWEEN(2979,3282)))</f>
        <v>82099517.219247803</v>
      </c>
      <c r="B7549">
        <v>155223689.24295458</v>
      </c>
    </row>
    <row r="7550" spans="1:2" x14ac:dyDescent="0.25">
      <c r="A7550">
        <f ca="1">26802.9809049094*((RANDBETWEEN(2979,3282)))</f>
        <v>84322177.926845059</v>
      </c>
      <c r="B7550">
        <v>160479758.63834029</v>
      </c>
    </row>
    <row r="7551" spans="1:2" x14ac:dyDescent="0.25">
      <c r="A7551">
        <f ca="1">25753.365929014*((RANDBETWEEN(2979,3282)))</f>
        <v>77826671.837480232</v>
      </c>
      <c r="B7551">
        <v>164773422.33055755</v>
      </c>
    </row>
    <row r="7552" spans="1:2" x14ac:dyDescent="0.25">
      <c r="A7552">
        <f ca="1">32313.7278012227*((RANDBETWEEN(2979,3282)))</f>
        <v>104987301.62617259</v>
      </c>
      <c r="B7552">
        <v>182214388.25723967</v>
      </c>
    </row>
    <row r="7553" spans="1:2" x14ac:dyDescent="0.25">
      <c r="A7553">
        <f ca="1">28617.4191535575*((RANDBETWEEN(2979,3282)))</f>
        <v>92462881.285144374</v>
      </c>
      <c r="B7553">
        <v>187352228.54522869</v>
      </c>
    </row>
    <row r="7554" spans="1:2" x14ac:dyDescent="0.25">
      <c r="A7554">
        <f ca="1">28271.2740090482*((RANDBETWEEN(2979,3282)))</f>
        <v>89789566.252737224</v>
      </c>
      <c r="B7554">
        <v>166158973.08947966</v>
      </c>
    </row>
    <row r="7555" spans="1:2" x14ac:dyDescent="0.25">
      <c r="A7555">
        <f ca="1">24995.7391074135*((RANDBETWEEN(2979,3282)))</f>
        <v>75812076.712785155</v>
      </c>
      <c r="B7555">
        <v>149158598.6786381</v>
      </c>
    </row>
    <row r="7556" spans="1:2" x14ac:dyDescent="0.25">
      <c r="A7556">
        <f ca="1">28987.2345962539*((RANDBETWEEN(2979,3282)))</f>
        <v>88758912.333729386</v>
      </c>
      <c r="B7556">
        <v>194244780.9706769</v>
      </c>
    </row>
    <row r="7557" spans="1:2" x14ac:dyDescent="0.25">
      <c r="A7557">
        <f ca="1">26863.9458345203*((RANDBETWEEN(2979,3282)))</f>
        <v>84675157.270407975</v>
      </c>
      <c r="B7557">
        <v>146941541.47981372</v>
      </c>
    </row>
    <row r="7558" spans="1:2" x14ac:dyDescent="0.25">
      <c r="A7558">
        <f ca="1">26380.4472396152*((RANDBETWEEN(2979,3282)))</f>
        <v>81858527.784525812</v>
      </c>
      <c r="B7558">
        <v>145048755.27592221</v>
      </c>
    </row>
    <row r="7559" spans="1:2" x14ac:dyDescent="0.25">
      <c r="A7559">
        <f ca="1">25127.876052331*((RANDBETWEEN(2979,3282)))</f>
        <v>76237975.942772239</v>
      </c>
      <c r="B7559">
        <v>163668837.62254336</v>
      </c>
    </row>
    <row r="7560" spans="1:2" x14ac:dyDescent="0.25">
      <c r="A7560">
        <f ca="1">27061.9299192403*((RANDBETWEEN(2979,3282)))</f>
        <v>81591718.706509441</v>
      </c>
      <c r="B7560">
        <v>151726502.85005516</v>
      </c>
    </row>
    <row r="7561" spans="1:2" x14ac:dyDescent="0.25">
      <c r="A7561">
        <f ca="1">29519.1955402218*((RANDBETWEEN(2979,3282)))</f>
        <v>95583155.159238249</v>
      </c>
      <c r="B7561">
        <v>199903907.22351733</v>
      </c>
    </row>
    <row r="7562" spans="1:2" x14ac:dyDescent="0.25">
      <c r="A7562">
        <f ca="1">26702.6725158623*((RANDBETWEEN(2979,3282)))</f>
        <v>80348341.600229546</v>
      </c>
      <c r="B7562">
        <v>170178903.34381726</v>
      </c>
    </row>
    <row r="7563" spans="1:2" x14ac:dyDescent="0.25">
      <c r="A7563">
        <f ca="1">26752.8513001302*((RANDBETWEEN(2979,3282)))</f>
        <v>84512257.2571114</v>
      </c>
      <c r="B7563">
        <v>167570131.82248846</v>
      </c>
    </row>
    <row r="7564" spans="1:2" x14ac:dyDescent="0.25">
      <c r="A7564">
        <f ca="1">32167.9847158967*((RANDBETWEEN(2979,3282)))</f>
        <v>102358527.36598314</v>
      </c>
      <c r="B7564">
        <v>178862238.51527107</v>
      </c>
    </row>
    <row r="7565" spans="1:2" x14ac:dyDescent="0.25">
      <c r="A7565">
        <f ca="1">26921.9593110826*((RANDBETWEEN(2979,3282)))</f>
        <v>85800284.324420229</v>
      </c>
      <c r="B7565">
        <v>151108233.74060419</v>
      </c>
    </row>
    <row r="7566" spans="1:2" x14ac:dyDescent="0.25">
      <c r="A7566">
        <f ca="1">26819.5508618319*((RANDBETWEEN(2979,3282)))</f>
        <v>84025652.850119427</v>
      </c>
      <c r="B7566">
        <v>156743388.28652</v>
      </c>
    </row>
    <row r="7567" spans="1:2" x14ac:dyDescent="0.25">
      <c r="A7567">
        <f ca="1">27862.988720069*((RANDBETWEEN(2979,3282)))</f>
        <v>89273015.859101161</v>
      </c>
      <c r="B7567">
        <v>177855135.95625174</v>
      </c>
    </row>
    <row r="7568" spans="1:2" x14ac:dyDescent="0.25">
      <c r="A7568">
        <f ca="1">30584.4472146045*((RANDBETWEEN(2979,3282)))</f>
        <v>91906263.879886582</v>
      </c>
      <c r="B7568">
        <v>189568901.97438654</v>
      </c>
    </row>
    <row r="7569" spans="1:2" x14ac:dyDescent="0.25">
      <c r="A7569">
        <f ca="1">32931.8175136064*((RANDBETWEEN(2979,3282)))</f>
        <v>106040452.3938126</v>
      </c>
      <c r="B7569">
        <v>153533215.38012093</v>
      </c>
    </row>
    <row r="7570" spans="1:2" x14ac:dyDescent="0.25">
      <c r="A7570">
        <f ca="1">32790.4915387697*((RANDBETWEEN(2979,3282)))</f>
        <v>98338684.124770433</v>
      </c>
      <c r="B7570">
        <v>181397826.87649059</v>
      </c>
    </row>
    <row r="7571" spans="1:2" x14ac:dyDescent="0.25">
      <c r="A7571">
        <f ca="1">27619.9247459192*((RANDBETWEEN(2979,3282)))</f>
        <v>89571415.951015979</v>
      </c>
      <c r="B7571">
        <v>158881679.60905838</v>
      </c>
    </row>
    <row r="7572" spans="1:2" x14ac:dyDescent="0.25">
      <c r="A7572">
        <f ca="1">25468.3045200896*((RANDBETWEEN(2979,3282)))</f>
        <v>81473106.159766644</v>
      </c>
      <c r="B7572">
        <v>144819166.24192306</v>
      </c>
    </row>
    <row r="7573" spans="1:2" x14ac:dyDescent="0.25">
      <c r="A7573">
        <f ca="1">27560.5534649869*((RANDBETWEEN(2979,3282)))</f>
        <v>88276452.748352975</v>
      </c>
      <c r="B7573">
        <v>171382242.00491986</v>
      </c>
    </row>
    <row r="7574" spans="1:2" x14ac:dyDescent="0.25">
      <c r="A7574">
        <f ca="1">28934.4335812764*((RANDBETWEEN(2979,3282)))</f>
        <v>93458220.46752277</v>
      </c>
      <c r="B7574">
        <v>157150781.7705999</v>
      </c>
    </row>
    <row r="7575" spans="1:2" x14ac:dyDescent="0.25">
      <c r="A7575">
        <f ca="1">29910.3915068344*((RANDBETWEEN(2979,3282)))</f>
        <v>96431102.218034133</v>
      </c>
      <c r="B7575">
        <v>188441248.18022841</v>
      </c>
    </row>
    <row r="7576" spans="1:2" x14ac:dyDescent="0.25">
      <c r="A7576">
        <f ca="1">30939.4902833468*((RANDBETWEEN(2979,3282)))</f>
        <v>95138932.621291548</v>
      </c>
      <c r="B7576">
        <v>185078859.76065457</v>
      </c>
    </row>
    <row r="7577" spans="1:2" x14ac:dyDescent="0.25">
      <c r="A7577">
        <f ca="1">26912.7966105184*((RANDBETWEEN(2979,3282)))</f>
        <v>85232826.865511715</v>
      </c>
      <c r="B7577">
        <v>164163642.3415544</v>
      </c>
    </row>
    <row r="7578" spans="1:2" x14ac:dyDescent="0.25">
      <c r="A7578">
        <f ca="1">28024.2645805215*((RANDBETWEEN(2979,3282)))</f>
        <v>86146589.320523158</v>
      </c>
      <c r="B7578">
        <v>151560038.58636039</v>
      </c>
    </row>
    <row r="7579" spans="1:2" x14ac:dyDescent="0.25">
      <c r="A7579">
        <f ca="1">28560.7921828198*((RANDBETWEEN(2979,3282)))</f>
        <v>90194981.713344961</v>
      </c>
      <c r="B7579">
        <v>143353192.48008025</v>
      </c>
    </row>
    <row r="7580" spans="1:2" x14ac:dyDescent="0.25">
      <c r="A7580">
        <f ca="1">27572.1998314235*((RANDBETWEEN(2979,3282)))</f>
        <v>86907573.868646905</v>
      </c>
      <c r="B7580">
        <v>151323227.80916253</v>
      </c>
    </row>
    <row r="7581" spans="1:2" x14ac:dyDescent="0.25">
      <c r="A7581">
        <f ca="1">28758.2451094143*((RANDBETWEEN(2979,3282)))</f>
        <v>88776702.652762085</v>
      </c>
      <c r="B7581">
        <v>158695563.18739179</v>
      </c>
    </row>
    <row r="7582" spans="1:2" x14ac:dyDescent="0.25">
      <c r="A7582">
        <f ca="1">27868.8602471305*((RANDBETWEEN(2979,3282)))</f>
        <v>89459041.393289044</v>
      </c>
      <c r="B7582">
        <v>181080050.37475324</v>
      </c>
    </row>
    <row r="7583" spans="1:2" x14ac:dyDescent="0.25">
      <c r="A7583">
        <f ca="1">25541.8654649539*((RANDBETWEEN(2979,3282)))</f>
        <v>83547441.935864225</v>
      </c>
      <c r="B7583">
        <v>185699951.2035284</v>
      </c>
    </row>
    <row r="7584" spans="1:2" x14ac:dyDescent="0.25">
      <c r="A7584">
        <f ca="1">27428.1879879709*((RANDBETWEEN(2979,3282)))</f>
        <v>87276494.177723303</v>
      </c>
      <c r="B7584">
        <v>150025325.30666849</v>
      </c>
    </row>
    <row r="7585" spans="1:2" x14ac:dyDescent="0.25">
      <c r="A7585">
        <f ca="1">27358.7541952984*((RANDBETWEEN(2979,3282)))</f>
        <v>83362124.03307423</v>
      </c>
      <c r="B7585">
        <v>151553487.27465171</v>
      </c>
    </row>
    <row r="7586" spans="1:2" x14ac:dyDescent="0.25">
      <c r="A7586">
        <f ca="1">30338.0458151222*((RANDBETWEEN(2979,3282)))</f>
        <v>96383971.554643124</v>
      </c>
      <c r="B7586">
        <v>201904229.2865307</v>
      </c>
    </row>
    <row r="7587" spans="1:2" x14ac:dyDescent="0.25">
      <c r="A7587">
        <f ca="1">28856.2541571261*((RANDBETWEEN(2979,3282)))</f>
        <v>86309056.183964163</v>
      </c>
      <c r="B7587">
        <v>158937942.23820421</v>
      </c>
    </row>
    <row r="7588" spans="1:2" x14ac:dyDescent="0.25">
      <c r="A7588">
        <f ca="1">26706.8672428473*((RANDBETWEEN(2979,3282)))</f>
        <v>86049526.256453916</v>
      </c>
      <c r="B7588">
        <v>161044519.94231367</v>
      </c>
    </row>
    <row r="7589" spans="1:2" x14ac:dyDescent="0.25">
      <c r="A7589">
        <f ca="1">26939.7380908903*((RANDBETWEEN(2979,3282)))</f>
        <v>80819214.272670835</v>
      </c>
      <c r="B7589">
        <v>158864031.58468822</v>
      </c>
    </row>
    <row r="7590" spans="1:2" x14ac:dyDescent="0.25">
      <c r="A7590">
        <f ca="1">32917.2306163951*((RANDBETWEEN(2979,3282)))</f>
        <v>102438421.67822146</v>
      </c>
      <c r="B7590">
        <v>163027184.49386996</v>
      </c>
    </row>
    <row r="7591" spans="1:2" x14ac:dyDescent="0.25">
      <c r="A7591">
        <f ca="1">26536.4595250594*((RANDBETWEEN(2979,3282)))</f>
        <v>81944587.013383329</v>
      </c>
      <c r="B7591">
        <v>150816769.2179043</v>
      </c>
    </row>
    <row r="7592" spans="1:2" x14ac:dyDescent="0.25">
      <c r="A7592">
        <f ca="1">26179.3465064308*((RANDBETWEEN(2979,3282)))</f>
        <v>82019892.604647636</v>
      </c>
      <c r="B7592">
        <v>155303342.53468883</v>
      </c>
    </row>
    <row r="7593" spans="1:2" x14ac:dyDescent="0.25">
      <c r="A7593">
        <f ca="1">27527.6037711019*((RANDBETWEEN(2979,3282)))</f>
        <v>83215946.200041011</v>
      </c>
      <c r="B7593">
        <v>172489024.13155371</v>
      </c>
    </row>
    <row r="7594" spans="1:2" x14ac:dyDescent="0.25">
      <c r="A7594">
        <f ca="1">27171.2833111934*((RANDBETWEEN(2979,3282)))</f>
        <v>86105796.813171804</v>
      </c>
      <c r="B7594">
        <v>173797038.37126154</v>
      </c>
    </row>
    <row r="7595" spans="1:2" x14ac:dyDescent="0.25">
      <c r="A7595">
        <f ca="1">27513.1137585504*((RANDBETWEEN(2979,3282)))</f>
        <v>86005993.609228522</v>
      </c>
      <c r="B7595">
        <v>167083140.76742229</v>
      </c>
    </row>
    <row r="7596" spans="1:2" x14ac:dyDescent="0.25">
      <c r="A7596">
        <f ca="1">27568.2916775112*((RANDBETWEEN(2979,3282)))</f>
        <v>85296294.45021978</v>
      </c>
      <c r="B7596">
        <v>201688790.40863135</v>
      </c>
    </row>
    <row r="7597" spans="1:2" x14ac:dyDescent="0.25">
      <c r="A7597">
        <f ca="1">32303.1767253148*((RANDBETWEEN(2979,3282)))</f>
        <v>103499378.22790855</v>
      </c>
      <c r="B7597">
        <v>155652216.59895721</v>
      </c>
    </row>
    <row r="7598" spans="1:2" x14ac:dyDescent="0.25">
      <c r="A7598">
        <f ca="1">28140.6879854609*((RANDBETWEEN(2979,3282)))</f>
        <v>92301456.5923118</v>
      </c>
      <c r="B7598">
        <v>151474777.82053214</v>
      </c>
    </row>
    <row r="7599" spans="1:2" x14ac:dyDescent="0.25">
      <c r="A7599">
        <f ca="1">28000.2170650376*((RANDBETWEEN(2979,3282)))</f>
        <v>88984689.832689345</v>
      </c>
      <c r="B7599">
        <v>161318923.94070521</v>
      </c>
    </row>
    <row r="7600" spans="1:2" x14ac:dyDescent="0.25">
      <c r="A7600">
        <f ca="1">26299.9289153233*((RANDBETWEEN(2979,3282)))</f>
        <v>83291874.874828771</v>
      </c>
      <c r="B7600">
        <v>163122786.74281403</v>
      </c>
    </row>
    <row r="7601" spans="1:2" x14ac:dyDescent="0.25">
      <c r="A7601">
        <f ca="1">26695.8061530288*((RANDBETWEEN(2979,3282)))</f>
        <v>82570128.43131803</v>
      </c>
      <c r="B7601">
        <v>152094710.02286047</v>
      </c>
    </row>
    <row r="7602" spans="1:2" x14ac:dyDescent="0.25">
      <c r="A7602">
        <f ca="1">27935.2785135813*((RANDBETWEEN(2979,3282)))</f>
        <v>88806250.394674927</v>
      </c>
      <c r="B7602">
        <v>153561930.43678302</v>
      </c>
    </row>
    <row r="7603" spans="1:2" x14ac:dyDescent="0.25">
      <c r="A7603">
        <f ca="1">26220.0684746781*((RANDBETWEEN(2979,3282)))</f>
        <v>81596853.09319818</v>
      </c>
      <c r="B7603">
        <v>151730891.04870152</v>
      </c>
    </row>
    <row r="7604" spans="1:2" x14ac:dyDescent="0.25">
      <c r="A7604">
        <f ca="1">26353.5907944149*((RANDBETWEEN(2979,3282)))</f>
        <v>84832208.767221645</v>
      </c>
      <c r="B7604">
        <v>149392892.10980695</v>
      </c>
    </row>
    <row r="7605" spans="1:2" x14ac:dyDescent="0.25">
      <c r="A7605">
        <f ca="1">25968.4434418954*((RANDBETWEEN(2979,3282)))</f>
        <v>80891701.321504325</v>
      </c>
      <c r="B7605">
        <v>173058010.44574749</v>
      </c>
    </row>
    <row r="7606" spans="1:2" x14ac:dyDescent="0.25">
      <c r="A7606">
        <f ca="1">26882.8141655051*((RANDBETWEEN(2979,3282)))</f>
        <v>87960567.949532822</v>
      </c>
      <c r="B7606">
        <v>150529952.76511025</v>
      </c>
    </row>
    <row r="7607" spans="1:2" x14ac:dyDescent="0.25">
      <c r="A7607">
        <f ca="1">25906.2937274586*((RANDBETWEEN(2979,3282)))</f>
        <v>82563358.109410703</v>
      </c>
      <c r="B7607">
        <v>166906650.85845059</v>
      </c>
    </row>
    <row r="7608" spans="1:2" x14ac:dyDescent="0.25">
      <c r="A7608">
        <f ca="1">26535.4467704296*((RANDBETWEEN(2979,3282)))</f>
        <v>86505556.471600622</v>
      </c>
      <c r="B7608">
        <v>151350092.2968547</v>
      </c>
    </row>
    <row r="7609" spans="1:2" x14ac:dyDescent="0.25">
      <c r="A7609">
        <f ca="1">27823.4631105396*((RANDBETWEEN(2979,3282)))</f>
        <v>86447499.884446397</v>
      </c>
      <c r="B7609">
        <v>197497155.06352094</v>
      </c>
    </row>
    <row r="7610" spans="1:2" x14ac:dyDescent="0.25">
      <c r="A7610">
        <f ca="1">26205.4053768649*((RANDBETWEEN(2979,3282)))</f>
        <v>79507199.913408026</v>
      </c>
      <c r="B7610">
        <v>145220515.27730304</v>
      </c>
    </row>
    <row r="7611" spans="1:2" x14ac:dyDescent="0.25">
      <c r="A7611">
        <f ca="1">27551.3100021296*((RANDBETWEEN(2979,3282)))</f>
        <v>85161099.216582462</v>
      </c>
      <c r="B7611">
        <v>157850754.52310553</v>
      </c>
    </row>
    <row r="7612" spans="1:2" x14ac:dyDescent="0.25">
      <c r="A7612">
        <f ca="1">27570.6589833861*((RANDBETWEEN(2979,3282)))</f>
        <v>83318531.447792843</v>
      </c>
      <c r="B7612">
        <v>148167046.33573106</v>
      </c>
    </row>
    <row r="7613" spans="1:2" x14ac:dyDescent="0.25">
      <c r="A7613">
        <f ca="1">26810.2032210845*((RANDBETWEEN(2979,3282)))</f>
        <v>85551358.478480518</v>
      </c>
      <c r="B7613">
        <v>156947938.77396163</v>
      </c>
    </row>
    <row r="7614" spans="1:2" x14ac:dyDescent="0.25">
      <c r="A7614">
        <f ca="1">29728.1886120789*((RANDBETWEEN(2979,3282)))</f>
        <v>93049230.355806813</v>
      </c>
      <c r="B7614">
        <v>159971234.89858532</v>
      </c>
    </row>
    <row r="7615" spans="1:2" x14ac:dyDescent="0.25">
      <c r="A7615">
        <f ca="1">26692.6170045777*((RANDBETWEEN(2979,3282)))</f>
        <v>81732793.268016979</v>
      </c>
      <c r="B7615">
        <v>163472697.62202096</v>
      </c>
    </row>
    <row r="7616" spans="1:2" x14ac:dyDescent="0.25">
      <c r="A7616">
        <f ca="1">31493.9662975475*((RANDBETWEEN(2979,3282)))</f>
        <v>102953775.82668285</v>
      </c>
      <c r="B7616">
        <v>167144989.00275102</v>
      </c>
    </row>
    <row r="7617" spans="1:2" x14ac:dyDescent="0.25">
      <c r="A7617">
        <f ca="1">31773.3669876134*((RANDBETWEEN(2979,3282)))</f>
        <v>95860248.201629624</v>
      </c>
      <c r="B7617">
        <v>180606247.09255427</v>
      </c>
    </row>
    <row r="7618" spans="1:2" x14ac:dyDescent="0.25">
      <c r="A7618">
        <f ca="1">25467.9690323391*((RANDBETWEEN(2979,3282)))</f>
        <v>82618091.540908083</v>
      </c>
      <c r="B7618">
        <v>165030256.09097585</v>
      </c>
    </row>
    <row r="7619" spans="1:2" x14ac:dyDescent="0.25">
      <c r="A7619">
        <f ca="1">27574.3812691726*((RANDBETWEEN(2979,3282)))</f>
        <v>86804152.235355258</v>
      </c>
      <c r="B7619">
        <v>174232188.20089158</v>
      </c>
    </row>
    <row r="7620" spans="1:2" x14ac:dyDescent="0.25">
      <c r="A7620">
        <f ca="1">29773.8770280862*((RANDBETWEEN(2979,3282)))</f>
        <v>94353416.302005276</v>
      </c>
      <c r="B7620">
        <v>181490804.1282157</v>
      </c>
    </row>
    <row r="7621" spans="1:2" x14ac:dyDescent="0.25">
      <c r="A7621">
        <f ca="1">25902.7319747604*((RANDBETWEEN(2979,3282)))</f>
        <v>81205064.740873888</v>
      </c>
      <c r="B7621">
        <v>163594476.50266948</v>
      </c>
    </row>
    <row r="7622" spans="1:2" x14ac:dyDescent="0.25">
      <c r="A7622">
        <f ca="1">29838.6714013739*((RANDBETWEEN(2979,3282)))</f>
        <v>95871651.212614357</v>
      </c>
      <c r="B7622">
        <v>170864558.73803604</v>
      </c>
    </row>
    <row r="7623" spans="1:2" x14ac:dyDescent="0.25">
      <c r="A7623">
        <f ca="1">28759.3439634468*((RANDBETWEEN(2979,3282)))</f>
        <v>88147389.247964591</v>
      </c>
      <c r="B7623">
        <v>203077704.25571847</v>
      </c>
    </row>
    <row r="7624" spans="1:2" x14ac:dyDescent="0.25">
      <c r="A7624">
        <f ca="1">25123.080341675*((RANDBETWEEN(2979,3282)))</f>
        <v>77982041.380559355</v>
      </c>
      <c r="B7624">
        <v>153871277.1458194</v>
      </c>
    </row>
    <row r="7625" spans="1:2" x14ac:dyDescent="0.25">
      <c r="A7625">
        <f ca="1">29946.3739938025*((RANDBETWEEN(2979,3282)))</f>
        <v>96277592.390074909</v>
      </c>
      <c r="B7625">
        <v>173456146.61842102</v>
      </c>
    </row>
    <row r="7626" spans="1:2" x14ac:dyDescent="0.25">
      <c r="A7626">
        <f ca="1">29825.8007781256*((RANDBETWEEN(2979,3282)))</f>
        <v>93921446.650317624</v>
      </c>
      <c r="B7626">
        <v>195372332.1320371</v>
      </c>
    </row>
    <row r="7627" spans="1:2" x14ac:dyDescent="0.25">
      <c r="A7627">
        <f ca="1">26335.5760264062*((RANDBETWEEN(2979,3282)))</f>
        <v>85353601.901582628</v>
      </c>
      <c r="B7627">
        <v>143885478.08063096</v>
      </c>
    </row>
    <row r="7628" spans="1:2" x14ac:dyDescent="0.25">
      <c r="A7628">
        <f ca="1">27623.6743044248*((RANDBETWEEN(2979,3282)))</f>
        <v>86102992.806892082</v>
      </c>
      <c r="B7628">
        <v>150728502.15859511</v>
      </c>
    </row>
    <row r="7629" spans="1:2" x14ac:dyDescent="0.25">
      <c r="A7629">
        <f ca="1">27263.6893634304*((RANDBETWEEN(2979,3282)))</f>
        <v>88170771.401333854</v>
      </c>
      <c r="B7629">
        <v>177192837.38460946</v>
      </c>
    </row>
    <row r="7630" spans="1:2" x14ac:dyDescent="0.25">
      <c r="A7630">
        <f ca="1">34758.3094277184*((RANDBETWEEN(2979,3282)))</f>
        <v>112686439.16466308</v>
      </c>
      <c r="B7630">
        <v>174868040.26422065</v>
      </c>
    </row>
    <row r="7631" spans="1:2" x14ac:dyDescent="0.25">
      <c r="A7631">
        <f ca="1">27086.8020584319*((RANDBETWEEN(2979,3282)))</f>
        <v>81179145.769120321</v>
      </c>
      <c r="B7631">
        <v>181646734.56699196</v>
      </c>
    </row>
    <row r="7632" spans="1:2" x14ac:dyDescent="0.25">
      <c r="A7632">
        <f ca="1">28431.4930567663*((RANDBETWEEN(2979,3282)))</f>
        <v>90867051.809425145</v>
      </c>
      <c r="B7632">
        <v>150682292.20906138</v>
      </c>
    </row>
    <row r="7633" spans="1:2" x14ac:dyDescent="0.25">
      <c r="A7633">
        <f ca="1">29896.3253799371*((RANDBETWEEN(2979,3282)))</f>
        <v>91422963.011847615</v>
      </c>
      <c r="B7633">
        <v>157486173.62009072</v>
      </c>
    </row>
    <row r="7634" spans="1:2" x14ac:dyDescent="0.25">
      <c r="A7634">
        <f ca="1">30029.2987862263*((RANDBETWEEN(2979,3282)))</f>
        <v>93030767.639729083</v>
      </c>
      <c r="B7634">
        <v>163193507.42339993</v>
      </c>
    </row>
    <row r="7635" spans="1:2" x14ac:dyDescent="0.25">
      <c r="A7635">
        <f ca="1">32021.5893020871*((RANDBETWEEN(2979,3282)))</f>
        <v>100419704.0513452</v>
      </c>
      <c r="B7635">
        <v>193308405.53136736</v>
      </c>
    </row>
    <row r="7636" spans="1:2" x14ac:dyDescent="0.25">
      <c r="A7636">
        <f ca="1">26091.1816225734*((RANDBETWEEN(2979,3282)))</f>
        <v>81169666.027825877</v>
      </c>
      <c r="B7636">
        <v>163251787.77930376</v>
      </c>
    </row>
    <row r="7637" spans="1:2" x14ac:dyDescent="0.25">
      <c r="A7637">
        <f ca="1">25856.6665082887*((RANDBETWEEN(2979,3282)))</f>
        <v>83517032.821772605</v>
      </c>
      <c r="B7637">
        <v>146974085.93912262</v>
      </c>
    </row>
    <row r="7638" spans="1:2" x14ac:dyDescent="0.25">
      <c r="A7638">
        <f ca="1">27300.4801463014*((RANDBETWEEN(2979,3282)))</f>
        <v>86078413.901288405</v>
      </c>
      <c r="B7638">
        <v>155592889.37868974</v>
      </c>
    </row>
    <row r="7639" spans="1:2" x14ac:dyDescent="0.25">
      <c r="A7639">
        <f ca="1">30339.7408769132*((RANDBETWEEN(2979,3282)))</f>
        <v>93294703.196508154</v>
      </c>
      <c r="B7639">
        <v>180331877.41341281</v>
      </c>
    </row>
    <row r="7640" spans="1:2" x14ac:dyDescent="0.25">
      <c r="A7640">
        <f ca="1">27195.3931320731*((RANDBETWEEN(2979,3282)))</f>
        <v>84142546.350634217</v>
      </c>
      <c r="B7640">
        <v>153985975.9833605</v>
      </c>
    </row>
    <row r="7641" spans="1:2" x14ac:dyDescent="0.25">
      <c r="A7641">
        <f ca="1">26658.165307998*((RANDBETWEEN(2979,3282)))</f>
        <v>83973220.720193803</v>
      </c>
      <c r="B7641">
        <v>182025040.14234138</v>
      </c>
    </row>
    <row r="7642" spans="1:2" x14ac:dyDescent="0.25">
      <c r="A7642">
        <f ca="1">27216.0247256676*((RANDBETWEEN(2979,3282)))</f>
        <v>84832349.069906011</v>
      </c>
      <c r="B7642">
        <v>157129924.8163563</v>
      </c>
    </row>
    <row r="7643" spans="1:2" x14ac:dyDescent="0.25">
      <c r="A7643">
        <f ca="1">28998.8631335146*((RANDBETWEEN(2979,3282)))</f>
        <v>87895554.157682896</v>
      </c>
      <c r="B7643">
        <v>156273305.53806761</v>
      </c>
    </row>
    <row r="7644" spans="1:2" x14ac:dyDescent="0.25">
      <c r="A7644">
        <f ca="1">31049.0019281547*((RANDBETWEEN(2979,3282)))</f>
        <v>95537778.932932064</v>
      </c>
      <c r="B7644">
        <v>169596139.22926271</v>
      </c>
    </row>
    <row r="7645" spans="1:2" x14ac:dyDescent="0.25">
      <c r="A7645">
        <f ca="1">28325.8856975726*((RANDBETWEEN(2979,3282)))</f>
        <v>85969063.092132747</v>
      </c>
      <c r="B7645">
        <v>153081822.33556828</v>
      </c>
    </row>
    <row r="7646" spans="1:2" x14ac:dyDescent="0.25">
      <c r="A7646">
        <f ca="1">26658.5510196017*((RANDBETWEEN(2979,3282)))</f>
        <v>81975044.3852752</v>
      </c>
      <c r="B7646">
        <v>175291177.24800906</v>
      </c>
    </row>
    <row r="7647" spans="1:2" x14ac:dyDescent="0.25">
      <c r="A7647">
        <f ca="1">27523.4207645182*((RANDBETWEEN(2979,3282)))</f>
        <v>86588681.725174204</v>
      </c>
      <c r="B7647">
        <v>149244476.26957181</v>
      </c>
    </row>
    <row r="7648" spans="1:2" x14ac:dyDescent="0.25">
      <c r="A7648">
        <f ca="1">29592.04447101*((RANDBETWEEN(2979,3282)))</f>
        <v>94309845.72910887</v>
      </c>
      <c r="B7648">
        <v>169600822.44466165</v>
      </c>
    </row>
    <row r="7649" spans="1:2" x14ac:dyDescent="0.25">
      <c r="A7649">
        <f ca="1">27662.2467653983*((RANDBETWEEN(2979,3282)))</f>
        <v>88214904.934855253</v>
      </c>
      <c r="B7649">
        <v>146510587.51938683</v>
      </c>
    </row>
    <row r="7650" spans="1:2" x14ac:dyDescent="0.25">
      <c r="A7650">
        <f ca="1">26597.62314988*((RANDBETWEEN(2979,3282)))</f>
        <v>83383548.574873775</v>
      </c>
      <c r="B7650">
        <v>163382322.95107794</v>
      </c>
    </row>
    <row r="7651" spans="1:2" x14ac:dyDescent="0.25">
      <c r="A7651">
        <f ca="1">33107.3764962299*((RANDBETWEEN(2979,3282)))</f>
        <v>103096370.40926005</v>
      </c>
      <c r="B7651">
        <v>192179478.45646492</v>
      </c>
    </row>
    <row r="7652" spans="1:2" x14ac:dyDescent="0.25">
      <c r="A7652">
        <f ca="1">28359.7046027031*((RANDBETWEEN(2979,3282)))</f>
        <v>88737515.701858014</v>
      </c>
      <c r="B7652">
        <v>159221721.44617915</v>
      </c>
    </row>
    <row r="7653" spans="1:2" x14ac:dyDescent="0.25">
      <c r="A7653">
        <f ca="1">26808.0182420711*((RANDBETWEEN(2979,3282)))</f>
        <v>83935905.115924567</v>
      </c>
      <c r="B7653">
        <v>143497619.92434821</v>
      </c>
    </row>
    <row r="7654" spans="1:2" x14ac:dyDescent="0.25">
      <c r="A7654">
        <f ca="1">33459.7124535527*((RANDBETWEEN(2979,3282)))</f>
        <v>100312217.93575101</v>
      </c>
      <c r="B7654">
        <v>191225255.95889601</v>
      </c>
    </row>
    <row r="7655" spans="1:2" x14ac:dyDescent="0.25">
      <c r="A7655">
        <f ca="1">27047.3272428327*((RANDBETWEEN(2979,3282)))</f>
        <v>83495099.198624417</v>
      </c>
      <c r="B7655">
        <v>160523011.98181742</v>
      </c>
    </row>
    <row r="7656" spans="1:2" x14ac:dyDescent="0.25">
      <c r="A7656">
        <f ca="1">28811.4693703258*((RANDBETWEEN(2979,3282)))</f>
        <v>86751334.27405107</v>
      </c>
      <c r="B7656">
        <v>193059518.52969533</v>
      </c>
    </row>
    <row r="7657" spans="1:2" x14ac:dyDescent="0.25">
      <c r="A7657">
        <f ca="1">31390.089881198*((RANDBETWEEN(2979,3282)))</f>
        <v>93636638.11561355</v>
      </c>
      <c r="B7657">
        <v>191466977.36587369</v>
      </c>
    </row>
    <row r="7658" spans="1:2" x14ac:dyDescent="0.25">
      <c r="A7658">
        <f ca="1">28482.0555563095*((RANDBETWEEN(2979,3282)))</f>
        <v>88436782.502341107</v>
      </c>
      <c r="B7658">
        <v>155250830.69750243</v>
      </c>
    </row>
    <row r="7659" spans="1:2" x14ac:dyDescent="0.25">
      <c r="A7659">
        <f ca="1">30911.1947764308*((RANDBETWEEN(2979,3282)))</f>
        <v>99626780.764436424</v>
      </c>
      <c r="B7659">
        <v>143414914.78687939</v>
      </c>
    </row>
    <row r="7660" spans="1:2" x14ac:dyDescent="0.25">
      <c r="A7660">
        <f ca="1">25534.3609753212*((RANDBETWEEN(2979,3282)))</f>
        <v>78850106.691791743</v>
      </c>
      <c r="B7660">
        <v>158102990.96133259</v>
      </c>
    </row>
    <row r="7661" spans="1:2" x14ac:dyDescent="0.25">
      <c r="A7661">
        <f ca="1">25940.9243587128*((RANDBETWEEN(2979,3282)))</f>
        <v>82725607.779935166</v>
      </c>
      <c r="B7661">
        <v>146501328.84691185</v>
      </c>
    </row>
    <row r="7662" spans="1:2" x14ac:dyDescent="0.25">
      <c r="A7662">
        <f ca="1">29502.0662111589*((RANDBETWEEN(2979,3282)))</f>
        <v>93285533.359684408</v>
      </c>
      <c r="B7662">
        <v>163084043.81409955</v>
      </c>
    </row>
    <row r="7663" spans="1:2" x14ac:dyDescent="0.25">
      <c r="A7663">
        <f ca="1">29929.5496850942*((RANDBETWEEN(2979,3282)))</f>
        <v>91793928.884183899</v>
      </c>
      <c r="B7663">
        <v>164194452.49963474</v>
      </c>
    </row>
    <row r="7664" spans="1:2" x14ac:dyDescent="0.25">
      <c r="A7664">
        <f ca="1">26223.6083297193*((RANDBETWEEN(2979,3282)))</f>
        <v>85436515.938225448</v>
      </c>
      <c r="B7664">
        <v>181692005.51529926</v>
      </c>
    </row>
    <row r="7665" spans="1:2" x14ac:dyDescent="0.25">
      <c r="A7665">
        <f ca="1">28089.3959631851*((RANDBETWEEN(2979,3282)))</f>
        <v>87273753.257616058</v>
      </c>
      <c r="B7665">
        <v>166256677.45982933</v>
      </c>
    </row>
    <row r="7666" spans="1:2" x14ac:dyDescent="0.25">
      <c r="A7666">
        <f ca="1">32011.2213047955*((RANDBETWEEN(2979,3282)))</f>
        <v>97538191.315711826</v>
      </c>
      <c r="B7666">
        <v>160749018.16955334</v>
      </c>
    </row>
    <row r="7667" spans="1:2" x14ac:dyDescent="0.25">
      <c r="A7667">
        <f ca="1">28156.1540097974*((RANDBETWEEN(2979,3282)))</f>
        <v>86242299.732009292</v>
      </c>
      <c r="B7667">
        <v>149536566.3935588</v>
      </c>
    </row>
    <row r="7668" spans="1:2" x14ac:dyDescent="0.25">
      <c r="A7668">
        <f ca="1">29747.9328318076*((RANDBETWEEN(2979,3282)))</f>
        <v>94003467.748512059</v>
      </c>
      <c r="B7668">
        <v>195178996.9173041</v>
      </c>
    </row>
    <row r="7669" spans="1:2" x14ac:dyDescent="0.25">
      <c r="A7669">
        <f ca="1">28023.7081422074*((RANDBETWEEN(2979,3282)))</f>
        <v>84463456.340612978</v>
      </c>
      <c r="B7669">
        <v>158880917.54650232</v>
      </c>
    </row>
    <row r="7670" spans="1:2" x14ac:dyDescent="0.25">
      <c r="A7670">
        <f ca="1">31579.9711979136*((RANDBETWEEN(2979,3282)))</f>
        <v>96539971.952021733</v>
      </c>
      <c r="B7670">
        <v>194909256.39178908</v>
      </c>
    </row>
    <row r="7671" spans="1:2" x14ac:dyDescent="0.25">
      <c r="A7671">
        <f ca="1">31566.0798293567*((RANDBETWEEN(2979,3282)))</f>
        <v>102779155.92438537</v>
      </c>
      <c r="B7671">
        <v>164412526.08355227</v>
      </c>
    </row>
    <row r="7672" spans="1:2" x14ac:dyDescent="0.25">
      <c r="A7672">
        <f ca="1">26925.5707169162*((RANDBETWEEN(2979,3282)))</f>
        <v>88073541.815032989</v>
      </c>
      <c r="B7672">
        <v>164906857.91611111</v>
      </c>
    </row>
    <row r="7673" spans="1:2" x14ac:dyDescent="0.25">
      <c r="A7673">
        <f ca="1">25734.2176165848*((RANDBETWEEN(2979,3282)))</f>
        <v>83198725.554418758</v>
      </c>
      <c r="B7673">
        <v>152932807.19953927</v>
      </c>
    </row>
    <row r="7674" spans="1:2" x14ac:dyDescent="0.25">
      <c r="A7674">
        <f ca="1">32623.4707847523*((RANDBETWEEN(2979,3282)))</f>
        <v>105047575.9269024</v>
      </c>
      <c r="B7674">
        <v>172347902.61121297</v>
      </c>
    </row>
    <row r="7675" spans="1:2" x14ac:dyDescent="0.25">
      <c r="A7675">
        <f ca="1">30613.0672860291*((RANDBETWEEN(2979,3282)))</f>
        <v>100104730.02531514</v>
      </c>
      <c r="B7675">
        <v>158405559.66601229</v>
      </c>
    </row>
    <row r="7676" spans="1:2" x14ac:dyDescent="0.25">
      <c r="A7676">
        <f ca="1">28280.4209096653*((RANDBETWEEN(2979,3282)))</f>
        <v>91826526.693683252</v>
      </c>
      <c r="B7676">
        <v>169649616.54472649</v>
      </c>
    </row>
    <row r="7677" spans="1:2" x14ac:dyDescent="0.25">
      <c r="A7677">
        <f ca="1">28023.9918941652*((RANDBETWEEN(2979,3282)))</f>
        <v>83763711.771659777</v>
      </c>
      <c r="B7677">
        <v>149529229.79210749</v>
      </c>
    </row>
    <row r="7678" spans="1:2" x14ac:dyDescent="0.25">
      <c r="A7678">
        <f ca="1">27840.8604026232*((RANDBETWEEN(2979,3282)))</f>
        <v>89786774.798459724</v>
      </c>
      <c r="B7678">
        <v>177371736.57703149</v>
      </c>
    </row>
    <row r="7679" spans="1:2" x14ac:dyDescent="0.25">
      <c r="A7679">
        <f ca="1">28087.8708370679*((RANDBETWEEN(2979,3282)))</f>
        <v>89178989.907690585</v>
      </c>
      <c r="B7679">
        <v>202734954.18475297</v>
      </c>
    </row>
    <row r="7680" spans="1:2" x14ac:dyDescent="0.25">
      <c r="A7680">
        <f ca="1">28428.120363935*((RANDBETWEEN(2979,3282)))</f>
        <v>85881351.619447768</v>
      </c>
      <c r="B7680">
        <v>166785745.19571346</v>
      </c>
    </row>
    <row r="7681" spans="1:2" x14ac:dyDescent="0.25">
      <c r="A7681">
        <f ca="1">27090.3311090799*((RANDBETWEEN(2979,3282)))</f>
        <v>88612473.057800502</v>
      </c>
      <c r="B7681">
        <v>168383079.17462841</v>
      </c>
    </row>
    <row r="7682" spans="1:2" x14ac:dyDescent="0.25">
      <c r="A7682">
        <f ca="1">31288.9075265027*((RANDBETWEEN(2979,3282)))</f>
        <v>100249659.71491461</v>
      </c>
      <c r="B7682">
        <v>171618609.99042362</v>
      </c>
    </row>
    <row r="7683" spans="1:2" x14ac:dyDescent="0.25">
      <c r="A7683">
        <f ca="1">25491.9471917713*((RANDBETWEEN(2979,3282)))</f>
        <v>76144446.261821032</v>
      </c>
      <c r="B7683">
        <v>145054530.85776269</v>
      </c>
    </row>
    <row r="7684" spans="1:2" x14ac:dyDescent="0.25">
      <c r="A7684">
        <f ca="1">30515.2735240359*((RANDBETWEEN(2979,3282)))</f>
        <v>98900001.491400227</v>
      </c>
      <c r="B7684">
        <v>144712996.1547465</v>
      </c>
    </row>
    <row r="7685" spans="1:2" x14ac:dyDescent="0.25">
      <c r="A7685">
        <f ca="1">29728.3067624302*((RANDBETWEEN(2979,3282)))</f>
        <v>92990143.552881718</v>
      </c>
      <c r="B7685">
        <v>194171196.25069505</v>
      </c>
    </row>
    <row r="7686" spans="1:2" x14ac:dyDescent="0.25">
      <c r="A7686">
        <f ca="1">26815.7285072869*((RANDBETWEEN(2979,3282)))</f>
        <v>84308650.426910162</v>
      </c>
      <c r="B7686">
        <v>181917762.85643685</v>
      </c>
    </row>
    <row r="7687" spans="1:2" x14ac:dyDescent="0.25">
      <c r="A7687">
        <f ca="1">28006.0460798308*((RANDBETWEEN(2979,3282)))</f>
        <v>91747806.95752582</v>
      </c>
      <c r="B7687">
        <v>170899243.39294538</v>
      </c>
    </row>
    <row r="7688" spans="1:2" x14ac:dyDescent="0.25">
      <c r="A7688">
        <f ca="1">28006.1436443496*((RANDBETWEEN(2979,3282)))</f>
        <v>84578553.805935904</v>
      </c>
      <c r="B7688">
        <v>181925930.55735582</v>
      </c>
    </row>
    <row r="7689" spans="1:2" x14ac:dyDescent="0.25">
      <c r="A7689">
        <f ca="1">25513.6304549345*((RANDBETWEEN(2979,3282)))</f>
        <v>81082317.585781991</v>
      </c>
      <c r="B7689">
        <v>145795571.50919372</v>
      </c>
    </row>
    <row r="7690" spans="1:2" x14ac:dyDescent="0.25">
      <c r="A7690">
        <f ca="1">30085.486064081*((RANDBETWEEN(2979,3282)))</f>
        <v>96393897.34931539</v>
      </c>
      <c r="B7690">
        <v>143163776.03957728</v>
      </c>
    </row>
    <row r="7691" spans="1:2" x14ac:dyDescent="0.25">
      <c r="A7691">
        <f ca="1">30467.1777249811*((RANDBETWEEN(2979,3282)))</f>
        <v>99140196.3170885</v>
      </c>
      <c r="B7691">
        <v>157564352.65833873</v>
      </c>
    </row>
    <row r="7692" spans="1:2" x14ac:dyDescent="0.25">
      <c r="A7692">
        <f ca="1">29973.2169207576*((RANDBETWEEN(2979,3282)))</f>
        <v>93636329.660446614</v>
      </c>
      <c r="B7692">
        <v>203403831.37235358</v>
      </c>
    </row>
    <row r="7693" spans="1:2" x14ac:dyDescent="0.25">
      <c r="A7693">
        <f ca="1">31933.5108564779*((RANDBETWEEN(2979,3282)))</f>
        <v>96726604.384271413</v>
      </c>
      <c r="B7693">
        <v>176892187.29341623</v>
      </c>
    </row>
    <row r="7694" spans="1:2" x14ac:dyDescent="0.25">
      <c r="A7694">
        <f ca="1">28632.2546004896*((RANDBETWEEN(2979,3282)))</f>
        <v>93885162.835005552</v>
      </c>
      <c r="B7694">
        <v>190898795.76730442</v>
      </c>
    </row>
    <row r="7695" spans="1:2" x14ac:dyDescent="0.25">
      <c r="A7695">
        <f ca="1">26025.5692578601*((RANDBETWEEN(2979,3282)))</f>
        <v>79612216.35979414</v>
      </c>
      <c r="B7695">
        <v>158103934.67874646</v>
      </c>
    </row>
    <row r="7696" spans="1:2" x14ac:dyDescent="0.25">
      <c r="A7696">
        <f ca="1">26262.1460847941*((RANDBETWEEN(2979,3282)))</f>
        <v>79968234.828198001</v>
      </c>
      <c r="B7696">
        <v>151712077.40994158</v>
      </c>
    </row>
    <row r="7697" spans="1:2" x14ac:dyDescent="0.25">
      <c r="A7697">
        <f ca="1">26094.6185455258*((RANDBETWEEN(2979,3282)))</f>
        <v>84598753.324594766</v>
      </c>
      <c r="B7697">
        <v>156708954.52725872</v>
      </c>
    </row>
    <row r="7698" spans="1:2" x14ac:dyDescent="0.25">
      <c r="A7698">
        <f ca="1">25957.0730985681*((RANDBETWEEN(2979,3282)))</f>
        <v>83451990.011896297</v>
      </c>
      <c r="B7698">
        <v>148914748.73475862</v>
      </c>
    </row>
    <row r="7699" spans="1:2" x14ac:dyDescent="0.25">
      <c r="A7699">
        <f ca="1">27797.1786115368*((RANDBETWEEN(2979,3282)))</f>
        <v>90313033.308882967</v>
      </c>
      <c r="B7699">
        <v>175377347.96673527</v>
      </c>
    </row>
    <row r="7700" spans="1:2" x14ac:dyDescent="0.25">
      <c r="A7700">
        <f ca="1">27230.6226007806*((RANDBETWEEN(2979,3282)))</f>
        <v>89261980.88535884</v>
      </c>
      <c r="B7700">
        <v>162763804.43238756</v>
      </c>
    </row>
    <row r="7701" spans="1:2" x14ac:dyDescent="0.25">
      <c r="A7701">
        <f ca="1">33305.3191294491*((RANDBETWEEN(2979,3282)))</f>
        <v>106010830.78903638</v>
      </c>
      <c r="B7701">
        <v>176916194.03115684</v>
      </c>
    </row>
    <row r="7702" spans="1:2" x14ac:dyDescent="0.25">
      <c r="A7702">
        <f ca="1">26710.6605183215*((RANDBETWEEN(2979,3282)))</f>
        <v>84378976.577377528</v>
      </c>
      <c r="B7702">
        <v>145452836.33104643</v>
      </c>
    </row>
    <row r="7703" spans="1:2" x14ac:dyDescent="0.25">
      <c r="A7703">
        <f ca="1">26771.3868777047*((RANDBETWEEN(2979,3282)))</f>
        <v>86766064.870641053</v>
      </c>
      <c r="B7703">
        <v>179269635.30491853</v>
      </c>
    </row>
    <row r="7704" spans="1:2" x14ac:dyDescent="0.25">
      <c r="A7704">
        <f ca="1">32562.3397796359*((RANDBETWEEN(2979,3282)))</f>
        <v>103711052.19814031</v>
      </c>
      <c r="B7704">
        <v>142906902.05272344</v>
      </c>
    </row>
    <row r="7705" spans="1:2" x14ac:dyDescent="0.25">
      <c r="A7705">
        <f ca="1">27752.8418038612*((RANDBETWEEN(2979,3282)))</f>
        <v>89641679.026471823</v>
      </c>
      <c r="B7705">
        <v>174299517.12059554</v>
      </c>
    </row>
    <row r="7706" spans="1:2" x14ac:dyDescent="0.25">
      <c r="A7706">
        <f ca="1">26477.6934911985*((RANDBETWEEN(2979,3282)))</f>
        <v>84225542.995502532</v>
      </c>
      <c r="B7706">
        <v>150976114.36766601</v>
      </c>
    </row>
    <row r="7707" spans="1:2" x14ac:dyDescent="0.25">
      <c r="A7707">
        <f ca="1">30895.1815785744*((RANDBETWEEN(2979,3282)))</f>
        <v>94724626.719909117</v>
      </c>
      <c r="B7707">
        <v>145930697.85579902</v>
      </c>
    </row>
    <row r="7708" spans="1:2" x14ac:dyDescent="0.25">
      <c r="A7708">
        <f ca="1">27272.4451179429*((RANDBETWEEN(2979,3282)))</f>
        <v>87653638.609068364</v>
      </c>
      <c r="B7708">
        <v>159487450.36237705</v>
      </c>
    </row>
    <row r="7709" spans="1:2" x14ac:dyDescent="0.25">
      <c r="A7709">
        <f ca="1">27351.6820021589*((RANDBETWEEN(2979,3282)))</f>
        <v>84079070.474636346</v>
      </c>
      <c r="B7709">
        <v>161107677.86100459</v>
      </c>
    </row>
    <row r="7710" spans="1:2" x14ac:dyDescent="0.25">
      <c r="A7710">
        <f ca="1">28531.9366690333*((RANDBETWEEN(2979,3282)))</f>
        <v>91815772.200949177</v>
      </c>
      <c r="B7710">
        <v>162892011.22984079</v>
      </c>
    </row>
    <row r="7711" spans="1:2" x14ac:dyDescent="0.25">
      <c r="A7711">
        <f ca="1">27658.1398858958*((RANDBETWEEN(2979,3282)))</f>
        <v>86099789.464793488</v>
      </c>
      <c r="B7711">
        <v>194674968.32833472</v>
      </c>
    </row>
    <row r="7712" spans="1:2" x14ac:dyDescent="0.25">
      <c r="A7712">
        <f ca="1">30983.2417365372*((RANDBETWEEN(2979,3282)))</f>
        <v>100230787.01769771</v>
      </c>
      <c r="B7712">
        <v>158086044.14081246</v>
      </c>
    </row>
    <row r="7713" spans="1:2" x14ac:dyDescent="0.25">
      <c r="A7713">
        <f ca="1">31546.3684607748*((RANDBETWEEN(2979,3282)))</f>
        <v>100317451.70526399</v>
      </c>
      <c r="B7713">
        <v>203061779.44695705</v>
      </c>
    </row>
    <row r="7714" spans="1:2" x14ac:dyDescent="0.25">
      <c r="A7714">
        <f ca="1">26367.0254793767*((RANDBETWEEN(2979,3282)))</f>
        <v>78784672.132377565</v>
      </c>
      <c r="B7714">
        <v>152721513.42323849</v>
      </c>
    </row>
    <row r="7715" spans="1:2" x14ac:dyDescent="0.25">
      <c r="A7715">
        <f ca="1">28556.9225192075*((RANDBETWEEN(2979,3282)))</f>
        <v>88497902.88702397</v>
      </c>
      <c r="B7715">
        <v>192376389.80649722</v>
      </c>
    </row>
    <row r="7716" spans="1:2" x14ac:dyDescent="0.25">
      <c r="A7716">
        <f ca="1">28211.6321703357*((RANDBETWEEN(2979,3282)))</f>
        <v>84832377.936199382</v>
      </c>
      <c r="B7716">
        <v>154495851.99378681</v>
      </c>
    </row>
    <row r="7717" spans="1:2" x14ac:dyDescent="0.25">
      <c r="A7717">
        <f ca="1">26807.654936964*((RANDBETWEEN(2979,3282)))</f>
        <v>86427879.516771957</v>
      </c>
      <c r="B7717">
        <v>144471539.90005919</v>
      </c>
    </row>
    <row r="7718" spans="1:2" x14ac:dyDescent="0.25">
      <c r="A7718">
        <f ca="1">26407.5479481102*((RANDBETWEEN(2979,3282)))</f>
        <v>82866885.46116969</v>
      </c>
      <c r="B7718">
        <v>159217120.81078529</v>
      </c>
    </row>
    <row r="7719" spans="1:2" x14ac:dyDescent="0.25">
      <c r="A7719">
        <f ca="1">31158.0919470272*((RANDBETWEEN(2979,3282)))</f>
        <v>100484846.52916269</v>
      </c>
      <c r="B7719">
        <v>156940025.31245187</v>
      </c>
    </row>
    <row r="7720" spans="1:2" x14ac:dyDescent="0.25">
      <c r="A7720">
        <f ca="1">27762.010621642*((RANDBETWEEN(2979,3282)))</f>
        <v>84785180.438494548</v>
      </c>
      <c r="B7720">
        <v>147539784.14215794</v>
      </c>
    </row>
    <row r="7721" spans="1:2" x14ac:dyDescent="0.25">
      <c r="A7721">
        <f ca="1">26096.3685597458*((RANDBETWEEN(2979,3282)))</f>
        <v>78784936.681872442</v>
      </c>
      <c r="B7721">
        <v>167134868.62140986</v>
      </c>
    </row>
    <row r="7722" spans="1:2" x14ac:dyDescent="0.25">
      <c r="A7722">
        <f ca="1">25762.2596113787*((RANDBETWEEN(2979,3282)))</f>
        <v>84448687.006099254</v>
      </c>
      <c r="B7722">
        <v>197827289.09660375</v>
      </c>
    </row>
    <row r="7723" spans="1:2" x14ac:dyDescent="0.25">
      <c r="A7723">
        <f ca="1">30619.6095664382*((RANDBETWEEN(2979,3282)))</f>
        <v>98472664.365665406</v>
      </c>
      <c r="B7723">
        <v>162381293.1431087</v>
      </c>
    </row>
    <row r="7724" spans="1:2" x14ac:dyDescent="0.25">
      <c r="A7724">
        <f ca="1">28249.0514213988*((RANDBETWEEN(2979,3282)))</f>
        <v>87628557.50917913</v>
      </c>
      <c r="B7724">
        <v>147961229.13607389</v>
      </c>
    </row>
    <row r="7725" spans="1:2" x14ac:dyDescent="0.25">
      <c r="A7725">
        <f ca="1">27077.8072338362*((RANDBETWEEN(2979,3282)))</f>
        <v>83778735.58148931</v>
      </c>
      <c r="B7725">
        <v>147535002.55055964</v>
      </c>
    </row>
    <row r="7726" spans="1:2" x14ac:dyDescent="0.25">
      <c r="A7726">
        <f ca="1">25350.5139750951*((RANDBETWEEN(2979,3282)))</f>
        <v>76507851.176836967</v>
      </c>
      <c r="B7726">
        <v>149695824.02027452</v>
      </c>
    </row>
    <row r="7727" spans="1:2" x14ac:dyDescent="0.25">
      <c r="A7727">
        <f ca="1">26772.8253546409*((RANDBETWEEN(2979,3282)))</f>
        <v>83986353.137508392</v>
      </c>
      <c r="B7727">
        <v>156193358.04002166</v>
      </c>
    </row>
    <row r="7728" spans="1:2" x14ac:dyDescent="0.25">
      <c r="A7728">
        <f ca="1">27235.7334101665*((RANDBETWEEN(2979,3282)))</f>
        <v>82197443.431882471</v>
      </c>
      <c r="B7728">
        <v>187145828.30417079</v>
      </c>
    </row>
    <row r="7729" spans="1:2" x14ac:dyDescent="0.25">
      <c r="A7729">
        <f ca="1">27128.7252686918*((RANDBETWEEN(2979,3282)))</f>
        <v>88385386.925397962</v>
      </c>
      <c r="B7729">
        <v>161011575.07966858</v>
      </c>
    </row>
    <row r="7730" spans="1:2" x14ac:dyDescent="0.25">
      <c r="A7730">
        <f ca="1">30321.5568068272*((RANDBETWEEN(2979,3282)))</f>
        <v>97089624.895460799</v>
      </c>
      <c r="B7730">
        <v>144792502.76366127</v>
      </c>
    </row>
    <row r="7731" spans="1:2" x14ac:dyDescent="0.25">
      <c r="A7731">
        <f ca="1">29538.3685452197*((RANDBETWEEN(2979,3282)))</f>
        <v>88349260.31875217</v>
      </c>
      <c r="B7731">
        <v>173061519.0965597</v>
      </c>
    </row>
    <row r="7732" spans="1:2" x14ac:dyDescent="0.25">
      <c r="A7732">
        <f ca="1">28981.9058732065*((RANDBETWEEN(2979,3282)))</f>
        <v>91293003.500600338</v>
      </c>
      <c r="B7732">
        <v>185224100.76232612</v>
      </c>
    </row>
    <row r="7733" spans="1:2" x14ac:dyDescent="0.25">
      <c r="A7733">
        <f ca="1">33025.6276653388*((RANDBETWEEN(2979,3282)))</f>
        <v>107333289.91235095</v>
      </c>
      <c r="B7733">
        <v>198665861.11070439</v>
      </c>
    </row>
    <row r="7734" spans="1:2" x14ac:dyDescent="0.25">
      <c r="A7734">
        <f ca="1">26617.3148649581*((RANDBETWEEN(2979,3282)))</f>
        <v>86213482.847599179</v>
      </c>
      <c r="B7734">
        <v>193559859.53871658</v>
      </c>
    </row>
    <row r="7735" spans="1:2" x14ac:dyDescent="0.25">
      <c r="A7735">
        <f ca="1">30085.5940699128*((RANDBETWEEN(2979,3282)))</f>
        <v>96695099.340699747</v>
      </c>
      <c r="B7735">
        <v>162518204.95938528</v>
      </c>
    </row>
    <row r="7736" spans="1:2" x14ac:dyDescent="0.25">
      <c r="A7736">
        <f ca="1">27172.0001720031*((RANDBETWEEN(2979,3282)))</f>
        <v>83934308.531317458</v>
      </c>
      <c r="B7736">
        <v>149904038.75132322</v>
      </c>
    </row>
    <row r="7737" spans="1:2" x14ac:dyDescent="0.25">
      <c r="A7737">
        <f ca="1">26403.7240013715*((RANDBETWEEN(2979,3282)))</f>
        <v>81930755.576255813</v>
      </c>
      <c r="B7737">
        <v>149048729.87597394</v>
      </c>
    </row>
    <row r="7738" spans="1:2" x14ac:dyDescent="0.25">
      <c r="A7738">
        <f ca="1">27408.0465122026*((RANDBETWEEN(2979,3282)))</f>
        <v>85842001.676218554</v>
      </c>
      <c r="B7738">
        <v>145819380.57117692</v>
      </c>
    </row>
    <row r="7739" spans="1:2" x14ac:dyDescent="0.25">
      <c r="A7739">
        <f ca="1">27354.8009338686*((RANDBETWEEN(2979,3282)))</f>
        <v>82556789.218415394</v>
      </c>
      <c r="B7739">
        <v>156963520.83253449</v>
      </c>
    </row>
    <row r="7740" spans="1:2" x14ac:dyDescent="0.25">
      <c r="A7740">
        <f ca="1">32994.9328586519*((RANDBETWEEN(2979,3282)))</f>
        <v>99413732.703118056</v>
      </c>
      <c r="B7740">
        <v>152403300.75733438</v>
      </c>
    </row>
    <row r="7741" spans="1:2" x14ac:dyDescent="0.25">
      <c r="A7741">
        <f ca="1">27001.9210476863*((RANDBETWEEN(2979,3282)))</f>
        <v>84597018.642401293</v>
      </c>
      <c r="B7741">
        <v>143016345.3529188</v>
      </c>
    </row>
    <row r="7742" spans="1:2" x14ac:dyDescent="0.25">
      <c r="A7742">
        <f ca="1">27052.6259123859*((RANDBETWEEN(2979,3282)))</f>
        <v>87677560.582042769</v>
      </c>
      <c r="B7742">
        <v>152039473.90641934</v>
      </c>
    </row>
    <row r="7743" spans="1:2" x14ac:dyDescent="0.25">
      <c r="A7743">
        <f ca="1">25332.0355767661*((RANDBETWEEN(2979,3282)))</f>
        <v>76426751.335103214</v>
      </c>
      <c r="B7743">
        <v>155135101.34433696</v>
      </c>
    </row>
    <row r="7744" spans="1:2" x14ac:dyDescent="0.25">
      <c r="A7744">
        <f ca="1">28952.9667501659*((RANDBETWEEN(2979,3282)))</f>
        <v>90014773.626265734</v>
      </c>
      <c r="B7744">
        <v>171662531.10240197</v>
      </c>
    </row>
    <row r="7745" spans="1:2" x14ac:dyDescent="0.25">
      <c r="A7745">
        <f ca="1">26612.9508857769*((RANDBETWEEN(2979,3282)))</f>
        <v>87050962.347376198</v>
      </c>
      <c r="B7745">
        <v>189822264.98058474</v>
      </c>
    </row>
    <row r="7746" spans="1:2" x14ac:dyDescent="0.25">
      <c r="A7746">
        <f ca="1">28009.4060279894*((RANDBETWEEN(2979,3282)))</f>
        <v>88649770.0785864</v>
      </c>
      <c r="B7746">
        <v>200644526.64221907</v>
      </c>
    </row>
    <row r="7747" spans="1:2" x14ac:dyDescent="0.25">
      <c r="A7747">
        <f ca="1">26603.7123439555*((RANDBETWEEN(2979,3282)))</f>
        <v>81593585.758911639</v>
      </c>
      <c r="B7747">
        <v>145555027.71512538</v>
      </c>
    </row>
    <row r="7748" spans="1:2" x14ac:dyDescent="0.25">
      <c r="A7748">
        <f ca="1">26451.9628647954*((RANDBETWEEN(2979,3282)))</f>
        <v>78906205.225684881</v>
      </c>
      <c r="B7748">
        <v>194546718.65477949</v>
      </c>
    </row>
    <row r="7749" spans="1:2" x14ac:dyDescent="0.25">
      <c r="A7749">
        <f ca="1">27078.0094449295*((RANDBETWEEN(2979,3282)))</f>
        <v>84185531.364285767</v>
      </c>
      <c r="B7749">
        <v>148973252.4600482</v>
      </c>
    </row>
    <row r="7750" spans="1:2" x14ac:dyDescent="0.25">
      <c r="A7750">
        <f ca="1">27792.9781414013*((RANDBETWEEN(2979,3282)))</f>
        <v>90438350.872119799</v>
      </c>
      <c r="B7750">
        <v>184300251.79855132</v>
      </c>
    </row>
    <row r="7751" spans="1:2" x14ac:dyDescent="0.25">
      <c r="A7751">
        <f ca="1">25654.1939852644*((RANDBETWEEN(2979,3282)))</f>
        <v>77886132.939262688</v>
      </c>
      <c r="B7751">
        <v>161151251.72958493</v>
      </c>
    </row>
    <row r="7752" spans="1:2" x14ac:dyDescent="0.25">
      <c r="A7752">
        <f ca="1">26839.8532087176*((RANDBETWEEN(2979,3282)))</f>
        <v>86558526.598114401</v>
      </c>
      <c r="B7752">
        <v>146048120.43276057</v>
      </c>
    </row>
    <row r="7753" spans="1:2" x14ac:dyDescent="0.25">
      <c r="A7753">
        <f ca="1">26412.9568751319*((RANDBETWEEN(2979,3282)))</f>
        <v>80850060.994778723</v>
      </c>
      <c r="B7753">
        <v>164734534.25241408</v>
      </c>
    </row>
    <row r="7754" spans="1:2" x14ac:dyDescent="0.25">
      <c r="A7754">
        <f ca="1">25683.2522780032*((RANDBETWEEN(2979,3282)))</f>
        <v>80106063.855092093</v>
      </c>
      <c r="B7754">
        <v>180700917.27339917</v>
      </c>
    </row>
    <row r="7755" spans="1:2" x14ac:dyDescent="0.25">
      <c r="A7755">
        <f ca="1">27610.5917312234*((RANDBETWEEN(2979,3282)))</f>
        <v>88519557.090302184</v>
      </c>
      <c r="B7755">
        <v>150277918.98623917</v>
      </c>
    </row>
    <row r="7756" spans="1:2" x14ac:dyDescent="0.25">
      <c r="A7756">
        <f ca="1">27720.5726272342*((RANDBETWEEN(2979,3282)))</f>
        <v>83189438.454329699</v>
      </c>
      <c r="B7756">
        <v>170704833.11949092</v>
      </c>
    </row>
    <row r="7757" spans="1:2" x14ac:dyDescent="0.25">
      <c r="A7757">
        <f ca="1">25258.9785405392*((RANDBETWEEN(2979,3282)))</f>
        <v>81864349.449887574</v>
      </c>
      <c r="B7757">
        <v>156032784.87464681</v>
      </c>
    </row>
    <row r="7758" spans="1:2" x14ac:dyDescent="0.25">
      <c r="A7758">
        <f ca="1">27154.2251396391*((RANDBETWEEN(2979,3282)))</f>
        <v>84259560.608300269</v>
      </c>
      <c r="B7758">
        <v>168203238.17300314</v>
      </c>
    </row>
    <row r="7759" spans="1:2" x14ac:dyDescent="0.25">
      <c r="A7759">
        <f ca="1">29997.7235927186*((RANDBETWEEN(2979,3282)))</f>
        <v>96112706.391070321</v>
      </c>
      <c r="B7759">
        <v>200250283.63316259</v>
      </c>
    </row>
    <row r="7760" spans="1:2" x14ac:dyDescent="0.25">
      <c r="A7760">
        <f ca="1">26678.6465565734*((RANDBETWEEN(2979,3282)))</f>
        <v>82970590.790943265</v>
      </c>
      <c r="B7760">
        <v>173122933.29830176</v>
      </c>
    </row>
    <row r="7761" spans="1:2" x14ac:dyDescent="0.25">
      <c r="A7761">
        <f ca="1">28798.837024034*((RANDBETWEEN(2979,3282)))</f>
        <v>86914890.138534561</v>
      </c>
      <c r="B7761">
        <v>193439912.91710752</v>
      </c>
    </row>
    <row r="7762" spans="1:2" x14ac:dyDescent="0.25">
      <c r="A7762">
        <f ca="1">26434.6417488548*((RANDBETWEEN(2979,3282)))</f>
        <v>84326507.178846955</v>
      </c>
      <c r="B7762">
        <v>147078159.21817696</v>
      </c>
    </row>
    <row r="7763" spans="1:2" x14ac:dyDescent="0.25">
      <c r="A7763">
        <f ca="1">28149.385751192*((RANDBETWEEN(2979,3282)))</f>
        <v>87966830.472474962</v>
      </c>
      <c r="B7763">
        <v>194556256.69513693</v>
      </c>
    </row>
    <row r="7764" spans="1:2" x14ac:dyDescent="0.25">
      <c r="A7764">
        <f ca="1">27223.6426751503*((RANDBETWEEN(2979,3282)))</f>
        <v>88749075.120990098</v>
      </c>
      <c r="B7764">
        <v>170714719.96449822</v>
      </c>
    </row>
    <row r="7765" spans="1:2" x14ac:dyDescent="0.25">
      <c r="A7765">
        <f ca="1">32566.9953471313*((RANDBETWEEN(2979,3282)))</f>
        <v>105842734.87817675</v>
      </c>
      <c r="B7765">
        <v>157175311.19406414</v>
      </c>
    </row>
    <row r="7766" spans="1:2" x14ac:dyDescent="0.25">
      <c r="A7766">
        <f ca="1">29570.3195594886*((RANDBETWEEN(2979,3282)))</f>
        <v>89893771.460845381</v>
      </c>
      <c r="B7766">
        <v>187280440.10521495</v>
      </c>
    </row>
    <row r="7767" spans="1:2" x14ac:dyDescent="0.25">
      <c r="A7767">
        <f ca="1">27983.0935401624*((RANDBETWEEN(2979,3282)))</f>
        <v>85880114.074758425</v>
      </c>
      <c r="B7767">
        <v>158526369.56420112</v>
      </c>
    </row>
    <row r="7768" spans="1:2" x14ac:dyDescent="0.25">
      <c r="A7768">
        <f ca="1">26636.7461030509*((RANDBETWEEN(2979,3282)))</f>
        <v>85930142.928442195</v>
      </c>
      <c r="B7768">
        <v>146926145.96288615</v>
      </c>
    </row>
    <row r="7769" spans="1:2" x14ac:dyDescent="0.25">
      <c r="A7769">
        <f ca="1">30738.7011420258*((RANDBETWEEN(2979,3282)))</f>
        <v>99193788.58531718</v>
      </c>
      <c r="B7769">
        <v>172459948.88082415</v>
      </c>
    </row>
    <row r="7770" spans="1:2" x14ac:dyDescent="0.25">
      <c r="A7770">
        <f ca="1">26011.6016123844*((RANDBETWEEN(2979,3282)))</f>
        <v>81182208.63225162</v>
      </c>
      <c r="B7770">
        <v>147915090.14849415</v>
      </c>
    </row>
    <row r="7771" spans="1:2" x14ac:dyDescent="0.25">
      <c r="A7771">
        <f ca="1">25850.5244423662*((RANDBETWEEN(2979,3282)))</f>
        <v>82540724.544475228</v>
      </c>
      <c r="B7771">
        <v>161744662.9516767</v>
      </c>
    </row>
    <row r="7772" spans="1:2" x14ac:dyDescent="0.25">
      <c r="A7772">
        <f ca="1">29809.1762202924*((RANDBETWEEN(2979,3282)))</f>
        <v>97446197.06413579</v>
      </c>
      <c r="B7772">
        <v>179477899.4022885</v>
      </c>
    </row>
    <row r="7773" spans="1:2" x14ac:dyDescent="0.25">
      <c r="A7773">
        <f ca="1">25525.1319361022*((RANDBETWEEN(2979,3282)))</f>
        <v>79536311.112894312</v>
      </c>
      <c r="B7773">
        <v>157401994.92938697</v>
      </c>
    </row>
    <row r="7774" spans="1:2" x14ac:dyDescent="0.25">
      <c r="A7774">
        <f ca="1">26757.7115213098*((RANDBETWEEN(2979,3282)))</f>
        <v>80380165.410014763</v>
      </c>
      <c r="B7774">
        <v>157456836.75766376</v>
      </c>
    </row>
    <row r="7775" spans="1:2" x14ac:dyDescent="0.25">
      <c r="A7775">
        <f ca="1">29304.666397273*((RANDBETWEEN(2979,3282)))</f>
        <v>91166817.161916226</v>
      </c>
      <c r="B7775">
        <v>187775084.48406729</v>
      </c>
    </row>
    <row r="7776" spans="1:2" x14ac:dyDescent="0.25">
      <c r="A7776">
        <f ca="1">26277.1734394027*((RANDBETWEEN(2979,3282)))</f>
        <v>84244618.046725109</v>
      </c>
      <c r="B7776">
        <v>194730568.30648887</v>
      </c>
    </row>
    <row r="7777" spans="1:2" x14ac:dyDescent="0.25">
      <c r="A7777">
        <f ca="1">30324.5454605621*((RANDBETWEEN(2979,3282)))</f>
        <v>93824143.654979035</v>
      </c>
      <c r="B7777">
        <v>147174257.27292177</v>
      </c>
    </row>
    <row r="7778" spans="1:2" x14ac:dyDescent="0.25">
      <c r="A7778">
        <f ca="1">27707.5846508646*((RANDBETWEEN(2979,3282)))</f>
        <v>84203349.753977522</v>
      </c>
      <c r="B7778">
        <v>158071470.57525286</v>
      </c>
    </row>
    <row r="7779" spans="1:2" x14ac:dyDescent="0.25">
      <c r="A7779">
        <f ca="1">25865.2152537848*((RANDBETWEEN(2979,3282)))</f>
        <v>83570510.484978706</v>
      </c>
      <c r="B7779">
        <v>167995670.17766845</v>
      </c>
    </row>
    <row r="7780" spans="1:2" x14ac:dyDescent="0.25">
      <c r="A7780">
        <f ca="1">27159.6601629214*((RANDBETWEEN(2979,3282)))</f>
        <v>81533299.809090003</v>
      </c>
      <c r="B7780">
        <v>161250123.58213991</v>
      </c>
    </row>
    <row r="7781" spans="1:2" x14ac:dyDescent="0.25">
      <c r="A7781">
        <f ca="1">28960.4488771267*((RANDBETWEEN(2979,3282)))</f>
        <v>88850657.155024841</v>
      </c>
      <c r="B7781">
        <v>172611180.20368546</v>
      </c>
    </row>
    <row r="7782" spans="1:2" x14ac:dyDescent="0.25">
      <c r="A7782">
        <f ca="1">29502.3499545983*((RANDBETWEEN(2979,3282)))</f>
        <v>96443182.001581773</v>
      </c>
      <c r="B7782">
        <v>184766708.02148679</v>
      </c>
    </row>
    <row r="7783" spans="1:2" x14ac:dyDescent="0.25">
      <c r="A7783">
        <f ca="1">26366.0834164427*((RANDBETWEEN(2979,3282)))</f>
        <v>85821601.52052103</v>
      </c>
      <c r="B7783">
        <v>146794538.99930772</v>
      </c>
    </row>
    <row r="7784" spans="1:2" x14ac:dyDescent="0.25">
      <c r="A7784">
        <f ca="1">26165.2939104719*((RANDBETWEEN(2979,3282)))</f>
        <v>78574377.613147095</v>
      </c>
      <c r="B7784">
        <v>156101622.1590603</v>
      </c>
    </row>
    <row r="7785" spans="1:2" x14ac:dyDescent="0.25">
      <c r="A7785">
        <f ca="1">27494.8446515036*((RANDBETWEEN(2979,3282)))</f>
        <v>87323626.613175526</v>
      </c>
      <c r="B7785">
        <v>175503034.0783118</v>
      </c>
    </row>
    <row r="7786" spans="1:2" x14ac:dyDescent="0.25">
      <c r="A7786">
        <f ca="1">27454.4801170945*((RANDBETWEEN(2979,3282)))</f>
        <v>87469973.653063193</v>
      </c>
      <c r="B7786">
        <v>187822011.3659724</v>
      </c>
    </row>
    <row r="7787" spans="1:2" x14ac:dyDescent="0.25">
      <c r="A7787">
        <f ca="1">26204.2649571982*((RANDBETWEEN(2979,3282)))</f>
        <v>80158846.504069164</v>
      </c>
      <c r="B7787">
        <v>183013879.03631184</v>
      </c>
    </row>
    <row r="7788" spans="1:2" x14ac:dyDescent="0.25">
      <c r="A7788">
        <f ca="1">28225.0175790105*((RANDBETWEEN(2979,3282)))</f>
        <v>90320056.252833515</v>
      </c>
      <c r="B7788">
        <v>144105886.57829407</v>
      </c>
    </row>
    <row r="7789" spans="1:2" x14ac:dyDescent="0.25">
      <c r="A7789">
        <f ca="1">26113.7905869853*((RANDBETWEEN(2979,3282)))</f>
        <v>80038768.149109989</v>
      </c>
      <c r="B7789">
        <v>161221217.82866365</v>
      </c>
    </row>
    <row r="7790" spans="1:2" x14ac:dyDescent="0.25">
      <c r="A7790">
        <f ca="1">30952.7012496187*((RANDBETWEEN(2979,3282)))</f>
        <v>97098623.820053756</v>
      </c>
      <c r="B7790">
        <v>171054578.44515812</v>
      </c>
    </row>
    <row r="7791" spans="1:2" x14ac:dyDescent="0.25">
      <c r="A7791">
        <f ca="1">26862.6499090355*((RANDBETWEEN(2979,3282)))</f>
        <v>81340103.924559593</v>
      </c>
      <c r="B7791">
        <v>155095918.13434497</v>
      </c>
    </row>
    <row r="7792" spans="1:2" x14ac:dyDescent="0.25">
      <c r="A7792">
        <f ca="1">25838.3391919709*((RANDBETWEEN(2979,3282)))</f>
        <v>84362177.461785138</v>
      </c>
      <c r="B7792">
        <v>158797448.51777828</v>
      </c>
    </row>
    <row r="7793" spans="1:2" x14ac:dyDescent="0.25">
      <c r="A7793">
        <f ca="1">33757.1419996982*((RANDBETWEEN(2979,3282)))</f>
        <v>110723425.75901</v>
      </c>
      <c r="B7793">
        <v>183974660.13625506</v>
      </c>
    </row>
    <row r="7794" spans="1:2" x14ac:dyDescent="0.25">
      <c r="A7794">
        <f ca="1">25923.3049544959*((RANDBETWEEN(2979,3282)))</f>
        <v>77588451.728806242</v>
      </c>
      <c r="B7794">
        <v>143400345.91472819</v>
      </c>
    </row>
    <row r="7795" spans="1:2" x14ac:dyDescent="0.25">
      <c r="A7795">
        <f ca="1">27812.3893786806*((RANDBETWEEN(2979,3282)))</f>
        <v>88081837.162281558</v>
      </c>
      <c r="B7795">
        <v>192460710.45600393</v>
      </c>
    </row>
    <row r="7796" spans="1:2" x14ac:dyDescent="0.25">
      <c r="A7796">
        <f ca="1">28623.7563357475*((RANDBETWEEN(2979,3282)))</f>
        <v>92683723.015150517</v>
      </c>
      <c r="B7796">
        <v>187527277.75597093</v>
      </c>
    </row>
    <row r="7797" spans="1:2" x14ac:dyDescent="0.25">
      <c r="A7797">
        <f ca="1">26862.1476453558*((RANDBETWEEN(2979,3282)))</f>
        <v>82171309.647143438</v>
      </c>
      <c r="B7797">
        <v>178058837.06628886</v>
      </c>
    </row>
    <row r="7798" spans="1:2" x14ac:dyDescent="0.25">
      <c r="A7798">
        <f ca="1">29608.9862652107*((RANDBETWEEN(2979,3282)))</f>
        <v>97117474.949891031</v>
      </c>
      <c r="B7798">
        <v>189098894.90026253</v>
      </c>
    </row>
    <row r="7799" spans="1:2" x14ac:dyDescent="0.25">
      <c r="A7799">
        <f ca="1">25883.9407907614*((RANDBETWEEN(2979,3282)))</f>
        <v>78273036.951262534</v>
      </c>
      <c r="B7799">
        <v>161001450.74777538</v>
      </c>
    </row>
    <row r="7800" spans="1:2" x14ac:dyDescent="0.25">
      <c r="A7800">
        <f ca="1">26634.7068141316*((RANDBETWEEN(2979,3282)))</f>
        <v>82168070.52159588</v>
      </c>
      <c r="B7800">
        <v>145972691.07039618</v>
      </c>
    </row>
    <row r="7801" spans="1:2" x14ac:dyDescent="0.25">
      <c r="A7801">
        <f ca="1">30457.6937567244*((RANDBETWEEN(2979,3282)))</f>
        <v>98226062.36543633</v>
      </c>
      <c r="B7801">
        <v>167866924.688656</v>
      </c>
    </row>
    <row r="7802" spans="1:2" x14ac:dyDescent="0.25">
      <c r="A7802">
        <f ca="1">25622.8533949499*((RANDBETWEEN(2979,3282)))</f>
        <v>79097748.430210248</v>
      </c>
      <c r="B7802">
        <v>159225572.03850821</v>
      </c>
    </row>
    <row r="7803" spans="1:2" x14ac:dyDescent="0.25">
      <c r="A7803">
        <f ca="1">29816.8266129057*((RANDBETWEEN(2979,3282)))</f>
        <v>91358756.741943195</v>
      </c>
      <c r="B7803">
        <v>196121607.29863957</v>
      </c>
    </row>
    <row r="7804" spans="1:2" x14ac:dyDescent="0.25">
      <c r="A7804">
        <f ca="1">27471.9146194884*((RANDBETWEEN(2979,3282)))</f>
        <v>83404732.784766659</v>
      </c>
      <c r="B7804">
        <v>149391071.39791816</v>
      </c>
    </row>
    <row r="7805" spans="1:2" x14ac:dyDescent="0.25">
      <c r="A7805">
        <f ca="1">25469.5768654283*((RANDBETWEEN(2979,3282)))</f>
        <v>77045470.017920673</v>
      </c>
      <c r="B7805">
        <v>164562050.82910559</v>
      </c>
    </row>
    <row r="7806" spans="1:2" x14ac:dyDescent="0.25">
      <c r="A7806">
        <f ca="1">26548.5269715308*((RANDBETWEEN(2979,3282)))</f>
        <v>79937614.711279124</v>
      </c>
      <c r="B7806">
        <v>199510368.72659603</v>
      </c>
    </row>
    <row r="7807" spans="1:2" x14ac:dyDescent="0.25">
      <c r="A7807">
        <f ca="1">26776.2781278407*((RANDBETWEEN(2979,3282)))</f>
        <v>85416327.227811798</v>
      </c>
      <c r="B7807">
        <v>172277004.48278072</v>
      </c>
    </row>
    <row r="7808" spans="1:2" x14ac:dyDescent="0.25">
      <c r="A7808">
        <f ca="1">27271.2111953334*((RANDBETWEEN(2979,3282)))</f>
        <v>87704215.204192162</v>
      </c>
      <c r="B7808">
        <v>182430506.58698183</v>
      </c>
    </row>
    <row r="7809" spans="1:2" x14ac:dyDescent="0.25">
      <c r="A7809">
        <f ca="1">26440.3630296967*((RANDBETWEEN(2979,3282)))</f>
        <v>83445785.721722901</v>
      </c>
      <c r="B7809">
        <v>160152382.14394599</v>
      </c>
    </row>
    <row r="7810" spans="1:2" x14ac:dyDescent="0.25">
      <c r="A7810">
        <f ca="1">30874.6174188815*((RANDBETWEEN(2979,3282)))</f>
        <v>94352830.832101807</v>
      </c>
      <c r="B7810">
        <v>180285984.94756034</v>
      </c>
    </row>
    <row r="7811" spans="1:2" x14ac:dyDescent="0.25">
      <c r="A7811">
        <f ca="1">27042.7623451001*((RANDBETWEEN(2979,3282)))</f>
        <v>87699678.285159722</v>
      </c>
      <c r="B7811">
        <v>160352397.42803887</v>
      </c>
    </row>
    <row r="7812" spans="1:2" x14ac:dyDescent="0.25">
      <c r="A7812">
        <f ca="1">26010.343208533*((RANDBETWEEN(2979,3282)))</f>
        <v>78473205.460144028</v>
      </c>
      <c r="B7812">
        <v>144517576.45317346</v>
      </c>
    </row>
    <row r="7813" spans="1:2" x14ac:dyDescent="0.25">
      <c r="A7813">
        <f ca="1">27999.2280545715*((RANDBETWEEN(2979,3282)))</f>
        <v>89989518.967392772</v>
      </c>
      <c r="B7813">
        <v>183286738.97206414</v>
      </c>
    </row>
    <row r="7814" spans="1:2" x14ac:dyDescent="0.25">
      <c r="A7814">
        <f ca="1">31147.5202138062*((RANDBETWEEN(2979,3282)))</f>
        <v>99111409.320331305</v>
      </c>
      <c r="B7814">
        <v>169508357.67660111</v>
      </c>
    </row>
    <row r="7815" spans="1:2" x14ac:dyDescent="0.25">
      <c r="A7815">
        <f ca="1">26352.3041291168*((RANDBETWEEN(2979,3282)))</f>
        <v>83615861.001687557</v>
      </c>
      <c r="B7815">
        <v>143571549.69702902</v>
      </c>
    </row>
    <row r="7816" spans="1:2" x14ac:dyDescent="0.25">
      <c r="A7816">
        <f ca="1">26687.1563269112*((RANDBETWEEN(2979,3282)))</f>
        <v>86840006.687769175</v>
      </c>
      <c r="B7816">
        <v>145027576.71566093</v>
      </c>
    </row>
    <row r="7817" spans="1:2" x14ac:dyDescent="0.25">
      <c r="A7817">
        <f ca="1">25962.9415630409*((RANDBETWEEN(2979,3282)))</f>
        <v>81186118.267628804</v>
      </c>
      <c r="B7817">
        <v>143508973.86403686</v>
      </c>
    </row>
    <row r="7818" spans="1:2" x14ac:dyDescent="0.25">
      <c r="A7818">
        <f ca="1">29655.2812900961*((RANDBETWEEN(2979,3282)))</f>
        <v>95727248.004430205</v>
      </c>
      <c r="B7818">
        <v>175131911.81582022</v>
      </c>
    </row>
    <row r="7819" spans="1:2" x14ac:dyDescent="0.25">
      <c r="A7819">
        <f ca="1">28274.7853589818*((RANDBETWEEN(2979,3282)))</f>
        <v>89320046.949023396</v>
      </c>
      <c r="B7819">
        <v>161309679.83694857</v>
      </c>
    </row>
    <row r="7820" spans="1:2" x14ac:dyDescent="0.25">
      <c r="A7820">
        <f ca="1">26467.843466518*((RANDBETWEEN(2979,3282)))</f>
        <v>83188432.015265942</v>
      </c>
      <c r="B7820">
        <v>163267411.21203706</v>
      </c>
    </row>
    <row r="7821" spans="1:2" x14ac:dyDescent="0.25">
      <c r="A7821">
        <f ca="1">27342.6448323601*((RANDBETWEEN(2979,3282)))</f>
        <v>82684157.973056793</v>
      </c>
      <c r="B7821">
        <v>165930003.43085951</v>
      </c>
    </row>
    <row r="7822" spans="1:2" x14ac:dyDescent="0.25">
      <c r="A7822">
        <f ca="1">28024.9503325245*((RANDBETWEEN(2979,3282)))</f>
        <v>84243000.699568689</v>
      </c>
      <c r="B7822">
        <v>185460700.75518489</v>
      </c>
    </row>
    <row r="7823" spans="1:2" x14ac:dyDescent="0.25">
      <c r="A7823">
        <f ca="1">26034.7154771657*((RANDBETWEEN(2979,3282)))</f>
        <v>81514694.159005672</v>
      </c>
      <c r="B7823">
        <v>160647921.93018556</v>
      </c>
    </row>
    <row r="7824" spans="1:2" x14ac:dyDescent="0.25">
      <c r="A7824">
        <f ca="1">29157.3031708628*((RANDBETWEEN(2979,3282)))</f>
        <v>92166235.323097214</v>
      </c>
      <c r="B7824">
        <v>174185851.73778057</v>
      </c>
    </row>
    <row r="7825" spans="1:2" x14ac:dyDescent="0.25">
      <c r="A7825">
        <f ca="1">27040.9557811097*((RANDBETWEEN(2979,3282)))</f>
        <v>85124928.798933342</v>
      </c>
      <c r="B7825">
        <v>161777720.20212683</v>
      </c>
    </row>
    <row r="7826" spans="1:2" x14ac:dyDescent="0.25">
      <c r="A7826">
        <f ca="1">27670.0508333764*((RANDBETWEEN(2979,3282)))</f>
        <v>87741731.192636713</v>
      </c>
      <c r="B7826">
        <v>186904298.80314928</v>
      </c>
    </row>
    <row r="7827" spans="1:2" x14ac:dyDescent="0.25">
      <c r="A7827">
        <f ca="1">29479.4910880967*((RANDBETWEEN(2979,3282)))</f>
        <v>90944230.006778345</v>
      </c>
      <c r="B7827">
        <v>146077622.28921187</v>
      </c>
    </row>
    <row r="7828" spans="1:2" x14ac:dyDescent="0.25">
      <c r="A7828">
        <f ca="1">26530.6863406121*((RANDBETWEEN(2979,3282)))</f>
        <v>80281856.866692245</v>
      </c>
      <c r="B7828">
        <v>149034930.77163887</v>
      </c>
    </row>
    <row r="7829" spans="1:2" x14ac:dyDescent="0.25">
      <c r="A7829">
        <f ca="1">28561.6461246745*((RANDBETWEEN(2979,3282)))</f>
        <v>90654664.799716964</v>
      </c>
      <c r="B7829">
        <v>154262495.36444733</v>
      </c>
    </row>
    <row r="7830" spans="1:2" x14ac:dyDescent="0.25">
      <c r="A7830">
        <f ca="1">27184.621267246*((RANDBETWEEN(2979,3282)))</f>
        <v>84516987.519867778</v>
      </c>
      <c r="B7830">
        <v>150273025.13451028</v>
      </c>
    </row>
    <row r="7831" spans="1:2" x14ac:dyDescent="0.25">
      <c r="A7831">
        <f ca="1">26886.4707289636*((RANDBETWEEN(2979,3282)))</f>
        <v>81331573.955114812</v>
      </c>
      <c r="B7831">
        <v>152239536.92559522</v>
      </c>
    </row>
    <row r="7832" spans="1:2" x14ac:dyDescent="0.25">
      <c r="A7832">
        <f ca="1">30985.4200937269*((RANDBETWEEN(2979,3282)))</f>
        <v>92987245.701274291</v>
      </c>
      <c r="B7832">
        <v>163559913.63612249</v>
      </c>
    </row>
    <row r="7833" spans="1:2" x14ac:dyDescent="0.25">
      <c r="A7833">
        <f ca="1">28534.2361428419*((RANDBETWEEN(2979,3282)))</f>
        <v>90282323.155951843</v>
      </c>
      <c r="B7833">
        <v>183620233.64721406</v>
      </c>
    </row>
    <row r="7834" spans="1:2" x14ac:dyDescent="0.25">
      <c r="A7834">
        <f ca="1">32371.2753083827*((RANDBETWEEN(2979,3282)))</f>
        <v>96434029.143672124</v>
      </c>
      <c r="B7834">
        <v>171048141.01363495</v>
      </c>
    </row>
    <row r="7835" spans="1:2" x14ac:dyDescent="0.25">
      <c r="A7835">
        <f ca="1">27547.4100930819*((RANDBETWEEN(2979,3282)))</f>
        <v>90080031.004377916</v>
      </c>
      <c r="B7835">
        <v>180639635.7043156</v>
      </c>
    </row>
    <row r="7836" spans="1:2" x14ac:dyDescent="0.25">
      <c r="A7836">
        <f ca="1">26723.3358656971*((RANDBETWEEN(2979,3282)))</f>
        <v>79769157.559105903</v>
      </c>
      <c r="B7836">
        <v>181699172.17433512</v>
      </c>
    </row>
    <row r="7837" spans="1:2" x14ac:dyDescent="0.25">
      <c r="A7837">
        <f ca="1">33707.1530046641*((RANDBETWEEN(2979,3282)))</f>
        <v>106885382.17778973</v>
      </c>
      <c r="B7837">
        <v>197258493.07983965</v>
      </c>
    </row>
    <row r="7838" spans="1:2" x14ac:dyDescent="0.25">
      <c r="A7838">
        <f ca="1">26424.5652933704*((RANDBETWEEN(2979,3282)))</f>
        <v>82999559.58647652</v>
      </c>
      <c r="B7838">
        <v>150028384.93620247</v>
      </c>
    </row>
    <row r="7839" spans="1:2" x14ac:dyDescent="0.25">
      <c r="A7839">
        <f ca="1">32032.6108489215*((RANDBETWEEN(2979,3282)))</f>
        <v>102760615.6033401</v>
      </c>
      <c r="B7839">
        <v>182308102.02084377</v>
      </c>
    </row>
    <row r="7840" spans="1:2" x14ac:dyDescent="0.25">
      <c r="A7840">
        <f ca="1">27335.545019177*((RANDBETWEEN(2979,3282)))</f>
        <v>86599006.620752752</v>
      </c>
      <c r="B7840">
        <v>158967084.72820589</v>
      </c>
    </row>
    <row r="7841" spans="1:2" x14ac:dyDescent="0.25">
      <c r="A7841">
        <f ca="1">32032.5539424584*((RANDBETWEEN(2979,3282)))</f>
        <v>103208888.80260102</v>
      </c>
      <c r="B7841">
        <v>192470860.55600139</v>
      </c>
    </row>
    <row r="7842" spans="1:2" x14ac:dyDescent="0.25">
      <c r="A7842">
        <f ca="1">29674.8642543587*((RANDBETWEEN(2979,3282)))</f>
        <v>92259152.966801107</v>
      </c>
      <c r="B7842">
        <v>164748178.31337997</v>
      </c>
    </row>
    <row r="7843" spans="1:2" x14ac:dyDescent="0.25">
      <c r="A7843">
        <f ca="1">26836.5473766911*((RANDBETWEEN(2979,3282)))</f>
        <v>81341575.09875071</v>
      </c>
      <c r="B7843">
        <v>169330756.51650649</v>
      </c>
    </row>
    <row r="7844" spans="1:2" x14ac:dyDescent="0.25">
      <c r="A7844">
        <f ca="1">28116.9766348054*((RANDBETWEEN(2979,3282)))</f>
        <v>89833740.348203167</v>
      </c>
      <c r="B7844">
        <v>176261738.93382642</v>
      </c>
    </row>
    <row r="7845" spans="1:2" x14ac:dyDescent="0.25">
      <c r="A7845">
        <f ca="1">26924.0105695161*((RANDBETWEEN(2979,3282)))</f>
        <v>84810633.293975726</v>
      </c>
      <c r="B7845">
        <v>152507492.93417567</v>
      </c>
    </row>
    <row r="7846" spans="1:2" x14ac:dyDescent="0.25">
      <c r="A7846">
        <f ca="1">32432.0079527809*((RANDBETWEEN(2979,3282)))</f>
        <v>96874407.754956514</v>
      </c>
      <c r="B7846">
        <v>202901964.52906808</v>
      </c>
    </row>
    <row r="7847" spans="1:2" x14ac:dyDescent="0.25">
      <c r="A7847">
        <f ca="1">29452.1959206736*((RANDBETWEEN(2979,3282)))</f>
        <v>90094267.321340546</v>
      </c>
      <c r="B7847">
        <v>160211005.25435469</v>
      </c>
    </row>
    <row r="7848" spans="1:2" x14ac:dyDescent="0.25">
      <c r="A7848">
        <f ca="1">28750.4499513282*((RANDBETWEEN(2979,3282)))</f>
        <v>89758904.7480468</v>
      </c>
      <c r="B7848">
        <v>195705144.17499727</v>
      </c>
    </row>
    <row r="7849" spans="1:2" x14ac:dyDescent="0.25">
      <c r="A7849">
        <f ca="1">28660.2430176848*((RANDBETWEEN(2979,3282)))</f>
        <v>91053592.067184553</v>
      </c>
      <c r="B7849">
        <v>152173906.31162986</v>
      </c>
    </row>
    <row r="7850" spans="1:2" x14ac:dyDescent="0.25">
      <c r="A7850">
        <f ca="1">33092.5277687749*((RANDBETWEEN(2979,3282)))</f>
        <v>99674693.63955006</v>
      </c>
      <c r="B7850">
        <v>193336097.99925953</v>
      </c>
    </row>
    <row r="7851" spans="1:2" x14ac:dyDescent="0.25">
      <c r="A7851">
        <f ca="1">27344.9171884185*((RANDBETWEEN(2979,3282)))</f>
        <v>83429342.34186475</v>
      </c>
      <c r="B7851">
        <v>202643989.15192115</v>
      </c>
    </row>
    <row r="7852" spans="1:2" x14ac:dyDescent="0.25">
      <c r="A7852">
        <f ca="1">32744.0015987068*((RANDBETWEEN(2979,3282)))</f>
        <v>102816165.01993935</v>
      </c>
      <c r="B7852">
        <v>177308189.46382451</v>
      </c>
    </row>
    <row r="7853" spans="1:2" x14ac:dyDescent="0.25">
      <c r="A7853">
        <f ca="1">27160.8501225235*((RANDBETWEEN(2979,3282)))</f>
        <v>82188732.470756128</v>
      </c>
      <c r="B7853">
        <v>194605292.69711253</v>
      </c>
    </row>
    <row r="7854" spans="1:2" x14ac:dyDescent="0.25">
      <c r="A7854">
        <f ca="1">29643.0599308387*((RANDBETWEEN(2979,3282)))</f>
        <v>90233474.429473028</v>
      </c>
      <c r="B7854">
        <v>184961261.73508337</v>
      </c>
    </row>
    <row r="7855" spans="1:2" x14ac:dyDescent="0.25">
      <c r="A7855">
        <f ca="1">27165.1867687314*((RANDBETWEEN(2979,3282)))</f>
        <v>85760494.62888515</v>
      </c>
      <c r="B7855">
        <v>167461610.63856092</v>
      </c>
    </row>
    <row r="7856" spans="1:2" x14ac:dyDescent="0.25">
      <c r="A7856">
        <f ca="1">25976.9706692608*((RANDBETWEEN(2979,3282)))</f>
        <v>78840105.981206641</v>
      </c>
      <c r="B7856">
        <v>145100417.81105584</v>
      </c>
    </row>
    <row r="7857" spans="1:2" x14ac:dyDescent="0.25">
      <c r="A7857">
        <f ca="1">26030.338926766*((RANDBETWEEN(2979,3282)))</f>
        <v>85093177.951597989</v>
      </c>
      <c r="B7857">
        <v>146918145.51748759</v>
      </c>
    </row>
    <row r="7858" spans="1:2" x14ac:dyDescent="0.25">
      <c r="A7858">
        <f ca="1">26423.5666712498*((RANDBETWEEN(2979,3282)))</f>
        <v>81701668.147504345</v>
      </c>
      <c r="B7858">
        <v>190826095.32030833</v>
      </c>
    </row>
    <row r="7859" spans="1:2" x14ac:dyDescent="0.25">
      <c r="A7859">
        <f ca="1">31997.4087987886*((RANDBETWEEN(2979,3282)))</f>
        <v>101271798.84816599</v>
      </c>
      <c r="B7859">
        <v>167260567.84899747</v>
      </c>
    </row>
    <row r="7860" spans="1:2" x14ac:dyDescent="0.25">
      <c r="A7860">
        <f ca="1">30401.4813958168*((RANDBETWEEN(2979,3282)))</f>
        <v>94548607.140990406</v>
      </c>
      <c r="B7860">
        <v>189839248.26438969</v>
      </c>
    </row>
    <row r="7861" spans="1:2" x14ac:dyDescent="0.25">
      <c r="A7861">
        <f ca="1">26916.0293980758*((RANDBETWEEN(2979,3282)))</f>
        <v>82578378.193296432</v>
      </c>
      <c r="B7861">
        <v>188138527.0741857</v>
      </c>
    </row>
    <row r="7862" spans="1:2" x14ac:dyDescent="0.25">
      <c r="A7862">
        <f ca="1">29576.5490982555*((RANDBETWEEN(2979,3282)))</f>
        <v>90800005.731644511</v>
      </c>
      <c r="B7862">
        <v>149527906.99000442</v>
      </c>
    </row>
    <row r="7863" spans="1:2" x14ac:dyDescent="0.25">
      <c r="A7863">
        <f ca="1">27566.2798814355*((RANDBETWEEN(2979,3282)))</f>
        <v>85234937.393398598</v>
      </c>
      <c r="B7863">
        <v>158689618.47988799</v>
      </c>
    </row>
    <row r="7864" spans="1:2" x14ac:dyDescent="0.25">
      <c r="A7864">
        <f ca="1">28467.4004677436*((RANDBETWEEN(2979,3282)))</f>
        <v>91095681.49677965</v>
      </c>
      <c r="B7864">
        <v>198849977.33006725</v>
      </c>
    </row>
    <row r="7865" spans="1:2" x14ac:dyDescent="0.25">
      <c r="A7865">
        <f ca="1">26757.509338882*((RANDBETWEEN(2979,3282)))</f>
        <v>79871165.376562759</v>
      </c>
      <c r="B7865">
        <v>184799037.07657042</v>
      </c>
    </row>
    <row r="7866" spans="1:2" x14ac:dyDescent="0.25">
      <c r="A7866">
        <f ca="1">28155.0585207769*((RANDBETWEEN(2979,3282)))</f>
        <v>89448620.92050831</v>
      </c>
      <c r="B7866">
        <v>177389607.97331446</v>
      </c>
    </row>
    <row r="7867" spans="1:2" x14ac:dyDescent="0.25">
      <c r="A7867">
        <f ca="1">29119.6742439628*((RANDBETWEEN(2979,3282)))</f>
        <v>90241870.482040733</v>
      </c>
      <c r="B7867">
        <v>164378843.25890815</v>
      </c>
    </row>
    <row r="7868" spans="1:2" x14ac:dyDescent="0.25">
      <c r="A7868">
        <f ca="1">27885.4139285345*((RANDBETWEEN(2979,3282)))</f>
        <v>88954470.432025135</v>
      </c>
      <c r="B7868">
        <v>182626146.23511177</v>
      </c>
    </row>
    <row r="7869" spans="1:2" x14ac:dyDescent="0.25">
      <c r="A7869">
        <f ca="1">27208.1178829283*((RANDBETWEEN(2979,3282)))</f>
        <v>88535215.591048613</v>
      </c>
      <c r="B7869">
        <v>154261709.66609606</v>
      </c>
    </row>
    <row r="7870" spans="1:2" x14ac:dyDescent="0.25">
      <c r="A7870">
        <f ca="1">25184.4109659965*((RANDBETWEEN(2979,3282)))</f>
        <v>79230156.899025023</v>
      </c>
      <c r="B7870">
        <v>147299896.18008512</v>
      </c>
    </row>
    <row r="7871" spans="1:2" x14ac:dyDescent="0.25">
      <c r="A7871">
        <f ca="1">27029.0931393725*((RANDBETWEEN(2979,3282)))</f>
        <v>88006727.261796892</v>
      </c>
      <c r="B7871">
        <v>158636677.76065761</v>
      </c>
    </row>
    <row r="7872" spans="1:2" x14ac:dyDescent="0.25">
      <c r="A7872">
        <f ca="1">26322.8346023731*((RANDBETWEEN(2979,3282)))</f>
        <v>83706614.035546392</v>
      </c>
      <c r="B7872">
        <v>153890745.71719077</v>
      </c>
    </row>
    <row r="7873" spans="1:2" x14ac:dyDescent="0.25">
      <c r="A7873">
        <f ca="1">26727.6598599478*((RANDBETWEEN(2979,3282)))</f>
        <v>86891622.204690248</v>
      </c>
      <c r="B7873">
        <v>161546172.4505485</v>
      </c>
    </row>
    <row r="7874" spans="1:2" x14ac:dyDescent="0.25">
      <c r="A7874">
        <f ca="1">31678.7556005676*((RANDBETWEEN(2979,3282)))</f>
        <v>103272743.25785035</v>
      </c>
      <c r="B7874">
        <v>184213724.58235872</v>
      </c>
    </row>
    <row r="7875" spans="1:2" x14ac:dyDescent="0.25">
      <c r="A7875">
        <f ca="1">29257.8348291264*((RANDBETWEEN(2979,3282)))</f>
        <v>93361750.939742282</v>
      </c>
      <c r="B7875">
        <v>161694309.29497612</v>
      </c>
    </row>
    <row r="7876" spans="1:2" x14ac:dyDescent="0.25">
      <c r="A7876">
        <f ca="1">29263.2155634428*((RANDBETWEEN(2979,3282)))</f>
        <v>95837030.97027503</v>
      </c>
      <c r="B7876">
        <v>161470368.5004338</v>
      </c>
    </row>
    <row r="7877" spans="1:2" x14ac:dyDescent="0.25">
      <c r="A7877">
        <f ca="1">25538.2704926263*((RANDBETWEEN(2979,3282)))</f>
        <v>82003386.551823005</v>
      </c>
      <c r="B7877">
        <v>180630305.21296453</v>
      </c>
    </row>
    <row r="7878" spans="1:2" x14ac:dyDescent="0.25">
      <c r="A7878">
        <f ca="1">32202.4795745645*((RANDBETWEEN(2979,3282)))</f>
        <v>103627579.27094841</v>
      </c>
      <c r="B7878">
        <v>143927637.51489154</v>
      </c>
    </row>
    <row r="7879" spans="1:2" x14ac:dyDescent="0.25">
      <c r="A7879">
        <f ca="1">26586.4763102356*((RANDBETWEEN(2979,3282)))</f>
        <v>82630768.372212276</v>
      </c>
      <c r="B7879">
        <v>147242264.6140632</v>
      </c>
    </row>
    <row r="7880" spans="1:2" x14ac:dyDescent="0.25">
      <c r="A7880">
        <f ca="1">31137.696415347*((RANDBETWEEN(2979,3282)))</f>
        <v>100699310.20723206</v>
      </c>
      <c r="B7880">
        <v>173023268.39724544</v>
      </c>
    </row>
    <row r="7881" spans="1:2" x14ac:dyDescent="0.25">
      <c r="A7881">
        <f ca="1">31401.0287324399*((RANDBETWEEN(2979,3282)))</f>
        <v>95616132.490279555</v>
      </c>
      <c r="B7881">
        <v>148402714.90016028</v>
      </c>
    </row>
    <row r="7882" spans="1:2" x14ac:dyDescent="0.25">
      <c r="A7882">
        <f ca="1">25351.391410934*((RANDBETWEEN(2979,3282)))</f>
        <v>78513259.19966267</v>
      </c>
      <c r="B7882">
        <v>151536169.39844602</v>
      </c>
    </row>
    <row r="7883" spans="1:2" x14ac:dyDescent="0.25">
      <c r="A7883">
        <f ca="1">28478.2289666565*((RANDBETWEEN(2979,3282)))</f>
        <v>87655988.759368688</v>
      </c>
      <c r="B7883">
        <v>198790245.11454251</v>
      </c>
    </row>
    <row r="7884" spans="1:2" x14ac:dyDescent="0.25">
      <c r="A7884">
        <f ca="1">29682.7584961212*((RANDBETWEEN(2979,3282)))</f>
        <v>94124027.19120042</v>
      </c>
      <c r="B7884">
        <v>194801698.98858768</v>
      </c>
    </row>
    <row r="7885" spans="1:2" x14ac:dyDescent="0.25">
      <c r="A7885">
        <f ca="1">27383.8759189523*((RANDBETWEEN(2979,3282)))</f>
        <v>83575589.304642379</v>
      </c>
      <c r="B7885">
        <v>148703756.99047595</v>
      </c>
    </row>
    <row r="7886" spans="1:2" x14ac:dyDescent="0.25">
      <c r="A7886">
        <f ca="1">27193.2631857555*((RANDBETWEEN(2979,3282)))</f>
        <v>81525403.03089501</v>
      </c>
      <c r="B7886">
        <v>152231651.31142291</v>
      </c>
    </row>
    <row r="7887" spans="1:2" x14ac:dyDescent="0.25">
      <c r="A7887">
        <f ca="1">28537.0398606879*((RANDBETWEEN(2979,3282)))</f>
        <v>92431472.108768269</v>
      </c>
      <c r="B7887">
        <v>163093075.32676715</v>
      </c>
    </row>
    <row r="7888" spans="1:2" x14ac:dyDescent="0.25">
      <c r="A7888">
        <f ca="1">27011.962310905*((RANDBETWEEN(2979,3282)))</f>
        <v>85979076.035610497</v>
      </c>
      <c r="B7888">
        <v>171553610.7746467</v>
      </c>
    </row>
    <row r="7889" spans="1:2" x14ac:dyDescent="0.25">
      <c r="A7889">
        <f ca="1">30467.3000476895*((RANDBETWEEN(2979,3282)))</f>
        <v>95179845.348982036</v>
      </c>
      <c r="B7889">
        <v>185495345.74377331</v>
      </c>
    </row>
    <row r="7890" spans="1:2" x14ac:dyDescent="0.25">
      <c r="A7890">
        <f ca="1">29885.8795961598*((RANDBETWEEN(2979,3282)))</f>
        <v>93184172.580826342</v>
      </c>
      <c r="B7890">
        <v>165257032.66509616</v>
      </c>
    </row>
    <row r="7891" spans="1:2" x14ac:dyDescent="0.25">
      <c r="A7891">
        <f ca="1">30026.4066648393*((RANDBETWEEN(2979,3282)))</f>
        <v>93982652.860947117</v>
      </c>
      <c r="B7891">
        <v>151499751.16236705</v>
      </c>
    </row>
    <row r="7892" spans="1:2" x14ac:dyDescent="0.25">
      <c r="A7892">
        <f ca="1">30204.8446930979*((RANDBETWEEN(2979,3282)))</f>
        <v>98528203.388885409</v>
      </c>
      <c r="B7892">
        <v>151390275.97154152</v>
      </c>
    </row>
    <row r="7893" spans="1:2" x14ac:dyDescent="0.25">
      <c r="A7893">
        <f ca="1">27553.255656081*((RANDBETWEEN(2979,3282)))</f>
        <v>87178500.895840436</v>
      </c>
      <c r="B7893">
        <v>149604325.3011449</v>
      </c>
    </row>
    <row r="7894" spans="1:2" x14ac:dyDescent="0.25">
      <c r="A7894">
        <f ca="1">27605.1242067749*((RANDBETWEEN(2979,3282)))</f>
        <v>86845720.75451389</v>
      </c>
      <c r="B7894">
        <v>166028437.5511587</v>
      </c>
    </row>
    <row r="7895" spans="1:2" x14ac:dyDescent="0.25">
      <c r="A7895">
        <f ca="1">30236.3365448751*((RANDBETWEEN(2979,3282)))</f>
        <v>98056439.415030062</v>
      </c>
      <c r="B7895">
        <v>166747741.05401805</v>
      </c>
    </row>
    <row r="7896" spans="1:2" x14ac:dyDescent="0.25">
      <c r="A7896">
        <f ca="1">26139.7548823591*((RANDBETWEEN(2979,3282)))</f>
        <v>84535967.289549366</v>
      </c>
      <c r="B7896">
        <v>147540595.99268311</v>
      </c>
    </row>
    <row r="7897" spans="1:2" x14ac:dyDescent="0.25">
      <c r="A7897">
        <f ca="1">26899.2195364246*((RANDBETWEEN(2979,3282)))</f>
        <v>81423937.536757275</v>
      </c>
      <c r="B7897">
        <v>156338780.1878168</v>
      </c>
    </row>
    <row r="7898" spans="1:2" x14ac:dyDescent="0.25">
      <c r="A7898">
        <f ca="1">25796.9732711257*((RANDBETWEEN(2979,3282)))</f>
        <v>82705096.307228878</v>
      </c>
      <c r="B7898">
        <v>177133455.49293479</v>
      </c>
    </row>
    <row r="7899" spans="1:2" x14ac:dyDescent="0.25">
      <c r="A7899">
        <f ca="1">26371.1013975325*((RANDBETWEEN(2979,3282)))</f>
        <v>81671301.028158084</v>
      </c>
      <c r="B7899">
        <v>143822013.20531446</v>
      </c>
    </row>
    <row r="7900" spans="1:2" x14ac:dyDescent="0.25">
      <c r="A7900">
        <f ca="1">28087.7209341541*((RANDBETWEEN(2979,3282)))</f>
        <v>86313566.430655643</v>
      </c>
      <c r="B7900">
        <v>149809606.57514668</v>
      </c>
    </row>
    <row r="7901" spans="1:2" x14ac:dyDescent="0.25">
      <c r="A7901">
        <f ca="1">32774.0399259771*((RANDBETWEEN(2979,3282)))</f>
        <v>101927264.16978872</v>
      </c>
      <c r="B7901">
        <v>189091042.10179171</v>
      </c>
    </row>
    <row r="7902" spans="1:2" x14ac:dyDescent="0.25">
      <c r="A7902">
        <f ca="1">26747.0343726758*((RANDBETWEEN(2979,3282)))</f>
        <v>86232438.817506716</v>
      </c>
      <c r="B7902">
        <v>152076480.15957868</v>
      </c>
    </row>
    <row r="7903" spans="1:2" x14ac:dyDescent="0.25">
      <c r="A7903">
        <f ca="1">28317.0947484712*((RANDBETWEEN(2979,3282)))</f>
        <v>92058875.027279958</v>
      </c>
      <c r="B7903">
        <v>178759658.23269823</v>
      </c>
    </row>
    <row r="7904" spans="1:2" x14ac:dyDescent="0.25">
      <c r="A7904">
        <f ca="1">26596.8732874337*((RANDBETWEEN(2979,3282)))</f>
        <v>82503500.937619343</v>
      </c>
      <c r="B7904">
        <v>177509805.17928302</v>
      </c>
    </row>
    <row r="7905" spans="1:2" x14ac:dyDescent="0.25">
      <c r="A7905">
        <f ca="1">26389.7017727639*((RANDBETWEEN(2979,3282)))</f>
        <v>80937215.337066874</v>
      </c>
      <c r="B7905">
        <v>145277866.96299621</v>
      </c>
    </row>
    <row r="7906" spans="1:2" x14ac:dyDescent="0.25">
      <c r="A7906">
        <f ca="1">26922.0494193888*((RANDBETWEEN(2979,3282)))</f>
        <v>85989025.845527858</v>
      </c>
      <c r="B7906">
        <v>148406464.5216569</v>
      </c>
    </row>
    <row r="7907" spans="1:2" x14ac:dyDescent="0.25">
      <c r="A7907">
        <f ca="1">27238.1881923809*((RANDBETWEEN(2979,3282)))</f>
        <v>88360682.496083692</v>
      </c>
      <c r="B7907">
        <v>155635016.6513426</v>
      </c>
    </row>
    <row r="7908" spans="1:2" x14ac:dyDescent="0.25">
      <c r="A7908">
        <f ca="1">28221.6272390336*((RANDBETWEEN(2979,3282)))</f>
        <v>90309207.164907575</v>
      </c>
      <c r="B7908">
        <v>197493097.89546692</v>
      </c>
    </row>
    <row r="7909" spans="1:2" x14ac:dyDescent="0.25">
      <c r="A7909">
        <f ca="1">26291.5234931109*((RANDBETWEEN(2979,3282)))</f>
        <v>85315993.735144883</v>
      </c>
      <c r="B7909">
        <v>153754753.38749874</v>
      </c>
    </row>
    <row r="7910" spans="1:2" x14ac:dyDescent="0.25">
      <c r="A7910">
        <f ca="1">27339.7012037336*((RANDBETWEEN(2979,3282)))</f>
        <v>81636347.794348434</v>
      </c>
      <c r="B7910">
        <v>148864041.07156661</v>
      </c>
    </row>
    <row r="7911" spans="1:2" x14ac:dyDescent="0.25">
      <c r="A7911">
        <f ca="1">30787.9937128859*((RANDBETWEEN(2979,3282)))</f>
        <v>93995744.805440605</v>
      </c>
      <c r="B7911">
        <v>190549278.02587068</v>
      </c>
    </row>
    <row r="7912" spans="1:2" x14ac:dyDescent="0.25">
      <c r="A7912">
        <f ca="1">26937.0819561274*((RANDBETWEEN(2979,3282)))</f>
        <v>86899026.390466928</v>
      </c>
      <c r="B7912">
        <v>159648705.63061985</v>
      </c>
    </row>
    <row r="7913" spans="1:2" x14ac:dyDescent="0.25">
      <c r="A7913">
        <f ca="1">26765.0249253936*((RANDBETWEEN(2979,3282)))</f>
        <v>82864517.169018716</v>
      </c>
      <c r="B7913">
        <v>152881790.66647416</v>
      </c>
    </row>
    <row r="7914" spans="1:2" x14ac:dyDescent="0.25">
      <c r="A7914">
        <f ca="1">27908.7442983876*((RANDBETWEEN(2979,3282)))</f>
        <v>90787145.202654839</v>
      </c>
      <c r="B7914">
        <v>182798368.70684716</v>
      </c>
    </row>
    <row r="7915" spans="1:2" x14ac:dyDescent="0.25">
      <c r="A7915">
        <f ca="1">27086.2737410082*((RANDBETWEEN(2979,3282)))</f>
        <v>83534068.217269316</v>
      </c>
      <c r="B7915">
        <v>146824801.89200324</v>
      </c>
    </row>
    <row r="7916" spans="1:2" x14ac:dyDescent="0.25">
      <c r="A7916">
        <f ca="1">25184.7442659684*((RANDBETWEEN(2979,3282)))</f>
        <v>81523017.188939705</v>
      </c>
      <c r="B7916">
        <v>167628111.00048336</v>
      </c>
    </row>
    <row r="7917" spans="1:2" x14ac:dyDescent="0.25">
      <c r="A7917">
        <f ca="1">26997.9696092463*((RANDBETWEEN(2979,3282)))</f>
        <v>84233665.180848449</v>
      </c>
      <c r="B7917">
        <v>172600226.27069673</v>
      </c>
    </row>
    <row r="7918" spans="1:2" x14ac:dyDescent="0.25">
      <c r="A7918">
        <f ca="1">26980.8969939891*((RANDBETWEEN(2979,3282)))</f>
        <v>82129850.44970277</v>
      </c>
      <c r="B7918">
        <v>149715891.64704573</v>
      </c>
    </row>
    <row r="7919" spans="1:2" x14ac:dyDescent="0.25">
      <c r="A7919">
        <f ca="1">31966.7317161108*((RANDBETWEEN(2979,3282)))</f>
        <v>104723013.10197882</v>
      </c>
      <c r="B7919">
        <v>182145902.42989138</v>
      </c>
    </row>
    <row r="7920" spans="1:2" x14ac:dyDescent="0.25">
      <c r="A7920">
        <f ca="1">26873.3611747202*((RANDBETWEEN(2979,3282)))</f>
        <v>86666589.788472503</v>
      </c>
      <c r="B7920">
        <v>153848238.65037203</v>
      </c>
    </row>
    <row r="7921" spans="1:2" x14ac:dyDescent="0.25">
      <c r="A7921">
        <f ca="1">27307.3124465119*((RANDBETWEEN(2979,3282)))</f>
        <v>82795771.337824106</v>
      </c>
      <c r="B7921">
        <v>182665492.55092642</v>
      </c>
    </row>
    <row r="7922" spans="1:2" x14ac:dyDescent="0.25">
      <c r="A7922">
        <f ca="1">26030.0700719036*((RANDBETWEEN(2979,3282)))</f>
        <v>80979547.993692249</v>
      </c>
      <c r="B7922">
        <v>147206707.10409904</v>
      </c>
    </row>
    <row r="7923" spans="1:2" x14ac:dyDescent="0.25">
      <c r="A7923">
        <f ca="1">26976.1234560486*((RANDBETWEEN(2979,3282)))</f>
        <v>85244550.121113434</v>
      </c>
      <c r="B7923">
        <v>185042460.41328821</v>
      </c>
    </row>
    <row r="7924" spans="1:2" x14ac:dyDescent="0.25">
      <c r="A7924">
        <f ca="1">27400.1809597984*((RANDBETWEEN(2979,3282)))</f>
        <v>86557171.65200302</v>
      </c>
      <c r="B7924">
        <v>152029226.41340369</v>
      </c>
    </row>
    <row r="7925" spans="1:2" x14ac:dyDescent="0.25">
      <c r="A7925">
        <f ca="1">25080.8401550512*((RANDBETWEEN(2979,3282)))</f>
        <v>82064508.98732765</v>
      </c>
      <c r="B7925">
        <v>148998830.94787437</v>
      </c>
    </row>
    <row r="7926" spans="1:2" x14ac:dyDescent="0.25">
      <c r="A7926">
        <f ca="1">28018.0021275754*((RANDBETWEEN(2979,3282)))</f>
        <v>86939860.601866379</v>
      </c>
      <c r="B7926">
        <v>172975646.39566118</v>
      </c>
    </row>
    <row r="7927" spans="1:2" x14ac:dyDescent="0.25">
      <c r="A7927">
        <f ca="1">26295.6228592583*((RANDBETWEEN(2979,3282)))</f>
        <v>85040044.32684128</v>
      </c>
      <c r="B7927">
        <v>153404940.48430759</v>
      </c>
    </row>
    <row r="7928" spans="1:2" x14ac:dyDescent="0.25">
      <c r="A7928">
        <f ca="1">29270.1950972375*((RANDBETWEEN(2979,3282)))</f>
        <v>87839855.486809656</v>
      </c>
      <c r="B7928">
        <v>177725097.61241379</v>
      </c>
    </row>
    <row r="7929" spans="1:2" x14ac:dyDescent="0.25">
      <c r="A7929">
        <f ca="1">28411.2455391117*((RANDBETWEEN(2979,3282)))</f>
        <v>88529441.099872187</v>
      </c>
      <c r="B7929">
        <v>184629197.39163616</v>
      </c>
    </row>
    <row r="7930" spans="1:2" x14ac:dyDescent="0.25">
      <c r="A7930">
        <f ca="1">27601.1859630395*((RANDBETWEEN(2979,3282)))</f>
        <v>90007467.425471663</v>
      </c>
      <c r="B7930">
        <v>150981021.99475545</v>
      </c>
    </row>
    <row r="7931" spans="1:2" x14ac:dyDescent="0.25">
      <c r="A7931">
        <f ca="1">30870.6515599357*((RANDBETWEEN(2979,3282)))</f>
        <v>98971308.901153982</v>
      </c>
      <c r="B7931">
        <v>187489379.23274225</v>
      </c>
    </row>
    <row r="7932" spans="1:2" x14ac:dyDescent="0.25">
      <c r="A7932">
        <f ca="1">30764.0476037733*((RANDBETWEEN(2979,3282)))</f>
        <v>92415199.001735136</v>
      </c>
      <c r="B7932">
        <v>182234962.55106848</v>
      </c>
    </row>
    <row r="7933" spans="1:2" x14ac:dyDescent="0.25">
      <c r="A7933">
        <f ca="1">26285.7052942356*((RANDBETWEEN(2979,3282)))</f>
        <v>83299400.077432528</v>
      </c>
      <c r="B7933">
        <v>173155369.03972346</v>
      </c>
    </row>
    <row r="7934" spans="1:2" x14ac:dyDescent="0.25">
      <c r="A7934">
        <f ca="1">26902.6100136168*((RANDBETWEEN(2979,3282)))</f>
        <v>81541810.951272607</v>
      </c>
      <c r="B7934">
        <v>168335953.3052673</v>
      </c>
    </row>
    <row r="7935" spans="1:2" x14ac:dyDescent="0.25">
      <c r="A7935">
        <f ca="1">27229.2787210066*((RANDBETWEEN(2979,3282)))</f>
        <v>84928120.330819458</v>
      </c>
      <c r="B7935">
        <v>193835974.88978991</v>
      </c>
    </row>
    <row r="7936" spans="1:2" x14ac:dyDescent="0.25">
      <c r="A7936">
        <f ca="1">26872.3376963804*((RANDBETWEEN(2979,3282)))</f>
        <v>83976055.301188603</v>
      </c>
      <c r="B7936">
        <v>197314584.33789265</v>
      </c>
    </row>
    <row r="7937" spans="1:2" x14ac:dyDescent="0.25">
      <c r="A7937">
        <f ca="1">27674.9073790555*((RANDBETWEEN(2979,3282)))</f>
        <v>90137173.333583698</v>
      </c>
      <c r="B7937">
        <v>175836315.68971348</v>
      </c>
    </row>
    <row r="7938" spans="1:2" x14ac:dyDescent="0.25">
      <c r="A7938">
        <f ca="1">25382.161341865*((RANDBETWEEN(2979,3282)))</f>
        <v>82314349.231668159</v>
      </c>
      <c r="B7938">
        <v>153264302.86952269</v>
      </c>
    </row>
    <row r="7939" spans="1:2" x14ac:dyDescent="0.25">
      <c r="A7939">
        <f ca="1">27930.3707644656*((RANDBETWEEN(2979,3282)))</f>
        <v>91527824.995153785</v>
      </c>
      <c r="B7939">
        <v>158613550.68205613</v>
      </c>
    </row>
    <row r="7940" spans="1:2" x14ac:dyDescent="0.25">
      <c r="A7940">
        <f ca="1">29101.2259726066*((RANDBETWEEN(2979,3282)))</f>
        <v>86750754.6243404</v>
      </c>
      <c r="B7940">
        <v>168233302.35957646</v>
      </c>
    </row>
    <row r="7941" spans="1:2" x14ac:dyDescent="0.25">
      <c r="A7941">
        <f ca="1">26599.7232798488*((RANDBETWEEN(2979,3282)))</f>
        <v>86156503.703430295</v>
      </c>
      <c r="B7941">
        <v>147025202.31328863</v>
      </c>
    </row>
    <row r="7942" spans="1:2" x14ac:dyDescent="0.25">
      <c r="A7942">
        <f ca="1">26031.1678315281*((RANDBETWEEN(2979,3282)))</f>
        <v>83534017.571373582</v>
      </c>
      <c r="B7942">
        <v>174168992.87709773</v>
      </c>
    </row>
    <row r="7943" spans="1:2" x14ac:dyDescent="0.25">
      <c r="A7943">
        <f ca="1">28722.0471062345*((RANDBETWEEN(2979,3282)))</f>
        <v>90330838.149107352</v>
      </c>
      <c r="B7943">
        <v>160596538.01544192</v>
      </c>
    </row>
    <row r="7944" spans="1:2" x14ac:dyDescent="0.25">
      <c r="A7944">
        <f ca="1">30010.7280528072*((RANDBETWEEN(2979,3282)))</f>
        <v>89431969.597365528</v>
      </c>
      <c r="B7944">
        <v>197668150.25591549</v>
      </c>
    </row>
    <row r="7945" spans="1:2" x14ac:dyDescent="0.25">
      <c r="A7945">
        <f ca="1">26599.6308284984*((RANDBETWEEN(2979,3282)))</f>
        <v>85438014.221136913</v>
      </c>
      <c r="B7945">
        <v>163937726.21902919</v>
      </c>
    </row>
    <row r="7946" spans="1:2" x14ac:dyDescent="0.25">
      <c r="A7946">
        <f ca="1">25874.0774514955*((RANDBETWEEN(2979,3282)))</f>
        <v>77829224.974098563</v>
      </c>
      <c r="B7946">
        <v>144172968.5150753</v>
      </c>
    </row>
    <row r="7947" spans="1:2" x14ac:dyDescent="0.25">
      <c r="A7947">
        <f ca="1">26523.792424306*((RANDBETWEEN(2979,3282)))</f>
        <v>86679753.642632097</v>
      </c>
      <c r="B7947">
        <v>174531150.31526661</v>
      </c>
    </row>
    <row r="7948" spans="1:2" x14ac:dyDescent="0.25">
      <c r="A7948">
        <f ca="1">26787.6741002496*((RANDBETWEEN(2979,3282)))</f>
        <v>83898995.281981617</v>
      </c>
      <c r="B7948">
        <v>202925659.49618012</v>
      </c>
    </row>
    <row r="7949" spans="1:2" x14ac:dyDescent="0.25">
      <c r="A7949">
        <f ca="1">26263.8449631943*((RANDBETWEEN(2979,3282)))</f>
        <v>84044303.882221848</v>
      </c>
      <c r="B7949">
        <v>159503935.41685379</v>
      </c>
    </row>
    <row r="7950" spans="1:2" x14ac:dyDescent="0.25">
      <c r="A7950">
        <f ca="1">27987.9257039849*((RANDBETWEEN(2979,3282)))</f>
        <v>87574219.527768895</v>
      </c>
      <c r="B7950">
        <v>184088972.45425192</v>
      </c>
    </row>
    <row r="7951" spans="1:2" x14ac:dyDescent="0.25">
      <c r="A7951">
        <f ca="1">27992.5499233156*((RANDBETWEEN(2979,3282)))</f>
        <v>84201590.169333398</v>
      </c>
      <c r="B7951">
        <v>184655548.00263196</v>
      </c>
    </row>
    <row r="7952" spans="1:2" x14ac:dyDescent="0.25">
      <c r="A7952">
        <f ca="1">25975.3870411152*((RANDBETWEEN(2979,3282)))</f>
        <v>82601730.790746495</v>
      </c>
      <c r="B7952">
        <v>148034173.87968975</v>
      </c>
    </row>
    <row r="7953" spans="1:2" x14ac:dyDescent="0.25">
      <c r="A7953">
        <f ca="1">25603.2567680031*((RANDBETWEEN(2979,3282)))</f>
        <v>76784167.0472413</v>
      </c>
      <c r="B7953">
        <v>158372399.38908821</v>
      </c>
    </row>
    <row r="7954" spans="1:2" x14ac:dyDescent="0.25">
      <c r="A7954">
        <f ca="1">26835.9801194211*((RANDBETWEEN(2979,3282)))</f>
        <v>79944384.775755465</v>
      </c>
      <c r="B7954">
        <v>199023151.72358724</v>
      </c>
    </row>
    <row r="7955" spans="1:2" x14ac:dyDescent="0.25">
      <c r="A7955">
        <f ca="1">28877.9106009761*((RANDBETWEEN(2979,3282)))</f>
        <v>88597429.723794654</v>
      </c>
      <c r="B7955">
        <v>148596108.85604885</v>
      </c>
    </row>
    <row r="7956" spans="1:2" x14ac:dyDescent="0.25">
      <c r="A7956">
        <f ca="1">26268.8633031444*((RANDBETWEEN(2979,3282)))</f>
        <v>86214409.360920042</v>
      </c>
      <c r="B7956">
        <v>143846360.9403404</v>
      </c>
    </row>
    <row r="7957" spans="1:2" x14ac:dyDescent="0.25">
      <c r="A7957">
        <f ca="1">27485.0916644709*((RANDBETWEEN(2979,3282)))</f>
        <v>84159350.676609874</v>
      </c>
      <c r="B7957">
        <v>169365058.19453308</v>
      </c>
    </row>
    <row r="7958" spans="1:2" x14ac:dyDescent="0.25">
      <c r="A7958">
        <f ca="1">27562.6928839947*((RANDBETWEEN(2979,3282)))</f>
        <v>85582161.40480341</v>
      </c>
      <c r="B7958">
        <v>179527671.99990264</v>
      </c>
    </row>
    <row r="7959" spans="1:2" x14ac:dyDescent="0.25">
      <c r="A7959">
        <f ca="1">31879.0735867604*((RANDBETWEEN(2979,3282)))</f>
        <v>101917398.2568731</v>
      </c>
      <c r="B7959">
        <v>163077089.41315734</v>
      </c>
    </row>
    <row r="7960" spans="1:2" x14ac:dyDescent="0.25">
      <c r="A7960">
        <f ca="1">27816.1251076688*((RANDBETWEEN(2979,3282)))</f>
        <v>83309294.697468013</v>
      </c>
      <c r="B7960">
        <v>180850894.87635148</v>
      </c>
    </row>
    <row r="7961" spans="1:2" x14ac:dyDescent="0.25">
      <c r="A7961">
        <f ca="1">25741.3858040645*((RANDBETWEEN(2979,3282)))</f>
        <v>83942659.107054219</v>
      </c>
      <c r="B7961">
        <v>151053402.72142908</v>
      </c>
    </row>
    <row r="7962" spans="1:2" x14ac:dyDescent="0.25">
      <c r="A7962">
        <f ca="1">26387.3322686232*((RANDBETWEEN(2979,3282)))</f>
        <v>81009110.064673111</v>
      </c>
      <c r="B7962">
        <v>153318940.64135641</v>
      </c>
    </row>
    <row r="7963" spans="1:2" x14ac:dyDescent="0.25">
      <c r="A7963">
        <f ca="1">29112.6853580489*((RANDBETWEEN(2979,3282)))</f>
        <v>94965579.637955636</v>
      </c>
      <c r="B7963">
        <v>159433175.85978669</v>
      </c>
    </row>
    <row r="7964" spans="1:2" x14ac:dyDescent="0.25">
      <c r="A7964">
        <f ca="1">30787.7134143281*((RANDBETWEEN(2979,3282)))</f>
        <v>101045275.4258247</v>
      </c>
      <c r="B7964">
        <v>165218679.35796478</v>
      </c>
    </row>
    <row r="7965" spans="1:2" x14ac:dyDescent="0.25">
      <c r="A7965">
        <f ca="1">28180.2868407426*((RANDBETWEEN(2979,3282)))</f>
        <v>88204297.811524183</v>
      </c>
      <c r="B7965">
        <v>150095807.62591437</v>
      </c>
    </row>
    <row r="7966" spans="1:2" x14ac:dyDescent="0.25">
      <c r="A7966">
        <f ca="1">28231.7191087864*((RANDBETWEEN(2979,3282)))</f>
        <v>84186986.382400915</v>
      </c>
      <c r="B7966">
        <v>178175565.51766983</v>
      </c>
    </row>
    <row r="7967" spans="1:2" x14ac:dyDescent="0.25">
      <c r="A7967">
        <f ca="1">26731.7495714966*((RANDBETWEEN(2979,3282)))</f>
        <v>86209892.368076593</v>
      </c>
      <c r="B7967">
        <v>148550348.28752691</v>
      </c>
    </row>
    <row r="7968" spans="1:2" x14ac:dyDescent="0.25">
      <c r="A7968">
        <f ca="1">27096.7580441426*((RANDBETWEEN(2979,3282)))</f>
        <v>81236080.61633946</v>
      </c>
      <c r="B7968">
        <v>151740532.34705657</v>
      </c>
    </row>
    <row r="7969" spans="1:2" x14ac:dyDescent="0.25">
      <c r="A7969">
        <f ca="1">27903.4983477732*((RANDBETWEEN(2979,3282)))</f>
        <v>88844738.739309847</v>
      </c>
      <c r="B7969">
        <v>183919922.34221601</v>
      </c>
    </row>
    <row r="7970" spans="1:2" x14ac:dyDescent="0.25">
      <c r="A7970">
        <f ca="1">28000.544577544*((RANDBETWEEN(2979,3282)))</f>
        <v>86381680.021723166</v>
      </c>
      <c r="B7970">
        <v>188573500.26694396</v>
      </c>
    </row>
    <row r="7971" spans="1:2" x14ac:dyDescent="0.25">
      <c r="A7971">
        <f ca="1">26494.4101175184*((RANDBETWEEN(2979,3282)))</f>
        <v>85523955.859349549</v>
      </c>
      <c r="B7971">
        <v>160407022.30142072</v>
      </c>
    </row>
    <row r="7972" spans="1:2" x14ac:dyDescent="0.25">
      <c r="A7972">
        <f ca="1">31649.9998663359*((RANDBETWEEN(2979,3282)))</f>
        <v>98874599.582433343</v>
      </c>
      <c r="B7972">
        <v>166709946.10127565</v>
      </c>
    </row>
    <row r="7973" spans="1:2" x14ac:dyDescent="0.25">
      <c r="A7973">
        <f ca="1">25795.9682719782*((RANDBETWEEN(2979,3282)))</f>
        <v>83553141.2329375</v>
      </c>
      <c r="B7973">
        <v>145066914.88372412</v>
      </c>
    </row>
    <row r="7974" spans="1:2" x14ac:dyDescent="0.25">
      <c r="A7974">
        <f ca="1">26894.5086393751*((RANDBETWEEN(2979,3282)))</f>
        <v>87568520.129805416</v>
      </c>
      <c r="B7974">
        <v>153093557.5344581</v>
      </c>
    </row>
    <row r="7975" spans="1:2" x14ac:dyDescent="0.25">
      <c r="A7975">
        <f ca="1">28119.5456083425*((RANDBETWEEN(2979,3282)))</f>
        <v>90629295.495687962</v>
      </c>
      <c r="B7975">
        <v>198687727.1324724</v>
      </c>
    </row>
    <row r="7976" spans="1:2" x14ac:dyDescent="0.25">
      <c r="A7976">
        <f ca="1">28728.2591346662*((RANDBETWEEN(2979,3282)))</f>
        <v>91126037.975161299</v>
      </c>
      <c r="B7976">
        <v>153036329.06679499</v>
      </c>
    </row>
    <row r="7977" spans="1:2" x14ac:dyDescent="0.25">
      <c r="A7977">
        <f ca="1">27159.4980207679*((RANDBETWEEN(2979,3282)))</f>
        <v>82863628.461362943</v>
      </c>
      <c r="B7977">
        <v>150792392.60127476</v>
      </c>
    </row>
    <row r="7978" spans="1:2" x14ac:dyDescent="0.25">
      <c r="A7978">
        <f ca="1">32201.2176581629*((RANDBETWEEN(2979,3282)))</f>
        <v>104911567.13029462</v>
      </c>
      <c r="B7978">
        <v>164248641.46870938</v>
      </c>
    </row>
    <row r="7979" spans="1:2" x14ac:dyDescent="0.25">
      <c r="A7979">
        <f ca="1">28040.6510802382*((RANDBETWEEN(2979,3282)))</f>
        <v>91300359.917255551</v>
      </c>
      <c r="B7979">
        <v>176276398.45929173</v>
      </c>
    </row>
    <row r="7980" spans="1:2" x14ac:dyDescent="0.25">
      <c r="A7980">
        <f ca="1">27780.3649821755*((RANDBETWEEN(2979,3282)))</f>
        <v>90647330.936838701</v>
      </c>
      <c r="B7980">
        <v>177694671.23018876</v>
      </c>
    </row>
    <row r="7981" spans="1:2" x14ac:dyDescent="0.25">
      <c r="A7981">
        <f ca="1">29391.6382567208*((RANDBETWEEN(2979,3282)))</f>
        <v>90820162.213267162</v>
      </c>
      <c r="B7981">
        <v>171524281.64992136</v>
      </c>
    </row>
    <row r="7982" spans="1:2" x14ac:dyDescent="0.25">
      <c r="A7982">
        <f ca="1">32130.4323327315*((RANDBETWEEN(2979,3282)))</f>
        <v>97323079.535843804</v>
      </c>
      <c r="B7982">
        <v>196827200.43134874</v>
      </c>
    </row>
    <row r="7983" spans="1:2" x14ac:dyDescent="0.25">
      <c r="A7983">
        <f ca="1">27879.4136137904*((RANDBETWEEN(2979,3282)))</f>
        <v>87541358.747301862</v>
      </c>
      <c r="B7983">
        <v>158877375.69475085</v>
      </c>
    </row>
    <row r="7984" spans="1:2" x14ac:dyDescent="0.25">
      <c r="A7984">
        <f ca="1">29331.8293646504*((RANDBETWEEN(2979,3282)))</f>
        <v>94565817.871632963</v>
      </c>
      <c r="B7984">
        <v>160391802.30645818</v>
      </c>
    </row>
    <row r="7985" spans="1:2" x14ac:dyDescent="0.25">
      <c r="A7985">
        <f ca="1">28813.5775877653*((RANDBETWEEN(2979,3282)))</f>
        <v>86267851.297769189</v>
      </c>
      <c r="B7985">
        <v>172780613.08693308</v>
      </c>
    </row>
    <row r="7986" spans="1:2" x14ac:dyDescent="0.25">
      <c r="A7986">
        <f ca="1">25704.8138933564*((RANDBETWEEN(2979,3282)))</f>
        <v>80841639.694605827</v>
      </c>
      <c r="B7986">
        <v>144815617.56710634</v>
      </c>
    </row>
    <row r="7987" spans="1:2" x14ac:dyDescent="0.25">
      <c r="A7987">
        <f ca="1">28822.3462247501*((RANDBETWEEN(2979,3282)))</f>
        <v>90213943.683467925</v>
      </c>
      <c r="B7987">
        <v>166067175.77471167</v>
      </c>
    </row>
    <row r="7988" spans="1:2" x14ac:dyDescent="0.25">
      <c r="A7988">
        <f ca="1">31239.0243419371*((RANDBETWEEN(2979,3282)))</f>
        <v>96559824.240927517</v>
      </c>
      <c r="B7988">
        <v>148205067.87903562</v>
      </c>
    </row>
    <row r="7989" spans="1:2" x14ac:dyDescent="0.25">
      <c r="A7989">
        <f ca="1">26170.9180729823*((RANDBETWEEN(2979,3282)))</f>
        <v>79245539.924990386</v>
      </c>
      <c r="B7989">
        <v>155345540.13177088</v>
      </c>
    </row>
    <row r="7990" spans="1:2" x14ac:dyDescent="0.25">
      <c r="A7990">
        <f ca="1">25555.4988475436*((RANDBETWEEN(2979,3282)))</f>
        <v>83259815.245296955</v>
      </c>
      <c r="B7990">
        <v>165577828.70660064</v>
      </c>
    </row>
    <row r="7991" spans="1:2" x14ac:dyDescent="0.25">
      <c r="A7991">
        <f ca="1">25971.7190711602*((RANDBETWEEN(2979,3282)))</f>
        <v>85187238.553405359</v>
      </c>
      <c r="B7991">
        <v>163988143.95576641</v>
      </c>
    </row>
    <row r="7992" spans="1:2" x14ac:dyDescent="0.25">
      <c r="A7992">
        <f ca="1">26226.9007069066*((RANDBETWEEN(2979,3282)))</f>
        <v>81382072.893531039</v>
      </c>
      <c r="B7992">
        <v>164420287.53309482</v>
      </c>
    </row>
    <row r="7993" spans="1:2" x14ac:dyDescent="0.25">
      <c r="A7993">
        <f ca="1">29940.8725877618*((RANDBETWEEN(2979,3282)))</f>
        <v>92128064.952543035</v>
      </c>
      <c r="B7993">
        <v>174261345.21461314</v>
      </c>
    </row>
    <row r="7994" spans="1:2" x14ac:dyDescent="0.25">
      <c r="A7994">
        <f ca="1">27429.4471631602*((RANDBETWEEN(2979,3282)))</f>
        <v>86293040.775301993</v>
      </c>
      <c r="B7994">
        <v>193755447.7914331</v>
      </c>
    </row>
    <row r="7995" spans="1:2" x14ac:dyDescent="0.25">
      <c r="A7995">
        <f ca="1">27054.087866381*((RANDBETWEEN(2979,3282)))</f>
        <v>84544024.582440734</v>
      </c>
      <c r="B7995">
        <v>173548161.05775487</v>
      </c>
    </row>
    <row r="7996" spans="1:2" x14ac:dyDescent="0.25">
      <c r="A7996">
        <f ca="1">26349.6707893149*((RANDBETWEEN(2979,3282)))</f>
        <v>78548368.622947633</v>
      </c>
      <c r="B7996">
        <v>186306406.76868516</v>
      </c>
    </row>
    <row r="7997" spans="1:2" x14ac:dyDescent="0.25">
      <c r="A7997">
        <f ca="1">31459.0037019246*((RANDBETWEEN(2979,3282)))</f>
        <v>94911814.168706477</v>
      </c>
      <c r="B7997">
        <v>170349867.66238767</v>
      </c>
    </row>
    <row r="7998" spans="1:2" x14ac:dyDescent="0.25">
      <c r="A7998">
        <f ca="1">26343.3986147254*((RANDBETWEEN(2979,3282)))</f>
        <v>82876332.041925967</v>
      </c>
      <c r="B7998">
        <v>182407850.59434265</v>
      </c>
    </row>
    <row r="7999" spans="1:2" x14ac:dyDescent="0.25">
      <c r="A7999">
        <f ca="1">28148.7934531181*((RANDBETWEEN(2979,3282)))</f>
        <v>85769373.651650891</v>
      </c>
      <c r="B7999">
        <v>195001147.11537117</v>
      </c>
    </row>
    <row r="8000" spans="1:2" x14ac:dyDescent="0.25">
      <c r="A8000">
        <f ca="1">25429.7758345756*((RANDBETWEEN(2979,3282)))</f>
        <v>77331948.312944248</v>
      </c>
      <c r="B8000">
        <v>150910873.41919664</v>
      </c>
    </row>
    <row r="8001" spans="1:2" x14ac:dyDescent="0.25">
      <c r="A8001">
        <f ca="1">29843.4371581144*((RANDBETWEEN(2979,3282)))</f>
        <v>95797433.277547345</v>
      </c>
      <c r="B8001">
        <v>181285102.87027976</v>
      </c>
    </row>
    <row r="8002" spans="1:2" x14ac:dyDescent="0.25">
      <c r="A8002">
        <f ca="1">26493.2649866723*((RANDBETWEEN(2979,3282)))</f>
        <v>82606000.228444293</v>
      </c>
      <c r="B8002">
        <v>198146495.50796691</v>
      </c>
    </row>
    <row r="8003" spans="1:2" x14ac:dyDescent="0.25">
      <c r="A8003">
        <f ca="1">30284.6825921707*((RANDBETWEEN(2979,3282)))</f>
        <v>96426429.373471633</v>
      </c>
      <c r="B8003">
        <v>193893764.36166674</v>
      </c>
    </row>
    <row r="8004" spans="1:2" x14ac:dyDescent="0.25">
      <c r="A8004">
        <f ca="1">28688.4855149423*((RANDBETWEEN(2979,3282)))</f>
        <v>86926111.110275298</v>
      </c>
      <c r="B8004">
        <v>179885286.70860928</v>
      </c>
    </row>
    <row r="8005" spans="1:2" x14ac:dyDescent="0.25">
      <c r="A8005">
        <f ca="1">30125.0766532666*((RANDBETWEEN(2979,3282)))</f>
        <v>95436242.837548733</v>
      </c>
      <c r="B8005">
        <v>191827817.19541809</v>
      </c>
    </row>
    <row r="8006" spans="1:2" x14ac:dyDescent="0.25">
      <c r="A8006">
        <f ca="1">31768.98566174*((RANDBETWEEN(2979,3282)))</f>
        <v>97371941.053233236</v>
      </c>
      <c r="B8006">
        <v>170120900.54310161</v>
      </c>
    </row>
    <row r="8007" spans="1:2" x14ac:dyDescent="0.25">
      <c r="A8007">
        <f ca="1">26516.3309222759*((RANDBETWEEN(2979,3282)))</f>
        <v>80583129.672796369</v>
      </c>
      <c r="B8007">
        <v>144814823.50296402</v>
      </c>
    </row>
    <row r="8008" spans="1:2" x14ac:dyDescent="0.25">
      <c r="A8008">
        <f ca="1">29618.1763564895*((RANDBETWEEN(2979,3282)))</f>
        <v>88617583.658616722</v>
      </c>
      <c r="B8008">
        <v>200010604.59809881</v>
      </c>
    </row>
    <row r="8009" spans="1:2" x14ac:dyDescent="0.25">
      <c r="A8009">
        <f ca="1">26848.1627135171*((RANDBETWEEN(2979,3282)))</f>
        <v>84732801.523860082</v>
      </c>
      <c r="B8009">
        <v>169409558.37639236</v>
      </c>
    </row>
    <row r="8010" spans="1:2" x14ac:dyDescent="0.25">
      <c r="A8010">
        <f ca="1">26270.5994442011*((RANDBETWEEN(2979,3282)))</f>
        <v>84039647.621999174</v>
      </c>
      <c r="B8010">
        <v>145271076.25369179</v>
      </c>
    </row>
    <row r="8011" spans="1:2" x14ac:dyDescent="0.25">
      <c r="A8011">
        <f ca="1">27114.1044861515*((RANDBETWEEN(2979,3282)))</f>
        <v>86792248.46017082</v>
      </c>
      <c r="B8011">
        <v>180230652.99187884</v>
      </c>
    </row>
    <row r="8012" spans="1:2" x14ac:dyDescent="0.25">
      <c r="A8012">
        <f ca="1">27041.4102907564*((RANDBETWEEN(2979,3282)))</f>
        <v>87776417.803795338</v>
      </c>
      <c r="B8012">
        <v>164425007.71089834</v>
      </c>
    </row>
    <row r="8013" spans="1:2" x14ac:dyDescent="0.25">
      <c r="A8013">
        <f ca="1">30274.3034225998*((RANDBETWEEN(2979,3282)))</f>
        <v>93698969.092946291</v>
      </c>
      <c r="B8013">
        <v>195942139.48555237</v>
      </c>
    </row>
    <row r="8014" spans="1:2" x14ac:dyDescent="0.25">
      <c r="A8014">
        <f ca="1">27452.3411471452*((RANDBETWEEN(2979,3282)))</f>
        <v>88863228.293309152</v>
      </c>
      <c r="B8014">
        <v>149309518.26392707</v>
      </c>
    </row>
    <row r="8015" spans="1:2" x14ac:dyDescent="0.25">
      <c r="A8015">
        <f ca="1">30164.6258912653*((RANDBETWEEN(2979,3282)))</f>
        <v>94807419.176246881</v>
      </c>
      <c r="B8015">
        <v>182475083.72259185</v>
      </c>
    </row>
    <row r="8016" spans="1:2" x14ac:dyDescent="0.25">
      <c r="A8016">
        <f ca="1">28754.7868592514*((RANDBETWEEN(2979,3282)))</f>
        <v>92187846.670759872</v>
      </c>
      <c r="B8016">
        <v>193675531.87659955</v>
      </c>
    </row>
    <row r="8017" spans="1:2" x14ac:dyDescent="0.25">
      <c r="A8017">
        <f ca="1">29599.1785109751*((RANDBETWEEN(2979,3282)))</f>
        <v>92586230.382330179</v>
      </c>
      <c r="B8017">
        <v>158646233.12720963</v>
      </c>
    </row>
    <row r="8018" spans="1:2" x14ac:dyDescent="0.25">
      <c r="A8018">
        <f ca="1">25998.6238629*((RANDBETWEEN(2979,3282)))</f>
        <v>80283750.488635272</v>
      </c>
      <c r="B8018">
        <v>158811624.57720315</v>
      </c>
    </row>
    <row r="8019" spans="1:2" x14ac:dyDescent="0.25">
      <c r="A8019">
        <f ca="1">32087.7826238659*((RANDBETWEEN(2979,3282)))</f>
        <v>101910797.61339799</v>
      </c>
      <c r="B8019">
        <v>169316557.99070281</v>
      </c>
    </row>
    <row r="8020" spans="1:2" x14ac:dyDescent="0.25">
      <c r="A8020">
        <f ca="1">30136.4689620603*((RANDBETWEEN(2979,3282)))</f>
        <v>91614865.644663379</v>
      </c>
      <c r="B8020">
        <v>156280738.08293709</v>
      </c>
    </row>
    <row r="8021" spans="1:2" x14ac:dyDescent="0.25">
      <c r="A8021">
        <f ca="1">26911.262013187*((RANDBETWEEN(2979,3282)))</f>
        <v>85550901.939921349</v>
      </c>
      <c r="B8021">
        <v>168576823.02616841</v>
      </c>
    </row>
    <row r="8022" spans="1:2" x14ac:dyDescent="0.25">
      <c r="A8022">
        <f ca="1">26521.2512354181*((RANDBETWEEN(2979,3282)))</f>
        <v>84523227.687277645</v>
      </c>
      <c r="B8022">
        <v>145099083.68456769</v>
      </c>
    </row>
    <row r="8023" spans="1:2" x14ac:dyDescent="0.25">
      <c r="A8023">
        <f ca="1">29290.3264488349*((RANDBETWEEN(2979,3282)))</f>
        <v>94490593.123941526</v>
      </c>
      <c r="B8023">
        <v>153438643.64053503</v>
      </c>
    </row>
    <row r="8024" spans="1:2" x14ac:dyDescent="0.25">
      <c r="A8024">
        <f ca="1">27327.295175258*((RANDBETWEEN(2979,3282)))</f>
        <v>85862361.440660745</v>
      </c>
      <c r="B8024">
        <v>159123082.84101412</v>
      </c>
    </row>
    <row r="8025" spans="1:2" x14ac:dyDescent="0.25">
      <c r="A8025">
        <f ca="1">26865.8074572498*((RANDBETWEEN(2979,3282)))</f>
        <v>86266107.745229155</v>
      </c>
      <c r="B8025">
        <v>146737260.39998817</v>
      </c>
    </row>
    <row r="8026" spans="1:2" x14ac:dyDescent="0.25">
      <c r="A8026">
        <f ca="1">24575.5727071355*((RANDBETWEEN(2979,3282)))</f>
        <v>79379099.844047517</v>
      </c>
      <c r="B8026">
        <v>183844682.37541345</v>
      </c>
    </row>
    <row r="8027" spans="1:2" x14ac:dyDescent="0.25">
      <c r="A8027">
        <f ca="1">27824.4449576805*((RANDBETWEEN(2979,3282)))</f>
        <v>86367077.148640141</v>
      </c>
      <c r="B8027">
        <v>169810789.90879139</v>
      </c>
    </row>
    <row r="8028" spans="1:2" x14ac:dyDescent="0.25">
      <c r="A8028">
        <f ca="1">27390.6058448593*((RANDBETWEEN(2979,3282)))</f>
        <v>86554314.469755366</v>
      </c>
      <c r="B8028">
        <v>165756104.21245036</v>
      </c>
    </row>
    <row r="8029" spans="1:2" x14ac:dyDescent="0.25">
      <c r="A8029">
        <f ca="1">28390.7136348521*((RANDBETWEEN(2979,3282)))</f>
        <v>91190972.195144817</v>
      </c>
      <c r="B8029">
        <v>166144157.24530244</v>
      </c>
    </row>
    <row r="8030" spans="1:2" x14ac:dyDescent="0.25">
      <c r="A8030">
        <f ca="1">27553.5276530329*((RANDBETWEEN(2979,3282)))</f>
        <v>84010705.814097449</v>
      </c>
      <c r="B8030">
        <v>151601856.45249417</v>
      </c>
    </row>
    <row r="8031" spans="1:2" x14ac:dyDescent="0.25">
      <c r="A8031">
        <f ca="1">26089.4832793996*((RANDBETWEEN(2979,3282)))</f>
        <v>83121093.728167221</v>
      </c>
      <c r="B8031">
        <v>156238964.60621434</v>
      </c>
    </row>
    <row r="8032" spans="1:2" x14ac:dyDescent="0.25">
      <c r="A8032">
        <f ca="1">30757.384181775*((RANDBETWEEN(2979,3282)))</f>
        <v>94056080.827867821</v>
      </c>
      <c r="B8032">
        <v>163235843.23691028</v>
      </c>
    </row>
    <row r="8033" spans="1:2" x14ac:dyDescent="0.25">
      <c r="A8033">
        <f ca="1">31600.3161426517*((RANDBETWEEN(2979,3282)))</f>
        <v>96791768.344942302</v>
      </c>
      <c r="B8033">
        <v>187288251.72320706</v>
      </c>
    </row>
    <row r="8034" spans="1:2" x14ac:dyDescent="0.25">
      <c r="A8034">
        <f ca="1">32505.8218514202*((RANDBETWEEN(2979,3282)))</f>
        <v>97549971.376111895</v>
      </c>
      <c r="B8034">
        <v>173526270.19675162</v>
      </c>
    </row>
    <row r="8035" spans="1:2" x14ac:dyDescent="0.25">
      <c r="A8035">
        <f ca="1">29411.4413687624*((RANDBETWEEN(2979,3282)))</f>
        <v>89175490.230087459</v>
      </c>
      <c r="B8035">
        <v>156088112.96054989</v>
      </c>
    </row>
    <row r="8036" spans="1:2" x14ac:dyDescent="0.25">
      <c r="A8036">
        <f ca="1">26914.2574347407*((RANDBETWEEN(2979,3282)))</f>
        <v>83057398.443609938</v>
      </c>
      <c r="B8036">
        <v>168346878.79651541</v>
      </c>
    </row>
    <row r="8037" spans="1:2" x14ac:dyDescent="0.25">
      <c r="A8037">
        <f ca="1">30545.2576674078*((RANDBETWEEN(2979,3282)))</f>
        <v>98325184.431385651</v>
      </c>
      <c r="B8037">
        <v>183094247.82770839</v>
      </c>
    </row>
    <row r="8038" spans="1:2" x14ac:dyDescent="0.25">
      <c r="A8038">
        <f ca="1">26665.2260524452*((RANDBETWEEN(2979,3282)))</f>
        <v>85195397.237562433</v>
      </c>
      <c r="B8038">
        <v>164199828.93053776</v>
      </c>
    </row>
    <row r="8039" spans="1:2" x14ac:dyDescent="0.25">
      <c r="A8039">
        <f ca="1">27381.8963249568*((RANDBETWEEN(2979,3282)))</f>
        <v>81707578.633671194</v>
      </c>
      <c r="B8039">
        <v>144427434.81151399</v>
      </c>
    </row>
    <row r="8040" spans="1:2" x14ac:dyDescent="0.25">
      <c r="A8040">
        <f ca="1">30453.7371893771*((RANDBETWEEN(2979,3282)))</f>
        <v>91513480.254078165</v>
      </c>
      <c r="B8040">
        <v>157331972.30875945</v>
      </c>
    </row>
    <row r="8041" spans="1:2" x14ac:dyDescent="0.25">
      <c r="A8041">
        <f ca="1">28876.594423449*((RANDBETWEEN(2979,3282)))</f>
        <v>88246872.558060065</v>
      </c>
      <c r="B8041">
        <v>170156104.53766078</v>
      </c>
    </row>
    <row r="8042" spans="1:2" x14ac:dyDescent="0.25">
      <c r="A8042">
        <f ca="1">27947.422773881*((RANDBETWEEN(2979,3282)))</f>
        <v>84373269.354346842</v>
      </c>
      <c r="B8042">
        <v>178629361.3017779</v>
      </c>
    </row>
    <row r="8043" spans="1:2" x14ac:dyDescent="0.25">
      <c r="A8043">
        <f ca="1">29918.9058471516*((RANDBETWEEN(2979,3282)))</f>
        <v>91851040.950755358</v>
      </c>
      <c r="B8043">
        <v>169431367.16876596</v>
      </c>
    </row>
    <row r="8044" spans="1:2" x14ac:dyDescent="0.25">
      <c r="A8044">
        <f ca="1">29037.2578474294*((RANDBETWEEN(2979,3282)))</f>
        <v>94196864.457061067</v>
      </c>
      <c r="B8044">
        <v>186797681.64773077</v>
      </c>
    </row>
    <row r="8045" spans="1:2" x14ac:dyDescent="0.25">
      <c r="A8045">
        <f ca="1">29108.1992630734*((RANDBETWEEN(2979,3282)))</f>
        <v>91894585.073522687</v>
      </c>
      <c r="B8045">
        <v>157346552.21279478</v>
      </c>
    </row>
    <row r="8046" spans="1:2" x14ac:dyDescent="0.25">
      <c r="A8046">
        <f ca="1">26105.4565454487*((RANDBETWEEN(2979,3282)))</f>
        <v>80744177.09507291</v>
      </c>
      <c r="B8046">
        <v>157367326.6469281</v>
      </c>
    </row>
    <row r="8047" spans="1:2" x14ac:dyDescent="0.25">
      <c r="A8047">
        <f ca="1">29405.3157534611*((RANDBETWEEN(2979,3282)))</f>
        <v>92891392.465183467</v>
      </c>
      <c r="B8047">
        <v>149544699.82920215</v>
      </c>
    </row>
    <row r="8048" spans="1:2" x14ac:dyDescent="0.25">
      <c r="A8048">
        <f ca="1">26207.9034368791*((RANDBETWEEN(2979,3282)))</f>
        <v>82240400.984926686</v>
      </c>
      <c r="B8048">
        <v>149221933.99261531</v>
      </c>
    </row>
    <row r="8049" spans="1:2" x14ac:dyDescent="0.25">
      <c r="A8049">
        <f ca="1">26062.8191253498*((RANDBETWEEN(2979,3282)))</f>
        <v>81993628.96835044</v>
      </c>
      <c r="B8049">
        <v>142902634.24396169</v>
      </c>
    </row>
    <row r="8050" spans="1:2" x14ac:dyDescent="0.25">
      <c r="A8050">
        <f ca="1">26952.9580548284*((RANDBETWEEN(2979,3282)))</f>
        <v>87839690.300685778</v>
      </c>
      <c r="B8050">
        <v>190458423.19010764</v>
      </c>
    </row>
    <row r="8051" spans="1:2" x14ac:dyDescent="0.25">
      <c r="A8051">
        <f ca="1">28017.7802723419*((RANDBETWEEN(2979,3282)))</f>
        <v>88928434.584413141</v>
      </c>
      <c r="B8051">
        <v>154234167.73511153</v>
      </c>
    </row>
    <row r="8052" spans="1:2" x14ac:dyDescent="0.25">
      <c r="A8052">
        <f ca="1">26924.779752313*((RANDBETWEEN(2979,3282)))</f>
        <v>81178210.953223795</v>
      </c>
      <c r="B8052">
        <v>185741809.0885492</v>
      </c>
    </row>
    <row r="8053" spans="1:2" x14ac:dyDescent="0.25">
      <c r="A8053">
        <f ca="1">28234.5763805445*((RANDBETWEEN(2979,3282)))</f>
        <v>84619025.412492022</v>
      </c>
      <c r="B8053">
        <v>177648171.28735918</v>
      </c>
    </row>
    <row r="8054" spans="1:2" x14ac:dyDescent="0.25">
      <c r="A8054">
        <f ca="1">30625.2439339757*((RANDBETWEEN(2979,3282)))</f>
        <v>94509502.78024894</v>
      </c>
      <c r="B8054">
        <v>154337159.63941497</v>
      </c>
    </row>
    <row r="8055" spans="1:2" x14ac:dyDescent="0.25">
      <c r="A8055">
        <f ca="1">26346.049860847*((RANDBETWEEN(2979,3282)))</f>
        <v>83306209.659998357</v>
      </c>
      <c r="B8055">
        <v>161258813.93829456</v>
      </c>
    </row>
    <row r="8056" spans="1:2" x14ac:dyDescent="0.25">
      <c r="A8056">
        <f ca="1">30362.5991848424*((RANDBETWEEN(2979,3282)))</f>
        <v>90996709.756972551</v>
      </c>
      <c r="B8056">
        <v>198276385.1263361</v>
      </c>
    </row>
    <row r="8057" spans="1:2" x14ac:dyDescent="0.25">
      <c r="A8057">
        <f ca="1">29267.0341795544*((RANDBETWEEN(2979,3282)))</f>
        <v>94678855.570858449</v>
      </c>
      <c r="B8057">
        <v>167425268.07854342</v>
      </c>
    </row>
    <row r="8058" spans="1:2" x14ac:dyDescent="0.25">
      <c r="A8058">
        <f ca="1">28564.8137218938*((RANDBETWEEN(2979,3282)))</f>
        <v>90407635.429793864</v>
      </c>
      <c r="B8058">
        <v>160022340.96248281</v>
      </c>
    </row>
    <row r="8059" spans="1:2" x14ac:dyDescent="0.25">
      <c r="A8059">
        <f ca="1">31270.976150216*((RANDBETWEEN(2979,3282)))</f>
        <v>101818298.34510332</v>
      </c>
      <c r="B8059">
        <v>152269475.85373005</v>
      </c>
    </row>
    <row r="8060" spans="1:2" x14ac:dyDescent="0.25">
      <c r="A8060">
        <f ca="1">30651.3588485383*((RANDBETWEEN(2979,3282)))</f>
        <v>96429174.93750149</v>
      </c>
      <c r="B8060">
        <v>191235961.14233246</v>
      </c>
    </row>
    <row r="8061" spans="1:2" x14ac:dyDescent="0.25">
      <c r="A8061">
        <f ca="1">30192.712000496*((RANDBETWEEN(2979,3282)))</f>
        <v>90668714.137489468</v>
      </c>
      <c r="B8061">
        <v>163758014.01020718</v>
      </c>
    </row>
    <row r="8062" spans="1:2" x14ac:dyDescent="0.25">
      <c r="A8062">
        <f ca="1">27222.6793544114*((RANDBETWEEN(2979,3282)))</f>
        <v>89344833.641178355</v>
      </c>
      <c r="B8062">
        <v>142978261.08932596</v>
      </c>
    </row>
    <row r="8063" spans="1:2" x14ac:dyDescent="0.25">
      <c r="A8063">
        <f ca="1">27735.656900631*((RANDBETWEEN(2979,3282)))</f>
        <v>90862012.006467193</v>
      </c>
      <c r="B8063">
        <v>148266271.24657446</v>
      </c>
    </row>
    <row r="8064" spans="1:2" x14ac:dyDescent="0.25">
      <c r="A8064">
        <f ca="1">25538.8277703893*((RANDBETWEEN(2979,3282)))</f>
        <v>80268535.682333708</v>
      </c>
      <c r="B8064">
        <v>155037275.77022165</v>
      </c>
    </row>
    <row r="8065" spans="1:2" x14ac:dyDescent="0.25">
      <c r="A8065">
        <f ca="1">27034.8934727825*((RANDBETWEEN(2979,3282)))</f>
        <v>85673577.415247634</v>
      </c>
      <c r="B8065">
        <v>144366383.31265846</v>
      </c>
    </row>
    <row r="8066" spans="1:2" x14ac:dyDescent="0.25">
      <c r="A8066">
        <f ca="1">26556.7026741958*((RANDBETWEEN(2979,3282)))</f>
        <v>84158190.774526596</v>
      </c>
      <c r="B8066">
        <v>148627869.80993268</v>
      </c>
    </row>
    <row r="8067" spans="1:2" x14ac:dyDescent="0.25">
      <c r="A8067">
        <f ca="1">26258.514433814*((RANDBETWEEN(2979,3282)))</f>
        <v>86049151.799608439</v>
      </c>
      <c r="B8067">
        <v>145774508.09377295</v>
      </c>
    </row>
    <row r="8068" spans="1:2" x14ac:dyDescent="0.25">
      <c r="A8068">
        <f ca="1">25272.0006554769*((RANDBETWEEN(2979,3282)))</f>
        <v>75841273.967086211</v>
      </c>
      <c r="B8068">
        <v>144434565.3679902</v>
      </c>
    </row>
    <row r="8069" spans="1:2" x14ac:dyDescent="0.25">
      <c r="A8069">
        <f ca="1">27535.4118090362*((RANDBETWEEN(2979,3282)))</f>
        <v>87314790.846453771</v>
      </c>
      <c r="B8069">
        <v>188714080.13532919</v>
      </c>
    </row>
    <row r="8070" spans="1:2" x14ac:dyDescent="0.25">
      <c r="A8070">
        <f ca="1">26998.9962291274*((RANDBETWEEN(2979,3282)))</f>
        <v>81023987.683611467</v>
      </c>
      <c r="B8070">
        <v>153840873.50650164</v>
      </c>
    </row>
    <row r="8071" spans="1:2" x14ac:dyDescent="0.25">
      <c r="A8071">
        <f ca="1">25434.88183451*((RANDBETWEEN(2979,3282)))</f>
        <v>79229656.914498687</v>
      </c>
      <c r="B8071">
        <v>144518170.0519357</v>
      </c>
    </row>
    <row r="8072" spans="1:2" x14ac:dyDescent="0.25">
      <c r="A8072">
        <f ca="1">28485.6374241738*((RANDBETWEEN(2979,3282)))</f>
        <v>89217016.412512392</v>
      </c>
      <c r="B8072">
        <v>147876839.85865092</v>
      </c>
    </row>
    <row r="8073" spans="1:2" x14ac:dyDescent="0.25">
      <c r="A8073">
        <f ca="1">25207.9527773346*((RANDBETWEEN(2979,3282)))</f>
        <v>77968197.94029595</v>
      </c>
      <c r="B8073">
        <v>191277617.28411373</v>
      </c>
    </row>
    <row r="8074" spans="1:2" x14ac:dyDescent="0.25">
      <c r="A8074">
        <f ca="1">25625.5611479664*((RANDBETWEEN(2979,3282)))</f>
        <v>77901705.889817715</v>
      </c>
      <c r="B8074">
        <v>145553388.62155163</v>
      </c>
    </row>
    <row r="8075" spans="1:2" x14ac:dyDescent="0.25">
      <c r="A8075">
        <f ca="1">28193.6982431895*((RANDBETWEEN(2979,3282)))</f>
        <v>89937897.395774394</v>
      </c>
      <c r="B8075">
        <v>176541415.77622697</v>
      </c>
    </row>
    <row r="8076" spans="1:2" x14ac:dyDescent="0.25">
      <c r="A8076">
        <f ca="1">30913.9237666209*((RANDBETWEEN(2979,3282)))</f>
        <v>100470252.24151807</v>
      </c>
      <c r="B8076">
        <v>198534489.12306535</v>
      </c>
    </row>
    <row r="8077" spans="1:2" x14ac:dyDescent="0.25">
      <c r="A8077">
        <f ca="1">30355.2834742812*((RANDBETWEEN(2979,3282)))</f>
        <v>94708484.439757228</v>
      </c>
      <c r="B8077">
        <v>178853493.25143695</v>
      </c>
    </row>
    <row r="8078" spans="1:2" x14ac:dyDescent="0.25">
      <c r="A8078">
        <f ca="1">26576.8275395748*((RANDBETWEEN(2979,3282)))</f>
        <v>82467895.855300739</v>
      </c>
      <c r="B8078">
        <v>167120959.64738065</v>
      </c>
    </row>
    <row r="8079" spans="1:2" x14ac:dyDescent="0.25">
      <c r="A8079">
        <f ca="1">32460.6968402217*((RANDBETWEEN(2979,3282)))</f>
        <v>102803026.89298216</v>
      </c>
      <c r="B8079">
        <v>195915215.44897765</v>
      </c>
    </row>
    <row r="8080" spans="1:2" x14ac:dyDescent="0.25">
      <c r="A8080">
        <f ca="1">31920.4060884817*((RANDBETWEEN(2979,3282)))</f>
        <v>102113379.07705292</v>
      </c>
      <c r="B8080">
        <v>147098671.5523454</v>
      </c>
    </row>
    <row r="8081" spans="1:2" x14ac:dyDescent="0.25">
      <c r="A8081">
        <f ca="1">30289.1798829359*((RANDBETWEEN(2979,3282)))</f>
        <v>96683062.186331406</v>
      </c>
      <c r="B8081">
        <v>178617016.60694149</v>
      </c>
    </row>
    <row r="8082" spans="1:2" x14ac:dyDescent="0.25">
      <c r="A8082">
        <f ca="1">30160.0865913808*((RANDBETWEEN(2979,3282)))</f>
        <v>98201241.941535816</v>
      </c>
      <c r="B8082">
        <v>160469840.93397576</v>
      </c>
    </row>
    <row r="8083" spans="1:2" x14ac:dyDescent="0.25">
      <c r="A8083">
        <f ca="1">25829.8262306416*((RANDBETWEEN(2979,3282)))</f>
        <v>83404508.898741812</v>
      </c>
      <c r="B8083">
        <v>161113861.71400994</v>
      </c>
    </row>
    <row r="8084" spans="1:2" x14ac:dyDescent="0.25">
      <c r="A8084">
        <f ca="1">28094.750937251*((RANDBETWEEN(2979,3282)))</f>
        <v>91195561.54231675</v>
      </c>
      <c r="B8084">
        <v>164973714.18570134</v>
      </c>
    </row>
    <row r="8085" spans="1:2" x14ac:dyDescent="0.25">
      <c r="A8085">
        <f ca="1">31887.6878965771*((RANDBETWEEN(2979,3282)))</f>
        <v>104400290.17339355</v>
      </c>
      <c r="B8085">
        <v>162107512.54033533</v>
      </c>
    </row>
    <row r="8086" spans="1:2" x14ac:dyDescent="0.25">
      <c r="A8086">
        <f ca="1">26467.1660791927*((RANDBETWEEN(2979,3282)))</f>
        <v>79136826.576786086</v>
      </c>
      <c r="B8086">
        <v>161650559.53939331</v>
      </c>
    </row>
    <row r="8087" spans="1:2" x14ac:dyDescent="0.25">
      <c r="A8087">
        <f ca="1">26154.6720745809*((RANDBETWEEN(2979,3282)))</f>
        <v>82073360.970034972</v>
      </c>
      <c r="B8087">
        <v>146219947.29688281</v>
      </c>
    </row>
    <row r="8088" spans="1:2" x14ac:dyDescent="0.25">
      <c r="A8088">
        <f ca="1">31923.9883703562*((RANDBETWEEN(2979,3282)))</f>
        <v>101965218.85491768</v>
      </c>
      <c r="B8088">
        <v>180284598.40619081</v>
      </c>
    </row>
    <row r="8089" spans="1:2" x14ac:dyDescent="0.25">
      <c r="A8089">
        <f ca="1">26269.5835983904*((RANDBETWEEN(2979,3282)))</f>
        <v>83353388.75769271</v>
      </c>
      <c r="B8089">
        <v>175068694.35870579</v>
      </c>
    </row>
    <row r="8090" spans="1:2" x14ac:dyDescent="0.25">
      <c r="A8090">
        <f ca="1">30656.6726048701*((RANDBETWEEN(2979,3282)))</f>
        <v>100431259.45355445</v>
      </c>
      <c r="B8090">
        <v>155364006.24851581</v>
      </c>
    </row>
    <row r="8091" spans="1:2" x14ac:dyDescent="0.25">
      <c r="A8091">
        <f ca="1">27609.2870058167*((RANDBETWEEN(2979,3282)))</f>
        <v>84125497.506723523</v>
      </c>
      <c r="B8091">
        <v>154921024.3196907</v>
      </c>
    </row>
    <row r="8092" spans="1:2" x14ac:dyDescent="0.25">
      <c r="A8092">
        <f ca="1">27553.4814851835*((RANDBETWEEN(2979,3282)))</f>
        <v>86738359.715357676</v>
      </c>
      <c r="B8092">
        <v>157721304.8488996</v>
      </c>
    </row>
    <row r="8093" spans="1:2" x14ac:dyDescent="0.25">
      <c r="A8093">
        <f ca="1">26548.6205788707*((RANDBETWEEN(2979,3282)))</f>
        <v>84132578.61444138</v>
      </c>
      <c r="B8093">
        <v>168969239.24264461</v>
      </c>
    </row>
    <row r="8094" spans="1:2" x14ac:dyDescent="0.25">
      <c r="A8094">
        <f ca="1">29286.5853856096*((RANDBETWEEN(2979,3282)))</f>
        <v>88562634.206083491</v>
      </c>
      <c r="B8094">
        <v>169027703.07903671</v>
      </c>
    </row>
    <row r="8095" spans="1:2" x14ac:dyDescent="0.25">
      <c r="A8095">
        <f ca="1">26013.9158025181*((RANDBETWEEN(2979,3282)))</f>
        <v>82282015.683364838</v>
      </c>
      <c r="B8095">
        <v>151623201.23574612</v>
      </c>
    </row>
    <row r="8096" spans="1:2" x14ac:dyDescent="0.25">
      <c r="A8096">
        <f ca="1">28031.0313993704*((RANDBETWEEN(2979,3282)))</f>
        <v>85802987.11347273</v>
      </c>
      <c r="B8096">
        <v>175713372.70020902</v>
      </c>
    </row>
    <row r="8097" spans="1:2" x14ac:dyDescent="0.25">
      <c r="A8097">
        <f ca="1">29250.0133937959*((RANDBETWEEN(2979,3282)))</f>
        <v>91728042.002943859</v>
      </c>
      <c r="B8097">
        <v>198121058.46373841</v>
      </c>
    </row>
    <row r="8098" spans="1:2" x14ac:dyDescent="0.25">
      <c r="A8098">
        <f ca="1">26594.1608135207*((RANDBETWEEN(2979,3282)))</f>
        <v>85686386.141163677</v>
      </c>
      <c r="B8098">
        <v>164139791.64674795</v>
      </c>
    </row>
    <row r="8099" spans="1:2" x14ac:dyDescent="0.25">
      <c r="A8099">
        <f ca="1">28051.6728222224*((RANDBETWEEN(2979,3282)))</f>
        <v>84688000.250289515</v>
      </c>
      <c r="B8099">
        <v>147248497.88689023</v>
      </c>
    </row>
    <row r="8100" spans="1:2" x14ac:dyDescent="0.25">
      <c r="A8100">
        <f ca="1">26778.6583205046*((RANDBETWEEN(2979,3282)))</f>
        <v>84513445.659512609</v>
      </c>
      <c r="B8100">
        <v>157931398.13854554</v>
      </c>
    </row>
    <row r="8101" spans="1:2" x14ac:dyDescent="0.25">
      <c r="A8101">
        <f ca="1">29819.6129018762*((RANDBETWEEN(2979,3282)))</f>
        <v>91188376.253937528</v>
      </c>
      <c r="B8101">
        <v>152300378.5104444</v>
      </c>
    </row>
    <row r="8102" spans="1:2" x14ac:dyDescent="0.25">
      <c r="A8102">
        <f ca="1">26775.0532791942*((RANDBETWEEN(2979,3282)))</f>
        <v>85251769.640954256</v>
      </c>
      <c r="B8102">
        <v>153087418.17345104</v>
      </c>
    </row>
    <row r="8103" spans="1:2" x14ac:dyDescent="0.25">
      <c r="A8103">
        <f ca="1">29547.6307940454*((RANDBETWEEN(2979,3282)))</f>
        <v>94552418.540945306</v>
      </c>
      <c r="B8103">
        <v>180744505.61668357</v>
      </c>
    </row>
    <row r="8104" spans="1:2" x14ac:dyDescent="0.25">
      <c r="A8104">
        <f ca="1">26632.2455408385*((RANDBETWEEN(2979,3282)))</f>
        <v>86741223.726510957</v>
      </c>
      <c r="B8104">
        <v>175588408.75086594</v>
      </c>
    </row>
    <row r="8105" spans="1:2" x14ac:dyDescent="0.25">
      <c r="A8105">
        <f ca="1">30295.2134578027*((RANDBETWEEN(2979,3282)))</f>
        <v>90673573.879203454</v>
      </c>
      <c r="B8105">
        <v>167777980.2713111</v>
      </c>
    </row>
    <row r="8106" spans="1:2" x14ac:dyDescent="0.25">
      <c r="A8106">
        <f ca="1">30237.7427775398*((RANDBETWEEN(2979,3282)))</f>
        <v>99179796.310330555</v>
      </c>
      <c r="B8106">
        <v>158129616.44324228</v>
      </c>
    </row>
    <row r="8107" spans="1:2" x14ac:dyDescent="0.25">
      <c r="A8107">
        <f ca="1">30329.2811608458*((RANDBETWEEN(2979,3282)))</f>
        <v>91564099.824593455</v>
      </c>
      <c r="B8107">
        <v>146678074.76520282</v>
      </c>
    </row>
    <row r="8108" spans="1:2" x14ac:dyDescent="0.25">
      <c r="A8108">
        <f ca="1">27377.3762987137*((RANDBETWEEN(2979,3282)))</f>
        <v>88675321.8315337</v>
      </c>
      <c r="B8108">
        <v>149987355.66973904</v>
      </c>
    </row>
    <row r="8109" spans="1:2" x14ac:dyDescent="0.25">
      <c r="A8109">
        <f ca="1">27874.3389647494*((RANDBETWEEN(2979,3282)))</f>
        <v>87748419.061031014</v>
      </c>
      <c r="B8109">
        <v>189502041.588756</v>
      </c>
    </row>
    <row r="8110" spans="1:2" x14ac:dyDescent="0.25">
      <c r="A8110">
        <f ca="1">25908.9147798159*((RANDBETWEEN(2979,3282)))</f>
        <v>81794443.959878936</v>
      </c>
      <c r="B8110">
        <v>158210955.7546722</v>
      </c>
    </row>
    <row r="8111" spans="1:2" x14ac:dyDescent="0.25">
      <c r="A8111">
        <f ca="1">27396.8817589482*((RANDBETWEEN(2979,3282)))</f>
        <v>86437161.949481606</v>
      </c>
      <c r="B8111">
        <v>157984881.43842304</v>
      </c>
    </row>
    <row r="8112" spans="1:2" x14ac:dyDescent="0.25">
      <c r="A8112">
        <f ca="1">29519.5389914029*((RANDBETWEEN(2979,3282)))</f>
        <v>91658168.56830591</v>
      </c>
      <c r="B8112">
        <v>194899415.25350147</v>
      </c>
    </row>
    <row r="8113" spans="1:2" x14ac:dyDescent="0.25">
      <c r="A8113">
        <f ca="1">27348.1066630164*((RANDBETWEEN(2979,3282)))</f>
        <v>83521117.748852</v>
      </c>
      <c r="B8113">
        <v>149396525.26575807</v>
      </c>
    </row>
    <row r="8114" spans="1:2" x14ac:dyDescent="0.25">
      <c r="A8114">
        <f ca="1">31864.1649623053*((RANDBETWEEN(2979,3282)))</f>
        <v>95305717.402255028</v>
      </c>
      <c r="B8114">
        <v>161769496.2226795</v>
      </c>
    </row>
    <row r="8115" spans="1:2" x14ac:dyDescent="0.25">
      <c r="A8115">
        <f ca="1">29317.0336682917*((RANDBETWEEN(2979,3282)))</f>
        <v>88390856.509899482</v>
      </c>
      <c r="B8115">
        <v>143976475.66438842</v>
      </c>
    </row>
    <row r="8116" spans="1:2" x14ac:dyDescent="0.25">
      <c r="A8116">
        <f ca="1">26988.9320693969*((RANDBETWEEN(2979,3282)))</f>
        <v>84637290.969628736</v>
      </c>
      <c r="B8116">
        <v>191439564.38630095</v>
      </c>
    </row>
    <row r="8117" spans="1:2" x14ac:dyDescent="0.25">
      <c r="A8117">
        <f ca="1">25639.0862751245*((RANDBETWEEN(2979,3282)))</f>
        <v>83762894.860831752</v>
      </c>
      <c r="B8117">
        <v>165689516.7265839</v>
      </c>
    </row>
    <row r="8118" spans="1:2" x14ac:dyDescent="0.25">
      <c r="A8118">
        <f ca="1">27337.9328826594*((RANDBETWEEN(2979,3282)))</f>
        <v>88246847.345224395</v>
      </c>
      <c r="B8118">
        <v>145440089.65531564</v>
      </c>
    </row>
    <row r="8119" spans="1:2" x14ac:dyDescent="0.25">
      <c r="A8119">
        <f ca="1">29451.8682943505*((RANDBETWEEN(2979,3282)))</f>
        <v>93804200.517506272</v>
      </c>
      <c r="B8119">
        <v>187535485.2617498</v>
      </c>
    </row>
    <row r="8120" spans="1:2" x14ac:dyDescent="0.25">
      <c r="A8120">
        <f ca="1">27416.1178280552*((RANDBETWEEN(2979,3282)))</f>
        <v>87484831.989324003</v>
      </c>
      <c r="B8120">
        <v>192243769.92055315</v>
      </c>
    </row>
    <row r="8121" spans="1:2" x14ac:dyDescent="0.25">
      <c r="A8121">
        <f ca="1">33902.8486786473*((RANDBETWEEN(2979,3282)))</f>
        <v>101200003.30576208</v>
      </c>
      <c r="B8121">
        <v>166450508.98559552</v>
      </c>
    </row>
    <row r="8122" spans="1:2" x14ac:dyDescent="0.25">
      <c r="A8122">
        <f ca="1">31437.5334304533*((RANDBETWEEN(2979,3282)))</f>
        <v>100065668.90913287</v>
      </c>
      <c r="B8122">
        <v>174378808.44525629</v>
      </c>
    </row>
    <row r="8123" spans="1:2" x14ac:dyDescent="0.25">
      <c r="A8123">
        <f ca="1">26890.723653745*((RANDBETWEEN(2979,3282)))</f>
        <v>82016707.143922314</v>
      </c>
      <c r="B8123">
        <v>144313678.37581316</v>
      </c>
    </row>
    <row r="8124" spans="1:2" x14ac:dyDescent="0.25">
      <c r="A8124">
        <f ca="1">31853.8469963089*((RANDBETWEEN(2979,3282)))</f>
        <v>95402271.753945276</v>
      </c>
      <c r="B8124">
        <v>171550577.33423907</v>
      </c>
    </row>
    <row r="8125" spans="1:2" x14ac:dyDescent="0.25">
      <c r="A8125">
        <f ca="1">26775.7349677761*((RANDBETWEEN(2979,3282)))</f>
        <v>86994362.910304412</v>
      </c>
      <c r="B8125">
        <v>170989235.50862122</v>
      </c>
    </row>
    <row r="8126" spans="1:2" x14ac:dyDescent="0.25">
      <c r="A8126">
        <f ca="1">26021.1390390526*((RANDBETWEEN(2979,3282)))</f>
        <v>84178384.791335106</v>
      </c>
      <c r="B8126">
        <v>144721347.39501649</v>
      </c>
    </row>
    <row r="8127" spans="1:2" x14ac:dyDescent="0.25">
      <c r="A8127">
        <f ca="1">25983.0286939695*((RANDBETWEEN(2979,3282)))</f>
        <v>77975069.110602364</v>
      </c>
      <c r="B8127">
        <v>145620677.60175073</v>
      </c>
    </row>
    <row r="8128" spans="1:2" x14ac:dyDescent="0.25">
      <c r="A8128">
        <f ca="1">28277.1499535886*((RANDBETWEEN(2979,3282)))</f>
        <v>89355793.853339851</v>
      </c>
      <c r="B8128">
        <v>145680851.66171157</v>
      </c>
    </row>
    <row r="8129" spans="1:2" x14ac:dyDescent="0.25">
      <c r="A8129">
        <f ca="1">28435.2159896602*((RANDBETWEEN(2979,3282)))</f>
        <v>90196505.119202062</v>
      </c>
      <c r="B8129">
        <v>194439719.896092</v>
      </c>
    </row>
    <row r="8130" spans="1:2" x14ac:dyDescent="0.25">
      <c r="A8130">
        <f ca="1">27231.9677383566*((RANDBETWEEN(2979,3282)))</f>
        <v>83874460.634138271</v>
      </c>
      <c r="B8130">
        <v>161871692.89582962</v>
      </c>
    </row>
    <row r="8131" spans="1:2" x14ac:dyDescent="0.25">
      <c r="A8131">
        <f ca="1">25605.6570899198*((RANDBETWEEN(2979,3282)))</f>
        <v>81579623.488484442</v>
      </c>
      <c r="B8131">
        <v>147806330.46645921</v>
      </c>
    </row>
    <row r="8132" spans="1:2" x14ac:dyDescent="0.25">
      <c r="A8132">
        <f ca="1">28582.5661747265*((RANDBETWEEN(2979,3282)))</f>
        <v>86748088.340294912</v>
      </c>
      <c r="B8132">
        <v>196558535.45307416</v>
      </c>
    </row>
    <row r="8133" spans="1:2" x14ac:dyDescent="0.25">
      <c r="A8133">
        <f ca="1">27739.9314070873*((RANDBETWEEN(2979,3282)))</f>
        <v>83885552.57503207</v>
      </c>
      <c r="B8133">
        <v>155752142.07926661</v>
      </c>
    </row>
    <row r="8134" spans="1:2" x14ac:dyDescent="0.25">
      <c r="A8134">
        <f ca="1">30101.8122222903*((RANDBETWEEN(2979,3282)))</f>
        <v>90034520.356870219</v>
      </c>
      <c r="B8134">
        <v>145994703.4321973</v>
      </c>
    </row>
    <row r="8135" spans="1:2" x14ac:dyDescent="0.25">
      <c r="A8135">
        <f ca="1">30026.5764702931*((RANDBETWEEN(2979,3282)))</f>
        <v>95544566.32847248</v>
      </c>
      <c r="B8135">
        <v>168034725.20039406</v>
      </c>
    </row>
    <row r="8136" spans="1:2" x14ac:dyDescent="0.25">
      <c r="A8136">
        <f ca="1">28044.1470709748*((RANDBETWEEN(2979,3282)))</f>
        <v>90806948.215816274</v>
      </c>
      <c r="B8136">
        <v>143123354.13440502</v>
      </c>
    </row>
    <row r="8137" spans="1:2" x14ac:dyDescent="0.25">
      <c r="A8137">
        <f ca="1">31367.7207545072*((RANDBETWEEN(2979,3282)))</f>
        <v>101411841.19932182</v>
      </c>
      <c r="B8137">
        <v>173250656.70474011</v>
      </c>
    </row>
    <row r="8138" spans="1:2" x14ac:dyDescent="0.25">
      <c r="A8138">
        <f ca="1">27355.9713047386*((RANDBETWEEN(2979,3282)))</f>
        <v>88496567.170829371</v>
      </c>
      <c r="B8138">
        <v>150277255.39628896</v>
      </c>
    </row>
    <row r="8139" spans="1:2" x14ac:dyDescent="0.25">
      <c r="A8139">
        <f ca="1">28799.5626636452*((RANDBETWEEN(2979,3282)))</f>
        <v>93771376.032828704</v>
      </c>
      <c r="B8139">
        <v>176313982.64381278</v>
      </c>
    </row>
    <row r="8140" spans="1:2" x14ac:dyDescent="0.25">
      <c r="A8140">
        <f ca="1">28756.5129599877*((RANDBETWEEN(2979,3282)))</f>
        <v>87592338.476122543</v>
      </c>
      <c r="B8140">
        <v>151876178.42485696</v>
      </c>
    </row>
    <row r="8141" spans="1:2" x14ac:dyDescent="0.25">
      <c r="A8141">
        <f ca="1">26305.9032577126*((RANDBETWEEN(2979,3282)))</f>
        <v>79522745.548065335</v>
      </c>
      <c r="B8141">
        <v>164470289.41845018</v>
      </c>
    </row>
    <row r="8142" spans="1:2" x14ac:dyDescent="0.25">
      <c r="A8142">
        <f ca="1">32145.9440451778*((RANDBETWEEN(2979,3282)))</f>
        <v>97434356.400933966</v>
      </c>
      <c r="B8142">
        <v>180360878.47781003</v>
      </c>
    </row>
    <row r="8143" spans="1:2" x14ac:dyDescent="0.25">
      <c r="A8143">
        <f ca="1">26464.5366635933*((RANDBETWEEN(2979,3282)))</f>
        <v>78864319.25750792</v>
      </c>
      <c r="B8143">
        <v>165915984.42174065</v>
      </c>
    </row>
    <row r="8144" spans="1:2" x14ac:dyDescent="0.25">
      <c r="A8144">
        <f ca="1">25837.6591089495*((RANDBETWEEN(2979,3282)))</f>
        <v>78727347.304969206</v>
      </c>
      <c r="B8144">
        <v>154877250.49578756</v>
      </c>
    </row>
    <row r="8145" spans="1:2" x14ac:dyDescent="0.25">
      <c r="A8145">
        <f ca="1">26431.2544188091*((RANDBETWEEN(2979,3282)))</f>
        <v>82518376.29552193</v>
      </c>
      <c r="B8145">
        <v>147704379.16610992</v>
      </c>
    </row>
    <row r="8146" spans="1:2" x14ac:dyDescent="0.25">
      <c r="A8146">
        <f ca="1">30998.8028046597*((RANDBETWEEN(2979,3282)))</f>
        <v>95383316.229937911</v>
      </c>
      <c r="B8146">
        <v>161580780.75020888</v>
      </c>
    </row>
    <row r="8147" spans="1:2" x14ac:dyDescent="0.25">
      <c r="A8147">
        <f ca="1">30099.911710056*((RANDBETWEEN(2979,3282)))</f>
        <v>98336411.556752801</v>
      </c>
      <c r="B8147">
        <v>175114538.46905726</v>
      </c>
    </row>
    <row r="8148" spans="1:2" x14ac:dyDescent="0.25">
      <c r="A8148">
        <f ca="1">27036.7281579181*((RANDBETWEEN(2979,3282)))</f>
        <v>85084583.512968287</v>
      </c>
      <c r="B8148">
        <v>182737896.32298705</v>
      </c>
    </row>
    <row r="8149" spans="1:2" x14ac:dyDescent="0.25">
      <c r="A8149">
        <f ca="1">31512.6617689124*((RANDBETWEEN(2979,3282)))</f>
        <v>102605226.71957891</v>
      </c>
      <c r="B8149">
        <v>157887942.35300109</v>
      </c>
    </row>
    <row r="8150" spans="1:2" x14ac:dyDescent="0.25">
      <c r="A8150">
        <f ca="1">32700.587549091*((RANDBETWEEN(2979,3282)))</f>
        <v>101535324.33992748</v>
      </c>
      <c r="B8150">
        <v>145678901.28341827</v>
      </c>
    </row>
    <row r="8151" spans="1:2" x14ac:dyDescent="0.25">
      <c r="A8151">
        <f ca="1">26460.7433891482*((RANDBETWEEN(2979,3282)))</f>
        <v>80784649.567069516</v>
      </c>
      <c r="B8151">
        <v>143360450.9405314</v>
      </c>
    </row>
    <row r="8152" spans="1:2" x14ac:dyDescent="0.25">
      <c r="A8152">
        <f ca="1">28234.0522876758*((RANDBETWEEN(2979,3282)))</f>
        <v>86283263.791137114</v>
      </c>
      <c r="B8152">
        <v>192744704.25874302</v>
      </c>
    </row>
    <row r="8153" spans="1:2" x14ac:dyDescent="0.25">
      <c r="A8153">
        <f ca="1">26818.4538061782*((RANDBETWEEN(2979,3282)))</f>
        <v>80857638.225627199</v>
      </c>
      <c r="B8153">
        <v>169193391.88958472</v>
      </c>
    </row>
    <row r="8154" spans="1:2" x14ac:dyDescent="0.25">
      <c r="A8154">
        <f ca="1">31437.2878092825*((RANDBETWEEN(2979,3282)))</f>
        <v>93966053.261945412</v>
      </c>
      <c r="B8154">
        <v>146407999.96344084</v>
      </c>
    </row>
    <row r="8155" spans="1:2" x14ac:dyDescent="0.25">
      <c r="A8155">
        <f ca="1">26545.3878076621*((RANDBETWEEN(2979,3282)))</f>
        <v>86219419.599286422</v>
      </c>
      <c r="B8155">
        <v>149878261.50738466</v>
      </c>
    </row>
    <row r="8156" spans="1:2" x14ac:dyDescent="0.25">
      <c r="A8156">
        <f ca="1">26746.5997603067*((RANDBETWEEN(2979,3282)))</f>
        <v>82138807.863901943</v>
      </c>
      <c r="B8156">
        <v>163236856.84612525</v>
      </c>
    </row>
    <row r="8157" spans="1:2" x14ac:dyDescent="0.25">
      <c r="A8157">
        <f ca="1">29863.6977314731*((RANDBETWEEN(2979,3282)))</f>
        <v>89202865.123910174</v>
      </c>
      <c r="B8157">
        <v>175625159.91394621</v>
      </c>
    </row>
    <row r="8158" spans="1:2" x14ac:dyDescent="0.25">
      <c r="A8158">
        <f ca="1">30157.2453362767*((RANDBETWEEN(2979,3282)))</f>
        <v>97619003.153527841</v>
      </c>
      <c r="B8158">
        <v>193540468.43860385</v>
      </c>
    </row>
    <row r="8159" spans="1:2" x14ac:dyDescent="0.25">
      <c r="A8159">
        <f ca="1">27972.7557776192*((RANDBETWEEN(2979,3282)))</f>
        <v>83666512.530859172</v>
      </c>
      <c r="B8159">
        <v>156401795.23659292</v>
      </c>
    </row>
    <row r="8160" spans="1:2" x14ac:dyDescent="0.25">
      <c r="A8160">
        <f ca="1">28425.3166694493*((RANDBETWEEN(2979,3282)))</f>
        <v>87777377.875259489</v>
      </c>
      <c r="B8160">
        <v>170460294.27449653</v>
      </c>
    </row>
    <row r="8161" spans="1:2" x14ac:dyDescent="0.25">
      <c r="A8161">
        <f ca="1">25724.4328783967*((RANDBETWEEN(2979,3282)))</f>
        <v>83527233.556153983</v>
      </c>
      <c r="B8161">
        <v>143895111.95759073</v>
      </c>
    </row>
    <row r="8162" spans="1:2" x14ac:dyDescent="0.25">
      <c r="A8162">
        <f ca="1">31629.1284796686*((RANDBETWEEN(2979,3282)))</f>
        <v>94318061.126371786</v>
      </c>
      <c r="B8162">
        <v>154287592.29283094</v>
      </c>
    </row>
    <row r="8163" spans="1:2" x14ac:dyDescent="0.25">
      <c r="A8163">
        <f ca="1">30077.3364123237*((RANDBETWEEN(2979,3282)))</f>
        <v>91675721.384762719</v>
      </c>
      <c r="B8163">
        <v>158775102.46318933</v>
      </c>
    </row>
    <row r="8164" spans="1:2" x14ac:dyDescent="0.25">
      <c r="A8164">
        <f ca="1">31902.6290131681*((RANDBETWEEN(2979,3282)))</f>
        <v>98898149.940820962</v>
      </c>
      <c r="B8164">
        <v>166572493.74483222</v>
      </c>
    </row>
    <row r="8165" spans="1:2" x14ac:dyDescent="0.25">
      <c r="A8165">
        <f ca="1">28246.8085176137*((RANDBETWEEN(2979,3282)))</f>
        <v>88751472.362342164</v>
      </c>
      <c r="B8165">
        <v>148524802.80555034</v>
      </c>
    </row>
    <row r="8166" spans="1:2" x14ac:dyDescent="0.25">
      <c r="A8166">
        <f ca="1">26652.087949225*((RANDBETWEEN(2979,3282)))</f>
        <v>85526550.229063004</v>
      </c>
      <c r="B8166">
        <v>151166019.94679749</v>
      </c>
    </row>
    <row r="8167" spans="1:2" x14ac:dyDescent="0.25">
      <c r="A8167">
        <f ca="1">26224.7734855418*((RANDBETWEEN(2979,3282)))</f>
        <v>82634261.252942309</v>
      </c>
      <c r="B8167">
        <v>144702608.70131791</v>
      </c>
    </row>
    <row r="8168" spans="1:2" x14ac:dyDescent="0.25">
      <c r="A8168">
        <f ca="1">27470.5681082743*((RANDBETWEEN(2979,3282)))</f>
        <v>83510527.04915382</v>
      </c>
      <c r="B8168">
        <v>203185079.45602983</v>
      </c>
    </row>
    <row r="8169" spans="1:2" x14ac:dyDescent="0.25">
      <c r="A8169">
        <f ca="1">27177.6575970872*((RANDBETWEEN(2979,3282)))</f>
        <v>86723905.39230518</v>
      </c>
      <c r="B8169">
        <v>185088922.64482737</v>
      </c>
    </row>
    <row r="8170" spans="1:2" x14ac:dyDescent="0.25">
      <c r="A8170">
        <f ca="1">26746.7112423891*((RANDBETWEEN(2979,3282)))</f>
        <v>81256508.754377991</v>
      </c>
      <c r="B8170">
        <v>170168304.98347574</v>
      </c>
    </row>
    <row r="8171" spans="1:2" x14ac:dyDescent="0.25">
      <c r="A8171">
        <f ca="1">27163.8035104204*((RANDBETWEEN(2979,3282)))</f>
        <v>84071971.864751071</v>
      </c>
      <c r="B8171">
        <v>163563616.75187349</v>
      </c>
    </row>
    <row r="8172" spans="1:2" x14ac:dyDescent="0.25">
      <c r="A8172">
        <f ca="1">32447.357843937*((RANDBETWEEN(2979,3282)))</f>
        <v>105389018.2771073</v>
      </c>
      <c r="B8172">
        <v>143351027.87899616</v>
      </c>
    </row>
    <row r="8173" spans="1:2" x14ac:dyDescent="0.25">
      <c r="A8173">
        <f ca="1">26937.4477424827*((RANDBETWEEN(2979,3282)))</f>
        <v>84448898.672683209</v>
      </c>
      <c r="B8173">
        <v>152442470.8994543</v>
      </c>
    </row>
    <row r="8174" spans="1:2" x14ac:dyDescent="0.25">
      <c r="A8174">
        <f ca="1">28885.4803375992*((RANDBETWEEN(2979,3282)))</f>
        <v>90353782.496010318</v>
      </c>
      <c r="B8174">
        <v>197940952.53404424</v>
      </c>
    </row>
    <row r="8175" spans="1:2" x14ac:dyDescent="0.25">
      <c r="A8175">
        <f ca="1">32102.2527395873*((RANDBETWEEN(2979,3282)))</f>
        <v>97815564.097522452</v>
      </c>
      <c r="B8175">
        <v>167612550.3491075</v>
      </c>
    </row>
    <row r="8176" spans="1:2" x14ac:dyDescent="0.25">
      <c r="A8176">
        <f ca="1">27190.7242953561*((RANDBETWEEN(2979,3282)))</f>
        <v>86493693.98352772</v>
      </c>
      <c r="B8176">
        <v>166039547.30548099</v>
      </c>
    </row>
    <row r="8177" spans="1:2" x14ac:dyDescent="0.25">
      <c r="A8177">
        <f ca="1">31323.5357615464*((RANDBETWEEN(2979,3282)))</f>
        <v>95850019.43033196</v>
      </c>
      <c r="B8177">
        <v>143193746.40223241</v>
      </c>
    </row>
    <row r="8178" spans="1:2" x14ac:dyDescent="0.25">
      <c r="A8178">
        <f ca="1">26083.6160416968*((RANDBETWEEN(2979,3282)))</f>
        <v>80207119.328217566</v>
      </c>
      <c r="B8178">
        <v>165793288.08527708</v>
      </c>
    </row>
    <row r="8179" spans="1:2" x14ac:dyDescent="0.25">
      <c r="A8179">
        <f ca="1">26303.6025948589*((RANDBETWEEN(2979,3282)))</f>
        <v>80988792.389570519</v>
      </c>
      <c r="B8179">
        <v>168387402.69939655</v>
      </c>
    </row>
    <row r="8180" spans="1:2" x14ac:dyDescent="0.25">
      <c r="A8180">
        <f ca="1">32605.5890629658*((RANDBETWEEN(2979,3282)))</f>
        <v>97360288.942015782</v>
      </c>
      <c r="B8180">
        <v>166091646.16203123</v>
      </c>
    </row>
    <row r="8181" spans="1:2" x14ac:dyDescent="0.25">
      <c r="A8181">
        <f ca="1">28338.5987188113*((RANDBETWEEN(2979,3282)))</f>
        <v>85440875.137216195</v>
      </c>
      <c r="B8181">
        <v>203142914.91630122</v>
      </c>
    </row>
    <row r="8182" spans="1:2" x14ac:dyDescent="0.25">
      <c r="A8182">
        <f ca="1">26836.4273048524*((RANDBETWEEN(2979,3282)))</f>
        <v>87808790.141477153</v>
      </c>
      <c r="B8182">
        <v>157508974.32676014</v>
      </c>
    </row>
    <row r="8183" spans="1:2" x14ac:dyDescent="0.25">
      <c r="A8183">
        <f ca="1">29056.8485517336*((RANDBETWEEN(2979,3282)))</f>
        <v>93969848.216306597</v>
      </c>
      <c r="B8183">
        <v>181260578.23077863</v>
      </c>
    </row>
    <row r="8184" spans="1:2" x14ac:dyDescent="0.25">
      <c r="A8184">
        <f ca="1">26174.2359496994*((RANDBETWEEN(2979,3282)))</f>
        <v>79622025.758985683</v>
      </c>
      <c r="B8184">
        <v>161899835.92401534</v>
      </c>
    </row>
    <row r="8185" spans="1:2" x14ac:dyDescent="0.25">
      <c r="A8185">
        <f ca="1">31992.2023417552*((RANDBETWEEN(2979,3282)))</f>
        <v>95816646.013556868</v>
      </c>
      <c r="B8185">
        <v>162162489.94602492</v>
      </c>
    </row>
    <row r="8186" spans="1:2" x14ac:dyDescent="0.25">
      <c r="A8186">
        <f ca="1">27073.6469700277*((RANDBETWEEN(2979,3282)))</f>
        <v>83440979.961625382</v>
      </c>
      <c r="B8186">
        <v>173763718.74290788</v>
      </c>
    </row>
    <row r="8187" spans="1:2" x14ac:dyDescent="0.25">
      <c r="A8187">
        <f ca="1">26222.5148996972*((RANDBETWEEN(2979,3282)))</f>
        <v>84069382.76842919</v>
      </c>
      <c r="B8187">
        <v>182434586.48129845</v>
      </c>
    </row>
    <row r="8188" spans="1:2" x14ac:dyDescent="0.25">
      <c r="A8188">
        <f ca="1">28276.3286275668*((RANDBETWEEN(2979,3282)))</f>
        <v>84546222.596424714</v>
      </c>
      <c r="B8188">
        <v>193302396.79590142</v>
      </c>
    </row>
    <row r="8189" spans="1:2" x14ac:dyDescent="0.25">
      <c r="A8189">
        <f ca="1">27328.8992952733*((RANDBETWEEN(2979,3282)))</f>
        <v>82943209.361154422</v>
      </c>
      <c r="B8189">
        <v>170772084.34597674</v>
      </c>
    </row>
    <row r="8190" spans="1:2" x14ac:dyDescent="0.25">
      <c r="A8190">
        <f ca="1">27560.8453383095*((RANDBETWEEN(2979,3282)))</f>
        <v>84033017.436505556</v>
      </c>
      <c r="B8190">
        <v>156192977.45623094</v>
      </c>
    </row>
    <row r="8191" spans="1:2" x14ac:dyDescent="0.25">
      <c r="A8191">
        <f ca="1">28160.9696810015*((RANDBETWEEN(2979,3282)))</f>
        <v>87608776.677595556</v>
      </c>
      <c r="B8191">
        <v>174116167.684434</v>
      </c>
    </row>
    <row r="8192" spans="1:2" x14ac:dyDescent="0.25">
      <c r="A8192">
        <f ca="1">25146.5282475335*((RANDBETWEEN(2979,3282)))</f>
        <v>79136124.394987911</v>
      </c>
      <c r="B8192">
        <v>170525852.65352219</v>
      </c>
    </row>
    <row r="8193" spans="1:2" x14ac:dyDescent="0.25">
      <c r="A8193">
        <f ca="1">30454.2186080701*((RANDBETWEEN(2979,3282)))</f>
        <v>96753052.517838717</v>
      </c>
      <c r="B8193">
        <v>169396894.6929222</v>
      </c>
    </row>
    <row r="8194" spans="1:2" x14ac:dyDescent="0.25">
      <c r="A8194">
        <f ca="1">25867.6763790008*((RANDBETWEEN(2979,3282)))</f>
        <v>80112193.745765552</v>
      </c>
      <c r="B8194">
        <v>166062243.67563117</v>
      </c>
    </row>
    <row r="8195" spans="1:2" x14ac:dyDescent="0.25">
      <c r="A8195">
        <f ca="1">33060.1112947249*((RANDBETWEEN(2979,3282)))</f>
        <v>100866399.56020582</v>
      </c>
      <c r="B8195">
        <v>178385182.03762153</v>
      </c>
    </row>
    <row r="8196" spans="1:2" x14ac:dyDescent="0.25">
      <c r="A8196">
        <f ca="1">29190.643124554*((RANDBETWEEN(2979,3282)))</f>
        <v>91133187.834857613</v>
      </c>
      <c r="B8196">
        <v>155311104.58386683</v>
      </c>
    </row>
    <row r="8197" spans="1:2" x14ac:dyDescent="0.25">
      <c r="A8197">
        <f ca="1">27931.5462140559*((RANDBETWEEN(2979,3282)))</f>
        <v>89939578.809259862</v>
      </c>
      <c r="B8197">
        <v>183215800.68889832</v>
      </c>
    </row>
    <row r="8198" spans="1:2" x14ac:dyDescent="0.25">
      <c r="A8198">
        <f ca="1">28127.4619352055*((RANDBETWEEN(2979,3282)))</f>
        <v>85282464.587543055</v>
      </c>
      <c r="B8198">
        <v>151066246.05877608</v>
      </c>
    </row>
    <row r="8199" spans="1:2" x14ac:dyDescent="0.25">
      <c r="A8199">
        <f ca="1">25989.5046706191*((RANDBETWEEN(2979,3282)))</f>
        <v>82152824.263826847</v>
      </c>
      <c r="B8199">
        <v>158542509.41647071</v>
      </c>
    </row>
    <row r="8200" spans="1:2" x14ac:dyDescent="0.25">
      <c r="A8200">
        <f ca="1">32033.86097623*((RANDBETWEEN(2979,3282)))</f>
        <v>100426154.16048093</v>
      </c>
      <c r="B8200">
        <v>176042788.18529943</v>
      </c>
    </row>
    <row r="8201" spans="1:2" x14ac:dyDescent="0.25">
      <c r="A8201">
        <f ca="1">26055.7002738373*((RANDBETWEEN(2979,3282)))</f>
        <v>83795132.08066082</v>
      </c>
      <c r="B8201">
        <v>153563342.30371779</v>
      </c>
    </row>
    <row r="8202" spans="1:2" x14ac:dyDescent="0.25">
      <c r="A8202">
        <f ca="1">24795.2699073673*((RANDBETWEEN(2979,3282)))</f>
        <v>80411060.309592083</v>
      </c>
      <c r="B8202">
        <v>155618592.40521657</v>
      </c>
    </row>
    <row r="8203" spans="1:2" x14ac:dyDescent="0.25">
      <c r="A8203">
        <f ca="1">28991.7442477453*((RANDBETWEEN(2979,3282)))</f>
        <v>86627331.812262908</v>
      </c>
      <c r="B8203">
        <v>196674843.1090098</v>
      </c>
    </row>
    <row r="8204" spans="1:2" x14ac:dyDescent="0.25">
      <c r="A8204">
        <f ca="1">26373.8364002026*((RANDBETWEEN(2979,3282)))</f>
        <v>86374314.210663557</v>
      </c>
      <c r="B8204">
        <v>166895754.95839894</v>
      </c>
    </row>
    <row r="8205" spans="1:2" x14ac:dyDescent="0.25">
      <c r="A8205">
        <f ca="1">29327.8907948007*((RANDBETWEEN(2979,3282)))</f>
        <v>93292020.618260965</v>
      </c>
      <c r="B8205">
        <v>193823877.26398891</v>
      </c>
    </row>
    <row r="8206" spans="1:2" x14ac:dyDescent="0.25">
      <c r="A8206">
        <f ca="1">28488.3198387812*((RANDBETWEEN(2979,3282)))</f>
        <v>90678322.046840414</v>
      </c>
      <c r="B8206">
        <v>159593872.2813639</v>
      </c>
    </row>
    <row r="8207" spans="1:2" x14ac:dyDescent="0.25">
      <c r="A8207">
        <f ca="1">28170.0340888899*((RANDBETWEEN(2979,3282)))</f>
        <v>91130060.277558833</v>
      </c>
      <c r="B8207">
        <v>152159553.78182924</v>
      </c>
    </row>
    <row r="8208" spans="1:2" x14ac:dyDescent="0.25">
      <c r="A8208">
        <f ca="1">28673.5640665536*((RANDBETWEEN(2979,3282)))</f>
        <v>91067239.475374088</v>
      </c>
      <c r="B8208">
        <v>200835478.96358818</v>
      </c>
    </row>
    <row r="8209" spans="1:2" x14ac:dyDescent="0.25">
      <c r="A8209">
        <f ca="1">25823.6273401233*((RANDBETWEEN(2979,3282)))</f>
        <v>77625823.784410655</v>
      </c>
      <c r="B8209">
        <v>156694338.48795259</v>
      </c>
    </row>
    <row r="8210" spans="1:2" x14ac:dyDescent="0.25">
      <c r="A8210">
        <f ca="1">27214.9720983368*((RANDBETWEEN(2979,3282)))</f>
        <v>81617701.322912142</v>
      </c>
      <c r="B8210">
        <v>166884400.35329932</v>
      </c>
    </row>
    <row r="8211" spans="1:2" x14ac:dyDescent="0.25">
      <c r="A8211">
        <f ca="1">27046.2015569121*((RANDBETWEEN(2979,3282)))</f>
        <v>84762795.679362372</v>
      </c>
      <c r="B8211">
        <v>198046264.21367258</v>
      </c>
    </row>
    <row r="8212" spans="1:2" x14ac:dyDescent="0.25">
      <c r="A8212">
        <f ca="1">27572.4858456531*((RANDBETWEEN(2979,3282)))</f>
        <v>85364416.178141937</v>
      </c>
      <c r="B8212">
        <v>202172091.53954935</v>
      </c>
    </row>
    <row r="8213" spans="1:2" x14ac:dyDescent="0.25">
      <c r="A8213">
        <f ca="1">28495.9682410959*((RANDBETWEEN(2979,3282)))</f>
        <v>87625102.341369852</v>
      </c>
      <c r="B8213">
        <v>164128716.82619989</v>
      </c>
    </row>
    <row r="8214" spans="1:2" x14ac:dyDescent="0.25">
      <c r="A8214">
        <f ca="1">29390.3767521348*((RANDBETWEEN(2979,3282)))</f>
        <v>88229911.009908572</v>
      </c>
      <c r="B8214">
        <v>181118980.43958986</v>
      </c>
    </row>
    <row r="8215" spans="1:2" x14ac:dyDescent="0.25">
      <c r="A8215">
        <f ca="1">28089.8794351011*((RANDBETWEEN(2979,3282)))</f>
        <v>87471884.560904711</v>
      </c>
      <c r="B8215">
        <v>153865944.46597561</v>
      </c>
    </row>
    <row r="8216" spans="1:2" x14ac:dyDescent="0.25">
      <c r="A8216">
        <f ca="1">27088.3505662448*((RANDBETWEEN(2979,3282)))</f>
        <v>88741436.455018014</v>
      </c>
      <c r="B8216">
        <v>179688647.70102859</v>
      </c>
    </row>
    <row r="8217" spans="1:2" x14ac:dyDescent="0.25">
      <c r="A8217">
        <f ca="1">26509.4909894722*((RANDBETWEEN(2979,3282)))</f>
        <v>85996788.769847989</v>
      </c>
      <c r="B8217">
        <v>166091563.14461845</v>
      </c>
    </row>
    <row r="8218" spans="1:2" x14ac:dyDescent="0.25">
      <c r="A8218">
        <f ca="1">27804.882092401*((RANDBETWEEN(2979,3282)))</f>
        <v>89615134.983808562</v>
      </c>
      <c r="B8218">
        <v>153794992.08756939</v>
      </c>
    </row>
    <row r="8219" spans="1:2" x14ac:dyDescent="0.25">
      <c r="A8219">
        <f ca="1">28684.2608273134*((RANDBETWEEN(2979,3282)))</f>
        <v>88892524.303844139</v>
      </c>
      <c r="B8219">
        <v>150560585.74846244</v>
      </c>
    </row>
    <row r="8220" spans="1:2" x14ac:dyDescent="0.25">
      <c r="A8220">
        <f ca="1">30908.6616582196*((RANDBETWEEN(2979,3282)))</f>
        <v>99124077.937910125</v>
      </c>
      <c r="B8220">
        <v>189999912.73791236</v>
      </c>
    </row>
    <row r="8221" spans="1:2" x14ac:dyDescent="0.25">
      <c r="A8221">
        <f ca="1">29019.6844776493*((RANDBETWEEN(2979,3282)))</f>
        <v>92601813.168178856</v>
      </c>
      <c r="B8221">
        <v>144551881.43618175</v>
      </c>
    </row>
    <row r="8222" spans="1:2" x14ac:dyDescent="0.25">
      <c r="A8222">
        <f ca="1">30084.8522957344*((RANDBETWEEN(2979,3282)))</f>
        <v>95669830.300435454</v>
      </c>
      <c r="B8222">
        <v>164516860.10723865</v>
      </c>
    </row>
    <row r="8223" spans="1:2" x14ac:dyDescent="0.25">
      <c r="A8223">
        <f ca="1">26880.6974693206*((RANDBETWEEN(2979,3282)))</f>
        <v>80480808.223145738</v>
      </c>
      <c r="B8223">
        <v>148878085.96181637</v>
      </c>
    </row>
    <row r="8224" spans="1:2" x14ac:dyDescent="0.25">
      <c r="A8224">
        <f ca="1">29889.7415696103*((RANDBETWEEN(2979,3282)))</f>
        <v>92986986.02305758</v>
      </c>
      <c r="B8224">
        <v>151226015.98828167</v>
      </c>
    </row>
    <row r="8225" spans="1:2" x14ac:dyDescent="0.25">
      <c r="A8225">
        <f ca="1">25883.8054768205*((RANDBETWEEN(2979,3282)))</f>
        <v>79877423.701468021</v>
      </c>
      <c r="B8225">
        <v>159624737.24423829</v>
      </c>
    </row>
    <row r="8226" spans="1:2" x14ac:dyDescent="0.25">
      <c r="A8226">
        <f ca="1">26055.649723898*((RANDBETWEEN(2979,3282)))</f>
        <v>82335853.127517685</v>
      </c>
      <c r="B8226">
        <v>188288684.0699285</v>
      </c>
    </row>
    <row r="8227" spans="1:2" x14ac:dyDescent="0.25">
      <c r="A8227">
        <f ca="1">28612.3664409457*((RANDBETWEEN(2979,3282)))</f>
        <v>93476601.162569493</v>
      </c>
      <c r="B8227">
        <v>173782175.84293044</v>
      </c>
    </row>
    <row r="8228" spans="1:2" x14ac:dyDescent="0.25">
      <c r="A8228">
        <f ca="1">32433.0053686673*((RANDBETWEEN(2979,3282)))</f>
        <v>102131533.90593345</v>
      </c>
      <c r="B8228">
        <v>192508233.98877257</v>
      </c>
    </row>
    <row r="8229" spans="1:2" x14ac:dyDescent="0.25">
      <c r="A8229">
        <f ca="1">27463.7576308777*((RANDBETWEEN(2979,3282)))</f>
        <v>83654605.743653566</v>
      </c>
      <c r="B8229">
        <v>146963275.53343254</v>
      </c>
    </row>
    <row r="8230" spans="1:2" x14ac:dyDescent="0.25">
      <c r="A8230">
        <f ca="1">25960.6566547094*((RANDBETWEEN(2979,3282)))</f>
        <v>82762573.4152136</v>
      </c>
      <c r="B8230">
        <v>162770815.68834645</v>
      </c>
    </row>
    <row r="8231" spans="1:2" x14ac:dyDescent="0.25">
      <c r="A8231">
        <f ca="1">26912.870865888*((RANDBETWEEN(2979,3282)))</f>
        <v>87332265.959806591</v>
      </c>
      <c r="B8231">
        <v>147075023.97419235</v>
      </c>
    </row>
    <row r="8232" spans="1:2" x14ac:dyDescent="0.25">
      <c r="A8232">
        <f ca="1">27408.5221801717*((RANDBETWEEN(2979,3282)))</f>
        <v>88748794.819396093</v>
      </c>
      <c r="B8232">
        <v>162555700.72922045</v>
      </c>
    </row>
    <row r="8233" spans="1:2" x14ac:dyDescent="0.25">
      <c r="A8233">
        <f ca="1">29376.8732380247*((RANDBETWEEN(2979,3282)))</f>
        <v>92449020.08006373</v>
      </c>
      <c r="B8233">
        <v>152077457.92350444</v>
      </c>
    </row>
    <row r="8234" spans="1:2" x14ac:dyDescent="0.25">
      <c r="A8234">
        <f ca="1">26572.6480308657*((RANDBETWEEN(2979,3282)))</f>
        <v>79452217.61228855</v>
      </c>
      <c r="B8234">
        <v>154117970.73349208</v>
      </c>
    </row>
    <row r="8235" spans="1:2" x14ac:dyDescent="0.25">
      <c r="A8235">
        <f ca="1">30192.6700650895*((RANDBETWEEN(2979,3282)))</f>
        <v>94019974.582688808</v>
      </c>
      <c r="B8235">
        <v>188933162.10636032</v>
      </c>
    </row>
    <row r="8236" spans="1:2" x14ac:dyDescent="0.25">
      <c r="A8236">
        <f ca="1">27632.3522231495*((RANDBETWEEN(2979,3282)))</f>
        <v>89059071.21521087</v>
      </c>
      <c r="B8236">
        <v>163201992.63004893</v>
      </c>
    </row>
    <row r="8237" spans="1:2" x14ac:dyDescent="0.25">
      <c r="A8237">
        <f ca="1">28123.7281234427*((RANDBETWEEN(2979,3282)))</f>
        <v>87577289.376400709</v>
      </c>
      <c r="B8237">
        <v>144973557.93277505</v>
      </c>
    </row>
    <row r="8238" spans="1:2" x14ac:dyDescent="0.25">
      <c r="A8238">
        <f ca="1">27022.4861652767*((RANDBETWEEN(2979,3282)))</f>
        <v>88093304.898802042</v>
      </c>
      <c r="B8238">
        <v>165238328.79497951</v>
      </c>
    </row>
    <row r="8239" spans="1:2" x14ac:dyDescent="0.25">
      <c r="A8239">
        <f ca="1">27753.5059845099*((RANDBETWEEN(2979,3282)))</f>
        <v>89255275.246183977</v>
      </c>
      <c r="B8239">
        <v>196882066.97758794</v>
      </c>
    </row>
    <row r="8240" spans="1:2" x14ac:dyDescent="0.25">
      <c r="A8240">
        <f ca="1">26850.5835184362*((RANDBETWEEN(2979,3282)))</f>
        <v>85545959.089737862</v>
      </c>
      <c r="B8240">
        <v>149098680.11728609</v>
      </c>
    </row>
    <row r="8241" spans="1:2" x14ac:dyDescent="0.25">
      <c r="A8241">
        <f ca="1">32347.5880853875*((RANDBETWEEN(2979,3282)))</f>
        <v>97786758.782126501</v>
      </c>
      <c r="B8241">
        <v>166521475.7938692</v>
      </c>
    </row>
    <row r="8242" spans="1:2" x14ac:dyDescent="0.25">
      <c r="A8242">
        <f ca="1">24001.0855016033*((RANDBETWEEN(2979,3282)))</f>
        <v>73635330.318918988</v>
      </c>
      <c r="B8242">
        <v>171171046.85389641</v>
      </c>
    </row>
    <row r="8243" spans="1:2" x14ac:dyDescent="0.25">
      <c r="A8243">
        <f ca="1">27383.00875688*((RANDBETWEEN(2979,3282)))</f>
        <v>88666182.35477744</v>
      </c>
      <c r="B8243">
        <v>175782637.65263152</v>
      </c>
    </row>
    <row r="8244" spans="1:2" x14ac:dyDescent="0.25">
      <c r="A8244">
        <f ca="1">27292.7864428488*((RANDBETWEEN(2979,3282)))</f>
        <v>85426421.56611675</v>
      </c>
      <c r="B8244">
        <v>178056092.63200969</v>
      </c>
    </row>
    <row r="8245" spans="1:2" x14ac:dyDescent="0.25">
      <c r="A8245">
        <f ca="1">28582.7078193121*((RANDBETWEEN(2979,3282)))</f>
        <v>87120093.433263227</v>
      </c>
      <c r="B8245">
        <v>201819658.07597685</v>
      </c>
    </row>
    <row r="8246" spans="1:2" x14ac:dyDescent="0.25">
      <c r="A8246">
        <f ca="1">29759.7045781614*((RANDBETWEEN(2979,3282)))</f>
        <v>96927357.811071649</v>
      </c>
      <c r="B8246">
        <v>169487498.14586079</v>
      </c>
    </row>
    <row r="8247" spans="1:2" x14ac:dyDescent="0.25">
      <c r="A8247">
        <f ca="1">32529.1818850214*((RANDBETWEEN(2979,3282)))</f>
        <v>99409179.840625346</v>
      </c>
      <c r="B8247">
        <v>198635119.23224619</v>
      </c>
    </row>
    <row r="8248" spans="1:2" x14ac:dyDescent="0.25">
      <c r="A8248">
        <f ca="1">28918.0343350674*((RANDBETWEEN(2979,3282)))</f>
        <v>91352070.464478061</v>
      </c>
      <c r="B8248">
        <v>183277600.31308913</v>
      </c>
    </row>
    <row r="8249" spans="1:2" x14ac:dyDescent="0.25">
      <c r="A8249">
        <f ca="1">26829.3697419338*((RANDBETWEEN(2979,3282)))</f>
        <v>84593002.79631719</v>
      </c>
      <c r="B8249">
        <v>168292230.0855006</v>
      </c>
    </row>
    <row r="8250" spans="1:2" x14ac:dyDescent="0.25">
      <c r="A8250">
        <f ca="1">28483.1469131179*((RANDBETWEEN(2979,3282)))</f>
        <v>91915115.088631347</v>
      </c>
      <c r="B8250">
        <v>163602000.40058208</v>
      </c>
    </row>
    <row r="8251" spans="1:2" x14ac:dyDescent="0.25">
      <c r="A8251">
        <f ca="1">27120.4243139197*((RANDBETWEEN(2979,3282)))</f>
        <v>81144309.547247887</v>
      </c>
      <c r="B8251">
        <v>161075902.36987904</v>
      </c>
    </row>
    <row r="8252" spans="1:2" x14ac:dyDescent="0.25">
      <c r="A8252">
        <f ca="1">28511.6590951104*((RANDBETWEEN(2979,3282)))</f>
        <v>90068331.08145386</v>
      </c>
      <c r="B8252">
        <v>192705767.84710383</v>
      </c>
    </row>
    <row r="8253" spans="1:2" x14ac:dyDescent="0.25">
      <c r="A8253">
        <f ca="1">27350.1397495405*((RANDBETWEEN(2979,3282)))</f>
        <v>84293130.708083674</v>
      </c>
      <c r="B8253">
        <v>154643675.98859647</v>
      </c>
    </row>
    <row r="8254" spans="1:2" x14ac:dyDescent="0.25">
      <c r="A8254">
        <f ca="1">27867.376188804*((RANDBETWEEN(2979,3282)))</f>
        <v>83100515.795013502</v>
      </c>
      <c r="B8254">
        <v>169276275.94400996</v>
      </c>
    </row>
    <row r="8255" spans="1:2" x14ac:dyDescent="0.25">
      <c r="A8255">
        <f ca="1">31074.6200780717*((RANDBETWEEN(2979,3282)))</f>
        <v>98102575.586472511</v>
      </c>
      <c r="B8255">
        <v>192988246.0102095</v>
      </c>
    </row>
    <row r="8256" spans="1:2" x14ac:dyDescent="0.25">
      <c r="A8256">
        <f ca="1">27414.7298535389*((RANDBETWEEN(2979,3282)))</f>
        <v>86657961.067036569</v>
      </c>
      <c r="B8256">
        <v>142995532.9663381</v>
      </c>
    </row>
    <row r="8257" spans="1:2" x14ac:dyDescent="0.25">
      <c r="A8257">
        <f ca="1">27293.500512462*((RANDBETWEEN(2979,3282)))</f>
        <v>85510537.105543509</v>
      </c>
      <c r="B8257">
        <v>146167014.00264904</v>
      </c>
    </row>
    <row r="8258" spans="1:2" x14ac:dyDescent="0.25">
      <c r="A8258">
        <f ca="1">27564.6347994296*((RANDBETWEEN(2979,3282)))</f>
        <v>90467131.411727995</v>
      </c>
      <c r="B8258">
        <v>196931191.62071446</v>
      </c>
    </row>
    <row r="8259" spans="1:2" x14ac:dyDescent="0.25">
      <c r="A8259">
        <f ca="1">26306.916778355*((RANDBETWEEN(2979,3282)))</f>
        <v>86286687.033004344</v>
      </c>
      <c r="B8259">
        <v>150133339.36516836</v>
      </c>
    </row>
    <row r="8260" spans="1:2" x14ac:dyDescent="0.25">
      <c r="A8260">
        <f ca="1">26059.9458634205*((RANDBETWEEN(2979,3282)))</f>
        <v>81750050.173550144</v>
      </c>
      <c r="B8260">
        <v>152675973.10840151</v>
      </c>
    </row>
    <row r="8261" spans="1:2" x14ac:dyDescent="0.25">
      <c r="A8261">
        <f ca="1">28115.7711958726*((RANDBETWEEN(2979,3282)))</f>
        <v>89773657.428421259</v>
      </c>
      <c r="B8261">
        <v>153760848.71366042</v>
      </c>
    </row>
    <row r="8262" spans="1:2" x14ac:dyDescent="0.25">
      <c r="A8262">
        <f ca="1">30849.4783457516*((RANDBETWEEN(2979,3282)))</f>
        <v>95725931.306867331</v>
      </c>
      <c r="B8262">
        <v>159637467.63652936</v>
      </c>
    </row>
    <row r="8263" spans="1:2" x14ac:dyDescent="0.25">
      <c r="A8263">
        <f ca="1">33543.1554751278*((RANDBETWEEN(2979,3282)))</f>
        <v>105291965.03642617</v>
      </c>
      <c r="B8263">
        <v>182936016.30884472</v>
      </c>
    </row>
    <row r="8264" spans="1:2" x14ac:dyDescent="0.25">
      <c r="A8264">
        <f ca="1">26529.5643430857*((RANDBETWEEN(2979,3282)))</f>
        <v>83674245.938092366</v>
      </c>
      <c r="B8264">
        <v>145061604.08089161</v>
      </c>
    </row>
    <row r="8265" spans="1:2" x14ac:dyDescent="0.25">
      <c r="A8265">
        <f ca="1">28095.1698141025*((RANDBETWEEN(2979,3282)))</f>
        <v>90157399.933455035</v>
      </c>
      <c r="B8265">
        <v>170073585.45203614</v>
      </c>
    </row>
    <row r="8266" spans="1:2" x14ac:dyDescent="0.25">
      <c r="A8266">
        <f ca="1">27370.1930625648*((RANDBETWEEN(2979,3282)))</f>
        <v>87475137.027956977</v>
      </c>
      <c r="B8266">
        <v>196448941.55425614</v>
      </c>
    </row>
    <row r="8267" spans="1:2" x14ac:dyDescent="0.25">
      <c r="A8267">
        <f ca="1">26766.4645216892*((RANDBETWEEN(2979,3282)))</f>
        <v>87660171.308532178</v>
      </c>
      <c r="B8267">
        <v>198432234.75769633</v>
      </c>
    </row>
    <row r="8268" spans="1:2" x14ac:dyDescent="0.25">
      <c r="A8268">
        <f ca="1">24298.8359686801*((RANDBETWEEN(2979,3282)))</f>
        <v>77124505.364590734</v>
      </c>
      <c r="B8268">
        <v>157276363.74945024</v>
      </c>
    </row>
    <row r="8269" spans="1:2" x14ac:dyDescent="0.25">
      <c r="A8269">
        <f ca="1">26371.3742117455*((RANDBETWEEN(2979,3282)))</f>
        <v>81408432.191658422</v>
      </c>
      <c r="B8269">
        <v>143752678.05450869</v>
      </c>
    </row>
    <row r="8270" spans="1:2" x14ac:dyDescent="0.25">
      <c r="A8270">
        <f ca="1">33208.5703618229*((RANDBETWEEN(2979,3282)))</f>
        <v>98928331.107870489</v>
      </c>
      <c r="B8270">
        <v>186394886.22351173</v>
      </c>
    </row>
    <row r="8271" spans="1:2" x14ac:dyDescent="0.25">
      <c r="A8271">
        <f ca="1">26542.0175996639*((RANDBETWEEN(2979,3282)))</f>
        <v>83395019.298144102</v>
      </c>
      <c r="B8271">
        <v>166314114.52783978</v>
      </c>
    </row>
    <row r="8272" spans="1:2" x14ac:dyDescent="0.25">
      <c r="A8272">
        <f ca="1">26976.2549164923*((RANDBETWEEN(2979,3282)))</f>
        <v>80982717.259310141</v>
      </c>
      <c r="B8272">
        <v>169028870.07044354</v>
      </c>
    </row>
    <row r="8273" spans="1:2" x14ac:dyDescent="0.25">
      <c r="A8273">
        <f ca="1">27880.2381604054*((RANDBETWEEN(2979,3282)))</f>
        <v>87404546.632870838</v>
      </c>
      <c r="B8273">
        <v>194210527.26347929</v>
      </c>
    </row>
    <row r="8274" spans="1:2" x14ac:dyDescent="0.25">
      <c r="A8274">
        <f ca="1">26503.6895353157*((RANDBETWEEN(2979,3282)))</f>
        <v>82797526.108326301</v>
      </c>
      <c r="B8274">
        <v>161109349.14637133</v>
      </c>
    </row>
    <row r="8275" spans="1:2" x14ac:dyDescent="0.25">
      <c r="A8275">
        <f ca="1">30961.683599993*((RANDBETWEEN(2979,3282)))</f>
        <v>93566207.839178905</v>
      </c>
      <c r="B8275">
        <v>188798040.71771321</v>
      </c>
    </row>
    <row r="8276" spans="1:2" x14ac:dyDescent="0.25">
      <c r="A8276">
        <f ca="1">26401.7028853063*((RANDBETWEEN(2979,3282)))</f>
        <v>85594320.754163072</v>
      </c>
      <c r="B8276">
        <v>177152084.43462592</v>
      </c>
    </row>
    <row r="8277" spans="1:2" x14ac:dyDescent="0.25">
      <c r="A8277">
        <f ca="1">27172.6387844583*((RANDBETWEEN(2979,3282)))</f>
        <v>84860150.923863336</v>
      </c>
      <c r="B8277">
        <v>192831275.72289437</v>
      </c>
    </row>
    <row r="8278" spans="1:2" x14ac:dyDescent="0.25">
      <c r="A8278">
        <f ca="1">26948.0122233707*((RANDBETWEEN(2979,3282)))</f>
        <v>80358972.450091347</v>
      </c>
      <c r="B8278">
        <v>161514211.4566783</v>
      </c>
    </row>
    <row r="8279" spans="1:2" x14ac:dyDescent="0.25">
      <c r="A8279">
        <f ca="1">26372.6700363904*((RANDBETWEEN(2979,3282)))</f>
        <v>80515761.62109974</v>
      </c>
      <c r="B8279">
        <v>144561365.7348628</v>
      </c>
    </row>
    <row r="8280" spans="1:2" x14ac:dyDescent="0.25">
      <c r="A8280">
        <f ca="1">31356.4601045712*((RANDBETWEEN(2979,3282)))</f>
        <v>99933038.35326837</v>
      </c>
      <c r="B8280">
        <v>147399761.04853559</v>
      </c>
    </row>
    <row r="8281" spans="1:2" x14ac:dyDescent="0.25">
      <c r="A8281">
        <f ca="1">26904.9546758406*((RANDBETWEEN(2979,3282)))</f>
        <v>86445619.37347573</v>
      </c>
      <c r="B8281">
        <v>144422925.5808019</v>
      </c>
    </row>
    <row r="8282" spans="1:2" x14ac:dyDescent="0.25">
      <c r="A8282">
        <f ca="1">33302.6788739127*((RANDBETWEEN(2979,3282)))</f>
        <v>100041247.33723362</v>
      </c>
      <c r="B8282">
        <v>162812502.94173071</v>
      </c>
    </row>
    <row r="8283" spans="1:2" x14ac:dyDescent="0.25">
      <c r="A8283">
        <f ca="1">28291.0454552691*((RANDBETWEEN(2979,3282)))</f>
        <v>84986300.547628269</v>
      </c>
      <c r="B8283">
        <v>150357833.80616894</v>
      </c>
    </row>
    <row r="8284" spans="1:2" x14ac:dyDescent="0.25">
      <c r="A8284">
        <f ca="1">28140.872861985*((RANDBETWEEN(2979,3282)))</f>
        <v>87461832.855049342</v>
      </c>
      <c r="B8284">
        <v>201857493.6979115</v>
      </c>
    </row>
    <row r="8285" spans="1:2" x14ac:dyDescent="0.25">
      <c r="A8285">
        <f ca="1">34362.7857611301*((RANDBETWEEN(2979,3282)))</f>
        <v>110716895.7223613</v>
      </c>
      <c r="B8285">
        <v>193272091.5383594</v>
      </c>
    </row>
    <row r="8286" spans="1:2" x14ac:dyDescent="0.25">
      <c r="A8286">
        <f ca="1">26387.8255126592*((RANDBETWEEN(2979,3282)))</f>
        <v>85522942.486528531</v>
      </c>
      <c r="B8286">
        <v>156694693.68540362</v>
      </c>
    </row>
    <row r="8287" spans="1:2" x14ac:dyDescent="0.25">
      <c r="A8287">
        <f ca="1">28075.6738336764*((RANDBETWEEN(2979,3282)))</f>
        <v>83862037.741191313</v>
      </c>
      <c r="B8287">
        <v>152634517.0015597</v>
      </c>
    </row>
    <row r="8288" spans="1:2" x14ac:dyDescent="0.25">
      <c r="A8288">
        <f ca="1">29329.2433469432*((RANDBETWEEN(2979,3282)))</f>
        <v>89102241.288013712</v>
      </c>
      <c r="B8288">
        <v>152051605.19351351</v>
      </c>
    </row>
    <row r="8289" spans="1:2" x14ac:dyDescent="0.25">
      <c r="A8289">
        <f ca="1">25865.0586388165*((RANDBETWEEN(2979,3282)))</f>
        <v>79897166.135304138</v>
      </c>
      <c r="B8289">
        <v>182068253.85037249</v>
      </c>
    </row>
    <row r="8290" spans="1:2" x14ac:dyDescent="0.25">
      <c r="A8290">
        <f ca="1">26255.8824810702*((RANDBETWEEN(2979,3282)))</f>
        <v>84307638.646716356</v>
      </c>
      <c r="B8290">
        <v>175105339.98713082</v>
      </c>
    </row>
    <row r="8291" spans="1:2" x14ac:dyDescent="0.25">
      <c r="A8291">
        <f ca="1">25200.348295264*((RANDBETWEEN(2979,3282)))</f>
        <v>82405138.925513372</v>
      </c>
      <c r="B8291">
        <v>160446842.7385149</v>
      </c>
    </row>
    <row r="8292" spans="1:2" x14ac:dyDescent="0.25">
      <c r="A8292">
        <f ca="1">28817.7289157102*((RANDBETWEEN(2979,3282)))</f>
        <v>88643334.144724458</v>
      </c>
      <c r="B8292">
        <v>168889960.30623358</v>
      </c>
    </row>
    <row r="8293" spans="1:2" x14ac:dyDescent="0.25">
      <c r="A8293">
        <f ca="1">28476.8770596776*((RANDBETWEEN(2979,3282)))</f>
        <v>91069052.836848989</v>
      </c>
      <c r="B8293">
        <v>182392863.08608365</v>
      </c>
    </row>
    <row r="8294" spans="1:2" x14ac:dyDescent="0.25">
      <c r="A8294">
        <f ca="1">28786.0892210312*((RANDBETWEEN(2979,3282)))</f>
        <v>87596069.499597877</v>
      </c>
      <c r="B8294">
        <v>175212903.34996191</v>
      </c>
    </row>
    <row r="8295" spans="1:2" x14ac:dyDescent="0.25">
      <c r="A8295">
        <f ca="1">26600.902041931*((RANDBETWEEN(2979,3282)))</f>
        <v>83580034.215747222</v>
      </c>
      <c r="B8295">
        <v>148393190.14193493</v>
      </c>
    </row>
    <row r="8296" spans="1:2" x14ac:dyDescent="0.25">
      <c r="A8296">
        <f ca="1">26665.9451804482*((RANDBETWEEN(2979,3282)))</f>
        <v>82264440.881682605</v>
      </c>
      <c r="B8296">
        <v>192764035.75551626</v>
      </c>
    </row>
    <row r="8297" spans="1:2" x14ac:dyDescent="0.25">
      <c r="A8297">
        <f ca="1">28724.9846898716*((RANDBETWEEN(2979,3282)))</f>
        <v>93901974.951190189</v>
      </c>
      <c r="B8297">
        <v>181382690.61867809</v>
      </c>
    </row>
    <row r="8298" spans="1:2" x14ac:dyDescent="0.25">
      <c r="A8298">
        <f ca="1">28851.5940930336*((RANDBETWEEN(2979,3282)))</f>
        <v>88257026.330589637</v>
      </c>
      <c r="B8298">
        <v>145584911.26905149</v>
      </c>
    </row>
    <row r="8299" spans="1:2" x14ac:dyDescent="0.25">
      <c r="A8299">
        <f ca="1">27349.76847926*((RANDBETWEEN(2979,3282)))</f>
        <v>81857857.058425188</v>
      </c>
      <c r="B8299">
        <v>172262367.46515149</v>
      </c>
    </row>
    <row r="8300" spans="1:2" x14ac:dyDescent="0.25">
      <c r="A8300">
        <f ca="1">30369.8411494842*((RANDBETWEEN(2979,3282)))</f>
        <v>97821258.342488661</v>
      </c>
      <c r="B8300">
        <v>190142462.29046801</v>
      </c>
    </row>
    <row r="8301" spans="1:2" x14ac:dyDescent="0.25">
      <c r="A8301">
        <f ca="1">26200.2224438022*((RANDBETWEEN(2979,3282)))</f>
        <v>82059096.693988636</v>
      </c>
      <c r="B8301">
        <v>146243240.617241</v>
      </c>
    </row>
    <row r="8302" spans="1:2" x14ac:dyDescent="0.25">
      <c r="A8302">
        <f ca="1">30782.1524616646*((RANDBETWEEN(2979,3282)))</f>
        <v>97948809.133016855</v>
      </c>
      <c r="B8302">
        <v>183695756.3400476</v>
      </c>
    </row>
    <row r="8303" spans="1:2" x14ac:dyDescent="0.25">
      <c r="A8303">
        <f ca="1">27169.2034905447*((RANDBETWEEN(2979,3282)))</f>
        <v>82784563.035689801</v>
      </c>
      <c r="B8303">
        <v>187826033.33575335</v>
      </c>
    </row>
    <row r="8304" spans="1:2" x14ac:dyDescent="0.25">
      <c r="A8304">
        <f ca="1">28810.9151145442*((RANDBETWEEN(2979,3282)))</f>
        <v>91589899.149136066</v>
      </c>
      <c r="B8304">
        <v>176626953.46301061</v>
      </c>
    </row>
    <row r="8305" spans="1:2" x14ac:dyDescent="0.25">
      <c r="A8305">
        <f ca="1">26108.8348791776*((RANDBETWEEN(2979,3282)))</f>
        <v>78770354.830478862</v>
      </c>
      <c r="B8305">
        <v>157514475.84631968</v>
      </c>
    </row>
    <row r="8306" spans="1:2" x14ac:dyDescent="0.25">
      <c r="A8306">
        <f ca="1">29856.7044474712*((RANDBETWEEN(2979,3282)))</f>
        <v>91779509.471526623</v>
      </c>
      <c r="B8306">
        <v>166940439.93141374</v>
      </c>
    </row>
    <row r="8307" spans="1:2" x14ac:dyDescent="0.25">
      <c r="A8307">
        <f ca="1">26427.3150036237*((RANDBETWEEN(2979,3282)))</f>
        <v>81052575.116114005</v>
      </c>
      <c r="B8307">
        <v>150037795.78832498</v>
      </c>
    </row>
    <row r="8308" spans="1:2" x14ac:dyDescent="0.25">
      <c r="A8308">
        <f ca="1">28532.295633677*((RANDBETWEEN(2979,3282)))</f>
        <v>89677005.176646784</v>
      </c>
      <c r="B8308">
        <v>150004049.49146587</v>
      </c>
    </row>
    <row r="8309" spans="1:2" x14ac:dyDescent="0.25">
      <c r="A8309">
        <f ca="1">26929.8634636022*((RANDBETWEEN(2979,3282)))</f>
        <v>85771615.131572872</v>
      </c>
      <c r="B8309">
        <v>173753835.01233116</v>
      </c>
    </row>
    <row r="8310" spans="1:2" x14ac:dyDescent="0.25">
      <c r="A8310">
        <f ca="1">28237.1028524714*((RANDBETWEEN(2979,3282)))</f>
        <v>90866996.979252875</v>
      </c>
      <c r="B8310">
        <v>195635269.18512106</v>
      </c>
    </row>
    <row r="8311" spans="1:2" x14ac:dyDescent="0.25">
      <c r="A8311">
        <f ca="1">27094.4540931915*((RANDBETWEEN(2979,3282)))</f>
        <v>84480507.862571225</v>
      </c>
      <c r="B8311">
        <v>151206775.74047375</v>
      </c>
    </row>
    <row r="8312" spans="1:2" x14ac:dyDescent="0.25">
      <c r="A8312">
        <f ca="1">26354.3823803033*((RANDBETWEEN(2979,3282)))</f>
        <v>85098300.705999389</v>
      </c>
      <c r="B8312">
        <v>152622543.29204386</v>
      </c>
    </row>
    <row r="8313" spans="1:2" x14ac:dyDescent="0.25">
      <c r="A8313">
        <f ca="1">31842.446156862*((RANDBETWEEN(2979,3282)))</f>
        <v>99475801.794036999</v>
      </c>
      <c r="B8313">
        <v>154881017.07538214</v>
      </c>
    </row>
    <row r="8314" spans="1:2" x14ac:dyDescent="0.25">
      <c r="A8314">
        <f ca="1">26310.1691968974*((RANDBETWEEN(2979,3282)))</f>
        <v>82035107.555926159</v>
      </c>
      <c r="B8314">
        <v>144363487.20445764</v>
      </c>
    </row>
    <row r="8315" spans="1:2" x14ac:dyDescent="0.25">
      <c r="A8315">
        <f ca="1">31238.3239252667*((RANDBETWEEN(2979,3282)))</f>
        <v>93340111.888697028</v>
      </c>
      <c r="B8315">
        <v>174243969.91097915</v>
      </c>
    </row>
    <row r="8316" spans="1:2" x14ac:dyDescent="0.25">
      <c r="A8316">
        <f ca="1">26772.8492498011*((RANDBETWEEN(2979,3282)))</f>
        <v>83879336.699626863</v>
      </c>
      <c r="B8316">
        <v>170981165.79246685</v>
      </c>
    </row>
    <row r="8317" spans="1:2" x14ac:dyDescent="0.25">
      <c r="A8317">
        <f ca="1">28637.2893784904*((RANDBETWEEN(2979,3282)))</f>
        <v>91181129.381113425</v>
      </c>
      <c r="B8317">
        <v>183696796.05662113</v>
      </c>
    </row>
    <row r="8318" spans="1:2" x14ac:dyDescent="0.25">
      <c r="A8318">
        <f ca="1">27221.3453595066*((RANDBETWEEN(2979,3282)))</f>
        <v>81881806.841395915</v>
      </c>
      <c r="B8318">
        <v>154494877.50995681</v>
      </c>
    </row>
    <row r="8319" spans="1:2" x14ac:dyDescent="0.25">
      <c r="A8319">
        <f ca="1">27360.68918536*((RANDBETWEEN(2979,3282)))</f>
        <v>86022006.798771709</v>
      </c>
      <c r="B8319">
        <v>164745567.38715771</v>
      </c>
    </row>
    <row r="8320" spans="1:2" x14ac:dyDescent="0.25">
      <c r="A8320">
        <f ca="1">26884.3600996432*((RANDBETWEEN(2979,3282)))</f>
        <v>87750551.365235299</v>
      </c>
      <c r="B8320">
        <v>203573811.20085937</v>
      </c>
    </row>
    <row r="8321" spans="1:2" x14ac:dyDescent="0.25">
      <c r="A8321">
        <f ca="1">24939.096940337*((RANDBETWEEN(2979,3282)))</f>
        <v>74368387.076084793</v>
      </c>
      <c r="B8321">
        <v>145058643.13442597</v>
      </c>
    </row>
    <row r="8322" spans="1:2" x14ac:dyDescent="0.25">
      <c r="A8322">
        <f ca="1">31740.2859868602*((RANDBETWEEN(2979,3282)))</f>
        <v>102425902.87959793</v>
      </c>
      <c r="B8322">
        <v>197971160.68345577</v>
      </c>
    </row>
    <row r="8323" spans="1:2" x14ac:dyDescent="0.25">
      <c r="A8323">
        <f ca="1">27022.3357715025*((RANDBETWEEN(2979,3282)))</f>
        <v>88119836.950869679</v>
      </c>
      <c r="B8323">
        <v>199036435.75154385</v>
      </c>
    </row>
    <row r="8324" spans="1:2" x14ac:dyDescent="0.25">
      <c r="A8324">
        <f ca="1">27284.6232369765*((RANDBETWEEN(2979,3282)))</f>
        <v>84964316.759944901</v>
      </c>
      <c r="B8324">
        <v>151612012.71243241</v>
      </c>
    </row>
    <row r="8325" spans="1:2" x14ac:dyDescent="0.25">
      <c r="A8325">
        <f ca="1">25442.2766563899*((RANDBETWEEN(2979,3282)))</f>
        <v>83170802.389738426</v>
      </c>
      <c r="B8325">
        <v>157799931.15232739</v>
      </c>
    </row>
    <row r="8326" spans="1:2" x14ac:dyDescent="0.25">
      <c r="A8326">
        <f ca="1">29143.2808859524*((RANDBETWEEN(2979,3282)))</f>
        <v>89907021.533163309</v>
      </c>
      <c r="B8326">
        <v>201975973.83446732</v>
      </c>
    </row>
    <row r="8327" spans="1:2" x14ac:dyDescent="0.25">
      <c r="A8327">
        <f ca="1">26372.8523747577*((RANDBETWEEN(2979,3282)))</f>
        <v>84867838.941970333</v>
      </c>
      <c r="B8327">
        <v>154448586.97370416</v>
      </c>
    </row>
    <row r="8328" spans="1:2" x14ac:dyDescent="0.25">
      <c r="A8328">
        <f ca="1">27193.4130292649*((RANDBETWEEN(2979,3282)))</f>
        <v>86230312.715799034</v>
      </c>
      <c r="B8328">
        <v>143179596.49181703</v>
      </c>
    </row>
    <row r="8329" spans="1:2" x14ac:dyDescent="0.25">
      <c r="A8329">
        <f ca="1">28834.3454802293*((RANDBETWEEN(2979,3282)))</f>
        <v>91779721.663569868</v>
      </c>
      <c r="B8329">
        <v>174275189.15074366</v>
      </c>
    </row>
    <row r="8330" spans="1:2" x14ac:dyDescent="0.25">
      <c r="A8330">
        <f ca="1">30184.1380298276*((RANDBETWEEN(2979,3282)))</f>
        <v>92604935.475511178</v>
      </c>
      <c r="B8330">
        <v>190803051.70662397</v>
      </c>
    </row>
    <row r="8331" spans="1:2" x14ac:dyDescent="0.25">
      <c r="A8331">
        <f ca="1">28726.5181354576*((RANDBETWEEN(2979,3282)))</f>
        <v>92097217.142277181</v>
      </c>
      <c r="B8331">
        <v>147641374.01731613</v>
      </c>
    </row>
    <row r="8332" spans="1:2" x14ac:dyDescent="0.25">
      <c r="A8332">
        <f ca="1">27853.002803191*((RANDBETWEEN(2979,3282)))</f>
        <v>89658816.023471937</v>
      </c>
      <c r="B8332">
        <v>150500455.10659546</v>
      </c>
    </row>
    <row r="8333" spans="1:2" x14ac:dyDescent="0.25">
      <c r="A8333">
        <f ca="1">24594.7908024526*((RANDBETWEEN(2979,3282)))</f>
        <v>76661962.931244701</v>
      </c>
      <c r="B8333">
        <v>183671887.61072356</v>
      </c>
    </row>
    <row r="8334" spans="1:2" x14ac:dyDescent="0.25">
      <c r="A8334">
        <f ca="1">28239.2126750653*((RANDBETWEEN(2979,3282)))</f>
        <v>87400363.229327187</v>
      </c>
      <c r="B8334">
        <v>161908132.09198228</v>
      </c>
    </row>
    <row r="8335" spans="1:2" x14ac:dyDescent="0.25">
      <c r="A8335">
        <f ca="1">28664.8842413534*((RANDBETWEEN(2979,3282)))</f>
        <v>93676841.700742751</v>
      </c>
      <c r="B8335">
        <v>167409236.5038949</v>
      </c>
    </row>
    <row r="8336" spans="1:2" x14ac:dyDescent="0.25">
      <c r="A8336">
        <f ca="1">30238.6682567335*((RANDBETWEEN(2979,3282)))</f>
        <v>95917055.710358784</v>
      </c>
      <c r="B8336">
        <v>194612126.69056916</v>
      </c>
    </row>
    <row r="8337" spans="1:2" x14ac:dyDescent="0.25">
      <c r="A8337">
        <f ca="1">30767.8949205423*((RANDBETWEEN(2979,3282)))</f>
        <v>97195780.05399327</v>
      </c>
      <c r="B8337">
        <v>144551614.72820264</v>
      </c>
    </row>
    <row r="8338" spans="1:2" x14ac:dyDescent="0.25">
      <c r="A8338">
        <f ca="1">28495.8091424094*((RANDBETWEEN(2979,3282)))</f>
        <v>92012967.720839977</v>
      </c>
      <c r="B8338">
        <v>199855951.01512891</v>
      </c>
    </row>
    <row r="8339" spans="1:2" x14ac:dyDescent="0.25">
      <c r="A8339">
        <f ca="1">27894.5337591989*((RANDBETWEEN(2979,3282)))</f>
        <v>89569347.900787547</v>
      </c>
      <c r="B8339">
        <v>169743806.08922589</v>
      </c>
    </row>
    <row r="8340" spans="1:2" x14ac:dyDescent="0.25">
      <c r="A8340">
        <f ca="1">31436.190719847*((RANDBETWEEN(2979,3282)))</f>
        <v>98898256.004638791</v>
      </c>
      <c r="B8340">
        <v>184205621.5068455</v>
      </c>
    </row>
    <row r="8341" spans="1:2" x14ac:dyDescent="0.25">
      <c r="A8341">
        <f ca="1">26589.3869542735*((RANDBETWEEN(2979,3282)))</f>
        <v>80672200.019265726</v>
      </c>
      <c r="B8341">
        <v>172465276.66403764</v>
      </c>
    </row>
    <row r="8342" spans="1:2" x14ac:dyDescent="0.25">
      <c r="A8342">
        <f ca="1">27329.7495642473*((RANDBETWEEN(2979,3282)))</f>
        <v>88083782.845569044</v>
      </c>
      <c r="B8342">
        <v>181590608.14845571</v>
      </c>
    </row>
    <row r="8343" spans="1:2" x14ac:dyDescent="0.25">
      <c r="A8343">
        <f ca="1">30838.3946160402*((RANDBETWEEN(2979,3282)))</f>
        <v>98405317.219784319</v>
      </c>
      <c r="B8343">
        <v>200386103.2777667</v>
      </c>
    </row>
    <row r="8344" spans="1:2" x14ac:dyDescent="0.25">
      <c r="A8344">
        <f ca="1">27439.2786259524*((RANDBETWEEN(2979,3282)))</f>
        <v>89424609.041978985</v>
      </c>
      <c r="B8344">
        <v>198540300.454023</v>
      </c>
    </row>
    <row r="8345" spans="1:2" x14ac:dyDescent="0.25">
      <c r="A8345">
        <f ca="1">26754.0181155431*((RANDBETWEEN(2979,3282)))</f>
        <v>86281708.422626644</v>
      </c>
      <c r="B8345">
        <v>156171828.59526658</v>
      </c>
    </row>
    <row r="8346" spans="1:2" x14ac:dyDescent="0.25">
      <c r="A8346">
        <f ca="1">26131.1984033043*((RANDBETWEEN(2979,3282)))</f>
        <v>81816782.200745657</v>
      </c>
      <c r="B8346">
        <v>182275928.86351106</v>
      </c>
    </row>
    <row r="8347" spans="1:2" x14ac:dyDescent="0.25">
      <c r="A8347">
        <f ca="1">26817.4443789615*((RANDBETWEEN(2979,3282)))</f>
        <v>82141832.13275902</v>
      </c>
      <c r="B8347">
        <v>148365385.78894636</v>
      </c>
    </row>
    <row r="8348" spans="1:2" x14ac:dyDescent="0.25">
      <c r="A8348">
        <f ca="1">29243.1862227718*((RANDBETWEEN(2979,3282)))</f>
        <v>95829921.252023041</v>
      </c>
      <c r="B8348">
        <v>150670129.76967049</v>
      </c>
    </row>
    <row r="8349" spans="1:2" x14ac:dyDescent="0.25">
      <c r="A8349">
        <f ca="1">27861.5678916532*((RANDBETWEEN(2979,3282)))</f>
        <v>89407771.364314973</v>
      </c>
      <c r="B8349">
        <v>193050539.75053239</v>
      </c>
    </row>
    <row r="8350" spans="1:2" x14ac:dyDescent="0.25">
      <c r="A8350">
        <f ca="1">28140.7729639265*((RANDBETWEEN(2979,3282)))</f>
        <v>90922837.446446434</v>
      </c>
      <c r="B8350">
        <v>145411789.92510331</v>
      </c>
    </row>
    <row r="8351" spans="1:2" x14ac:dyDescent="0.25">
      <c r="A8351">
        <f ca="1">30936.7406069492*((RANDBETWEEN(2979,3282)))</f>
        <v>97883847.280387372</v>
      </c>
      <c r="B8351">
        <v>175962215.13205516</v>
      </c>
    </row>
    <row r="8352" spans="1:2" x14ac:dyDescent="0.25">
      <c r="A8352">
        <f ca="1">28207.0190686628*((RANDBETWEEN(2979,3282)))</f>
        <v>89839355.733691067</v>
      </c>
      <c r="B8352">
        <v>202439341.24507141</v>
      </c>
    </row>
    <row r="8353" spans="1:2" x14ac:dyDescent="0.25">
      <c r="A8353">
        <f ca="1">29827.5326249551*((RANDBETWEEN(2979,3282)))</f>
        <v>97685169.346727863</v>
      </c>
      <c r="B8353">
        <v>192382609.14391786</v>
      </c>
    </row>
    <row r="8354" spans="1:2" x14ac:dyDescent="0.25">
      <c r="A8354">
        <f ca="1">26782.942893859*((RANDBETWEEN(2979,3282)))</f>
        <v>82812859.427812159</v>
      </c>
      <c r="B8354">
        <v>145317965.3672722</v>
      </c>
    </row>
    <row r="8355" spans="1:2" x14ac:dyDescent="0.25">
      <c r="A8355">
        <f ca="1">27877.9619325808*((RANDBETWEEN(2979,3282)))</f>
        <v>88679796.907539487</v>
      </c>
      <c r="B8355">
        <v>153800450.9275547</v>
      </c>
    </row>
    <row r="8356" spans="1:2" x14ac:dyDescent="0.25">
      <c r="A8356">
        <f ca="1">34648.355181109*((RANDBETWEEN(2979,3282)))</f>
        <v>107652439.54770553</v>
      </c>
      <c r="B8356">
        <v>187624588.53508222</v>
      </c>
    </row>
    <row r="8357" spans="1:2" x14ac:dyDescent="0.25">
      <c r="A8357">
        <f ca="1">28673.8713015406*((RANDBETWEEN(2979,3282)))</f>
        <v>86050287.775923386</v>
      </c>
      <c r="B8357">
        <v>176470532.97542462</v>
      </c>
    </row>
    <row r="8358" spans="1:2" x14ac:dyDescent="0.25">
      <c r="A8358">
        <f ca="1">29715.4503704873*((RANDBETWEEN(2979,3282)))</f>
        <v>93930538.621110469</v>
      </c>
      <c r="B8358">
        <v>164206052.94792336</v>
      </c>
    </row>
    <row r="8359" spans="1:2" x14ac:dyDescent="0.25">
      <c r="A8359">
        <f ca="1">25929.8630728773*((RANDBETWEEN(2979,3282)))</f>
        <v>82482894.434822842</v>
      </c>
      <c r="B8359">
        <v>146981351.33639789</v>
      </c>
    </row>
    <row r="8360" spans="1:2" x14ac:dyDescent="0.25">
      <c r="A8360">
        <f ca="1">27759.261547248*((RANDBETWEEN(2979,3282)))</f>
        <v>85276451.473145828</v>
      </c>
      <c r="B8360">
        <v>146054601.63734588</v>
      </c>
    </row>
    <row r="8361" spans="1:2" x14ac:dyDescent="0.25">
      <c r="A8361">
        <f ca="1">25704.9217385196*((RANDBETWEEN(2979,3282)))</f>
        <v>83900864.554528117</v>
      </c>
      <c r="B8361">
        <v>146084985.83329552</v>
      </c>
    </row>
    <row r="8362" spans="1:2" x14ac:dyDescent="0.25">
      <c r="A8362">
        <f ca="1">27621.5444682983*((RANDBETWEEN(2979,3282)))</f>
        <v>84439061.43958804</v>
      </c>
      <c r="B8362">
        <v>158521179.15443045</v>
      </c>
    </row>
    <row r="8363" spans="1:2" x14ac:dyDescent="0.25">
      <c r="A8363">
        <f ca="1">32466.8051413908*((RANDBETWEEN(2979,3282)))</f>
        <v>102010701.75424996</v>
      </c>
      <c r="B8363">
        <v>186157454.68199608</v>
      </c>
    </row>
    <row r="8364" spans="1:2" x14ac:dyDescent="0.25">
      <c r="A8364">
        <f ca="1">27341.138844883*((RANDBETWEEN(2979,3282)))</f>
        <v>89405524.022767529</v>
      </c>
      <c r="B8364">
        <v>145755164.58518064</v>
      </c>
    </row>
    <row r="8365" spans="1:2" x14ac:dyDescent="0.25">
      <c r="A8365">
        <f ca="1">29231.8579354935*((RANDBETWEEN(2979,3282)))</f>
        <v>87607878.232673869</v>
      </c>
      <c r="B8365">
        <v>188613647.61752027</v>
      </c>
    </row>
    <row r="8366" spans="1:2" x14ac:dyDescent="0.25">
      <c r="A8366">
        <f ca="1">31682.7794636467*((RANDBETWEEN(2979,3282)))</f>
        <v>102176963.77026063</v>
      </c>
      <c r="B8366">
        <v>195784034.64782995</v>
      </c>
    </row>
    <row r="8367" spans="1:2" x14ac:dyDescent="0.25">
      <c r="A8367">
        <f ca="1">28842.5802571725*((RANDBETWEEN(2979,3282)))</f>
        <v>89527369.118263379</v>
      </c>
      <c r="B8367">
        <v>167512387.78113043</v>
      </c>
    </row>
    <row r="8368" spans="1:2" x14ac:dyDescent="0.25">
      <c r="A8368">
        <f ca="1">27259.3408365195*((RANDBETWEEN(2979,3282)))</f>
        <v>81396391.737847283</v>
      </c>
      <c r="B8368">
        <v>162712655.16498774</v>
      </c>
    </row>
    <row r="8369" spans="1:2" x14ac:dyDescent="0.25">
      <c r="A8369">
        <f ca="1">26706.1337409964*((RANDBETWEEN(2979,3282)))</f>
        <v>87569412.536727056</v>
      </c>
      <c r="B8369">
        <v>160286229.09963718</v>
      </c>
    </row>
    <row r="8370" spans="1:2" x14ac:dyDescent="0.25">
      <c r="A8370">
        <f ca="1">32807.1446881878*((RANDBETWEEN(2979,3282)))</f>
        <v>104556370.12125452</v>
      </c>
      <c r="B8370">
        <v>181588732.15160194</v>
      </c>
    </row>
    <row r="8371" spans="1:2" x14ac:dyDescent="0.25">
      <c r="A8371">
        <f ca="1">27262.4231653044*((RANDBETWEEN(2979,3282)))</f>
        <v>88193938.939759895</v>
      </c>
      <c r="B8371">
        <v>179824582.74824762</v>
      </c>
    </row>
    <row r="8372" spans="1:2" x14ac:dyDescent="0.25">
      <c r="A8372">
        <f ca="1">26052.1611415067*((RANDBETWEEN(2979,3282)))</f>
        <v>84851888.837887317</v>
      </c>
      <c r="B8372">
        <v>171538017.46156511</v>
      </c>
    </row>
    <row r="8373" spans="1:2" x14ac:dyDescent="0.25">
      <c r="A8373">
        <f ca="1">28092.4996776124*((RANDBETWEEN(2979,3282)))</f>
        <v>90429756.462234423</v>
      </c>
      <c r="B8373">
        <v>166618712.76044309</v>
      </c>
    </row>
    <row r="8374" spans="1:2" x14ac:dyDescent="0.25">
      <c r="A8374">
        <f ca="1">27911.9335768824*((RANDBETWEEN(2979,3282)))</f>
        <v>84824366.140145659</v>
      </c>
      <c r="B8374">
        <v>200254534.52408347</v>
      </c>
    </row>
    <row r="8375" spans="1:2" x14ac:dyDescent="0.25">
      <c r="A8375">
        <f ca="1">25907.0875412401*((RANDBETWEEN(2979,3282)))</f>
        <v>77280842.135519192</v>
      </c>
      <c r="B8375">
        <v>155744059.53673786</v>
      </c>
    </row>
    <row r="8376" spans="1:2" x14ac:dyDescent="0.25">
      <c r="A8376">
        <f ca="1">27352.0065632773*((RANDBETWEEN(2979,3282)))</f>
        <v>85912652.615253866</v>
      </c>
      <c r="B8376">
        <v>143217008.33260038</v>
      </c>
    </row>
    <row r="8377" spans="1:2" x14ac:dyDescent="0.25">
      <c r="A8377">
        <f ca="1">26328.8886070982*((RANDBETWEEN(2979,3282)))</f>
        <v>82909670.223752275</v>
      </c>
      <c r="B8377">
        <v>157639906.16679433</v>
      </c>
    </row>
    <row r="8378" spans="1:2" x14ac:dyDescent="0.25">
      <c r="A8378">
        <f ca="1">26307.0521303958*((RANDBETWEEN(2979,3282)))</f>
        <v>79078998.703969836</v>
      </c>
      <c r="B8378">
        <v>169086473.00202817</v>
      </c>
    </row>
    <row r="8379" spans="1:2" x14ac:dyDescent="0.25">
      <c r="A8379">
        <f ca="1">30435.74621907*((RANDBETWEEN(2979,3282)))</f>
        <v>98672689.242224962</v>
      </c>
      <c r="B8379">
        <v>182811892.39975721</v>
      </c>
    </row>
    <row r="8380" spans="1:2" x14ac:dyDescent="0.25">
      <c r="A8380">
        <f ca="1">31694.0271103772*((RANDBETWEEN(2979,3282)))</f>
        <v>101135640.50921379</v>
      </c>
      <c r="B8380">
        <v>146507625.08704656</v>
      </c>
    </row>
    <row r="8381" spans="1:2" x14ac:dyDescent="0.25">
      <c r="A8381">
        <f ca="1">27071.2387738595*((RANDBETWEEN(2979,3282)))</f>
        <v>88008597.25381729</v>
      </c>
      <c r="B8381">
        <v>188630614.08508435</v>
      </c>
    </row>
    <row r="8382" spans="1:2" x14ac:dyDescent="0.25">
      <c r="A8382">
        <f ca="1">28577.5444575957*((RANDBETWEEN(2979,3282)))</f>
        <v>90076420.130341724</v>
      </c>
      <c r="B8382">
        <v>191980213.58122426</v>
      </c>
    </row>
    <row r="8383" spans="1:2" x14ac:dyDescent="0.25">
      <c r="A8383">
        <f ca="1">29995.5109846638*((RANDBETWEEN(2979,3282)))</f>
        <v>94005931.425936431</v>
      </c>
      <c r="B8383">
        <v>199462706.99318379</v>
      </c>
    </row>
    <row r="8384" spans="1:2" x14ac:dyDescent="0.25">
      <c r="A8384">
        <f ca="1">26850.3675899649*((RANDBETWEEN(2979,3282)))</f>
        <v>87908103.489545405</v>
      </c>
      <c r="B8384">
        <v>169615336.28814858</v>
      </c>
    </row>
    <row r="8385" spans="1:2" x14ac:dyDescent="0.25">
      <c r="A8385">
        <f ca="1">29462.1903099682*((RANDBETWEEN(2979,3282)))</f>
        <v>96311900.123286143</v>
      </c>
      <c r="B8385">
        <v>164826649.90797722</v>
      </c>
    </row>
    <row r="8386" spans="1:2" x14ac:dyDescent="0.25">
      <c r="A8386">
        <f ca="1">25489.7191999638*((RANDBETWEEN(2979,3282)))</f>
        <v>79451454.746287197</v>
      </c>
      <c r="B8386">
        <v>175450483.98588216</v>
      </c>
    </row>
    <row r="8387" spans="1:2" x14ac:dyDescent="0.25">
      <c r="A8387">
        <f ca="1">26541.6253065629*((RANDBETWEEN(2979,3282)))</f>
        <v>82597537.954023868</v>
      </c>
      <c r="B8387">
        <v>172659289.53299797</v>
      </c>
    </row>
    <row r="8388" spans="1:2" x14ac:dyDescent="0.25">
      <c r="A8388">
        <f ca="1">27765.4402897753*((RANDBETWEEN(2979,3282)))</f>
        <v>85934037.696854651</v>
      </c>
      <c r="B8388">
        <v>159613230.73447627</v>
      </c>
    </row>
    <row r="8389" spans="1:2" x14ac:dyDescent="0.25">
      <c r="A8389">
        <f ca="1">25647.1853746821*((RANDBETWEEN(2979,3282)))</f>
        <v>79531921.846889257</v>
      </c>
      <c r="B8389">
        <v>145447029.57376194</v>
      </c>
    </row>
    <row r="8390" spans="1:2" x14ac:dyDescent="0.25">
      <c r="A8390">
        <f ca="1">29491.9744708577*((RANDBETWEEN(2979,3282)))</f>
        <v>90805789.395770937</v>
      </c>
      <c r="B8390">
        <v>167865309.57494298</v>
      </c>
    </row>
    <row r="8391" spans="1:2" x14ac:dyDescent="0.25">
      <c r="A8391">
        <f ca="1">30843.719434283*((RANDBETWEEN(2979,3282)))</f>
        <v>98761589.628574029</v>
      </c>
      <c r="B8391">
        <v>143970155.24772319</v>
      </c>
    </row>
    <row r="8392" spans="1:2" x14ac:dyDescent="0.25">
      <c r="A8392">
        <f ca="1">30442.7080849169*((RANDBETWEEN(2979,3282)))</f>
        <v>97386223.163649023</v>
      </c>
      <c r="B8392">
        <v>165873552.44984275</v>
      </c>
    </row>
    <row r="8393" spans="1:2" x14ac:dyDescent="0.25">
      <c r="A8393">
        <f ca="1">30626.5213322231*((RANDBETWEEN(2979,3282)))</f>
        <v>94084673.532589361</v>
      </c>
      <c r="B8393">
        <v>187754877.35545111</v>
      </c>
    </row>
    <row r="8394" spans="1:2" x14ac:dyDescent="0.25">
      <c r="A8394">
        <f ca="1">30572.394732339*((RANDBETWEEN(2979,3282)))</f>
        <v>96455905.380529463</v>
      </c>
      <c r="B8394">
        <v>167909974.4914155</v>
      </c>
    </row>
    <row r="8395" spans="1:2" x14ac:dyDescent="0.25">
      <c r="A8395">
        <f ca="1">26519.4316951525*((RANDBETWEEN(2979,3282)))</f>
        <v>83483170.976340085</v>
      </c>
      <c r="B8395">
        <v>190989973.89977711</v>
      </c>
    </row>
    <row r="8396" spans="1:2" x14ac:dyDescent="0.25">
      <c r="A8396">
        <f ca="1">27652.8304818802*((RANDBETWEEN(2979,3282)))</f>
        <v>84866536.748890191</v>
      </c>
      <c r="B8396">
        <v>178928629.44062236</v>
      </c>
    </row>
    <row r="8397" spans="1:2" x14ac:dyDescent="0.25">
      <c r="A8397">
        <f ca="1">27666.5071247365*((RANDBETWEEN(2979,3282)))</f>
        <v>89501150.548522517</v>
      </c>
      <c r="B8397">
        <v>155608253.90485883</v>
      </c>
    </row>
    <row r="8398" spans="1:2" x14ac:dyDescent="0.25">
      <c r="A8398">
        <f ca="1">26438.4044789725*((RANDBETWEEN(2979,3282)))</f>
        <v>86057006.579055458</v>
      </c>
      <c r="B8398">
        <v>193299477.86190069</v>
      </c>
    </row>
    <row r="8399" spans="1:2" x14ac:dyDescent="0.25">
      <c r="A8399">
        <f ca="1">26555.6985792621*((RANDBETWEEN(2979,3282)))</f>
        <v>87023024.244241953</v>
      </c>
      <c r="B8399">
        <v>146723813.91769731</v>
      </c>
    </row>
    <row r="8400" spans="1:2" x14ac:dyDescent="0.25">
      <c r="A8400">
        <f ca="1">27252.463604451*((RANDBETWEEN(2979,3282)))</f>
        <v>85572735.717976123</v>
      </c>
      <c r="B8400">
        <v>164281730.24903277</v>
      </c>
    </row>
    <row r="8401" spans="1:2" x14ac:dyDescent="0.25">
      <c r="A8401">
        <f ca="1">25412.667615147*((RANDBETWEEN(2979,3282)))</f>
        <v>79033396.283107013</v>
      </c>
      <c r="B8401">
        <v>178317938.00138694</v>
      </c>
    </row>
    <row r="8402" spans="1:2" x14ac:dyDescent="0.25">
      <c r="A8402">
        <f ca="1">26413.9885511797*((RANDBETWEEN(2979,3282)))</f>
        <v>79902315.367318571</v>
      </c>
      <c r="B8402">
        <v>150120615.9199529</v>
      </c>
    </row>
    <row r="8403" spans="1:2" x14ac:dyDescent="0.25">
      <c r="A8403">
        <f ca="1">25805.9640165523*((RANDBETWEEN(2979,3282)))</f>
        <v>77830787.473921835</v>
      </c>
      <c r="B8403">
        <v>175724268.80125514</v>
      </c>
    </row>
    <row r="8404" spans="1:2" x14ac:dyDescent="0.25">
      <c r="A8404">
        <f ca="1">30771.0444137076*((RANDBETWEEN(2979,3282)))</f>
        <v>92128506.974640444</v>
      </c>
      <c r="B8404">
        <v>172667355.33388245</v>
      </c>
    </row>
    <row r="8405" spans="1:2" x14ac:dyDescent="0.25">
      <c r="A8405">
        <f ca="1">28457.7146635108*((RANDBETWEEN(2979,3282)))</f>
        <v>86682198.865053892</v>
      </c>
      <c r="B8405">
        <v>169445566.21719512</v>
      </c>
    </row>
    <row r="8406" spans="1:2" x14ac:dyDescent="0.25">
      <c r="A8406">
        <f ca="1">25854.9220904045*((RANDBETWEEN(2979,3282)))</f>
        <v>78392123.77810654</v>
      </c>
      <c r="B8406">
        <v>195427551.39882034</v>
      </c>
    </row>
    <row r="8407" spans="1:2" x14ac:dyDescent="0.25">
      <c r="A8407">
        <f ca="1">31019.9622174055*((RANDBETWEEN(2979,3282)))</f>
        <v>98643479.851349473</v>
      </c>
      <c r="B8407">
        <v>174766019.65559518</v>
      </c>
    </row>
    <row r="8408" spans="1:2" x14ac:dyDescent="0.25">
      <c r="A8408">
        <f ca="1">30254.6947553905*((RANDBETWEEN(2979,3282)))</f>
        <v>90582556.097639188</v>
      </c>
      <c r="B8408">
        <v>151529014.03479612</v>
      </c>
    </row>
    <row r="8409" spans="1:2" x14ac:dyDescent="0.25">
      <c r="A8409">
        <f ca="1">27175.8915942016*((RANDBETWEEN(2979,3282)))</f>
        <v>87207436.125792995</v>
      </c>
      <c r="B8409">
        <v>147958705.83325189</v>
      </c>
    </row>
    <row r="8410" spans="1:2" x14ac:dyDescent="0.25">
      <c r="A8410">
        <f ca="1">29167.2275939039*((RANDBETWEEN(2979,3282)))</f>
        <v>95318499.77687785</v>
      </c>
      <c r="B8410">
        <v>148368680.63855463</v>
      </c>
    </row>
    <row r="8411" spans="1:2" x14ac:dyDescent="0.25">
      <c r="A8411">
        <f ca="1">26312.2502369532*((RANDBETWEEN(2979,3282)))</f>
        <v>80962793.979104847</v>
      </c>
      <c r="B8411">
        <v>149693736.01759651</v>
      </c>
    </row>
    <row r="8412" spans="1:2" x14ac:dyDescent="0.25">
      <c r="A8412">
        <f ca="1">28592.4728585127*((RANDBETWEEN(2979,3282)))</f>
        <v>88379333.605662704</v>
      </c>
      <c r="B8412">
        <v>143794240.74982068</v>
      </c>
    </row>
    <row r="8413" spans="1:2" x14ac:dyDescent="0.25">
      <c r="A8413">
        <f ca="1">27492.9998063219*((RANDBETWEEN(2979,3282)))</f>
        <v>86163061.393012732</v>
      </c>
      <c r="B8413">
        <v>144773543.01056504</v>
      </c>
    </row>
    <row r="8414" spans="1:2" x14ac:dyDescent="0.25">
      <c r="A8414">
        <f ca="1">29876.7545087412*((RANDBETWEEN(2979,3282)))</f>
        <v>90496689.406977177</v>
      </c>
      <c r="B8414">
        <v>144363298.29052815</v>
      </c>
    </row>
    <row r="8415" spans="1:2" x14ac:dyDescent="0.25">
      <c r="A8415">
        <f ca="1">28187.3500084699*((RANDBETWEEN(2979,3282)))</f>
        <v>85886855.475807637</v>
      </c>
      <c r="B8415">
        <v>145511136.92494974</v>
      </c>
    </row>
    <row r="8416" spans="1:2" x14ac:dyDescent="0.25">
      <c r="A8416">
        <f ca="1">27521.976093443*((RANDBETWEEN(2979,3282)))</f>
        <v>83336543.610945359</v>
      </c>
      <c r="B8416">
        <v>189398340.84328729</v>
      </c>
    </row>
    <row r="8417" spans="1:2" x14ac:dyDescent="0.25">
      <c r="A8417">
        <f ca="1">33173.0207559821*((RANDBETWEEN(2979,3282)))</f>
        <v>100282041.74533397</v>
      </c>
      <c r="B8417">
        <v>181625237.63247943</v>
      </c>
    </row>
    <row r="8418" spans="1:2" x14ac:dyDescent="0.25">
      <c r="A8418">
        <f ca="1">27174.831258671*((RANDBETWEEN(2979,3282)))</f>
        <v>86823585.871453837</v>
      </c>
      <c r="B8418">
        <v>152249667.87269112</v>
      </c>
    </row>
    <row r="8419" spans="1:2" x14ac:dyDescent="0.25">
      <c r="A8419">
        <f ca="1">28462.7026367637*((RANDBETWEEN(2979,3282)))</f>
        <v>91422200.869285002</v>
      </c>
      <c r="B8419">
        <v>187850503.86858362</v>
      </c>
    </row>
    <row r="8420" spans="1:2" x14ac:dyDescent="0.25">
      <c r="A8420">
        <f ca="1">31623.2610346632*((RANDBETWEEN(2979,3282)))</f>
        <v>103408063.58334857</v>
      </c>
      <c r="B8420">
        <v>180671286.48855364</v>
      </c>
    </row>
    <row r="8421" spans="1:2" x14ac:dyDescent="0.25">
      <c r="A8421">
        <f ca="1">27627.0055538162*((RANDBETWEEN(2979,3282)))</f>
        <v>86610662.41121389</v>
      </c>
      <c r="B8421">
        <v>145126306.80689687</v>
      </c>
    </row>
    <row r="8422" spans="1:2" x14ac:dyDescent="0.25">
      <c r="A8422">
        <f ca="1">33007.1883268154*((RANDBETWEEN(2979,3282)))</f>
        <v>101497104.10495746</v>
      </c>
      <c r="B8422">
        <v>179653720.71425349</v>
      </c>
    </row>
    <row r="8423" spans="1:2" x14ac:dyDescent="0.25">
      <c r="A8423">
        <f ca="1">26854.8286498192*((RANDBETWEEN(2979,3282)))</f>
        <v>87734725.198959246</v>
      </c>
      <c r="B8423">
        <v>155709849.98622322</v>
      </c>
    </row>
    <row r="8424" spans="1:2" x14ac:dyDescent="0.25">
      <c r="A8424">
        <f ca="1">27619.458485251*((RANDBETWEEN(2979,3282)))</f>
        <v>89238470.365845844</v>
      </c>
      <c r="B8424">
        <v>169463102.67871711</v>
      </c>
    </row>
    <row r="8425" spans="1:2" x14ac:dyDescent="0.25">
      <c r="A8425">
        <f ca="1">31998.1110207286*((RANDBETWEEN(2979,3282)))</f>
        <v>104089855.15043014</v>
      </c>
      <c r="B8425">
        <v>151760883.26848343</v>
      </c>
    </row>
    <row r="8426" spans="1:2" x14ac:dyDescent="0.25">
      <c r="A8426">
        <f ca="1">27079.1939516211*((RANDBETWEEN(2979,3282)))</f>
        <v>85461936.111316055</v>
      </c>
      <c r="B8426">
        <v>162902994.43648139</v>
      </c>
    </row>
    <row r="8427" spans="1:2" x14ac:dyDescent="0.25">
      <c r="A8427">
        <f ca="1">28155.4564198254*((RANDBETWEEN(2979,3282)))</f>
        <v>88774154.09170936</v>
      </c>
      <c r="B8427">
        <v>187825231.26985875</v>
      </c>
    </row>
    <row r="8428" spans="1:2" x14ac:dyDescent="0.25">
      <c r="A8428">
        <f ca="1">29007.1898477362*((RANDBETWEEN(2979,3282)))</f>
        <v>92242863.715801045</v>
      </c>
      <c r="B8428">
        <v>154354405.2262165</v>
      </c>
    </row>
    <row r="8429" spans="1:2" x14ac:dyDescent="0.25">
      <c r="A8429">
        <f ca="1">27247.5003323872*((RANDBETWEEN(2979,3282)))</f>
        <v>88418138.578596592</v>
      </c>
      <c r="B8429">
        <v>150325129.76364824</v>
      </c>
    </row>
    <row r="8430" spans="1:2" x14ac:dyDescent="0.25">
      <c r="A8430">
        <f ca="1">26338.2326619975*((RANDBETWEEN(2979,3282)))</f>
        <v>83939947.493785873</v>
      </c>
      <c r="B8430">
        <v>161274531.65170509</v>
      </c>
    </row>
    <row r="8431" spans="1:2" x14ac:dyDescent="0.25">
      <c r="A8431">
        <f ca="1">28328.3555715045*((RANDBETWEEN(2979,3282)))</f>
        <v>87676260.493806466</v>
      </c>
      <c r="B8431">
        <v>158521421.38006055</v>
      </c>
    </row>
    <row r="8432" spans="1:2" x14ac:dyDescent="0.25">
      <c r="A8432">
        <f ca="1">29086.0059827553*((RANDBETWEEN(2979,3282)))</f>
        <v>87548878.008093566</v>
      </c>
      <c r="B8432">
        <v>187255544.27223057</v>
      </c>
    </row>
    <row r="8433" spans="1:2" x14ac:dyDescent="0.25">
      <c r="A8433">
        <f ca="1">26830.6802042794*((RANDBETWEEN(2979,3282)))</f>
        <v>87414356.105542421</v>
      </c>
      <c r="B8433">
        <v>145027586.54396021</v>
      </c>
    </row>
    <row r="8434" spans="1:2" x14ac:dyDescent="0.25">
      <c r="A8434">
        <f ca="1">26586.4613863285*((RANDBETWEEN(2979,3282)))</f>
        <v>87256766.26993002</v>
      </c>
      <c r="B8434">
        <v>157417017.46462199</v>
      </c>
    </row>
    <row r="8435" spans="1:2" x14ac:dyDescent="0.25">
      <c r="A8435">
        <f ca="1">29802.0636905154*((RANDBETWEEN(2979,3282)))</f>
        <v>94651354.281077027</v>
      </c>
      <c r="B8435">
        <v>196817453.25927562</v>
      </c>
    </row>
    <row r="8436" spans="1:2" x14ac:dyDescent="0.25">
      <c r="A8436">
        <f ca="1">27124.625508025*((RANDBETWEEN(2979,3282)))</f>
        <v>85306947.222738549</v>
      </c>
      <c r="B8436">
        <v>146359019.07256278</v>
      </c>
    </row>
    <row r="8437" spans="1:2" x14ac:dyDescent="0.25">
      <c r="A8437">
        <f ca="1">27092.6292262618*((RANDBETWEEN(2979,3282)))</f>
        <v>85666893.613439798</v>
      </c>
      <c r="B8437">
        <v>172208122.83651829</v>
      </c>
    </row>
    <row r="8438" spans="1:2" x14ac:dyDescent="0.25">
      <c r="A8438">
        <f ca="1">27124.2337032243*((RANDBETWEEN(2979,3282)))</f>
        <v>83569764.039634213</v>
      </c>
      <c r="B8438">
        <v>156121072.61772799</v>
      </c>
    </row>
    <row r="8439" spans="1:2" x14ac:dyDescent="0.25">
      <c r="A8439">
        <f ca="1">26602.9959321518*((RANDBETWEEN(2979,3282)))</f>
        <v>80261238.727301911</v>
      </c>
      <c r="B8439">
        <v>203607133.22254902</v>
      </c>
    </row>
    <row r="8440" spans="1:2" x14ac:dyDescent="0.25">
      <c r="A8440">
        <f ca="1">28013.2638526924*((RANDBETWEEN(2979,3282)))</f>
        <v>88241781.135981172</v>
      </c>
      <c r="B8440">
        <v>150582666.87702811</v>
      </c>
    </row>
    <row r="8441" spans="1:2" x14ac:dyDescent="0.25">
      <c r="A8441">
        <f ca="1">28333.4851279406*((RANDBETWEEN(2979,3282)))</f>
        <v>89675480.429932013</v>
      </c>
      <c r="B8441">
        <v>202091867.55189312</v>
      </c>
    </row>
    <row r="8442" spans="1:2" x14ac:dyDescent="0.25">
      <c r="A8442">
        <f ca="1">28289.6893184154*((RANDBETWEEN(2979,3282)))</f>
        <v>92309256.245989472</v>
      </c>
      <c r="B8442">
        <v>195234906.1027078</v>
      </c>
    </row>
    <row r="8443" spans="1:2" x14ac:dyDescent="0.25">
      <c r="A8443">
        <f ca="1">26552.3280438408*((RANDBETWEEN(2979,3282)))</f>
        <v>81542199.422635093</v>
      </c>
      <c r="B8443">
        <v>182658659.51235092</v>
      </c>
    </row>
    <row r="8444" spans="1:2" x14ac:dyDescent="0.25">
      <c r="A8444">
        <f ca="1">30165.7827004877*((RANDBETWEEN(2979,3282)))</f>
        <v>92940776.500202596</v>
      </c>
      <c r="B8444">
        <v>203186316.93059558</v>
      </c>
    </row>
    <row r="8445" spans="1:2" x14ac:dyDescent="0.25">
      <c r="A8445">
        <f ca="1">27659.4056704374*((RANDBETWEEN(2979,3282)))</f>
        <v>82812260.577289432</v>
      </c>
      <c r="B8445">
        <v>151282620.84937918</v>
      </c>
    </row>
    <row r="8446" spans="1:2" x14ac:dyDescent="0.25">
      <c r="A8446">
        <f ca="1">26740.7404792439*((RANDBETWEEN(2979,3282)))</f>
        <v>85597110.274059594</v>
      </c>
      <c r="B8446">
        <v>170440701.57437825</v>
      </c>
    </row>
    <row r="8447" spans="1:2" x14ac:dyDescent="0.25">
      <c r="A8447">
        <f ca="1">26593.7851214803*((RANDBETWEEN(2979,3282)))</f>
        <v>86456395.42993255</v>
      </c>
      <c r="B8447">
        <v>169962529.42059594</v>
      </c>
    </row>
    <row r="8448" spans="1:2" x14ac:dyDescent="0.25">
      <c r="A8448">
        <f ca="1">27192.817455874*((RANDBETWEEN(2979,3282)))</f>
        <v>84161770.025929898</v>
      </c>
      <c r="B8448">
        <v>189484582.66444227</v>
      </c>
    </row>
    <row r="8449" spans="1:2" x14ac:dyDescent="0.25">
      <c r="A8449">
        <f ca="1">26805.2036469625*((RANDBETWEEN(2979,3282)))</f>
        <v>86366366.150513172</v>
      </c>
      <c r="B8449">
        <v>199964728.11639008</v>
      </c>
    </row>
    <row r="8450" spans="1:2" x14ac:dyDescent="0.25">
      <c r="A8450">
        <f ca="1">26965.5482274207*((RANDBETWEEN(2979,3282)))</f>
        <v>83781958.342596099</v>
      </c>
      <c r="B8450">
        <v>162093120.91286737</v>
      </c>
    </row>
    <row r="8451" spans="1:2" x14ac:dyDescent="0.25">
      <c r="A8451">
        <f ca="1">28395.9823364499*((RANDBETWEEN(2979,3282)))</f>
        <v>86352182.285144001</v>
      </c>
      <c r="B8451">
        <v>174276491.10200366</v>
      </c>
    </row>
    <row r="8452" spans="1:2" x14ac:dyDescent="0.25">
      <c r="A8452">
        <f ca="1">25858.7742362779*((RANDBETWEEN(2979,3282)))</f>
        <v>77886627.999668911</v>
      </c>
      <c r="B8452">
        <v>144941607.34772891</v>
      </c>
    </row>
    <row r="8453" spans="1:2" x14ac:dyDescent="0.25">
      <c r="A8453">
        <f ca="1">31807.3225437501*((RANDBETWEEN(2979,3282)))</f>
        <v>98920773.111062676</v>
      </c>
      <c r="B8453">
        <v>173402105.57463869</v>
      </c>
    </row>
    <row r="8454" spans="1:2" x14ac:dyDescent="0.25">
      <c r="A8454">
        <f ca="1">29671.0775961996*((RANDBETWEEN(2979,3282)))</f>
        <v>92781459.643316269</v>
      </c>
      <c r="B8454">
        <v>177013422.03238919</v>
      </c>
    </row>
    <row r="8455" spans="1:2" x14ac:dyDescent="0.25">
      <c r="A8455">
        <f ca="1">27918.9840739094*((RANDBETWEEN(2979,3282)))</f>
        <v>86437174.692823425</v>
      </c>
      <c r="B8455">
        <v>202400984.69384882</v>
      </c>
    </row>
    <row r="8456" spans="1:2" x14ac:dyDescent="0.25">
      <c r="A8456">
        <f ca="1">31275.6987527915*((RANDBETWEEN(2979,3282)))</f>
        <v>93201582.283318624</v>
      </c>
      <c r="B8456">
        <v>161622956.98978141</v>
      </c>
    </row>
    <row r="8457" spans="1:2" x14ac:dyDescent="0.25">
      <c r="A8457">
        <f ca="1">25344.7792300728*((RANDBETWEEN(2979,3282)))</f>
        <v>79886744.13318938</v>
      </c>
      <c r="B8457">
        <v>148432348.23642886</v>
      </c>
    </row>
    <row r="8458" spans="1:2" x14ac:dyDescent="0.25">
      <c r="A8458">
        <f ca="1">27968.6334487594*((RANDBETWEEN(2979,3282)))</f>
        <v>86702763.691154182</v>
      </c>
      <c r="B8458">
        <v>162458449.15942371</v>
      </c>
    </row>
    <row r="8459" spans="1:2" x14ac:dyDescent="0.25">
      <c r="A8459">
        <f ca="1">25935.9016004707*((RANDBETWEEN(2979,3282)))</f>
        <v>80816269.387066603</v>
      </c>
      <c r="B8459">
        <v>144368610.82202294</v>
      </c>
    </row>
    <row r="8460" spans="1:2" x14ac:dyDescent="0.25">
      <c r="A8460">
        <f ca="1">26669.7075184952*((RANDBETWEEN(2979,3282)))</f>
        <v>83236157.165223435</v>
      </c>
      <c r="B8460">
        <v>162535514.58806881</v>
      </c>
    </row>
    <row r="8461" spans="1:2" x14ac:dyDescent="0.25">
      <c r="A8461">
        <f ca="1">25160.0750446541*((RANDBETWEEN(2979,3282)))</f>
        <v>79128436.01543726</v>
      </c>
      <c r="B8461">
        <v>150964356.62009281</v>
      </c>
    </row>
    <row r="8462" spans="1:2" x14ac:dyDescent="0.25">
      <c r="A8462">
        <f ca="1">31291.6957936361*((RANDBETWEEN(2979,3282)))</f>
        <v>98631425.141541004</v>
      </c>
      <c r="B8462">
        <v>192507343.25194079</v>
      </c>
    </row>
    <row r="8463" spans="1:2" x14ac:dyDescent="0.25">
      <c r="A8463">
        <f ca="1">25996.2751386895*((RANDBETWEEN(2979,3282)))</f>
        <v>80380482.728827834</v>
      </c>
      <c r="B8463">
        <v>154589510.88405275</v>
      </c>
    </row>
    <row r="8464" spans="1:2" x14ac:dyDescent="0.25">
      <c r="A8464">
        <f ca="1">27561.1319716294*((RANDBETWEEN(2979,3282)))</f>
        <v>82214856.671370402</v>
      </c>
      <c r="B8464">
        <v>146919009.68768755</v>
      </c>
    </row>
    <row r="8465" spans="1:2" x14ac:dyDescent="0.25">
      <c r="A8465">
        <f ca="1">27189.8444140772*((RANDBETWEEN(2979,3282)))</f>
        <v>81596723.086645767</v>
      </c>
      <c r="B8465">
        <v>162336348.26648626</v>
      </c>
    </row>
    <row r="8466" spans="1:2" x14ac:dyDescent="0.25">
      <c r="A8466">
        <f ca="1">26794.253040393*((RANDBETWEEN(2979,3282)))</f>
        <v>87536824.682964072</v>
      </c>
      <c r="B8466">
        <v>147680101.83558613</v>
      </c>
    </row>
    <row r="8467" spans="1:2" x14ac:dyDescent="0.25">
      <c r="A8467">
        <f ca="1">27990.910109024*((RANDBETWEEN(2979,3282)))</f>
        <v>84476566.709034532</v>
      </c>
      <c r="B8467">
        <v>165006464.83770323</v>
      </c>
    </row>
    <row r="8468" spans="1:2" x14ac:dyDescent="0.25">
      <c r="A8468">
        <f ca="1">28411.5932679938*((RANDBETWEEN(2979,3282)))</f>
        <v>85660953.70300135</v>
      </c>
      <c r="B8468">
        <v>156114415.87388074</v>
      </c>
    </row>
    <row r="8469" spans="1:2" x14ac:dyDescent="0.25">
      <c r="A8469">
        <f ca="1">28362.584064963*((RANDBETWEEN(2979,3282)))</f>
        <v>93029275.733078554</v>
      </c>
      <c r="B8469">
        <v>154984300.66646269</v>
      </c>
    </row>
    <row r="8470" spans="1:2" x14ac:dyDescent="0.25">
      <c r="A8470">
        <f ca="1">27055.3774664818*((RANDBETWEEN(2979,3282)))</f>
        <v>87145370.819537759</v>
      </c>
      <c r="B8470">
        <v>145680531.99650863</v>
      </c>
    </row>
    <row r="8471" spans="1:2" x14ac:dyDescent="0.25">
      <c r="A8471">
        <f ca="1">29171.0883094506*((RANDBETWEEN(2979,3282)))</f>
        <v>88155028.871159852</v>
      </c>
      <c r="B8471">
        <v>197611074.92905515</v>
      </c>
    </row>
    <row r="8472" spans="1:2" x14ac:dyDescent="0.25">
      <c r="A8472">
        <f ca="1">28980.0989769273*((RANDBETWEEN(2979,3282)))</f>
        <v>91171391.381413266</v>
      </c>
      <c r="B8472">
        <v>181245130.16119722</v>
      </c>
    </row>
    <row r="8473" spans="1:2" x14ac:dyDescent="0.25">
      <c r="A8473">
        <f ca="1">31184.5355259117*((RANDBETWEEN(2979,3282)))</f>
        <v>102254091.98946439</v>
      </c>
      <c r="B8473">
        <v>196982379.74301571</v>
      </c>
    </row>
    <row r="8474" spans="1:2" x14ac:dyDescent="0.25">
      <c r="A8474">
        <f ca="1">29797.8775223486*((RANDBETWEEN(2979,3282)))</f>
        <v>89602217.709702313</v>
      </c>
      <c r="B8474">
        <v>161653953.21680507</v>
      </c>
    </row>
    <row r="8475" spans="1:2" x14ac:dyDescent="0.25">
      <c r="A8475">
        <f ca="1">27787.3423361786*((RANDBETWEEN(2979,3282)))</f>
        <v>83223090.296854854</v>
      </c>
      <c r="B8475">
        <v>145268581.30591342</v>
      </c>
    </row>
    <row r="8476" spans="1:2" x14ac:dyDescent="0.25">
      <c r="A8476">
        <f ca="1">26005.3844607826*((RANDBETWEEN(2979,3282)))</f>
        <v>79394438.758769348</v>
      </c>
      <c r="B8476">
        <v>148897531.83087182</v>
      </c>
    </row>
    <row r="8477" spans="1:2" x14ac:dyDescent="0.25">
      <c r="A8477">
        <f ca="1">26396.9645005612*((RANDBETWEEN(2979,3282)))</f>
        <v>86529249.632839516</v>
      </c>
      <c r="B8477">
        <v>154020852.55266368</v>
      </c>
    </row>
    <row r="8478" spans="1:2" x14ac:dyDescent="0.25">
      <c r="A8478">
        <f ca="1">27192.8792714304*((RANDBETWEEN(2979,3282)))</f>
        <v>87207563.823477373</v>
      </c>
      <c r="B8478">
        <v>172305475.51202706</v>
      </c>
    </row>
    <row r="8479" spans="1:2" x14ac:dyDescent="0.25">
      <c r="A8479">
        <f ca="1">28262.7049377153*((RANDBETWEEN(2979,3282)))</f>
        <v>89338410.30811815</v>
      </c>
      <c r="B8479">
        <v>180825910.12562037</v>
      </c>
    </row>
    <row r="8480" spans="1:2" x14ac:dyDescent="0.25">
      <c r="A8480">
        <f ca="1">25622.8904863155*((RANDBETWEEN(2979,3282)))</f>
        <v>78354799.10715273</v>
      </c>
      <c r="B8480">
        <v>148530675.7582033</v>
      </c>
    </row>
    <row r="8481" spans="1:2" x14ac:dyDescent="0.25">
      <c r="A8481">
        <f ca="1">27901.7340065086*((RANDBETWEEN(2979,3282)))</f>
        <v>91071259.797244146</v>
      </c>
      <c r="B8481">
        <v>149560203.90930143</v>
      </c>
    </row>
    <row r="8482" spans="1:2" x14ac:dyDescent="0.25">
      <c r="A8482">
        <f ca="1">26520.7502319155*((RANDBETWEEN(2979,3282)))</f>
        <v>84601193.239810392</v>
      </c>
      <c r="B8482">
        <v>154093940.58189261</v>
      </c>
    </row>
    <row r="8483" spans="1:2" x14ac:dyDescent="0.25">
      <c r="A8483">
        <f ca="1">28494.4817856835*((RANDBETWEEN(2979,3282)))</f>
        <v>89643639.697760344</v>
      </c>
      <c r="B8483">
        <v>192258534.32076705</v>
      </c>
    </row>
    <row r="8484" spans="1:2" x14ac:dyDescent="0.25">
      <c r="A8484">
        <f ca="1">30856.8703442009*((RANDBETWEEN(2979,3282)))</f>
        <v>100377399.22968557</v>
      </c>
      <c r="B8484">
        <v>198830730.03558618</v>
      </c>
    </row>
    <row r="8485" spans="1:2" x14ac:dyDescent="0.25">
      <c r="A8485">
        <f ca="1">27542.6913462355*((RANDBETWEEN(2979,3282)))</f>
        <v>88962893.048340753</v>
      </c>
      <c r="B8485">
        <v>152015305.3914921</v>
      </c>
    </row>
    <row r="8486" spans="1:2" x14ac:dyDescent="0.25">
      <c r="A8486">
        <f ca="1">27225.7980009755*((RANDBETWEEN(2979,3282)))</f>
        <v>88483843.503170371</v>
      </c>
      <c r="B8486">
        <v>169352797.56726187</v>
      </c>
    </row>
    <row r="8487" spans="1:2" x14ac:dyDescent="0.25">
      <c r="A8487">
        <f ca="1">26834.207328924*((RANDBETWEEN(2979,3282)))</f>
        <v>80931969.304034844</v>
      </c>
      <c r="B8487">
        <v>200371793.05837253</v>
      </c>
    </row>
    <row r="8488" spans="1:2" x14ac:dyDescent="0.25">
      <c r="A8488">
        <f ca="1">30286.9537187839*((RANDBETWEEN(2979,3282)))</f>
        <v>92647791.425759882</v>
      </c>
      <c r="B8488">
        <v>201444009.25398147</v>
      </c>
    </row>
    <row r="8489" spans="1:2" x14ac:dyDescent="0.25">
      <c r="A8489">
        <f ca="1">29442.7348264522*((RANDBETWEEN(2979,3282)))</f>
        <v>88416532.683835998</v>
      </c>
      <c r="B8489">
        <v>190751291.4638924</v>
      </c>
    </row>
    <row r="8490" spans="1:2" x14ac:dyDescent="0.25">
      <c r="A8490">
        <f ca="1">27676.8941558406*((RANDBETWEEN(2979,3282)))</f>
        <v>89202629.864274144</v>
      </c>
      <c r="B8490">
        <v>153256171.17113578</v>
      </c>
    </row>
    <row r="8491" spans="1:2" x14ac:dyDescent="0.25">
      <c r="A8491">
        <f ca="1">29400.8445083518*((RANDBETWEEN(2979,3282)))</f>
        <v>95552744.652143404</v>
      </c>
      <c r="B8491">
        <v>166776849.08767766</v>
      </c>
    </row>
    <row r="8492" spans="1:2" x14ac:dyDescent="0.25">
      <c r="A8492">
        <f ca="1">29124.6267360736*((RANDBETWEEN(2979,3282)))</f>
        <v>93752173.463420868</v>
      </c>
      <c r="B8492">
        <v>170606368.47421175</v>
      </c>
    </row>
    <row r="8493" spans="1:2" x14ac:dyDescent="0.25">
      <c r="A8493">
        <f ca="1">29710.3112357416*((RANDBETWEEN(2979,3282)))</f>
        <v>89873691.488118231</v>
      </c>
      <c r="B8493">
        <v>169303108.49291778</v>
      </c>
    </row>
    <row r="8494" spans="1:2" x14ac:dyDescent="0.25">
      <c r="A8494">
        <f ca="1">26718.1630162122*((RANDBETWEEN(2979,3282)))</f>
        <v>85417967.162830502</v>
      </c>
      <c r="B8494">
        <v>172552830.42552605</v>
      </c>
    </row>
    <row r="8495" spans="1:2" x14ac:dyDescent="0.25">
      <c r="A8495">
        <f ca="1">32101.3458554204*((RANDBETWEEN(2979,3282)))</f>
        <v>100220401.76062235</v>
      </c>
      <c r="B8495">
        <v>155074014.11598748</v>
      </c>
    </row>
    <row r="8496" spans="1:2" x14ac:dyDescent="0.25">
      <c r="A8496">
        <f ca="1">25542.9348756306*((RANDBETWEEN(2979,3282)))</f>
        <v>77114120.389528632</v>
      </c>
      <c r="B8496">
        <v>183496421.09621289</v>
      </c>
    </row>
    <row r="8497" spans="1:2" x14ac:dyDescent="0.25">
      <c r="A8497">
        <f ca="1">29775.2136462678*((RANDBETWEEN(2979,3282)))</f>
        <v>93434620.421988308</v>
      </c>
      <c r="B8497">
        <v>198926178.03719687</v>
      </c>
    </row>
    <row r="8498" spans="1:2" x14ac:dyDescent="0.25">
      <c r="A8498">
        <f ca="1">25718.6215692835*((RANDBETWEEN(2979,3282)))</f>
        <v>77593081.274528235</v>
      </c>
      <c r="B8498">
        <v>144286594.0803684</v>
      </c>
    </row>
    <row r="8499" spans="1:2" x14ac:dyDescent="0.25">
      <c r="A8499">
        <f ca="1">26411.5216646319*((RANDBETWEEN(2979,3282)))</f>
        <v>80185379.773822308</v>
      </c>
      <c r="B8499">
        <v>181363120.77184558</v>
      </c>
    </row>
    <row r="8500" spans="1:2" x14ac:dyDescent="0.25">
      <c r="A8500">
        <f ca="1">25669.6943841218*((RANDBETWEEN(2979,3282)))</f>
        <v>80140785.867228314</v>
      </c>
      <c r="B8500">
        <v>152363131.16638994</v>
      </c>
    </row>
    <row r="8501" spans="1:2" x14ac:dyDescent="0.25">
      <c r="A8501">
        <f ca="1">27320.5166832269*((RANDBETWEEN(2979,3282)))</f>
        <v>86442114.785730019</v>
      </c>
      <c r="B8501">
        <v>152381164.10899389</v>
      </c>
    </row>
    <row r="8502" spans="1:2" x14ac:dyDescent="0.25">
      <c r="A8502">
        <f ca="1">25685.3308958475*((RANDBETWEEN(2979,3282)))</f>
        <v>78648483.20308502</v>
      </c>
      <c r="B8502">
        <v>143747005.43492219</v>
      </c>
    </row>
    <row r="8503" spans="1:2" x14ac:dyDescent="0.25">
      <c r="A8503">
        <f ca="1">29519.9676955363*((RANDBETWEEN(2979,3282)))</f>
        <v>90980540.437643021</v>
      </c>
      <c r="B8503">
        <v>175233407.35533622</v>
      </c>
    </row>
    <row r="8504" spans="1:2" x14ac:dyDescent="0.25">
      <c r="A8504">
        <f ca="1">27377.7297695647*((RANDBETWEEN(2979,3282)))</f>
        <v>88950244.021315649</v>
      </c>
      <c r="B8504">
        <v>148893969.60604343</v>
      </c>
    </row>
    <row r="8505" spans="1:2" x14ac:dyDescent="0.25">
      <c r="A8505">
        <f ca="1">28842.8265599298*((RANDBETWEEN(2979,3282)))</f>
        <v>94373728.504090384</v>
      </c>
      <c r="B8505">
        <v>182043382.68272817</v>
      </c>
    </row>
    <row r="8506" spans="1:2" x14ac:dyDescent="0.25">
      <c r="A8506">
        <f ca="1">27982.6038643281*((RANDBETWEEN(2979,3282)))</f>
        <v>89852141.00835757</v>
      </c>
      <c r="B8506">
        <v>145383037.54360834</v>
      </c>
    </row>
    <row r="8507" spans="1:2" x14ac:dyDescent="0.25">
      <c r="A8507">
        <f ca="1">26772.3570264469*((RANDBETWEEN(2979,3282)))</f>
        <v>81227331.218239903</v>
      </c>
      <c r="B8507">
        <v>200459922.89300403</v>
      </c>
    </row>
    <row r="8508" spans="1:2" x14ac:dyDescent="0.25">
      <c r="A8508">
        <f ca="1">25501.6525796503*((RANDBETWEEN(2979,3282)))</f>
        <v>78162565.156628057</v>
      </c>
      <c r="B8508">
        <v>146071017.43901747</v>
      </c>
    </row>
    <row r="8509" spans="1:2" x14ac:dyDescent="0.25">
      <c r="A8509">
        <f ca="1">28455.846246043*((RANDBETWEEN(2979,3282)))</f>
        <v>93050617.224560753</v>
      </c>
      <c r="B8509">
        <v>180630446.15220779</v>
      </c>
    </row>
    <row r="8510" spans="1:2" x14ac:dyDescent="0.25">
      <c r="A8510">
        <f ca="1">27776.021021022*((RANDBETWEEN(2979,3282)))</f>
        <v>84911296.261264279</v>
      </c>
      <c r="B8510">
        <v>182720130.81678709</v>
      </c>
    </row>
    <row r="8511" spans="1:2" x14ac:dyDescent="0.25">
      <c r="A8511">
        <f ca="1">32286.3249172339*((RANDBETWEEN(2979,3282)))</f>
        <v>101314487.59028012</v>
      </c>
      <c r="B8511">
        <v>184573247.9243519</v>
      </c>
    </row>
    <row r="8512" spans="1:2" x14ac:dyDescent="0.25">
      <c r="A8512">
        <f ca="1">27887.7851567815*((RANDBETWEEN(2979,3282)))</f>
        <v>90049658.271247596</v>
      </c>
      <c r="B8512">
        <v>194480353.82844073</v>
      </c>
    </row>
    <row r="8513" spans="1:2" x14ac:dyDescent="0.25">
      <c r="A8513">
        <f ca="1">31190.4653542878*((RANDBETWEEN(2979,3282)))</f>
        <v>97688537.489629492</v>
      </c>
      <c r="B8513">
        <v>185114762.03665084</v>
      </c>
    </row>
    <row r="8514" spans="1:2" x14ac:dyDescent="0.25">
      <c r="A8514">
        <f ca="1">30757.6580694159*((RANDBETWEEN(2979,3282)))</f>
        <v>97624806.712326005</v>
      </c>
      <c r="B8514">
        <v>184554773.19839057</v>
      </c>
    </row>
    <row r="8515" spans="1:2" x14ac:dyDescent="0.25">
      <c r="A8515">
        <f ca="1">28496.0546330594*((RANDBETWEEN(2979,3282)))</f>
        <v>88993178.619044408</v>
      </c>
      <c r="B8515">
        <v>147404951.10938394</v>
      </c>
    </row>
    <row r="8516" spans="1:2" x14ac:dyDescent="0.25">
      <c r="A8516">
        <f ca="1">27769.4524961321*((RANDBETWEEN(2979,3282)))</f>
        <v>88195781.127715424</v>
      </c>
      <c r="B8516">
        <v>187108081.7216813</v>
      </c>
    </row>
    <row r="8517" spans="1:2" x14ac:dyDescent="0.25">
      <c r="A8517">
        <f ca="1">28829.474794231*((RANDBETWEEN(2979,3282)))</f>
        <v>91216458.248946816</v>
      </c>
      <c r="B8517">
        <v>166380451.95782742</v>
      </c>
    </row>
    <row r="8518" spans="1:2" x14ac:dyDescent="0.25">
      <c r="A8518">
        <f ca="1">29775.0669110887*((RANDBETWEEN(2979,3282)))</f>
        <v>90605528.610443011</v>
      </c>
      <c r="B8518">
        <v>163573168.8808468</v>
      </c>
    </row>
    <row r="8519" spans="1:2" x14ac:dyDescent="0.25">
      <c r="A8519">
        <f ca="1">27792.8039878366*((RANDBETWEEN(2979,3282)))</f>
        <v>90548955.392371535</v>
      </c>
      <c r="B8519">
        <v>177445143.31350029</v>
      </c>
    </row>
    <row r="8520" spans="1:2" x14ac:dyDescent="0.25">
      <c r="A8520">
        <f ca="1">26405.855637643*((RANDBETWEEN(2979,3282)))</f>
        <v>86030277.667440921</v>
      </c>
      <c r="B8520">
        <v>148977191.08764797</v>
      </c>
    </row>
    <row r="8521" spans="1:2" x14ac:dyDescent="0.25">
      <c r="A8521">
        <f ca="1">29001.118228661*((RANDBETWEEN(2979,3282)))</f>
        <v>88946429.607303172</v>
      </c>
      <c r="B8521">
        <v>190356974.49569157</v>
      </c>
    </row>
    <row r="8522" spans="1:2" x14ac:dyDescent="0.25">
      <c r="A8522">
        <f ca="1">26839.2195999526*((RANDBETWEEN(2979,3282)))</f>
        <v>85295039.888649404</v>
      </c>
      <c r="B8522">
        <v>143358017.74973506</v>
      </c>
    </row>
    <row r="8523" spans="1:2" x14ac:dyDescent="0.25">
      <c r="A8523">
        <f ca="1">27319.1825802934*((RANDBETWEEN(2979,3282)))</f>
        <v>84662146.816329256</v>
      </c>
      <c r="B8523">
        <v>184899663.72796854</v>
      </c>
    </row>
    <row r="8524" spans="1:2" x14ac:dyDescent="0.25">
      <c r="A8524">
        <f ca="1">26122.9559505585*((RANDBETWEEN(2979,3282)))</f>
        <v>78107638.292169854</v>
      </c>
      <c r="B8524">
        <v>184716028.25082889</v>
      </c>
    </row>
    <row r="8525" spans="1:2" x14ac:dyDescent="0.25">
      <c r="A8525">
        <f ca="1">29802.5468861755*((RANDBETWEEN(2979,3282)))</f>
        <v>95964200.973484963</v>
      </c>
      <c r="B8525">
        <v>164169665.57181334</v>
      </c>
    </row>
    <row r="8526" spans="1:2" x14ac:dyDescent="0.25">
      <c r="A8526">
        <f ca="1">26649.0641509896*((RANDBETWEEN(2979,3282)))</f>
        <v>86263020.656753287</v>
      </c>
      <c r="B8526">
        <v>160272149.70459995</v>
      </c>
    </row>
    <row r="8527" spans="1:2" x14ac:dyDescent="0.25">
      <c r="A8527">
        <f ca="1">28745.5601020679*((RANDBETWEEN(2979,3282)))</f>
        <v>93423070.331720561</v>
      </c>
      <c r="B8527">
        <v>173488865.19489744</v>
      </c>
    </row>
    <row r="8528" spans="1:2" x14ac:dyDescent="0.25">
      <c r="A8528">
        <f ca="1">26906.6546976795*((RANDBETWEEN(2979,3282)))</f>
        <v>84406175.786620721</v>
      </c>
      <c r="B8528">
        <v>171434255.93856812</v>
      </c>
    </row>
    <row r="8529" spans="1:2" x14ac:dyDescent="0.25">
      <c r="A8529">
        <f ca="1">26718.0934754677*((RANDBETWEEN(2979,3282)))</f>
        <v>83307015.456508413</v>
      </c>
      <c r="B8529">
        <v>153935381.32587707</v>
      </c>
    </row>
    <row r="8530" spans="1:2" x14ac:dyDescent="0.25">
      <c r="A8530">
        <f ca="1">25462.0162974048*((RANDBETWEEN(2979,3282)))</f>
        <v>81351142.070208341</v>
      </c>
      <c r="B8530">
        <v>160037923.67659947</v>
      </c>
    </row>
    <row r="8531" spans="1:2" x14ac:dyDescent="0.25">
      <c r="A8531">
        <f ca="1">26665.0071045441*((RANDBETWEEN(2979,3282)))</f>
        <v>81461596.704382315</v>
      </c>
      <c r="B8531">
        <v>171082617.30040199</v>
      </c>
    </row>
    <row r="8532" spans="1:2" x14ac:dyDescent="0.25">
      <c r="A8532">
        <f ca="1">24437.4015313663*((RANDBETWEEN(2979,3282)))</f>
        <v>76464629.391645208</v>
      </c>
      <c r="B8532">
        <v>168549601.75816032</v>
      </c>
    </row>
    <row r="8533" spans="1:2" x14ac:dyDescent="0.25">
      <c r="A8533">
        <f ca="1">28026.812326748*((RANDBETWEEN(2979,3282)))</f>
        <v>89685799.445593491</v>
      </c>
      <c r="B8533">
        <v>187029128.0455724</v>
      </c>
    </row>
    <row r="8534" spans="1:2" x14ac:dyDescent="0.25">
      <c r="A8534">
        <f ca="1">27199.7563017248*((RANDBETWEEN(2979,3282)))</f>
        <v>88317608.71170038</v>
      </c>
      <c r="B8534">
        <v>150414469.73719645</v>
      </c>
    </row>
    <row r="8535" spans="1:2" x14ac:dyDescent="0.25">
      <c r="A8535">
        <f ca="1">27601.2807927444*((RANDBETWEEN(2979,3282)))</f>
        <v>89510953.610869989</v>
      </c>
      <c r="B8535">
        <v>173231809.7427794</v>
      </c>
    </row>
    <row r="8536" spans="1:2" x14ac:dyDescent="0.25">
      <c r="A8536">
        <f ca="1">26931.3744370492*((RANDBETWEEN(2979,3282)))</f>
        <v>83029427.389422685</v>
      </c>
      <c r="B8536">
        <v>198491817.93781567</v>
      </c>
    </row>
    <row r="8537" spans="1:2" x14ac:dyDescent="0.25">
      <c r="A8537">
        <f ca="1">26916.4923031409*((RANDBETWEEN(2979,3282)))</f>
        <v>86186608.354657173</v>
      </c>
      <c r="B8537">
        <v>145696294.30357984</v>
      </c>
    </row>
    <row r="8538" spans="1:2" x14ac:dyDescent="0.25">
      <c r="A8538">
        <f ca="1">26793.3178705435*((RANDBETWEEN(2979,3282)))</f>
        <v>84023844.84202452</v>
      </c>
      <c r="B8538">
        <v>202603302.85490125</v>
      </c>
    </row>
    <row r="8539" spans="1:2" x14ac:dyDescent="0.25">
      <c r="A8539">
        <f ca="1">35027.1563906763*((RANDBETWEEN(2979,3282)))</f>
        <v>113137715.14188461</v>
      </c>
      <c r="B8539">
        <v>195162751.92056316</v>
      </c>
    </row>
    <row r="8540" spans="1:2" x14ac:dyDescent="0.25">
      <c r="A8540">
        <f ca="1">25769.7173355127*((RANDBETWEEN(2979,3282)))</f>
        <v>82952720.103015423</v>
      </c>
      <c r="B8540">
        <v>146779984.24438614</v>
      </c>
    </row>
    <row r="8541" spans="1:2" x14ac:dyDescent="0.25">
      <c r="A8541">
        <f ca="1">27614.858882766*((RANDBETWEEN(2979,3282)))</f>
        <v>88395163.283733875</v>
      </c>
      <c r="B8541">
        <v>189404248.23449621</v>
      </c>
    </row>
    <row r="8542" spans="1:2" x14ac:dyDescent="0.25">
      <c r="A8542">
        <f ca="1">28864.5454874782*((RANDBETWEEN(2979,3282)))</f>
        <v>88094592.827783391</v>
      </c>
      <c r="B8542">
        <v>160255143.81765991</v>
      </c>
    </row>
    <row r="8543" spans="1:2" x14ac:dyDescent="0.25">
      <c r="A8543">
        <f ca="1">26847.8977159351*((RANDBETWEEN(2979,3282)))</f>
        <v>85779033.202412486</v>
      </c>
      <c r="B8543">
        <v>152367138.44589156</v>
      </c>
    </row>
    <row r="8544" spans="1:2" x14ac:dyDescent="0.25">
      <c r="A8544">
        <f ca="1">33442.7245151506*((RANDBETWEEN(2979,3282)))</f>
        <v>100863257.13769414</v>
      </c>
      <c r="B8544">
        <v>183012799.20652983</v>
      </c>
    </row>
    <row r="8545" spans="1:2" x14ac:dyDescent="0.25">
      <c r="A8545">
        <f ca="1">32250.3325196438*((RANDBETWEEN(2979,3282)))</f>
        <v>99492275.823101044</v>
      </c>
      <c r="B8545">
        <v>175592723.02118319</v>
      </c>
    </row>
    <row r="8546" spans="1:2" x14ac:dyDescent="0.25">
      <c r="A8546">
        <f ca="1">26602.5740231771*((RANDBETWEEN(2979,3282)))</f>
        <v>80339773.549994931</v>
      </c>
      <c r="B8546">
        <v>145004469.33851364</v>
      </c>
    </row>
    <row r="8547" spans="1:2" x14ac:dyDescent="0.25">
      <c r="A8547">
        <f ca="1">31720.1421153348*((RANDBETWEEN(2979,3282)))</f>
        <v>99886727.521189183</v>
      </c>
      <c r="B8547">
        <v>197643655.73333704</v>
      </c>
    </row>
    <row r="8548" spans="1:2" x14ac:dyDescent="0.25">
      <c r="A8548">
        <f ca="1">27921.6210231355*((RANDBETWEEN(2979,3282)))</f>
        <v>84742119.805216372</v>
      </c>
      <c r="B8548">
        <v>179890901.80397791</v>
      </c>
    </row>
    <row r="8549" spans="1:2" x14ac:dyDescent="0.25">
      <c r="A8549">
        <f ca="1">27028.1784283249*((RANDBETWEEN(2979,3282)))</f>
        <v>82327831.492677703</v>
      </c>
      <c r="B8549">
        <v>168587134.36624104</v>
      </c>
    </row>
    <row r="8550" spans="1:2" x14ac:dyDescent="0.25">
      <c r="A8550">
        <f ca="1">31451.1974384803*((RANDBETWEEN(2979,3282)))</f>
        <v>98976918.338897377</v>
      </c>
      <c r="B8550">
        <v>152313540.09631523</v>
      </c>
    </row>
    <row r="8551" spans="1:2" x14ac:dyDescent="0.25">
      <c r="A8551">
        <f ca="1">27830.5968235349*((RANDBETWEEN(2979,3282)))</f>
        <v>89558860.578135386</v>
      </c>
      <c r="B8551">
        <v>188438799.85631281</v>
      </c>
    </row>
    <row r="8552" spans="1:2" x14ac:dyDescent="0.25">
      <c r="A8552">
        <f ca="1">26509.3704148623*((RANDBETWEEN(2979,3282)))</f>
        <v>81834426.470679879</v>
      </c>
      <c r="B8552">
        <v>145699460.49192041</v>
      </c>
    </row>
    <row r="8553" spans="1:2" x14ac:dyDescent="0.25">
      <c r="A8553">
        <f ca="1">26603.0492502984*((RANDBETWEEN(2979,3282)))</f>
        <v>86832352.752974108</v>
      </c>
      <c r="B8553">
        <v>166342059.61108786</v>
      </c>
    </row>
    <row r="8554" spans="1:2" x14ac:dyDescent="0.25">
      <c r="A8554">
        <f ca="1">26773.8939179753*((RANDBETWEEN(2979,3282)))</f>
        <v>82410045.47952792</v>
      </c>
      <c r="B8554">
        <v>143975343.01981997</v>
      </c>
    </row>
    <row r="8555" spans="1:2" x14ac:dyDescent="0.25">
      <c r="A8555">
        <f ca="1">26802.0802729528*((RANDBETWEEN(2979,3282)))</f>
        <v>80942282.424317345</v>
      </c>
      <c r="B8555">
        <v>176702682.89928553</v>
      </c>
    </row>
    <row r="8556" spans="1:2" x14ac:dyDescent="0.25">
      <c r="A8556">
        <f ca="1">30908.8091688517*((RANDBETWEEN(2979,3282)))</f>
        <v>97980925.065259993</v>
      </c>
      <c r="B8556">
        <v>156838237.90180361</v>
      </c>
    </row>
    <row r="8557" spans="1:2" x14ac:dyDescent="0.25">
      <c r="A8557">
        <f ca="1">27471.6117191102*((RANDBETWEEN(2979,3282)))</f>
        <v>88568476.182411402</v>
      </c>
      <c r="B8557">
        <v>148331387.65758201</v>
      </c>
    </row>
    <row r="8558" spans="1:2" x14ac:dyDescent="0.25">
      <c r="A8558">
        <f ca="1">26434.1364987476*((RANDBETWEEN(2979,3282)))</f>
        <v>82448071.739593625</v>
      </c>
      <c r="B8558">
        <v>143839475.05325601</v>
      </c>
    </row>
    <row r="8559" spans="1:2" x14ac:dyDescent="0.25">
      <c r="A8559">
        <f ca="1">27145.4477940755*((RANDBETWEEN(2979,3282)))</f>
        <v>86268233.089571893</v>
      </c>
      <c r="B8559">
        <v>175161030.51943982</v>
      </c>
    </row>
    <row r="8560" spans="1:2" x14ac:dyDescent="0.25">
      <c r="A8560">
        <f ca="1">27687.0999915757*((RANDBETWEEN(2979,3282)))</f>
        <v>84639464.674247071</v>
      </c>
      <c r="B8560">
        <v>143796097.28926015</v>
      </c>
    </row>
    <row r="8561" spans="1:2" x14ac:dyDescent="0.25">
      <c r="A8561">
        <f ca="1">26587.2914713974*((RANDBETWEEN(2979,3282)))</f>
        <v>79947985.454491884</v>
      </c>
      <c r="B8561">
        <v>170314084.99611714</v>
      </c>
    </row>
    <row r="8562" spans="1:2" x14ac:dyDescent="0.25">
      <c r="A8562">
        <f ca="1">29242.7721384845*((RANDBETWEEN(2979,3282)))</f>
        <v>91559119.565595105</v>
      </c>
      <c r="B8562">
        <v>174944703.01212192</v>
      </c>
    </row>
    <row r="8563" spans="1:2" x14ac:dyDescent="0.25">
      <c r="A8563">
        <f ca="1">30179.3365492528*((RANDBETWEEN(2979,3282)))</f>
        <v>93254149.937191084</v>
      </c>
      <c r="B8563">
        <v>164873474.41236547</v>
      </c>
    </row>
    <row r="8564" spans="1:2" x14ac:dyDescent="0.25">
      <c r="A8564">
        <f ca="1">26535.1236297542*((RANDBETWEEN(2979,3282)))</f>
        <v>81675110.532383516</v>
      </c>
      <c r="B8564">
        <v>196236208.27942359</v>
      </c>
    </row>
    <row r="8565" spans="1:2" x14ac:dyDescent="0.25">
      <c r="A8565">
        <f ca="1">27793.1384387442*((RANDBETWEEN(2979,3282)))</f>
        <v>86909143.897953212</v>
      </c>
      <c r="B8565">
        <v>148597688.07294858</v>
      </c>
    </row>
    <row r="8566" spans="1:2" x14ac:dyDescent="0.25">
      <c r="A8566">
        <f ca="1">29148.5272968846*((RANDBETWEEN(2979,3282)))</f>
        <v>91730415.40329574</v>
      </c>
      <c r="B8566">
        <v>175570866.11576122</v>
      </c>
    </row>
    <row r="8567" spans="1:2" x14ac:dyDescent="0.25">
      <c r="A8567">
        <f ca="1">27047.5852547816*((RANDBETWEEN(2979,3282)))</f>
        <v>85037608.041033342</v>
      </c>
      <c r="B8567">
        <v>174974075.0521597</v>
      </c>
    </row>
    <row r="8568" spans="1:2" x14ac:dyDescent="0.25">
      <c r="A8568">
        <f ca="1">25801.5756347332*((RANDBETWEEN(2979,3282)))</f>
        <v>83261684.573284075</v>
      </c>
      <c r="B8568">
        <v>174815905.85533935</v>
      </c>
    </row>
    <row r="8569" spans="1:2" x14ac:dyDescent="0.25">
      <c r="A8569">
        <f ca="1">30202.3599384435*((RANDBETWEEN(2979,3282)))</f>
        <v>98791919.358648732</v>
      </c>
      <c r="B8569">
        <v>196833356.61467659</v>
      </c>
    </row>
    <row r="8570" spans="1:2" x14ac:dyDescent="0.25">
      <c r="A8570">
        <f ca="1">32033.7596181971*((RANDBETWEEN(2979,3282)))</f>
        <v>99240587.297174722</v>
      </c>
      <c r="B8570">
        <v>172136128.61852667</v>
      </c>
    </row>
    <row r="8571" spans="1:2" x14ac:dyDescent="0.25">
      <c r="A8571">
        <f ca="1">25740.1533835159*((RANDBETWEEN(2979,3282)))</f>
        <v>83552537.882892743</v>
      </c>
      <c r="B8571">
        <v>152826466.73329389</v>
      </c>
    </row>
    <row r="8572" spans="1:2" x14ac:dyDescent="0.25">
      <c r="A8572">
        <f ca="1">27940.6346315573*((RANDBETWEEN(2979,3282)))</f>
        <v>86252739.107617423</v>
      </c>
      <c r="B8572">
        <v>153145344.96401167</v>
      </c>
    </row>
    <row r="8573" spans="1:2" x14ac:dyDescent="0.25">
      <c r="A8573">
        <f ca="1">28598.2841415659*((RANDBETWEEN(2979,3282)))</f>
        <v>92858628.607664496</v>
      </c>
      <c r="B8573">
        <v>149166928.61196345</v>
      </c>
    </row>
    <row r="8574" spans="1:2" x14ac:dyDescent="0.25">
      <c r="A8574">
        <f ca="1">27301.963656793*((RANDBETWEEN(2979,3282)))</f>
        <v>85618958.027702913</v>
      </c>
      <c r="B8574">
        <v>177285374.90289661</v>
      </c>
    </row>
    <row r="8575" spans="1:2" x14ac:dyDescent="0.25">
      <c r="A8575">
        <f ca="1">29532.5837267349*((RANDBETWEEN(2979,3282)))</f>
        <v>94888191.513999209</v>
      </c>
      <c r="B8575">
        <v>196463011.7081171</v>
      </c>
    </row>
    <row r="8576" spans="1:2" x14ac:dyDescent="0.25">
      <c r="A8576">
        <f ca="1">26757.6580210374*((RANDBETWEEN(2979,3282)))</f>
        <v>80112428.114985943</v>
      </c>
      <c r="B8576">
        <v>147780642.49085355</v>
      </c>
    </row>
    <row r="8577" spans="1:2" x14ac:dyDescent="0.25">
      <c r="A8577">
        <f ca="1">26148.2268403587*((RANDBETWEEN(2979,3282)))</f>
        <v>83282102.486542583</v>
      </c>
      <c r="B8577">
        <v>146934067.04731569</v>
      </c>
    </row>
    <row r="8578" spans="1:2" x14ac:dyDescent="0.25">
      <c r="A8578">
        <f ca="1">27666.2290527382*((RANDBETWEEN(2979,3282)))</f>
        <v>85433315.314855456</v>
      </c>
      <c r="B8578">
        <v>161440073.99649358</v>
      </c>
    </row>
    <row r="8579" spans="1:2" x14ac:dyDescent="0.25">
      <c r="A8579">
        <f ca="1">27173.2939418603*((RANDBETWEEN(2979,3282)))</f>
        <v>83367665.813627392</v>
      </c>
      <c r="B8579">
        <v>145302916.38806206</v>
      </c>
    </row>
    <row r="8580" spans="1:2" x14ac:dyDescent="0.25">
      <c r="A8580">
        <f ca="1">26070.8189129209*((RANDBETWEEN(2979,3282)))</f>
        <v>79646351.778973296</v>
      </c>
      <c r="B8580">
        <v>144286158.03598326</v>
      </c>
    </row>
    <row r="8581" spans="1:2" x14ac:dyDescent="0.25">
      <c r="A8581">
        <f ca="1">25710.5876394402*((RANDBETWEEN(2979,3282)))</f>
        <v>80165612.259774446</v>
      </c>
      <c r="B8581">
        <v>147265985.6360026</v>
      </c>
    </row>
    <row r="8582" spans="1:2" x14ac:dyDescent="0.25">
      <c r="A8582">
        <f ca="1">27197.4881142966*((RANDBETWEEN(2979,3282)))</f>
        <v>85508902.63134858</v>
      </c>
      <c r="B8582">
        <v>152594573.14321351</v>
      </c>
    </row>
    <row r="8583" spans="1:2" x14ac:dyDescent="0.25">
      <c r="A8583">
        <f ca="1">26474.6231836457*((RANDBETWEEN(2979,3282)))</f>
        <v>86704390.926439911</v>
      </c>
      <c r="B8583">
        <v>145223054.77162573</v>
      </c>
    </row>
    <row r="8584" spans="1:2" x14ac:dyDescent="0.25">
      <c r="A8584">
        <f ca="1">27013.6900854052*((RANDBETWEEN(2979,3282)))</f>
        <v>87443314.806456685</v>
      </c>
      <c r="B8584">
        <v>177828284.5227828</v>
      </c>
    </row>
    <row r="8585" spans="1:2" x14ac:dyDescent="0.25">
      <c r="A8585">
        <f ca="1">27909.5020437631*((RANDBETWEEN(2979,3282)))</f>
        <v>83868053.641508162</v>
      </c>
      <c r="B8585">
        <v>177128578.31306326</v>
      </c>
    </row>
    <row r="8586" spans="1:2" x14ac:dyDescent="0.25">
      <c r="A8586">
        <f ca="1">27095.1937155954*((RANDBETWEEN(2979,3282)))</f>
        <v>83480291.837749511</v>
      </c>
      <c r="B8586">
        <v>146809250.99830481</v>
      </c>
    </row>
    <row r="8587" spans="1:2" x14ac:dyDescent="0.25">
      <c r="A8587">
        <f ca="1">28564.7565132033*((RANDBETWEEN(2979,3282)))</f>
        <v>90407454.364288598</v>
      </c>
      <c r="B8587">
        <v>185661926.23942393</v>
      </c>
    </row>
    <row r="8588" spans="1:2" x14ac:dyDescent="0.25">
      <c r="A8588">
        <f ca="1">26819.1173876262*((RANDBETWEEN(2979,3282)))</f>
        <v>80537809.51504159</v>
      </c>
      <c r="B8588">
        <v>170260088.93566701</v>
      </c>
    </row>
    <row r="8589" spans="1:2" x14ac:dyDescent="0.25">
      <c r="A8589">
        <f ca="1">27082.5143671948*((RANDBETWEEN(2979,3282)))</f>
        <v>87584851.463508055</v>
      </c>
      <c r="B8589">
        <v>159938196.11487526</v>
      </c>
    </row>
    <row r="8590" spans="1:2" x14ac:dyDescent="0.25">
      <c r="A8590">
        <f ca="1">30438.9677570559*((RANDBETWEEN(2979,3282)))</f>
        <v>91956121.5940658</v>
      </c>
      <c r="B8590">
        <v>188316471.70284456</v>
      </c>
    </row>
    <row r="8591" spans="1:2" x14ac:dyDescent="0.25">
      <c r="A8591">
        <f ca="1">29770.3117699678*((RANDBETWEEN(2979,3282)))</f>
        <v>95771092.963986546</v>
      </c>
      <c r="B8591">
        <v>177610814.98926002</v>
      </c>
    </row>
    <row r="8592" spans="1:2" x14ac:dyDescent="0.25">
      <c r="A8592">
        <f ca="1">28647.6279062332*((RANDBETWEEN(2979,3282)))</f>
        <v>86888255.439605147</v>
      </c>
      <c r="B8592">
        <v>167069014.09972316</v>
      </c>
    </row>
    <row r="8593" spans="1:2" x14ac:dyDescent="0.25">
      <c r="A8593">
        <f ca="1">26387.6054861663*((RANDBETWEEN(2979,3282)))</f>
        <v>83305670.519826978</v>
      </c>
      <c r="B8593">
        <v>147970522.21078822</v>
      </c>
    </row>
    <row r="8594" spans="1:2" x14ac:dyDescent="0.25">
      <c r="A8594">
        <f ca="1">30909.5885626016*((RANDBETWEEN(2979,3282)))</f>
        <v>95819724.544064939</v>
      </c>
      <c r="B8594">
        <v>193592051.34318328</v>
      </c>
    </row>
    <row r="8595" spans="1:2" x14ac:dyDescent="0.25">
      <c r="A8595">
        <f ca="1">29987.8506122346*((RANDBETWEEN(2979,3282)))</f>
        <v>93292203.254661903</v>
      </c>
      <c r="B8595">
        <v>191571378.67710081</v>
      </c>
    </row>
    <row r="8596" spans="1:2" x14ac:dyDescent="0.25">
      <c r="A8596">
        <f ca="1">27821.3287015541*((RANDBETWEEN(2979,3282)))</f>
        <v>82963202.18803443</v>
      </c>
      <c r="B8596">
        <v>199110273.84737995</v>
      </c>
    </row>
    <row r="8597" spans="1:2" x14ac:dyDescent="0.25">
      <c r="A8597">
        <f ca="1">26296.9781143261*((RANDBETWEEN(2979,3282)))</f>
        <v>84597378.593787149</v>
      </c>
      <c r="B8597">
        <v>155469746.30713785</v>
      </c>
    </row>
    <row r="8598" spans="1:2" x14ac:dyDescent="0.25">
      <c r="A8598">
        <f ca="1">27649.8899261885*((RANDBETWEEN(2979,3282)))</f>
        <v>87705450.845869794</v>
      </c>
      <c r="B8598">
        <v>169793151.80413425</v>
      </c>
    </row>
    <row r="8599" spans="1:2" x14ac:dyDescent="0.25">
      <c r="A8599">
        <f ca="1">29541.2099772308*((RANDBETWEEN(2979,3282)))</f>
        <v>88210052.992011085</v>
      </c>
      <c r="B8599">
        <v>187276446.55912298</v>
      </c>
    </row>
    <row r="8600" spans="1:2" x14ac:dyDescent="0.25">
      <c r="A8600">
        <f ca="1">26146.2207183372*((RANDBETWEEN(2979,3282)))</f>
        <v>79353779.880153522</v>
      </c>
      <c r="B8600">
        <v>184811807.6928609</v>
      </c>
    </row>
    <row r="8601" spans="1:2" x14ac:dyDescent="0.25">
      <c r="A8601">
        <f ca="1">27119.3400240916*((RANDBETWEEN(2979,3282)))</f>
        <v>82551271.033334732</v>
      </c>
      <c r="B8601">
        <v>147234439.88557243</v>
      </c>
    </row>
    <row r="8602" spans="1:2" x14ac:dyDescent="0.25">
      <c r="A8602">
        <f ca="1">34475.5707810227*((RANDBETWEEN(2979,3282)))</f>
        <v>112735116.45394436</v>
      </c>
      <c r="B8602">
        <v>193896772.31880945</v>
      </c>
    </row>
    <row r="8603" spans="1:2" x14ac:dyDescent="0.25">
      <c r="A8603">
        <f ca="1">29531.4936780937*((RANDBETWEEN(2979,3282)))</f>
        <v>94382653.795187384</v>
      </c>
      <c r="B8603">
        <v>182580082.26830405</v>
      </c>
    </row>
    <row r="8604" spans="1:2" x14ac:dyDescent="0.25">
      <c r="A8604">
        <f ca="1">27313.7225559059*((RANDBETWEEN(2979,3282)))</f>
        <v>88824225.751806125</v>
      </c>
      <c r="B8604">
        <v>145501054.3095569</v>
      </c>
    </row>
    <row r="8605" spans="1:2" x14ac:dyDescent="0.25">
      <c r="A8605">
        <f ca="1">31277.9451809284*((RANDBETWEEN(2979,3282)))</f>
        <v>99588977.456076041</v>
      </c>
      <c r="B8605">
        <v>174794858.19615501</v>
      </c>
    </row>
    <row r="8606" spans="1:2" x14ac:dyDescent="0.25">
      <c r="A8606">
        <f ca="1">28804.0498683345*((RANDBETWEEN(2979,3282)))</f>
        <v>92259371.728275508</v>
      </c>
      <c r="B8606">
        <v>180408219.67914271</v>
      </c>
    </row>
    <row r="8607" spans="1:2" x14ac:dyDescent="0.25">
      <c r="A8607">
        <f ca="1">29415.9297756406*((RANDBETWEEN(2979,3282)))</f>
        <v>96072426.647242188</v>
      </c>
      <c r="B8607">
        <v>173653124.73766834</v>
      </c>
    </row>
    <row r="8608" spans="1:2" x14ac:dyDescent="0.25">
      <c r="A8608">
        <f ca="1">25653.4013884701*((RANDBETWEEN(2979,3282)))</f>
        <v>81013441.584788501</v>
      </c>
      <c r="B8608">
        <v>144721253.67873234</v>
      </c>
    </row>
    <row r="8609" spans="1:2" x14ac:dyDescent="0.25">
      <c r="A8609">
        <f ca="1">31934.8849751519*((RANDBETWEEN(2979,3282)))</f>
        <v>97880422.448840648</v>
      </c>
      <c r="B8609">
        <v>155968658.27246606</v>
      </c>
    </row>
    <row r="8610" spans="1:2" x14ac:dyDescent="0.25">
      <c r="A8610">
        <f ca="1">25273.6537313486*((RANDBETWEEN(2979,3282)))</f>
        <v>77211012.149270028</v>
      </c>
      <c r="B8610">
        <v>149959862.45254576</v>
      </c>
    </row>
    <row r="8611" spans="1:2" x14ac:dyDescent="0.25">
      <c r="A8611">
        <f ca="1">33791.3729769244*((RANDBETWEEN(2979,3282)))</f>
        <v>108706846.86676583</v>
      </c>
      <c r="B8611">
        <v>198283397.65104827</v>
      </c>
    </row>
    <row r="8612" spans="1:2" x14ac:dyDescent="0.25">
      <c r="A8612">
        <f ca="1">28778.6158390479*((RANDBETWEEN(2979,3282)))</f>
        <v>91084319.130586669</v>
      </c>
      <c r="B8612">
        <v>144687080.58677471</v>
      </c>
    </row>
    <row r="8613" spans="1:2" x14ac:dyDescent="0.25">
      <c r="A8613">
        <f ca="1">28634.0121034719*((RANDBETWEEN(2979,3282)))</f>
        <v>91514302.682696238</v>
      </c>
      <c r="B8613">
        <v>172099122.8980965</v>
      </c>
    </row>
    <row r="8614" spans="1:2" x14ac:dyDescent="0.25">
      <c r="A8614">
        <f ca="1">26823.6788542685*((RANDBETWEEN(2979,3282)))</f>
        <v>86533187.983870268</v>
      </c>
      <c r="B8614">
        <v>152636279.88965324</v>
      </c>
    </row>
    <row r="8615" spans="1:2" x14ac:dyDescent="0.25">
      <c r="A8615">
        <f ca="1">29991.9616903684*((RANDBETWEEN(2979,3282)))</f>
        <v>91775402.772527337</v>
      </c>
      <c r="B8615">
        <v>201967122.64551422</v>
      </c>
    </row>
    <row r="8616" spans="1:2" x14ac:dyDescent="0.25">
      <c r="A8616">
        <f ca="1">27652.1056522048*((RANDBETWEEN(2979,3282)))</f>
        <v>89288649.150969312</v>
      </c>
      <c r="B8616">
        <v>189638008.05225974</v>
      </c>
    </row>
    <row r="8617" spans="1:2" x14ac:dyDescent="0.25">
      <c r="A8617">
        <f ca="1">30464.6501970969*((RANDBETWEEN(2979,3282)))</f>
        <v>98675001.988397002</v>
      </c>
      <c r="B8617">
        <v>155698937.68100035</v>
      </c>
    </row>
    <row r="8618" spans="1:2" x14ac:dyDescent="0.25">
      <c r="A8618">
        <f ca="1">26135.4173479974*((RANDBETWEEN(2979,3282)))</f>
        <v>85306002.223863453</v>
      </c>
      <c r="B8618">
        <v>175332521.95634633</v>
      </c>
    </row>
    <row r="8619" spans="1:2" x14ac:dyDescent="0.25">
      <c r="A8619">
        <f ca="1">26859.8865034986*((RANDBETWEEN(2979,3282)))</f>
        <v>84447483.166999459</v>
      </c>
      <c r="B8619">
        <v>197764937.26109183</v>
      </c>
    </row>
    <row r="8620" spans="1:2" x14ac:dyDescent="0.25">
      <c r="A8620">
        <f ca="1">30973.5500616469*((RANDBETWEEN(2979,3282)))</f>
        <v>98681730.496407136</v>
      </c>
      <c r="B8620">
        <v>190029224.97777045</v>
      </c>
    </row>
    <row r="8621" spans="1:2" x14ac:dyDescent="0.25">
      <c r="A8621">
        <f ca="1">26214.8099921601*((RANDBETWEEN(2979,3282)))</f>
        <v>84464117.794739738</v>
      </c>
      <c r="B8621">
        <v>168455826.22942919</v>
      </c>
    </row>
    <row r="8622" spans="1:2" x14ac:dyDescent="0.25">
      <c r="A8622">
        <f ca="1">30825.9854988088*((RANDBETWEEN(2979,3282)))</f>
        <v>93618517.959882185</v>
      </c>
      <c r="B8622">
        <v>163297086.92831391</v>
      </c>
    </row>
    <row r="8623" spans="1:2" x14ac:dyDescent="0.25">
      <c r="A8623">
        <f ca="1">26670.5008501513*((RANDBETWEEN(2979,3282)))</f>
        <v>85158909.214533165</v>
      </c>
      <c r="B8623">
        <v>186992429.68801379</v>
      </c>
    </row>
    <row r="8624" spans="1:2" x14ac:dyDescent="0.25">
      <c r="A8624">
        <f ca="1">25172.736860707*((RANDBETWEEN(2979,3282)))</f>
        <v>77028574.793763563</v>
      </c>
      <c r="B8624">
        <v>147338645.67006999</v>
      </c>
    </row>
    <row r="8625" spans="1:2" x14ac:dyDescent="0.25">
      <c r="A8625">
        <f ca="1">28062.42769502*((RANDBETWEEN(2979,3282)))</f>
        <v>91567701.568850398</v>
      </c>
      <c r="B8625">
        <v>149808003.12970504</v>
      </c>
    </row>
    <row r="8626" spans="1:2" x14ac:dyDescent="0.25">
      <c r="A8626">
        <f ca="1">27383.1319796186*((RANDBETWEEN(2979,3282)))</f>
        <v>86147333.207880199</v>
      </c>
      <c r="B8626">
        <v>165251104.92289829</v>
      </c>
    </row>
    <row r="8627" spans="1:2" x14ac:dyDescent="0.25">
      <c r="A8627">
        <f ca="1">29020.2629472105*((RANDBETWEEN(2979,3282)))</f>
        <v>86625484.897423431</v>
      </c>
      <c r="B8627">
        <v>156768322.32334504</v>
      </c>
    </row>
    <row r="8628" spans="1:2" x14ac:dyDescent="0.25">
      <c r="A8628">
        <f ca="1">26543.6437050117*((RANDBETWEEN(2979,3282)))</f>
        <v>81037744.231400847</v>
      </c>
      <c r="B8628">
        <v>148308534.06339416</v>
      </c>
    </row>
    <row r="8629" spans="1:2" x14ac:dyDescent="0.25">
      <c r="A8629">
        <f ca="1">26784.6554880131*((RANDBETWEEN(2979,3282)))</f>
        <v>87639392.756778851</v>
      </c>
      <c r="B8629">
        <v>151516670.7624366</v>
      </c>
    </row>
    <row r="8630" spans="1:2" x14ac:dyDescent="0.25">
      <c r="A8630">
        <f ca="1">27761.0590344217*((RANDBETWEEN(2979,3282)))</f>
        <v>86892114.777739987</v>
      </c>
      <c r="B8630">
        <v>151125702.03223798</v>
      </c>
    </row>
    <row r="8631" spans="1:2" x14ac:dyDescent="0.25">
      <c r="A8631">
        <f ca="1">27191.7699810009*((RANDBETWEEN(2979,3282)))</f>
        <v>87639074.648765951</v>
      </c>
      <c r="B8631">
        <v>163068348.04066321</v>
      </c>
    </row>
    <row r="8632" spans="1:2" x14ac:dyDescent="0.25">
      <c r="A8632">
        <f ca="1">27629.2311324873*((RANDBETWEEN(2979,3282)))</f>
        <v>89767371.949451163</v>
      </c>
      <c r="B8632">
        <v>156427885.2746872</v>
      </c>
    </row>
    <row r="8633" spans="1:2" x14ac:dyDescent="0.25">
      <c r="A8633">
        <f ca="1">29543.0071856724*((RANDBETWEEN(2979,3282)))</f>
        <v>89663026.808515832</v>
      </c>
      <c r="B8633">
        <v>149254597.86490411</v>
      </c>
    </row>
    <row r="8634" spans="1:2" x14ac:dyDescent="0.25">
      <c r="A8634">
        <f ca="1">29171.4777442766*((RANDBETWEEN(2979,3282)))</f>
        <v>93727957.992360711</v>
      </c>
      <c r="B8634">
        <v>152507144.58454502</v>
      </c>
    </row>
    <row r="8635" spans="1:2" x14ac:dyDescent="0.25">
      <c r="A8635">
        <f ca="1">26648.2212977629*((RANDBETWEEN(2979,3282)))</f>
        <v>80131201.442373112</v>
      </c>
      <c r="B8635">
        <v>170472997.16136956</v>
      </c>
    </row>
    <row r="8636" spans="1:2" x14ac:dyDescent="0.25">
      <c r="A8636">
        <f ca="1">27375.9140354517*((RANDBETWEEN(2979,3282)))</f>
        <v>81717103.39582333</v>
      </c>
      <c r="B8636">
        <v>151304470.8209933</v>
      </c>
    </row>
    <row r="8637" spans="1:2" x14ac:dyDescent="0.25">
      <c r="A8637">
        <f ca="1">26348.0532362549*((RANDBETWEEN(2979,3282)))</f>
        <v>85604824.964592233</v>
      </c>
      <c r="B8637">
        <v>164745886.64214918</v>
      </c>
    </row>
    <row r="8638" spans="1:2" x14ac:dyDescent="0.25">
      <c r="A8638">
        <f ca="1">26451.5953793269*((RANDBETWEEN(2979,3282)))</f>
        <v>78852205.825773537</v>
      </c>
      <c r="B8638">
        <v>150521507.7996752</v>
      </c>
    </row>
    <row r="8639" spans="1:2" x14ac:dyDescent="0.25">
      <c r="A8639">
        <f ca="1">30853.3626545415*((RANDBETWEEN(2979,3282)))</f>
        <v>95861397.767660409</v>
      </c>
      <c r="B8639">
        <v>153848282.15431112</v>
      </c>
    </row>
    <row r="8640" spans="1:2" x14ac:dyDescent="0.25">
      <c r="A8640">
        <f ca="1">33667.1542361732*((RANDBETWEEN(2979,3282)))</f>
        <v>104166175.20671992</v>
      </c>
      <c r="B8640">
        <v>183406463.61383671</v>
      </c>
    </row>
    <row r="8641" spans="1:2" x14ac:dyDescent="0.25">
      <c r="A8641">
        <f ca="1">26885.1993032598*((RANDBETWEEN(2979,3282)))</f>
        <v>85360507.787849888</v>
      </c>
      <c r="B8641">
        <v>143025361.23996946</v>
      </c>
    </row>
    <row r="8642" spans="1:2" x14ac:dyDescent="0.25">
      <c r="A8642">
        <f ca="1">29108.8384142139*((RANDBETWEEN(2979,3282)))</f>
        <v>89888093.023092404</v>
      </c>
      <c r="B8642">
        <v>188392309.53287438</v>
      </c>
    </row>
    <row r="8643" spans="1:2" x14ac:dyDescent="0.25">
      <c r="A8643">
        <f ca="1">27768.1015229429*((RANDBETWEEN(2979,3282)))</f>
        <v>90662851.472408608</v>
      </c>
      <c r="B8643">
        <v>202609602.88670504</v>
      </c>
    </row>
    <row r="8644" spans="1:2" x14ac:dyDescent="0.25">
      <c r="A8644">
        <f ca="1">27300.1754753007*((RANDBETWEEN(2979,3282)))</f>
        <v>84330242.043203756</v>
      </c>
      <c r="B8644">
        <v>159975398.49254099</v>
      </c>
    </row>
    <row r="8645" spans="1:2" x14ac:dyDescent="0.25">
      <c r="A8645">
        <f ca="1">28631.6455804076*((RANDBETWEEN(2979,3282)))</f>
        <v>88843996.236004889</v>
      </c>
      <c r="B8645">
        <v>177757132.93176976</v>
      </c>
    </row>
    <row r="8646" spans="1:2" x14ac:dyDescent="0.25">
      <c r="A8646">
        <f ca="1">31145.1785648029*((RANDBETWEEN(2979,3282)))</f>
        <v>92906067.658807054</v>
      </c>
      <c r="B8646">
        <v>143142568.3119958</v>
      </c>
    </row>
    <row r="8647" spans="1:2" x14ac:dyDescent="0.25">
      <c r="A8647">
        <f ca="1">27189.9146428729*((RANDBETWEEN(2979,3282)))</f>
        <v>83473037.953619838</v>
      </c>
      <c r="B8647">
        <v>190887053.78240797</v>
      </c>
    </row>
    <row r="8648" spans="1:2" x14ac:dyDescent="0.25">
      <c r="A8648">
        <f ca="1">26776.6674514613*((RANDBETWEEN(2979,3282)))</f>
        <v>86301199.196059883</v>
      </c>
      <c r="B8648">
        <v>151452768.92593306</v>
      </c>
    </row>
    <row r="8649" spans="1:2" x14ac:dyDescent="0.25">
      <c r="A8649">
        <f ca="1">27860.0417657927*((RANDBETWEEN(2979,3282)))</f>
        <v>90433695.571763307</v>
      </c>
      <c r="B8649">
        <v>147201526.37953752</v>
      </c>
    </row>
    <row r="8650" spans="1:2" x14ac:dyDescent="0.25">
      <c r="A8650">
        <f ca="1">25917.629225927*((RANDBETWEEN(2979,3282)))</f>
        <v>82521731.455351591</v>
      </c>
      <c r="B8650">
        <v>163184768.99883065</v>
      </c>
    </row>
    <row r="8651" spans="1:2" x14ac:dyDescent="0.25">
      <c r="A8651">
        <f ca="1">30674.6395930763*((RANDBETWEEN(2979,3282)))</f>
        <v>93312253.642138153</v>
      </c>
      <c r="B8651">
        <v>165227108.05683219</v>
      </c>
    </row>
    <row r="8652" spans="1:2" x14ac:dyDescent="0.25">
      <c r="A8652">
        <f ca="1">27846.6005346535*((RANDBETWEEN(2979,3282)))</f>
        <v>84013193.81304954</v>
      </c>
      <c r="B8652">
        <v>200659890.91658998</v>
      </c>
    </row>
    <row r="8653" spans="1:2" x14ac:dyDescent="0.25">
      <c r="A8653">
        <f ca="1">27098.6592800794*((RANDBETWEEN(2979,3282)))</f>
        <v>86336328.466333091</v>
      </c>
      <c r="B8653">
        <v>143092470.7508508</v>
      </c>
    </row>
    <row r="8654" spans="1:2" x14ac:dyDescent="0.25">
      <c r="A8654">
        <f ca="1">29740.8718155579*((RANDBETWEEN(2979,3282)))</f>
        <v>92107480.012782827</v>
      </c>
      <c r="B8654">
        <v>184582333.58930632</v>
      </c>
    </row>
    <row r="8655" spans="1:2" x14ac:dyDescent="0.25">
      <c r="A8655">
        <f ca="1">30983.2509150544*((RANDBETWEEN(2979,3282)))</f>
        <v>101594079.75046352</v>
      </c>
      <c r="B8655">
        <v>184785614.02961454</v>
      </c>
    </row>
    <row r="8656" spans="1:2" x14ac:dyDescent="0.25">
      <c r="A8656">
        <f ca="1">27043.140987858*((RANDBETWEEN(2979,3282)))</f>
        <v>87917251.351526335</v>
      </c>
      <c r="B8656">
        <v>171878305.14617044</v>
      </c>
    </row>
    <row r="8657" spans="1:2" x14ac:dyDescent="0.25">
      <c r="A8657">
        <f ca="1">27784.4870368931*((RANDBETWEEN(2979,3282)))</f>
        <v>90549643.25323467</v>
      </c>
      <c r="B8657">
        <v>167477302.23681149</v>
      </c>
    </row>
    <row r="8658" spans="1:2" x14ac:dyDescent="0.25">
      <c r="A8658">
        <f ca="1">32367.4710184616*((RANDBETWEEN(2979,3282)))</f>
        <v>104773503.68676031</v>
      </c>
      <c r="B8658">
        <v>164839835.19457144</v>
      </c>
    </row>
    <row r="8659" spans="1:2" x14ac:dyDescent="0.25">
      <c r="A8659">
        <f ca="1">26780.0982803696*((RANDBETWEEN(2979,3282)))</f>
        <v>84196628.993482068</v>
      </c>
      <c r="B8659">
        <v>157296157.00748488</v>
      </c>
    </row>
    <row r="8660" spans="1:2" x14ac:dyDescent="0.25">
      <c r="A8660">
        <f ca="1">26456.124901025*((RANDBETWEEN(2979,3282)))</f>
        <v>81696513.694365472</v>
      </c>
      <c r="B8660">
        <v>147953342.57289439</v>
      </c>
    </row>
    <row r="8661" spans="1:2" x14ac:dyDescent="0.25">
      <c r="A8661">
        <f ca="1">27168.9912542493*((RANDBETWEEN(2979,3282)))</f>
        <v>85609491.442139685</v>
      </c>
      <c r="B8661">
        <v>147942046.22523463</v>
      </c>
    </row>
    <row r="8662" spans="1:2" x14ac:dyDescent="0.25">
      <c r="A8662">
        <f ca="1">32575.6938655341*((RANDBETWEEN(2979,3282)))</f>
        <v>99909653.085593075</v>
      </c>
      <c r="B8662">
        <v>180751184.8811025</v>
      </c>
    </row>
    <row r="8663" spans="1:2" x14ac:dyDescent="0.25">
      <c r="A8663">
        <f ca="1">26602.5725892193*((RANDBETWEEN(2979,3282)))</f>
        <v>84276949.962646723</v>
      </c>
      <c r="B8663">
        <v>154884227.99913886</v>
      </c>
    </row>
    <row r="8664" spans="1:2" x14ac:dyDescent="0.25">
      <c r="A8664">
        <f ca="1">28093.3901085787*((RANDBETWEEN(2979,3282)))</f>
        <v>84392543.886170343</v>
      </c>
      <c r="B8664">
        <v>164689725.80754584</v>
      </c>
    </row>
    <row r="8665" spans="1:2" x14ac:dyDescent="0.25">
      <c r="A8665">
        <f ca="1">25994.8353755862*((RANDBETWEEN(2979,3282)))</f>
        <v>80609984.499692813</v>
      </c>
      <c r="B8665">
        <v>155080535.9816598</v>
      </c>
    </row>
    <row r="8666" spans="1:2" x14ac:dyDescent="0.25">
      <c r="A8666">
        <f ca="1">27114.4792902038*((RANDBETWEEN(2979,3282)))</f>
        <v>88284744.568903521</v>
      </c>
      <c r="B8666">
        <v>170222631.24837381</v>
      </c>
    </row>
    <row r="8667" spans="1:2" x14ac:dyDescent="0.25">
      <c r="A8667">
        <f ca="1">28482.8725221714*((RANDBETWEEN(2979,3282)))</f>
        <v>91059743.453381941</v>
      </c>
      <c r="B8667">
        <v>167439815.18713614</v>
      </c>
    </row>
    <row r="8668" spans="1:2" x14ac:dyDescent="0.25">
      <c r="A8668">
        <f ca="1">26306.9564686628*((RANDBETWEEN(2979,3282)))</f>
        <v>85234538.958467439</v>
      </c>
      <c r="B8668">
        <v>151584956.75117895</v>
      </c>
    </row>
    <row r="8669" spans="1:2" x14ac:dyDescent="0.25">
      <c r="A8669">
        <f ca="1">28268.3252826332*((RANDBETWEEN(2979,3282)))</f>
        <v>90939202.434230879</v>
      </c>
      <c r="B8669">
        <v>155682314.28195065</v>
      </c>
    </row>
    <row r="8670" spans="1:2" x14ac:dyDescent="0.25">
      <c r="A8670">
        <f ca="1">27395.1997866695*((RANDBETWEEN(2979,3282)))</f>
        <v>86404460.127155557</v>
      </c>
      <c r="B8670">
        <v>146741566.82389182</v>
      </c>
    </row>
    <row r="8671" spans="1:2" x14ac:dyDescent="0.25">
      <c r="A8671">
        <f ca="1">26392.9668955936*((RANDBETWEEN(2979,3282)))</f>
        <v>85011746.37070699</v>
      </c>
      <c r="B8671">
        <v>158554682.50063822</v>
      </c>
    </row>
    <row r="8672" spans="1:2" x14ac:dyDescent="0.25">
      <c r="A8672">
        <f ca="1">29438.2840457525*((RANDBETWEEN(2979,3282)))</f>
        <v>88167660.717028782</v>
      </c>
      <c r="B8672">
        <v>180900107.31537792</v>
      </c>
    </row>
    <row r="8673" spans="1:2" x14ac:dyDescent="0.25">
      <c r="A8673">
        <f ca="1">26667.0620684462*((RANDBETWEEN(2979,3282)))</f>
        <v>83734574.894921198</v>
      </c>
      <c r="B8673">
        <v>173063283.71856183</v>
      </c>
    </row>
    <row r="8674" spans="1:2" x14ac:dyDescent="0.25">
      <c r="A8674">
        <f ca="1">29409.7663376792*((RANDBETWEEN(2979,3282)))</f>
        <v>88229299.013037607</v>
      </c>
      <c r="B8674">
        <v>163109039.98118091</v>
      </c>
    </row>
    <row r="8675" spans="1:2" x14ac:dyDescent="0.25">
      <c r="A8675">
        <f ca="1">27908.4603710561*((RANDBETWEEN(2979,3282)))</f>
        <v>84199824.939476341</v>
      </c>
      <c r="B8675">
        <v>143473050.97568998</v>
      </c>
    </row>
    <row r="8676" spans="1:2" x14ac:dyDescent="0.25">
      <c r="A8676">
        <f ca="1">29736.5864883148*((RANDBETWEEN(2979,3282)))</f>
        <v>94443398.686887935</v>
      </c>
      <c r="B8676">
        <v>188476192.94297796</v>
      </c>
    </row>
    <row r="8677" spans="1:2" x14ac:dyDescent="0.25">
      <c r="A8677">
        <f ca="1">30342.114951883*((RANDBETWEEN(2979,3282)))</f>
        <v>92543450.603243187</v>
      </c>
      <c r="B8677">
        <v>150272764.92059872</v>
      </c>
    </row>
    <row r="8678" spans="1:2" x14ac:dyDescent="0.25">
      <c r="A8678">
        <f ca="1">26807.5814226215*((RANDBETWEEN(2979,3282)))</f>
        <v>83639654.038579077</v>
      </c>
      <c r="B8678">
        <v>159387919.37710142</v>
      </c>
    </row>
    <row r="8679" spans="1:2" x14ac:dyDescent="0.25">
      <c r="A8679">
        <f ca="1">26953.1824248162*((RANDBETWEEN(2979,3282)))</f>
        <v>84579086.449073389</v>
      </c>
      <c r="B8679">
        <v>182159847.45901746</v>
      </c>
    </row>
    <row r="8680" spans="1:2" x14ac:dyDescent="0.25">
      <c r="A8680">
        <f ca="1">26544.3600359094*((RANDBETWEEN(2979,3282)))</f>
        <v>80110878.588374674</v>
      </c>
      <c r="B8680">
        <v>142901898.26541618</v>
      </c>
    </row>
    <row r="8681" spans="1:2" x14ac:dyDescent="0.25">
      <c r="A8681">
        <f ca="1">29565.8522081382*((RANDBETWEEN(2979,3282)))</f>
        <v>95497702.632286385</v>
      </c>
      <c r="B8681">
        <v>199917724.0396972</v>
      </c>
    </row>
    <row r="8682" spans="1:2" x14ac:dyDescent="0.25">
      <c r="A8682">
        <f ca="1">24918.7149336787*((RANDBETWEEN(2979,3282)))</f>
        <v>80138587.226710856</v>
      </c>
      <c r="B8682">
        <v>153523064.76490501</v>
      </c>
    </row>
    <row r="8683" spans="1:2" x14ac:dyDescent="0.25">
      <c r="A8683">
        <f ca="1">28285.1274237553*((RANDBETWEEN(2979,3282)))</f>
        <v>90003275.46238932</v>
      </c>
      <c r="B8683">
        <v>190704186.27248046</v>
      </c>
    </row>
    <row r="8684" spans="1:2" x14ac:dyDescent="0.25">
      <c r="A8684">
        <f ca="1">33481.4342273538*((RANDBETWEEN(2979,3282)))</f>
        <v>104964296.30275446</v>
      </c>
      <c r="B8684">
        <v>150448891.2262212</v>
      </c>
    </row>
    <row r="8685" spans="1:2" x14ac:dyDescent="0.25">
      <c r="A8685">
        <f ca="1">27172.5064856595*((RANDBETWEEN(2979,3282)))</f>
        <v>84261942.612030163</v>
      </c>
      <c r="B8685">
        <v>177806502.11280167</v>
      </c>
    </row>
    <row r="8686" spans="1:2" x14ac:dyDescent="0.25">
      <c r="A8686">
        <f ca="1">33234.3375906987*((RANDBETWEEN(2979,3282)))</f>
        <v>104256117.02202193</v>
      </c>
      <c r="B8686">
        <v>194089016.23972774</v>
      </c>
    </row>
    <row r="8687" spans="1:2" x14ac:dyDescent="0.25">
      <c r="A8687">
        <f ca="1">26296.1685177514*((RANDBETWEEN(2979,3282)))</f>
        <v>86067359.558600187</v>
      </c>
      <c r="B8687">
        <v>161299479.90143815</v>
      </c>
    </row>
    <row r="8688" spans="1:2" x14ac:dyDescent="0.25">
      <c r="A8688">
        <f ca="1">29482.2898815054*((RANDBETWEEN(2979,3282)))</f>
        <v>91571992.371955708</v>
      </c>
      <c r="B8688">
        <v>153302621.41549286</v>
      </c>
    </row>
    <row r="8689" spans="1:2" x14ac:dyDescent="0.25">
      <c r="A8689">
        <f ca="1">26966.8528935982*((RANDBETWEEN(2979,3282)))</f>
        <v>80684823.857645705</v>
      </c>
      <c r="B8689">
        <v>162884563.59036529</v>
      </c>
    </row>
    <row r="8690" spans="1:2" x14ac:dyDescent="0.25">
      <c r="A8690">
        <f ca="1">27544.9802811711*((RANDBETWEEN(2979,3282)))</f>
        <v>83543925.192791805</v>
      </c>
      <c r="B8690">
        <v>156073331.69951248</v>
      </c>
    </row>
    <row r="8691" spans="1:2" x14ac:dyDescent="0.25">
      <c r="A8691">
        <f ca="1">26790.4809512835*((RANDBETWEEN(2979,3282)))</f>
        <v>83157652.872784048</v>
      </c>
      <c r="B8691">
        <v>145417188.45072007</v>
      </c>
    </row>
    <row r="8692" spans="1:2" x14ac:dyDescent="0.25">
      <c r="A8692">
        <f ca="1">26702.7669506362*((RANDBETWEEN(2979,3282)))</f>
        <v>85982909.581048459</v>
      </c>
      <c r="B8692">
        <v>150125877.49058822</v>
      </c>
    </row>
    <row r="8693" spans="1:2" x14ac:dyDescent="0.25">
      <c r="A8693">
        <f ca="1">28022.8539264778*((RANDBETWEEN(2979,3282)))</f>
        <v>89364881.171537772</v>
      </c>
      <c r="B8693">
        <v>162121750.55304363</v>
      </c>
    </row>
    <row r="8694" spans="1:2" x14ac:dyDescent="0.25">
      <c r="A8694">
        <f ca="1">25411.2170701028*((RANDBETWEEN(2979,3282)))</f>
        <v>77377155.978462934</v>
      </c>
      <c r="B8694">
        <v>148599541.46879321</v>
      </c>
    </row>
    <row r="8695" spans="1:2" x14ac:dyDescent="0.25">
      <c r="A8695">
        <f ca="1">26851.2100766321*((RANDBETWEEN(2979,3282)))</f>
        <v>87024771.858364791</v>
      </c>
      <c r="B8695">
        <v>158591956.49909842</v>
      </c>
    </row>
    <row r="8696" spans="1:2" x14ac:dyDescent="0.25">
      <c r="A8696">
        <f ca="1">26991.3738222639*((RANDBETWEEN(2979,3282)))</f>
        <v>81432974.821770325</v>
      </c>
      <c r="B8696">
        <v>166629499.24486595</v>
      </c>
    </row>
    <row r="8697" spans="1:2" x14ac:dyDescent="0.25">
      <c r="A8697">
        <f ca="1">30141.5905572682*((RANDBETWEEN(2979,3282)))</f>
        <v>90907037.120720774</v>
      </c>
      <c r="B8697">
        <v>143353405.23028314</v>
      </c>
    </row>
    <row r="8698" spans="1:2" x14ac:dyDescent="0.25">
      <c r="A8698">
        <f ca="1">28912.0570380628*((RANDBETWEEN(2979,3282)))</f>
        <v>91911429.324001789</v>
      </c>
      <c r="B8698">
        <v>193557821.15978649</v>
      </c>
    </row>
    <row r="8699" spans="1:2" x14ac:dyDescent="0.25">
      <c r="A8699">
        <f ca="1">26195.0461790135*((RANDBETWEEN(2979,3282)))</f>
        <v>85657801.005374178</v>
      </c>
      <c r="B8699">
        <v>169446459.42465162</v>
      </c>
    </row>
    <row r="8700" spans="1:2" x14ac:dyDescent="0.25">
      <c r="A8700">
        <f ca="1">30384.4724562367*((RANDBETWEEN(2979,3282)))</f>
        <v>93189177.023277834</v>
      </c>
      <c r="B8700">
        <v>172429881.31370786</v>
      </c>
    </row>
    <row r="8701" spans="1:2" x14ac:dyDescent="0.25">
      <c r="A8701">
        <f ca="1">31004.5379702036*((RANDBETWEEN(2979,3282)))</f>
        <v>97757308.22005187</v>
      </c>
      <c r="B8701">
        <v>174238311.49119887</v>
      </c>
    </row>
    <row r="8702" spans="1:2" x14ac:dyDescent="0.25">
      <c r="A8702">
        <f ca="1">27833.3000851475*((RANDBETWEEN(2979,3282)))</f>
        <v>90903558.078091621</v>
      </c>
      <c r="B8702">
        <v>147727857.6646879</v>
      </c>
    </row>
    <row r="8703" spans="1:2" x14ac:dyDescent="0.25">
      <c r="A8703">
        <f ca="1">25567.8804003987*((RANDBETWEEN(2979,3282)))</f>
        <v>80436551.739654392</v>
      </c>
      <c r="B8703">
        <v>147923757.09644312</v>
      </c>
    </row>
    <row r="8704" spans="1:2" x14ac:dyDescent="0.25">
      <c r="A8704">
        <f ca="1">26939.5557079639*((RANDBETWEEN(2979,3282)))</f>
        <v>82623617.356325388</v>
      </c>
      <c r="B8704">
        <v>152681829.0535008</v>
      </c>
    </row>
    <row r="8705" spans="1:2" x14ac:dyDescent="0.25">
      <c r="A8705">
        <f ca="1">31778.3167277168*((RANDBETWEEN(2979,3282)))</f>
        <v>101277495.41123331</v>
      </c>
      <c r="B8705">
        <v>182618932.83322909</v>
      </c>
    </row>
    <row r="8706" spans="1:2" x14ac:dyDescent="0.25">
      <c r="A8706">
        <f ca="1">31553.2332565252*((RANDBETWEEN(2979,3282)))</f>
        <v>98793173.326180413</v>
      </c>
      <c r="B8706">
        <v>162892153.48775208</v>
      </c>
    </row>
    <row r="8707" spans="1:2" x14ac:dyDescent="0.25">
      <c r="A8707">
        <f ca="1">26308.7083863462*((RANDBETWEEN(2979,3282)))</f>
        <v>83872162.335671797</v>
      </c>
      <c r="B8707">
        <v>170362832.91643637</v>
      </c>
    </row>
    <row r="8708" spans="1:2" x14ac:dyDescent="0.25">
      <c r="A8708">
        <f ca="1">28665.139532905*((RANDBETWEEN(2979,3282)))</f>
        <v>86769377.366103485</v>
      </c>
      <c r="B8708">
        <v>155914483.54717717</v>
      </c>
    </row>
    <row r="8709" spans="1:2" x14ac:dyDescent="0.25">
      <c r="A8709">
        <f ca="1">30024.3800529052*((RANDBETWEEN(2979,3282)))</f>
        <v>92084773.622260287</v>
      </c>
      <c r="B8709">
        <v>160795296.50051674</v>
      </c>
    </row>
    <row r="8710" spans="1:2" x14ac:dyDescent="0.25">
      <c r="A8710">
        <f ca="1">31416.2438508192*((RANDBETWEEN(2979,3282)))</f>
        <v>94908472.673324749</v>
      </c>
      <c r="B8710">
        <v>166011592.8418119</v>
      </c>
    </row>
    <row r="8711" spans="1:2" x14ac:dyDescent="0.25">
      <c r="A8711">
        <f ca="1">26379.732453203*((RANDBETWEEN(2979,3282)))</f>
        <v>82858739.635510623</v>
      </c>
      <c r="B8711">
        <v>150637595.79112968</v>
      </c>
    </row>
    <row r="8712" spans="1:2" x14ac:dyDescent="0.25">
      <c r="A8712">
        <f ca="1">25736.1461093604*((RANDBETWEEN(2979,3282)))</f>
        <v>82741709.741593823</v>
      </c>
      <c r="B8712">
        <v>146447333.14730626</v>
      </c>
    </row>
    <row r="8713" spans="1:2" x14ac:dyDescent="0.25">
      <c r="A8713">
        <f ca="1">25499.6483350133*((RANDBETWEEN(2979,3282)))</f>
        <v>76218448.873354673</v>
      </c>
      <c r="B8713">
        <v>183123628.38771322</v>
      </c>
    </row>
    <row r="8714" spans="1:2" x14ac:dyDescent="0.25">
      <c r="A8714">
        <f ca="1">26940.2275548897*((RANDBETWEEN(2979,3282)))</f>
        <v>85669923.62454927</v>
      </c>
      <c r="B8714">
        <v>144137841.84993106</v>
      </c>
    </row>
    <row r="8715" spans="1:2" x14ac:dyDescent="0.25">
      <c r="A8715">
        <f ca="1">27440.8240109189*((RANDBETWEEN(2979,3282)))</f>
        <v>88002722.603017017</v>
      </c>
      <c r="B8715">
        <v>195786494.13247854</v>
      </c>
    </row>
    <row r="8716" spans="1:2" x14ac:dyDescent="0.25">
      <c r="A8716">
        <f ca="1">32130.9555113435*((RANDBETWEEN(2979,3282)))</f>
        <v>102626271.90323123</v>
      </c>
      <c r="B8716">
        <v>199945028.18804574</v>
      </c>
    </row>
    <row r="8717" spans="1:2" x14ac:dyDescent="0.25">
      <c r="A8717">
        <f ca="1">29561.1602190471*((RANDBETWEEN(2979,3282)))</f>
        <v>88653919.496922269</v>
      </c>
      <c r="B8717">
        <v>163330109.71369696</v>
      </c>
    </row>
    <row r="8718" spans="1:2" x14ac:dyDescent="0.25">
      <c r="A8718">
        <f ca="1">32088.1582444532*((RANDBETWEEN(2979,3282)))</f>
        <v>97804706.329093248</v>
      </c>
      <c r="B8718">
        <v>201708343.55047685</v>
      </c>
    </row>
    <row r="8719" spans="1:2" x14ac:dyDescent="0.25">
      <c r="A8719">
        <f ca="1">26615.6424722811*((RANDBETWEEN(2979,3282)))</f>
        <v>84211892.782297447</v>
      </c>
      <c r="B8719">
        <v>172415425.68275046</v>
      </c>
    </row>
    <row r="8720" spans="1:2" x14ac:dyDescent="0.25">
      <c r="A8720">
        <f ca="1">32359.1780119755*((RANDBETWEEN(2979,3282)))</f>
        <v>97918872.664237797</v>
      </c>
      <c r="B8720">
        <v>170007871.67591918</v>
      </c>
    </row>
    <row r="8721" spans="1:2" x14ac:dyDescent="0.25">
      <c r="A8721">
        <f ca="1">25883.0368151827*((RANDBETWEEN(2979,3282)))</f>
        <v>80185648.053435966</v>
      </c>
      <c r="B8721">
        <v>150704062.19297573</v>
      </c>
    </row>
    <row r="8722" spans="1:2" x14ac:dyDescent="0.25">
      <c r="A8722">
        <f ca="1">25636.9672979365*((RANDBETWEEN(2979,3282)))</f>
        <v>81987021.41880095</v>
      </c>
      <c r="B8722">
        <v>175394017.12689593</v>
      </c>
    </row>
    <row r="8723" spans="1:2" x14ac:dyDescent="0.25">
      <c r="A8723">
        <f ca="1">26504.1734228844*((RANDBETWEEN(2979,3282)))</f>
        <v>84786850.779807121</v>
      </c>
      <c r="B8723">
        <v>165127231.36196083</v>
      </c>
    </row>
    <row r="8724" spans="1:2" x14ac:dyDescent="0.25">
      <c r="A8724">
        <f ca="1">28618.4912069641*((RANDBETWEEN(2979,3282)))</f>
        <v>86742646.848308325</v>
      </c>
      <c r="B8724">
        <v>193829114.10662687</v>
      </c>
    </row>
    <row r="8725" spans="1:2" x14ac:dyDescent="0.25">
      <c r="A8725">
        <f ca="1">25570.5495625235*((RANDBETWEEN(2979,3282)))</f>
        <v>81186494.86101225</v>
      </c>
      <c r="B8725">
        <v>169796763.44973186</v>
      </c>
    </row>
    <row r="8726" spans="1:2" x14ac:dyDescent="0.25">
      <c r="A8726">
        <f ca="1">27268.704816831*((RANDBETWEEN(2979,3282)))</f>
        <v>89386814.389572144</v>
      </c>
      <c r="B8726">
        <v>170240486.65901142</v>
      </c>
    </row>
    <row r="8727" spans="1:2" x14ac:dyDescent="0.25">
      <c r="A8727">
        <f ca="1">28005.937871016*((RANDBETWEEN(2979,3282)))</f>
        <v>91551410.900351256</v>
      </c>
      <c r="B8727">
        <v>149636420.55380121</v>
      </c>
    </row>
    <row r="8728" spans="1:2" x14ac:dyDescent="0.25">
      <c r="A8728">
        <f ca="1">26832.9289235454*((RANDBETWEEN(2979,3282)))</f>
        <v>84818888.327326968</v>
      </c>
      <c r="B8728">
        <v>147780208.92606863</v>
      </c>
    </row>
    <row r="8729" spans="1:2" x14ac:dyDescent="0.25">
      <c r="A8729">
        <f ca="1">27367.2319462691*((RANDBETWEEN(2979,3282)))</f>
        <v>82484837.086054936</v>
      </c>
      <c r="B8729">
        <v>146029182.8627122</v>
      </c>
    </row>
    <row r="8730" spans="1:2" x14ac:dyDescent="0.25">
      <c r="A8730">
        <f ca="1">26945.5758528697*((RANDBETWEEN(2979,3282)))</f>
        <v>84555217.026305169</v>
      </c>
      <c r="B8730">
        <v>151723786.24408484</v>
      </c>
    </row>
    <row r="8731" spans="1:2" x14ac:dyDescent="0.25">
      <c r="A8731">
        <f ca="1">32785.9922659812*((RANDBETWEEN(2979,3282)))</f>
        <v>98948124.658731148</v>
      </c>
      <c r="B8731">
        <v>169664163.12847057</v>
      </c>
    </row>
    <row r="8732" spans="1:2" x14ac:dyDescent="0.25">
      <c r="A8732">
        <f ca="1">29810.2677986679*((RANDBETWEEN(2979,3282)))</f>
        <v>89192321.253614277</v>
      </c>
      <c r="B8732">
        <v>163216163.7232191</v>
      </c>
    </row>
    <row r="8733" spans="1:2" x14ac:dyDescent="0.25">
      <c r="A8733">
        <f ca="1">28929.4113622089*((RANDBETWEEN(2979,3282)))</f>
        <v>88408281.1229105</v>
      </c>
      <c r="B8733">
        <v>165639076.10936919</v>
      </c>
    </row>
    <row r="8734" spans="1:2" x14ac:dyDescent="0.25">
      <c r="A8734">
        <f ca="1">28273.0881635137*((RANDBETWEEN(2979,3282)))</f>
        <v>92226813.58938168</v>
      </c>
      <c r="B8734">
        <v>193569959.30159843</v>
      </c>
    </row>
    <row r="8735" spans="1:2" x14ac:dyDescent="0.25">
      <c r="A8735">
        <f ca="1">25114.0611235508*((RANDBETWEEN(2979,3282)))</f>
        <v>81017961.184574783</v>
      </c>
      <c r="B8735">
        <v>174250584.50214446</v>
      </c>
    </row>
    <row r="8736" spans="1:2" x14ac:dyDescent="0.25">
      <c r="A8736">
        <f ca="1">32989.5750617023*((RANDBETWEEN(2979,3282)))</f>
        <v>106556327.44929837</v>
      </c>
      <c r="B8736">
        <v>186317770.81089073</v>
      </c>
    </row>
    <row r="8737" spans="1:2" x14ac:dyDescent="0.25">
      <c r="A8737">
        <f ca="1">25789.9858085884*((RANDBETWEEN(2979,3282)))</f>
        <v>81522145.140948087</v>
      </c>
      <c r="B8737">
        <v>163056568.13955933</v>
      </c>
    </row>
    <row r="8738" spans="1:2" x14ac:dyDescent="0.25">
      <c r="A8738">
        <f ca="1">27784.7037464638*((RANDBETWEEN(2979,3282)))</f>
        <v>89411176.656120434</v>
      </c>
      <c r="B8738">
        <v>173760321.10222843</v>
      </c>
    </row>
    <row r="8739" spans="1:2" x14ac:dyDescent="0.25">
      <c r="A8739">
        <f ca="1">30545.954189212*((RANDBETWEEN(2979,3282)))</f>
        <v>94234268.673719049</v>
      </c>
      <c r="B8739">
        <v>160742872.90923056</v>
      </c>
    </row>
    <row r="8740" spans="1:2" x14ac:dyDescent="0.25">
      <c r="A8740">
        <f ca="1">28804.4886274893*((RANDBETWEEN(2979,3282)))</f>
        <v>90244462.869923845</v>
      </c>
      <c r="B8740">
        <v>193277027.6096718</v>
      </c>
    </row>
    <row r="8741" spans="1:2" x14ac:dyDescent="0.25">
      <c r="A8741">
        <f ca="1">25802.6778632517*((RANDBETWEEN(2979,3282)))</f>
        <v>77511244.301208168</v>
      </c>
      <c r="B8741">
        <v>165607328.06418452</v>
      </c>
    </row>
    <row r="8742" spans="1:2" x14ac:dyDescent="0.25">
      <c r="A8742">
        <f ca="1">30767.2168491164*((RANDBETWEEN(2979,3282)))</f>
        <v>97347474.110604152</v>
      </c>
      <c r="B8742">
        <v>180050869.03466606</v>
      </c>
    </row>
    <row r="8743" spans="1:2" x14ac:dyDescent="0.25">
      <c r="A8743">
        <f ca="1">29213.1056731932*((RANDBETWEEN(2979,3282)))</f>
        <v>93920134.739316121</v>
      </c>
      <c r="B8743">
        <v>180412131.64344281</v>
      </c>
    </row>
    <row r="8744" spans="1:2" x14ac:dyDescent="0.25">
      <c r="A8744">
        <f ca="1">34010.8998313831*((RANDBETWEEN(2979,3282)))</f>
        <v>109004933.95958285</v>
      </c>
      <c r="B8744">
        <v>174070415.35765767</v>
      </c>
    </row>
    <row r="8745" spans="1:2" x14ac:dyDescent="0.25">
      <c r="A8745">
        <f ca="1">25779.8082932884*((RANDBETWEEN(2979,3282)))</f>
        <v>81721992.28972435</v>
      </c>
      <c r="B8745">
        <v>172762159.63851091</v>
      </c>
    </row>
    <row r="8746" spans="1:2" x14ac:dyDescent="0.25">
      <c r="A8746">
        <f ca="1">26622.7700816044*((RANDBETWEEN(2979,3282)))</f>
        <v>82503964.482892171</v>
      </c>
      <c r="B8746">
        <v>146775370.20268863</v>
      </c>
    </row>
    <row r="8747" spans="1:2" x14ac:dyDescent="0.25">
      <c r="A8747">
        <f ca="1">28939.610128786*((RANDBETWEEN(2979,3282)))</f>
        <v>93040846.564046845</v>
      </c>
      <c r="B8747">
        <v>190981782.68793252</v>
      </c>
    </row>
    <row r="8748" spans="1:2" x14ac:dyDescent="0.25">
      <c r="A8748">
        <f ca="1">25561.1516626597*((RANDBETWEEN(2979,3282)))</f>
        <v>81923491.078824371</v>
      </c>
      <c r="B8748">
        <v>163992790.48749307</v>
      </c>
    </row>
    <row r="8749" spans="1:2" x14ac:dyDescent="0.25">
      <c r="A8749">
        <f ca="1">28349.7315324777*((RANDBETWEEN(2979,3282)))</f>
        <v>86891927.147044018</v>
      </c>
      <c r="B8749">
        <v>201071500.81043583</v>
      </c>
    </row>
    <row r="8750" spans="1:2" x14ac:dyDescent="0.25">
      <c r="A8750">
        <f ca="1">28205.2349929274*((RANDBETWEEN(2979,3282)))</f>
        <v>88056743.647919327</v>
      </c>
      <c r="B8750">
        <v>160700901.09894162</v>
      </c>
    </row>
    <row r="8751" spans="1:2" x14ac:dyDescent="0.25">
      <c r="A8751">
        <f ca="1">26443.8239558617*((RANDBETWEEN(2979,3282)))</f>
        <v>78802595.388467804</v>
      </c>
      <c r="B8751">
        <v>168490054.99125406</v>
      </c>
    </row>
    <row r="8752" spans="1:2" x14ac:dyDescent="0.25">
      <c r="A8752">
        <f ca="1">26843.9062980287*((RANDBETWEEN(2979,3282)))</f>
        <v>82383948.428650215</v>
      </c>
      <c r="B8752">
        <v>184687801.63210091</v>
      </c>
    </row>
    <row r="8753" spans="1:2" x14ac:dyDescent="0.25">
      <c r="A8753">
        <f ca="1">28582.7146170372*((RANDBETWEEN(2979,3282)))</f>
        <v>88863659.744368672</v>
      </c>
      <c r="B8753">
        <v>181040667.8160255</v>
      </c>
    </row>
    <row r="8754" spans="1:2" x14ac:dyDescent="0.25">
      <c r="A8754">
        <f ca="1">30913.949090544*((RANDBETWEEN(2979,3282)))</f>
        <v>96853402.500674322</v>
      </c>
      <c r="B8754">
        <v>153379425.80730158</v>
      </c>
    </row>
    <row r="8755" spans="1:2" x14ac:dyDescent="0.25">
      <c r="A8755">
        <f ca="1">28090.1244456556*((RANDBETWEEN(2979,3282)))</f>
        <v>91658076.066174209</v>
      </c>
      <c r="B8755">
        <v>180819754.47354949</v>
      </c>
    </row>
    <row r="8756" spans="1:2" x14ac:dyDescent="0.25">
      <c r="A8756">
        <f ca="1">30374.4325549105*((RANDBETWEEN(2979,3282)))</f>
        <v>99263645.589447424</v>
      </c>
      <c r="B8756">
        <v>177508112.0688583</v>
      </c>
    </row>
    <row r="8757" spans="1:2" x14ac:dyDescent="0.25">
      <c r="A8757">
        <f ca="1">27653.8446710681*((RANDBETWEEN(2979,3282)))</f>
        <v>88215764.500707313</v>
      </c>
      <c r="B8757">
        <v>167637578.687154</v>
      </c>
    </row>
    <row r="8758" spans="1:2" x14ac:dyDescent="0.25">
      <c r="A8758">
        <f ca="1">24956.5529124184*((RANDBETWEEN(2979,3282)))</f>
        <v>75094267.713466957</v>
      </c>
      <c r="B8758">
        <v>163879092.78976566</v>
      </c>
    </row>
    <row r="8759" spans="1:2" x14ac:dyDescent="0.25">
      <c r="A8759">
        <f ca="1">27430.992575551*((RANDBETWEEN(2979,3282)))</f>
        <v>83966268.273761705</v>
      </c>
      <c r="B8759">
        <v>170568023.70281088</v>
      </c>
    </row>
    <row r="8760" spans="1:2" x14ac:dyDescent="0.25">
      <c r="A8760">
        <f ca="1">27795.1459624175*((RANDBETWEEN(2979,3282)))</f>
        <v>83857955.368613511</v>
      </c>
      <c r="B8760">
        <v>161016863.48716182</v>
      </c>
    </row>
    <row r="8761" spans="1:2" x14ac:dyDescent="0.25">
      <c r="A8761">
        <f ca="1">29434.751774783*((RANDBETWEEN(2979,3282)))</f>
        <v>89775992.913088113</v>
      </c>
      <c r="B8761">
        <v>159610609.16200262</v>
      </c>
    </row>
    <row r="8762" spans="1:2" x14ac:dyDescent="0.25">
      <c r="A8762">
        <f ca="1">27142.8471350066*((RANDBETWEEN(2979,3282)))</f>
        <v>88187110.341636345</v>
      </c>
      <c r="B8762">
        <v>186196004.08302236</v>
      </c>
    </row>
    <row r="8763" spans="1:2" x14ac:dyDescent="0.25">
      <c r="A8763">
        <f ca="1">29506.9868309652*((RANDBETWEEN(2979,3282)))</f>
        <v>91206096.294513479</v>
      </c>
      <c r="B8763">
        <v>173061869.74763927</v>
      </c>
    </row>
    <row r="8764" spans="1:2" x14ac:dyDescent="0.25">
      <c r="A8764">
        <f ca="1">29049.1542254685*((RANDBETWEEN(2979,3282)))</f>
        <v>86595528.74612169</v>
      </c>
      <c r="B8764">
        <v>161974250.47807738</v>
      </c>
    </row>
    <row r="8765" spans="1:2" x14ac:dyDescent="0.25">
      <c r="A8765">
        <f ca="1">28371.6804105608*((RANDBETWEEN(2979,3282)))</f>
        <v>86221536.76769425</v>
      </c>
      <c r="B8765">
        <v>189183873.13288292</v>
      </c>
    </row>
    <row r="8766" spans="1:2" x14ac:dyDescent="0.25">
      <c r="A8766">
        <f ca="1">26061.5536479556*((RANDBETWEEN(2979,3282)))</f>
        <v>78966507.553305373</v>
      </c>
      <c r="B8766">
        <v>148139759.91983292</v>
      </c>
    </row>
    <row r="8767" spans="1:2" x14ac:dyDescent="0.25">
      <c r="A8767">
        <f ca="1">28290.2842945339*((RANDBETWEEN(2979,3282)))</f>
        <v>91236166.84987171</v>
      </c>
      <c r="B8767">
        <v>158386056.16623577</v>
      </c>
    </row>
    <row r="8768" spans="1:2" x14ac:dyDescent="0.25">
      <c r="A8768">
        <f ca="1">28511.6316280027*((RANDBETWEEN(2979,3282)))</f>
        <v>86048104.253312111</v>
      </c>
      <c r="B8768">
        <v>165671384.74559185</v>
      </c>
    </row>
    <row r="8769" spans="1:2" x14ac:dyDescent="0.25">
      <c r="A8769">
        <f ca="1">28161.1438380443*((RANDBETWEEN(2979,3282)))</f>
        <v>90115660.281741694</v>
      </c>
      <c r="B8769">
        <v>144415390.38571927</v>
      </c>
    </row>
    <row r="8770" spans="1:2" x14ac:dyDescent="0.25">
      <c r="A8770">
        <f ca="1">26963.9988564492*((RANDBETWEEN(2979,3282)))</f>
        <v>83076080.476719916</v>
      </c>
      <c r="B8770">
        <v>150508054.93008447</v>
      </c>
    </row>
    <row r="8771" spans="1:2" x14ac:dyDescent="0.25">
      <c r="A8771">
        <f ca="1">28573.1538912673*((RANDBETWEEN(2979,3282)))</f>
        <v>88719642.832385093</v>
      </c>
      <c r="B8771">
        <v>197355394.3767029</v>
      </c>
    </row>
    <row r="8772" spans="1:2" x14ac:dyDescent="0.25">
      <c r="A8772">
        <f ca="1">29471.8104131529*((RANDBETWEEN(2979,3282)))</f>
        <v>90419514.347553179</v>
      </c>
      <c r="B8772">
        <v>179259063.90585667</v>
      </c>
    </row>
    <row r="8773" spans="1:2" x14ac:dyDescent="0.25">
      <c r="A8773">
        <f ca="1">27314.3833386467*((RANDBETWEEN(2979,3282)))</f>
        <v>82052407.549294651</v>
      </c>
      <c r="B8773">
        <v>160334254.1366896</v>
      </c>
    </row>
    <row r="8774" spans="1:2" x14ac:dyDescent="0.25">
      <c r="A8774">
        <f ca="1">27748.5407528112*((RANDBETWEEN(2979,3282)))</f>
        <v>86270213.200490102</v>
      </c>
      <c r="B8774">
        <v>159418707.25962654</v>
      </c>
    </row>
    <row r="8775" spans="1:2" x14ac:dyDescent="0.25">
      <c r="A8775">
        <f ca="1">26923.3711669747*((RANDBETWEEN(2979,3282)))</f>
        <v>85024006.145306095</v>
      </c>
      <c r="B8775">
        <v>188211563.00805321</v>
      </c>
    </row>
    <row r="8776" spans="1:2" x14ac:dyDescent="0.25">
      <c r="A8776">
        <f ca="1">26663.6564585888*((RANDBETWEEN(2979,3282)))</f>
        <v>80150951.314518049</v>
      </c>
      <c r="B8776">
        <v>162818904.73215902</v>
      </c>
    </row>
    <row r="8777" spans="1:2" x14ac:dyDescent="0.25">
      <c r="A8777">
        <f ca="1">27254.6066815564*((RANDBETWEEN(2979,3282)))</f>
        <v>89122563.848689497</v>
      </c>
      <c r="B8777">
        <v>145493731.3575151</v>
      </c>
    </row>
    <row r="8778" spans="1:2" x14ac:dyDescent="0.25">
      <c r="A8778">
        <f ca="1">27780.0217692933*((RANDBETWEEN(2979,3282)))</f>
        <v>87534848.595043182</v>
      </c>
      <c r="B8778">
        <v>164137209.70036352</v>
      </c>
    </row>
    <row r="8779" spans="1:2" x14ac:dyDescent="0.25">
      <c r="A8779">
        <f ca="1">29932.1746621756*((RANDBETWEEN(2979,3282)))</f>
        <v>93777503.216596067</v>
      </c>
      <c r="B8779">
        <v>162428778.01235622</v>
      </c>
    </row>
    <row r="8780" spans="1:2" x14ac:dyDescent="0.25">
      <c r="A8780">
        <f ca="1">25661.6437191196*((RANDBETWEEN(2979,3282)))</f>
        <v>80295283.19712536</v>
      </c>
      <c r="B8780">
        <v>175944401.41316822</v>
      </c>
    </row>
    <row r="8781" spans="1:2" x14ac:dyDescent="0.25">
      <c r="A8781">
        <f ca="1">26739.4462309549*((RANDBETWEEN(2979,3282)))</f>
        <v>84710565.659665167</v>
      </c>
      <c r="B8781">
        <v>156643729.08693403</v>
      </c>
    </row>
    <row r="8782" spans="1:2" x14ac:dyDescent="0.25">
      <c r="A8782">
        <f ca="1">29250.5786839654*((RANDBETWEEN(2979,3282)))</f>
        <v>91232554.915287971</v>
      </c>
      <c r="B8782">
        <v>155370275.5564819</v>
      </c>
    </row>
    <row r="8783" spans="1:2" x14ac:dyDescent="0.25">
      <c r="A8783">
        <f ca="1">25046.8853821132*((RANDBETWEEN(2979,3282)))</f>
        <v>79498814.20282729</v>
      </c>
      <c r="B8783">
        <v>148458417.90495443</v>
      </c>
    </row>
    <row r="8784" spans="1:2" x14ac:dyDescent="0.25">
      <c r="A8784">
        <f ca="1">26195.4895622843*((RANDBETWEEN(2979,3282)))</f>
        <v>85711641.847794369</v>
      </c>
      <c r="B8784">
        <v>171886409.9087919</v>
      </c>
    </row>
    <row r="8785" spans="1:2" x14ac:dyDescent="0.25">
      <c r="A8785">
        <f ca="1">31415.3613506653*((RANDBETWEEN(2979,3282)))</f>
        <v>102571154.80992228</v>
      </c>
      <c r="B8785">
        <v>198715756.82231581</v>
      </c>
    </row>
    <row r="8786" spans="1:2" x14ac:dyDescent="0.25">
      <c r="A8786">
        <f ca="1">27639.3646499194*((RANDBETWEEN(2979,3282)))</f>
        <v>83222126.960907385</v>
      </c>
      <c r="B8786">
        <v>190612807.7726613</v>
      </c>
    </row>
    <row r="8787" spans="1:2" x14ac:dyDescent="0.25">
      <c r="A8787">
        <f ca="1">30753.8669169997*((RANDBETWEEN(2979,3282)))</f>
        <v>97981819.997561097</v>
      </c>
      <c r="B8787">
        <v>144418661.71678758</v>
      </c>
    </row>
    <row r="8788" spans="1:2" x14ac:dyDescent="0.25">
      <c r="A8788">
        <f ca="1">32768.5140831142*((RANDBETWEEN(2979,3282)))</f>
        <v>106890892.93911856</v>
      </c>
      <c r="B8788">
        <v>176143519.42052364</v>
      </c>
    </row>
    <row r="8789" spans="1:2" x14ac:dyDescent="0.25">
      <c r="A8789">
        <f ca="1">26736.0383851194*((RANDBETWEEN(2979,3282)))</f>
        <v>81170612.537222445</v>
      </c>
      <c r="B8789">
        <v>154419585.55396926</v>
      </c>
    </row>
    <row r="8790" spans="1:2" x14ac:dyDescent="0.25">
      <c r="A8790">
        <f ca="1">30536.7534864806*((RANDBETWEEN(2979,3282)))</f>
        <v>97045802.580035374</v>
      </c>
      <c r="B8790">
        <v>187479040.35505068</v>
      </c>
    </row>
    <row r="8791" spans="1:2" x14ac:dyDescent="0.25">
      <c r="A8791">
        <f ca="1">28164.6757957825*((RANDBETWEEN(2979,3282)))</f>
        <v>90746585.414011151</v>
      </c>
      <c r="B8791">
        <v>147780085.56570429</v>
      </c>
    </row>
    <row r="8792" spans="1:2" x14ac:dyDescent="0.25">
      <c r="A8792">
        <f ca="1">27349.9624815575*((RANDBETWEEN(2979,3282)))</f>
        <v>85632732.529756501</v>
      </c>
      <c r="B8792">
        <v>200152021.60557544</v>
      </c>
    </row>
    <row r="8793" spans="1:2" x14ac:dyDescent="0.25">
      <c r="A8793">
        <f ca="1">26193.89814958*((RANDBETWEEN(2979,3282)))</f>
        <v>84580097.124993876</v>
      </c>
      <c r="B8793">
        <v>159812389.60115215</v>
      </c>
    </row>
    <row r="8794" spans="1:2" x14ac:dyDescent="0.25">
      <c r="A8794">
        <f ca="1">27068.8330404136*((RANDBETWEEN(2979,3282)))</f>
        <v>85375099.409464538</v>
      </c>
      <c r="B8794">
        <v>199993314.17230427</v>
      </c>
    </row>
    <row r="8795" spans="1:2" x14ac:dyDescent="0.25">
      <c r="A8795">
        <f ca="1">27951.1596519442*((RANDBETWEEN(2979,3282)))</f>
        <v>87906397.105364591</v>
      </c>
      <c r="B8795">
        <v>145624168.61942178</v>
      </c>
    </row>
    <row r="8796" spans="1:2" x14ac:dyDescent="0.25">
      <c r="A8796">
        <f ca="1">25233.937336347*((RANDBETWEEN(2979,3282)))</f>
        <v>81530851.533737093</v>
      </c>
      <c r="B8796">
        <v>165696323.58038339</v>
      </c>
    </row>
    <row r="8797" spans="1:2" x14ac:dyDescent="0.25">
      <c r="A8797">
        <f ca="1">29130.0939382862*((RANDBETWEEN(2979,3282)))</f>
        <v>92196747.314675719</v>
      </c>
      <c r="B8797">
        <v>189366228.45650214</v>
      </c>
    </row>
    <row r="8798" spans="1:2" x14ac:dyDescent="0.25">
      <c r="A8798">
        <f ca="1">31433.5985730966*((RANDBETWEEN(2979,3282)))</f>
        <v>94049326.930704996</v>
      </c>
      <c r="B8798">
        <v>190329273.08891559</v>
      </c>
    </row>
    <row r="8799" spans="1:2" x14ac:dyDescent="0.25">
      <c r="A8799">
        <f ca="1">25540.3727936033*((RANDBETWEEN(2979,3282)))</f>
        <v>79430559.388106346</v>
      </c>
      <c r="B8799">
        <v>162465534.89357132</v>
      </c>
    </row>
    <row r="8800" spans="1:2" x14ac:dyDescent="0.25">
      <c r="A8800">
        <f ca="1">28545.5284494179*((RANDBETWEEN(2979,3282)))</f>
        <v>92344784.533867046</v>
      </c>
      <c r="B8800">
        <v>178736516.46175042</v>
      </c>
    </row>
    <row r="8801" spans="1:2" x14ac:dyDescent="0.25">
      <c r="A8801">
        <f ca="1">30609.6532746037*((RANDBETWEEN(2979,3282)))</f>
        <v>99848688.981757417</v>
      </c>
      <c r="B8801">
        <v>176795748.10445392</v>
      </c>
    </row>
    <row r="8802" spans="1:2" x14ac:dyDescent="0.25">
      <c r="A8802">
        <f ca="1">27088.3205367215*((RANDBETWEEN(2979,3282)))</f>
        <v>86574272.435361937</v>
      </c>
      <c r="B8802">
        <v>146679111.28388739</v>
      </c>
    </row>
    <row r="8803" spans="1:2" x14ac:dyDescent="0.25">
      <c r="A8803">
        <f ca="1">26418.5560904256*((RANDBETWEEN(2979,3282)))</f>
        <v>83007103.236117348</v>
      </c>
      <c r="B8803">
        <v>150600781.61983666</v>
      </c>
    </row>
    <row r="8804" spans="1:2" x14ac:dyDescent="0.25">
      <c r="A8804">
        <f ca="1">27956.2613451284*((RANDBETWEEN(2979,3282)))</f>
        <v>87027841.56738472</v>
      </c>
      <c r="B8804">
        <v>160737058.5514929</v>
      </c>
    </row>
    <row r="8805" spans="1:2" x14ac:dyDescent="0.25">
      <c r="A8805">
        <f ca="1">33003.565363174*((RANDBETWEEN(2979,3282)))</f>
        <v>107063566.03813654</v>
      </c>
      <c r="B8805">
        <v>175014667.39638114</v>
      </c>
    </row>
    <row r="8806" spans="1:2" x14ac:dyDescent="0.25">
      <c r="A8806">
        <f ca="1">29109.7080553429*((RANDBETWEEN(2979,3282)))</f>
        <v>95246964.757081926</v>
      </c>
      <c r="B8806">
        <v>158701698.87790322</v>
      </c>
    </row>
    <row r="8807" spans="1:2" x14ac:dyDescent="0.25">
      <c r="A8807">
        <f ca="1">26997.1953333056*((RANDBETWEEN(2979,3282)))</f>
        <v>85797086.769245282</v>
      </c>
      <c r="B8807">
        <v>169677233.1579662</v>
      </c>
    </row>
    <row r="8808" spans="1:2" x14ac:dyDescent="0.25">
      <c r="A8808">
        <f ca="1">29901.6651200753*((RANDBETWEEN(2979,3282)))</f>
        <v>91409390.272070333</v>
      </c>
      <c r="B8808">
        <v>173051942.31792921</v>
      </c>
    </row>
    <row r="8809" spans="1:2" x14ac:dyDescent="0.25">
      <c r="A8809">
        <f ca="1">31402.4066975862*((RANDBETWEEN(2979,3282)))</f>
        <v>98132520.929957002</v>
      </c>
      <c r="B8809">
        <v>181152619.7331281</v>
      </c>
    </row>
    <row r="8810" spans="1:2" x14ac:dyDescent="0.25">
      <c r="A8810">
        <f ca="1">27948.9725395226*((RANDBETWEEN(2979,3282)))</f>
        <v>87508233.021245167</v>
      </c>
      <c r="B8810">
        <v>167282598.63976172</v>
      </c>
    </row>
    <row r="8811" spans="1:2" x14ac:dyDescent="0.25">
      <c r="A8811">
        <f ca="1">26825.4008199154*((RANDBETWEEN(2979,3282)))</f>
        <v>86967949.458165795</v>
      </c>
      <c r="B8811">
        <v>142989695.57056233</v>
      </c>
    </row>
    <row r="8812" spans="1:2" x14ac:dyDescent="0.25">
      <c r="A8812">
        <f ca="1">27107.0562549998*((RANDBETWEEN(2979,3282)))</f>
        <v>82269915.733924389</v>
      </c>
      <c r="B8812">
        <v>179959978.78282702</v>
      </c>
    </row>
    <row r="8813" spans="1:2" x14ac:dyDescent="0.25">
      <c r="A8813">
        <f ca="1">28534.4221883409*((RANDBETWEEN(2979,3282)))</f>
        <v>88884725.116681978</v>
      </c>
      <c r="B8813">
        <v>163122884.26403719</v>
      </c>
    </row>
    <row r="8814" spans="1:2" x14ac:dyDescent="0.25">
      <c r="A8814">
        <f ca="1">26714.7913619006*((RANDBETWEEN(2979,3282)))</f>
        <v>83750870.919558361</v>
      </c>
      <c r="B8814">
        <v>164843232.52975535</v>
      </c>
    </row>
    <row r="8815" spans="1:2" x14ac:dyDescent="0.25">
      <c r="A8815">
        <f ca="1">25888.470544644*((RANDBETWEEN(2979,3282)))</f>
        <v>78467954.220815912</v>
      </c>
      <c r="B8815">
        <v>147049697.5481028</v>
      </c>
    </row>
    <row r="8816" spans="1:2" x14ac:dyDescent="0.25">
      <c r="A8816">
        <f ca="1">30743.402179879*((RANDBETWEEN(2979,3282)))</f>
        <v>96103875.21430178</v>
      </c>
      <c r="B8816">
        <v>170464846.44702226</v>
      </c>
    </row>
    <row r="8817" spans="1:2" x14ac:dyDescent="0.25">
      <c r="A8817">
        <f ca="1">29730.1730798893*((RANDBETWEEN(2979,3282)))</f>
        <v>89636471.835866213</v>
      </c>
      <c r="B8817">
        <v>164319443.2238301</v>
      </c>
    </row>
    <row r="8818" spans="1:2" x14ac:dyDescent="0.25">
      <c r="A8818">
        <f ca="1">25207.8346156135*((RANDBETWEEN(2979,3282)))</f>
        <v>79203016.362257645</v>
      </c>
      <c r="B8818">
        <v>181437278.6112422</v>
      </c>
    </row>
    <row r="8819" spans="1:2" x14ac:dyDescent="0.25">
      <c r="A8819">
        <f ca="1">30439.3992787849*((RANDBETWEEN(2979,3282)))</f>
        <v>91044243.242845699</v>
      </c>
      <c r="B8819">
        <v>159881390.997675</v>
      </c>
    </row>
    <row r="8820" spans="1:2" x14ac:dyDescent="0.25">
      <c r="A8820">
        <f ca="1">28951.134456791*((RANDBETWEEN(2979,3282)))</f>
        <v>86448087.487977937</v>
      </c>
      <c r="B8820">
        <v>155132902.92071006</v>
      </c>
    </row>
    <row r="8821" spans="1:2" x14ac:dyDescent="0.25">
      <c r="A8821">
        <f ca="1">29048.5485153654*((RANDBETWEEN(2979,3282)))</f>
        <v>87465179.579765141</v>
      </c>
      <c r="B8821">
        <v>203078797.69295323</v>
      </c>
    </row>
    <row r="8822" spans="1:2" x14ac:dyDescent="0.25">
      <c r="A8822">
        <f ca="1">29137.3037011122*((RANDBETWEEN(2979,3282)))</f>
        <v>90704426.421562329</v>
      </c>
      <c r="B8822">
        <v>169618197.63263041</v>
      </c>
    </row>
    <row r="8823" spans="1:2" x14ac:dyDescent="0.25">
      <c r="A8823">
        <f ca="1">25917.1010242071*((RANDBETWEEN(2979,3282)))</f>
        <v>78321479.295153886</v>
      </c>
      <c r="B8823">
        <v>150477339.73940459</v>
      </c>
    </row>
    <row r="8824" spans="1:2" x14ac:dyDescent="0.25">
      <c r="A8824">
        <f ca="1">27268.3731440204*((RANDBETWEEN(2979,3282)))</f>
        <v>87476941.046017587</v>
      </c>
      <c r="B8824">
        <v>197058633.16393727</v>
      </c>
    </row>
    <row r="8825" spans="1:2" x14ac:dyDescent="0.25">
      <c r="A8825">
        <f ca="1">29232.4034233199*((RANDBETWEEN(2979,3282)))</f>
        <v>95940748.035336018</v>
      </c>
      <c r="B8825">
        <v>168661422.77588046</v>
      </c>
    </row>
    <row r="8826" spans="1:2" x14ac:dyDescent="0.25">
      <c r="A8826">
        <f ca="1">29753.8076568908*((RANDBETWEEN(2979,3282)))</f>
        <v>94438585.50297147</v>
      </c>
      <c r="B8826">
        <v>182039120.69981569</v>
      </c>
    </row>
    <row r="8827" spans="1:2" x14ac:dyDescent="0.25">
      <c r="A8827">
        <f ca="1">29017.4825955916*((RANDBETWEEN(2979,3282)))</f>
        <v>88677426.812128037</v>
      </c>
      <c r="B8827">
        <v>149697831.00969639</v>
      </c>
    </row>
    <row r="8828" spans="1:2" x14ac:dyDescent="0.25">
      <c r="A8828">
        <f ca="1">29637.1714392294*((RANDBETWEEN(2979,3282)))</f>
        <v>92319789.033199668</v>
      </c>
      <c r="B8828">
        <v>146189792.05165324</v>
      </c>
    </row>
    <row r="8829" spans="1:2" x14ac:dyDescent="0.25">
      <c r="A8829">
        <f ca="1">26617.5107958925*((RANDBETWEEN(2979,3282)))</f>
        <v>87145730.34575212</v>
      </c>
      <c r="B8829">
        <v>158763034.95523745</v>
      </c>
    </row>
    <row r="8830" spans="1:2" x14ac:dyDescent="0.25">
      <c r="A8830">
        <f ca="1">26292.5422855031*((RANDBETWEEN(2979,3282)))</f>
        <v>80770689.901065469</v>
      </c>
      <c r="B8830">
        <v>145129534.26233894</v>
      </c>
    </row>
    <row r="8831" spans="1:2" x14ac:dyDescent="0.25">
      <c r="A8831">
        <f ca="1">28642.8276057959*((RANDBETWEEN(2979,3282)))</f>
        <v>86472696.541897953</v>
      </c>
      <c r="B8831">
        <v>192888931.63765612</v>
      </c>
    </row>
    <row r="8832" spans="1:2" x14ac:dyDescent="0.25">
      <c r="A8832">
        <f ca="1">26690.3113678541*((RANDBETWEEN(2979,3282)))</f>
        <v>82099397.767519102</v>
      </c>
      <c r="B8832">
        <v>159921206.27988723</v>
      </c>
    </row>
    <row r="8833" spans="1:2" x14ac:dyDescent="0.25">
      <c r="A8833">
        <f ca="1">27358.1839949539*((RANDBETWEEN(2979,3282)))</f>
        <v>85056594.040311545</v>
      </c>
      <c r="B8833">
        <v>190831518.25197834</v>
      </c>
    </row>
    <row r="8834" spans="1:2" x14ac:dyDescent="0.25">
      <c r="A8834">
        <f ca="1">26180.3293380476*((RANDBETWEEN(2979,3282)))</f>
        <v>85138431.00733079</v>
      </c>
      <c r="B8834">
        <v>151689162.69127351</v>
      </c>
    </row>
    <row r="8835" spans="1:2" x14ac:dyDescent="0.25">
      <c r="A8835">
        <f ca="1">26188.5711878555*((RANDBETWEEN(2979,3282)))</f>
        <v>85793759.211414516</v>
      </c>
      <c r="B8835">
        <v>146247387.30542797</v>
      </c>
    </row>
    <row r="8836" spans="1:2" x14ac:dyDescent="0.25">
      <c r="A8836">
        <f ca="1">27553.8838922413*((RANDBETWEEN(2979,3282)))</f>
        <v>87152934.751159072</v>
      </c>
      <c r="B8836">
        <v>161172186.40839988</v>
      </c>
    </row>
    <row r="8837" spans="1:2" x14ac:dyDescent="0.25">
      <c r="A8837">
        <f ca="1">28696.959886408*((RANDBETWEEN(2979,3282)))</f>
        <v>90395423.64218533</v>
      </c>
      <c r="B8837">
        <v>173368327.68030167</v>
      </c>
    </row>
    <row r="8838" spans="1:2" x14ac:dyDescent="0.25">
      <c r="A8838">
        <f ca="1">28404.0115134169*((RANDBETWEEN(2979,3282)))</f>
        <v>91546129.107742772</v>
      </c>
      <c r="B8838">
        <v>144764938.78671622</v>
      </c>
    </row>
    <row r="8839" spans="1:2" x14ac:dyDescent="0.25">
      <c r="A8839">
        <f ca="1">29513.8985883989*((RANDBETWEEN(2979,3282)))</f>
        <v>91965308.00145103</v>
      </c>
      <c r="B8839">
        <v>185171443.25715953</v>
      </c>
    </row>
    <row r="8840" spans="1:2" x14ac:dyDescent="0.25">
      <c r="A8840">
        <f ca="1">30193.6862816547*((RANDBETWEEN(2979,3282)))</f>
        <v>90067766.178176075</v>
      </c>
      <c r="B8840">
        <v>154449509.42684111</v>
      </c>
    </row>
    <row r="8841" spans="1:2" x14ac:dyDescent="0.25">
      <c r="A8841">
        <f ca="1">26643.2960894639*((RANDBETWEEN(2979,3282)))</f>
        <v>84485891.899690092</v>
      </c>
      <c r="B8841">
        <v>178150866.83762193</v>
      </c>
    </row>
    <row r="8842" spans="1:2" x14ac:dyDescent="0.25">
      <c r="A8842">
        <f ca="1">29418.726404844*((RANDBETWEEN(2979,3282)))</f>
        <v>88932809.92184329</v>
      </c>
      <c r="B8842">
        <v>171084493.40085495</v>
      </c>
    </row>
    <row r="8843" spans="1:2" x14ac:dyDescent="0.25">
      <c r="A8843">
        <f ca="1">29174.0461993844*((RANDBETWEEN(2979,3282)))</f>
        <v>94144647.085413396</v>
      </c>
      <c r="B8843">
        <v>156189179.16403133</v>
      </c>
    </row>
    <row r="8844" spans="1:2" x14ac:dyDescent="0.25">
      <c r="A8844">
        <f ca="1">27833.7421500374*((RANDBETWEEN(2979,3282)))</f>
        <v>90403994.503321618</v>
      </c>
      <c r="B8844">
        <v>189644675.18518716</v>
      </c>
    </row>
    <row r="8845" spans="1:2" x14ac:dyDescent="0.25">
      <c r="A8845">
        <f ca="1">27237.1733387563*((RANDBETWEEN(2979,3282)))</f>
        <v>86532499.697228625</v>
      </c>
      <c r="B8845">
        <v>188086016.47625494</v>
      </c>
    </row>
    <row r="8846" spans="1:2" x14ac:dyDescent="0.25">
      <c r="A8846">
        <f ca="1">27201.8845615434*((RANDBETWEEN(2979,3282)))</f>
        <v>85957955.214477181</v>
      </c>
      <c r="B8846">
        <v>155648074.05145454</v>
      </c>
    </row>
    <row r="8847" spans="1:2" x14ac:dyDescent="0.25">
      <c r="A8847">
        <f ca="1">26592.1540003596*((RANDBETWEEN(2979,3282)))</f>
        <v>84456681.105141938</v>
      </c>
      <c r="B8847">
        <v>159270386.74236977</v>
      </c>
    </row>
    <row r="8848" spans="1:2" x14ac:dyDescent="0.25">
      <c r="A8848">
        <f ca="1">25743.0817194522*((RANDBETWEEN(2979,3282)))</f>
        <v>80704561.190482497</v>
      </c>
      <c r="B8848">
        <v>167067031.82611719</v>
      </c>
    </row>
    <row r="8849" spans="1:2" x14ac:dyDescent="0.25">
      <c r="A8849">
        <f ca="1">27416.335368404*((RANDBETWEEN(2979,3282)))</f>
        <v>86032460.38605161</v>
      </c>
      <c r="B8849">
        <v>149176713.21590027</v>
      </c>
    </row>
    <row r="8850" spans="1:2" x14ac:dyDescent="0.25">
      <c r="A8850">
        <f ca="1">29462.1275686371*((RANDBETWEEN(2979,3282)))</f>
        <v>91391519.717912272</v>
      </c>
      <c r="B8850">
        <v>167557032.08444557</v>
      </c>
    </row>
    <row r="8851" spans="1:2" x14ac:dyDescent="0.25">
      <c r="A8851">
        <f ca="1">25991.3255754485*((RANDBETWEEN(2979,3282)))</f>
        <v>82132588.818417326</v>
      </c>
      <c r="B8851">
        <v>186415463.69168022</v>
      </c>
    </row>
    <row r="8852" spans="1:2" x14ac:dyDescent="0.25">
      <c r="A8852">
        <f ca="1">29525.8579431587*((RANDBETWEEN(2979,3282)))</f>
        <v>95014210.861084744</v>
      </c>
      <c r="B8852">
        <v>165422448.83934319</v>
      </c>
    </row>
    <row r="8853" spans="1:2" x14ac:dyDescent="0.25">
      <c r="A8853">
        <f ca="1">26204.2967835011*((RANDBETWEEN(2979,3282)))</f>
        <v>81469158.699905038</v>
      </c>
      <c r="B8853">
        <v>168975455.76356304</v>
      </c>
    </row>
    <row r="8854" spans="1:2" x14ac:dyDescent="0.25">
      <c r="A8854">
        <f ca="1">29114.1704781183*((RANDBETWEEN(2979,3282)))</f>
        <v>87488082.286745518</v>
      </c>
      <c r="B8854">
        <v>153638468.41050559</v>
      </c>
    </row>
    <row r="8855" spans="1:2" x14ac:dyDescent="0.25">
      <c r="A8855">
        <f ca="1">26769.8138194389*((RANDBETWEEN(2979,3282)))</f>
        <v>84539072.041788176</v>
      </c>
      <c r="B8855">
        <v>156975673.33271521</v>
      </c>
    </row>
    <row r="8856" spans="1:2" x14ac:dyDescent="0.25">
      <c r="A8856">
        <f ca="1">28227.769254407*((RANDBETWEEN(2979,3282)))</f>
        <v>84965585.455764949</v>
      </c>
      <c r="B8856">
        <v>173546236.33813795</v>
      </c>
    </row>
    <row r="8857" spans="1:2" x14ac:dyDescent="0.25">
      <c r="A8857">
        <f ca="1">30781.7191627953*((RANDBETWEEN(2979,3282)))</f>
        <v>92591411.241688296</v>
      </c>
      <c r="B8857">
        <v>143903752.67611086</v>
      </c>
    </row>
    <row r="8858" spans="1:2" x14ac:dyDescent="0.25">
      <c r="A8858">
        <f ca="1">29645.3080250051*((RANDBETWEEN(2979,3282)))</f>
        <v>91396484.641090721</v>
      </c>
      <c r="B8858">
        <v>168576133.31319931</v>
      </c>
    </row>
    <row r="8859" spans="1:2" x14ac:dyDescent="0.25">
      <c r="A8859">
        <f ca="1">27232.1184633275*((RANDBETWEEN(2979,3282)))</f>
        <v>83956621.222438753</v>
      </c>
      <c r="B8859">
        <v>171249307.29264233</v>
      </c>
    </row>
    <row r="8860" spans="1:2" x14ac:dyDescent="0.25">
      <c r="A8860">
        <f ca="1">26078.2917710545*((RANDBETWEEN(2979,3282)))</f>
        <v>84650135.088842899</v>
      </c>
      <c r="B8860">
        <v>174247515.47508401</v>
      </c>
    </row>
    <row r="8861" spans="1:2" x14ac:dyDescent="0.25">
      <c r="A8861">
        <f ca="1">26287.048925728*((RANDBETWEEN(2979,3282)))</f>
        <v>85117464.421507224</v>
      </c>
      <c r="B8861">
        <v>147123859.62448475</v>
      </c>
    </row>
    <row r="8862" spans="1:2" x14ac:dyDescent="0.25">
      <c r="A8862">
        <f ca="1">32304.9602421264*((RANDBETWEEN(2979,3282)))</f>
        <v>105411085.27005842</v>
      </c>
      <c r="B8862">
        <v>192129296.42880702</v>
      </c>
    </row>
    <row r="8863" spans="1:2" x14ac:dyDescent="0.25">
      <c r="A8863">
        <f ca="1">32654.4530319877*((RANDBETWEEN(2979,3282)))</f>
        <v>98747065.968730703</v>
      </c>
      <c r="B8863">
        <v>172431885.05647701</v>
      </c>
    </row>
    <row r="8864" spans="1:2" x14ac:dyDescent="0.25">
      <c r="A8864">
        <f ca="1">27777.7297959643*((RANDBETWEEN(2979,3282)))</f>
        <v>88305403.02137062</v>
      </c>
      <c r="B8864">
        <v>155543236.97146842</v>
      </c>
    </row>
    <row r="8865" spans="1:2" x14ac:dyDescent="0.25">
      <c r="A8865">
        <f ca="1">32566.6266507553*((RANDBETWEEN(2979,3282)))</f>
        <v>102617440.57652982</v>
      </c>
      <c r="B8865">
        <v>159809863.97863042</v>
      </c>
    </row>
    <row r="8866" spans="1:2" x14ac:dyDescent="0.25">
      <c r="A8866">
        <f ca="1">26671.9505903286*((RANDBETWEEN(2979,3282)))</f>
        <v>80629306.634563491</v>
      </c>
      <c r="B8866">
        <v>143726044.80081466</v>
      </c>
    </row>
    <row r="8867" spans="1:2" x14ac:dyDescent="0.25">
      <c r="A8867">
        <f ca="1">26736.7844252639*((RANDBETWEEN(2979,3282)))</f>
        <v>79862775.078263417</v>
      </c>
      <c r="B8867">
        <v>155219091.87964612</v>
      </c>
    </row>
    <row r="8868" spans="1:2" x14ac:dyDescent="0.25">
      <c r="A8868">
        <f ca="1">27076.0935980842*((RANDBETWEEN(2979,3282)))</f>
        <v>86616423.420271352</v>
      </c>
      <c r="B8868">
        <v>146584011.36291966</v>
      </c>
    </row>
    <row r="8869" spans="1:2" x14ac:dyDescent="0.25">
      <c r="A8869">
        <f ca="1">28490.1057845303*((RANDBETWEEN(2979,3282)))</f>
        <v>88860639.941950113</v>
      </c>
      <c r="B8869">
        <v>167948945.87017033</v>
      </c>
    </row>
    <row r="8870" spans="1:2" x14ac:dyDescent="0.25">
      <c r="A8870">
        <f ca="1">25895.7097909093*((RANDBETWEEN(2979,3282)))</f>
        <v>79551620.477673262</v>
      </c>
      <c r="B8870">
        <v>146258680.40431523</v>
      </c>
    </row>
    <row r="8871" spans="1:2" x14ac:dyDescent="0.25">
      <c r="A8871">
        <f ca="1">26891.8902230182*((RANDBETWEEN(2979,3282)))</f>
        <v>80675670.669054523</v>
      </c>
      <c r="B8871">
        <v>147598490.97102669</v>
      </c>
    </row>
    <row r="8872" spans="1:2" x14ac:dyDescent="0.25">
      <c r="A8872">
        <f ca="1">25541.8108766854*((RANDBETWEEN(2979,3282)))</f>
        <v>78106857.660903916</v>
      </c>
      <c r="B8872">
        <v>197366136.09287244</v>
      </c>
    </row>
    <row r="8873" spans="1:2" x14ac:dyDescent="0.25">
      <c r="A8873">
        <f ca="1">27219.9537125945*((RANDBETWEEN(2979,3282)))</f>
        <v>84082437.018204466</v>
      </c>
      <c r="B8873">
        <v>201355869.16086343</v>
      </c>
    </row>
    <row r="8874" spans="1:2" x14ac:dyDescent="0.25">
      <c r="A8874">
        <f ca="1">26520.813565091*((RANDBETWEEN(2979,3282)))</f>
        <v>80198940.220835239</v>
      </c>
      <c r="B8874">
        <v>200560742.59017831</v>
      </c>
    </row>
    <row r="8875" spans="1:2" x14ac:dyDescent="0.25">
      <c r="A8875">
        <f ca="1">27877.4422739212*((RANDBETWEEN(2979,3282)))</f>
        <v>91270746.004818022</v>
      </c>
      <c r="B8875">
        <v>200001627.11027503</v>
      </c>
    </row>
    <row r="8876" spans="1:2" x14ac:dyDescent="0.25">
      <c r="A8876">
        <f ca="1">28697.742554218*((RANDBETWEEN(2979,3282)))</f>
        <v>91115332.609642118</v>
      </c>
      <c r="B8876">
        <v>202138980.9472352</v>
      </c>
    </row>
    <row r="8877" spans="1:2" x14ac:dyDescent="0.25">
      <c r="A8877">
        <f ca="1">25924.9883455506*((RANDBETWEEN(2979,3282)))</f>
        <v>83115512.635835156</v>
      </c>
      <c r="B8877">
        <v>154703984.71202981</v>
      </c>
    </row>
    <row r="8878" spans="1:2" x14ac:dyDescent="0.25">
      <c r="A8878">
        <f ca="1">27006.8164177678*((RANDBETWEEN(2979,3282)))</f>
        <v>81560585.581658736</v>
      </c>
      <c r="B8878">
        <v>165499890.52865016</v>
      </c>
    </row>
    <row r="8879" spans="1:2" x14ac:dyDescent="0.25">
      <c r="A8879">
        <f ca="1">26695.7432047175*((RANDBETWEEN(2979,3282)))</f>
        <v>79820272.182105288</v>
      </c>
      <c r="B8879">
        <v>152559171.34093657</v>
      </c>
    </row>
    <row r="8880" spans="1:2" x14ac:dyDescent="0.25">
      <c r="A8880">
        <f ca="1">26514.8005979975*((RANDBETWEEN(2979,3282)))</f>
        <v>86093557.54169786</v>
      </c>
      <c r="B8880">
        <v>154602293.35009453</v>
      </c>
    </row>
    <row r="8881" spans="1:2" x14ac:dyDescent="0.25">
      <c r="A8881">
        <f ca="1">26148.6096594697*((RANDBETWEEN(2979,3282)))</f>
        <v>85558250.805784777</v>
      </c>
      <c r="B8881">
        <v>153237198.43638125</v>
      </c>
    </row>
    <row r="8882" spans="1:2" x14ac:dyDescent="0.25">
      <c r="A8882">
        <f ca="1">31193.5358178966*((RANDBETWEEN(2979,3282)))</f>
        <v>95202671.316220433</v>
      </c>
      <c r="B8882">
        <v>189243015.37079963</v>
      </c>
    </row>
    <row r="8883" spans="1:2" x14ac:dyDescent="0.25">
      <c r="A8883">
        <f ca="1">26267.328685229*((RANDBETWEEN(2979,3282)))</f>
        <v>78670649.41226095</v>
      </c>
      <c r="B8883">
        <v>171239161.19963768</v>
      </c>
    </row>
    <row r="8884" spans="1:2" x14ac:dyDescent="0.25">
      <c r="A8884">
        <f ca="1">27976.9953325669*((RANDBETWEEN(2979,3282)))</f>
        <v>85413766.750326723</v>
      </c>
      <c r="B8884">
        <v>201146468.0516465</v>
      </c>
    </row>
    <row r="8885" spans="1:2" x14ac:dyDescent="0.25">
      <c r="A8885">
        <f ca="1">27997.7818998688*((RANDBETWEEN(2979,3282)))</f>
        <v>83517383.407308728</v>
      </c>
      <c r="B8885">
        <v>145811837.03968018</v>
      </c>
    </row>
    <row r="8886" spans="1:2" x14ac:dyDescent="0.25">
      <c r="A8886">
        <f ca="1">31312.0754471118*((RANDBETWEEN(2979,3282)))</f>
        <v>93278672.756946072</v>
      </c>
      <c r="B8886">
        <v>153588614.78122696</v>
      </c>
    </row>
    <row r="8887" spans="1:2" x14ac:dyDescent="0.25">
      <c r="A8887">
        <f ca="1">26333.0770053984*((RANDBETWEEN(2979,3282)))</f>
        <v>82159200.256843105</v>
      </c>
      <c r="B8887">
        <v>171757348.33814538</v>
      </c>
    </row>
    <row r="8888" spans="1:2" x14ac:dyDescent="0.25">
      <c r="A8888">
        <f ca="1">26574.8151719409*((RANDBETWEEN(2979,3282)))</f>
        <v>79378972.918587625</v>
      </c>
      <c r="B8888">
        <v>158363667.94297931</v>
      </c>
    </row>
    <row r="8889" spans="1:2" x14ac:dyDescent="0.25">
      <c r="A8889">
        <f ca="1">27789.3372453269*((RANDBETWEEN(2979,3282)))</f>
        <v>83645905.108433843</v>
      </c>
      <c r="B8889">
        <v>166301860.37051243</v>
      </c>
    </row>
    <row r="8890" spans="1:2" x14ac:dyDescent="0.25">
      <c r="A8890">
        <f ca="1">26088.8731699588*((RANDBETWEEN(2979,3282)))</f>
        <v>78397063.875726253</v>
      </c>
      <c r="B8890">
        <v>159609646.29693264</v>
      </c>
    </row>
    <row r="8891" spans="1:2" x14ac:dyDescent="0.25">
      <c r="A8891">
        <f ca="1">26438.9057968227*((RANDBETWEEN(2979,3282)))</f>
        <v>79581106.448436186</v>
      </c>
      <c r="B8891">
        <v>156652866.00788221</v>
      </c>
    </row>
    <row r="8892" spans="1:2" x14ac:dyDescent="0.25">
      <c r="A8892">
        <f ca="1">26783.0130544605*((RANDBETWEEN(2979,3282)))</f>
        <v>80831133.398361862</v>
      </c>
      <c r="B8892">
        <v>142993362.3676542</v>
      </c>
    </row>
    <row r="8893" spans="1:2" x14ac:dyDescent="0.25">
      <c r="A8893">
        <f ca="1">26505.7963292499*((RANDBETWEEN(2979,3282)))</f>
        <v>83413741.048149392</v>
      </c>
      <c r="B8893">
        <v>150846968.60614231</v>
      </c>
    </row>
    <row r="8894" spans="1:2" x14ac:dyDescent="0.25">
      <c r="A8894">
        <f ca="1">27584.3762293054*((RANDBETWEEN(2979,3282)))</f>
        <v>88683769.577217028</v>
      </c>
      <c r="B8894">
        <v>151132464.79268104</v>
      </c>
    </row>
    <row r="8895" spans="1:2" x14ac:dyDescent="0.25">
      <c r="A8895">
        <f ca="1">28836.6346516816*((RANDBETWEEN(2979,3282)))</f>
        <v>92767453.67445983</v>
      </c>
      <c r="B8895">
        <v>154951902.98621026</v>
      </c>
    </row>
    <row r="8896" spans="1:2" x14ac:dyDescent="0.25">
      <c r="A8896">
        <f ca="1">27134.1807137041*((RANDBETWEEN(2979,3282)))</f>
        <v>85147059.079603598</v>
      </c>
      <c r="B8896">
        <v>162317707.14315695</v>
      </c>
    </row>
    <row r="8897" spans="1:2" x14ac:dyDescent="0.25">
      <c r="A8897">
        <f ca="1">25749.4464840191*((RANDBETWEEN(2979,3282)))</f>
        <v>80518519.155527651</v>
      </c>
      <c r="B8897">
        <v>151080807.90045944</v>
      </c>
    </row>
    <row r="8898" spans="1:2" x14ac:dyDescent="0.25">
      <c r="A8898">
        <f ca="1">29421.2125467393*((RANDBETWEEN(2979,3282)))</f>
        <v>95236465.013795152</v>
      </c>
      <c r="B8898">
        <v>145491435.82722282</v>
      </c>
    </row>
    <row r="8899" spans="1:2" x14ac:dyDescent="0.25">
      <c r="A8899">
        <f ca="1">26663.4689146271*((RANDBETWEEN(2979,3282)))</f>
        <v>86522956.627964854</v>
      </c>
      <c r="B8899">
        <v>143906678.89779326</v>
      </c>
    </row>
    <row r="8900" spans="1:2" x14ac:dyDescent="0.25">
      <c r="A8900">
        <f ca="1">29357.1245267233*((RANDBETWEEN(2979,3282)))</f>
        <v>91887799.768643931</v>
      </c>
      <c r="B8900">
        <v>168213049.17206755</v>
      </c>
    </row>
    <row r="8901" spans="1:2" x14ac:dyDescent="0.25">
      <c r="A8901">
        <f ca="1">27614.1867898066*((RANDBETWEEN(2979,3282)))</f>
        <v>89967020.561189905</v>
      </c>
      <c r="B8901">
        <v>174210786.20454979</v>
      </c>
    </row>
    <row r="8902" spans="1:2" x14ac:dyDescent="0.25">
      <c r="A8902">
        <f ca="1">27988.6424568534*((RANDBETWEEN(2979,3282)))</f>
        <v>89031871.655250788</v>
      </c>
      <c r="B8902">
        <v>147449526.66213638</v>
      </c>
    </row>
    <row r="8903" spans="1:2" x14ac:dyDescent="0.25">
      <c r="A8903">
        <f ca="1">28821.777141119*((RANDBETWEEN(2979,3282)))</f>
        <v>86955301.634756058</v>
      </c>
      <c r="B8903">
        <v>150758952.18816924</v>
      </c>
    </row>
    <row r="8904" spans="1:2" x14ac:dyDescent="0.25">
      <c r="A8904">
        <f ca="1">29987.9758938752*((RANDBETWEEN(2979,3282)))</f>
        <v>92332977.777241886</v>
      </c>
      <c r="B8904">
        <v>174177814.82726654</v>
      </c>
    </row>
    <row r="8905" spans="1:2" x14ac:dyDescent="0.25">
      <c r="A8905">
        <f ca="1">31555.6314925837*((RANDBETWEEN(2979,3282)))</f>
        <v>95708230.31700623</v>
      </c>
      <c r="B8905">
        <v>151747909.27147716</v>
      </c>
    </row>
    <row r="8906" spans="1:2" x14ac:dyDescent="0.25">
      <c r="A8906">
        <f ca="1">27027.6180284112*((RANDBETWEEN(2979,3282)))</f>
        <v>81812599.772000745</v>
      </c>
      <c r="B8906">
        <v>149316354.78423828</v>
      </c>
    </row>
    <row r="8907" spans="1:2" x14ac:dyDescent="0.25">
      <c r="A8907">
        <f ca="1">25380.8745343655*((RANDBETWEEN(2979,3282)))</f>
        <v>79416756.418029517</v>
      </c>
      <c r="B8907">
        <v>168383164.94663361</v>
      </c>
    </row>
    <row r="8908" spans="1:2" x14ac:dyDescent="0.25">
      <c r="A8908">
        <f ca="1">27958.4017969197*((RANDBETWEEN(2979,3282)))</f>
        <v>85133333.471620411</v>
      </c>
      <c r="B8908">
        <v>155112442.04596415</v>
      </c>
    </row>
    <row r="8909" spans="1:2" x14ac:dyDescent="0.25">
      <c r="A8909">
        <f ca="1">27548.5101611944*((RANDBETWEEN(2979,3282)))</f>
        <v>84821862.786317483</v>
      </c>
      <c r="B8909">
        <v>162446337.33216256</v>
      </c>
    </row>
    <row r="8910" spans="1:2" x14ac:dyDescent="0.25">
      <c r="A8910">
        <f ca="1">27264.6932787784*((RANDBETWEEN(2979,3282)))</f>
        <v>88392135.609799728</v>
      </c>
      <c r="B8910">
        <v>158395470.14954054</v>
      </c>
    </row>
    <row r="8911" spans="1:2" x14ac:dyDescent="0.25">
      <c r="A8911">
        <f ca="1">28091.1807654367*((RANDBETWEEN(2979,3282)))</f>
        <v>90285054.980113506</v>
      </c>
      <c r="B8911">
        <v>192635682.48691547</v>
      </c>
    </row>
    <row r="8912" spans="1:2" x14ac:dyDescent="0.25">
      <c r="A8912">
        <f ca="1">30876.9469919728*((RANDBETWEEN(2979,3282)))</f>
        <v>96552213.243899047</v>
      </c>
      <c r="B8912">
        <v>161175265.73956093</v>
      </c>
    </row>
    <row r="8913" spans="1:2" x14ac:dyDescent="0.25">
      <c r="A8913">
        <f ca="1">26073.8258741912*((RANDBETWEEN(2979,3282)))</f>
        <v>83670907.23027961</v>
      </c>
      <c r="B8913">
        <v>164075175.62839374</v>
      </c>
    </row>
    <row r="8914" spans="1:2" x14ac:dyDescent="0.25">
      <c r="A8914">
        <f ca="1">32946.2266571005*((RANDBETWEEN(2979,3282)))</f>
        <v>103253474.34335297</v>
      </c>
      <c r="B8914">
        <v>182664175.06937683</v>
      </c>
    </row>
    <row r="8915" spans="1:2" x14ac:dyDescent="0.25">
      <c r="A8915">
        <f ca="1">27101.5236116407*((RANDBETWEEN(2979,3282)))</f>
        <v>84258636.908590883</v>
      </c>
      <c r="B8915">
        <v>159861815.40820873</v>
      </c>
    </row>
    <row r="8916" spans="1:2" x14ac:dyDescent="0.25">
      <c r="A8916">
        <f ca="1">27938.2770053584*((RANDBETWEEN(2979,3282)))</f>
        <v>84317720.00217171</v>
      </c>
      <c r="B8916">
        <v>167690102.2619018</v>
      </c>
    </row>
    <row r="8917" spans="1:2" x14ac:dyDescent="0.25">
      <c r="A8917">
        <f ca="1">33891.8022055339*((RANDBETWEEN(2979,3282)))</f>
        <v>105674639.27685462</v>
      </c>
      <c r="B8917">
        <v>194082080.9771859</v>
      </c>
    </row>
    <row r="8918" spans="1:2" x14ac:dyDescent="0.25">
      <c r="A8918">
        <f ca="1">30938.7738600344*((RANDBETWEEN(2979,3282)))</f>
        <v>97983096.814728945</v>
      </c>
      <c r="B8918">
        <v>187569310.72555706</v>
      </c>
    </row>
    <row r="8919" spans="1:2" x14ac:dyDescent="0.25">
      <c r="A8919">
        <f ca="1">32776.5151798606*((RANDBETWEEN(2979,3282)))</f>
        <v>102328280.39152487</v>
      </c>
      <c r="B8919">
        <v>161305588.82721302</v>
      </c>
    </row>
    <row r="8920" spans="1:2" x14ac:dyDescent="0.25">
      <c r="A8920">
        <f ca="1">30922.8668322994*((RANDBETWEEN(2979,3282)))</f>
        <v>98149179.325718284</v>
      </c>
      <c r="B8920">
        <v>165699226.43023163</v>
      </c>
    </row>
    <row r="8921" spans="1:2" x14ac:dyDescent="0.25">
      <c r="A8921">
        <f ca="1">26061.1842773687*((RANDBETWEEN(2979,3282)))</f>
        <v>79642979.151638716</v>
      </c>
      <c r="B8921">
        <v>158038661.09292629</v>
      </c>
    </row>
    <row r="8922" spans="1:2" x14ac:dyDescent="0.25">
      <c r="A8922">
        <f ca="1">26420.4241443871*((RANDBETWEEN(2979,3282)))</f>
        <v>81427747.213000938</v>
      </c>
      <c r="B8922">
        <v>161009812.97543216</v>
      </c>
    </row>
    <row r="8923" spans="1:2" x14ac:dyDescent="0.25">
      <c r="A8923">
        <f ca="1">27039.3162502541*((RANDBETWEEN(2979,3282)))</f>
        <v>85309042.769551814</v>
      </c>
      <c r="B8923">
        <v>147414500.18628311</v>
      </c>
    </row>
    <row r="8924" spans="1:2" x14ac:dyDescent="0.25">
      <c r="A8924">
        <f ca="1">25491.7777448909*((RANDBETWEEN(2979,3282)))</f>
        <v>82899261.22638534</v>
      </c>
      <c r="B8924">
        <v>150928377.36109868</v>
      </c>
    </row>
    <row r="8925" spans="1:2" x14ac:dyDescent="0.25">
      <c r="A8925">
        <f ca="1">26795.0943009799*((RANDBETWEEN(2979,3282)))</f>
        <v>80224512.337133855</v>
      </c>
      <c r="B8925">
        <v>146351438.10736448</v>
      </c>
    </row>
    <row r="8926" spans="1:2" x14ac:dyDescent="0.25">
      <c r="A8926">
        <f ca="1">26817.8855100594*((RANDBETWEEN(2979,3282)))</f>
        <v>87640849.846873999</v>
      </c>
      <c r="B8926">
        <v>148236516.09770066</v>
      </c>
    </row>
    <row r="8927" spans="1:2" x14ac:dyDescent="0.25">
      <c r="A8927">
        <f ca="1">26442.291411325*((RANDBETWEEN(2979,3282)))</f>
        <v>79882162.353612736</v>
      </c>
      <c r="B8927">
        <v>144264633.01915047</v>
      </c>
    </row>
    <row r="8928" spans="1:2" x14ac:dyDescent="0.25">
      <c r="A8928">
        <f ca="1">27115.2299411318*((RANDBETWEEN(2979,3282)))</f>
        <v>82620105.63062869</v>
      </c>
      <c r="B8928">
        <v>182879653.51137108</v>
      </c>
    </row>
    <row r="8929" spans="1:2" x14ac:dyDescent="0.25">
      <c r="A8929">
        <f ca="1">28683.7822098368*((RANDBETWEEN(2979,3282)))</f>
        <v>87256065.482323676</v>
      </c>
      <c r="B8929">
        <v>147098029.53469253</v>
      </c>
    </row>
    <row r="8930" spans="1:2" x14ac:dyDescent="0.25">
      <c r="A8930">
        <f ca="1">31961.0699034079*((RANDBETWEEN(2979,3282)))</f>
        <v>96138898.269450828</v>
      </c>
      <c r="B8930">
        <v>193157859.75252014</v>
      </c>
    </row>
    <row r="8931" spans="1:2" x14ac:dyDescent="0.25">
      <c r="A8931">
        <f ca="1">31281.639677235*((RANDBETWEEN(2979,3282)))</f>
        <v>98537164.983290151</v>
      </c>
      <c r="B8931">
        <v>178890942.86336446</v>
      </c>
    </row>
    <row r="8932" spans="1:2" x14ac:dyDescent="0.25">
      <c r="A8932">
        <f ca="1">27793.3677115563*((RANDBETWEEN(2979,3282)))</f>
        <v>90022718.017730922</v>
      </c>
      <c r="B8932">
        <v>163450427.73195592</v>
      </c>
    </row>
    <row r="8933" spans="1:2" x14ac:dyDescent="0.25">
      <c r="A8933">
        <f ca="1">27067.3982082359*((RANDBETWEEN(2979,3282)))</f>
        <v>80633779.262334839</v>
      </c>
      <c r="B8933">
        <v>160175604.70758817</v>
      </c>
    </row>
    <row r="8934" spans="1:2" x14ac:dyDescent="0.25">
      <c r="A8934">
        <f ca="1">28414.8734649744*((RANDBETWEEN(2979,3282)))</f>
        <v>89876244.769713998</v>
      </c>
      <c r="B8934">
        <v>159139691.75139087</v>
      </c>
    </row>
    <row r="8935" spans="1:2" x14ac:dyDescent="0.25">
      <c r="A8935">
        <f ca="1">25999.648235204*((RANDBETWEEN(2979,3282)))</f>
        <v>84420857.819707379</v>
      </c>
      <c r="B8935">
        <v>147231777.55194414</v>
      </c>
    </row>
    <row r="8936" spans="1:2" x14ac:dyDescent="0.25">
      <c r="A8936">
        <f ca="1">26338.8850842435*((RANDBETWEEN(2979,3282)))</f>
        <v>81913932.611997351</v>
      </c>
      <c r="B8936">
        <v>152688076.05029431</v>
      </c>
    </row>
    <row r="8937" spans="1:2" x14ac:dyDescent="0.25">
      <c r="A8937">
        <f ca="1">27801.0194335264*((RANDBETWEEN(2979,3282)))</f>
        <v>88713053.012382805</v>
      </c>
      <c r="B8937">
        <v>179482802.02895656</v>
      </c>
    </row>
    <row r="8938" spans="1:2" x14ac:dyDescent="0.25">
      <c r="A8938">
        <f ca="1">27618.0234277607*((RANDBETWEEN(2979,3282)))</f>
        <v>90255700.561922103</v>
      </c>
      <c r="B8938">
        <v>203305189.83470553</v>
      </c>
    </row>
    <row r="8939" spans="1:2" x14ac:dyDescent="0.25">
      <c r="A8939">
        <f ca="1">29821.7557791275*((RANDBETWEEN(2979,3282)))</f>
        <v>93968352.460030884</v>
      </c>
      <c r="B8939">
        <v>198244088.20746642</v>
      </c>
    </row>
    <row r="8940" spans="1:2" x14ac:dyDescent="0.25">
      <c r="A8940">
        <f ca="1">28187.7468127767*((RANDBETWEEN(2979,3282)))</f>
        <v>89552471.624191552</v>
      </c>
      <c r="B8940">
        <v>178171188.26646557</v>
      </c>
    </row>
    <row r="8941" spans="1:2" x14ac:dyDescent="0.25">
      <c r="A8941">
        <f ca="1">27962.9419378402*((RANDBETWEEN(2979,3282)))</f>
        <v>85762342.923355877</v>
      </c>
      <c r="B8941">
        <v>162635961.92013472</v>
      </c>
    </row>
    <row r="8942" spans="1:2" x14ac:dyDescent="0.25">
      <c r="A8942">
        <f ca="1">27347.8327404667*((RANDBETWEEN(2979,3282)))</f>
        <v>82590454.876209289</v>
      </c>
      <c r="B8942">
        <v>152416784.7578024</v>
      </c>
    </row>
    <row r="8943" spans="1:2" x14ac:dyDescent="0.25">
      <c r="A8943">
        <f ca="1">28133.1988420766*((RANDBETWEEN(2979,3282)))</f>
        <v>84709061.713492736</v>
      </c>
      <c r="B8943">
        <v>183694149.17648679</v>
      </c>
    </row>
    <row r="8944" spans="1:2" x14ac:dyDescent="0.25">
      <c r="A8944">
        <f ca="1">30019.7982350391*((RANDBETWEEN(2979,3282)))</f>
        <v>93481651.703911766</v>
      </c>
      <c r="B8944">
        <v>176302897.88927314</v>
      </c>
    </row>
    <row r="8945" spans="1:2" x14ac:dyDescent="0.25">
      <c r="A8945">
        <f ca="1">27375.1354382054*((RANDBETWEEN(2979,3282)))</f>
        <v>83439412.815649927</v>
      </c>
      <c r="B8945">
        <v>151616833.5407263</v>
      </c>
    </row>
    <row r="8946" spans="1:2" x14ac:dyDescent="0.25">
      <c r="A8946">
        <f ca="1">27400.0099608403*((RANDBETWEEN(2979,3282)))</f>
        <v>83433030.330758706</v>
      </c>
      <c r="B8946">
        <v>144372242.72475812</v>
      </c>
    </row>
    <row r="8947" spans="1:2" x14ac:dyDescent="0.25">
      <c r="A8947">
        <f ca="1">28319.0000753591*((RANDBETWEEN(2979,3282)))</f>
        <v>85948165.228714928</v>
      </c>
      <c r="B8947">
        <v>149330505.66903901</v>
      </c>
    </row>
    <row r="8948" spans="1:2" x14ac:dyDescent="0.25">
      <c r="A8948">
        <f ca="1">29205.9669028788*((RANDBETWEEN(2979,3282)))</f>
        <v>88114402.145985305</v>
      </c>
      <c r="B8948">
        <v>189201306.1787281</v>
      </c>
    </row>
    <row r="8949" spans="1:2" x14ac:dyDescent="0.25">
      <c r="A8949">
        <f ca="1">27888.7997384042*((RANDBETWEEN(2979,3282)))</f>
        <v>84252064.009718969</v>
      </c>
      <c r="B8949">
        <v>177107289.32867646</v>
      </c>
    </row>
    <row r="8950" spans="1:2" x14ac:dyDescent="0.25">
      <c r="A8950">
        <f ca="1">25348.2286759609*((RANDBETWEEN(2979,3282)))</f>
        <v>78528812.438126773</v>
      </c>
      <c r="B8950">
        <v>154540751.35642704</v>
      </c>
    </row>
    <row r="8951" spans="1:2" x14ac:dyDescent="0.25">
      <c r="A8951">
        <f ca="1">26406.5310806351*((RANDBETWEEN(2979,3282)))</f>
        <v>83867142.712097079</v>
      </c>
      <c r="B8951">
        <v>171690327.13760728</v>
      </c>
    </row>
    <row r="8952" spans="1:2" x14ac:dyDescent="0.25">
      <c r="A8952">
        <f ca="1">31797.8045997897*((RANDBETWEEN(2979,3282)))</f>
        <v>97682855.730554074</v>
      </c>
      <c r="B8952">
        <v>180999559.4091844</v>
      </c>
    </row>
    <row r="8953" spans="1:2" x14ac:dyDescent="0.25">
      <c r="A8953">
        <f ca="1">28296.4911530168*((RANDBETWEEN(2979,3282)))</f>
        <v>92076782.211916789</v>
      </c>
      <c r="B8953">
        <v>179415333.30837667</v>
      </c>
    </row>
    <row r="8954" spans="1:2" x14ac:dyDescent="0.25">
      <c r="A8954">
        <f ca="1">26841.8598173199*((RANDBETWEEN(2979,3282)))</f>
        <v>80928207.349219605</v>
      </c>
      <c r="B8954">
        <v>184272839.92194039</v>
      </c>
    </row>
    <row r="8955" spans="1:2" x14ac:dyDescent="0.25">
      <c r="A8955">
        <f ca="1">26687.1474289641*((RANDBETWEEN(2979,3282)))</f>
        <v>82009604.049206734</v>
      </c>
      <c r="B8955">
        <v>171303626.47397241</v>
      </c>
    </row>
    <row r="8956" spans="1:2" x14ac:dyDescent="0.25">
      <c r="A8956">
        <f ca="1">27314.0584716043*((RANDBETWEEN(2979,3282)))</f>
        <v>87842012.044679552</v>
      </c>
      <c r="B8956">
        <v>144254346.1395871</v>
      </c>
    </row>
    <row r="8957" spans="1:2" x14ac:dyDescent="0.25">
      <c r="A8957">
        <f ca="1">25928.8146726727*((RANDBETWEEN(2979,3282)))</f>
        <v>81701695.033591613</v>
      </c>
      <c r="B8957">
        <v>154478579.82352093</v>
      </c>
    </row>
    <row r="8958" spans="1:2" x14ac:dyDescent="0.25">
      <c r="A8958">
        <f ca="1">27340.2397701652*((RANDBETWEEN(2979,3282)))</f>
        <v>89511945.007521018</v>
      </c>
      <c r="B8958">
        <v>149697606.0259549</v>
      </c>
    </row>
    <row r="8959" spans="1:2" x14ac:dyDescent="0.25">
      <c r="A8959">
        <f ca="1">27032.4366304299*((RANDBETWEEN(2979,3282)))</f>
        <v>87855419.048897177</v>
      </c>
      <c r="B8959">
        <v>171685770.86418465</v>
      </c>
    </row>
    <row r="8960" spans="1:2" x14ac:dyDescent="0.25">
      <c r="A8960">
        <f ca="1">25753.5756686038*((RANDBETWEEN(2979,3282)))</f>
        <v>84445974.617351949</v>
      </c>
      <c r="B8960">
        <v>157285884.08775383</v>
      </c>
    </row>
    <row r="8961" spans="1:2" x14ac:dyDescent="0.25">
      <c r="A8961">
        <f ca="1">27949.7458545688*((RANDBETWEEN(2979,3282)))</f>
        <v>88544794.86727412</v>
      </c>
      <c r="B8961">
        <v>183026256.89575374</v>
      </c>
    </row>
    <row r="8962" spans="1:2" x14ac:dyDescent="0.25">
      <c r="A8962">
        <f ca="1">31639.8880657793*((RANDBETWEEN(2979,3282)))</f>
        <v>102924555.87798017</v>
      </c>
      <c r="B8962">
        <v>183075344.11926454</v>
      </c>
    </row>
    <row r="8963" spans="1:2" x14ac:dyDescent="0.25">
      <c r="A8963">
        <f ca="1">28050.9606378682*((RANDBETWEEN(2979,3282)))</f>
        <v>86817723.174202025</v>
      </c>
      <c r="B8963">
        <v>156268954.49653605</v>
      </c>
    </row>
    <row r="8964" spans="1:2" x14ac:dyDescent="0.25">
      <c r="A8964">
        <f ca="1">30137.8691035957*((RANDBETWEEN(2979,3282)))</f>
        <v>92764361.100867569</v>
      </c>
      <c r="B8964">
        <v>186719622.16918859</v>
      </c>
    </row>
    <row r="8965" spans="1:2" x14ac:dyDescent="0.25">
      <c r="A8965">
        <f ca="1">24851.3219843555*((RANDBETWEEN(2979,3282)))</f>
        <v>81214120.244873703</v>
      </c>
      <c r="B8965">
        <v>188683495.04440486</v>
      </c>
    </row>
    <row r="8966" spans="1:2" x14ac:dyDescent="0.25">
      <c r="A8966">
        <f ca="1">27382.3078601239*((RANDBETWEEN(2979,3282)))</f>
        <v>83707715.128398761</v>
      </c>
      <c r="B8966">
        <v>172477278.45228195</v>
      </c>
    </row>
    <row r="8967" spans="1:2" x14ac:dyDescent="0.25">
      <c r="A8967">
        <f ca="1">31437.9658761688*((RANDBETWEEN(2979,3282)))</f>
        <v>99438286.066321999</v>
      </c>
      <c r="B8967">
        <v>181476565.97854641</v>
      </c>
    </row>
    <row r="8968" spans="1:2" x14ac:dyDescent="0.25">
      <c r="A8968">
        <f ca="1">30806.2781085629*((RANDBETWEEN(2979,3282)))</f>
        <v>92233996.657037303</v>
      </c>
      <c r="B8968">
        <v>176732219.11933011</v>
      </c>
    </row>
    <row r="8969" spans="1:2" x14ac:dyDescent="0.25">
      <c r="A8969">
        <f ca="1">29605.1851911181*((RANDBETWEEN(2979,3282)))</f>
        <v>92072125.944377139</v>
      </c>
      <c r="B8969">
        <v>181125927.16746181</v>
      </c>
    </row>
    <row r="8970" spans="1:2" x14ac:dyDescent="0.25">
      <c r="A8970">
        <f ca="1">27233.6005764678*((RANDBETWEEN(2979,3282)))</f>
        <v>84124592.18070899</v>
      </c>
      <c r="B8970">
        <v>171379126.21018171</v>
      </c>
    </row>
    <row r="8971" spans="1:2" x14ac:dyDescent="0.25">
      <c r="A8971">
        <f ca="1">26313.4912715111*((RANDBETWEEN(2979,3282)))</f>
        <v>82255973.714743748</v>
      </c>
      <c r="B8971">
        <v>152207701.58412319</v>
      </c>
    </row>
    <row r="8972" spans="1:2" x14ac:dyDescent="0.25">
      <c r="A8972">
        <f ca="1">27936.5078966523*((RANDBETWEEN(2979,3282)))</f>
        <v>90542222.093049988</v>
      </c>
      <c r="B8972">
        <v>203369173.16720319</v>
      </c>
    </row>
    <row r="8973" spans="1:2" x14ac:dyDescent="0.25">
      <c r="A8973">
        <f ca="1">29182.7339342706*((RANDBETWEEN(2979,3282)))</f>
        <v>88102673.7475629</v>
      </c>
      <c r="B8973">
        <v>153927299.83021998</v>
      </c>
    </row>
    <row r="8974" spans="1:2" x14ac:dyDescent="0.25">
      <c r="A8974">
        <f ca="1">28487.2897762521*((RANDBETWEEN(2979,3282)))</f>
        <v>91273276.443111792</v>
      </c>
      <c r="B8974">
        <v>155324642.24260861</v>
      </c>
    </row>
    <row r="8975" spans="1:2" x14ac:dyDescent="0.25">
      <c r="A8975">
        <f ca="1">24919.1211881949*((RANDBETWEEN(2979,3282)))</f>
        <v>77672900.743603423</v>
      </c>
      <c r="B8975">
        <v>146064829.2106998</v>
      </c>
    </row>
    <row r="8976" spans="1:2" x14ac:dyDescent="0.25">
      <c r="A8976">
        <f ca="1">28889.1525985267*((RANDBETWEEN(2979,3282)))</f>
        <v>93225295.435445532</v>
      </c>
      <c r="B8976">
        <v>194791011.45171434</v>
      </c>
    </row>
    <row r="8977" spans="1:2" x14ac:dyDescent="0.25">
      <c r="A8977">
        <f ca="1">26037.9653144992*((RANDBETWEEN(2979,3282)))</f>
        <v>83295451.041082904</v>
      </c>
      <c r="B8977">
        <v>160600205.41142279</v>
      </c>
    </row>
    <row r="8978" spans="1:2" x14ac:dyDescent="0.25">
      <c r="A8978">
        <f ca="1">27983.414701887*((RANDBETWEEN(2979,3282)))</f>
        <v>85769166.061283782</v>
      </c>
      <c r="B8978">
        <v>173668183.4971486</v>
      </c>
    </row>
    <row r="8979" spans="1:2" x14ac:dyDescent="0.25">
      <c r="A8979">
        <f ca="1">26934.4815451022*((RANDBETWEEN(2979,3282)))</f>
        <v>81207461.858483195</v>
      </c>
      <c r="B8979">
        <v>157231723.41312328</v>
      </c>
    </row>
    <row r="8980" spans="1:2" x14ac:dyDescent="0.25">
      <c r="A8980">
        <f ca="1">26379.9524080569*((RANDBETWEEN(2979,3282)))</f>
        <v>81223873.464407176</v>
      </c>
      <c r="B8980">
        <v>154405504.99055684</v>
      </c>
    </row>
    <row r="8981" spans="1:2" x14ac:dyDescent="0.25">
      <c r="A8981">
        <f ca="1">28013.409720784*((RANDBETWEEN(2979,3282)))</f>
        <v>91799943.65500924</v>
      </c>
      <c r="B8981">
        <v>164306639.72429654</v>
      </c>
    </row>
    <row r="8982" spans="1:2" x14ac:dyDescent="0.25">
      <c r="A8982">
        <f ca="1">28266.6752202269*((RANDBETWEEN(2979,3282)))</f>
        <v>85280559.139424458</v>
      </c>
      <c r="B8982">
        <v>200887693.40510711</v>
      </c>
    </row>
    <row r="8983" spans="1:2" x14ac:dyDescent="0.25">
      <c r="A8983">
        <f ca="1">27334.938175466*((RANDBETWEEN(2979,3282)))</f>
        <v>83043542.17706576</v>
      </c>
      <c r="B8983">
        <v>164216079.22081137</v>
      </c>
    </row>
    <row r="8984" spans="1:2" x14ac:dyDescent="0.25">
      <c r="A8984">
        <f ca="1">25629.3868273755*((RANDBETWEEN(2979,3282)))</f>
        <v>78989770.201971263</v>
      </c>
      <c r="B8984">
        <v>149617975.28845453</v>
      </c>
    </row>
    <row r="8985" spans="1:2" x14ac:dyDescent="0.25">
      <c r="A8985">
        <f ca="1">26636.2056741759*((RANDBETWEEN(2979,3282)))</f>
        <v>80894156.632472262</v>
      </c>
      <c r="B8985">
        <v>183831940.73244017</v>
      </c>
    </row>
    <row r="8986" spans="1:2" x14ac:dyDescent="0.25">
      <c r="A8986">
        <f ca="1">26429.8420343005*((RANDBETWEEN(2979,3282)))</f>
        <v>84099757.353144169</v>
      </c>
      <c r="B8986">
        <v>148126543.68477577</v>
      </c>
    </row>
    <row r="8987" spans="1:2" x14ac:dyDescent="0.25">
      <c r="A8987">
        <f ca="1">28310.0396845111*((RANDBETWEEN(2979,3282)))</f>
        <v>89488035.442739606</v>
      </c>
      <c r="B8987">
        <v>194719383.64999545</v>
      </c>
    </row>
    <row r="8988" spans="1:2" x14ac:dyDescent="0.25">
      <c r="A8988">
        <f ca="1">25571.6226534789*((RANDBETWEEN(2979,3282)))</f>
        <v>77149585.545545951</v>
      </c>
      <c r="B8988">
        <v>149168101.97545817</v>
      </c>
    </row>
    <row r="8989" spans="1:2" x14ac:dyDescent="0.25">
      <c r="A8989">
        <f ca="1">27563.4919026192*((RANDBETWEEN(2979,3282)))</f>
        <v>84785301.092456669</v>
      </c>
      <c r="B8989">
        <v>182893312.17193028</v>
      </c>
    </row>
    <row r="8990" spans="1:2" x14ac:dyDescent="0.25">
      <c r="A8990">
        <f ca="1">27641.1099007447*((RANDBETWEEN(2979,3282)))</f>
        <v>88534475.012085259</v>
      </c>
      <c r="B8990">
        <v>174251928.25032073</v>
      </c>
    </row>
    <row r="8991" spans="1:2" x14ac:dyDescent="0.25">
      <c r="A8991">
        <f ca="1">28579.1901930476*((RANDBETWEEN(2979,3282)))</f>
        <v>87966747.414200604</v>
      </c>
      <c r="B8991">
        <v>201150214.93684757</v>
      </c>
    </row>
    <row r="8992" spans="1:2" x14ac:dyDescent="0.25">
      <c r="A8992">
        <f ca="1">27885.7776247275*((RANDBETWEEN(2979,3282)))</f>
        <v>85553565.75266403</v>
      </c>
      <c r="B8992">
        <v>202010666.29664782</v>
      </c>
    </row>
    <row r="8993" spans="1:2" x14ac:dyDescent="0.25">
      <c r="A8993">
        <f ca="1">27315.8173800531*((RANDBETWEEN(2979,3282)))</f>
        <v>83313243.009162039</v>
      </c>
      <c r="B8993">
        <v>174770306.66062602</v>
      </c>
    </row>
    <row r="8994" spans="1:2" x14ac:dyDescent="0.25">
      <c r="A8994">
        <f ca="1">26985.2315365991*((RANDBETWEEN(2979,3282)))</f>
        <v>84868553.182604045</v>
      </c>
      <c r="B8994">
        <v>153102318.54253981</v>
      </c>
    </row>
    <row r="8995" spans="1:2" x14ac:dyDescent="0.25">
      <c r="A8995">
        <f ca="1">29169.979574678*((RANDBETWEEN(2979,3282)))</f>
        <v>90572786.579375237</v>
      </c>
      <c r="B8995">
        <v>178952136.78674775</v>
      </c>
    </row>
    <row r="8996" spans="1:2" x14ac:dyDescent="0.25">
      <c r="A8996">
        <f ca="1">26526.3666651601*((RANDBETWEEN(2979,3282)))</f>
        <v>86714692.628408492</v>
      </c>
      <c r="B8996">
        <v>187512515.56234717</v>
      </c>
    </row>
    <row r="8997" spans="1:2" x14ac:dyDescent="0.25">
      <c r="A8997">
        <f ca="1">27154.9131812557*((RANDBETWEEN(2979,3282)))</f>
        <v>81790598.501942232</v>
      </c>
      <c r="B8997">
        <v>162300754.87870699</v>
      </c>
    </row>
    <row r="8998" spans="1:2" x14ac:dyDescent="0.25">
      <c r="A8998">
        <f ca="1">26222.5362195428*((RANDBETWEEN(2979,3282)))</f>
        <v>86009918.800100327</v>
      </c>
      <c r="B8998">
        <v>146319393.08803186</v>
      </c>
    </row>
    <row r="8999" spans="1:2" x14ac:dyDescent="0.25">
      <c r="A8999">
        <f ca="1">29641.5302145958*((RANDBETWEEN(2979,3282)))</f>
        <v>90050968.791941941</v>
      </c>
      <c r="B8999">
        <v>165140286.19379342</v>
      </c>
    </row>
    <row r="9000" spans="1:2" x14ac:dyDescent="0.25">
      <c r="A9000">
        <f ca="1">32080.1032976522*((RANDBETWEEN(2979,3282)))</f>
        <v>101373126.42058082</v>
      </c>
      <c r="B9000">
        <v>149818702.05739737</v>
      </c>
    </row>
    <row r="9001" spans="1:2" x14ac:dyDescent="0.25">
      <c r="A9001">
        <f ca="1">26857.5721311335*((RANDBETWEEN(2979,3282)))</f>
        <v>81459016.273727998</v>
      </c>
      <c r="B9001">
        <v>163359383.9656857</v>
      </c>
    </row>
    <row r="9002" spans="1:2" x14ac:dyDescent="0.25">
      <c r="A9002">
        <f ca="1">27874.1002692005*((RANDBETWEEN(2979,3282)))</f>
        <v>84486397.915946826</v>
      </c>
      <c r="B9002">
        <v>169580636.49161726</v>
      </c>
    </row>
    <row r="9003" spans="1:2" x14ac:dyDescent="0.25">
      <c r="A9003">
        <f ca="1">27702.3319274919*((RANDBETWEEN(2979,3282)))</f>
        <v>87373154.899309382</v>
      </c>
      <c r="B9003">
        <v>163116054.58634332</v>
      </c>
    </row>
    <row r="9004" spans="1:2" x14ac:dyDescent="0.25">
      <c r="A9004">
        <f ca="1">25206.4344751342*((RANDBETWEEN(2979,3282)))</f>
        <v>81794879.8718106</v>
      </c>
      <c r="B9004">
        <v>145548761.95992291</v>
      </c>
    </row>
    <row r="9005" spans="1:2" x14ac:dyDescent="0.25">
      <c r="A9005">
        <f ca="1">27748.8069855432*((RANDBETWEEN(2979,3282)))</f>
        <v>83551657.833470568</v>
      </c>
      <c r="B9005">
        <v>199591961.52931008</v>
      </c>
    </row>
    <row r="9006" spans="1:2" x14ac:dyDescent="0.25">
      <c r="A9006">
        <f ca="1">27547.1908441261*((RANDBETWEEN(2979,3282)))</f>
        <v>82999686.013352007</v>
      </c>
      <c r="B9006">
        <v>154801930.78844294</v>
      </c>
    </row>
    <row r="9007" spans="1:2" x14ac:dyDescent="0.25">
      <c r="A9007">
        <f ca="1">27892.6032053945*((RANDBETWEEN(2979,3282)))</f>
        <v>87889592.70019798</v>
      </c>
      <c r="B9007">
        <v>191915896.54913971</v>
      </c>
    </row>
    <row r="9008" spans="1:2" x14ac:dyDescent="0.25">
      <c r="A9008">
        <f ca="1">27950.3991919247*((RANDBETWEEN(2979,3282)))</f>
        <v>88630715.837593243</v>
      </c>
      <c r="B9008">
        <v>150194592.10530615</v>
      </c>
    </row>
    <row r="9009" spans="1:2" x14ac:dyDescent="0.25">
      <c r="A9009">
        <f ca="1">26971.7570587623*((RANDBETWEEN(2979,3282)))</f>
        <v>82857237.68451792</v>
      </c>
      <c r="B9009">
        <v>154007797.5593158</v>
      </c>
    </row>
    <row r="9010" spans="1:2" x14ac:dyDescent="0.25">
      <c r="A9010">
        <f ca="1">26777.0717232833*((RANDBETWEEN(2979,3282)))</f>
        <v>81268412.680164874</v>
      </c>
      <c r="B9010">
        <v>201111887.23656851</v>
      </c>
    </row>
    <row r="9011" spans="1:2" x14ac:dyDescent="0.25">
      <c r="A9011">
        <f ca="1">26417.7894437212*((RANDBETWEEN(2979,3282)))</f>
        <v>81155449.17111139</v>
      </c>
      <c r="B9011">
        <v>154855186.40701598</v>
      </c>
    </row>
    <row r="9012" spans="1:2" x14ac:dyDescent="0.25">
      <c r="A9012">
        <f ca="1">28996.6719334721*((RANDBETWEEN(2979,3282)))</f>
        <v>93427276.969647035</v>
      </c>
      <c r="B9012">
        <v>169002560.34567112</v>
      </c>
    </row>
    <row r="9013" spans="1:2" x14ac:dyDescent="0.25">
      <c r="A9013">
        <f ca="1">27618.7170635073*((RANDBETWEEN(2979,3282)))</f>
        <v>85452310.594491437</v>
      </c>
      <c r="B9013">
        <v>149741996.37848431</v>
      </c>
    </row>
    <row r="9014" spans="1:2" x14ac:dyDescent="0.25">
      <c r="A9014">
        <f ca="1">26228.3385453317*((RANDBETWEEN(2979,3282)))</f>
        <v>82068471.3083428</v>
      </c>
      <c r="B9014">
        <v>149880130.29547966</v>
      </c>
    </row>
    <row r="9015" spans="1:2" x14ac:dyDescent="0.25">
      <c r="A9015">
        <f ca="1">27323.0726850056*((RANDBETWEEN(2979,3282)))</f>
        <v>82816233.308252081</v>
      </c>
      <c r="B9015">
        <v>162521139.70166013</v>
      </c>
    </row>
    <row r="9016" spans="1:2" x14ac:dyDescent="0.25">
      <c r="A9016">
        <f ca="1">25920.823284752*((RANDBETWEEN(2979,3282)))</f>
        <v>80199027.243022561</v>
      </c>
      <c r="B9016">
        <v>149254597.22694254</v>
      </c>
    </row>
    <row r="9017" spans="1:2" x14ac:dyDescent="0.25">
      <c r="A9017">
        <f ca="1">26364.0522397732*((RANDBETWEEN(2979,3282)))</f>
        <v>80568543.644746944</v>
      </c>
      <c r="B9017">
        <v>152178380.51883969</v>
      </c>
    </row>
    <row r="9018" spans="1:2" x14ac:dyDescent="0.25">
      <c r="A9018">
        <f ca="1">27973.0682487*((RANDBETWEEN(2979,3282)))</f>
        <v>85821373.387011528</v>
      </c>
      <c r="B9018">
        <v>146540857.91918778</v>
      </c>
    </row>
    <row r="9019" spans="1:2" x14ac:dyDescent="0.25">
      <c r="A9019">
        <f ca="1">28453.4489380365*((RANDBETWEEN(2979,3282)))</f>
        <v>91278664.193221211</v>
      </c>
      <c r="B9019">
        <v>159070687.99791077</v>
      </c>
    </row>
    <row r="9020" spans="1:2" x14ac:dyDescent="0.25">
      <c r="A9020">
        <f ca="1">27612.5648906891*((RANDBETWEEN(2979,3282)))</f>
        <v>90016961.543646395</v>
      </c>
      <c r="B9020">
        <v>152801621.59665495</v>
      </c>
    </row>
    <row r="9021" spans="1:2" x14ac:dyDescent="0.25">
      <c r="A9021">
        <f ca="1">29578.7365762224*((RANDBETWEEN(2979,3282)))</f>
        <v>91191244.864493698</v>
      </c>
      <c r="B9021">
        <v>190662952.24436301</v>
      </c>
    </row>
    <row r="9022" spans="1:2" x14ac:dyDescent="0.25">
      <c r="A9022">
        <f ca="1">25830.8293193162*((RANDBETWEEN(2979,3282)))</f>
        <v>80902157.428098291</v>
      </c>
      <c r="B9022">
        <v>151186456.79288483</v>
      </c>
    </row>
    <row r="9023" spans="1:2" x14ac:dyDescent="0.25">
      <c r="A9023">
        <f ca="1">25704.1977452755*((RANDBETWEEN(2979,3282)))</f>
        <v>83924205.638324574</v>
      </c>
      <c r="B9023">
        <v>144081037.87221858</v>
      </c>
    </row>
    <row r="9024" spans="1:2" x14ac:dyDescent="0.25">
      <c r="A9024">
        <f ca="1">26534.8481643742*((RANDBETWEEN(2979,3282)))</f>
        <v>83664376.262271971</v>
      </c>
      <c r="B9024">
        <v>143244860.60476387</v>
      </c>
    </row>
    <row r="9025" spans="1:2" x14ac:dyDescent="0.25">
      <c r="A9025">
        <f ca="1">26962.3141835477*((RANDBETWEEN(2979,3282)))</f>
        <v>82154171.317269951</v>
      </c>
      <c r="B9025">
        <v>151348684.48290327</v>
      </c>
    </row>
    <row r="9026" spans="1:2" x14ac:dyDescent="0.25">
      <c r="A9026">
        <f ca="1">27329.1104880033*((RANDBETWEEN(2979,3282)))</f>
        <v>86578622.025994524</v>
      </c>
      <c r="B9026">
        <v>150200432.48631269</v>
      </c>
    </row>
    <row r="9027" spans="1:2" x14ac:dyDescent="0.25">
      <c r="A9027">
        <f ca="1">27320.1756888444*((RANDBETWEEN(2979,3282)))</f>
        <v>84364702.527151614</v>
      </c>
      <c r="B9027">
        <v>175262906.74257058</v>
      </c>
    </row>
    <row r="9028" spans="1:2" x14ac:dyDescent="0.25">
      <c r="A9028">
        <f ca="1">28400.6049794489*((RANDBETWEEN(2979,3282)))</f>
        <v>88269080.276127338</v>
      </c>
      <c r="B9028">
        <v>152066476.56356877</v>
      </c>
    </row>
    <row r="9029" spans="1:2" x14ac:dyDescent="0.25">
      <c r="A9029">
        <f ca="1">29245.659269827*((RANDBETWEEN(2979,3282)))</f>
        <v>91626650.492367983</v>
      </c>
      <c r="B9029">
        <v>157807082.5722346</v>
      </c>
    </row>
    <row r="9030" spans="1:2" x14ac:dyDescent="0.25">
      <c r="A9030">
        <f ca="1">30303.1677675427*((RANDBETWEEN(2979,3282)))</f>
        <v>98606507.915583998</v>
      </c>
      <c r="B9030">
        <v>197618382.9568502</v>
      </c>
    </row>
    <row r="9031" spans="1:2" x14ac:dyDescent="0.25">
      <c r="A9031">
        <f ca="1">27962.553488715*((RANDBETWEEN(2979,3282)))</f>
        <v>89116657.968534589</v>
      </c>
      <c r="B9031">
        <v>152045789.25925916</v>
      </c>
    </row>
    <row r="9032" spans="1:2" x14ac:dyDescent="0.25">
      <c r="A9032">
        <f ca="1">28106.8230424437*((RANDBETWEEN(2979,3282)))</f>
        <v>88564599.406740114</v>
      </c>
      <c r="B9032">
        <v>165355298.3388963</v>
      </c>
    </row>
    <row r="9033" spans="1:2" x14ac:dyDescent="0.25">
      <c r="A9033">
        <f ca="1">26761.5503711838*((RANDBETWEEN(2979,3282)))</f>
        <v>85744007.389272764</v>
      </c>
      <c r="B9033">
        <v>150954708.05852166</v>
      </c>
    </row>
    <row r="9034" spans="1:2" x14ac:dyDescent="0.25">
      <c r="A9034">
        <f ca="1">27963.8909887266*((RANDBETWEEN(2979,3282)))</f>
        <v>89987801.201722249</v>
      </c>
      <c r="B9034">
        <v>166695960.36681902</v>
      </c>
    </row>
    <row r="9035" spans="1:2" x14ac:dyDescent="0.25">
      <c r="A9035">
        <f ca="1">25258.8434757083*((RANDBETWEEN(2979,3282)))</f>
        <v>82091241.296052128</v>
      </c>
      <c r="B9035">
        <v>195836220.70625272</v>
      </c>
    </row>
    <row r="9036" spans="1:2" x14ac:dyDescent="0.25">
      <c r="A9036">
        <f ca="1">25469.8117338062*((RANDBETWEEN(2979,3282)))</f>
        <v>77377288.047303349</v>
      </c>
      <c r="B9036">
        <v>145064761.12646371</v>
      </c>
    </row>
    <row r="9037" spans="1:2" x14ac:dyDescent="0.25">
      <c r="A9037">
        <f ca="1">25864.4653445346*((RANDBETWEEN(2979,3282)))</f>
        <v>79533230.934443951</v>
      </c>
      <c r="B9037">
        <v>147500918.12328681</v>
      </c>
    </row>
    <row r="9038" spans="1:2" x14ac:dyDescent="0.25">
      <c r="A9038">
        <f ca="1">26609.1475763043*((RANDBETWEEN(2979,3282)))</f>
        <v>85255708.834479094</v>
      </c>
      <c r="B9038">
        <v>170152206.07153502</v>
      </c>
    </row>
    <row r="9039" spans="1:2" x14ac:dyDescent="0.25">
      <c r="A9039">
        <f ca="1">27489.8786874288*((RANDBETWEEN(2979,3282)))</f>
        <v>84421417.449093938</v>
      </c>
      <c r="B9039">
        <v>148867495.50392273</v>
      </c>
    </row>
    <row r="9040" spans="1:2" x14ac:dyDescent="0.25">
      <c r="A9040">
        <f ca="1">30272.4077584164*((RANDBETWEEN(2979,3282)))</f>
        <v>97658787.428651437</v>
      </c>
      <c r="B9040">
        <v>173633506.72867125</v>
      </c>
    </row>
    <row r="9041" spans="1:2" x14ac:dyDescent="0.25">
      <c r="A9041">
        <f ca="1">32234.229396699*((RANDBETWEEN(2979,3282)))</f>
        <v>101698993.74658528</v>
      </c>
      <c r="B9041">
        <v>154499928.04893309</v>
      </c>
    </row>
    <row r="9042" spans="1:2" x14ac:dyDescent="0.25">
      <c r="A9042">
        <f ca="1">27012.6737053162*((RANDBETWEEN(2979,3282)))</f>
        <v>85657188.319557801</v>
      </c>
      <c r="B9042">
        <v>188719275.79322439</v>
      </c>
    </row>
    <row r="9043" spans="1:2" x14ac:dyDescent="0.25">
      <c r="A9043">
        <f ca="1">29291.923617982*((RANDBETWEEN(2979,3282)))</f>
        <v>95198751.758441389</v>
      </c>
      <c r="B9043">
        <v>163997329.42895746</v>
      </c>
    </row>
    <row r="9044" spans="1:2" x14ac:dyDescent="0.25">
      <c r="A9044">
        <f ca="1">28178.6670207573*((RANDBETWEEN(2979,3282)))</f>
        <v>91439774.482357517</v>
      </c>
      <c r="B9044">
        <v>197076025.40771282</v>
      </c>
    </row>
    <row r="9045" spans="1:2" x14ac:dyDescent="0.25">
      <c r="A9045">
        <f ca="1">28985.7084700126*((RANDBETWEEN(2979,3282)))</f>
        <v>86522339.782987595</v>
      </c>
      <c r="B9045">
        <v>160346712.39223912</v>
      </c>
    </row>
    <row r="9046" spans="1:2" x14ac:dyDescent="0.25">
      <c r="A9046">
        <f ca="1">28209.3298787901*((RANDBETWEEN(2979,3282)))</f>
        <v>88549086.489521995</v>
      </c>
      <c r="B9046">
        <v>202297173.4129172</v>
      </c>
    </row>
    <row r="9047" spans="1:2" x14ac:dyDescent="0.25">
      <c r="A9047">
        <f ca="1">32474.4361202506*((RANDBETWEEN(2979,3282)))</f>
        <v>97780527.158074528</v>
      </c>
      <c r="B9047">
        <v>197157826.32170045</v>
      </c>
    </row>
    <row r="9048" spans="1:2" x14ac:dyDescent="0.25">
      <c r="A9048">
        <f ca="1">27528.3137925338*((RANDBETWEEN(2979,3282)))</f>
        <v>83355734.163792402</v>
      </c>
      <c r="B9048">
        <v>151906206.51366124</v>
      </c>
    </row>
    <row r="9049" spans="1:2" x14ac:dyDescent="0.25">
      <c r="A9049">
        <f ca="1">25260.3771877683*((RANDBETWEEN(2979,3282)))</f>
        <v>82096225.860246956</v>
      </c>
      <c r="B9049">
        <v>148693156.74820182</v>
      </c>
    </row>
    <row r="9050" spans="1:2" x14ac:dyDescent="0.25">
      <c r="A9050">
        <f ca="1">26831.726607718*((RANDBETWEEN(2979,3282)))</f>
        <v>86076178.957559347</v>
      </c>
      <c r="B9050">
        <v>156518571.96397939</v>
      </c>
    </row>
    <row r="9051" spans="1:2" x14ac:dyDescent="0.25">
      <c r="A9051">
        <f ca="1">32306.4664680526*((RANDBETWEEN(2979,3282)))</f>
        <v>98954706.791645065</v>
      </c>
      <c r="B9051">
        <v>184228709.55097294</v>
      </c>
    </row>
    <row r="9052" spans="1:2" x14ac:dyDescent="0.25">
      <c r="A9052">
        <f ca="1">27860.0067448012*((RANDBETWEEN(2979,3282)))</f>
        <v>84304380.409768417</v>
      </c>
      <c r="B9052">
        <v>168772820.72028497</v>
      </c>
    </row>
    <row r="9053" spans="1:2" x14ac:dyDescent="0.25">
      <c r="A9053">
        <f ca="1">28910.8948950257*((RANDBETWEEN(2979,3282)))</f>
        <v>88814269.117518812</v>
      </c>
      <c r="B9053">
        <v>174308518.95190576</v>
      </c>
    </row>
    <row r="9054" spans="1:2" x14ac:dyDescent="0.25">
      <c r="A9054">
        <f ca="1">29747.6339804029*((RANDBETWEEN(2979,3282)))</f>
        <v>89034668.503345877</v>
      </c>
      <c r="B9054">
        <v>156164281.29509306</v>
      </c>
    </row>
    <row r="9055" spans="1:2" x14ac:dyDescent="0.25">
      <c r="A9055">
        <f ca="1">28029.0658901718*((RANDBETWEEN(2979,3282)))</f>
        <v>84675808.054208919</v>
      </c>
      <c r="B9055">
        <v>173300382.91213673</v>
      </c>
    </row>
    <row r="9056" spans="1:2" x14ac:dyDescent="0.25">
      <c r="A9056">
        <f ca="1">27410.2090876151*((RANDBETWEEN(2979,3282)))</f>
        <v>81682423.081093028</v>
      </c>
      <c r="B9056">
        <v>201320873.67073062</v>
      </c>
    </row>
    <row r="9057" spans="1:2" x14ac:dyDescent="0.25">
      <c r="A9057">
        <f ca="1">28816.2147925571*((RANDBETWEEN(2979,3282)))</f>
        <v>92183071.121390149</v>
      </c>
      <c r="B9057">
        <v>194088769.39727601</v>
      </c>
    </row>
    <row r="9058" spans="1:2" x14ac:dyDescent="0.25">
      <c r="A9058">
        <f ca="1">29678.398135883*((RANDBETWEEN(2979,3282)))</f>
        <v>95920582.775173917</v>
      </c>
      <c r="B9058">
        <v>147141407.70629886</v>
      </c>
    </row>
    <row r="9059" spans="1:2" x14ac:dyDescent="0.25">
      <c r="A9059">
        <f ca="1">26248.8941021588*((RANDBETWEEN(2979,3282)))</f>
        <v>82684016.4218003</v>
      </c>
      <c r="B9059">
        <v>192207206.76001102</v>
      </c>
    </row>
    <row r="9060" spans="1:2" x14ac:dyDescent="0.25">
      <c r="A9060">
        <f ca="1">27911.3818276342*((RANDBETWEEN(2979,3282)))</f>
        <v>84431930.028593317</v>
      </c>
      <c r="B9060">
        <v>170801272.07051486</v>
      </c>
    </row>
    <row r="9061" spans="1:2" x14ac:dyDescent="0.25">
      <c r="A9061">
        <f ca="1">26549.7355824673*((RANDBETWEEN(2979,3282)))</f>
        <v>84029913.11850895</v>
      </c>
      <c r="B9061">
        <v>159190675.75893316</v>
      </c>
    </row>
    <row r="9062" spans="1:2" x14ac:dyDescent="0.25">
      <c r="A9062">
        <f ca="1">26775.5305225794*((RANDBETWEEN(2979,3282)))</f>
        <v>81665368.093867064</v>
      </c>
      <c r="B9062">
        <v>193778077.71111459</v>
      </c>
    </row>
    <row r="9063" spans="1:2" x14ac:dyDescent="0.25">
      <c r="A9063">
        <f ca="1">26710.5715738587*((RANDBETWEEN(2979,3282)))</f>
        <v>82161718.161189407</v>
      </c>
      <c r="B9063">
        <v>146458765.19184986</v>
      </c>
    </row>
    <row r="9064" spans="1:2" x14ac:dyDescent="0.25">
      <c r="A9064">
        <f ca="1">26178.5383994637*((RANDBETWEEN(2979,3282)))</f>
        <v>80944040.731141761</v>
      </c>
      <c r="B9064">
        <v>169415886.81136826</v>
      </c>
    </row>
    <row r="9065" spans="1:2" x14ac:dyDescent="0.25">
      <c r="A9065">
        <f ca="1">30586.1590011773*((RANDBETWEEN(2979,3282)))</f>
        <v>94694748.267644927</v>
      </c>
      <c r="B9065">
        <v>160584947.36851242</v>
      </c>
    </row>
    <row r="9066" spans="1:2" x14ac:dyDescent="0.25">
      <c r="A9066">
        <f ca="1">27256.9339420243*((RANDBETWEEN(2979,3282)))</f>
        <v>83133648.523174137</v>
      </c>
      <c r="B9066">
        <v>154552798.23167455</v>
      </c>
    </row>
    <row r="9067" spans="1:2" x14ac:dyDescent="0.25">
      <c r="A9067">
        <f ca="1">25937.843277162*((RANDBETWEEN(2979,3282)))</f>
        <v>82404528.091543645</v>
      </c>
      <c r="B9067">
        <v>152659639.03514054</v>
      </c>
    </row>
    <row r="9068" spans="1:2" x14ac:dyDescent="0.25">
      <c r="A9068">
        <f ca="1">26483.765049874*((RANDBETWEEN(2979,3282)))</f>
        <v>85622012.406242639</v>
      </c>
      <c r="B9068">
        <v>184403716.79053819</v>
      </c>
    </row>
    <row r="9069" spans="1:2" x14ac:dyDescent="0.25">
      <c r="A9069">
        <f ca="1">26724.4823453249*((RANDBETWEEN(2979,3282)))</f>
        <v>86133006.598982051</v>
      </c>
      <c r="B9069">
        <v>150165699.81203204</v>
      </c>
    </row>
    <row r="9070" spans="1:2" x14ac:dyDescent="0.25">
      <c r="A9070">
        <f ca="1">27202.4969570472*((RANDBETWEEN(2979,3282)))</f>
        <v>88761747.570844948</v>
      </c>
      <c r="B9070">
        <v>144666887.60511008</v>
      </c>
    </row>
    <row r="9071" spans="1:2" x14ac:dyDescent="0.25">
      <c r="A9071">
        <f ca="1">26941.4303736592*((RANDBETWEEN(2979,3282)))</f>
        <v>85269627.132631391</v>
      </c>
      <c r="B9071">
        <v>147493507.45424598</v>
      </c>
    </row>
    <row r="9072" spans="1:2" x14ac:dyDescent="0.25">
      <c r="A9072">
        <f ca="1">28077.770347143*((RANDBETWEEN(2979,3282)))</f>
        <v>87602643.483086005</v>
      </c>
      <c r="B9072">
        <v>181011228.58835059</v>
      </c>
    </row>
    <row r="9073" spans="1:2" x14ac:dyDescent="0.25">
      <c r="A9073">
        <f ca="1">28667.9846858214*((RANDBETWEEN(2979,3282)))</f>
        <v>90017471.913479343</v>
      </c>
      <c r="B9073">
        <v>152695839.97252741</v>
      </c>
    </row>
    <row r="9074" spans="1:2" x14ac:dyDescent="0.25">
      <c r="A9074">
        <f ca="1">30136.5673180372*((RANDBETWEEN(2979,3282)))</f>
        <v>93815134.061049819</v>
      </c>
      <c r="B9074">
        <v>189671081.02170479</v>
      </c>
    </row>
    <row r="9075" spans="1:2" x14ac:dyDescent="0.25">
      <c r="A9075">
        <f ca="1">26045.5211642744*((RANDBETWEEN(2979,3282)))</f>
        <v>80116023.101308003</v>
      </c>
      <c r="B9075">
        <v>147342314.70273066</v>
      </c>
    </row>
    <row r="9076" spans="1:2" x14ac:dyDescent="0.25">
      <c r="A9076">
        <f ca="1">26601.0166734295*((RANDBETWEEN(2979,3282)))</f>
        <v>84378424.888118535</v>
      </c>
      <c r="B9076">
        <v>158040879.03724182</v>
      </c>
    </row>
    <row r="9077" spans="1:2" x14ac:dyDescent="0.25">
      <c r="A9077">
        <f ca="1">28583.084131518*((RANDBETWEEN(2979,3282)))</f>
        <v>87349905.105919138</v>
      </c>
      <c r="B9077">
        <v>150521708.14734724</v>
      </c>
    </row>
    <row r="9078" spans="1:2" x14ac:dyDescent="0.25">
      <c r="A9078">
        <f ca="1">29167.8757812839*((RANDBETWEEN(2979,3282)))</f>
        <v>90566254.300886422</v>
      </c>
      <c r="B9078">
        <v>151903880.25747627</v>
      </c>
    </row>
    <row r="9079" spans="1:2" x14ac:dyDescent="0.25">
      <c r="A9079">
        <f ca="1">26186.311294932*((RANDBETWEEN(2979,3282)))</f>
        <v>80470534.609326079</v>
      </c>
      <c r="B9079">
        <v>146537224.32619318</v>
      </c>
    </row>
    <row r="9080" spans="1:2" x14ac:dyDescent="0.25">
      <c r="A9080">
        <f ca="1">26952.2101864715*((RANDBETWEEN(2979,3282)))</f>
        <v>84549083.354961157</v>
      </c>
      <c r="B9080">
        <v>161414417.71895525</v>
      </c>
    </row>
    <row r="9081" spans="1:2" x14ac:dyDescent="0.25">
      <c r="A9081">
        <f ca="1">29400.3182412305*((RANDBETWEEN(2979,3282)))</f>
        <v>91523190.68495062</v>
      </c>
      <c r="B9081">
        <v>158863765.23428193</v>
      </c>
    </row>
    <row r="9082" spans="1:2" x14ac:dyDescent="0.25">
      <c r="A9082">
        <f ca="1">27378.5172369417*((RANDBETWEEN(2979,3282)))</f>
        <v>87857661.813346073</v>
      </c>
      <c r="B9082">
        <v>147086036.45912755</v>
      </c>
    </row>
    <row r="9083" spans="1:2" x14ac:dyDescent="0.25">
      <c r="A9083">
        <f ca="1">26240.9759940714*((RANDBETWEEN(2979,3282)))</f>
        <v>84233532.940969333</v>
      </c>
      <c r="B9083">
        <v>153250484.19912171</v>
      </c>
    </row>
    <row r="9084" spans="1:2" x14ac:dyDescent="0.25">
      <c r="A9084">
        <f ca="1">25588.2929904996*((RANDBETWEEN(2979,3282)))</f>
        <v>81191653.658855319</v>
      </c>
      <c r="B9084">
        <v>154670418.5879283</v>
      </c>
    </row>
    <row r="9085" spans="1:2" x14ac:dyDescent="0.25">
      <c r="A9085">
        <f ca="1">27713.7146831063*((RANDBETWEEN(2979,3282)))</f>
        <v>90429851.010975912</v>
      </c>
      <c r="B9085">
        <v>146056709.80448616</v>
      </c>
    </row>
    <row r="9086" spans="1:2" x14ac:dyDescent="0.25">
      <c r="A9086">
        <f ca="1">26911.2455829972*((RANDBETWEEN(2979,3282)))</f>
        <v>83371038.816125423</v>
      </c>
      <c r="B9086">
        <v>163591111.1014092</v>
      </c>
    </row>
    <row r="9087" spans="1:2" x14ac:dyDescent="0.25">
      <c r="A9087">
        <f ca="1">25994.9716967704*((RANDBETWEEN(2979,3282)))</f>
        <v>80922346.892046168</v>
      </c>
      <c r="B9087">
        <v>149499356.78205657</v>
      </c>
    </row>
    <row r="9088" spans="1:2" x14ac:dyDescent="0.25">
      <c r="A9088">
        <f ca="1">26881.8698402693*((RANDBETWEEN(2979,3282)))</f>
        <v>87473604.460236311</v>
      </c>
      <c r="B9088">
        <v>144170310.69079095</v>
      </c>
    </row>
    <row r="9089" spans="1:2" x14ac:dyDescent="0.25">
      <c r="A9089">
        <f ca="1">29484.9925790221*((RANDBETWEEN(2979,3282)))</f>
        <v>92818756.638761684</v>
      </c>
      <c r="B9089">
        <v>161651694.27704293</v>
      </c>
    </row>
    <row r="9090" spans="1:2" x14ac:dyDescent="0.25">
      <c r="A9090">
        <f ca="1">27509.3635229316*((RANDBETWEEN(2979,3282)))</f>
        <v>88222528.818041787</v>
      </c>
      <c r="B9090">
        <v>160511789.2505824</v>
      </c>
    </row>
    <row r="9091" spans="1:2" x14ac:dyDescent="0.25">
      <c r="A9091">
        <f ca="1">30761.3853794041*((RANDBETWEEN(2979,3282)))</f>
        <v>97575114.423469841</v>
      </c>
      <c r="B9091">
        <v>197515771.91111305</v>
      </c>
    </row>
    <row r="9092" spans="1:2" x14ac:dyDescent="0.25">
      <c r="A9092">
        <f ca="1">28523.3969967197*((RANDBETWEEN(2979,3282)))</f>
        <v>93071844.400296509</v>
      </c>
      <c r="B9092">
        <v>173617495.08230621</v>
      </c>
    </row>
    <row r="9093" spans="1:2" x14ac:dyDescent="0.25">
      <c r="A9093">
        <f ca="1">26494.4662355825*((RANDBETWEEN(2979,3282)))</f>
        <v>84252402.629152328</v>
      </c>
      <c r="B9093">
        <v>177182517.98945582</v>
      </c>
    </row>
    <row r="9094" spans="1:2" x14ac:dyDescent="0.25">
      <c r="A9094">
        <f ca="1">26938.1244766713*((RANDBETWEEN(2979,3282)))</f>
        <v>82969423.388147533</v>
      </c>
      <c r="B9094">
        <v>162640595.37005001</v>
      </c>
    </row>
    <row r="9095" spans="1:2" x14ac:dyDescent="0.25">
      <c r="A9095">
        <f ca="1">30803.176446172*((RANDBETWEEN(2979,3282)))</f>
        <v>98570164.627750337</v>
      </c>
      <c r="B9095">
        <v>189997037.25354955</v>
      </c>
    </row>
    <row r="9096" spans="1:2" x14ac:dyDescent="0.25">
      <c r="A9096">
        <f ca="1">29061.9344096414*((RANDBETWEEN(2979,3282)))</f>
        <v>93695676.536683813</v>
      </c>
      <c r="B9096">
        <v>169759122.62873894</v>
      </c>
    </row>
    <row r="9097" spans="1:2" x14ac:dyDescent="0.25">
      <c r="A9097">
        <f ca="1">26408.7586931914*((RANDBETWEEN(2979,3282)))</f>
        <v>79358319.87304011</v>
      </c>
      <c r="B9097">
        <v>196695278.62493846</v>
      </c>
    </row>
    <row r="9098" spans="1:2" x14ac:dyDescent="0.25">
      <c r="A9098">
        <f ca="1">26345.1475863942*((RANDBETWEEN(2979,3282)))</f>
        <v>83303356.668178454</v>
      </c>
      <c r="B9098">
        <v>150794564.06239656</v>
      </c>
    </row>
    <row r="9099" spans="1:2" x14ac:dyDescent="0.25">
      <c r="A9099">
        <f ca="1">25505.9650452821*((RANDBETWEEN(2979,3282)))</f>
        <v>77691169.527929276</v>
      </c>
      <c r="B9099">
        <v>162049413.95823923</v>
      </c>
    </row>
    <row r="9100" spans="1:2" x14ac:dyDescent="0.25">
      <c r="A9100">
        <f ca="1">25172.9493650453*((RANDBETWEEN(2979,3282)))</f>
        <v>75544021.044500798</v>
      </c>
      <c r="B9100">
        <v>149630132.48773515</v>
      </c>
    </row>
    <row r="9101" spans="1:2" x14ac:dyDescent="0.25">
      <c r="A9101">
        <f ca="1">29628.5094891917*((RANDBETWEEN(2979,3282)))</f>
        <v>95374172.04570803</v>
      </c>
      <c r="B9101">
        <v>189670651.9694328</v>
      </c>
    </row>
    <row r="9102" spans="1:2" x14ac:dyDescent="0.25">
      <c r="A9102">
        <f ca="1">30675.4248318781*((RANDBETWEEN(2979,3282)))</f>
        <v>93560045.737228096</v>
      </c>
      <c r="B9102">
        <v>157660159.60685605</v>
      </c>
    </row>
    <row r="9103" spans="1:2" x14ac:dyDescent="0.25">
      <c r="A9103">
        <f ca="1">28083.6777112202*((RANDBETWEEN(2979,3282)))</f>
        <v>90513693.263262704</v>
      </c>
      <c r="B9103">
        <v>186051818.17087853</v>
      </c>
    </row>
    <row r="9104" spans="1:2" x14ac:dyDescent="0.25">
      <c r="A9104">
        <f ca="1">28079.2859524207*((RANDBETWEEN(2979,3282)))</f>
        <v>89994111.477508187</v>
      </c>
      <c r="B9104">
        <v>166258201.48325503</v>
      </c>
    </row>
    <row r="9105" spans="1:2" x14ac:dyDescent="0.25">
      <c r="A9105">
        <f ca="1">26977.677651959*((RANDBETWEEN(2979,3282)))</f>
        <v>86112747.065053254</v>
      </c>
      <c r="B9105">
        <v>167139332.41331026</v>
      </c>
    </row>
    <row r="9106" spans="1:2" x14ac:dyDescent="0.25">
      <c r="A9106">
        <f ca="1">27924.3228067301*((RANDBETWEEN(2979,3282)))</f>
        <v>86006914.244728789</v>
      </c>
      <c r="B9106">
        <v>145815260.68627611</v>
      </c>
    </row>
    <row r="9107" spans="1:2" x14ac:dyDescent="0.25">
      <c r="A9107">
        <f ca="1">30769.6689865956*((RANDBETWEEN(2979,3282)))</f>
        <v>93201327.360398054</v>
      </c>
      <c r="B9107">
        <v>179939732.4207412</v>
      </c>
    </row>
    <row r="9108" spans="1:2" x14ac:dyDescent="0.25">
      <c r="A9108">
        <f ca="1">26081.5648768325*((RANDBETWEEN(2979,3282)))</f>
        <v>80383382.95039767</v>
      </c>
      <c r="B9108">
        <v>152235445.72224578</v>
      </c>
    </row>
    <row r="9109" spans="1:2" x14ac:dyDescent="0.25">
      <c r="A9109">
        <f ca="1">27369.2921078361*((RANDBETWEEN(2979,3282)))</f>
        <v>82381569.244586632</v>
      </c>
      <c r="B9109">
        <v>158436494.7518214</v>
      </c>
    </row>
    <row r="9110" spans="1:2" x14ac:dyDescent="0.25">
      <c r="A9110">
        <f ca="1">29482.7315918074*((RANDBETWEEN(2979,3282)))</f>
        <v>95347153.967905059</v>
      </c>
      <c r="B9110">
        <v>165555105.15578124</v>
      </c>
    </row>
    <row r="9111" spans="1:2" x14ac:dyDescent="0.25">
      <c r="A9111">
        <f ca="1">25976.2516557354*((RANDBETWEEN(2979,3282)))</f>
        <v>84059150.357959747</v>
      </c>
      <c r="B9111">
        <v>146306426.2829586</v>
      </c>
    </row>
    <row r="9112" spans="1:2" x14ac:dyDescent="0.25">
      <c r="A9112">
        <f ca="1">27298.0745447248*((RANDBETWEEN(2979,3282)))</f>
        <v>83040742.765052691</v>
      </c>
      <c r="B9112">
        <v>143195830.04511383</v>
      </c>
    </row>
    <row r="9113" spans="1:2" x14ac:dyDescent="0.25">
      <c r="A9113">
        <f ca="1">27590.595613257*((RANDBETWEEN(2979,3282)))</f>
        <v>90441972.420256585</v>
      </c>
      <c r="B9113">
        <v>179083482.42249352</v>
      </c>
    </row>
    <row r="9114" spans="1:2" x14ac:dyDescent="0.25">
      <c r="A9114">
        <f ca="1">27036.9729338367*((RANDBETWEEN(2979,3282)))</f>
        <v>87410533.495094121</v>
      </c>
      <c r="B9114">
        <v>156230411.53212842</v>
      </c>
    </row>
    <row r="9115" spans="1:2" x14ac:dyDescent="0.25">
      <c r="A9115">
        <f ca="1">29541.8833769236*((RANDBETWEEN(2979,3282)))</f>
        <v>93736395.954978451</v>
      </c>
      <c r="B9115">
        <v>144205736.29502583</v>
      </c>
    </row>
    <row r="9116" spans="1:2" x14ac:dyDescent="0.25">
      <c r="A9116">
        <f ca="1">27131.0418703711*((RANDBETWEEN(2979,3282)))</f>
        <v>82044270.616002321</v>
      </c>
      <c r="B9116">
        <v>173891298.72894001</v>
      </c>
    </row>
    <row r="9117" spans="1:2" x14ac:dyDescent="0.25">
      <c r="A9117">
        <f ca="1">30100.8962571141*((RANDBETWEEN(2979,3282)))</f>
        <v>96623876.98533617</v>
      </c>
      <c r="B9117">
        <v>174939890.12251937</v>
      </c>
    </row>
    <row r="9118" spans="1:2" x14ac:dyDescent="0.25">
      <c r="A9118">
        <f ca="1">28593.8821745108*((RANDBETWEEN(2979,3282)))</f>
        <v>90814169.786246389</v>
      </c>
      <c r="B9118">
        <v>171807768.78636628</v>
      </c>
    </row>
    <row r="9119" spans="1:2" x14ac:dyDescent="0.25">
      <c r="A9119">
        <f ca="1">27446.0981787538*((RANDBETWEEN(2979,3282)))</f>
        <v>87113915.619364545</v>
      </c>
      <c r="B9119">
        <v>195405053.05902395</v>
      </c>
    </row>
    <row r="9120" spans="1:2" x14ac:dyDescent="0.25">
      <c r="A9120">
        <f ca="1">31657.2802395481*((RANDBETWEEN(2979,3282)))</f>
        <v>99878719.155774266</v>
      </c>
      <c r="B9120">
        <v>158088570.20696467</v>
      </c>
    </row>
    <row r="9121" spans="1:2" x14ac:dyDescent="0.25">
      <c r="A9121">
        <f ca="1">27297.6026630463*((RANDBETWEEN(2979,3282)))</f>
        <v>84322294.626149967</v>
      </c>
      <c r="B9121">
        <v>162944581.10002577</v>
      </c>
    </row>
    <row r="9122" spans="1:2" x14ac:dyDescent="0.25">
      <c r="A9122">
        <f ca="1">29415.2419425886*((RANDBETWEEN(2979,3282)))</f>
        <v>92481520.667498663</v>
      </c>
      <c r="B9122">
        <v>151149071.85423964</v>
      </c>
    </row>
    <row r="9123" spans="1:2" x14ac:dyDescent="0.25">
      <c r="A9123">
        <f ca="1">28468.3241475868*((RANDBETWEEN(2979,3282)))</f>
        <v>90614675.761768714</v>
      </c>
      <c r="B9123">
        <v>203579958.64912441</v>
      </c>
    </row>
    <row r="9124" spans="1:2" x14ac:dyDescent="0.25">
      <c r="A9124">
        <f ca="1">26475.3230453336*((RANDBETWEEN(2979,3282)))</f>
        <v>84323903.899387404</v>
      </c>
      <c r="B9124">
        <v>191956563.26466534</v>
      </c>
    </row>
    <row r="9125" spans="1:2" x14ac:dyDescent="0.25">
      <c r="A9125">
        <f ca="1">28843.0019142719*((RANDBETWEEN(2979,3282)))</f>
        <v>86586691.746644258</v>
      </c>
      <c r="B9125">
        <v>177218695.02616164</v>
      </c>
    </row>
    <row r="9126" spans="1:2" x14ac:dyDescent="0.25">
      <c r="A9126">
        <f ca="1">26339.9360217327*((RANDBETWEEN(2979,3282)))</f>
        <v>85552112.198587701</v>
      </c>
      <c r="B9126">
        <v>146954109.04179481</v>
      </c>
    </row>
    <row r="9127" spans="1:2" x14ac:dyDescent="0.25">
      <c r="A9127">
        <f ca="1">25788.2498382885*((RANDBETWEEN(2979,3282)))</f>
        <v>82161363.984787226</v>
      </c>
      <c r="B9127">
        <v>152097319.56808031</v>
      </c>
    </row>
    <row r="9128" spans="1:2" x14ac:dyDescent="0.25">
      <c r="A9128">
        <f ca="1">26476.2662690927*((RANDBETWEEN(2979,3282)))</f>
        <v>85968436.575743988</v>
      </c>
      <c r="B9128">
        <v>151124375.6493969</v>
      </c>
    </row>
    <row r="9129" spans="1:2" x14ac:dyDescent="0.25">
      <c r="A9129">
        <f ca="1">26972.5856696771*((RANDBETWEEN(2979,3282)))</f>
        <v>84019604.361044019</v>
      </c>
      <c r="B9129">
        <v>184051549.45610341</v>
      </c>
    </row>
    <row r="9130" spans="1:2" x14ac:dyDescent="0.25">
      <c r="A9130">
        <f ca="1">26518.2568462487*((RANDBETWEEN(2979,3282)))</f>
        <v>87032918.969388291</v>
      </c>
      <c r="B9130">
        <v>148004387.9872542</v>
      </c>
    </row>
    <row r="9131" spans="1:2" x14ac:dyDescent="0.25">
      <c r="A9131">
        <f ca="1">29225.3457935405*((RANDBETWEEN(2979,3282)))</f>
        <v>88903501.90395008</v>
      </c>
      <c r="B9131">
        <v>201278253.14307088</v>
      </c>
    </row>
    <row r="9132" spans="1:2" x14ac:dyDescent="0.25">
      <c r="A9132">
        <f ca="1">27311.8291560706*((RANDBETWEEN(2979,3282)))</f>
        <v>85431401.600188941</v>
      </c>
      <c r="B9132">
        <v>170406605.6237002</v>
      </c>
    </row>
    <row r="9133" spans="1:2" x14ac:dyDescent="0.25">
      <c r="A9133">
        <f ca="1">27749.4010317552*((RANDBETWEEN(2979,3282)))</f>
        <v>88687085.697489575</v>
      </c>
      <c r="B9133">
        <v>149238636.22614971</v>
      </c>
    </row>
    <row r="9134" spans="1:2" x14ac:dyDescent="0.25">
      <c r="A9134">
        <f ca="1">28293.1305096586*((RANDBETWEEN(2979,3282)))</f>
        <v>91245345.893648982</v>
      </c>
      <c r="B9134">
        <v>159772951.22259182</v>
      </c>
    </row>
    <row r="9135" spans="1:2" x14ac:dyDescent="0.25">
      <c r="A9135">
        <f ca="1">27950.2960548469*((RANDBETWEEN(2979,3282)))</f>
        <v>86617967.473970458</v>
      </c>
      <c r="B9135">
        <v>188747320.29252985</v>
      </c>
    </row>
    <row r="9136" spans="1:2" x14ac:dyDescent="0.25">
      <c r="A9136">
        <f ca="1">28400.3235411454*((RANDBETWEEN(2979,3282)))</f>
        <v>91931847.302687734</v>
      </c>
      <c r="B9136">
        <v>200861929.13709465</v>
      </c>
    </row>
    <row r="9137" spans="1:2" x14ac:dyDescent="0.25">
      <c r="A9137">
        <f ca="1">32532.4789914153*((RANDBETWEEN(2979,3282)))</f>
        <v>106120946.46999662</v>
      </c>
      <c r="B9137">
        <v>159057000.28969812</v>
      </c>
    </row>
    <row r="9138" spans="1:2" x14ac:dyDescent="0.25">
      <c r="A9138">
        <f ca="1">26272.2889682*((RANDBETWEEN(2979,3282)))</f>
        <v>80156753.641978204</v>
      </c>
      <c r="B9138">
        <v>148128342.59680748</v>
      </c>
    </row>
    <row r="9139" spans="1:2" x14ac:dyDescent="0.25">
      <c r="A9139">
        <f ca="1">26450.3492130358*((RANDBETWEEN(2979,3282)))</f>
        <v>86201688.085283726</v>
      </c>
      <c r="B9139">
        <v>177505252.23666349</v>
      </c>
    </row>
    <row r="9140" spans="1:2" x14ac:dyDescent="0.25">
      <c r="A9140">
        <f ca="1">27723.7002832543*((RANDBETWEEN(2979,3282)))</f>
        <v>86192984.180637553</v>
      </c>
      <c r="B9140">
        <v>154630948.56772012</v>
      </c>
    </row>
    <row r="9141" spans="1:2" x14ac:dyDescent="0.25">
      <c r="A9141">
        <f ca="1">27229.32426892*((RANDBETWEEN(2979,3282)))</f>
        <v>81633514.158222258</v>
      </c>
      <c r="B9141">
        <v>161055261.09594512</v>
      </c>
    </row>
    <row r="9142" spans="1:2" x14ac:dyDescent="0.25">
      <c r="A9142">
        <f ca="1">27395.6648073859*((RANDBETWEEN(2979,3282)))</f>
        <v>87173005.417101905</v>
      </c>
      <c r="B9142">
        <v>187853663.52998322</v>
      </c>
    </row>
    <row r="9143" spans="1:2" x14ac:dyDescent="0.25">
      <c r="A9143">
        <f ca="1">30359.4301134075*((RANDBETWEEN(2979,3282)))</f>
        <v>91017571.479995787</v>
      </c>
      <c r="B9143">
        <v>180814667.17728668</v>
      </c>
    </row>
    <row r="9144" spans="1:2" x14ac:dyDescent="0.25">
      <c r="A9144">
        <f ca="1">27574.9561486813*((RANDBETWEEN(2979,3282)))</f>
        <v>88157134.80733414</v>
      </c>
      <c r="B9144">
        <v>159143889.80443934</v>
      </c>
    </row>
    <row r="9145" spans="1:2" x14ac:dyDescent="0.25">
      <c r="A9145">
        <f ca="1">27223.9036205964*((RANDBETWEEN(2979,3282)))</f>
        <v>85864192.01936093</v>
      </c>
      <c r="B9145">
        <v>155978664.02882445</v>
      </c>
    </row>
    <row r="9146" spans="1:2" x14ac:dyDescent="0.25">
      <c r="A9146">
        <f ca="1">28929.2087608319*((RANDBETWEEN(2979,3282)))</f>
        <v>93123123.001117885</v>
      </c>
      <c r="B9146">
        <v>151646537.85471109</v>
      </c>
    </row>
    <row r="9147" spans="1:2" x14ac:dyDescent="0.25">
      <c r="A9147">
        <f ca="1">31170.9301576107*((RANDBETWEEN(2979,3282)))</f>
        <v>99185899.761517331</v>
      </c>
      <c r="B9147">
        <v>157870863.92589593</v>
      </c>
    </row>
    <row r="9148" spans="1:2" x14ac:dyDescent="0.25">
      <c r="A9148">
        <f ca="1">27010.1193867121*((RANDBETWEEN(2979,3282)))</f>
        <v>81030358.160136387</v>
      </c>
      <c r="B9148">
        <v>159779624.53351083</v>
      </c>
    </row>
    <row r="9149" spans="1:2" x14ac:dyDescent="0.25">
      <c r="A9149">
        <f ca="1">33624.4608581192*((RANDBETWEEN(2979,3282)))</f>
        <v>103227094.83442599</v>
      </c>
      <c r="B9149">
        <v>197900063.33098844</v>
      </c>
    </row>
    <row r="9150" spans="1:2" x14ac:dyDescent="0.25">
      <c r="A9150">
        <f ca="1">27680.5576129563*((RANDBETWEEN(2979,3282)))</f>
        <v>88300978.785330445</v>
      </c>
      <c r="B9150">
        <v>147139430.9683857</v>
      </c>
    </row>
    <row r="9151" spans="1:2" x14ac:dyDescent="0.25">
      <c r="A9151">
        <f ca="1">27830.2985841024*((RANDBETWEEN(2979,3282)))</f>
        <v>89585731.142225713</v>
      </c>
      <c r="B9151">
        <v>152134802.53639352</v>
      </c>
    </row>
    <row r="9152" spans="1:2" x14ac:dyDescent="0.25">
      <c r="A9152">
        <f ca="1">31247.9721034413*((RANDBETWEEN(2979,3282)))</f>
        <v>101274677.58725327</v>
      </c>
      <c r="B9152">
        <v>166788526.40190953</v>
      </c>
    </row>
    <row r="9153" spans="1:2" x14ac:dyDescent="0.25">
      <c r="A9153">
        <f ca="1">24908.5957456095*((RANDBETWEEN(2979,3282)))</f>
        <v>78437168.002924412</v>
      </c>
      <c r="B9153">
        <v>164534687.07222104</v>
      </c>
    </row>
    <row r="9154" spans="1:2" x14ac:dyDescent="0.25">
      <c r="A9154">
        <f ca="1">26841.3924050224*((RANDBETWEEN(2979,3282)))</f>
        <v>84389337.721390516</v>
      </c>
      <c r="B9154">
        <v>191007032.7615287</v>
      </c>
    </row>
    <row r="9155" spans="1:2" x14ac:dyDescent="0.25">
      <c r="A9155">
        <f ca="1">27014.0045550187*((RANDBETWEEN(2979,3282)))</f>
        <v>81555279.751601368</v>
      </c>
      <c r="B9155">
        <v>183048457.84821871</v>
      </c>
    </row>
    <row r="9156" spans="1:2" x14ac:dyDescent="0.25">
      <c r="A9156">
        <f ca="1">26112.9345147843*((RANDBETWEEN(2979,3282)))</f>
        <v>81968501.441907808</v>
      </c>
      <c r="B9156">
        <v>171632553.20440727</v>
      </c>
    </row>
    <row r="9157" spans="1:2" x14ac:dyDescent="0.25">
      <c r="A9157">
        <f ca="1">29233.5362255805*((RANDBETWEEN(2979,3282)))</f>
        <v>89688489.140081033</v>
      </c>
      <c r="B9157">
        <v>155443712.55783993</v>
      </c>
    </row>
    <row r="9158" spans="1:2" x14ac:dyDescent="0.25">
      <c r="A9158">
        <f ca="1">26378.900736631*((RANDBETWEEN(2979,3282)))</f>
        <v>81510803.27618967</v>
      </c>
      <c r="B9158">
        <v>180017866.57997262</v>
      </c>
    </row>
    <row r="9159" spans="1:2" x14ac:dyDescent="0.25">
      <c r="A9159">
        <f ca="1">26047.2557414111*((RANDBETWEEN(2979,3282)))</f>
        <v>80017169.637615025</v>
      </c>
      <c r="B9159">
        <v>156821544.79053587</v>
      </c>
    </row>
    <row r="9160" spans="1:2" x14ac:dyDescent="0.25">
      <c r="A9160">
        <f ca="1">27767.1583292636*((RANDBETWEEN(2979,3282)))</f>
        <v>86938972.728924334</v>
      </c>
      <c r="B9160">
        <v>168928176.5249179</v>
      </c>
    </row>
    <row r="9161" spans="1:2" x14ac:dyDescent="0.25">
      <c r="A9161">
        <f ca="1">26456.8784830043*((RANDBETWEEN(2979,3282)))</f>
        <v>86831475.181220219</v>
      </c>
      <c r="B9161">
        <v>154595131.43948439</v>
      </c>
    </row>
    <row r="9162" spans="1:2" x14ac:dyDescent="0.25">
      <c r="A9162">
        <f ca="1">26312.8025778639*((RANDBETWEEN(2979,3282)))</f>
        <v>83674712.197607309</v>
      </c>
      <c r="B9162">
        <v>169622865.9167423</v>
      </c>
    </row>
    <row r="9163" spans="1:2" x14ac:dyDescent="0.25">
      <c r="A9163">
        <f ca="1">25924.3515852305*((RANDBETWEEN(2979,3282)))</f>
        <v>83061622.479078442</v>
      </c>
      <c r="B9163">
        <v>190552061.17742023</v>
      </c>
    </row>
    <row r="9164" spans="1:2" x14ac:dyDescent="0.25">
      <c r="A9164">
        <f ca="1">27544.1698926905*((RANDBETWEEN(2979,3282)))</f>
        <v>83761820.643671706</v>
      </c>
      <c r="B9164">
        <v>146056475.90919837</v>
      </c>
    </row>
    <row r="9165" spans="1:2" x14ac:dyDescent="0.25">
      <c r="A9165">
        <f ca="1">26390.817983327*((RANDBETWEEN(2979,3282)))</f>
        <v>84477008.364629745</v>
      </c>
      <c r="B9165">
        <v>165858136.28418869</v>
      </c>
    </row>
    <row r="9166" spans="1:2" x14ac:dyDescent="0.25">
      <c r="A9166">
        <f ca="1">26803.6559225277*((RANDBETWEEN(2979,3282)))</f>
        <v>80491378.735350639</v>
      </c>
      <c r="B9166">
        <v>187109976.5302451</v>
      </c>
    </row>
    <row r="9167" spans="1:2" x14ac:dyDescent="0.25">
      <c r="A9167">
        <f ca="1">26538.6239624665*((RANDBETWEEN(2979,3282)))</f>
        <v>79934335.374949202</v>
      </c>
      <c r="B9167">
        <v>159011930.41004524</v>
      </c>
    </row>
    <row r="9168" spans="1:2" x14ac:dyDescent="0.25">
      <c r="A9168">
        <f ca="1">30066.0415319353*((RANDBETWEEN(2979,3282)))</f>
        <v>97834899.144917563</v>
      </c>
      <c r="B9168">
        <v>169990971.47520274</v>
      </c>
    </row>
    <row r="9169" spans="1:2" x14ac:dyDescent="0.25">
      <c r="A9169">
        <f ca="1">29538.6181494619*((RANDBETWEEN(2979,3282)))</f>
        <v>96236817.930946961</v>
      </c>
      <c r="B9169">
        <v>145441086.49483633</v>
      </c>
    </row>
    <row r="9170" spans="1:2" x14ac:dyDescent="0.25">
      <c r="A9170">
        <f ca="1">26423.2497455073*((RANDBETWEEN(2979,3282)))</f>
        <v>79983176.979650512</v>
      </c>
      <c r="B9170">
        <v>150125491.6223374</v>
      </c>
    </row>
    <row r="9171" spans="1:2" x14ac:dyDescent="0.25">
      <c r="A9171">
        <f ca="1">27749.9178940115*((RANDBETWEEN(2979,3282)))</f>
        <v>90686731.677629545</v>
      </c>
      <c r="B9171">
        <v>155519109.39318299</v>
      </c>
    </row>
    <row r="9172" spans="1:2" x14ac:dyDescent="0.25">
      <c r="A9172">
        <f ca="1">24972.3111420764*((RANDBETWEEN(2979,3282)))</f>
        <v>78238250.808125243</v>
      </c>
      <c r="B9172">
        <v>146361088.12414721</v>
      </c>
    </row>
    <row r="9173" spans="1:2" x14ac:dyDescent="0.25">
      <c r="A9173">
        <f ca="1">26484.5600723195*((RANDBETWEEN(2979,3282)))</f>
        <v>84697623.111277774</v>
      </c>
      <c r="B9173">
        <v>144224808.91600978</v>
      </c>
    </row>
    <row r="9174" spans="1:2" x14ac:dyDescent="0.25">
      <c r="A9174">
        <f ca="1">31907.8237882906*((RANDBETWEEN(2979,3282)))</f>
        <v>102041220.47495341</v>
      </c>
      <c r="B9174">
        <v>144815925.05638152</v>
      </c>
    </row>
    <row r="9175" spans="1:2" x14ac:dyDescent="0.25">
      <c r="A9175">
        <f ca="1">27184.9563807172*((RANDBETWEEN(2979,3282)))</f>
        <v>85143283.384406134</v>
      </c>
      <c r="B9175">
        <v>173772108.98895675</v>
      </c>
    </row>
    <row r="9176" spans="1:2" x14ac:dyDescent="0.25">
      <c r="A9176">
        <f ca="1">33615.6872451527*((RANDBETWEEN(2979,3282)))</f>
        <v>106292803.06917289</v>
      </c>
      <c r="B9176">
        <v>152479793.45260584</v>
      </c>
    </row>
    <row r="9177" spans="1:2" x14ac:dyDescent="0.25">
      <c r="A9177">
        <f ca="1">26673.3376925996*((RANDBETWEEN(2979,3282)))</f>
        <v>79993339.740106091</v>
      </c>
      <c r="B9177">
        <v>165947653.79644027</v>
      </c>
    </row>
    <row r="9178" spans="1:2" x14ac:dyDescent="0.25">
      <c r="A9178">
        <f ca="1">27093.6982383722*((RANDBETWEEN(2979,3282)))</f>
        <v>86862396.552221179</v>
      </c>
      <c r="B9178">
        <v>199164373.61288902</v>
      </c>
    </row>
    <row r="9179" spans="1:2" x14ac:dyDescent="0.25">
      <c r="A9179">
        <f ca="1">27865.0279788257*((RANDBETWEEN(2979,3282)))</f>
        <v>86270126.622444451</v>
      </c>
      <c r="B9179">
        <v>151608240.18812865</v>
      </c>
    </row>
    <row r="9180" spans="1:2" x14ac:dyDescent="0.25">
      <c r="A9180">
        <f ca="1">25894.0626966168*((RANDBETWEEN(2979,3282)))</f>
        <v>81980602.497488767</v>
      </c>
      <c r="B9180">
        <v>149390259.12710127</v>
      </c>
    </row>
    <row r="9181" spans="1:2" x14ac:dyDescent="0.25">
      <c r="A9181">
        <f ca="1">29843.8565436357*((RANDBETWEEN(2979,3282)))</f>
        <v>95052683.091479674</v>
      </c>
      <c r="B9181">
        <v>189516996.90948072</v>
      </c>
    </row>
    <row r="9182" spans="1:2" x14ac:dyDescent="0.25">
      <c r="A9182">
        <f ca="1">25718.261238859*((RANDBETWEEN(2979,3282)))</f>
        <v>80935368.118689373</v>
      </c>
      <c r="B9182">
        <v>174753107.74830544</v>
      </c>
    </row>
    <row r="9183" spans="1:2" x14ac:dyDescent="0.25">
      <c r="A9183">
        <f ca="1">30736.0242032487*((RANDBETWEEN(2979,3282)))</f>
        <v>96173019.731965303</v>
      </c>
      <c r="B9183">
        <v>187048521.33315718</v>
      </c>
    </row>
    <row r="9184" spans="1:2" x14ac:dyDescent="0.25">
      <c r="A9184">
        <f ca="1">27180.8482645777*((RANDBETWEEN(2979,3282)))</f>
        <v>85619672.033419639</v>
      </c>
      <c r="B9184">
        <v>144314593.83225536</v>
      </c>
    </row>
    <row r="9185" spans="1:2" x14ac:dyDescent="0.25">
      <c r="A9185">
        <f ca="1">27072.075847385*((RANDBETWEEN(2979,3282)))</f>
        <v>87117940.07688503</v>
      </c>
      <c r="B9185">
        <v>155008355.30067629</v>
      </c>
    </row>
    <row r="9186" spans="1:2" x14ac:dyDescent="0.25">
      <c r="A9186">
        <f ca="1">29029.8848789753*((RANDBETWEEN(2979,3282)))</f>
        <v>93273020.116147622</v>
      </c>
      <c r="B9186">
        <v>160010807.77017772</v>
      </c>
    </row>
    <row r="9187" spans="1:2" x14ac:dyDescent="0.25">
      <c r="A9187">
        <f ca="1">28371.703382367*((RANDBETWEEN(2979,3282)))</f>
        <v>84916508.22342439</v>
      </c>
      <c r="B9187">
        <v>150217748.01223239</v>
      </c>
    </row>
    <row r="9188" spans="1:2" x14ac:dyDescent="0.25">
      <c r="A9188">
        <f ca="1">28190.8600800085*((RANDBETWEEN(2979,3282)))</f>
        <v>84713534.540425614</v>
      </c>
      <c r="B9188">
        <v>183509255.35766375</v>
      </c>
    </row>
    <row r="9189" spans="1:2" x14ac:dyDescent="0.25">
      <c r="A9189">
        <f ca="1">26965.4789738808*((RANDBETWEEN(2979,3282)))</f>
        <v>84105328.919534117</v>
      </c>
      <c r="B9189">
        <v>162724343.61252779</v>
      </c>
    </row>
    <row r="9190" spans="1:2" x14ac:dyDescent="0.25">
      <c r="A9190">
        <f ca="1">29310.5782253994*((RANDBETWEEN(2979,3282)))</f>
        <v>89866232.839074701</v>
      </c>
      <c r="B9190">
        <v>189319959.0616686</v>
      </c>
    </row>
    <row r="9191" spans="1:2" x14ac:dyDescent="0.25">
      <c r="A9191">
        <f ca="1">25064.1616580668*((RANDBETWEEN(2979,3282)))</f>
        <v>78801724.252961889</v>
      </c>
      <c r="B9191">
        <v>156447026.79550412</v>
      </c>
    </row>
    <row r="9192" spans="1:2" x14ac:dyDescent="0.25">
      <c r="A9192">
        <f ca="1">26203.448309742*((RANDBETWEEN(2979,3282)))</f>
        <v>85790089.766095296</v>
      </c>
      <c r="B9192">
        <v>199593725.50547662</v>
      </c>
    </row>
    <row r="9193" spans="1:2" x14ac:dyDescent="0.25">
      <c r="A9193">
        <f ca="1">28240.672867883*((RANDBETWEEN(2979,3282)))</f>
        <v>90059505.775678813</v>
      </c>
      <c r="B9193">
        <v>157653011.91227701</v>
      </c>
    </row>
    <row r="9194" spans="1:2" x14ac:dyDescent="0.25">
      <c r="A9194">
        <f ca="1">28352.3883232567*((RANDBETWEEN(2979,3282)))</f>
        <v>85624212.73623535</v>
      </c>
      <c r="B9194">
        <v>173403297.41517025</v>
      </c>
    </row>
    <row r="9195" spans="1:2" x14ac:dyDescent="0.25">
      <c r="A9195">
        <f ca="1">27075.364865359*((RANDBETWEEN(2979,3282)))</f>
        <v>87236825.596186802</v>
      </c>
      <c r="B9195">
        <v>167203769.00848755</v>
      </c>
    </row>
    <row r="9196" spans="1:2" x14ac:dyDescent="0.25">
      <c r="A9196">
        <f ca="1">28852.3413803431*((RANDBETWEEN(2979,3282)))</f>
        <v>91663888.56535013</v>
      </c>
      <c r="B9196">
        <v>183004493.18362293</v>
      </c>
    </row>
    <row r="9197" spans="1:2" x14ac:dyDescent="0.25">
      <c r="A9197">
        <f ca="1">27074.4976787649*((RANDBETWEEN(2979,3282)))</f>
        <v>85149295.19971557</v>
      </c>
      <c r="B9197">
        <v>157496961.00780714</v>
      </c>
    </row>
    <row r="9198" spans="1:2" x14ac:dyDescent="0.25">
      <c r="A9198">
        <f ca="1">33516.8595059041*((RANDBETWEEN(2979,3282)))</f>
        <v>106080860.33618632</v>
      </c>
      <c r="B9198">
        <v>200200487.37466961</v>
      </c>
    </row>
    <row r="9199" spans="1:2" x14ac:dyDescent="0.25">
      <c r="A9199">
        <f ca="1">32385.3395203077*((RANDBETWEEN(2979,3282)))</f>
        <v>104377949.27395162</v>
      </c>
      <c r="B9199">
        <v>159246657.85641164</v>
      </c>
    </row>
    <row r="9200" spans="1:2" x14ac:dyDescent="0.25">
      <c r="A9200">
        <f ca="1">27660.9392084388*((RANDBETWEEN(2979,3282)))</f>
        <v>82789191.050857276</v>
      </c>
      <c r="B9200">
        <v>165259312.4833658</v>
      </c>
    </row>
    <row r="9201" spans="1:2" x14ac:dyDescent="0.25">
      <c r="A9201">
        <f ca="1">26092.8865745366*((RANDBETWEEN(2979,3282)))</f>
        <v>80992319.927361459</v>
      </c>
      <c r="B9201">
        <v>157160093.05827054</v>
      </c>
    </row>
    <row r="9202" spans="1:2" x14ac:dyDescent="0.25">
      <c r="A9202">
        <f ca="1">33251.9056973611*((RANDBETWEEN(2979,3282)))</f>
        <v>101285304.75416203</v>
      </c>
      <c r="B9202">
        <v>179734009.41302741</v>
      </c>
    </row>
    <row r="9203" spans="1:2" x14ac:dyDescent="0.25">
      <c r="A9203">
        <f ca="1">27729.112643332*((RANDBETWEEN(2979,3282)))</f>
        <v>86819851.686272591</v>
      </c>
      <c r="B9203">
        <v>176230740.33941823</v>
      </c>
    </row>
    <row r="9204" spans="1:2" x14ac:dyDescent="0.25">
      <c r="A9204">
        <f ca="1">29823.9955610628*((RANDBETWEEN(2979,3282)))</f>
        <v>93229810.12388216</v>
      </c>
      <c r="B9204">
        <v>147526493.29493022</v>
      </c>
    </row>
    <row r="9205" spans="1:2" x14ac:dyDescent="0.25">
      <c r="A9205">
        <f ca="1">27308.4157980013*((RANDBETWEEN(2979,3282)))</f>
        <v>84710705.805400133</v>
      </c>
      <c r="B9205">
        <v>157575381.96224311</v>
      </c>
    </row>
    <row r="9206" spans="1:2" x14ac:dyDescent="0.25">
      <c r="A9206">
        <f ca="1">27510.7109479323*((RANDBETWEEN(2979,3282)))</f>
        <v>85833418.157548711</v>
      </c>
      <c r="B9206">
        <v>183386681.53844535</v>
      </c>
    </row>
    <row r="9207" spans="1:2" x14ac:dyDescent="0.25">
      <c r="A9207">
        <f ca="1">31539.987790406*((RANDBETWEEN(2979,3282)))</f>
        <v>100013301.28337751</v>
      </c>
      <c r="B9207">
        <v>203605450.54670566</v>
      </c>
    </row>
    <row r="9208" spans="1:2" x14ac:dyDescent="0.25">
      <c r="A9208">
        <f ca="1">25997.423548748*((RANDBETWEEN(2979,3282)))</f>
        <v>81839889.331458732</v>
      </c>
      <c r="B9208">
        <v>169779935.44549245</v>
      </c>
    </row>
    <row r="9209" spans="1:2" x14ac:dyDescent="0.25">
      <c r="A9209">
        <f ca="1">24976.6113639147*((RANDBETWEEN(2979,3282)))</f>
        <v>76178664.659939766</v>
      </c>
      <c r="B9209">
        <v>149519514.00839245</v>
      </c>
    </row>
    <row r="9210" spans="1:2" x14ac:dyDescent="0.25">
      <c r="A9210">
        <f ca="1">30316.0267957816*((RANDBETWEEN(2979,3282)))</f>
        <v>99345619.809776306</v>
      </c>
      <c r="B9210">
        <v>190291208.37329438</v>
      </c>
    </row>
    <row r="9211" spans="1:2" x14ac:dyDescent="0.25">
      <c r="A9211">
        <f ca="1">27805.9324437511*((RANDBETWEEN(2979,3282)))</f>
        <v>89229237.211997345</v>
      </c>
      <c r="B9211">
        <v>178316810.08312535</v>
      </c>
    </row>
    <row r="9212" spans="1:2" x14ac:dyDescent="0.25">
      <c r="A9212">
        <f ca="1">28591.133878753*((RANDBETWEEN(2979,3282)))</f>
        <v>89175746.567830607</v>
      </c>
      <c r="B9212">
        <v>151127092.20912737</v>
      </c>
    </row>
    <row r="9213" spans="1:2" x14ac:dyDescent="0.25">
      <c r="A9213">
        <f ca="1">26384.5306000175*((RANDBETWEEN(2979,3282)))</f>
        <v>79654897.881452769</v>
      </c>
      <c r="B9213">
        <v>144732202.63587576</v>
      </c>
    </row>
    <row r="9214" spans="1:2" x14ac:dyDescent="0.25">
      <c r="A9214">
        <f ca="1">27437.6085444311*((RANDBETWEEN(2979,3282)))</f>
        <v>85330962.573180616</v>
      </c>
      <c r="B9214">
        <v>200590055.24511796</v>
      </c>
    </row>
    <row r="9215" spans="1:2" x14ac:dyDescent="0.25">
      <c r="A9215">
        <f ca="1">31648.0693610182*((RANDBETWEEN(2979,3282)))</f>
        <v>98045718.880434513</v>
      </c>
      <c r="B9215">
        <v>176323286.00355595</v>
      </c>
    </row>
    <row r="9216" spans="1:2" x14ac:dyDescent="0.25">
      <c r="A9216">
        <f ca="1">29093.8027818412*((RANDBETWEEN(2979,3282)))</f>
        <v>90830852.284908265</v>
      </c>
      <c r="B9216">
        <v>200476814.69742155</v>
      </c>
    </row>
    <row r="9217" spans="1:2" x14ac:dyDescent="0.25">
      <c r="A9217">
        <f ca="1">28318.6342383355*((RANDBETWEEN(2979,3282)))</f>
        <v>84616079.1041466</v>
      </c>
      <c r="B9217">
        <v>150003960.34005511</v>
      </c>
    </row>
    <row r="9218" spans="1:2" x14ac:dyDescent="0.25">
      <c r="A9218">
        <f ca="1">26489.2175022311*((RANDBETWEEN(2979,3282)))</f>
        <v>80341796.684267074</v>
      </c>
      <c r="B9218">
        <v>143541481.45869109</v>
      </c>
    </row>
    <row r="9219" spans="1:2" x14ac:dyDescent="0.25">
      <c r="A9219">
        <f ca="1">29007.9193676902*((RANDBETWEEN(2979,3282)))</f>
        <v>94652840.89677304</v>
      </c>
      <c r="B9219">
        <v>175428742.13213795</v>
      </c>
    </row>
    <row r="9220" spans="1:2" x14ac:dyDescent="0.25">
      <c r="A9220">
        <f ca="1">26446.1683913444*((RANDBETWEEN(2979,3282)))</f>
        <v>85262446.893694296</v>
      </c>
      <c r="B9220">
        <v>153344936.7034224</v>
      </c>
    </row>
    <row r="9221" spans="1:2" x14ac:dyDescent="0.25">
      <c r="A9221">
        <f ca="1">26055.3841409072*((RANDBETWEEN(2979,3282)))</f>
        <v>78426706.264130548</v>
      </c>
      <c r="B9221">
        <v>182461678.24138379</v>
      </c>
    </row>
    <row r="9222" spans="1:2" x14ac:dyDescent="0.25">
      <c r="A9222">
        <f ca="1">33031.6239117464*((RANDBETWEEN(2979,3282)))</f>
        <v>102001654.63947284</v>
      </c>
      <c r="B9222">
        <v>202465620.21435189</v>
      </c>
    </row>
    <row r="9223" spans="1:2" x14ac:dyDescent="0.25">
      <c r="A9223">
        <f ca="1">25832.8762228376*((RANDBETWEEN(2979,3282)))</f>
        <v>84628502.506015971</v>
      </c>
      <c r="B9223">
        <v>148207635.20310625</v>
      </c>
    </row>
    <row r="9224" spans="1:2" x14ac:dyDescent="0.25">
      <c r="A9224">
        <f ca="1">26474.9550561949*((RANDBETWEEN(2979,3282)))</f>
        <v>82495959.955103189</v>
      </c>
      <c r="B9224">
        <v>147022670.32890415</v>
      </c>
    </row>
    <row r="9225" spans="1:2" x14ac:dyDescent="0.25">
      <c r="A9225">
        <f ca="1">27447.8003363592*((RANDBETWEEN(2979,3282)))</f>
        <v>87613378.673658431</v>
      </c>
      <c r="B9225">
        <v>157434196.07778254</v>
      </c>
    </row>
    <row r="9226" spans="1:2" x14ac:dyDescent="0.25">
      <c r="A9226">
        <f ca="1">30844.3285746383*((RANDBETWEEN(2979,3282)))</f>
        <v>92964806.323959753</v>
      </c>
      <c r="B9226">
        <v>188612952.30810219</v>
      </c>
    </row>
    <row r="9227" spans="1:2" x14ac:dyDescent="0.25">
      <c r="A9227">
        <f ca="1">27251.7353169403*((RANDBETWEEN(2979,3282)))</f>
        <v>81509940.332968429</v>
      </c>
      <c r="B9227">
        <v>165978238.16448444</v>
      </c>
    </row>
    <row r="9228" spans="1:2" x14ac:dyDescent="0.25">
      <c r="A9228">
        <f ca="1">24926.9792071936*((RANDBETWEEN(2979,3282)))</f>
        <v>78943743.149182066</v>
      </c>
      <c r="B9228">
        <v>150574368.09678751</v>
      </c>
    </row>
    <row r="9229" spans="1:2" x14ac:dyDescent="0.25">
      <c r="A9229">
        <f ca="1">28211.9213757209*((RANDBETWEEN(2979,3282)))</f>
        <v>91209141.80770579</v>
      </c>
      <c r="B9229">
        <v>165840817.50120559</v>
      </c>
    </row>
    <row r="9230" spans="1:2" x14ac:dyDescent="0.25">
      <c r="A9230">
        <f ca="1">30975.1115655725*((RANDBETWEEN(2979,3282)))</f>
        <v>98655730.336348385</v>
      </c>
      <c r="B9230">
        <v>197880196.40192783</v>
      </c>
    </row>
    <row r="9231" spans="1:2" x14ac:dyDescent="0.25">
      <c r="A9231">
        <f ca="1">27900.8275427113*((RANDBETWEEN(2979,3282)))</f>
        <v>85153325.660354957</v>
      </c>
      <c r="B9231">
        <v>171816764.73020279</v>
      </c>
    </row>
    <row r="9232" spans="1:2" x14ac:dyDescent="0.25">
      <c r="A9232">
        <f ca="1">27609.9656996889*((RANDBETWEEN(2979,3282)))</f>
        <v>87523591.26801388</v>
      </c>
      <c r="B9232">
        <v>159030890.25512826</v>
      </c>
    </row>
    <row r="9233" spans="1:2" x14ac:dyDescent="0.25">
      <c r="A9233">
        <f ca="1">26942.1836486605*((RANDBETWEEN(2979,3282)))</f>
        <v>81500105.537197933</v>
      </c>
      <c r="B9233">
        <v>174385765.89556515</v>
      </c>
    </row>
    <row r="9234" spans="1:2" x14ac:dyDescent="0.25">
      <c r="A9234">
        <f ca="1">26736.4915265659*((RANDBETWEEN(2979,3282)))</f>
        <v>81706718.1051853</v>
      </c>
      <c r="B9234">
        <v>149846361.72301039</v>
      </c>
    </row>
    <row r="9235" spans="1:2" x14ac:dyDescent="0.25">
      <c r="A9235">
        <f ca="1">25918.8157272614*((RANDBETWEEN(2979,3282)))</f>
        <v>79829952.439965189</v>
      </c>
      <c r="B9235">
        <v>161874116.66279149</v>
      </c>
    </row>
    <row r="9236" spans="1:2" x14ac:dyDescent="0.25">
      <c r="A9236">
        <f ca="1">29170.764682734*((RANDBETWEEN(2979,3282)))</f>
        <v>87599806.342250198</v>
      </c>
      <c r="B9236">
        <v>200150088.36210546</v>
      </c>
    </row>
    <row r="9237" spans="1:2" x14ac:dyDescent="0.25">
      <c r="A9237">
        <f ca="1">29176.7955961666*((RANDBETWEEN(2979,3282)))</f>
        <v>90156298.392154723</v>
      </c>
      <c r="B9237">
        <v>169192490.52324069</v>
      </c>
    </row>
    <row r="9238" spans="1:2" x14ac:dyDescent="0.25">
      <c r="A9238">
        <f ca="1">27427.7297853808*((RANDBETWEEN(2979,3282)))</f>
        <v>88125295.800428376</v>
      </c>
      <c r="B9238">
        <v>146053149.79877028</v>
      </c>
    </row>
    <row r="9239" spans="1:2" x14ac:dyDescent="0.25">
      <c r="A9239">
        <f ca="1">29611.3997985889*((RANDBETWEEN(2979,3282)))</f>
        <v>97125391.339371741</v>
      </c>
      <c r="B9239">
        <v>179230198.61177775</v>
      </c>
    </row>
    <row r="9240" spans="1:2" x14ac:dyDescent="0.25">
      <c r="A9240">
        <f ca="1">26423.2767589178*((RANDBETWEEN(2979,3282)))</f>
        <v>86456961.555179149</v>
      </c>
      <c r="B9240">
        <v>159452980.05589372</v>
      </c>
    </row>
    <row r="9241" spans="1:2" x14ac:dyDescent="0.25">
      <c r="A9241">
        <f ca="1">25918.8376870613*((RANDBETWEEN(2979,3282)))</f>
        <v>78456321.678734422</v>
      </c>
      <c r="B9241">
        <v>148074052.80020031</v>
      </c>
    </row>
    <row r="9242" spans="1:2" x14ac:dyDescent="0.25">
      <c r="A9242">
        <f ca="1">26231.457597076*((RANDBETWEEN(2979,3282)))</f>
        <v>83022563.294745639</v>
      </c>
      <c r="B9242">
        <v>194976218.0150142</v>
      </c>
    </row>
    <row r="9243" spans="1:2" x14ac:dyDescent="0.25">
      <c r="A9243">
        <f ca="1">28694.0067440804*((RANDBETWEEN(2979,3282)))</f>
        <v>89726159.088739589</v>
      </c>
      <c r="B9243">
        <v>169852270.73373318</v>
      </c>
    </row>
    <row r="9244" spans="1:2" x14ac:dyDescent="0.25">
      <c r="A9244">
        <f ca="1">28180.7030758132*((RANDBETWEEN(2979,3282)))</f>
        <v>84993000.476652488</v>
      </c>
      <c r="B9244">
        <v>154485464.96933159</v>
      </c>
    </row>
    <row r="9245" spans="1:2" x14ac:dyDescent="0.25">
      <c r="A9245">
        <f ca="1">27201.3992214861*((RANDBETWEEN(2979,3282)))</f>
        <v>86554852.322768897</v>
      </c>
      <c r="B9245">
        <v>167346014.2655735</v>
      </c>
    </row>
    <row r="9246" spans="1:2" x14ac:dyDescent="0.25">
      <c r="A9246">
        <f ca="1">31863.1781145593*((RANDBETWEEN(2979,3282)))</f>
        <v>103587192.05043235</v>
      </c>
      <c r="B9246">
        <v>202331631.04457122</v>
      </c>
    </row>
    <row r="9247" spans="1:2" x14ac:dyDescent="0.25">
      <c r="A9247">
        <f ca="1">33616.5896079936*((RANDBETWEEN(2979,3282)))</f>
        <v>100917002.00319684</v>
      </c>
      <c r="B9247">
        <v>170920853.47483784</v>
      </c>
    </row>
    <row r="9248" spans="1:2" x14ac:dyDescent="0.25">
      <c r="A9248">
        <f ca="1">26856.1268965697*((RANDBETWEEN(2979,3282)))</f>
        <v>81776906.400054798</v>
      </c>
      <c r="B9248">
        <v>195392023.29875717</v>
      </c>
    </row>
    <row r="9249" spans="1:2" x14ac:dyDescent="0.25">
      <c r="A9249">
        <f ca="1">25971.9686914762*((RANDBETWEEN(2979,3282)))</f>
        <v>77578270.481439367</v>
      </c>
      <c r="B9249">
        <v>163220717.26841086</v>
      </c>
    </row>
    <row r="9250" spans="1:2" x14ac:dyDescent="0.25">
      <c r="A9250">
        <f ca="1">26381.8461098923*((RANDBETWEEN(2979,3282)))</f>
        <v>80095284.789633065</v>
      </c>
      <c r="B9250">
        <v>153148900.47712904</v>
      </c>
    </row>
    <row r="9251" spans="1:2" x14ac:dyDescent="0.25">
      <c r="A9251">
        <f ca="1">28280.5665489227*((RANDBETWEEN(2979,3282)))</f>
        <v>89734237.65973185</v>
      </c>
      <c r="B9251">
        <v>200415850.47473389</v>
      </c>
    </row>
    <row r="9252" spans="1:2" x14ac:dyDescent="0.25">
      <c r="A9252">
        <f ca="1">32930.2256663731*((RANDBETWEEN(2979,3282)))</f>
        <v>107187884.54404446</v>
      </c>
      <c r="B9252">
        <v>188425502.81843427</v>
      </c>
    </row>
    <row r="9253" spans="1:2" x14ac:dyDescent="0.25">
      <c r="A9253">
        <f ca="1">26523.8583318781*((RANDBETWEEN(2979,3282)))</f>
        <v>85831205.561957464</v>
      </c>
      <c r="B9253">
        <v>149946891.44693109</v>
      </c>
    </row>
    <row r="9254" spans="1:2" x14ac:dyDescent="0.25">
      <c r="A9254">
        <f ca="1">28330.358245395*((RANDBETWEEN(2979,3282)))</f>
        <v>91677039.282098204</v>
      </c>
      <c r="B9254">
        <v>144277779.85127568</v>
      </c>
    </row>
    <row r="9255" spans="1:2" x14ac:dyDescent="0.25">
      <c r="A9255">
        <f ca="1">27179.3522517113*((RANDBETWEEN(2979,3282)))</f>
        <v>82081643.800168201</v>
      </c>
      <c r="B9255">
        <v>185799124.75324056</v>
      </c>
    </row>
    <row r="9256" spans="1:2" x14ac:dyDescent="0.25">
      <c r="A9256">
        <f ca="1">27665.994312937*((RANDBETWEEN(2979,3282)))</f>
        <v>86539230.210867032</v>
      </c>
      <c r="B9256">
        <v>175915605.95455432</v>
      </c>
    </row>
    <row r="9257" spans="1:2" x14ac:dyDescent="0.25">
      <c r="A9257">
        <f ca="1">26927.1339852554*((RANDBETWEEN(2979,3282)))</f>
        <v>88186363.801711589</v>
      </c>
      <c r="B9257">
        <v>149321781.36231235</v>
      </c>
    </row>
    <row r="9258" spans="1:2" x14ac:dyDescent="0.25">
      <c r="A9258">
        <f ca="1">26246.6276914415*((RANDBETWEEN(2979,3282)))</f>
        <v>83700495.708006874</v>
      </c>
      <c r="B9258">
        <v>151257640.9011786</v>
      </c>
    </row>
    <row r="9259" spans="1:2" x14ac:dyDescent="0.25">
      <c r="A9259">
        <f ca="1">30054.1932091274*((RANDBETWEEN(2979,3282)))</f>
        <v>91034151.230447009</v>
      </c>
      <c r="B9259">
        <v>193470010.0355261</v>
      </c>
    </row>
    <row r="9260" spans="1:2" x14ac:dyDescent="0.25">
      <c r="A9260">
        <f ca="1">27126.3447541284*((RANDBETWEEN(2979,3282)))</f>
        <v>83603394.532223582</v>
      </c>
      <c r="B9260">
        <v>179435874.75162828</v>
      </c>
    </row>
    <row r="9261" spans="1:2" x14ac:dyDescent="0.25">
      <c r="A9261">
        <f ca="1">26844.9068584266*((RANDBETWEEN(2979,3282)))</f>
        <v>85823167.22638981</v>
      </c>
      <c r="B9261">
        <v>173371869.12968534</v>
      </c>
    </row>
    <row r="9262" spans="1:2" x14ac:dyDescent="0.25">
      <c r="A9262">
        <f ca="1">26195.6452887473*((RANDBETWEEN(2979,3282)))</f>
        <v>85476390.577182382</v>
      </c>
      <c r="B9262">
        <v>162360780.73043519</v>
      </c>
    </row>
    <row r="9263" spans="1:2" x14ac:dyDescent="0.25">
      <c r="A9263">
        <f ca="1">30565.5452499522*((RANDBETWEEN(2979,3282)))</f>
        <v>99154628.790844843</v>
      </c>
      <c r="B9263">
        <v>180263163.17603239</v>
      </c>
    </row>
    <row r="9264" spans="1:2" x14ac:dyDescent="0.25">
      <c r="A9264">
        <f ca="1">27613.8397333262*((RANDBETWEEN(2979,3282)))</f>
        <v>88778494.742643833</v>
      </c>
      <c r="B9264">
        <v>180097219.56204861</v>
      </c>
    </row>
    <row r="9265" spans="1:2" x14ac:dyDescent="0.25">
      <c r="A9265">
        <f ca="1">27397.1430955091*((RANDBETWEEN(2979,3282)))</f>
        <v>87917432.193488598</v>
      </c>
      <c r="B9265">
        <v>154136143.40599439</v>
      </c>
    </row>
    <row r="9266" spans="1:2" x14ac:dyDescent="0.25">
      <c r="A9266">
        <f ca="1">26649.3644823579*((RANDBETWEEN(2979,3282)))</f>
        <v>83439160.194262534</v>
      </c>
      <c r="B9266">
        <v>162535761.79209197</v>
      </c>
    </row>
    <row r="9267" spans="1:2" x14ac:dyDescent="0.25">
      <c r="A9267">
        <f ca="1">32115.2551473541*((RANDBETWEEN(2979,3282)))</f>
        <v>101195168.96931292</v>
      </c>
      <c r="B9267">
        <v>202350391.8790434</v>
      </c>
    </row>
    <row r="9268" spans="1:2" x14ac:dyDescent="0.25">
      <c r="A9268">
        <f ca="1">32593.3611988526*((RANDBETWEEN(2979,3282)))</f>
        <v>99996432.158079892</v>
      </c>
      <c r="B9268">
        <v>188836630.14544275</v>
      </c>
    </row>
    <row r="9269" spans="1:2" x14ac:dyDescent="0.25">
      <c r="A9269">
        <f ca="1">27298.0568275196*((RANDBETWEEN(2979,3282)))</f>
        <v>81675786.02793856</v>
      </c>
      <c r="B9269">
        <v>183384586.54469928</v>
      </c>
    </row>
    <row r="9270" spans="1:2" x14ac:dyDescent="0.25">
      <c r="A9270">
        <f ca="1">27331.7231901892*((RANDBETWEEN(2979,3282)))</f>
        <v>82514472.311181203</v>
      </c>
      <c r="B9270">
        <v>181554915.28406581</v>
      </c>
    </row>
    <row r="9271" spans="1:2" x14ac:dyDescent="0.25">
      <c r="A9271">
        <f ca="1">26197.7519861283*((RANDBETWEEN(2979,3282)))</f>
        <v>79038617.742149144</v>
      </c>
      <c r="B9271">
        <v>156698784.82005584</v>
      </c>
    </row>
    <row r="9272" spans="1:2" x14ac:dyDescent="0.25">
      <c r="A9272">
        <f ca="1">27624.7437991707*((RANDBETWEEN(2979,3282)))</f>
        <v>88537303.876342237</v>
      </c>
      <c r="B9272">
        <v>180188152.96371156</v>
      </c>
    </row>
    <row r="9273" spans="1:2" x14ac:dyDescent="0.25">
      <c r="A9273">
        <f ca="1">26681.6701033765*((RANDBETWEEN(2979,3282)))</f>
        <v>81619228.846228659</v>
      </c>
      <c r="B9273">
        <v>144331974.44886237</v>
      </c>
    </row>
    <row r="9274" spans="1:2" x14ac:dyDescent="0.25">
      <c r="A9274">
        <f ca="1">28042.3788310065*((RANDBETWEEN(2979,3282)))</f>
        <v>87744603.362219468</v>
      </c>
      <c r="B9274">
        <v>155072203.27547795</v>
      </c>
    </row>
    <row r="9275" spans="1:2" x14ac:dyDescent="0.25">
      <c r="A9275">
        <f ca="1">31422.1893156114*((RANDBETWEEN(2979,3282)))</f>
        <v>94737900.786568314</v>
      </c>
      <c r="B9275">
        <v>152129966.73799914</v>
      </c>
    </row>
    <row r="9276" spans="1:2" x14ac:dyDescent="0.25">
      <c r="A9276">
        <f ca="1">26830.8076928778*((RANDBETWEEN(2979,3282)))</f>
        <v>86395200.771066487</v>
      </c>
      <c r="B9276">
        <v>158814691.0079239</v>
      </c>
    </row>
    <row r="9277" spans="1:2" x14ac:dyDescent="0.25">
      <c r="A9277">
        <f ca="1">25650.8527316119*((RANDBETWEEN(2979,3282)))</f>
        <v>82031427.035694942</v>
      </c>
      <c r="B9277">
        <v>156673133.00879157</v>
      </c>
    </row>
    <row r="9278" spans="1:2" x14ac:dyDescent="0.25">
      <c r="A9278">
        <f ca="1">34141.2953513952*((RANDBETWEEN(2979,3282)))</f>
        <v>112051731.34327908</v>
      </c>
      <c r="B9278">
        <v>175029446.64174625</v>
      </c>
    </row>
    <row r="9279" spans="1:2" x14ac:dyDescent="0.25">
      <c r="A9279">
        <f ca="1">29519.2480038565*((RANDBETWEEN(2979,3282)))</f>
        <v>90240341.147789374</v>
      </c>
      <c r="B9279">
        <v>193226924.09886426</v>
      </c>
    </row>
    <row r="9280" spans="1:2" x14ac:dyDescent="0.25">
      <c r="A9280">
        <f ca="1">26176.1999556705*((RANDBETWEEN(2979,3282)))</f>
        <v>78266837.867454767</v>
      </c>
      <c r="B9280">
        <v>150782696.13923004</v>
      </c>
    </row>
    <row r="9281" spans="1:2" x14ac:dyDescent="0.25">
      <c r="A9281">
        <f ca="1">27640.6187722193*((RANDBETWEEN(2979,3282)))</f>
        <v>86542777.375818565</v>
      </c>
      <c r="B9281">
        <v>174156324.41360199</v>
      </c>
    </row>
    <row r="9282" spans="1:2" x14ac:dyDescent="0.25">
      <c r="A9282">
        <f ca="1">32945.7240368611*((RANDBETWEEN(2979,3282)))</f>
        <v>106612362.98328255</v>
      </c>
      <c r="B9282">
        <v>202912680.18242759</v>
      </c>
    </row>
    <row r="9283" spans="1:2" x14ac:dyDescent="0.25">
      <c r="A9283">
        <f ca="1">33203.509591847*((RANDBETWEEN(2979,3282)))</f>
        <v>101768756.89901102</v>
      </c>
      <c r="B9283">
        <v>155809721.4041543</v>
      </c>
    </row>
    <row r="9284" spans="1:2" x14ac:dyDescent="0.25">
      <c r="A9284">
        <f ca="1">27233.6657654452*((RANDBETWEEN(2979,3282)))</f>
        <v>83552886.568385825</v>
      </c>
      <c r="B9284">
        <v>143073479.65704453</v>
      </c>
    </row>
    <row r="9285" spans="1:2" x14ac:dyDescent="0.25">
      <c r="A9285">
        <f ca="1">30143.2185645916*((RANDBETWEEN(2979,3282)))</f>
        <v>90037793.852435037</v>
      </c>
      <c r="B9285">
        <v>192823093.06006795</v>
      </c>
    </row>
    <row r="9286" spans="1:2" x14ac:dyDescent="0.25">
      <c r="A9286">
        <f ca="1">24895.008513145*((RANDBETWEEN(2979,3282)))</f>
        <v>81356887.820957914</v>
      </c>
      <c r="B9286">
        <v>177918130.13935876</v>
      </c>
    </row>
    <row r="9287" spans="1:2" x14ac:dyDescent="0.25">
      <c r="A9287">
        <f ca="1">30659.0747442048*((RANDBETWEEN(2979,3282)))</f>
        <v>100316492.56303796</v>
      </c>
      <c r="B9287">
        <v>167793441.36835092</v>
      </c>
    </row>
    <row r="9288" spans="1:2" x14ac:dyDescent="0.25">
      <c r="A9288">
        <f ca="1">30900.6288488692*((RANDBETWEEN(2979,3282)))</f>
        <v>96317260.121925369</v>
      </c>
      <c r="B9288">
        <v>168849459.25991341</v>
      </c>
    </row>
    <row r="9289" spans="1:2" x14ac:dyDescent="0.25">
      <c r="A9289">
        <f ca="1">27318.7484404537*((RANDBETWEEN(2979,3282)))</f>
        <v>83240226.498062447</v>
      </c>
      <c r="B9289">
        <v>149734540.84784141</v>
      </c>
    </row>
    <row r="9290" spans="1:2" x14ac:dyDescent="0.25">
      <c r="A9290">
        <f ca="1">27031.9247710804*((RANDBETWEEN(2979,3282)))</f>
        <v>86799510.439939201</v>
      </c>
      <c r="B9290">
        <v>169801885.89534199</v>
      </c>
    </row>
    <row r="9291" spans="1:2" x14ac:dyDescent="0.25">
      <c r="A9291">
        <f ca="1">25479.9312218566*((RANDBETWEEN(2979,3282)))</f>
        <v>77509950.776887685</v>
      </c>
      <c r="B9291">
        <v>157796268.29176268</v>
      </c>
    </row>
    <row r="9292" spans="1:2" x14ac:dyDescent="0.25">
      <c r="A9292">
        <f ca="1">27534.569359028*((RANDBETWEEN(2979,3282)))</f>
        <v>88220760.226325572</v>
      </c>
      <c r="B9292">
        <v>182578273.88232464</v>
      </c>
    </row>
    <row r="9293" spans="1:2" x14ac:dyDescent="0.25">
      <c r="A9293">
        <f ca="1">28958.3658811391*((RANDBETWEEN(2979,3282)))</f>
        <v>89278642.011551738</v>
      </c>
      <c r="B9293">
        <v>159498269.64903522</v>
      </c>
    </row>
    <row r="9294" spans="1:2" x14ac:dyDescent="0.25">
      <c r="A9294">
        <f ca="1">26905.0826501296*((RANDBETWEEN(2979,3282)))</f>
        <v>82221932.578796118</v>
      </c>
      <c r="B9294">
        <v>147127662.03453603</v>
      </c>
    </row>
    <row r="9295" spans="1:2" x14ac:dyDescent="0.25">
      <c r="A9295">
        <f ca="1">30163.9330223358*((RANDBETWEEN(2979,3282)))</f>
        <v>92150815.383235753</v>
      </c>
      <c r="B9295">
        <v>203263064.74968332</v>
      </c>
    </row>
    <row r="9296" spans="1:2" x14ac:dyDescent="0.25">
      <c r="A9296">
        <f ca="1">27648.1056877747*((RANDBETWEEN(2979,3282)))</f>
        <v>87174477.233553588</v>
      </c>
      <c r="B9296">
        <v>168059394.68082386</v>
      </c>
    </row>
    <row r="9297" spans="1:2" x14ac:dyDescent="0.25">
      <c r="A9297">
        <f ca="1">32365.5876135044*((RANDBETWEEN(2979,3282)))</f>
        <v>103602245.95082742</v>
      </c>
      <c r="B9297">
        <v>199782524.59062636</v>
      </c>
    </row>
    <row r="9298" spans="1:2" x14ac:dyDescent="0.25">
      <c r="A9298">
        <f ca="1">28218.90646445*((RANDBETWEEN(2979,3282)))</f>
        <v>90102968.340988994</v>
      </c>
      <c r="B9298">
        <v>159043053.38027611</v>
      </c>
    </row>
    <row r="9299" spans="1:2" x14ac:dyDescent="0.25">
      <c r="A9299">
        <f ca="1">29949.9572058875*((RANDBETWEEN(2979,3282)))</f>
        <v>90209271.104133084</v>
      </c>
      <c r="B9299">
        <v>176241072.79885662</v>
      </c>
    </row>
    <row r="9300" spans="1:2" x14ac:dyDescent="0.25">
      <c r="A9300">
        <f ca="1">27704.699197182*((RANDBETWEEN(2979,3282)))</f>
        <v>90317319.382813334</v>
      </c>
      <c r="B9300">
        <v>199413458.84657383</v>
      </c>
    </row>
    <row r="9301" spans="1:2" x14ac:dyDescent="0.25">
      <c r="A9301">
        <f ca="1">29724.887157969*((RANDBETWEEN(2979,3282)))</f>
        <v>95743861.535818249</v>
      </c>
      <c r="B9301">
        <v>151578648.2918382</v>
      </c>
    </row>
    <row r="9302" spans="1:2" x14ac:dyDescent="0.25">
      <c r="A9302">
        <f ca="1">32715.7929402363*((RANDBETWEEN(2979,3282)))</f>
        <v>99357863.159497619</v>
      </c>
      <c r="B9302">
        <v>178288279.08408257</v>
      </c>
    </row>
    <row r="9303" spans="1:2" x14ac:dyDescent="0.25">
      <c r="A9303">
        <f ca="1">25440.6744075859*((RANDBETWEEN(2979,3282)))</f>
        <v>81232073.383421749</v>
      </c>
      <c r="B9303">
        <v>177010400.94866019</v>
      </c>
    </row>
    <row r="9304" spans="1:2" x14ac:dyDescent="0.25">
      <c r="A9304">
        <f ca="1">27027.1105370079*((RANDBETWEEN(2979,3282)))</f>
        <v>86784051.934332296</v>
      </c>
      <c r="B9304">
        <v>145777931.49402967</v>
      </c>
    </row>
    <row r="9305" spans="1:2" x14ac:dyDescent="0.25">
      <c r="A9305">
        <f ca="1">26931.6795164578*((RANDBETWEEN(2979,3282)))</f>
        <v>80983560.305988505</v>
      </c>
      <c r="B9305">
        <v>163027288.58823457</v>
      </c>
    </row>
    <row r="9306" spans="1:2" x14ac:dyDescent="0.25">
      <c r="A9306">
        <f ca="1">28680.5272391598*((RANDBETWEEN(2979,3282)))</f>
        <v>92896227.727638483</v>
      </c>
      <c r="B9306">
        <v>178094000.12073785</v>
      </c>
    </row>
    <row r="9307" spans="1:2" x14ac:dyDescent="0.25">
      <c r="A9307">
        <f ca="1">27501.6706500799*((RANDBETWEEN(2979,3282)))</f>
        <v>89270422.930159196</v>
      </c>
      <c r="B9307">
        <v>170749869.5415079</v>
      </c>
    </row>
    <row r="9308" spans="1:2" x14ac:dyDescent="0.25">
      <c r="A9308">
        <f ca="1">27606.7702152043*((RANDBETWEEN(2979,3282)))</f>
        <v>85470560.586272478</v>
      </c>
      <c r="B9308">
        <v>149428477.09688374</v>
      </c>
    </row>
    <row r="9309" spans="1:2" x14ac:dyDescent="0.25">
      <c r="A9309">
        <f ca="1">27462.2591640784*((RANDBETWEEN(2979,3282)))</f>
        <v>85352701.481955782</v>
      </c>
      <c r="B9309">
        <v>152806348.53573257</v>
      </c>
    </row>
    <row r="9310" spans="1:2" x14ac:dyDescent="0.25">
      <c r="A9310">
        <f ca="1">26163.0845243795*((RANDBETWEEN(2979,3282)))</f>
        <v>78515416.657662988</v>
      </c>
      <c r="B9310">
        <v>143916485.51288256</v>
      </c>
    </row>
    <row r="9311" spans="1:2" x14ac:dyDescent="0.25">
      <c r="A9311">
        <f ca="1">30824.5579510429*((RANDBETWEEN(2979,3282)))</f>
        <v>101135374.63737184</v>
      </c>
      <c r="B9311">
        <v>194442515.9167608</v>
      </c>
    </row>
    <row r="9312" spans="1:2" x14ac:dyDescent="0.25">
      <c r="A9312">
        <f ca="1">25779.382138385*((RANDBETWEEN(2979,3282)))</f>
        <v>82029993.964341193</v>
      </c>
      <c r="B9312">
        <v>165409101.8714745</v>
      </c>
    </row>
    <row r="9313" spans="1:2" x14ac:dyDescent="0.25">
      <c r="A9313">
        <f ca="1">26724.4776799436*((RANDBETWEEN(2979,3282)))</f>
        <v>86774379.026776806</v>
      </c>
      <c r="B9313">
        <v>146265759.84853548</v>
      </c>
    </row>
    <row r="9314" spans="1:2" x14ac:dyDescent="0.25">
      <c r="A9314">
        <f ca="1">30046.1522994974*((RANDBETWEEN(2979,3282)))</f>
        <v>98190825.714757502</v>
      </c>
      <c r="B9314">
        <v>149593307.24664375</v>
      </c>
    </row>
    <row r="9315" spans="1:2" x14ac:dyDescent="0.25">
      <c r="A9315">
        <f ca="1">32331.1233630002*((RANDBETWEEN(2979,3282)))</f>
        <v>103556588.13168955</v>
      </c>
      <c r="B9315">
        <v>189417351.97004339</v>
      </c>
    </row>
    <row r="9316" spans="1:2" x14ac:dyDescent="0.25">
      <c r="A9316">
        <f ca="1">28134.5775233475*((RANDBETWEEN(2979,3282)))</f>
        <v>92084472.233916476</v>
      </c>
      <c r="B9316">
        <v>147461349.84025651</v>
      </c>
    </row>
    <row r="9317" spans="1:2" x14ac:dyDescent="0.25">
      <c r="A9317">
        <f ca="1">30391.9030733877*((RANDBETWEEN(2979,3282)))</f>
        <v>95460967.553510636</v>
      </c>
      <c r="B9317">
        <v>202364293.77879891</v>
      </c>
    </row>
    <row r="9318" spans="1:2" x14ac:dyDescent="0.25">
      <c r="A9318">
        <f ca="1">29349.1725342989*((RANDBETWEEN(2979,3282)))</f>
        <v>87695327.532485098</v>
      </c>
      <c r="B9318">
        <v>180682315.79110491</v>
      </c>
    </row>
    <row r="9319" spans="1:2" x14ac:dyDescent="0.25">
      <c r="A9319">
        <f ca="1">26768.410027489*((RANDBETWEEN(2979,3282)))</f>
        <v>84641712.506920427</v>
      </c>
      <c r="B9319">
        <v>165654491.4787969</v>
      </c>
    </row>
    <row r="9320" spans="1:2" x14ac:dyDescent="0.25">
      <c r="A9320">
        <f ca="1">32793.050176901*((RANDBETWEEN(2979,3282)))</f>
        <v>105036139.71661395</v>
      </c>
      <c r="B9320">
        <v>156849535.46256047</v>
      </c>
    </row>
    <row r="9321" spans="1:2" x14ac:dyDescent="0.25">
      <c r="A9321">
        <f ca="1">27572.6922564473*((RANDBETWEEN(2979,3282)))</f>
        <v>87956888.298066914</v>
      </c>
      <c r="B9321">
        <v>179736560.18687838</v>
      </c>
    </row>
    <row r="9322" spans="1:2" x14ac:dyDescent="0.25">
      <c r="A9322">
        <f ca="1">31170.7028331888*((RANDBETWEEN(2979,3282)))</f>
        <v>94758936.612893954</v>
      </c>
      <c r="B9322">
        <v>167066498.32219306</v>
      </c>
    </row>
    <row r="9323" spans="1:2" x14ac:dyDescent="0.25">
      <c r="A9323">
        <f ca="1">32046.5097388541*((RANDBETWEEN(2979,3282)))</f>
        <v>102516784.65459429</v>
      </c>
      <c r="B9323">
        <v>192937566.53242719</v>
      </c>
    </row>
    <row r="9324" spans="1:2" x14ac:dyDescent="0.25">
      <c r="A9324">
        <f ca="1">29398.1348946795*((RANDBETWEEN(2979,3282)))</f>
        <v>87694636.390829086</v>
      </c>
      <c r="B9324">
        <v>161084197.79827619</v>
      </c>
    </row>
    <row r="9325" spans="1:2" x14ac:dyDescent="0.25">
      <c r="A9325">
        <f ca="1">28038.0567734247*((RANDBETWEEN(2979,3282)))</f>
        <v>90058238.356240183</v>
      </c>
      <c r="B9325">
        <v>160245847.58369279</v>
      </c>
    </row>
    <row r="9326" spans="1:2" x14ac:dyDescent="0.25">
      <c r="A9326">
        <f ca="1">32032.7835994206*((RANDBETWEEN(2979,3282)))</f>
        <v>101159530.60697016</v>
      </c>
      <c r="B9326">
        <v>187086791.72676456</v>
      </c>
    </row>
    <row r="9327" spans="1:2" x14ac:dyDescent="0.25">
      <c r="A9327">
        <f ca="1">28602.9636237944*((RANDBETWEEN(2979,3282)))</f>
        <v>85923302.725878656</v>
      </c>
      <c r="B9327">
        <v>163155903.12156892</v>
      </c>
    </row>
    <row r="9328" spans="1:2" x14ac:dyDescent="0.25">
      <c r="A9328">
        <f ca="1">26025.5488479948*((RANDBETWEEN(2979,3282)))</f>
        <v>77790365.506656557</v>
      </c>
      <c r="B9328">
        <v>143954510.46499896</v>
      </c>
    </row>
    <row r="9329" spans="1:2" x14ac:dyDescent="0.25">
      <c r="A9329">
        <f ca="1">29825.6629143905*((RANDBETWEEN(2979,3282)))</f>
        <v>90520886.945175275</v>
      </c>
      <c r="B9329">
        <v>157732262.85594764</v>
      </c>
    </row>
    <row r="9330" spans="1:2" x14ac:dyDescent="0.25">
      <c r="A9330">
        <f ca="1">27442.5029435694*((RANDBETWEEN(2979,3282)))</f>
        <v>88008106.940027088</v>
      </c>
      <c r="B9330">
        <v>200674423.9407919</v>
      </c>
    </row>
    <row r="9331" spans="1:2" x14ac:dyDescent="0.25">
      <c r="A9331">
        <f ca="1">29364.4019195508*((RANDBETWEEN(2979,3282)))</f>
        <v>95170026.62126413</v>
      </c>
      <c r="B9331">
        <v>165065265.76092309</v>
      </c>
    </row>
    <row r="9332" spans="1:2" x14ac:dyDescent="0.25">
      <c r="A9332">
        <f ca="1">29443.7918485774*((RANDBETWEEN(2979,3282)))</f>
        <v>90451328.558829889</v>
      </c>
      <c r="B9332">
        <v>169829074.75525051</v>
      </c>
    </row>
    <row r="9333" spans="1:2" x14ac:dyDescent="0.25">
      <c r="A9333">
        <f ca="1">26377.6582459413*((RANDBETWEEN(2979,3282)))</f>
        <v>80082570.434677899</v>
      </c>
      <c r="B9333">
        <v>146567614.21490142</v>
      </c>
    </row>
    <row r="9334" spans="1:2" x14ac:dyDescent="0.25">
      <c r="A9334">
        <f ca="1">28170.6155630994*((RANDBETWEEN(2979,3282)))</f>
        <v>91977059.813519388</v>
      </c>
      <c r="B9334">
        <v>180225342.6015735</v>
      </c>
    </row>
    <row r="9335" spans="1:2" x14ac:dyDescent="0.25">
      <c r="A9335">
        <f ca="1">27752.6998541291*((RANDBETWEEN(2979,3282)))</f>
        <v>85145283.152467936</v>
      </c>
      <c r="B9335">
        <v>144858680.68061265</v>
      </c>
    </row>
    <row r="9336" spans="1:2" x14ac:dyDescent="0.25">
      <c r="A9336">
        <f ca="1">25165.5086514334*((RANDBETWEEN(2979,3282)))</f>
        <v>80403800.141329587</v>
      </c>
      <c r="B9336">
        <v>147196345.39670184</v>
      </c>
    </row>
    <row r="9337" spans="1:2" x14ac:dyDescent="0.25">
      <c r="A9337">
        <f ca="1">29990.1397335864*((RANDBETWEEN(2979,3282)))</f>
        <v>92729512.056249186</v>
      </c>
      <c r="B9337">
        <v>162033453.19264513</v>
      </c>
    </row>
    <row r="9338" spans="1:2" x14ac:dyDescent="0.25">
      <c r="A9338">
        <f ca="1">31098.1357920383*((RANDBETWEEN(2979,3282)))</f>
        <v>99762819.620858759</v>
      </c>
      <c r="B9338">
        <v>174470332.08655995</v>
      </c>
    </row>
    <row r="9339" spans="1:2" x14ac:dyDescent="0.25">
      <c r="A9339">
        <f ca="1">30992.5399470621*((RANDBETWEEN(2979,3282)))</f>
        <v>100384836.88853405</v>
      </c>
      <c r="B9339">
        <v>157323805.51694563</v>
      </c>
    </row>
    <row r="9340" spans="1:2" x14ac:dyDescent="0.25">
      <c r="A9340">
        <f ca="1">30584.1784100983*((RANDBETWEEN(2979,3282)))</f>
        <v>91630198.51665464</v>
      </c>
      <c r="B9340">
        <v>174441219.59633958</v>
      </c>
    </row>
    <row r="9341" spans="1:2" x14ac:dyDescent="0.25">
      <c r="A9341">
        <f ca="1">27608.8165635035*((RANDBETWEEN(2979,3282)))</f>
        <v>90004741.997021362</v>
      </c>
      <c r="B9341">
        <v>161007723.12987071</v>
      </c>
    </row>
    <row r="9342" spans="1:2" x14ac:dyDescent="0.25">
      <c r="A9342">
        <f ca="1">28807.0006594689*((RANDBETWEEN(2979,3282)))</f>
        <v>90281140.066775545</v>
      </c>
      <c r="B9342">
        <v>187657267.9676621</v>
      </c>
    </row>
    <row r="9343" spans="1:2" x14ac:dyDescent="0.25">
      <c r="A9343">
        <f ca="1">26760.9066493377*((RANDBETWEEN(2979,3282)))</f>
        <v>80898220.800947949</v>
      </c>
      <c r="B9343">
        <v>165661998.40552932</v>
      </c>
    </row>
    <row r="9344" spans="1:2" x14ac:dyDescent="0.25">
      <c r="A9344">
        <f ca="1">26861.3552939919*((RANDBETWEEN(2979,3282)))</f>
        <v>85822030.164304212</v>
      </c>
      <c r="B9344">
        <v>165431963.65295225</v>
      </c>
    </row>
    <row r="9345" spans="1:2" x14ac:dyDescent="0.25">
      <c r="A9345">
        <f ca="1">30151.3405977849*((RANDBETWEEN(2979,3282)))</f>
        <v>93227945.128351018</v>
      </c>
      <c r="B9345">
        <v>178865901.70161796</v>
      </c>
    </row>
    <row r="9346" spans="1:2" x14ac:dyDescent="0.25">
      <c r="A9346">
        <f ca="1">25636.8192656175*((RANDBETWEEN(2979,3282)))</f>
        <v>77961567.386742815</v>
      </c>
      <c r="B9346">
        <v>146469946.10749513</v>
      </c>
    </row>
    <row r="9347" spans="1:2" x14ac:dyDescent="0.25">
      <c r="A9347">
        <f ca="1">28211.1913563267*((RANDBETWEEN(2979,3282)))</f>
        <v>90868247.358728379</v>
      </c>
      <c r="B9347">
        <v>158089053.53946525</v>
      </c>
    </row>
    <row r="9348" spans="1:2" x14ac:dyDescent="0.25">
      <c r="A9348">
        <f ca="1">27725.3840476958*((RANDBETWEEN(2979,3282)))</f>
        <v>86364571.308572412</v>
      </c>
      <c r="B9348">
        <v>158434181.1782788</v>
      </c>
    </row>
    <row r="9349" spans="1:2" x14ac:dyDescent="0.25">
      <c r="A9349">
        <f ca="1">26702.3203779001*((RANDBETWEEN(2979,3282)))</f>
        <v>85901364.655704483</v>
      </c>
      <c r="B9349">
        <v>154566166.81866133</v>
      </c>
    </row>
    <row r="9350" spans="1:2" x14ac:dyDescent="0.25">
      <c r="A9350">
        <f ca="1">26908.8187790217*((RANDBETWEEN(2979,3282)))</f>
        <v>83202067.664735153</v>
      </c>
      <c r="B9350">
        <v>159204110.04743952</v>
      </c>
    </row>
    <row r="9351" spans="1:2" x14ac:dyDescent="0.25">
      <c r="A9351">
        <f ca="1">27483.533755942*((RANDBETWEEN(2979,3282)))</f>
        <v>88771814.031692535</v>
      </c>
      <c r="B9351">
        <v>143789666.71718654</v>
      </c>
    </row>
    <row r="9352" spans="1:2" x14ac:dyDescent="0.25">
      <c r="A9352">
        <f ca="1">27041.8225174456*((RANDBETWEEN(2979,3282)))</f>
        <v>82720935.080866069</v>
      </c>
      <c r="B9352">
        <v>173712034.25028226</v>
      </c>
    </row>
    <row r="9353" spans="1:2" x14ac:dyDescent="0.25">
      <c r="A9353">
        <f ca="1">30387.9428219948*((RANDBETWEEN(2979,3282)))</f>
        <v>95965123.431859866</v>
      </c>
      <c r="B9353">
        <v>145240859.70050222</v>
      </c>
    </row>
    <row r="9354" spans="1:2" x14ac:dyDescent="0.25">
      <c r="A9354">
        <f ca="1">28093.0560137665*((RANDBETWEEN(2979,3282)))</f>
        <v>87172752.810717568</v>
      </c>
      <c r="B9354">
        <v>170216654.12317309</v>
      </c>
    </row>
    <row r="9355" spans="1:2" x14ac:dyDescent="0.25">
      <c r="A9355">
        <f ca="1">28355.5013357951*((RANDBETWEEN(2979,3282)))</f>
        <v>89433251.213097677</v>
      </c>
      <c r="B9355">
        <v>179560956.07133374</v>
      </c>
    </row>
    <row r="9356" spans="1:2" x14ac:dyDescent="0.25">
      <c r="A9356">
        <f ca="1">28772.0426528649*((RANDBETWEEN(2979,3282)))</f>
        <v>91121059.081623167</v>
      </c>
      <c r="B9356">
        <v>176008949.80322513</v>
      </c>
    </row>
    <row r="9357" spans="1:2" x14ac:dyDescent="0.25">
      <c r="A9357">
        <f ca="1">26842.4636792575*((RANDBETWEEN(2979,3282)))</f>
        <v>84446390.734944001</v>
      </c>
      <c r="B9357">
        <v>194100466.6611824</v>
      </c>
    </row>
    <row r="9358" spans="1:2" x14ac:dyDescent="0.25">
      <c r="A9358">
        <f ca="1">28766.181974492*((RANDBETWEEN(2979,3282)))</f>
        <v>88916268.483154818</v>
      </c>
      <c r="B9358">
        <v>193451251.70510414</v>
      </c>
    </row>
    <row r="9359" spans="1:2" x14ac:dyDescent="0.25">
      <c r="A9359">
        <f ca="1">26226.2452777908*((RANDBETWEEN(2979,3282)))</f>
        <v>82586446.37976338</v>
      </c>
      <c r="B9359">
        <v>157384136.86818415</v>
      </c>
    </row>
    <row r="9360" spans="1:2" x14ac:dyDescent="0.25">
      <c r="A9360">
        <f ca="1">26375.6780962516*((RANDBETWEEN(2979,3282)))</f>
        <v>82555872.441267624</v>
      </c>
      <c r="B9360">
        <v>148668377.60154852</v>
      </c>
    </row>
    <row r="9361" spans="1:2" x14ac:dyDescent="0.25">
      <c r="A9361">
        <f ca="1">27678.3822688049*((RANDBETWEEN(2979,3282)))</f>
        <v>83782463.127672493</v>
      </c>
      <c r="B9361">
        <v>172397222.37006241</v>
      </c>
    </row>
    <row r="9362" spans="1:2" x14ac:dyDescent="0.25">
      <c r="A9362">
        <f ca="1">26648.7406396047*((RANDBETWEEN(2979,3282)))</f>
        <v>79759680.734336928</v>
      </c>
      <c r="B9362">
        <v>171326515.85501868</v>
      </c>
    </row>
    <row r="9363" spans="1:2" x14ac:dyDescent="0.25">
      <c r="A9363">
        <f ca="1">26261.809253496*((RANDBETWEEN(2979,3282)))</f>
        <v>84983214.744313136</v>
      </c>
      <c r="B9363">
        <v>147901508.19851238</v>
      </c>
    </row>
    <row r="9364" spans="1:2" x14ac:dyDescent="0.25">
      <c r="A9364">
        <f ca="1">26717.4204403774*((RANDBETWEEN(2979,3282)))</f>
        <v>82610264.001646876</v>
      </c>
      <c r="B9364">
        <v>171209873.6061784</v>
      </c>
    </row>
    <row r="9365" spans="1:2" x14ac:dyDescent="0.25">
      <c r="A9365">
        <f ca="1">27097.9298056121*((RANDBETWEEN(2979,3282)))</f>
        <v>85141695.4492331</v>
      </c>
      <c r="B9365">
        <v>188634830.48195827</v>
      </c>
    </row>
    <row r="9366" spans="1:2" x14ac:dyDescent="0.25">
      <c r="A9366">
        <f ca="1">29982.5732245207*((RANDBETWEEN(2979,3282)))</f>
        <v>95524478.293323025</v>
      </c>
      <c r="B9366">
        <v>151511506.7090897</v>
      </c>
    </row>
    <row r="9367" spans="1:2" x14ac:dyDescent="0.25">
      <c r="A9367">
        <f ca="1">26647.054507468*((RANDBETWEEN(2979,3282)))</f>
        <v>85830162.568554327</v>
      </c>
      <c r="B9367">
        <v>164255898.38565642</v>
      </c>
    </row>
    <row r="9368" spans="1:2" x14ac:dyDescent="0.25">
      <c r="A9368">
        <f ca="1">28055.4714935255*((RANDBETWEEN(2979,3282)))</f>
        <v>91068060.467983916</v>
      </c>
      <c r="B9368">
        <v>155273510.85459757</v>
      </c>
    </row>
    <row r="9369" spans="1:2" x14ac:dyDescent="0.25">
      <c r="A9369">
        <f ca="1">28226.6450468278*((RANDBETWEEN(2979,3282)))</f>
        <v>92047089.497705534</v>
      </c>
      <c r="B9369">
        <v>200375471.52604264</v>
      </c>
    </row>
    <row r="9370" spans="1:2" x14ac:dyDescent="0.25">
      <c r="A9370">
        <f ca="1">28557.9381140943*((RANDBETWEEN(2979,3282)))</f>
        <v>90899917.017162204</v>
      </c>
      <c r="B9370">
        <v>150664590.35082915</v>
      </c>
    </row>
    <row r="9371" spans="1:2" x14ac:dyDescent="0.25">
      <c r="A9371">
        <f ca="1">31603.6663769991*((RANDBETWEEN(2979,3282)))</f>
        <v>98160987.766959324</v>
      </c>
      <c r="B9371">
        <v>175163857.74707609</v>
      </c>
    </row>
    <row r="9372" spans="1:2" x14ac:dyDescent="0.25">
      <c r="A9372">
        <f ca="1">30473.6651827312*((RANDBETWEEN(2979,3282)))</f>
        <v>92030468.851848379</v>
      </c>
      <c r="B9372">
        <v>175899141.78120238</v>
      </c>
    </row>
    <row r="9373" spans="1:2" x14ac:dyDescent="0.25">
      <c r="A9373">
        <f ca="1">28130.0783095896*((RANDBETWEEN(2979,3282)))</f>
        <v>89144218.163089529</v>
      </c>
      <c r="B9373">
        <v>149358452.27132896</v>
      </c>
    </row>
    <row r="9374" spans="1:2" x14ac:dyDescent="0.25">
      <c r="A9374">
        <f ca="1">27698.7357455595*((RANDBETWEEN(2979,3282)))</f>
        <v>90187083.587541699</v>
      </c>
      <c r="B9374">
        <v>172410077.05188257</v>
      </c>
    </row>
    <row r="9375" spans="1:2" x14ac:dyDescent="0.25">
      <c r="A9375">
        <f ca="1">31312.1832887892*((RANDBETWEEN(2979,3282)))</f>
        <v>101044415.47292271</v>
      </c>
      <c r="B9375">
        <v>153861184.06084356</v>
      </c>
    </row>
    <row r="9376" spans="1:2" x14ac:dyDescent="0.25">
      <c r="A9376">
        <f ca="1">31147.7764310928*((RANDBETWEEN(2979,3282)))</f>
        <v>94969570.338402018</v>
      </c>
      <c r="B9376">
        <v>160105632.03187072</v>
      </c>
    </row>
    <row r="9377" spans="1:2" x14ac:dyDescent="0.25">
      <c r="A9377">
        <f ca="1">26174.8506241646*((RANDBETWEEN(2979,3282)))</f>
        <v>82005807.005507782</v>
      </c>
      <c r="B9377">
        <v>149134144.58333635</v>
      </c>
    </row>
    <row r="9378" spans="1:2" x14ac:dyDescent="0.25">
      <c r="A9378">
        <f ca="1">27506.7354007714*((RANDBETWEEN(2979,3282)))</f>
        <v>89809491.08351849</v>
      </c>
      <c r="B9378">
        <v>178861721.35534176</v>
      </c>
    </row>
    <row r="9379" spans="1:2" x14ac:dyDescent="0.25">
      <c r="A9379">
        <f ca="1">26419.0107490667*((RANDBETWEEN(2979,3282)))</f>
        <v>81898933.32210663</v>
      </c>
      <c r="B9379">
        <v>145210784.1188547</v>
      </c>
    </row>
    <row r="9380" spans="1:2" x14ac:dyDescent="0.25">
      <c r="A9380">
        <f ca="1">24768.3197419661*((RANDBETWEEN(2979,3282)))</f>
        <v>77722987.350289568</v>
      </c>
      <c r="B9380">
        <v>158092350.5840596</v>
      </c>
    </row>
    <row r="9381" spans="1:2" x14ac:dyDescent="0.25">
      <c r="A9381">
        <f ca="1">29802.3781158448*((RANDBETWEEN(2979,3282)))</f>
        <v>96857728.876495466</v>
      </c>
      <c r="B9381">
        <v>147507417.46991557</v>
      </c>
    </row>
    <row r="9382" spans="1:2" x14ac:dyDescent="0.25">
      <c r="A9382">
        <f ca="1">34257.7324493095*((RANDBETWEEN(2979,3282)))</f>
        <v>111748723.24964745</v>
      </c>
      <c r="B9382">
        <v>155144060.91922805</v>
      </c>
    </row>
    <row r="9383" spans="1:2" x14ac:dyDescent="0.25">
      <c r="A9383">
        <f ca="1">27071.6623301051*((RANDBETWEEN(2979,3282)))</f>
        <v>86033742.885074124</v>
      </c>
      <c r="B9383">
        <v>197637378.33322495</v>
      </c>
    </row>
    <row r="9384" spans="1:2" x14ac:dyDescent="0.25">
      <c r="A9384">
        <f ca="1">31071.9872929017*((RANDBETWEEN(2979,3282)))</f>
        <v>93309177.840583786</v>
      </c>
      <c r="B9384">
        <v>202766105.41247606</v>
      </c>
    </row>
    <row r="9385" spans="1:2" x14ac:dyDescent="0.25">
      <c r="A9385">
        <f ca="1">30213.1065954263*((RANDBETWEEN(2979,3282)))</f>
        <v>95533843.054738</v>
      </c>
      <c r="B9385">
        <v>143320691.01020199</v>
      </c>
    </row>
    <row r="9386" spans="1:2" x14ac:dyDescent="0.25">
      <c r="A9386">
        <f ca="1">27056.9758361962*((RANDBETWEEN(2979,3282)))</f>
        <v>87231690.095896497</v>
      </c>
      <c r="B9386">
        <v>157128863.72173077</v>
      </c>
    </row>
    <row r="9387" spans="1:2" x14ac:dyDescent="0.25">
      <c r="A9387">
        <f ca="1">31742.4511767869*((RANDBETWEEN(2979,3282)))</f>
        <v>103448648.38514848</v>
      </c>
      <c r="B9387">
        <v>160237356.48415574</v>
      </c>
    </row>
    <row r="9388" spans="1:2" x14ac:dyDescent="0.25">
      <c r="A9388">
        <f ca="1">27380.2983288865*((RANDBETWEEN(2979,3282)))</f>
        <v>88246701.514001101</v>
      </c>
      <c r="B9388">
        <v>184426856.57574859</v>
      </c>
    </row>
    <row r="9389" spans="1:2" x14ac:dyDescent="0.25">
      <c r="A9389">
        <f ca="1">27817.8734052501*((RANDBETWEEN(2979,3282)))</f>
        <v>91103535.402193919</v>
      </c>
      <c r="B9389">
        <v>170719449.67318082</v>
      </c>
    </row>
    <row r="9390" spans="1:2" x14ac:dyDescent="0.25">
      <c r="A9390">
        <f ca="1">25252.7111226731*((RANDBETWEEN(2979,3282)))</f>
        <v>76591472.835067421</v>
      </c>
      <c r="B9390">
        <v>157312304.63300699</v>
      </c>
    </row>
    <row r="9391" spans="1:2" x14ac:dyDescent="0.25">
      <c r="A9391">
        <f ca="1">27124.9836492178*((RANDBETWEEN(2979,3282)))</f>
        <v>82541325.244569778</v>
      </c>
      <c r="B9391">
        <v>174983695.32959929</v>
      </c>
    </row>
    <row r="9392" spans="1:2" x14ac:dyDescent="0.25">
      <c r="A9392">
        <f ca="1">29349.2162151741*((RANDBETWEEN(2979,3282)))</f>
        <v>93477253.645329416</v>
      </c>
      <c r="B9392">
        <v>187132641.22601447</v>
      </c>
    </row>
    <row r="9393" spans="1:2" x14ac:dyDescent="0.25">
      <c r="A9393">
        <f ca="1">29612.4410082738*((RANDBETWEEN(2979,3282)))</f>
        <v>91680117.361615598</v>
      </c>
      <c r="B9393">
        <v>162034790.45479643</v>
      </c>
    </row>
    <row r="9394" spans="1:2" x14ac:dyDescent="0.25">
      <c r="A9394">
        <f ca="1">28420.1928568589*((RANDBETWEEN(2979,3282)))</f>
        <v>90717255.599093646</v>
      </c>
      <c r="B9394">
        <v>158825308.05612195</v>
      </c>
    </row>
    <row r="9395" spans="1:2" x14ac:dyDescent="0.25">
      <c r="A9395">
        <f ca="1">26297.4238837306*((RANDBETWEEN(2979,3282)))</f>
        <v>86281847.76252006</v>
      </c>
      <c r="B9395">
        <v>144605180.41070986</v>
      </c>
    </row>
    <row r="9396" spans="1:2" x14ac:dyDescent="0.25">
      <c r="A9396">
        <f ca="1">28888.5332082597*((RANDBETWEEN(2979,3282)))</f>
        <v>94581057.723842248</v>
      </c>
      <c r="B9396">
        <v>166450043.48365775</v>
      </c>
    </row>
    <row r="9397" spans="1:2" x14ac:dyDescent="0.25">
      <c r="A9397">
        <f ca="1">26173.3006813322*((RANDBETWEEN(2979,3282)))</f>
        <v>84801494.207516462</v>
      </c>
      <c r="B9397">
        <v>143539864.08013034</v>
      </c>
    </row>
    <row r="9398" spans="1:2" x14ac:dyDescent="0.25">
      <c r="A9398">
        <f ca="1">26977.949954857*((RANDBETWEEN(2979,3282)))</f>
        <v>85574057.256806314</v>
      </c>
      <c r="B9398">
        <v>148874540.33392</v>
      </c>
    </row>
    <row r="9399" spans="1:2" x14ac:dyDescent="0.25">
      <c r="A9399">
        <f ca="1">28770.4291585664*((RANDBETWEEN(2979,3282)))</f>
        <v>92554470.603108138</v>
      </c>
      <c r="B9399">
        <v>162688310.4334614</v>
      </c>
    </row>
    <row r="9400" spans="1:2" x14ac:dyDescent="0.25">
      <c r="A9400">
        <f ca="1">25220.3653719471*((RANDBETWEEN(2979,3282)))</f>
        <v>80200761.882791817</v>
      </c>
      <c r="B9400">
        <v>151961403.61729866</v>
      </c>
    </row>
    <row r="9401" spans="1:2" x14ac:dyDescent="0.25">
      <c r="A9401">
        <f ca="1">26226.1473528417*((RANDBETWEEN(2979,3282)))</f>
        <v>84212159.149974778</v>
      </c>
      <c r="B9401">
        <v>186574009.13617134</v>
      </c>
    </row>
    <row r="9402" spans="1:2" x14ac:dyDescent="0.25">
      <c r="A9402">
        <f ca="1">27546.9736324198*((RANDBETWEEN(2979,3282)))</f>
        <v>84431474.183366761</v>
      </c>
      <c r="B9402">
        <v>165985602.56521761</v>
      </c>
    </row>
    <row r="9403" spans="1:2" x14ac:dyDescent="0.25">
      <c r="A9403">
        <f ca="1">28104.415270379*((RANDBETWEEN(2979,3282)))</f>
        <v>91142618.721839234</v>
      </c>
      <c r="B9403">
        <v>147985105.00709829</v>
      </c>
    </row>
    <row r="9404" spans="1:2" x14ac:dyDescent="0.25">
      <c r="A9404">
        <f ca="1">27230.6986783002*((RANDBETWEEN(2979,3282)))</f>
        <v>84987010.574974939</v>
      </c>
      <c r="B9404">
        <v>158511406.82838434</v>
      </c>
    </row>
    <row r="9405" spans="1:2" x14ac:dyDescent="0.25">
      <c r="A9405">
        <f ca="1">28274.8785277132*((RANDBETWEEN(2979,3282)))</f>
        <v>86662502.687440932</v>
      </c>
      <c r="B9405">
        <v>165232627.73837361</v>
      </c>
    </row>
    <row r="9406" spans="1:2" x14ac:dyDescent="0.25">
      <c r="A9406">
        <f ca="1">32049.0399863162*((RANDBETWEEN(2979,3282)))</f>
        <v>97621375.798319235</v>
      </c>
      <c r="B9406">
        <v>147434094.46018508</v>
      </c>
    </row>
    <row r="9407" spans="1:2" x14ac:dyDescent="0.25">
      <c r="A9407">
        <f ca="1">27021.0957521166*((RANDBETWEEN(2979,3282)))</f>
        <v>85737936.821465924</v>
      </c>
      <c r="B9407">
        <v>170935131.31232283</v>
      </c>
    </row>
    <row r="9408" spans="1:2" x14ac:dyDescent="0.25">
      <c r="A9408">
        <f ca="1">27914.8698725598*((RANDBETWEEN(2979,3282)))</f>
        <v>84944949.022199348</v>
      </c>
      <c r="B9408">
        <v>192829935.47867796</v>
      </c>
    </row>
    <row r="9409" spans="1:2" x14ac:dyDescent="0.25">
      <c r="A9409">
        <f ca="1">26736.8889333801*((RANDBETWEEN(2979,3282)))</f>
        <v>84221200.140147179</v>
      </c>
      <c r="B9409">
        <v>172858824.75922146</v>
      </c>
    </row>
    <row r="9410" spans="1:2" x14ac:dyDescent="0.25">
      <c r="A9410">
        <f ca="1">26281.5873367019*((RANDBETWEEN(2979,3282)))</f>
        <v>80158841.376940891</v>
      </c>
      <c r="B9410">
        <v>189903957.12835717</v>
      </c>
    </row>
    <row r="9411" spans="1:2" x14ac:dyDescent="0.25">
      <c r="A9411">
        <f ca="1">28917.8249124954*((RANDBETWEEN(2979,3282)))</f>
        <v>90888723.699973091</v>
      </c>
      <c r="B9411">
        <v>189393327.94496927</v>
      </c>
    </row>
    <row r="9412" spans="1:2" x14ac:dyDescent="0.25">
      <c r="A9412">
        <f ca="1">28237.1207127193*((RANDBETWEEN(2979,3282)))</f>
        <v>87789208.295844167</v>
      </c>
      <c r="B9412">
        <v>170754199.07584944</v>
      </c>
    </row>
    <row r="9413" spans="1:2" x14ac:dyDescent="0.25">
      <c r="A9413">
        <f ca="1">27377.918168968*((RANDBETWEEN(2979,3282)))</f>
        <v>82736068.70662117</v>
      </c>
      <c r="B9413">
        <v>157587620.40581694</v>
      </c>
    </row>
    <row r="9414" spans="1:2" x14ac:dyDescent="0.25">
      <c r="A9414">
        <f ca="1">27103.4942038912*((RANDBETWEEN(2979,3282)))</f>
        <v>88086356.162646264</v>
      </c>
      <c r="B9414">
        <v>153595395.9606798</v>
      </c>
    </row>
    <row r="9415" spans="1:2" x14ac:dyDescent="0.25">
      <c r="A9415">
        <f ca="1">25679.0033966215*((RANDBETWEEN(2979,3282)))</f>
        <v>78089849.329125836</v>
      </c>
      <c r="B9415">
        <v>170694233.4318575</v>
      </c>
    </row>
    <row r="9416" spans="1:2" x14ac:dyDescent="0.25">
      <c r="A9416">
        <f ca="1">34174.2560684284*((RANDBETWEEN(2979,3282)))</f>
        <v>104402352.28904873</v>
      </c>
      <c r="B9416">
        <v>177332362.49716458</v>
      </c>
    </row>
    <row r="9417" spans="1:2" x14ac:dyDescent="0.25">
      <c r="A9417">
        <f ca="1">26186.1568828948*((RANDBETWEEN(2979,3282)))</f>
        <v>84476542.104218557</v>
      </c>
      <c r="B9417">
        <v>151920851.35705641</v>
      </c>
    </row>
    <row r="9418" spans="1:2" x14ac:dyDescent="0.25">
      <c r="A9418">
        <f ca="1">28547.9740329382*((RANDBETWEEN(2979,3282)))</f>
        <v>90382885.788282454</v>
      </c>
      <c r="B9418">
        <v>146509037.82681534</v>
      </c>
    </row>
    <row r="9419" spans="1:2" x14ac:dyDescent="0.25">
      <c r="A9419">
        <f ca="1">27101.5597781293*((RANDBETWEEN(2979,3282)))</f>
        <v>85884842.936891705</v>
      </c>
      <c r="B9419">
        <v>163118441.196053</v>
      </c>
    </row>
    <row r="9420" spans="1:2" x14ac:dyDescent="0.25">
      <c r="A9420">
        <f ca="1">30543.5121447239*((RANDBETWEEN(2979,3282)))</f>
        <v>94257278.478617877</v>
      </c>
      <c r="B9420">
        <v>172699251.14408708</v>
      </c>
    </row>
    <row r="9421" spans="1:2" x14ac:dyDescent="0.25">
      <c r="A9421">
        <f ca="1">28417.4631320779*((RANDBETWEEN(2979,3282)))</f>
        <v>93067191.757555261</v>
      </c>
      <c r="B9421">
        <v>158929473.3036958</v>
      </c>
    </row>
    <row r="9422" spans="1:2" x14ac:dyDescent="0.25">
      <c r="A9422">
        <f ca="1">26908.0516096565*((RANDBETWEEN(2979,3282)))</f>
        <v>88312225.382892534</v>
      </c>
      <c r="B9422">
        <v>143572615.47709268</v>
      </c>
    </row>
    <row r="9423" spans="1:2" x14ac:dyDescent="0.25">
      <c r="A9423">
        <f ca="1">29868.3884160385*((RANDBETWEEN(2979,3282)))</f>
        <v>90083059.462772012</v>
      </c>
      <c r="B9423">
        <v>197635049.10569632</v>
      </c>
    </row>
    <row r="9424" spans="1:2" x14ac:dyDescent="0.25">
      <c r="A9424">
        <f ca="1">26040.6220095338*((RANDBETWEEN(2979,3282)))</f>
        <v>79111409.664963827</v>
      </c>
      <c r="B9424">
        <v>159375782.85107219</v>
      </c>
    </row>
    <row r="9425" spans="1:2" x14ac:dyDescent="0.25">
      <c r="A9425">
        <f ca="1">32506.3821895032*((RANDBETWEEN(2979,3282)))</f>
        <v>104182954.91735759</v>
      </c>
      <c r="B9425">
        <v>151052783.44948247</v>
      </c>
    </row>
    <row r="9426" spans="1:2" x14ac:dyDescent="0.25">
      <c r="A9426">
        <f ca="1">27415.9125074564*((RANDBETWEEN(2979,3282)))</f>
        <v>84221683.222906202</v>
      </c>
      <c r="B9426">
        <v>194207149.76107863</v>
      </c>
    </row>
    <row r="9427" spans="1:2" x14ac:dyDescent="0.25">
      <c r="A9427">
        <f ca="1">27412.6353090143*((RANDBETWEEN(2979,3282)))</f>
        <v>89036239.483678535</v>
      </c>
      <c r="B9427">
        <v>193082784.08904594</v>
      </c>
    </row>
    <row r="9428" spans="1:2" x14ac:dyDescent="0.25">
      <c r="A9428">
        <f ca="1">26021.981193852*((RANDBETWEEN(2979,3282)))</f>
        <v>77571525.93887271</v>
      </c>
      <c r="B9428">
        <v>158929872.64800006</v>
      </c>
    </row>
    <row r="9429" spans="1:2" x14ac:dyDescent="0.25">
      <c r="A9429">
        <f ca="1">27453.0091923116*((RANDBETWEEN(2979,3282)))</f>
        <v>88014347.470551074</v>
      </c>
      <c r="B9429">
        <v>149114223.62186342</v>
      </c>
    </row>
    <row r="9430" spans="1:2" x14ac:dyDescent="0.25">
      <c r="A9430">
        <f ca="1">32159.6578255312*((RANDBETWEEN(2979,3282)))</f>
        <v>103714896.48733814</v>
      </c>
      <c r="B9430">
        <v>195600449.97185695</v>
      </c>
    </row>
    <row r="9431" spans="1:2" x14ac:dyDescent="0.25">
      <c r="A9431">
        <f ca="1">25863.9720463268*((RANDBETWEEN(2979,3282)))</f>
        <v>84083773.122608393</v>
      </c>
      <c r="B9431">
        <v>147549846.2749266</v>
      </c>
    </row>
    <row r="9432" spans="1:2" x14ac:dyDescent="0.25">
      <c r="A9432">
        <f ca="1">27498.1056483238*((RANDBETWEEN(2979,3282)))</f>
        <v>89836311.153073758</v>
      </c>
      <c r="B9432">
        <v>168399486.89292216</v>
      </c>
    </row>
    <row r="9433" spans="1:2" x14ac:dyDescent="0.25">
      <c r="A9433">
        <f ca="1">31062.4868974082*((RANDBETWEEN(2979,3282)))</f>
        <v>98654458.38616851</v>
      </c>
      <c r="B9433">
        <v>190451239.77584711</v>
      </c>
    </row>
    <row r="9434" spans="1:2" x14ac:dyDescent="0.25">
      <c r="A9434">
        <f ca="1">27039.0765589731*((RANDBETWEEN(2979,3282)))</f>
        <v>86416888.682478026</v>
      </c>
      <c r="B9434">
        <v>203590577.39176026</v>
      </c>
    </row>
    <row r="9435" spans="1:2" x14ac:dyDescent="0.25">
      <c r="A9435">
        <f ca="1">30218.5168273687*((RANDBETWEEN(2979,3282)))</f>
        <v>97515153.801918864</v>
      </c>
      <c r="B9435">
        <v>198247819.94277716</v>
      </c>
    </row>
    <row r="9436" spans="1:2" x14ac:dyDescent="0.25">
      <c r="A9436">
        <f ca="1">27119.1349385124*((RANDBETWEEN(2979,3282)))</f>
        <v>86293087.374346375</v>
      </c>
      <c r="B9436">
        <v>145710566.72518641</v>
      </c>
    </row>
    <row r="9437" spans="1:2" x14ac:dyDescent="0.25">
      <c r="A9437">
        <f ca="1">33178.1430048552*((RANDBETWEEN(2979,3282)))</f>
        <v>107563539.62174058</v>
      </c>
      <c r="B9437">
        <v>203010887.55717018</v>
      </c>
    </row>
    <row r="9438" spans="1:2" x14ac:dyDescent="0.25">
      <c r="A9438">
        <f ca="1">28192.7394769537*((RANDBETWEEN(2979,3282)))</f>
        <v>84550025.691384241</v>
      </c>
      <c r="B9438">
        <v>147572365.07411402</v>
      </c>
    </row>
    <row r="9439" spans="1:2" x14ac:dyDescent="0.25">
      <c r="A9439">
        <f ca="1">30384.8360975237*((RANDBETWEEN(2979,3282)))</f>
        <v>97383399.692563504</v>
      </c>
      <c r="B9439">
        <v>174553559.18487844</v>
      </c>
    </row>
    <row r="9440" spans="1:2" x14ac:dyDescent="0.25">
      <c r="A9440">
        <f ca="1">27989.8948376201*((RANDBETWEEN(2979,3282)))</f>
        <v>90267410.851324692</v>
      </c>
      <c r="B9440">
        <v>171321910.58108747</v>
      </c>
    </row>
    <row r="9441" spans="1:2" x14ac:dyDescent="0.25">
      <c r="A9441">
        <f ca="1">29962.8217446403*((RANDBETWEEN(2979,3282)))</f>
        <v>91925937.112556383</v>
      </c>
      <c r="B9441">
        <v>152727366.14851141</v>
      </c>
    </row>
    <row r="9442" spans="1:2" x14ac:dyDescent="0.25">
      <c r="A9442">
        <f ca="1">25706.5756066816*((RANDBETWEEN(2979,3282)))</f>
        <v>79484731.77585955</v>
      </c>
      <c r="B9442">
        <v>157856565.26350129</v>
      </c>
    </row>
    <row r="9443" spans="1:2" x14ac:dyDescent="0.25">
      <c r="A9443">
        <f ca="1">26085.2454606815*((RANDBETWEEN(2979,3282)))</f>
        <v>78725270.800336897</v>
      </c>
      <c r="B9443">
        <v>156522717.69569945</v>
      </c>
    </row>
    <row r="9444" spans="1:2" x14ac:dyDescent="0.25">
      <c r="A9444">
        <f ca="1">26168.8882662446*((RANDBETWEEN(2979,3282)))</f>
        <v>79108549.228857398</v>
      </c>
      <c r="B9444">
        <v>146189895.66493502</v>
      </c>
    </row>
    <row r="9445" spans="1:2" x14ac:dyDescent="0.25">
      <c r="A9445">
        <f ca="1">26668.4220503763*((RANDBETWEEN(2979,3282)))</f>
        <v>84485561.05559212</v>
      </c>
      <c r="B9445">
        <v>144835709.48723158</v>
      </c>
    </row>
    <row r="9446" spans="1:2" x14ac:dyDescent="0.25">
      <c r="A9446">
        <f ca="1">28673.9413284013*((RANDBETWEEN(2979,3282)))</f>
        <v>92444786.842765898</v>
      </c>
      <c r="B9446">
        <v>184867045.90058103</v>
      </c>
    </row>
    <row r="9447" spans="1:2" x14ac:dyDescent="0.25">
      <c r="A9447">
        <f ca="1">28337.2900853204*((RANDBETWEEN(2979,3282)))</f>
        <v>92492914.838485703</v>
      </c>
      <c r="B9447">
        <v>161844637.23140541</v>
      </c>
    </row>
    <row r="9448" spans="1:2" x14ac:dyDescent="0.25">
      <c r="A9448">
        <f ca="1">26873.6767099251*((RANDBETWEEN(2979,3282)))</f>
        <v>83254650.447347865</v>
      </c>
      <c r="B9448">
        <v>143505012.46631801</v>
      </c>
    </row>
    <row r="9449" spans="1:2" x14ac:dyDescent="0.25">
      <c r="A9449">
        <f ca="1">29596.2400333111*((RANDBETWEEN(2979,3282)))</f>
        <v>90742071.942131937</v>
      </c>
      <c r="B9449">
        <v>173779168.31268185</v>
      </c>
    </row>
    <row r="9450" spans="1:2" x14ac:dyDescent="0.25">
      <c r="A9450">
        <f ca="1">27282.8566697453*((RANDBETWEEN(2979,3282)))</f>
        <v>87032312.776487604</v>
      </c>
      <c r="B9450">
        <v>196469622.85707298</v>
      </c>
    </row>
    <row r="9451" spans="1:2" x14ac:dyDescent="0.25">
      <c r="A9451">
        <f ca="1">27175.2207493435*((RANDBETWEEN(2979,3282)))</f>
        <v>83971432.115471467</v>
      </c>
      <c r="B9451">
        <v>185645562.48221388</v>
      </c>
    </row>
    <row r="9452" spans="1:2" x14ac:dyDescent="0.25">
      <c r="A9452">
        <f ca="1">32390.8247885685*((RANDBETWEEN(2979,3282)))</f>
        <v>105205398.91327059</v>
      </c>
      <c r="B9452">
        <v>187032310.78382823</v>
      </c>
    </row>
    <row r="9453" spans="1:2" x14ac:dyDescent="0.25">
      <c r="A9453">
        <f ca="1">27487.7288562963*((RANDBETWEEN(2979,3282)))</f>
        <v>83425257.07885915</v>
      </c>
      <c r="B9453">
        <v>146107900.03877074</v>
      </c>
    </row>
    <row r="9454" spans="1:2" x14ac:dyDescent="0.25">
      <c r="A9454">
        <f ca="1">25156.0190635848*((RANDBETWEEN(2979,3282)))</f>
        <v>75342277.095436588</v>
      </c>
      <c r="B9454">
        <v>188064952.97209597</v>
      </c>
    </row>
    <row r="9455" spans="1:2" x14ac:dyDescent="0.25">
      <c r="A9455">
        <f ca="1">26833.0533707227*((RANDBETWEEN(2979,3282)))</f>
        <v>86053602.159907624</v>
      </c>
      <c r="B9455">
        <v>153481030.99178749</v>
      </c>
    </row>
    <row r="9456" spans="1:2" x14ac:dyDescent="0.25">
      <c r="A9456">
        <f ca="1">28286.6258903518*((RANDBETWEEN(2979,3282)))</f>
        <v>90771782.482138976</v>
      </c>
      <c r="B9456">
        <v>150105997.20700657</v>
      </c>
    </row>
    <row r="9457" spans="1:2" x14ac:dyDescent="0.25">
      <c r="A9457">
        <f ca="1">27710.0395589217*((RANDBETWEEN(2979,3282)))</f>
        <v>85402341.920596793</v>
      </c>
      <c r="B9457">
        <v>195171942.32731321</v>
      </c>
    </row>
    <row r="9458" spans="1:2" x14ac:dyDescent="0.25">
      <c r="A9458">
        <f ca="1">29796.8923966573*((RANDBETWEEN(2979,3282)))</f>
        <v>97376244.352276146</v>
      </c>
      <c r="B9458">
        <v>171376011.14770174</v>
      </c>
    </row>
    <row r="9459" spans="1:2" x14ac:dyDescent="0.25">
      <c r="A9459">
        <f ca="1">28220.3883635116*((RANDBETWEEN(2979,3282)))</f>
        <v>85648878.68325761</v>
      </c>
      <c r="B9459">
        <v>175076332.35578108</v>
      </c>
    </row>
    <row r="9460" spans="1:2" x14ac:dyDescent="0.25">
      <c r="A9460">
        <f ca="1">26421.4480184189*((RANDBETWEEN(2979,3282)))</f>
        <v>82355653.47341156</v>
      </c>
      <c r="B9460">
        <v>144636606.92686415</v>
      </c>
    </row>
    <row r="9461" spans="1:2" x14ac:dyDescent="0.25">
      <c r="A9461">
        <f ca="1">32329.7882472132*((RANDBETWEEN(2979,3282)))</f>
        <v>99737396.742652595</v>
      </c>
      <c r="B9461">
        <v>190997131.0777677</v>
      </c>
    </row>
    <row r="9462" spans="1:2" x14ac:dyDescent="0.25">
      <c r="A9462">
        <f ca="1">25140.5753565754*((RANDBETWEEN(2979,3282)))</f>
        <v>79972170.209266245</v>
      </c>
      <c r="B9462">
        <v>172013050.37121683</v>
      </c>
    </row>
    <row r="9463" spans="1:2" x14ac:dyDescent="0.25">
      <c r="A9463">
        <f ca="1">26849.0684686111*((RANDBETWEEN(2979,3282)))</f>
        <v>87366868.796860397</v>
      </c>
      <c r="B9463">
        <v>184657588.35105252</v>
      </c>
    </row>
    <row r="9464" spans="1:2" x14ac:dyDescent="0.25">
      <c r="A9464">
        <f ca="1">26607.0767297137*((RANDBETWEEN(2979,3282)))</f>
        <v>84317826.156462625</v>
      </c>
      <c r="B9464">
        <v>159374889.20629287</v>
      </c>
    </row>
    <row r="9465" spans="1:2" x14ac:dyDescent="0.25">
      <c r="A9465">
        <f ca="1">29646.5023401593*((RANDBETWEEN(2979,3282)))</f>
        <v>91518752.724071726</v>
      </c>
      <c r="B9465">
        <v>199003005.01729485</v>
      </c>
    </row>
    <row r="9466" spans="1:2" x14ac:dyDescent="0.25">
      <c r="A9466">
        <f ca="1">26722.8435539985*((RANDBETWEEN(2979,3282)))</f>
        <v>87303529.890913174</v>
      </c>
      <c r="B9466">
        <v>184189338.60529983</v>
      </c>
    </row>
    <row r="9467" spans="1:2" x14ac:dyDescent="0.25">
      <c r="A9467">
        <f ca="1">27688.8485810576*((RANDBETWEEN(2979,3282)))</f>
        <v>90653290.254382491</v>
      </c>
      <c r="B9467">
        <v>144457940.79086709</v>
      </c>
    </row>
    <row r="9468" spans="1:2" x14ac:dyDescent="0.25">
      <c r="A9468">
        <f ca="1">25435.113777107*((RANDBETWEEN(2979,3282)))</f>
        <v>79459295.439682156</v>
      </c>
      <c r="B9468">
        <v>149488477.35718858</v>
      </c>
    </row>
    <row r="9469" spans="1:2" x14ac:dyDescent="0.25">
      <c r="A9469">
        <f ca="1">28148.7318205512*((RANDBETWEEN(2979,3282)))</f>
        <v>91370783.48950924</v>
      </c>
      <c r="B9469">
        <v>192784139.92961124</v>
      </c>
    </row>
    <row r="9470" spans="1:2" x14ac:dyDescent="0.25">
      <c r="A9470">
        <f ca="1">27706.4713976451*((RANDBETWEEN(2979,3282)))</f>
        <v>84449324.82002227</v>
      </c>
      <c r="B9470">
        <v>195983308.14926589</v>
      </c>
    </row>
    <row r="9471" spans="1:2" x14ac:dyDescent="0.25">
      <c r="A9471">
        <f ca="1">25995.3550875948*((RANDBETWEEN(2979,3282)))</f>
        <v>78687939.850149572</v>
      </c>
      <c r="B9471">
        <v>171402482.88376564</v>
      </c>
    </row>
    <row r="9472" spans="1:2" x14ac:dyDescent="0.25">
      <c r="A9472">
        <f ca="1">30059.2042915613*((RANDBETWEEN(2979,3282)))</f>
        <v>93393947.733881116</v>
      </c>
      <c r="B9472">
        <v>156909809.7560086</v>
      </c>
    </row>
    <row r="9473" spans="1:2" x14ac:dyDescent="0.25">
      <c r="A9473">
        <f ca="1">30461.4584229124*((RANDBETWEEN(2979,3282)))</f>
        <v>98695125.290236041</v>
      </c>
      <c r="B9473">
        <v>173724326.60868451</v>
      </c>
    </row>
    <row r="9474" spans="1:2" x14ac:dyDescent="0.25">
      <c r="A9474">
        <f ca="1">26071.6845407021*((RANDBETWEEN(2979,3282)))</f>
        <v>84654759.703659758</v>
      </c>
      <c r="B9474">
        <v>172753216.43577683</v>
      </c>
    </row>
    <row r="9475" spans="1:2" x14ac:dyDescent="0.25">
      <c r="A9475">
        <f ca="1">31247.004786552*((RANDBETWEEN(2979,3282)))</f>
        <v>98115595.029773369</v>
      </c>
      <c r="B9475">
        <v>180026200.72551849</v>
      </c>
    </row>
    <row r="9476" spans="1:2" x14ac:dyDescent="0.25">
      <c r="A9476">
        <f ca="1">26735.4234460586*((RANDBETWEEN(2979,3282)))</f>
        <v>85606825.874279514</v>
      </c>
      <c r="B9476">
        <v>156723536.85587403</v>
      </c>
    </row>
    <row r="9477" spans="1:2" x14ac:dyDescent="0.25">
      <c r="A9477">
        <f ca="1">29240.1643146518*((RANDBETWEEN(2979,3282)))</f>
        <v>90410588.060903341</v>
      </c>
      <c r="B9477">
        <v>159928617.91338602</v>
      </c>
    </row>
    <row r="9478" spans="1:2" x14ac:dyDescent="0.25">
      <c r="A9478">
        <f ca="1">29467.4933638049*((RANDBETWEEN(2979,3282)))</f>
        <v>92527929.162347496</v>
      </c>
      <c r="B9478">
        <v>197663759.11576682</v>
      </c>
    </row>
    <row r="9479" spans="1:2" x14ac:dyDescent="0.25">
      <c r="A9479">
        <f ca="1">31735.3008545087*((RANDBETWEEN(2979,3282)))</f>
        <v>97046550.013087541</v>
      </c>
      <c r="B9479">
        <v>192308020.8594299</v>
      </c>
    </row>
    <row r="9480" spans="1:2" x14ac:dyDescent="0.25">
      <c r="A9480">
        <f ca="1">26314.9413349098*((RANDBETWEEN(2979,3282)))</f>
        <v>78944824.004729405</v>
      </c>
      <c r="B9480">
        <v>156008664.62305641</v>
      </c>
    </row>
    <row r="9481" spans="1:2" x14ac:dyDescent="0.25">
      <c r="A9481">
        <f ca="1">27038.2885932254*((RANDBETWEEN(2979,3282)))</f>
        <v>81628593.26294753</v>
      </c>
      <c r="B9481">
        <v>148548395.54016724</v>
      </c>
    </row>
    <row r="9482" spans="1:2" x14ac:dyDescent="0.25">
      <c r="A9482">
        <f ca="1">27482.5530702629*((RANDBETWEEN(2979,3282)))</f>
        <v>86570042.171328142</v>
      </c>
      <c r="B9482">
        <v>145964824.5091593</v>
      </c>
    </row>
    <row r="9483" spans="1:2" x14ac:dyDescent="0.25">
      <c r="A9483">
        <f ca="1">30038.3449833742*((RANDBETWEEN(2979,3282)))</f>
        <v>97714736.230916247</v>
      </c>
      <c r="B9483">
        <v>149138781.40603554</v>
      </c>
    </row>
    <row r="9484" spans="1:2" x14ac:dyDescent="0.25">
      <c r="A9484">
        <f ca="1">28526.7890181252*((RANDBETWEEN(2979,3282)))</f>
        <v>91200144.490946412</v>
      </c>
      <c r="B9484">
        <v>162269080.21629688</v>
      </c>
    </row>
    <row r="9485" spans="1:2" x14ac:dyDescent="0.25">
      <c r="A9485">
        <f ca="1">27921.7505424632*((RANDBETWEEN(2979,3282)))</f>
        <v>87897670.707674161</v>
      </c>
      <c r="B9485">
        <v>170682257.83340794</v>
      </c>
    </row>
    <row r="9486" spans="1:2" x14ac:dyDescent="0.25">
      <c r="A9486">
        <f ca="1">25666.2303209311*((RANDBETWEEN(2979,3282)))</f>
        <v>81849608.493449315</v>
      </c>
      <c r="B9486">
        <v>200895384.56085074</v>
      </c>
    </row>
    <row r="9487" spans="1:2" x14ac:dyDescent="0.25">
      <c r="A9487">
        <f ca="1">26224.0134439815*((RANDBETWEEN(2979,3282)))</f>
        <v>79511208.762151852</v>
      </c>
      <c r="B9487">
        <v>148664145.79338777</v>
      </c>
    </row>
    <row r="9488" spans="1:2" x14ac:dyDescent="0.25">
      <c r="A9488">
        <f ca="1">33499.6284135655*((RANDBETWEEN(2979,3282)))</f>
        <v>100431885.98386943</v>
      </c>
      <c r="B9488">
        <v>154163702.33605757</v>
      </c>
    </row>
    <row r="9489" spans="1:2" x14ac:dyDescent="0.25">
      <c r="A9489">
        <f ca="1">29806.6711057415*((RANDBETWEEN(2979,3282)))</f>
        <v>90880540.201405749</v>
      </c>
      <c r="B9489">
        <v>157654653.73214722</v>
      </c>
    </row>
    <row r="9490" spans="1:2" x14ac:dyDescent="0.25">
      <c r="A9490">
        <f ca="1">26863.0063970185*((RANDBETWEEN(2979,3282)))</f>
        <v>81824717.485318467</v>
      </c>
      <c r="B9490">
        <v>157146910.56337243</v>
      </c>
    </row>
    <row r="9491" spans="1:2" x14ac:dyDescent="0.25">
      <c r="A9491">
        <f ca="1">25656.0963236617*((RANDBETWEEN(2979,3282)))</f>
        <v>81509418.020273209</v>
      </c>
      <c r="B9491">
        <v>150668454.60587981</v>
      </c>
    </row>
    <row r="9492" spans="1:2" x14ac:dyDescent="0.25">
      <c r="A9492">
        <f ca="1">30296.7687838332*((RANDBETWEEN(2979,3282)))</f>
        <v>94586512.143127218</v>
      </c>
      <c r="B9492">
        <v>152886917.2262139</v>
      </c>
    </row>
    <row r="9493" spans="1:2" x14ac:dyDescent="0.25">
      <c r="A9493">
        <f ca="1">26765.9678232775*((RANDBETWEEN(2979,3282)))</f>
        <v>82225053.153108403</v>
      </c>
      <c r="B9493">
        <v>169399851.72139287</v>
      </c>
    </row>
    <row r="9494" spans="1:2" x14ac:dyDescent="0.25">
      <c r="A9494">
        <f ca="1">31181.5838684989*((RANDBETWEEN(2979,3282)))</f>
        <v>94199564.866735131</v>
      </c>
      <c r="B9494">
        <v>182028483.86624023</v>
      </c>
    </row>
    <row r="9495" spans="1:2" x14ac:dyDescent="0.25">
      <c r="A9495">
        <f ca="1">27671.9846952275*((RANDBETWEEN(2979,3282)))</f>
        <v>88854742.85637559</v>
      </c>
      <c r="B9495">
        <v>159555745.32447499</v>
      </c>
    </row>
    <row r="9496" spans="1:2" x14ac:dyDescent="0.25">
      <c r="A9496">
        <f ca="1">31976.9974431867*((RANDBETWEEN(2979,3282)))</f>
        <v>104596758.63666362</v>
      </c>
      <c r="B9496">
        <v>156171583.67421836</v>
      </c>
    </row>
    <row r="9497" spans="1:2" x14ac:dyDescent="0.25">
      <c r="A9497">
        <f ca="1">31283.7643857625*((RANDBETWEEN(2979,3282)))</f>
        <v>97730479.941122159</v>
      </c>
      <c r="B9497">
        <v>178781349.41854471</v>
      </c>
    </row>
    <row r="9498" spans="1:2" x14ac:dyDescent="0.25">
      <c r="A9498">
        <f ca="1">27266.196257432*((RANDBETWEEN(2979,3282)))</f>
        <v>87060964.649980366</v>
      </c>
      <c r="B9498">
        <v>147496217.20558003</v>
      </c>
    </row>
    <row r="9499" spans="1:2" x14ac:dyDescent="0.25">
      <c r="A9499">
        <f ca="1">30606.6416759249*((RANDBETWEEN(2979,3282)))</f>
        <v>91544465.252691314</v>
      </c>
      <c r="B9499">
        <v>186635414.02321976</v>
      </c>
    </row>
    <row r="9500" spans="1:2" x14ac:dyDescent="0.25">
      <c r="A9500">
        <f ca="1">26335.6316331436*((RANDBETWEEN(2979,3282)))</f>
        <v>81587786.799478829</v>
      </c>
      <c r="B9500">
        <v>189204863.27015352</v>
      </c>
    </row>
    <row r="9501" spans="1:2" x14ac:dyDescent="0.25">
      <c r="A9501">
        <f ca="1">26960.2420130287*((RANDBETWEEN(2979,3282)))</f>
        <v>86892860.007991493</v>
      </c>
      <c r="B9501">
        <v>175524101.80481768</v>
      </c>
    </row>
    <row r="9502" spans="1:2" x14ac:dyDescent="0.25">
      <c r="A9502">
        <f ca="1">26244.0362087208*((RANDBETWEEN(2979,3282)))</f>
        <v>81986369.116043806</v>
      </c>
      <c r="B9502">
        <v>147466723.45342237</v>
      </c>
    </row>
    <row r="9503" spans="1:2" x14ac:dyDescent="0.25">
      <c r="A9503">
        <f ca="1">25999.7193429097*((RANDBETWEEN(2979,3282)))</f>
        <v>83147102.458625212</v>
      </c>
      <c r="B9503">
        <v>159716669.5901511</v>
      </c>
    </row>
    <row r="9504" spans="1:2" x14ac:dyDescent="0.25">
      <c r="A9504">
        <f ca="1">26064.9815726135*((RANDBETWEEN(2979,3282)))</f>
        <v>81583392.322280288</v>
      </c>
      <c r="B9504">
        <v>153542591.87869638</v>
      </c>
    </row>
    <row r="9505" spans="1:2" x14ac:dyDescent="0.25">
      <c r="A9505">
        <f ca="1">31221.2511314391*((RANDBETWEEN(2979,3282)))</f>
        <v>94038408.407894477</v>
      </c>
      <c r="B9505">
        <v>193638965.0836494</v>
      </c>
    </row>
    <row r="9506" spans="1:2" x14ac:dyDescent="0.25">
      <c r="A9506">
        <f ca="1">27553.0670149313*((RANDBETWEEN(2979,3282)))</f>
        <v>87425881.638377145</v>
      </c>
      <c r="B9506">
        <v>145555147.51577032</v>
      </c>
    </row>
    <row r="9507" spans="1:2" x14ac:dyDescent="0.25">
      <c r="A9507">
        <f ca="1">27544.2745263958*((RANDBETWEEN(2979,3282)))</f>
        <v>82632823.579187468</v>
      </c>
      <c r="B9507">
        <v>186925282.89321849</v>
      </c>
    </row>
    <row r="9508" spans="1:2" x14ac:dyDescent="0.25">
      <c r="A9508">
        <f ca="1">32720.0267485945*((RANDBETWEEN(2979,3282)))</f>
        <v>106863607.36090952</v>
      </c>
      <c r="B9508">
        <v>148717129.63369584</v>
      </c>
    </row>
    <row r="9509" spans="1:2" x14ac:dyDescent="0.25">
      <c r="A9509">
        <f ca="1">26551.7656804232*((RANDBETWEEN(2979,3282)))</f>
        <v>81195299.450734019</v>
      </c>
      <c r="B9509">
        <v>173884962.72914568</v>
      </c>
    </row>
    <row r="9510" spans="1:2" x14ac:dyDescent="0.25">
      <c r="A9510">
        <f ca="1">31507.0252665584*((RANDBETWEEN(2979,3282)))</f>
        <v>98963566.362260088</v>
      </c>
      <c r="B9510">
        <v>175260568.73900974</v>
      </c>
    </row>
    <row r="9511" spans="1:2" x14ac:dyDescent="0.25">
      <c r="A9511">
        <f ca="1">28775.8116175381*((RANDBETWEEN(2979,3282)))</f>
        <v>86471313.91070205</v>
      </c>
      <c r="B9511">
        <v>155289925.10263893</v>
      </c>
    </row>
    <row r="9512" spans="1:2" x14ac:dyDescent="0.25">
      <c r="A9512">
        <f ca="1">25842.7237744102*((RANDBETWEEN(2979,3282)))</f>
        <v>80164129.14822036</v>
      </c>
      <c r="B9512">
        <v>156078014.8954412</v>
      </c>
    </row>
    <row r="9513" spans="1:2" x14ac:dyDescent="0.25">
      <c r="A9513">
        <f ca="1">25340.7349630682*((RANDBETWEEN(2979,3282)))</f>
        <v>80203426.158110797</v>
      </c>
      <c r="B9513">
        <v>149827202.11151582</v>
      </c>
    </row>
    <row r="9514" spans="1:2" x14ac:dyDescent="0.25">
      <c r="A9514">
        <f ca="1">27325.9577622534*((RANDBETWEEN(2979,3282)))</f>
        <v>87743650.374595702</v>
      </c>
      <c r="B9514">
        <v>182470136.59202582</v>
      </c>
    </row>
    <row r="9515" spans="1:2" x14ac:dyDescent="0.25">
      <c r="A9515">
        <f ca="1">26948.3950729633*((RANDBETWEEN(2979,3282)))</f>
        <v>87285851.641328052</v>
      </c>
      <c r="B9515">
        <v>191295038.06688944</v>
      </c>
    </row>
    <row r="9516" spans="1:2" x14ac:dyDescent="0.25">
      <c r="A9516">
        <f ca="1">28776.9620052717*((RANDBETWEEN(2979,3282)))</f>
        <v>86474770.825841442</v>
      </c>
      <c r="B9516">
        <v>164247157.54877716</v>
      </c>
    </row>
    <row r="9517" spans="1:2" x14ac:dyDescent="0.25">
      <c r="A9517">
        <f ca="1">29162.5788654086*((RANDBETWEEN(2979,3282)))</f>
        <v>93145276.896115184</v>
      </c>
      <c r="B9517">
        <v>177411132.87838158</v>
      </c>
    </row>
    <row r="9518" spans="1:2" x14ac:dyDescent="0.25">
      <c r="A9518">
        <f ca="1">25880.8506433083*((RANDBETWEEN(2979,3282)))</f>
        <v>80929419.961625025</v>
      </c>
      <c r="B9518">
        <v>145476356.18499696</v>
      </c>
    </row>
    <row r="9519" spans="1:2" x14ac:dyDescent="0.25">
      <c r="A9519">
        <f ca="1">26653.4557515905*((RANDBETWEEN(2979,3282)))</f>
        <v>79480605.051242858</v>
      </c>
      <c r="B9519">
        <v>175555431.88907826</v>
      </c>
    </row>
    <row r="9520" spans="1:2" x14ac:dyDescent="0.25">
      <c r="A9520">
        <f ca="1">27733.8295339636*((RANDBETWEEN(2979,3282)))</f>
        <v>90661888.74652712</v>
      </c>
      <c r="B9520">
        <v>169337791.26424038</v>
      </c>
    </row>
    <row r="9521" spans="1:2" x14ac:dyDescent="0.25">
      <c r="A9521">
        <f ca="1">26805.8507484545*((RANDBETWEEN(2979,3282)))</f>
        <v>81489786.275301814</v>
      </c>
      <c r="B9521">
        <v>168644347.49536327</v>
      </c>
    </row>
    <row r="9522" spans="1:2" x14ac:dyDescent="0.25">
      <c r="A9522">
        <f ca="1">30985.9374913497*((RANDBETWEEN(2979,3282)))</f>
        <v>95963448.410710111</v>
      </c>
      <c r="B9522">
        <v>151977410.6596683</v>
      </c>
    </row>
    <row r="9523" spans="1:2" x14ac:dyDescent="0.25">
      <c r="A9523">
        <f ca="1">30554.7094711972*((RANDBETWEEN(2979,3282)))</f>
        <v>99913899.970814928</v>
      </c>
      <c r="B9523">
        <v>177454585.29546884</v>
      </c>
    </row>
    <row r="9524" spans="1:2" x14ac:dyDescent="0.25">
      <c r="A9524">
        <f ca="1">29233.9397471354*((RANDBETWEEN(2979,3282)))</f>
        <v>92846992.636902168</v>
      </c>
      <c r="B9524">
        <v>180991759.92190385</v>
      </c>
    </row>
    <row r="9525" spans="1:2" x14ac:dyDescent="0.25">
      <c r="A9525">
        <f ca="1">26743.3839664135*((RANDBETWEEN(2979,3282)))</f>
        <v>85953236.068053141</v>
      </c>
      <c r="B9525">
        <v>177498808.10627353</v>
      </c>
    </row>
    <row r="9526" spans="1:2" x14ac:dyDescent="0.25">
      <c r="A9526">
        <f ca="1">27076.5266022612*((RANDBETWEEN(2979,3282)))</f>
        <v>86238737.228202</v>
      </c>
      <c r="B9526">
        <v>153051889.4570877</v>
      </c>
    </row>
    <row r="9527" spans="1:2" x14ac:dyDescent="0.25">
      <c r="A9527">
        <f ca="1">26151.588374531*((RANDBETWEEN(2979,3282)))</f>
        <v>80546892.19355543</v>
      </c>
      <c r="B9527">
        <v>150575687.77933979</v>
      </c>
    </row>
    <row r="9528" spans="1:2" x14ac:dyDescent="0.25">
      <c r="A9528">
        <f ca="1">27038.3092478402*((RANDBETWEEN(2979,3282)))</f>
        <v>86522589.593088612</v>
      </c>
      <c r="B9528">
        <v>183243323.11383808</v>
      </c>
    </row>
    <row r="9529" spans="1:2" x14ac:dyDescent="0.25">
      <c r="A9529">
        <f ca="1">27077.4815134616*((RANDBETWEEN(2979,3282)))</f>
        <v>87243645.436373249</v>
      </c>
      <c r="B9529">
        <v>158814123.23782942</v>
      </c>
    </row>
    <row r="9530" spans="1:2" x14ac:dyDescent="0.25">
      <c r="A9530">
        <f ca="1">30643.1457946775*((RANDBETWEEN(2979,3282)))</f>
        <v>92726159.174694046</v>
      </c>
      <c r="B9530">
        <v>153895444.84254798</v>
      </c>
    </row>
    <row r="9531" spans="1:2" x14ac:dyDescent="0.25">
      <c r="A9531">
        <f ca="1">31628.7639702961*((RANDBETWEEN(2979,3282)))</f>
        <v>103742345.82257131</v>
      </c>
      <c r="B9531">
        <v>158190461.98965397</v>
      </c>
    </row>
    <row r="9532" spans="1:2" x14ac:dyDescent="0.25">
      <c r="A9532">
        <f ca="1">28021.4046289404*((RANDBETWEEN(2979,3282)))</f>
        <v>91658014.541264087</v>
      </c>
      <c r="B9532">
        <v>153332844.88847637</v>
      </c>
    </row>
    <row r="9533" spans="1:2" x14ac:dyDescent="0.25">
      <c r="A9533">
        <f ca="1">25326.0615209329*((RANDBETWEEN(2979,3282)))</f>
        <v>77599052.500138536</v>
      </c>
      <c r="B9533">
        <v>160652492.84867871</v>
      </c>
    </row>
    <row r="9534" spans="1:2" x14ac:dyDescent="0.25">
      <c r="A9534">
        <f ca="1">27808.4505204089*((RANDBETWEEN(2979,3282)))</f>
        <v>89098275.467390075</v>
      </c>
      <c r="B9534">
        <v>146403461.30407351</v>
      </c>
    </row>
    <row r="9535" spans="1:2" x14ac:dyDescent="0.25">
      <c r="A9535">
        <f ca="1">26325.0678464379*((RANDBETWEEN(2979,3282)))</f>
        <v>80133506.524557114</v>
      </c>
      <c r="B9535">
        <v>164691108.3361868</v>
      </c>
    </row>
    <row r="9536" spans="1:2" x14ac:dyDescent="0.25">
      <c r="A9536">
        <f ca="1">27904.892648006*((RANDBETWEEN(2979,3282)))</f>
        <v>87453933.558850765</v>
      </c>
      <c r="B9536">
        <v>188443821.08334389</v>
      </c>
    </row>
    <row r="9537" spans="1:2" x14ac:dyDescent="0.25">
      <c r="A9537">
        <f ca="1">26930.1504828941*((RANDBETWEEN(2979,3282)))</f>
        <v>84264440.860975593</v>
      </c>
      <c r="B9537">
        <v>165380752.61416867</v>
      </c>
    </row>
    <row r="9538" spans="1:2" x14ac:dyDescent="0.25">
      <c r="A9538">
        <f ca="1">27383.9311463325*((RANDBETWEEN(2979,3282)))</f>
        <v>89819294.159970701</v>
      </c>
      <c r="B9538">
        <v>162120187.93935028</v>
      </c>
    </row>
    <row r="9539" spans="1:2" x14ac:dyDescent="0.25">
      <c r="A9539">
        <f ca="1">27026.2592993483*((RANDBETWEEN(2979,3282)))</f>
        <v>85402979.385940671</v>
      </c>
      <c r="B9539">
        <v>152019264.49321726</v>
      </c>
    </row>
    <row r="9540" spans="1:2" x14ac:dyDescent="0.25">
      <c r="A9540">
        <f ca="1">27564.2297493465*((RANDBETWEEN(2979,3282)))</f>
        <v>89280540.158133239</v>
      </c>
      <c r="B9540">
        <v>202925279.96388933</v>
      </c>
    </row>
    <row r="9541" spans="1:2" x14ac:dyDescent="0.25">
      <c r="A9541">
        <f ca="1">26327.7825736873*((RANDBETWEEN(2979,3282)))</f>
        <v>84538509.844110072</v>
      </c>
      <c r="B9541">
        <v>165777145.04011977</v>
      </c>
    </row>
    <row r="9542" spans="1:2" x14ac:dyDescent="0.25">
      <c r="A9542">
        <f ca="1">32223.7146095765*((RANDBETWEEN(2979,3282)))</f>
        <v>100119081.29195409</v>
      </c>
      <c r="B9542">
        <v>172543096.85193664</v>
      </c>
    </row>
    <row r="9543" spans="1:2" x14ac:dyDescent="0.25">
      <c r="A9543">
        <f ca="1">29341.9437912249*((RANDBETWEEN(2979,3282)))</f>
        <v>88231224.980213389</v>
      </c>
      <c r="B9543">
        <v>203193550.56467691</v>
      </c>
    </row>
    <row r="9544" spans="1:2" x14ac:dyDescent="0.25">
      <c r="A9544">
        <f ca="1">28527.5829725924*((RANDBETWEEN(2979,3282)))</f>
        <v>85810969.58155781</v>
      </c>
      <c r="B9544">
        <v>152171626.60887104</v>
      </c>
    </row>
    <row r="9545" spans="1:2" x14ac:dyDescent="0.25">
      <c r="A9545">
        <f ca="1">27549.9588414925*((RANDBETWEEN(2979,3282)))</f>
        <v>90418964.917778373</v>
      </c>
      <c r="B9545">
        <v>158899661.5070366</v>
      </c>
    </row>
    <row r="9546" spans="1:2" x14ac:dyDescent="0.25">
      <c r="A9546">
        <f ca="1">26271.0711851914*((RANDBETWEEN(2979,3282)))</f>
        <v>85853860.633205578</v>
      </c>
      <c r="B9546">
        <v>186893831.20818293</v>
      </c>
    </row>
    <row r="9547" spans="1:2" x14ac:dyDescent="0.25">
      <c r="A9547">
        <f ca="1">27013.15479866*((RANDBETWEEN(2979,3282)))</f>
        <v>87144437.380477041</v>
      </c>
      <c r="B9547">
        <v>162431825.00538617</v>
      </c>
    </row>
    <row r="9548" spans="1:2" x14ac:dyDescent="0.25">
      <c r="A9548">
        <f ca="1">26615.6429970376*((RANDBETWEEN(2979,3282)))</f>
        <v>87139615.172301039</v>
      </c>
      <c r="B9548">
        <v>149988843.5148299</v>
      </c>
    </row>
    <row r="9549" spans="1:2" x14ac:dyDescent="0.25">
      <c r="A9549">
        <f ca="1">25822.6205397815*((RANDBETWEEN(2979,3282)))</f>
        <v>84259210.821307003</v>
      </c>
      <c r="B9549">
        <v>151797472.81180495</v>
      </c>
    </row>
    <row r="9550" spans="1:2" x14ac:dyDescent="0.25">
      <c r="A9550">
        <f ca="1">32808.5589217672*((RANDBETWEEN(2979,3282)))</f>
        <v>102559555.18944423</v>
      </c>
      <c r="B9550">
        <v>144925425.34332925</v>
      </c>
    </row>
    <row r="9551" spans="1:2" x14ac:dyDescent="0.25">
      <c r="A9551">
        <f ca="1">27033.8437725048*((RANDBETWEEN(2979,3282)))</f>
        <v>85805420.133930162</v>
      </c>
      <c r="B9551">
        <v>147991137.50825301</v>
      </c>
    </row>
    <row r="9552" spans="1:2" x14ac:dyDescent="0.25">
      <c r="A9552">
        <f ca="1">29875.3862018154*((RANDBETWEEN(2979,3282)))</f>
        <v>95481734.301001996</v>
      </c>
      <c r="B9552">
        <v>197537414.76676902</v>
      </c>
    </row>
    <row r="9553" spans="1:2" x14ac:dyDescent="0.25">
      <c r="A9553">
        <f ca="1">27683.7002944851*((RANDBETWEEN(2979,3282)))</f>
        <v>90857904.366500005</v>
      </c>
      <c r="B9553">
        <v>151406164.52714181</v>
      </c>
    </row>
    <row r="9554" spans="1:2" x14ac:dyDescent="0.25">
      <c r="A9554">
        <f ca="1">27270.0256996482*((RANDBETWEEN(2979,3282)))</f>
        <v>82955418.178329855</v>
      </c>
      <c r="B9554">
        <v>167866277.30534562</v>
      </c>
    </row>
    <row r="9555" spans="1:2" x14ac:dyDescent="0.25">
      <c r="A9555">
        <f ca="1">30454.3533666302*((RANDBETWEEN(2979,3282)))</f>
        <v>95565760.864485651</v>
      </c>
      <c r="B9555">
        <v>146654231.15048078</v>
      </c>
    </row>
    <row r="9556" spans="1:2" x14ac:dyDescent="0.25">
      <c r="A9556">
        <f ca="1">29521.0227093325*((RANDBETWEEN(2979,3282)))</f>
        <v>92991221.534397453</v>
      </c>
      <c r="B9556">
        <v>193066590.99937844</v>
      </c>
    </row>
    <row r="9557" spans="1:2" x14ac:dyDescent="0.25">
      <c r="A9557">
        <f ca="1">29340.6437399651*((RANDBETWEEN(2979,3282)))</f>
        <v>96149289.535865769</v>
      </c>
      <c r="B9557">
        <v>200753975.2927531</v>
      </c>
    </row>
    <row r="9558" spans="1:2" x14ac:dyDescent="0.25">
      <c r="A9558">
        <f ca="1">28552.5991946016*((RANDBETWEEN(2979,3282)))</f>
        <v>92453316.192119852</v>
      </c>
      <c r="B9558">
        <v>163683091.13398832</v>
      </c>
    </row>
    <row r="9559" spans="1:2" x14ac:dyDescent="0.25">
      <c r="A9559">
        <f ca="1">29021.4563090683*((RANDBETWEEN(2979,3282)))</f>
        <v>89763364.363948137</v>
      </c>
      <c r="B9559">
        <v>154719160.88414177</v>
      </c>
    </row>
    <row r="9560" spans="1:2" x14ac:dyDescent="0.25">
      <c r="A9560">
        <f ca="1">27133.0683505548*((RANDBETWEEN(2979,3282)))</f>
        <v>81209273.573210612</v>
      </c>
      <c r="B9560">
        <v>177325433.90018022</v>
      </c>
    </row>
    <row r="9561" spans="1:2" x14ac:dyDescent="0.25">
      <c r="A9561">
        <f ca="1">29762.2518320399*((RANDBETWEEN(2979,3282)))</f>
        <v>91578448.88718681</v>
      </c>
      <c r="B9561">
        <v>196676473.87505969</v>
      </c>
    </row>
    <row r="9562" spans="1:2" x14ac:dyDescent="0.25">
      <c r="A9562">
        <f ca="1">26191.4534900563*((RANDBETWEEN(2979,3282)))</f>
        <v>78443403.202718556</v>
      </c>
      <c r="B9562">
        <v>164235826.75847197</v>
      </c>
    </row>
    <row r="9563" spans="1:2" x14ac:dyDescent="0.25">
      <c r="A9563">
        <f ca="1">26796.8898757951*((RANDBETWEEN(2979,3282)))</f>
        <v>85080125.355649412</v>
      </c>
      <c r="B9563">
        <v>166733874.40296632</v>
      </c>
    </row>
    <row r="9564" spans="1:2" x14ac:dyDescent="0.25">
      <c r="A9564">
        <f ca="1">28606.489461155*((RANDBETWEEN(2979,3282)))</f>
        <v>91111668.933778703</v>
      </c>
      <c r="B9564">
        <v>144276353.27106306</v>
      </c>
    </row>
    <row r="9565" spans="1:2" x14ac:dyDescent="0.25">
      <c r="A9565">
        <f ca="1">26566.8943088253*((RANDBETWEEN(2979,3282)))</f>
        <v>85864202.40612331</v>
      </c>
      <c r="B9565">
        <v>158651161.39061078</v>
      </c>
    </row>
    <row r="9566" spans="1:2" x14ac:dyDescent="0.25">
      <c r="A9566">
        <f ca="1">28850.5618783256*((RANDBETWEEN(2979,3282)))</f>
        <v>93562372.17140989</v>
      </c>
      <c r="B9566">
        <v>170252332.65526339</v>
      </c>
    </row>
    <row r="9567" spans="1:2" x14ac:dyDescent="0.25">
      <c r="A9567">
        <f ca="1">27694.7043177518*((RANDBETWEEN(2979,3282)))</f>
        <v>84136511.71732989</v>
      </c>
      <c r="B9567">
        <v>195110171.62934107</v>
      </c>
    </row>
    <row r="9568" spans="1:2" x14ac:dyDescent="0.25">
      <c r="A9568">
        <f ca="1">25872.5707223711*((RANDBETWEEN(2979,3282)))</f>
        <v>80722420.653797865</v>
      </c>
      <c r="B9568">
        <v>161231410.85621631</v>
      </c>
    </row>
    <row r="9569" spans="1:2" x14ac:dyDescent="0.25">
      <c r="A9569">
        <f ca="1">28114.8965456389*((RANDBETWEEN(2979,3282)))</f>
        <v>86256502.602020159</v>
      </c>
      <c r="B9569">
        <v>152532582.36180961</v>
      </c>
    </row>
    <row r="9570" spans="1:2" x14ac:dyDescent="0.25">
      <c r="A9570">
        <f ca="1">27224.8131544377*((RANDBETWEEN(2979,3282)))</f>
        <v>84805292.976073518</v>
      </c>
      <c r="B9570">
        <v>155130860.7058554</v>
      </c>
    </row>
    <row r="9571" spans="1:2" x14ac:dyDescent="0.25">
      <c r="A9571">
        <f ca="1">29408.0483066424*((RANDBETWEEN(2979,3282)))</f>
        <v>94223386.774482176</v>
      </c>
      <c r="B9571">
        <v>170055313.91769642</v>
      </c>
    </row>
    <row r="9572" spans="1:2" x14ac:dyDescent="0.25">
      <c r="A9572">
        <f ca="1">26062.620398573*((RANDBETWEEN(2979,3282)))</f>
        <v>83530698.377426356</v>
      </c>
      <c r="B9572">
        <v>158504116.48833731</v>
      </c>
    </row>
    <row r="9573" spans="1:2" x14ac:dyDescent="0.25">
      <c r="A9573">
        <f ca="1">26735.6881352111*((RANDBETWEEN(2979,3282)))</f>
        <v>83843117.992021918</v>
      </c>
      <c r="B9573">
        <v>143511797.85280514</v>
      </c>
    </row>
    <row r="9574" spans="1:2" x14ac:dyDescent="0.25">
      <c r="A9574">
        <f ca="1">26739.90688719*((RANDBETWEEN(2979,3282)))</f>
        <v>80086021.12713398</v>
      </c>
      <c r="B9574">
        <v>174467980.51872334</v>
      </c>
    </row>
    <row r="9575" spans="1:2" x14ac:dyDescent="0.25">
      <c r="A9575">
        <f ca="1">26087.3170563023*((RANDBETWEEN(2979,3282)))</f>
        <v>85305526.774108663</v>
      </c>
      <c r="B9575">
        <v>153224782.74168476</v>
      </c>
    </row>
    <row r="9576" spans="1:2" x14ac:dyDescent="0.25">
      <c r="A9576">
        <f ca="1">26040.2506270748*((RANDBETWEEN(2979,3282)))</f>
        <v>83406922.758520618</v>
      </c>
      <c r="B9576">
        <v>179340669.39499149</v>
      </c>
    </row>
    <row r="9577" spans="1:2" x14ac:dyDescent="0.25">
      <c r="A9577">
        <f ca="1">26174.4503094328*((RANDBETWEEN(2979,3282)))</f>
        <v>84386427.797611371</v>
      </c>
      <c r="B9577">
        <v>159854162.13694459</v>
      </c>
    </row>
    <row r="9578" spans="1:2" x14ac:dyDescent="0.25">
      <c r="A9578">
        <f ca="1">26905.2586062828*((RANDBETWEEN(2979,3282)))</f>
        <v>85235859.264703929</v>
      </c>
      <c r="B9578">
        <v>155081517.80877516</v>
      </c>
    </row>
    <row r="9579" spans="1:2" x14ac:dyDescent="0.25">
      <c r="A9579">
        <f ca="1">25989.0623028999*((RANDBETWEEN(2979,3282)))</f>
        <v>79838399.394508436</v>
      </c>
      <c r="B9579">
        <v>157721157.28457871</v>
      </c>
    </row>
    <row r="9580" spans="1:2" x14ac:dyDescent="0.25">
      <c r="A9580">
        <f ca="1">26707.765664028*((RANDBETWEEN(2979,3282)))</f>
        <v>85785343.312857985</v>
      </c>
      <c r="B9580">
        <v>191564057.59277478</v>
      </c>
    </row>
    <row r="9581" spans="1:2" x14ac:dyDescent="0.25">
      <c r="A9581">
        <f ca="1">27308.9055957051*((RANDBETWEEN(2979,3282)))</f>
        <v>85995743.720875278</v>
      </c>
      <c r="B9581">
        <v>149314014.84326917</v>
      </c>
    </row>
    <row r="9582" spans="1:2" x14ac:dyDescent="0.25">
      <c r="A9582">
        <f ca="1">27448.1030140572*((RANDBETWEEN(2979,3282)))</f>
        <v>82316860.939157516</v>
      </c>
      <c r="B9582">
        <v>156147285.0975821</v>
      </c>
    </row>
    <row r="9583" spans="1:2" x14ac:dyDescent="0.25">
      <c r="A9583">
        <f ca="1">27610.7324117345*((RANDBETWEEN(2979,3282)))</f>
        <v>90149041.324313298</v>
      </c>
      <c r="B9583">
        <v>199705824.40537709</v>
      </c>
    </row>
    <row r="9584" spans="1:2" x14ac:dyDescent="0.25">
      <c r="A9584">
        <f ca="1">28352.6861648025*((RANDBETWEEN(2979,3282)))</f>
        <v>91068827.961345688</v>
      </c>
      <c r="B9584">
        <v>180900621.60975862</v>
      </c>
    </row>
    <row r="9585" spans="1:2" x14ac:dyDescent="0.25">
      <c r="A9585">
        <f ca="1">29855.325633717*((RANDBETWEEN(2979,3282)))</f>
        <v>94551816.281981841</v>
      </c>
      <c r="B9585">
        <v>203631316.93064255</v>
      </c>
    </row>
    <row r="9586" spans="1:2" x14ac:dyDescent="0.25">
      <c r="A9586">
        <f ca="1">26972.9164915392*((RANDBETWEEN(2979,3282)))</f>
        <v>85099551.530806258</v>
      </c>
      <c r="B9586">
        <v>151484049.40391183</v>
      </c>
    </row>
    <row r="9587" spans="1:2" x14ac:dyDescent="0.25">
      <c r="A9587">
        <f ca="1">28361.7632053093*((RANDBETWEEN(2979,3282)))</f>
        <v>91920474.548407555</v>
      </c>
      <c r="B9587">
        <v>149218899.1968455</v>
      </c>
    </row>
    <row r="9588" spans="1:2" x14ac:dyDescent="0.25">
      <c r="A9588">
        <f ca="1">26165.0964805496*((RANDBETWEEN(2979,3282)))</f>
        <v>78678445.117012501</v>
      </c>
      <c r="B9588">
        <v>162791349.77714401</v>
      </c>
    </row>
    <row r="9589" spans="1:2" x14ac:dyDescent="0.25">
      <c r="A9589">
        <f ca="1">28180.0750679979*((RANDBETWEEN(2979,3282)))</f>
        <v>85498347.756305709</v>
      </c>
      <c r="B9589">
        <v>157551923.99210399</v>
      </c>
    </row>
    <row r="9590" spans="1:2" x14ac:dyDescent="0.25">
      <c r="A9590">
        <f ca="1">31534.4364701956*((RANDBETWEEN(2979,3282)))</f>
        <v>95833152.432924375</v>
      </c>
      <c r="B9590">
        <v>200009347.86217022</v>
      </c>
    </row>
    <row r="9591" spans="1:2" x14ac:dyDescent="0.25">
      <c r="A9591">
        <f ca="1">26213.5257542017*((RANDBETWEEN(2979,3282)))</f>
        <v>84538620.557300627</v>
      </c>
      <c r="B9591">
        <v>154283768.73506981</v>
      </c>
    </row>
    <row r="9592" spans="1:2" x14ac:dyDescent="0.25">
      <c r="A9592">
        <f ca="1">30345.195571633*((RANDBETWEEN(2979,3282)))</f>
        <v>92219049.342192665</v>
      </c>
      <c r="B9592">
        <v>162299152.49213591</v>
      </c>
    </row>
    <row r="9593" spans="1:2" x14ac:dyDescent="0.25">
      <c r="A9593">
        <f ca="1">33045.2011692859*((RANDBETWEEN(2979,3282)))</f>
        <v>100391321.15229042</v>
      </c>
      <c r="B9593">
        <v>202353577.49750167</v>
      </c>
    </row>
    <row r="9594" spans="1:2" x14ac:dyDescent="0.25">
      <c r="A9594">
        <f ca="1">25993.3597862464*((RANDBETWEEN(2979,3282)))</f>
        <v>78967827.030616418</v>
      </c>
      <c r="B9594">
        <v>145040970.21177119</v>
      </c>
    </row>
    <row r="9595" spans="1:2" x14ac:dyDescent="0.25">
      <c r="A9595">
        <f ca="1">25723.3503966416*((RANDBETWEEN(2979,3282)))</f>
        <v>84398312.651381224</v>
      </c>
      <c r="B9595">
        <v>151029231.91538784</v>
      </c>
    </row>
    <row r="9596" spans="1:2" x14ac:dyDescent="0.25">
      <c r="A9596">
        <f ca="1">25904.9335430639*((RANDBETWEEN(2979,3282)))</f>
        <v>77585275.961476475</v>
      </c>
      <c r="B9596">
        <v>145648931.23621088</v>
      </c>
    </row>
    <row r="9597" spans="1:2" x14ac:dyDescent="0.25">
      <c r="A9597">
        <f ca="1">26594.3976927676*((RANDBETWEEN(2979,3282)))</f>
        <v>85687149.366097316</v>
      </c>
      <c r="B9597">
        <v>146922544.99546653</v>
      </c>
    </row>
    <row r="9598" spans="1:2" x14ac:dyDescent="0.25">
      <c r="A9598">
        <f ca="1">25076.8881160684*((RANDBETWEEN(2979,3282)))</f>
        <v>77788506.936044276</v>
      </c>
      <c r="B9598">
        <v>145728462.58473063</v>
      </c>
    </row>
    <row r="9599" spans="1:2" x14ac:dyDescent="0.25">
      <c r="A9599">
        <f ca="1">30090.2224738754*((RANDBETWEEN(2979,3282)))</f>
        <v>90150306.531730831</v>
      </c>
      <c r="B9599">
        <v>148591607.37970597</v>
      </c>
    </row>
    <row r="9600" spans="1:2" x14ac:dyDescent="0.25">
      <c r="A9600">
        <f ca="1">27518.4701695858*((RANDBETWEEN(2979,3282)))</f>
        <v>85059591.294189677</v>
      </c>
      <c r="B9600">
        <v>171421743.63316143</v>
      </c>
    </row>
    <row r="9601" spans="1:2" x14ac:dyDescent="0.25">
      <c r="A9601">
        <f ca="1">28613.5098926867*((RANDBETWEEN(2979,3282)))</f>
        <v>91048188.478528991</v>
      </c>
      <c r="B9601">
        <v>191606827.80312875</v>
      </c>
    </row>
    <row r="9602" spans="1:2" x14ac:dyDescent="0.25">
      <c r="A9602">
        <f ca="1">29863.6004455142*((RANDBETWEEN(2979,3282)))</f>
        <v>97534519.055049479</v>
      </c>
      <c r="B9602">
        <v>190161688.4120554</v>
      </c>
    </row>
    <row r="9603" spans="1:2" x14ac:dyDescent="0.25">
      <c r="A9603">
        <f ca="1">29565.8820712725*((RANDBETWEEN(2979,3282)))</f>
        <v>92097722.652013734</v>
      </c>
      <c r="B9603">
        <v>175757035.91452911</v>
      </c>
    </row>
    <row r="9604" spans="1:2" x14ac:dyDescent="0.25">
      <c r="A9604">
        <f ca="1">26543.9299429319*((RANDBETWEEN(2979,3282)))</f>
        <v>83931906.479550719</v>
      </c>
      <c r="B9604">
        <v>173395314.16461262</v>
      </c>
    </row>
    <row r="9605" spans="1:2" x14ac:dyDescent="0.25">
      <c r="A9605">
        <f ca="1">27678.2547608478*((RANDBETWEEN(2979,3282)))</f>
        <v>85138311.644368112</v>
      </c>
      <c r="B9605">
        <v>156040894.69878423</v>
      </c>
    </row>
    <row r="9606" spans="1:2" x14ac:dyDescent="0.25">
      <c r="A9606">
        <f ca="1">26250.9480761077*((RANDBETWEEN(2979,3282)))</f>
        <v>83845528.155087993</v>
      </c>
      <c r="B9606">
        <v>180060016.90550828</v>
      </c>
    </row>
    <row r="9607" spans="1:2" x14ac:dyDescent="0.25">
      <c r="A9607">
        <f ca="1">28192.5856969569*((RANDBETWEEN(2979,3282)))</f>
        <v>84042097.962628588</v>
      </c>
      <c r="B9607">
        <v>165394320.45507175</v>
      </c>
    </row>
    <row r="9608" spans="1:2" x14ac:dyDescent="0.25">
      <c r="A9608">
        <f ca="1">27310.4531641644*((RANDBETWEEN(2979,3282)))</f>
        <v>88076211.454430252</v>
      </c>
      <c r="B9608">
        <v>180383309.33164471</v>
      </c>
    </row>
    <row r="9609" spans="1:2" x14ac:dyDescent="0.25">
      <c r="A9609">
        <f ca="1">31709.2424551424*((RANDBETWEEN(2979,3282)))</f>
        <v>97537629.79201813</v>
      </c>
      <c r="B9609">
        <v>199621823.20552841</v>
      </c>
    </row>
    <row r="9610" spans="1:2" x14ac:dyDescent="0.25">
      <c r="A9610">
        <f ca="1">31721.7139815915*((RANDBETWEEN(2979,3282)))</f>
        <v>101319154.45720325</v>
      </c>
      <c r="B9610">
        <v>167704444.17499691</v>
      </c>
    </row>
    <row r="9611" spans="1:2" x14ac:dyDescent="0.25">
      <c r="A9611">
        <f ca="1">26716.362468259*((RANDBETWEEN(2979,3282)))</f>
        <v>82553560.026920274</v>
      </c>
      <c r="B9611">
        <v>182687501.62423146</v>
      </c>
    </row>
    <row r="9612" spans="1:2" x14ac:dyDescent="0.25">
      <c r="A9612">
        <f ca="1">30102.6187016028*((RANDBETWEEN(2979,3282)))</f>
        <v>94431914.866927862</v>
      </c>
      <c r="B9612">
        <v>175316205.7419219</v>
      </c>
    </row>
    <row r="9613" spans="1:2" x14ac:dyDescent="0.25">
      <c r="A9613">
        <f ca="1">30778.7762330756*((RANDBETWEEN(2979,3282)))</f>
        <v>95414206.322534323</v>
      </c>
      <c r="B9613">
        <v>178970620.76913977</v>
      </c>
    </row>
    <row r="9614" spans="1:2" x14ac:dyDescent="0.25">
      <c r="A9614">
        <f ca="1">29030.0061566882*((RANDBETWEEN(2979,3282)))</f>
        <v>94289459.996923253</v>
      </c>
      <c r="B9614">
        <v>187067267.2900494</v>
      </c>
    </row>
    <row r="9615" spans="1:2" x14ac:dyDescent="0.25">
      <c r="A9615">
        <f ca="1">26920.1042717558*((RANDBETWEEN(2979,3282)))</f>
        <v>88244101.802815393</v>
      </c>
      <c r="B9615">
        <v>160224267.18867964</v>
      </c>
    </row>
    <row r="9616" spans="1:2" x14ac:dyDescent="0.25">
      <c r="A9616">
        <f ca="1">26388.8902441972*((RANDBETWEEN(2979,3282)))</f>
        <v>82940282.037511647</v>
      </c>
      <c r="B9616">
        <v>156033131.41900653</v>
      </c>
    </row>
    <row r="9617" spans="1:2" x14ac:dyDescent="0.25">
      <c r="A9617">
        <f ca="1">29269.0078136451*((RANDBETWEEN(2979,3282)))</f>
        <v>94451088.214632571</v>
      </c>
      <c r="B9617">
        <v>193446290.75327986</v>
      </c>
    </row>
    <row r="9618" spans="1:2" x14ac:dyDescent="0.25">
      <c r="A9618">
        <f ca="1">27506.8221266724*((RANDBETWEEN(2979,3282)))</f>
        <v>82658000.49065049</v>
      </c>
      <c r="B9618">
        <v>159299963.10113323</v>
      </c>
    </row>
    <row r="9619" spans="1:2" x14ac:dyDescent="0.25">
      <c r="A9619">
        <f ca="1">29335.79381214*((RANDBETWEEN(2979,3282)))</f>
        <v>91791698.83818619</v>
      </c>
      <c r="B9619">
        <v>183979345.17492533</v>
      </c>
    </row>
    <row r="9620" spans="1:2" x14ac:dyDescent="0.25">
      <c r="A9620">
        <f ca="1">26885.5645204785*((RANDBETWEEN(2979,3282)))</f>
        <v>84501329.287864059</v>
      </c>
      <c r="B9620">
        <v>160330813.59861875</v>
      </c>
    </row>
    <row r="9621" spans="1:2" x14ac:dyDescent="0.25">
      <c r="A9621">
        <f ca="1">29622.7294016314*((RANDBETWEEN(2979,3282)))</f>
        <v>96688588.766925007</v>
      </c>
      <c r="B9621">
        <v>181202625.84644723</v>
      </c>
    </row>
    <row r="9622" spans="1:2" x14ac:dyDescent="0.25">
      <c r="A9622">
        <f ca="1">31481.4364161546*((RANDBETWEEN(2979,3282)))</f>
        <v>102220224.04325399</v>
      </c>
      <c r="B9622">
        <v>199892046.81889886</v>
      </c>
    </row>
    <row r="9623" spans="1:2" x14ac:dyDescent="0.25">
      <c r="A9623">
        <f ca="1">27357.0595278804*((RANDBETWEEN(2979,3282)))</f>
        <v>86174737.512823209</v>
      </c>
      <c r="B9623">
        <v>192739589.71584848</v>
      </c>
    </row>
    <row r="9624" spans="1:2" x14ac:dyDescent="0.25">
      <c r="A9624">
        <f ca="1">26435.3746123507*((RANDBETWEEN(2979,3282)))</f>
        <v>82689851.787432984</v>
      </c>
      <c r="B9624">
        <v>145552979.96518105</v>
      </c>
    </row>
    <row r="9625" spans="1:2" x14ac:dyDescent="0.25">
      <c r="A9625">
        <f ca="1">26560.3501509371*((RANDBETWEEN(2979,3282)))</f>
        <v>81062188.660660043</v>
      </c>
      <c r="B9625">
        <v>150738829.37775186</v>
      </c>
    </row>
    <row r="9626" spans="1:2" x14ac:dyDescent="0.25">
      <c r="A9626">
        <f ca="1">25814.3183800794*((RANDBETWEEN(2979,3282)))</f>
        <v>79043442.879803106</v>
      </c>
      <c r="B9626">
        <v>149388453.70233405</v>
      </c>
    </row>
    <row r="9627" spans="1:2" x14ac:dyDescent="0.25">
      <c r="A9627">
        <f ca="1">26662.8120830048*((RANDBETWEEN(2979,3282)))</f>
        <v>81374902.477330506</v>
      </c>
      <c r="B9627">
        <v>149519532.52464566</v>
      </c>
    </row>
    <row r="9628" spans="1:2" x14ac:dyDescent="0.25">
      <c r="A9628">
        <f ca="1">32004.105159943*((RANDBETWEEN(2979,3282)))</f>
        <v>98924689.04938367</v>
      </c>
      <c r="B9628">
        <v>203242733.16041768</v>
      </c>
    </row>
    <row r="9629" spans="1:2" x14ac:dyDescent="0.25">
      <c r="A9629">
        <f ca="1">27313.9628637081*((RANDBETWEEN(2979,3282)))</f>
        <v>82133086.331170201</v>
      </c>
      <c r="B9629">
        <v>181001831.12724525</v>
      </c>
    </row>
    <row r="9630" spans="1:2" x14ac:dyDescent="0.25">
      <c r="A9630">
        <f ca="1">29413.5097757418*((RANDBETWEEN(2979,3282)))</f>
        <v>89770031.835564107</v>
      </c>
      <c r="B9630">
        <v>144789937.30016795</v>
      </c>
    </row>
    <row r="9631" spans="1:2" x14ac:dyDescent="0.25">
      <c r="A9631">
        <f ca="1">26119.0047991328*((RANDBETWEEN(2979,3282)))</f>
        <v>81047271.89170897</v>
      </c>
      <c r="B9631">
        <v>157475779.71417624</v>
      </c>
    </row>
    <row r="9632" spans="1:2" x14ac:dyDescent="0.25">
      <c r="A9632">
        <f ca="1">30865.3784867282*((RANDBETWEEN(2979,3282)))</f>
        <v>97997576.695362136</v>
      </c>
      <c r="B9632">
        <v>154561622.87419188</v>
      </c>
    </row>
    <row r="9633" spans="1:2" x14ac:dyDescent="0.25">
      <c r="A9633">
        <f ca="1">31633.4283891974*((RANDBETWEEN(2979,3282)))</f>
        <v>99550399.140804157</v>
      </c>
      <c r="B9633">
        <v>172926406.78138632</v>
      </c>
    </row>
    <row r="9634" spans="1:2" x14ac:dyDescent="0.25">
      <c r="A9634">
        <f ca="1">26892.0172328952*((RANDBETWEEN(2979,3282)))</f>
        <v>84682962.26638709</v>
      </c>
      <c r="B9634">
        <v>153208433.84246558</v>
      </c>
    </row>
    <row r="9635" spans="1:2" x14ac:dyDescent="0.25">
      <c r="A9635">
        <f ca="1">31503.3457242494*((RANDBETWEEN(2979,3282)))</f>
        <v>97282331.596482292</v>
      </c>
      <c r="B9635">
        <v>168450561.22237271</v>
      </c>
    </row>
    <row r="9636" spans="1:2" x14ac:dyDescent="0.25">
      <c r="A9636">
        <f ca="1">26838.6544837421*((RANDBETWEEN(2979,3282)))</f>
        <v>86635176.673519418</v>
      </c>
      <c r="B9636">
        <v>150519839.88559282</v>
      </c>
    </row>
    <row r="9637" spans="1:2" x14ac:dyDescent="0.25">
      <c r="A9637">
        <f ca="1">30807.7396076248*((RANDBETWEEN(2979,3282)))</f>
        <v>100556462.0792872</v>
      </c>
      <c r="B9637">
        <v>169261040.16952857</v>
      </c>
    </row>
    <row r="9638" spans="1:2" x14ac:dyDescent="0.25">
      <c r="A9638">
        <f ca="1">26683.7980538333*((RANDBETWEEN(2979,3282)))</f>
        <v>84934529.205351353</v>
      </c>
      <c r="B9638">
        <v>170507610.38373321</v>
      </c>
    </row>
    <row r="9639" spans="1:2" x14ac:dyDescent="0.25">
      <c r="A9639">
        <f ca="1">27166.5285706921*((RANDBETWEEN(2979,3282)))</f>
        <v>83374076.183454171</v>
      </c>
      <c r="B9639">
        <v>182757381.42720947</v>
      </c>
    </row>
    <row r="9640" spans="1:2" x14ac:dyDescent="0.25">
      <c r="A9640">
        <f ca="1">29576.7364206099*((RANDBETWEEN(2979,3282)))</f>
        <v>88759785.998250231</v>
      </c>
      <c r="B9640">
        <v>194207279.86277363</v>
      </c>
    </row>
    <row r="9641" spans="1:2" x14ac:dyDescent="0.25">
      <c r="A9641">
        <f ca="1">30789.6242010755*((RANDBETWEEN(2979,3282)))</f>
        <v>96402313.373567522</v>
      </c>
      <c r="B9641">
        <v>183325360.81852287</v>
      </c>
    </row>
    <row r="9642" spans="1:2" x14ac:dyDescent="0.25">
      <c r="A9642">
        <f ca="1">30001.6408195293*((RANDBETWEEN(2979,3282)))</f>
        <v>89884915.895309702</v>
      </c>
      <c r="B9642">
        <v>188778320.63162029</v>
      </c>
    </row>
    <row r="9643" spans="1:2" x14ac:dyDescent="0.25">
      <c r="A9643">
        <f ca="1">28929.6702097944*((RANDBETWEEN(2979,3282)))</f>
        <v>88843017.21427846</v>
      </c>
      <c r="B9643">
        <v>188809576.34425867</v>
      </c>
    </row>
    <row r="9644" spans="1:2" x14ac:dyDescent="0.25">
      <c r="A9644">
        <f ca="1">26191.8988885871*((RANDBETWEEN(2979,3282)))</f>
        <v>78732848.059092954</v>
      </c>
      <c r="B9644">
        <v>144364776.08117023</v>
      </c>
    </row>
    <row r="9645" spans="1:2" x14ac:dyDescent="0.25">
      <c r="A9645">
        <f ca="1">27404.0717088598*((RANDBETWEEN(2979,3282)))</f>
        <v>81718941.835819975</v>
      </c>
      <c r="B9645">
        <v>195370580.52533346</v>
      </c>
    </row>
    <row r="9646" spans="1:2" x14ac:dyDescent="0.25">
      <c r="A9646">
        <f ca="1">28164.5078325392*((RANDBETWEEN(2979,3282)))</f>
        <v>88408390.086340755</v>
      </c>
      <c r="B9646">
        <v>197926955.14689842</v>
      </c>
    </row>
    <row r="9647" spans="1:2" x14ac:dyDescent="0.25">
      <c r="A9647">
        <f ca="1">26876.0464720261*((RANDBETWEEN(2979,3282)))</f>
        <v>87266522.894668862</v>
      </c>
      <c r="B9647">
        <v>155525276.76311389</v>
      </c>
    </row>
    <row r="9648" spans="1:2" x14ac:dyDescent="0.25">
      <c r="A9648">
        <f ca="1">26967.6000614253*((RANDBETWEEN(2979,3282)))</f>
        <v>81145508.584828705</v>
      </c>
      <c r="B9648">
        <v>167576166.05121729</v>
      </c>
    </row>
    <row r="9649" spans="1:2" x14ac:dyDescent="0.25">
      <c r="A9649">
        <f ca="1">26087.5123817431*((RANDBETWEEN(2979,3282)))</f>
        <v>83793089.770158902</v>
      </c>
      <c r="B9649">
        <v>148916157.96987033</v>
      </c>
    </row>
    <row r="9650" spans="1:2" x14ac:dyDescent="0.25">
      <c r="A9650">
        <f ca="1">27421.1971719621*((RANDBETWEEN(2979,3282)))</f>
        <v>83305597.00842084</v>
      </c>
      <c r="B9650">
        <v>159206096.31342447</v>
      </c>
    </row>
    <row r="9651" spans="1:2" x14ac:dyDescent="0.25">
      <c r="A9651">
        <f ca="1">27445.1205815485*((RANDBETWEEN(2979,3282)))</f>
        <v>86836361.520019472</v>
      </c>
      <c r="B9651">
        <v>202235718.02053183</v>
      </c>
    </row>
    <row r="9652" spans="1:2" x14ac:dyDescent="0.25">
      <c r="A9652">
        <f ca="1">30811.2328877768*((RANDBETWEEN(2979,3282)))</f>
        <v>99458659.76174362</v>
      </c>
      <c r="B9652">
        <v>146278529.37008455</v>
      </c>
    </row>
    <row r="9653" spans="1:2" x14ac:dyDescent="0.25">
      <c r="A9653">
        <f ca="1">27420.6224188843*((RANDBETWEEN(2979,3282)))</f>
        <v>83386112.775827169</v>
      </c>
      <c r="B9653">
        <v>163894699.04997665</v>
      </c>
    </row>
    <row r="9654" spans="1:2" x14ac:dyDescent="0.25">
      <c r="A9654">
        <f ca="1">27633.6688715762*((RANDBETWEEN(2979,3282)))</f>
        <v>83702383.012004316</v>
      </c>
      <c r="B9654">
        <v>174761854.74353075</v>
      </c>
    </row>
    <row r="9655" spans="1:2" x14ac:dyDescent="0.25">
      <c r="A9655">
        <f ca="1">31141.8586257957*((RANDBETWEEN(2979,3282)))</f>
        <v>95823498.991573289</v>
      </c>
      <c r="B9655">
        <v>171533939.50709969</v>
      </c>
    </row>
    <row r="9656" spans="1:2" x14ac:dyDescent="0.25">
      <c r="A9656">
        <f ca="1">27989.1667405955*((RANDBETWEEN(2979,3282)))</f>
        <v>87382178.564139068</v>
      </c>
      <c r="B9656">
        <v>150578387.73552501</v>
      </c>
    </row>
    <row r="9657" spans="1:2" x14ac:dyDescent="0.25">
      <c r="A9657">
        <f ca="1">29974.7854324913*((RANDBETWEEN(2979,3282)))</f>
        <v>89924356.297473893</v>
      </c>
      <c r="B9657">
        <v>188155664.50357693</v>
      </c>
    </row>
    <row r="9658" spans="1:2" x14ac:dyDescent="0.25">
      <c r="A9658">
        <f ca="1">28028.7037171464*((RANDBETWEEN(2979,3282)))</f>
        <v>84730771.336933613</v>
      </c>
      <c r="B9658">
        <v>183449982.44463643</v>
      </c>
    </row>
    <row r="9659" spans="1:2" x14ac:dyDescent="0.25">
      <c r="A9659">
        <f ca="1">27954.8600497173*((RANDBETWEEN(2979,3282)))</f>
        <v>89427597.299045756</v>
      </c>
      <c r="B9659">
        <v>148473049.06446677</v>
      </c>
    </row>
    <row r="9660" spans="1:2" x14ac:dyDescent="0.25">
      <c r="A9660">
        <f ca="1">31229.8545374393*((RANDBETWEEN(2979,3282)))</f>
        <v>94813838.375665665</v>
      </c>
      <c r="B9660">
        <v>192036530.59937537</v>
      </c>
    </row>
    <row r="9661" spans="1:2" x14ac:dyDescent="0.25">
      <c r="A9661">
        <f ca="1">27506.5894285018*((RANDBETWEEN(2979,3282)))</f>
        <v>84417722.956072032</v>
      </c>
      <c r="B9661">
        <v>194676088.51390588</v>
      </c>
    </row>
    <row r="9662" spans="1:2" x14ac:dyDescent="0.25">
      <c r="A9662">
        <f ca="1">28265.8086636486*((RANDBETWEEN(2979,3282)))</f>
        <v>86945627.449382961</v>
      </c>
      <c r="B9662">
        <v>197625809.34221226</v>
      </c>
    </row>
    <row r="9663" spans="1:2" x14ac:dyDescent="0.25">
      <c r="A9663">
        <f ca="1">27694.9965296944*((RANDBETWEEN(2979,3282)))</f>
        <v>87848528.992190555</v>
      </c>
      <c r="B9663">
        <v>170450701.77938473</v>
      </c>
    </row>
    <row r="9664" spans="1:2" x14ac:dyDescent="0.25">
      <c r="A9664">
        <f ca="1">27272.4220091821*((RANDBETWEEN(2979,3282)))</f>
        <v>86862664.099244907</v>
      </c>
      <c r="B9664">
        <v>183882241.67217001</v>
      </c>
    </row>
    <row r="9665" spans="1:2" x14ac:dyDescent="0.25">
      <c r="A9665">
        <f ca="1">26615.5302150437*((RANDBETWEEN(2979,3282)))</f>
        <v>86420626.608246729</v>
      </c>
      <c r="B9665">
        <v>165194655.53695884</v>
      </c>
    </row>
    <row r="9666" spans="1:2" x14ac:dyDescent="0.25">
      <c r="A9666">
        <f ca="1">26748.2832902941*((RANDBETWEEN(2979,3282)))</f>
        <v>86156220.478037328</v>
      </c>
      <c r="B9666">
        <v>153008191.64414641</v>
      </c>
    </row>
    <row r="9667" spans="1:2" x14ac:dyDescent="0.25">
      <c r="A9667">
        <f ca="1">27733.5281605923*((RANDBETWEEN(2979,3282)))</f>
        <v>87249679.593223274</v>
      </c>
      <c r="B9667">
        <v>175624511.82365882</v>
      </c>
    </row>
    <row r="9668" spans="1:2" x14ac:dyDescent="0.25">
      <c r="A9668">
        <f ca="1">25699.5670685539*((RANDBETWEEN(2979,3282)))</f>
        <v>83934786.045897052</v>
      </c>
      <c r="B9668">
        <v>143221247.31901276</v>
      </c>
    </row>
    <row r="9669" spans="1:2" x14ac:dyDescent="0.25">
      <c r="A9669">
        <f ca="1">26955.3941215429*((RANDBETWEEN(2979,3282)))</f>
        <v>82968703.106109157</v>
      </c>
      <c r="B9669">
        <v>165888324.9580884</v>
      </c>
    </row>
    <row r="9670" spans="1:2" x14ac:dyDescent="0.25">
      <c r="A9670">
        <f ca="1">27602.3027998836*((RANDBETWEEN(2979,3282)))</f>
        <v>87720118.298030213</v>
      </c>
      <c r="B9670">
        <v>178203457.52457988</v>
      </c>
    </row>
    <row r="9671" spans="1:2" x14ac:dyDescent="0.25">
      <c r="A9671">
        <f ca="1">27593.6184727303*((RANDBETWEEN(2979,3282)))</f>
        <v>87416583.321609482</v>
      </c>
      <c r="B9671">
        <v>170706032.56787318</v>
      </c>
    </row>
    <row r="9672" spans="1:2" x14ac:dyDescent="0.25">
      <c r="A9672">
        <f ca="1">28259.7023234844*((RANDBETWEEN(2979,3282)))</f>
        <v>86531208.514509156</v>
      </c>
      <c r="B9672">
        <v>198770359.47586498</v>
      </c>
    </row>
    <row r="9673" spans="1:2" x14ac:dyDescent="0.25">
      <c r="A9673">
        <f ca="1">26642.660233765*((RANDBETWEEN(2979,3282)))</f>
        <v>81899537.558593601</v>
      </c>
      <c r="B9673">
        <v>154066693.18332505</v>
      </c>
    </row>
    <row r="9674" spans="1:2" x14ac:dyDescent="0.25">
      <c r="A9674">
        <f ca="1">25824.3063450568*((RANDBETWEEN(2979,3282)))</f>
        <v>83360860.881843299</v>
      </c>
      <c r="B9674">
        <v>155129360.75341678</v>
      </c>
    </row>
    <row r="9675" spans="1:2" x14ac:dyDescent="0.25">
      <c r="A9675">
        <f ca="1">32111.3572823072*((RANDBETWEEN(2979,3282)))</f>
        <v>95884512.844969228</v>
      </c>
      <c r="B9675">
        <v>183877078.33199769</v>
      </c>
    </row>
    <row r="9676" spans="1:2" x14ac:dyDescent="0.25">
      <c r="A9676">
        <f ca="1">25821.1732934218*((RANDBETWEEN(2979,3282)))</f>
        <v>82627754.538949892</v>
      </c>
      <c r="B9676">
        <v>150750618.25410628</v>
      </c>
    </row>
    <row r="9677" spans="1:2" x14ac:dyDescent="0.25">
      <c r="A9677">
        <f ca="1">25620.6972655001*((RANDBETWEEN(2979,3282)))</f>
        <v>78655540.605085164</v>
      </c>
      <c r="B9677">
        <v>147235618.37156594</v>
      </c>
    </row>
    <row r="9678" spans="1:2" x14ac:dyDescent="0.25">
      <c r="A9678">
        <f ca="1">26347.5637729748*((RANDBETWEEN(2979,3282)))</f>
        <v>83390039.341465369</v>
      </c>
      <c r="B9678">
        <v>160676856.99389583</v>
      </c>
    </row>
    <row r="9679" spans="1:2" x14ac:dyDescent="0.25">
      <c r="A9679">
        <f ca="1">29592.8351764097*((RANDBETWEEN(2979,3282)))</f>
        <v>94253180.036864743</v>
      </c>
      <c r="B9679">
        <v>159783157.08084893</v>
      </c>
    </row>
    <row r="9680" spans="1:2" x14ac:dyDescent="0.25">
      <c r="A9680">
        <f ca="1">29207.2633559151*((RANDBETWEEN(2979,3282)))</f>
        <v>91389527.04065825</v>
      </c>
      <c r="B9680">
        <v>174212066.12289697</v>
      </c>
    </row>
    <row r="9681" spans="1:2" x14ac:dyDescent="0.25">
      <c r="A9681">
        <f ca="1">28895.8903562822*((RANDBETWEEN(2979,3282)))</f>
        <v>86514295.726708949</v>
      </c>
      <c r="B9681">
        <v>200674513.07983264</v>
      </c>
    </row>
    <row r="9682" spans="1:2" x14ac:dyDescent="0.25">
      <c r="A9682">
        <f ca="1">26818.7585325327*((RANDBETWEEN(2979,3282)))</f>
        <v>80885375.734118566</v>
      </c>
      <c r="B9682">
        <v>197107270.17205429</v>
      </c>
    </row>
    <row r="9683" spans="1:2" x14ac:dyDescent="0.25">
      <c r="A9683">
        <f ca="1">30841.231014834*((RANDBETWEEN(2979,3282)))</f>
        <v>92061074.579279453</v>
      </c>
      <c r="B9683">
        <v>183935964.83116364</v>
      </c>
    </row>
    <row r="9684" spans="1:2" x14ac:dyDescent="0.25">
      <c r="A9684">
        <f ca="1">27550.1427429406*((RANDBETWEEN(2979,3282)))</f>
        <v>85129941.075686425</v>
      </c>
      <c r="B9684">
        <v>149198875.41278264</v>
      </c>
    </row>
    <row r="9685" spans="1:2" x14ac:dyDescent="0.25">
      <c r="A9685">
        <f ca="1">28692.2284710674*((RANDBETWEEN(2979,3282)))</f>
        <v>88917216.031837717</v>
      </c>
      <c r="B9685">
        <v>169751718.9187218</v>
      </c>
    </row>
    <row r="9686" spans="1:2" x14ac:dyDescent="0.25">
      <c r="A9686">
        <f ca="1">28371.2206360411*((RANDBETWEEN(2979,3282)))</f>
        <v>89851655.754342288</v>
      </c>
      <c r="B9686">
        <v>189515094.25648692</v>
      </c>
    </row>
    <row r="9687" spans="1:2" x14ac:dyDescent="0.25">
      <c r="A9687">
        <f ca="1">26618.5855459942*((RANDBETWEEN(2979,3282)))</f>
        <v>84833432.135083541</v>
      </c>
      <c r="B9687">
        <v>181559778.02458236</v>
      </c>
    </row>
    <row r="9688" spans="1:2" x14ac:dyDescent="0.25">
      <c r="A9688">
        <f ca="1">28205.904541209*((RANDBETWEEN(2979,3282)))</f>
        <v>88030628.073113352</v>
      </c>
      <c r="B9688">
        <v>167069510.67322093</v>
      </c>
    </row>
    <row r="9689" spans="1:2" x14ac:dyDescent="0.25">
      <c r="A9689">
        <f ca="1">26793.1986952009*((RANDBETWEEN(2979,3282)))</f>
        <v>84934439.863786802</v>
      </c>
      <c r="B9689">
        <v>158438515.83960089</v>
      </c>
    </row>
    <row r="9690" spans="1:2" x14ac:dyDescent="0.25">
      <c r="A9690">
        <f ca="1">27616.8678835163*((RANDBETWEEN(2979,3282)))</f>
        <v>86634114.55059053</v>
      </c>
      <c r="B9690">
        <v>174108307.94522285</v>
      </c>
    </row>
    <row r="9691" spans="1:2" x14ac:dyDescent="0.25">
      <c r="A9691">
        <f ca="1">27345.4299902699*((RANDBETWEEN(2979,3282)))</f>
        <v>88735920.318425685</v>
      </c>
      <c r="B9691">
        <v>162850697.3358494</v>
      </c>
    </row>
    <row r="9692" spans="1:2" x14ac:dyDescent="0.25">
      <c r="A9692">
        <f ca="1">31021.8793876029*((RANDBETWEEN(2979,3282)))</f>
        <v>94647754.011576533</v>
      </c>
      <c r="B9692">
        <v>202733090.19319376</v>
      </c>
    </row>
    <row r="9693" spans="1:2" x14ac:dyDescent="0.25">
      <c r="A9693">
        <f ca="1">26828.724248149*((RANDBETWEEN(2979,3282)))</f>
        <v>80003255.707980439</v>
      </c>
      <c r="B9693">
        <v>149677005.78720957</v>
      </c>
    </row>
    <row r="9694" spans="1:2" x14ac:dyDescent="0.25">
      <c r="A9694">
        <f ca="1">32832.2571609734*((RANDBETWEEN(2979,3282)))</f>
        <v>100401042.39825657</v>
      </c>
      <c r="B9694">
        <v>174458761.43607453</v>
      </c>
    </row>
    <row r="9695" spans="1:2" x14ac:dyDescent="0.25">
      <c r="A9695">
        <f ca="1">26681.111767426*((RANDBETWEEN(2979,3282)))</f>
        <v>79483031.955162123</v>
      </c>
      <c r="B9695">
        <v>166925661.08050242</v>
      </c>
    </row>
    <row r="9696" spans="1:2" x14ac:dyDescent="0.25">
      <c r="A9696">
        <f ca="1">28328.3255927644*((RANDBETWEEN(2979,3282)))</f>
        <v>85749841.569297969</v>
      </c>
      <c r="B9696">
        <v>188249901.13544741</v>
      </c>
    </row>
    <row r="9697" spans="1:2" x14ac:dyDescent="0.25">
      <c r="A9697">
        <f ca="1">25526.1067597465*((RANDBETWEEN(2979,3282)))</f>
        <v>80892232.321636736</v>
      </c>
      <c r="B9697">
        <v>145780564.9689059</v>
      </c>
    </row>
    <row r="9698" spans="1:2" x14ac:dyDescent="0.25">
      <c r="A9698">
        <f ca="1">27452.7141699792*((RANDBETWEEN(2979,3282)))</f>
        <v>89111510.195752457</v>
      </c>
      <c r="B9698">
        <v>146230155.69524348</v>
      </c>
    </row>
    <row r="9699" spans="1:2" x14ac:dyDescent="0.25">
      <c r="A9699">
        <f ca="1">26153.8023438163*((RANDBETWEEN(2979,3282)))</f>
        <v>80318326.99785988</v>
      </c>
      <c r="B9699">
        <v>155746676.4059943</v>
      </c>
    </row>
    <row r="9700" spans="1:2" x14ac:dyDescent="0.25">
      <c r="A9700">
        <f ca="1">28321.0742227595*((RANDBETWEEN(2979,3282)))</f>
        <v>91845243.704408988</v>
      </c>
      <c r="B9700">
        <v>183380803.28217861</v>
      </c>
    </row>
    <row r="9701" spans="1:2" x14ac:dyDescent="0.25">
      <c r="A9701">
        <f ca="1">30056.9717071239*((RANDBETWEEN(2979,3282)))</f>
        <v>93988150.528176293</v>
      </c>
      <c r="B9701">
        <v>164410161.62752646</v>
      </c>
    </row>
    <row r="9702" spans="1:2" x14ac:dyDescent="0.25">
      <c r="A9702">
        <f ca="1">27852.7414465795*((RANDBETWEEN(2979,3282)))</f>
        <v>89546563.750753194</v>
      </c>
      <c r="B9702">
        <v>169310413.26133609</v>
      </c>
    </row>
    <row r="9703" spans="1:2" x14ac:dyDescent="0.25">
      <c r="A9703">
        <f ca="1">26007.0791784596*((RANDBETWEEN(2979,3282)))</f>
        <v>85121170.151098326</v>
      </c>
      <c r="B9703">
        <v>148449858.66095322</v>
      </c>
    </row>
    <row r="9704" spans="1:2" x14ac:dyDescent="0.25">
      <c r="A9704">
        <f ca="1">29287.7520222848*((RANDBETWEEN(2979,3282)))</f>
        <v>91875678.09390755</v>
      </c>
      <c r="B9704">
        <v>192724420.91174674</v>
      </c>
    </row>
    <row r="9705" spans="1:2" x14ac:dyDescent="0.25">
      <c r="A9705">
        <f ca="1">31187.4724327395*((RANDBETWEEN(2979,3282)))</f>
        <v>95340103.226884514</v>
      </c>
      <c r="B9705">
        <v>189955410.58261445</v>
      </c>
    </row>
    <row r="9706" spans="1:2" x14ac:dyDescent="0.25">
      <c r="A9706">
        <f ca="1">29855.1983329731*((RANDBETWEEN(2979,3282)))</f>
        <v>94252861.137196004</v>
      </c>
      <c r="B9706">
        <v>203162840.43192407</v>
      </c>
    </row>
    <row r="9707" spans="1:2" x14ac:dyDescent="0.25">
      <c r="A9707">
        <f ca="1">26912.3347169924*((RANDBETWEEN(2979,3282)))</f>
        <v>84450906.341922089</v>
      </c>
      <c r="B9707">
        <v>168151829.92121816</v>
      </c>
    </row>
    <row r="9708" spans="1:2" x14ac:dyDescent="0.25">
      <c r="A9708">
        <f ca="1">28910.3606029464*((RANDBETWEEN(2979,3282)))</f>
        <v>94652520.61404635</v>
      </c>
      <c r="B9708">
        <v>178569953.15710378</v>
      </c>
    </row>
    <row r="9709" spans="1:2" x14ac:dyDescent="0.25">
      <c r="A9709">
        <f ca="1">27620.9821951422*((RANDBETWEEN(2979,3282)))</f>
        <v>84299237.659574121</v>
      </c>
      <c r="B9709">
        <v>153465525.31558132</v>
      </c>
    </row>
    <row r="9710" spans="1:2" x14ac:dyDescent="0.25">
      <c r="A9710">
        <f ca="1">26983.6672622793*((RANDBETWEEN(2979,3282)))</f>
        <v>88560395.954800516</v>
      </c>
      <c r="B9710">
        <v>150771352.41710371</v>
      </c>
    </row>
    <row r="9711" spans="1:2" x14ac:dyDescent="0.25">
      <c r="A9711">
        <f ca="1">26345.6393181001*((RANDBETWEEN(2979,3282)))</f>
        <v>83225874.605878145</v>
      </c>
      <c r="B9711">
        <v>190592372.54626518</v>
      </c>
    </row>
    <row r="9712" spans="1:2" x14ac:dyDescent="0.25">
      <c r="A9712">
        <f ca="1">27443.0281535336*((RANDBETWEEN(2979,3282)))</f>
        <v>85183159.388568208</v>
      </c>
      <c r="B9712">
        <v>144516639.75675917</v>
      </c>
    </row>
    <row r="9713" spans="1:2" x14ac:dyDescent="0.25">
      <c r="A9713">
        <f ca="1">26359.0549770716*((RANDBETWEEN(2979,3282)))</f>
        <v>84375334.981606349</v>
      </c>
      <c r="B9713">
        <v>153907678.07467741</v>
      </c>
    </row>
    <row r="9714" spans="1:2" x14ac:dyDescent="0.25">
      <c r="A9714">
        <f ca="1">26412.1433479292*((RANDBETWEEN(2979,3282)))</f>
        <v>82326650.815495417</v>
      </c>
      <c r="B9714">
        <v>156024453.27002364</v>
      </c>
    </row>
    <row r="9715" spans="1:2" x14ac:dyDescent="0.25">
      <c r="A9715">
        <f ca="1">27441.3985660349*((RANDBETWEEN(2979,3282)))</f>
        <v>89431517.926707685</v>
      </c>
      <c r="B9715">
        <v>155964070.55870503</v>
      </c>
    </row>
    <row r="9716" spans="1:2" x14ac:dyDescent="0.25">
      <c r="A9716">
        <f ca="1">27235.7734507855*((RANDBETWEEN(2979,3282)))</f>
        <v>84948377.393000081</v>
      </c>
      <c r="B9716">
        <v>161569047.81359136</v>
      </c>
    </row>
    <row r="9717" spans="1:2" x14ac:dyDescent="0.25">
      <c r="A9717">
        <f ca="1">30584.5871573881*((RANDBETWEEN(2979,3282)))</f>
        <v>93802928.811709344</v>
      </c>
      <c r="B9717">
        <v>187968158.85641834</v>
      </c>
    </row>
    <row r="9718" spans="1:2" x14ac:dyDescent="0.25">
      <c r="A9718">
        <f ca="1">27185.1036621861*((RANDBETWEEN(2979,3282)))</f>
        <v>85442780.810250938</v>
      </c>
      <c r="B9718">
        <v>145018704.15357667</v>
      </c>
    </row>
    <row r="9719" spans="1:2" x14ac:dyDescent="0.25">
      <c r="A9719">
        <f ca="1">27448.5895809419*((RANDBETWEEN(2979,3282)))</f>
        <v>84953384.75301528</v>
      </c>
      <c r="B9719">
        <v>181595276.74077508</v>
      </c>
    </row>
    <row r="9720" spans="1:2" x14ac:dyDescent="0.25">
      <c r="A9720">
        <f ca="1">26325.9990610301*((RANDBETWEEN(2979,3282)))</f>
        <v>82031813.074169844</v>
      </c>
      <c r="B9720">
        <v>164969534.80649662</v>
      </c>
    </row>
    <row r="9721" spans="1:2" x14ac:dyDescent="0.25">
      <c r="A9721">
        <f ca="1">27143.6927592338*((RANDBETWEEN(2979,3282)))</f>
        <v>82462538.60255228</v>
      </c>
      <c r="B9721">
        <v>157153289.29903707</v>
      </c>
    </row>
    <row r="9722" spans="1:2" x14ac:dyDescent="0.25">
      <c r="A9722">
        <f ca="1">29545.0349943968*((RANDBETWEEN(2979,3282)))</f>
        <v>89255550.718072683</v>
      </c>
      <c r="B9722">
        <v>180461572.04435554</v>
      </c>
    </row>
    <row r="9723" spans="1:2" x14ac:dyDescent="0.25">
      <c r="A9723">
        <f ca="1">33182.2554376402*((RANDBETWEEN(2979,3282)))</f>
        <v>100940421.04130161</v>
      </c>
      <c r="B9723">
        <v>185391751.99100453</v>
      </c>
    </row>
    <row r="9724" spans="1:2" x14ac:dyDescent="0.25">
      <c r="A9724">
        <f ca="1">26775.0515611633*((RANDBETWEEN(2979,3282)))</f>
        <v>80459029.941295788</v>
      </c>
      <c r="B9724">
        <v>151387297.1156109</v>
      </c>
    </row>
    <row r="9725" spans="1:2" x14ac:dyDescent="0.25">
      <c r="A9725">
        <f ca="1">26941.73829701*((RANDBETWEEN(2979,3282)))</f>
        <v>86429096.456808135</v>
      </c>
      <c r="B9725">
        <v>173493549.07134253</v>
      </c>
    </row>
    <row r="9726" spans="1:2" x14ac:dyDescent="0.25">
      <c r="A9726">
        <f ca="1">25784.211881563*((RANDBETWEEN(2979,3282)))</f>
        <v>79080177.840753809</v>
      </c>
      <c r="B9726">
        <v>152608558.85843796</v>
      </c>
    </row>
    <row r="9727" spans="1:2" x14ac:dyDescent="0.25">
      <c r="A9727">
        <f ca="1">29067.1176731*((RANDBETWEEN(2979,3282)))</f>
        <v>90573138.669379711</v>
      </c>
      <c r="B9727">
        <v>194090544.13264757</v>
      </c>
    </row>
    <row r="9728" spans="1:2" x14ac:dyDescent="0.25">
      <c r="A9728">
        <f ca="1">29472.0239790554*((RANDBETWEEN(2979,3282)))</f>
        <v>88062407.649417579</v>
      </c>
      <c r="B9728">
        <v>165614676.49139547</v>
      </c>
    </row>
    <row r="9729" spans="1:2" x14ac:dyDescent="0.25">
      <c r="A9729">
        <f ca="1">27046.3276878443*((RANDBETWEEN(2979,3282)))</f>
        <v>85277071.199773118</v>
      </c>
      <c r="B9729">
        <v>160962280.63562411</v>
      </c>
    </row>
    <row r="9730" spans="1:2" x14ac:dyDescent="0.25">
      <c r="A9730">
        <f ca="1">28509.4896278612*((RANDBETWEEN(2979,3282)))</f>
        <v>87324566.730138987</v>
      </c>
      <c r="B9730">
        <v>191869788.30710995</v>
      </c>
    </row>
    <row r="9731" spans="1:2" x14ac:dyDescent="0.25">
      <c r="A9731">
        <f ca="1">27956.4325638944*((RANDBETWEEN(2979,3282)))</f>
        <v>90355190.046506599</v>
      </c>
      <c r="B9731">
        <v>156658674.82661229</v>
      </c>
    </row>
    <row r="9732" spans="1:2" x14ac:dyDescent="0.25">
      <c r="A9732">
        <f ca="1">28322.9185656945*((RANDBETWEEN(2979,3282)))</f>
        <v>91681287.397152945</v>
      </c>
      <c r="B9732">
        <v>153103068.78620505</v>
      </c>
    </row>
    <row r="9733" spans="1:2" x14ac:dyDescent="0.25">
      <c r="A9733">
        <f ca="1">26563.6870893121*((RANDBETWEEN(2979,3282)))</f>
        <v>79717624.955025688</v>
      </c>
      <c r="B9733">
        <v>148094751.26325765</v>
      </c>
    </row>
    <row r="9734" spans="1:2" x14ac:dyDescent="0.25">
      <c r="A9734">
        <f ca="1">30659.2163845635*((RANDBETWEEN(2979,3282)))</f>
        <v>99918386.197292462</v>
      </c>
      <c r="B9734">
        <v>201329358.46937764</v>
      </c>
    </row>
    <row r="9735" spans="1:2" x14ac:dyDescent="0.25">
      <c r="A9735">
        <f ca="1">29393.7875150978*((RANDBETWEEN(2979,3282)))</f>
        <v>89974383.583714321</v>
      </c>
      <c r="B9735">
        <v>181973583.85094407</v>
      </c>
    </row>
    <row r="9736" spans="1:2" x14ac:dyDescent="0.25">
      <c r="A9736">
        <f ca="1">27967.5800233959*((RANDBETWEEN(2979,3282)))</f>
        <v>87874136.43351005</v>
      </c>
      <c r="B9736">
        <v>154081691.66168538</v>
      </c>
    </row>
    <row r="9737" spans="1:2" x14ac:dyDescent="0.25">
      <c r="A9737">
        <f ca="1">25680.4246987435*((RANDBETWEEN(2979,3282)))</f>
        <v>78119851.933577746</v>
      </c>
      <c r="B9737">
        <v>146579554.26915669</v>
      </c>
    </row>
    <row r="9738" spans="1:2" x14ac:dyDescent="0.25">
      <c r="A9738">
        <f ca="1">30786.3995032899*((RANDBETWEEN(2979,3282)))</f>
        <v>93467508.891988128</v>
      </c>
      <c r="B9738">
        <v>189617241.08005461</v>
      </c>
    </row>
    <row r="9739" spans="1:2" x14ac:dyDescent="0.25">
      <c r="A9739">
        <f ca="1">30393.6565342113*((RANDBETWEEN(2979,3282)))</f>
        <v>93612462.125370771</v>
      </c>
      <c r="B9739">
        <v>156312621.84511754</v>
      </c>
    </row>
    <row r="9740" spans="1:2" x14ac:dyDescent="0.25">
      <c r="A9740">
        <f ca="1">31025.725175172*((RANDBETWEEN(2979,3282)))</f>
        <v>93294355.601742193</v>
      </c>
      <c r="B9740">
        <v>189008895.07289326</v>
      </c>
    </row>
    <row r="9741" spans="1:2" x14ac:dyDescent="0.25">
      <c r="A9741">
        <f ca="1">26732.8682693546*((RANDBETWEEN(2979,3282)))</f>
        <v>84689726.677315265</v>
      </c>
      <c r="B9741">
        <v>188206467.01027811</v>
      </c>
    </row>
    <row r="9742" spans="1:2" x14ac:dyDescent="0.25">
      <c r="A9742">
        <f ca="1">27979.7541186195*((RANDBETWEEN(2979,3282)))</f>
        <v>85897845.144161999</v>
      </c>
      <c r="B9742">
        <v>161056770.59674454</v>
      </c>
    </row>
    <row r="9743" spans="1:2" x14ac:dyDescent="0.25">
      <c r="A9743">
        <f ca="1">26034.9824886699*((RANDBETWEEN(2979,3282)))</f>
        <v>84952147.860529751</v>
      </c>
      <c r="B9743">
        <v>159468695.15121609</v>
      </c>
    </row>
    <row r="9744" spans="1:2" x14ac:dyDescent="0.25">
      <c r="A9744">
        <f ca="1">31154.7731662244*((RANDBETWEEN(2979,3282)))</f>
        <v>100536453.00740622</v>
      </c>
      <c r="B9744">
        <v>187083654.66177389</v>
      </c>
    </row>
    <row r="9745" spans="1:2" x14ac:dyDescent="0.25">
      <c r="A9745">
        <f ca="1">28469.4426424587*((RANDBETWEEN(2979,3282)))</f>
        <v>88625374.945973948</v>
      </c>
      <c r="B9745">
        <v>192636629.18770972</v>
      </c>
    </row>
    <row r="9746" spans="1:2" x14ac:dyDescent="0.25">
      <c r="A9746">
        <f ca="1">26770.0535326701*((RANDBETWEEN(2979,3282)))</f>
        <v>83415486.807800144</v>
      </c>
      <c r="B9746">
        <v>178206870.43954617</v>
      </c>
    </row>
    <row r="9747" spans="1:2" x14ac:dyDescent="0.25">
      <c r="A9747">
        <f ca="1">27552.2931184547*((RANDBETWEEN(2979,3282)))</f>
        <v>85384556.374091104</v>
      </c>
      <c r="B9747">
        <v>175268045.28040522</v>
      </c>
    </row>
    <row r="9748" spans="1:2" x14ac:dyDescent="0.25">
      <c r="A9748">
        <f ca="1">27442.8275100324*((RANDBETWEEN(2979,3282)))</f>
        <v>89683160.302785963</v>
      </c>
      <c r="B9748">
        <v>154752314.24525207</v>
      </c>
    </row>
    <row r="9749" spans="1:2" x14ac:dyDescent="0.25">
      <c r="A9749">
        <f ca="1">25698.4771508128*((RANDBETWEEN(2979,3282)))</f>
        <v>78508847.695733175</v>
      </c>
      <c r="B9749">
        <v>146751147.71644339</v>
      </c>
    </row>
    <row r="9750" spans="1:2" x14ac:dyDescent="0.25">
      <c r="A9750">
        <f ca="1">26605.5089294337*((RANDBETWEEN(2979,3282)))</f>
        <v>80694508.582972541</v>
      </c>
      <c r="B9750">
        <v>185045654.10349402</v>
      </c>
    </row>
    <row r="9751" spans="1:2" x14ac:dyDescent="0.25">
      <c r="A9751">
        <f ca="1">27046.9895225528*((RANDBETWEEN(2979,3282)))</f>
        <v>87334729.168323025</v>
      </c>
      <c r="B9751">
        <v>160355325.73002282</v>
      </c>
    </row>
    <row r="9752" spans="1:2" x14ac:dyDescent="0.25">
      <c r="A9752">
        <f ca="1">30271.6214193008*((RANDBETWEEN(2979,3282)))</f>
        <v>93720939.914155424</v>
      </c>
      <c r="B9752">
        <v>150507845.18717235</v>
      </c>
    </row>
    <row r="9753" spans="1:2" x14ac:dyDescent="0.25">
      <c r="A9753">
        <f ca="1">26753.6051814851*((RANDBETWEEN(2979,3282)))</f>
        <v>86253623.105108067</v>
      </c>
      <c r="B9753">
        <v>178794654.57312119</v>
      </c>
    </row>
    <row r="9754" spans="1:2" x14ac:dyDescent="0.25">
      <c r="A9754">
        <f ca="1">26094.8644271631*((RANDBETWEEN(2979,3282)))</f>
        <v>84364696.693018138</v>
      </c>
      <c r="B9754">
        <v>155302221.06470022</v>
      </c>
    </row>
    <row r="9755" spans="1:2" x14ac:dyDescent="0.25">
      <c r="A9755">
        <f ca="1">27097.1856767137*((RANDBETWEEN(2979,3282)))</f>
        <v>81914792.300705627</v>
      </c>
      <c r="B9755">
        <v>147202633.51066554</v>
      </c>
    </row>
    <row r="9756" spans="1:2" x14ac:dyDescent="0.25">
      <c r="A9756">
        <f ca="1">27381.2550859168*((RANDBETWEEN(2979,3282)))</f>
        <v>89399797.855518281</v>
      </c>
      <c r="B9756">
        <v>171556833.73098609</v>
      </c>
    </row>
    <row r="9757" spans="1:2" x14ac:dyDescent="0.25">
      <c r="A9757">
        <f ca="1">27124.1864522868*((RANDBETWEEN(2979,3282)))</f>
        <v>83352624.967877388</v>
      </c>
      <c r="B9757">
        <v>187269936.08662188</v>
      </c>
    </row>
    <row r="9758" spans="1:2" x14ac:dyDescent="0.25">
      <c r="A9758">
        <f ca="1">26283.6394477637*((RANDBETWEEN(2979,3282)))</f>
        <v>79087471.098320946</v>
      </c>
      <c r="B9758">
        <v>150319190.75713718</v>
      </c>
    </row>
    <row r="9759" spans="1:2" x14ac:dyDescent="0.25">
      <c r="A9759">
        <f ca="1">27925.8081645265*((RANDBETWEEN(2979,3282)))</f>
        <v>90172434.563256025</v>
      </c>
      <c r="B9759">
        <v>165659947.72972649</v>
      </c>
    </row>
    <row r="9760" spans="1:2" x14ac:dyDescent="0.25">
      <c r="A9760">
        <f ca="1">27675.3145221088*((RANDBETWEEN(2979,3282)))</f>
        <v>82472437.275884151</v>
      </c>
      <c r="B9760">
        <v>194987739.93095043</v>
      </c>
    </row>
    <row r="9761" spans="1:2" x14ac:dyDescent="0.25">
      <c r="A9761">
        <f ca="1">26585.0518867623*((RANDBETWEEN(2979,3282)))</f>
        <v>82068055.174435228</v>
      </c>
      <c r="B9761">
        <v>196374746.7859616</v>
      </c>
    </row>
    <row r="9762" spans="1:2" x14ac:dyDescent="0.25">
      <c r="A9762">
        <f ca="1">27590.141722235*((RANDBETWEEN(2979,3282)))</f>
        <v>86136422.456817552</v>
      </c>
      <c r="B9762">
        <v>184457881.9043698</v>
      </c>
    </row>
    <row r="9763" spans="1:2" x14ac:dyDescent="0.25">
      <c r="A9763">
        <f ca="1">26383.6617065784*((RANDBETWEEN(2979,3282)))</f>
        <v>85905202.516619325</v>
      </c>
      <c r="B9763">
        <v>148103162.65510055</v>
      </c>
    </row>
    <row r="9764" spans="1:2" x14ac:dyDescent="0.25">
      <c r="A9764">
        <f ca="1">29388.8938823129*((RANDBETWEEN(2979,3282)))</f>
        <v>92663182.410932675</v>
      </c>
      <c r="B9764">
        <v>167081395.35580301</v>
      </c>
    </row>
    <row r="9765" spans="1:2" x14ac:dyDescent="0.25">
      <c r="A9765">
        <f ca="1">24891.6114808684*((RANDBETWEEN(2979,3282)))</f>
        <v>76641271.749593794</v>
      </c>
      <c r="B9765">
        <v>172988747.57795972</v>
      </c>
    </row>
    <row r="9766" spans="1:2" x14ac:dyDescent="0.25">
      <c r="A9766">
        <f ca="1">26778.6561713743*((RANDBETWEEN(2979,3282)))</f>
        <v>87833992.242107645</v>
      </c>
      <c r="B9766">
        <v>174159134.57977301</v>
      </c>
    </row>
    <row r="9767" spans="1:2" x14ac:dyDescent="0.25">
      <c r="A9767">
        <f ca="1">25486.0426313902*((RANDBETWEEN(2979,3282)))</f>
        <v>82345403.742021784</v>
      </c>
      <c r="B9767">
        <v>151704538.1594066</v>
      </c>
    </row>
    <row r="9768" spans="1:2" x14ac:dyDescent="0.25">
      <c r="A9768">
        <f ca="1">27659.4294922301*((RANDBETWEEN(2979,3282)))</f>
        <v>89893145.849747717</v>
      </c>
      <c r="B9768">
        <v>201427129.71651807</v>
      </c>
    </row>
    <row r="9769" spans="1:2" x14ac:dyDescent="0.25">
      <c r="A9769">
        <f ca="1">26248.2610217735*((RANDBETWEEN(2979,3282)))</f>
        <v>82419539.60836868</v>
      </c>
      <c r="B9769">
        <v>169901912.66400284</v>
      </c>
    </row>
    <row r="9770" spans="1:2" x14ac:dyDescent="0.25">
      <c r="A9770">
        <f ca="1">27472.8917010054*((RANDBETWEEN(2979,3282)))</f>
        <v>83764846.796365574</v>
      </c>
      <c r="B9770">
        <v>188383903.18244654</v>
      </c>
    </row>
    <row r="9771" spans="1:2" x14ac:dyDescent="0.25">
      <c r="A9771">
        <f ca="1">29000.4367755234*((RANDBETWEEN(2979,3282)))</f>
        <v>91061371.475143522</v>
      </c>
      <c r="B9771">
        <v>145291329.40992671</v>
      </c>
    </row>
    <row r="9772" spans="1:2" x14ac:dyDescent="0.25">
      <c r="A9772">
        <f ca="1">26259.2021205599*((RANDBETWEEN(2979,3282)))</f>
        <v>85289888.487578616</v>
      </c>
      <c r="B9772">
        <v>148172056.56555998</v>
      </c>
    </row>
    <row r="9773" spans="1:2" x14ac:dyDescent="0.25">
      <c r="A9773">
        <f ca="1">26432.1920273957*((RANDBETWEEN(2979,3282)))</f>
        <v>85772463.128898948</v>
      </c>
      <c r="B9773">
        <v>164624379.41035873</v>
      </c>
    </row>
    <row r="9774" spans="1:2" x14ac:dyDescent="0.25">
      <c r="A9774">
        <f ca="1">30936.3136525142*((RANDBETWEEN(2979,3282)))</f>
        <v>93334858.289635479</v>
      </c>
      <c r="B9774">
        <v>142965572.32410392</v>
      </c>
    </row>
    <row r="9775" spans="1:2" x14ac:dyDescent="0.25">
      <c r="A9775">
        <f ca="1">26485.0883458953*((RANDBETWEEN(2979,3282)))</f>
        <v>86155992.389197305</v>
      </c>
      <c r="B9775">
        <v>158924003.77879268</v>
      </c>
    </row>
    <row r="9776" spans="1:2" x14ac:dyDescent="0.25">
      <c r="A9776">
        <f ca="1">30756.1035355093*((RANDBETWEEN(2979,3282)))</f>
        <v>91776212.949959815</v>
      </c>
      <c r="B9776">
        <v>160753531.84044605</v>
      </c>
    </row>
    <row r="9777" spans="1:2" x14ac:dyDescent="0.25">
      <c r="A9777">
        <f ca="1">29583.7229430835*((RANDBETWEEN(2979,3282)))</f>
        <v>92804138.872453004</v>
      </c>
      <c r="B9777">
        <v>151067621.77748504</v>
      </c>
    </row>
    <row r="9778" spans="1:2" x14ac:dyDescent="0.25">
      <c r="A9778">
        <f ca="1">31139.9946136653*((RANDBETWEEN(2979,3282)))</f>
        <v>95506363.480111375</v>
      </c>
      <c r="B9778">
        <v>186958142.20162061</v>
      </c>
    </row>
    <row r="9779" spans="1:2" x14ac:dyDescent="0.25">
      <c r="A9779">
        <f ca="1">29436.5928592411*((RANDBETWEEN(2979,3282)))</f>
        <v>96463714.799732938</v>
      </c>
      <c r="B9779">
        <v>203374186.06741446</v>
      </c>
    </row>
    <row r="9780" spans="1:2" x14ac:dyDescent="0.25">
      <c r="A9780">
        <f ca="1">26679.0988027142*((RANDBETWEEN(2979,3282)))</f>
        <v>82385057.10278143</v>
      </c>
      <c r="B9780">
        <v>197149956.52331564</v>
      </c>
    </row>
    <row r="9781" spans="1:2" x14ac:dyDescent="0.25">
      <c r="A9781">
        <f ca="1">30026.2560424768*((RANDBETWEEN(2979,3282)))</f>
        <v>92390789.842701152</v>
      </c>
      <c r="B9781">
        <v>191123278.28877336</v>
      </c>
    </row>
    <row r="9782" spans="1:2" x14ac:dyDescent="0.25">
      <c r="A9782">
        <f ca="1">27650.8497347885*((RANDBETWEEN(2979,3282)))</f>
        <v>88676275.099466681</v>
      </c>
      <c r="B9782">
        <v>146970592.89338768</v>
      </c>
    </row>
    <row r="9783" spans="1:2" x14ac:dyDescent="0.25">
      <c r="A9783">
        <f ca="1">27703.8990199087*((RANDBETWEEN(2979,3282)))</f>
        <v>87682840.398011073</v>
      </c>
      <c r="B9783">
        <v>197296990.8585836</v>
      </c>
    </row>
    <row r="9784" spans="1:2" x14ac:dyDescent="0.25">
      <c r="A9784">
        <f ca="1">27371.7054546028*((RANDBETWEEN(2979,3282)))</f>
        <v>85618694.661997601</v>
      </c>
      <c r="B9784">
        <v>165169624.71040621</v>
      </c>
    </row>
    <row r="9785" spans="1:2" x14ac:dyDescent="0.25">
      <c r="A9785">
        <f ca="1">25457.9330821755*((RANDBETWEEN(2979,3282)))</f>
        <v>76144677.848787054</v>
      </c>
      <c r="B9785">
        <v>187737669.96634147</v>
      </c>
    </row>
    <row r="9786" spans="1:2" x14ac:dyDescent="0.25">
      <c r="A9786">
        <f ca="1">26031.5169525163*((RANDBETWEEN(2979,3282)))</f>
        <v>79890725.527272403</v>
      </c>
      <c r="B9786">
        <v>156429302.56827584</v>
      </c>
    </row>
    <row r="9787" spans="1:2" x14ac:dyDescent="0.25">
      <c r="A9787">
        <f ca="1">28829.8931465569*((RANDBETWEEN(2979,3282)))</f>
        <v>90093416.082990438</v>
      </c>
      <c r="B9787">
        <v>159576675.82147989</v>
      </c>
    </row>
    <row r="9788" spans="1:2" x14ac:dyDescent="0.25">
      <c r="A9788">
        <f ca="1">30375.5967782395*((RANDBETWEEN(2979,3282)))</f>
        <v>92888574.947856545</v>
      </c>
      <c r="B9788">
        <v>183509629.13758215</v>
      </c>
    </row>
    <row r="9789" spans="1:2" x14ac:dyDescent="0.25">
      <c r="A9789">
        <f ca="1">28975.7457874604*((RANDBETWEEN(2979,3282)))</f>
        <v>88289097.41439192</v>
      </c>
      <c r="B9789">
        <v>187893395.21171433</v>
      </c>
    </row>
    <row r="9790" spans="1:2" x14ac:dyDescent="0.25">
      <c r="A9790">
        <f ca="1">26352.4206112419*((RANDBETWEEN(2979,3282)))</f>
        <v>83668935.440692917</v>
      </c>
      <c r="B9790">
        <v>151764428.8722454</v>
      </c>
    </row>
    <row r="9791" spans="1:2" x14ac:dyDescent="0.25">
      <c r="A9791">
        <f ca="1">27818.4003220188*((RANDBETWEEN(2979,3282)))</f>
        <v>88518149.824664101</v>
      </c>
      <c r="B9791">
        <v>157876561.0252361</v>
      </c>
    </row>
    <row r="9792" spans="1:2" x14ac:dyDescent="0.25">
      <c r="A9792">
        <f ca="1">28392.7611204373*((RANDBETWEEN(2979,3282)))</f>
        <v>90913621.107640252</v>
      </c>
      <c r="B9792">
        <v>169658648.03192887</v>
      </c>
    </row>
    <row r="9793" spans="1:2" x14ac:dyDescent="0.25">
      <c r="A9793">
        <f ca="1">33232.7352678894*((RANDBETWEEN(2979,3282)))</f>
        <v>104816047.03492327</v>
      </c>
      <c r="B9793">
        <v>171697718.3225745</v>
      </c>
    </row>
    <row r="9794" spans="1:2" x14ac:dyDescent="0.25">
      <c r="A9794">
        <f ca="1">27292.2695946188*((RANDBETWEEN(2979,3282)))</f>
        <v>84960835.24804835</v>
      </c>
      <c r="B9794">
        <v>156515576.3443431</v>
      </c>
    </row>
    <row r="9795" spans="1:2" x14ac:dyDescent="0.25">
      <c r="A9795">
        <f ca="1">27184.9712284777*((RANDBETWEEN(2979,3282)))</f>
        <v>85333624.686191365</v>
      </c>
      <c r="B9795">
        <v>179943171.88309678</v>
      </c>
    </row>
    <row r="9796" spans="1:2" x14ac:dyDescent="0.25">
      <c r="A9796">
        <f ca="1">29812.9250894189*((RANDBETWEEN(2979,3282)))</f>
        <v>89379149.418077812</v>
      </c>
      <c r="B9796">
        <v>157863145.43630701</v>
      </c>
    </row>
    <row r="9797" spans="1:2" x14ac:dyDescent="0.25">
      <c r="A9797">
        <f ca="1">26975.2021070297*((RANDBETWEEN(2979,3282)))</f>
        <v>82004614.40537037</v>
      </c>
      <c r="B9797">
        <v>168711163.17324978</v>
      </c>
    </row>
    <row r="9798" spans="1:2" x14ac:dyDescent="0.25">
      <c r="A9798">
        <f ca="1">32165.3529262691*((RANDBETWEEN(2979,3282)))</f>
        <v>103186452.18747137</v>
      </c>
      <c r="B9798">
        <v>194399800.92882961</v>
      </c>
    </row>
    <row r="9799" spans="1:2" x14ac:dyDescent="0.25">
      <c r="A9799">
        <f ca="1">26569.8829409253*((RANDBETWEEN(2979,3282)))</f>
        <v>85714442.367425069</v>
      </c>
      <c r="B9799">
        <v>172143729.50964588</v>
      </c>
    </row>
    <row r="9800" spans="1:2" x14ac:dyDescent="0.25">
      <c r="A9800">
        <f ca="1">27518.8849707813*((RANDBETWEEN(2979,3282)))</f>
        <v>87867799.711704805</v>
      </c>
      <c r="B9800">
        <v>183811671.38720012</v>
      </c>
    </row>
    <row r="9801" spans="1:2" x14ac:dyDescent="0.25">
      <c r="A9801">
        <f ca="1">32033.9522738645*((RANDBETWEEN(2979,3282)))</f>
        <v>96358128.439784497</v>
      </c>
      <c r="B9801">
        <v>174003169.2913036</v>
      </c>
    </row>
    <row r="9802" spans="1:2" x14ac:dyDescent="0.25">
      <c r="A9802">
        <f ca="1">27234.2165746303*((RANDBETWEEN(2979,3282)))</f>
        <v>87748645.803458869</v>
      </c>
      <c r="B9802">
        <v>143095402.71624187</v>
      </c>
    </row>
    <row r="9803" spans="1:2" x14ac:dyDescent="0.25">
      <c r="A9803">
        <f ca="1">28811.3175571416*((RANDBETWEEN(2979,3282)))</f>
        <v>94299442.364524454</v>
      </c>
      <c r="B9803">
        <v>175025828.4564411</v>
      </c>
    </row>
    <row r="9804" spans="1:2" x14ac:dyDescent="0.25">
      <c r="A9804">
        <f ca="1">26260.283894706*((RANDBETWEEN(2979,3282)))</f>
        <v>86054950.322951615</v>
      </c>
      <c r="B9804">
        <v>147659728.99786663</v>
      </c>
    </row>
    <row r="9805" spans="1:2" x14ac:dyDescent="0.25">
      <c r="A9805">
        <f ca="1">31427.7333118957*((RANDBETWEEN(2979,3282)))</f>
        <v>99500203.665461674</v>
      </c>
      <c r="B9805">
        <v>176996568.04855412</v>
      </c>
    </row>
    <row r="9806" spans="1:2" x14ac:dyDescent="0.25">
      <c r="A9806">
        <f ca="1">30467.5607079221*((RANDBETWEEN(2979,3282)))</f>
        <v>93809619.419692144</v>
      </c>
      <c r="B9806">
        <v>163754332.39604279</v>
      </c>
    </row>
    <row r="9807" spans="1:2" x14ac:dyDescent="0.25">
      <c r="A9807">
        <f ca="1">25590.2036688991*((RANDBETWEEN(2979,3282)))</f>
        <v>77589497.524102077</v>
      </c>
      <c r="B9807">
        <v>165144428.78126818</v>
      </c>
    </row>
    <row r="9808" spans="1:2" x14ac:dyDescent="0.25">
      <c r="A9808">
        <f ca="1">26780.8513028819*((RANDBETWEEN(2979,3282)))</f>
        <v>80503239.016463116</v>
      </c>
      <c r="B9808">
        <v>145478907.04103225</v>
      </c>
    </row>
    <row r="9809" spans="1:2" x14ac:dyDescent="0.25">
      <c r="A9809">
        <f ca="1">25973.611910677*((RANDBETWEEN(2979,3282)))</f>
        <v>77557205.165281489</v>
      </c>
      <c r="B9809">
        <v>163869768.59954268</v>
      </c>
    </row>
    <row r="9810" spans="1:2" x14ac:dyDescent="0.25">
      <c r="A9810">
        <f ca="1">28759.6922712552*((RANDBETWEEN(2979,3282)))</f>
        <v>92663728.49798438</v>
      </c>
      <c r="B9810">
        <v>201908647.4408412</v>
      </c>
    </row>
    <row r="9811" spans="1:2" x14ac:dyDescent="0.25">
      <c r="A9811">
        <f ca="1">28474.1146186383*((RANDBETWEEN(2979,3282)))</f>
        <v>87102316.618414581</v>
      </c>
      <c r="B9811">
        <v>161150231.58423644</v>
      </c>
    </row>
    <row r="9812" spans="1:2" x14ac:dyDescent="0.25">
      <c r="A9812">
        <f ca="1">26239.9280172636*((RANDBETWEEN(2979,3282)))</f>
        <v>83023132.246621877</v>
      </c>
      <c r="B9812">
        <v>161689399.3411772</v>
      </c>
    </row>
    <row r="9813" spans="1:2" x14ac:dyDescent="0.25">
      <c r="A9813">
        <f ca="1">28917.2673447263*((RANDBETWEEN(2979,3282)))</f>
        <v>89614611.501306802</v>
      </c>
      <c r="B9813">
        <v>196730173.39362237</v>
      </c>
    </row>
    <row r="9814" spans="1:2" x14ac:dyDescent="0.25">
      <c r="A9814">
        <f ca="1">30443.7418396849*((RANDBETWEEN(2979,3282)))</f>
        <v>97054648.98491542</v>
      </c>
      <c r="B9814">
        <v>155744726.07259542</v>
      </c>
    </row>
    <row r="9815" spans="1:2" x14ac:dyDescent="0.25">
      <c r="A9815">
        <f ca="1">28433.6612266725*((RANDBETWEEN(2979,3282)))</f>
        <v>85869656.904551044</v>
      </c>
      <c r="B9815">
        <v>151539377.89044994</v>
      </c>
    </row>
    <row r="9816" spans="1:2" x14ac:dyDescent="0.25">
      <c r="A9816">
        <f ca="1">28974.5834818543*((RANDBETWEEN(2979,3282)))</f>
        <v>91704556.720068976</v>
      </c>
      <c r="B9816">
        <v>145558994.42996234</v>
      </c>
    </row>
    <row r="9817" spans="1:2" x14ac:dyDescent="0.25">
      <c r="A9817">
        <f ca="1">25220.4802618862*((RANDBETWEEN(2979,3282)))</f>
        <v>79091426.10127528</v>
      </c>
      <c r="B9817">
        <v>145964067.92400849</v>
      </c>
    </row>
    <row r="9818" spans="1:2" x14ac:dyDescent="0.25">
      <c r="A9818">
        <f ca="1">26401.5533287896*((RANDBETWEEN(2979,3282)))</f>
        <v>82953680.559056804</v>
      </c>
      <c r="B9818">
        <v>171232935.14796448</v>
      </c>
    </row>
    <row r="9819" spans="1:2" x14ac:dyDescent="0.25">
      <c r="A9819">
        <f ca="1">26270.9672540348*((RANDBETWEEN(2979,3282)))</f>
        <v>82254398.472382993</v>
      </c>
      <c r="B9819">
        <v>182768780.44199896</v>
      </c>
    </row>
    <row r="9820" spans="1:2" x14ac:dyDescent="0.25">
      <c r="A9820">
        <f ca="1">28088.1431582561*((RANDBETWEEN(2979,3282)))</f>
        <v>88505739.09166503</v>
      </c>
      <c r="B9820">
        <v>176413786.51505283</v>
      </c>
    </row>
    <row r="9821" spans="1:2" x14ac:dyDescent="0.25">
      <c r="A9821">
        <f ca="1">32796.3600902033*((RANDBETWEEN(2979,3282)))</f>
        <v>107604857.45595717</v>
      </c>
      <c r="B9821">
        <v>192770079.04187357</v>
      </c>
    </row>
    <row r="9822" spans="1:2" x14ac:dyDescent="0.25">
      <c r="A9822">
        <f ca="1">27885.7026404795*((RANDBETWEEN(2979,3282)))</f>
        <v>83127279.571269259</v>
      </c>
      <c r="B9822">
        <v>184975965.70996532</v>
      </c>
    </row>
    <row r="9823" spans="1:2" x14ac:dyDescent="0.25">
      <c r="A9823">
        <f ca="1">27147.9943003505*((RANDBETWEEN(2979,3282)))</f>
        <v>87688021.590132073</v>
      </c>
      <c r="B9823">
        <v>193804146.21919066</v>
      </c>
    </row>
    <row r="9824" spans="1:2" x14ac:dyDescent="0.25">
      <c r="A9824">
        <f ca="1">27127.1580584094*((RANDBETWEEN(2979,3282)))</f>
        <v>88977078.431582749</v>
      </c>
      <c r="B9824">
        <v>144852810.2651259</v>
      </c>
    </row>
    <row r="9825" spans="1:2" x14ac:dyDescent="0.25">
      <c r="A9825">
        <f ca="1">26246.2311295653*((RANDBETWEEN(2979,3282)))</f>
        <v>82570643.133612365</v>
      </c>
      <c r="B9825">
        <v>143708072.82812035</v>
      </c>
    </row>
    <row r="9826" spans="1:2" x14ac:dyDescent="0.25">
      <c r="A9826">
        <f ca="1">31055.9904896252*((RANDBETWEEN(2979,3282)))</f>
        <v>93695923.307199225</v>
      </c>
      <c r="B9826">
        <v>198777224.64567816</v>
      </c>
    </row>
    <row r="9827" spans="1:2" x14ac:dyDescent="0.25">
      <c r="A9827">
        <f ca="1">32259.7352844641*((RANDBETWEEN(2979,3282)))</f>
        <v>96714686.382823318</v>
      </c>
      <c r="B9827">
        <v>181669591.40653953</v>
      </c>
    </row>
    <row r="9828" spans="1:2" x14ac:dyDescent="0.25">
      <c r="A9828">
        <f ca="1">26287.5341810079*((RANDBETWEEN(2979,3282)))</f>
        <v>84488134.857759252</v>
      </c>
      <c r="B9828">
        <v>145602290.7220833</v>
      </c>
    </row>
    <row r="9829" spans="1:2" x14ac:dyDescent="0.25">
      <c r="A9829">
        <f ca="1">28497.0301016263*((RANDBETWEEN(2979,3282)))</f>
        <v>89651656.699716255</v>
      </c>
      <c r="B9829">
        <v>177379970.93106097</v>
      </c>
    </row>
    <row r="9830" spans="1:2" x14ac:dyDescent="0.25">
      <c r="A9830">
        <f ca="1">26278.7073733972*((RANDBETWEEN(2979,3282)))</f>
        <v>80465401.977342084</v>
      </c>
      <c r="B9830">
        <v>177396304.3698616</v>
      </c>
    </row>
    <row r="9831" spans="1:2" x14ac:dyDescent="0.25">
      <c r="A9831">
        <f ca="1">27612.9368134108*((RANDBETWEEN(2979,3282)))</f>
        <v>85765781.742454037</v>
      </c>
      <c r="B9831">
        <v>172871644.91433913</v>
      </c>
    </row>
    <row r="9832" spans="1:2" x14ac:dyDescent="0.25">
      <c r="A9832">
        <f ca="1">27384.3652389592*((RANDBETWEEN(2979,3282)))</f>
        <v>81769714.603532076</v>
      </c>
      <c r="B9832">
        <v>144936001.33325547</v>
      </c>
    </row>
    <row r="9833" spans="1:2" x14ac:dyDescent="0.25">
      <c r="A9833">
        <f ca="1">27398.0951541451*((RANDBETWEEN(2979,3282)))</f>
        <v>84386133.07476677</v>
      </c>
      <c r="B9833">
        <v>146372874.13909417</v>
      </c>
    </row>
    <row r="9834" spans="1:2" x14ac:dyDescent="0.25">
      <c r="A9834">
        <f ca="1">26485.7069396509*((RANDBETWEEN(2979,3282)))</f>
        <v>83429976.85990043</v>
      </c>
      <c r="B9834">
        <v>174777524.4051995</v>
      </c>
    </row>
    <row r="9835" spans="1:2" x14ac:dyDescent="0.25">
      <c r="A9835">
        <f ca="1">27898.9139010519*((RANDBETWEEN(2979,3282)))</f>
        <v>90085592.986496702</v>
      </c>
      <c r="B9835">
        <v>174175326.38544846</v>
      </c>
    </row>
    <row r="9836" spans="1:2" x14ac:dyDescent="0.25">
      <c r="A9836">
        <f ca="1">27831.7724189636*((RANDBETWEEN(2979,3282)))</f>
        <v>83105672.443025336</v>
      </c>
      <c r="B9836">
        <v>198216312.99159428</v>
      </c>
    </row>
    <row r="9837" spans="1:2" x14ac:dyDescent="0.25">
      <c r="A9837">
        <f ca="1">25647.6804643222*((RANDBETWEEN(2979,3282)))</f>
        <v>79943820.007292345</v>
      </c>
      <c r="B9837">
        <v>144804558.247177</v>
      </c>
    </row>
    <row r="9838" spans="1:2" x14ac:dyDescent="0.25">
      <c r="A9838">
        <f ca="1">27352.1186748581*((RANDBETWEEN(2979,3282)))</f>
        <v>84600103.061335966</v>
      </c>
      <c r="B9838">
        <v>175789779.4019354</v>
      </c>
    </row>
    <row r="9839" spans="1:2" x14ac:dyDescent="0.25">
      <c r="A9839">
        <f ca="1">26617.4302729156*((RANDBETWEEN(2979,3282)))</f>
        <v>86692970.398886248</v>
      </c>
      <c r="B9839">
        <v>169094469.40064076</v>
      </c>
    </row>
    <row r="9840" spans="1:2" x14ac:dyDescent="0.25">
      <c r="A9840">
        <f ca="1">26365.3156063108*((RANDBETWEEN(2979,3282)))</f>
        <v>83393493.262760937</v>
      </c>
      <c r="B9840">
        <v>158102095.73500103</v>
      </c>
    </row>
    <row r="9841" spans="1:2" x14ac:dyDescent="0.25">
      <c r="A9841">
        <f ca="1">29817.1749960236*((RANDBETWEEN(2979,3282)))</f>
        <v>95176422.587307394</v>
      </c>
      <c r="B9841">
        <v>149633517.07587871</v>
      </c>
    </row>
    <row r="9842" spans="1:2" x14ac:dyDescent="0.25">
      <c r="A9842">
        <f ca="1">27191.6782772107*((RANDBETWEEN(2979,3282)))</f>
        <v>83396877.276205286</v>
      </c>
      <c r="B9842">
        <v>168855968.34972346</v>
      </c>
    </row>
    <row r="9843" spans="1:2" x14ac:dyDescent="0.25">
      <c r="A9843">
        <f ca="1">26598.6945727188*((RANDBETWEEN(2979,3282)))</f>
        <v>79583294.161574543</v>
      </c>
      <c r="B9843">
        <v>180089009.87326357</v>
      </c>
    </row>
    <row r="9844" spans="1:2" x14ac:dyDescent="0.25">
      <c r="A9844">
        <f ca="1">25466.5201800735*((RANDBETWEEN(2979,3282)))</f>
        <v>79048078.638948128</v>
      </c>
      <c r="B9844">
        <v>166490365.97768465</v>
      </c>
    </row>
    <row r="9845" spans="1:2" x14ac:dyDescent="0.25">
      <c r="A9845">
        <f ca="1">27598.6029482039*((RANDBETWEEN(2979,3282)))</f>
        <v>88977895.905009478</v>
      </c>
      <c r="B9845">
        <v>161384510.71177575</v>
      </c>
    </row>
    <row r="9846" spans="1:2" x14ac:dyDescent="0.25">
      <c r="A9846">
        <f ca="1">26414.9292757124*((RANDBETWEEN(2979,3282)))</f>
        <v>82969292.855012506</v>
      </c>
      <c r="B9846">
        <v>174141278.21266803</v>
      </c>
    </row>
    <row r="9847" spans="1:2" x14ac:dyDescent="0.25">
      <c r="A9847">
        <f ca="1">30087.2801430293*((RANDBETWEEN(2979,3282)))</f>
        <v>96158947.337121546</v>
      </c>
      <c r="B9847">
        <v>144724477.88200569</v>
      </c>
    </row>
    <row r="9848" spans="1:2" x14ac:dyDescent="0.25">
      <c r="A9848">
        <f ca="1">26357.0632536101*((RANDBETWEEN(2979,3282)))</f>
        <v>85528670.25796476</v>
      </c>
      <c r="B9848">
        <v>165353410.55930287</v>
      </c>
    </row>
    <row r="9849" spans="1:2" x14ac:dyDescent="0.25">
      <c r="A9849">
        <f ca="1">27253.3778152106*((RANDBETWEEN(2979,3282)))</f>
        <v>89200305.58918421</v>
      </c>
      <c r="B9849">
        <v>154724218.45474616</v>
      </c>
    </row>
    <row r="9850" spans="1:2" x14ac:dyDescent="0.25">
      <c r="A9850">
        <f ca="1">28269.5953580869*((RANDBETWEEN(2979,3282)))</f>
        <v>89473269.308344975</v>
      </c>
      <c r="B9850">
        <v>197861281.81885988</v>
      </c>
    </row>
    <row r="9851" spans="1:2" x14ac:dyDescent="0.25">
      <c r="A9851">
        <f ca="1">26641.67131609*((RANDBETWEEN(2979,3282)))</f>
        <v>84134398.016212329</v>
      </c>
      <c r="B9851">
        <v>191068779.04548988</v>
      </c>
    </row>
    <row r="9852" spans="1:2" x14ac:dyDescent="0.25">
      <c r="A9852">
        <f ca="1">31357.6419368314*((RANDBETWEEN(2979,3282)))</f>
        <v>95452662.055714682</v>
      </c>
      <c r="B9852">
        <v>164171069.63692117</v>
      </c>
    </row>
    <row r="9853" spans="1:2" x14ac:dyDescent="0.25">
      <c r="A9853">
        <f ca="1">31695.2566981657*((RANDBETWEEN(2979,3282)))</f>
        <v>96226799.335630938</v>
      </c>
      <c r="B9853">
        <v>149258805.79773894</v>
      </c>
    </row>
    <row r="9854" spans="1:2" x14ac:dyDescent="0.25">
      <c r="A9854">
        <f ca="1">27811.7043287989*((RANDBETWEEN(2979,3282)))</f>
        <v>90276792.251281187</v>
      </c>
      <c r="B9854">
        <v>147467317.22120416</v>
      </c>
    </row>
    <row r="9855" spans="1:2" x14ac:dyDescent="0.25">
      <c r="A9855">
        <f ca="1">28305.8423219*((RANDBETWEEN(2979,3282)))</f>
        <v>86955547.612876832</v>
      </c>
      <c r="B9855">
        <v>146774517.49235761</v>
      </c>
    </row>
    <row r="9856" spans="1:2" x14ac:dyDescent="0.25">
      <c r="A9856">
        <f ca="1">25602.4654718456*((RANDBETWEEN(2979,3282)))</f>
        <v>78906798.584228143</v>
      </c>
      <c r="B9856">
        <v>156557029.68553457</v>
      </c>
    </row>
    <row r="9857" spans="1:2" x14ac:dyDescent="0.25">
      <c r="A9857">
        <f ca="1">27337.9989663162*((RANDBETWEEN(2979,3282)))</f>
        <v>85048514.784209803</v>
      </c>
      <c r="B9857">
        <v>151589781.19813758</v>
      </c>
    </row>
    <row r="9858" spans="1:2" x14ac:dyDescent="0.25">
      <c r="A9858">
        <f ca="1">25106.6067012539*((RANDBETWEEN(2979,3282)))</f>
        <v>76550043.832123056</v>
      </c>
      <c r="B9858">
        <v>143144781.79675889</v>
      </c>
    </row>
    <row r="9859" spans="1:2" x14ac:dyDescent="0.25">
      <c r="A9859">
        <f ca="1">29063.573566777*((RANDBETWEEN(2979,3282)))</f>
        <v>88992662.261471108</v>
      </c>
      <c r="B9859">
        <v>184784944.14898604</v>
      </c>
    </row>
    <row r="9860" spans="1:2" x14ac:dyDescent="0.25">
      <c r="A9860">
        <f ca="1">29882.4353357701*((RANDBETWEEN(2979,3282)))</f>
        <v>94637672.708384037</v>
      </c>
      <c r="B9860">
        <v>183835522.47932205</v>
      </c>
    </row>
    <row r="9861" spans="1:2" x14ac:dyDescent="0.25">
      <c r="A9861">
        <f ca="1">27457.1657709576*((RANDBETWEEN(2979,3282)))</f>
        <v>86242957.686577871</v>
      </c>
      <c r="B9861">
        <v>166618054.34282678</v>
      </c>
    </row>
    <row r="9862" spans="1:2" x14ac:dyDescent="0.25">
      <c r="A9862">
        <f ca="1">26827.9238935086*((RANDBETWEEN(2979,3282)))</f>
        <v>81369093.169011474</v>
      </c>
      <c r="B9862">
        <v>146134489.84424609</v>
      </c>
    </row>
    <row r="9863" spans="1:2" x14ac:dyDescent="0.25">
      <c r="A9863">
        <f ca="1">26875.3542599134*((RANDBETWEEN(2979,3282)))</f>
        <v>86699892.842480615</v>
      </c>
      <c r="B9863">
        <v>152684694.75630075</v>
      </c>
    </row>
    <row r="9864" spans="1:2" x14ac:dyDescent="0.25">
      <c r="A9864">
        <f ca="1">28477.308763688*((RANDBETWEEN(2979,3282)))</f>
        <v>90928046.882455692</v>
      </c>
      <c r="B9864">
        <v>156417232.90436304</v>
      </c>
    </row>
    <row r="9865" spans="1:2" x14ac:dyDescent="0.25">
      <c r="A9865">
        <f ca="1">27543.1236846404*((RANDBETWEEN(2979,3282)))</f>
        <v>89129548.243496448</v>
      </c>
      <c r="B9865">
        <v>159260068.42613649</v>
      </c>
    </row>
    <row r="9866" spans="1:2" x14ac:dyDescent="0.25">
      <c r="A9866">
        <f ca="1">31143.1686880762*((RANDBETWEEN(2979,3282)))</f>
        <v>100218716.83822908</v>
      </c>
      <c r="B9866">
        <v>157443120.07042539</v>
      </c>
    </row>
    <row r="9867" spans="1:2" x14ac:dyDescent="0.25">
      <c r="A9867">
        <f ca="1">30762.1280244228*((RANDBETWEEN(2979,3282)))</f>
        <v>100745969.27998482</v>
      </c>
      <c r="B9867">
        <v>186761252.32434008</v>
      </c>
    </row>
    <row r="9868" spans="1:2" x14ac:dyDescent="0.25">
      <c r="A9868">
        <f ca="1">26677.2700165335*((RANDBETWEEN(2979,3282)))</f>
        <v>83019664.291452169</v>
      </c>
      <c r="B9868">
        <v>176553753.34078056</v>
      </c>
    </row>
    <row r="9869" spans="1:2" x14ac:dyDescent="0.25">
      <c r="A9869">
        <f ca="1">27914.3877328424*((RANDBETWEEN(2979,3282)))</f>
        <v>86087971.768085927</v>
      </c>
      <c r="B9869">
        <v>158340259.67366424</v>
      </c>
    </row>
    <row r="9870" spans="1:2" x14ac:dyDescent="0.25">
      <c r="A9870">
        <f ca="1">30963.3435511549*((RANDBETWEEN(2979,3282)))</f>
        <v>95150354.732698888</v>
      </c>
      <c r="B9870">
        <v>149810991.59577981</v>
      </c>
    </row>
    <row r="9871" spans="1:2" x14ac:dyDescent="0.25">
      <c r="A9871">
        <f ca="1">27530.1270099155*((RANDBETWEEN(2979,3282)))</f>
        <v>83030863.06190522</v>
      </c>
      <c r="B9871">
        <v>146153140.95314899</v>
      </c>
    </row>
    <row r="9872" spans="1:2" x14ac:dyDescent="0.25">
      <c r="A9872">
        <f ca="1">27153.035362726*((RANDBETWEEN(2979,3282)))</f>
        <v>81920707.689344391</v>
      </c>
      <c r="B9872">
        <v>171329010.20511633</v>
      </c>
    </row>
    <row r="9873" spans="1:2" x14ac:dyDescent="0.25">
      <c r="A9873">
        <f ca="1">28761.3455347984*((RANDBETWEEN(2979,3282)))</f>
        <v>86456604.677604049</v>
      </c>
      <c r="B9873">
        <v>160992243.36266735</v>
      </c>
    </row>
    <row r="9874" spans="1:2" x14ac:dyDescent="0.25">
      <c r="A9874">
        <f ca="1">27491.4063292976*((RANDBETWEEN(2979,3282)))</f>
        <v>85058411.182847068</v>
      </c>
      <c r="B9874">
        <v>154811547.5872809</v>
      </c>
    </row>
    <row r="9875" spans="1:2" x14ac:dyDescent="0.25">
      <c r="A9875">
        <f ca="1">26909.3528698438*((RANDBETWEEN(2979,3282)))</f>
        <v>80378237.022223309</v>
      </c>
      <c r="B9875">
        <v>191229418.4698444</v>
      </c>
    </row>
    <row r="9876" spans="1:2" x14ac:dyDescent="0.25">
      <c r="A9876">
        <f ca="1">26531.5140944781*((RANDBETWEEN(2979,3282)))</f>
        <v>81053775.55863069</v>
      </c>
      <c r="B9876">
        <v>151504236.90858853</v>
      </c>
    </row>
    <row r="9877" spans="1:2" x14ac:dyDescent="0.25">
      <c r="A9877">
        <f ca="1">30786.3532276527*((RANDBETWEEN(2979,3282)))</f>
        <v>99840143.517277703</v>
      </c>
      <c r="B9877">
        <v>184481018.34956574</v>
      </c>
    </row>
    <row r="9878" spans="1:2" x14ac:dyDescent="0.25">
      <c r="A9878">
        <f ca="1">25959.7709144297*((RANDBETWEEN(2979,3282)))</f>
        <v>84187537.075495839</v>
      </c>
      <c r="B9878">
        <v>146098357.31592554</v>
      </c>
    </row>
    <row r="9879" spans="1:2" x14ac:dyDescent="0.25">
      <c r="A9879">
        <f ca="1">29278.7241750039*((RANDBETWEEN(2979,3282)))</f>
        <v>88743812.974436879</v>
      </c>
      <c r="B9879">
        <v>192794455.43628779</v>
      </c>
    </row>
    <row r="9880" spans="1:2" x14ac:dyDescent="0.25">
      <c r="A9880">
        <f ca="1">29662.658739177*((RANDBETWEEN(2979,3282)))</f>
        <v>97085882.05332619</v>
      </c>
      <c r="B9880">
        <v>191692704.56676096</v>
      </c>
    </row>
    <row r="9881" spans="1:2" x14ac:dyDescent="0.25">
      <c r="A9881">
        <f ca="1">27055.325633252*((RANDBETWEEN(2979,3282)))</f>
        <v>81842360.040587291</v>
      </c>
      <c r="B9881">
        <v>157532601.21516246</v>
      </c>
    </row>
    <row r="9882" spans="1:2" x14ac:dyDescent="0.25">
      <c r="A9882">
        <f ca="1">26822.616284568*((RANDBETWEEN(2979,3282)))</f>
        <v>83659740.191567719</v>
      </c>
      <c r="B9882">
        <v>194364687.36825693</v>
      </c>
    </row>
    <row r="9883" spans="1:2" x14ac:dyDescent="0.25">
      <c r="A9883">
        <f ca="1">27366.4427761178*((RANDBETWEEN(2979,3282)))</f>
        <v>86067462.530890405</v>
      </c>
      <c r="B9883">
        <v>166817292.99261281</v>
      </c>
    </row>
    <row r="9884" spans="1:2" x14ac:dyDescent="0.25">
      <c r="A9884">
        <f ca="1">25430.7611281977*((RANDBETWEEN(2979,3282)))</f>
        <v>80284912.881720096</v>
      </c>
      <c r="B9884">
        <v>149869906.02952638</v>
      </c>
    </row>
    <row r="9885" spans="1:2" x14ac:dyDescent="0.25">
      <c r="A9885">
        <f ca="1">27485.0728619123*((RANDBETWEEN(2979,3282)))</f>
        <v>84489113.977518559</v>
      </c>
      <c r="B9885">
        <v>166405457.64113116</v>
      </c>
    </row>
    <row r="9886" spans="1:2" x14ac:dyDescent="0.25">
      <c r="A9886">
        <f ca="1">24506.1684032488*((RANDBETWEEN(2979,3282)))</f>
        <v>73959616.241004765</v>
      </c>
      <c r="B9886">
        <v>153342104.73608047</v>
      </c>
    </row>
    <row r="9887" spans="1:2" x14ac:dyDescent="0.25">
      <c r="A9887">
        <f ca="1">29502.8335185644*((RANDBETWEEN(2979,3282)))</f>
        <v>95146638.097370297</v>
      </c>
      <c r="B9887">
        <v>202040760.23144442</v>
      </c>
    </row>
    <row r="9888" spans="1:2" x14ac:dyDescent="0.25">
      <c r="A9888">
        <f ca="1">29314.7540070002*((RANDBETWEEN(2979,3282)))</f>
        <v>94246934.13250573</v>
      </c>
      <c r="B9888">
        <v>179500103.52633119</v>
      </c>
    </row>
    <row r="9889" spans="1:2" x14ac:dyDescent="0.25">
      <c r="A9889">
        <f ca="1">32987.8614826584*((RANDBETWEEN(2979,3282)))</f>
        <v>101569625.50510512</v>
      </c>
      <c r="B9889">
        <v>160739677.33345956</v>
      </c>
    </row>
    <row r="9890" spans="1:2" x14ac:dyDescent="0.25">
      <c r="A9890">
        <f ca="1">33405.837884505*((RANDBETWEEN(2979,3282)))</f>
        <v>105094765.9846527</v>
      </c>
      <c r="B9890">
        <v>151490096.89408118</v>
      </c>
    </row>
    <row r="9891" spans="1:2" x14ac:dyDescent="0.25">
      <c r="A9891">
        <f ca="1">27952.233434486*((RANDBETWEEN(2979,3282)))</f>
        <v>83940557.00376156</v>
      </c>
      <c r="B9891">
        <v>142928404.36745441</v>
      </c>
    </row>
    <row r="9892" spans="1:2" x14ac:dyDescent="0.25">
      <c r="A9892">
        <f ca="1">26879.5177749783*((RANDBETWEEN(2979,3282)))</f>
        <v>83353384.620207712</v>
      </c>
      <c r="B9892">
        <v>171911788.54234022</v>
      </c>
    </row>
    <row r="9893" spans="1:2" x14ac:dyDescent="0.25">
      <c r="A9893">
        <f ca="1">27320.6058190213*((RANDBETWEEN(2979,3282)))</f>
        <v>86660961.6579355</v>
      </c>
      <c r="B9893">
        <v>186238736.27124476</v>
      </c>
    </row>
    <row r="9894" spans="1:2" x14ac:dyDescent="0.25">
      <c r="A9894">
        <f ca="1">27148.6232286248*((RANDBETWEEN(2979,3282)))</f>
        <v>87065634.694199651</v>
      </c>
      <c r="B9894">
        <v>197976981.86692882</v>
      </c>
    </row>
    <row r="9895" spans="1:2" x14ac:dyDescent="0.25">
      <c r="A9895">
        <f ca="1">29416.0505735224*((RANDBETWEEN(2979,3282)))</f>
        <v>90513187.614728287</v>
      </c>
      <c r="B9895">
        <v>162743591.00765219</v>
      </c>
    </row>
    <row r="9896" spans="1:2" x14ac:dyDescent="0.25">
      <c r="A9896">
        <f ca="1">28662.2686467097*((RANDBETWEEN(2979,3282)))</f>
        <v>94040903.429854617</v>
      </c>
      <c r="B9896">
        <v>165210540.91246209</v>
      </c>
    </row>
    <row r="9897" spans="1:2" x14ac:dyDescent="0.25">
      <c r="A9897">
        <f ca="1">30040.6403723975*((RANDBETWEEN(2979,3282)))</f>
        <v>93546554.119645745</v>
      </c>
      <c r="B9897">
        <v>184099620.82922125</v>
      </c>
    </row>
    <row r="9898" spans="1:2" x14ac:dyDescent="0.25">
      <c r="A9898">
        <f ca="1">31136.4459802593*((RANDBETWEEN(2979,3282)))</f>
        <v>101411404.55770454</v>
      </c>
      <c r="B9898">
        <v>202958305.23313487</v>
      </c>
    </row>
    <row r="9899" spans="1:2" x14ac:dyDescent="0.25">
      <c r="A9899">
        <f ca="1">24788.4175561678*((RANDBETWEEN(2979,3282)))</f>
        <v>73968637.987604842</v>
      </c>
      <c r="B9899">
        <v>180014289.09862983</v>
      </c>
    </row>
    <row r="9900" spans="1:2" x14ac:dyDescent="0.25">
      <c r="A9900">
        <f ca="1">31846.5485490626*((RANDBETWEEN(2979,3282)))</f>
        <v>95157487.064598963</v>
      </c>
      <c r="B9900">
        <v>202497287.20740318</v>
      </c>
    </row>
    <row r="9901" spans="1:2" x14ac:dyDescent="0.25">
      <c r="A9901">
        <f ca="1">26215.3535285332*((RANDBETWEEN(2979,3282)))</f>
        <v>84361007.654819831</v>
      </c>
      <c r="B9901">
        <v>161719579.04081619</v>
      </c>
    </row>
    <row r="9902" spans="1:2" x14ac:dyDescent="0.25">
      <c r="A9902">
        <f ca="1">25804.960837933*((RANDBETWEEN(2979,3282)))</f>
        <v>80846942.305244103</v>
      </c>
      <c r="B9902">
        <v>144960582.75791287</v>
      </c>
    </row>
    <row r="9903" spans="1:2" x14ac:dyDescent="0.25">
      <c r="A9903">
        <f ca="1">28551.3502182569*((RANDBETWEEN(2979,3282)))</f>
        <v>92934644.960426107</v>
      </c>
      <c r="B9903">
        <v>183929425.75962335</v>
      </c>
    </row>
    <row r="9904" spans="1:2" x14ac:dyDescent="0.25">
      <c r="A9904">
        <f ca="1">27870.2335156714*((RANDBETWEEN(2979,3282)))</f>
        <v>84251715.917874604</v>
      </c>
      <c r="B9904">
        <v>152528708.19353431</v>
      </c>
    </row>
    <row r="9905" spans="1:2" x14ac:dyDescent="0.25">
      <c r="A9905">
        <f ca="1">28317.074768736*((RANDBETWEEN(2979,3282)))</f>
        <v>88264322.054150075</v>
      </c>
      <c r="B9905">
        <v>147327726.38121304</v>
      </c>
    </row>
    <row r="9906" spans="1:2" x14ac:dyDescent="0.25">
      <c r="A9906">
        <f ca="1">27655.4700500671*((RANDBETWEEN(2979,3282)))</f>
        <v>90433387.063719302</v>
      </c>
      <c r="B9906">
        <v>160437868.57150847</v>
      </c>
    </row>
    <row r="9907" spans="1:2" x14ac:dyDescent="0.25">
      <c r="A9907">
        <f ca="1">26677.7861781055*((RANDBETWEEN(2979,3282)))</f>
        <v>79659869.527822897</v>
      </c>
      <c r="B9907">
        <v>151495038.29506546</v>
      </c>
    </row>
    <row r="9908" spans="1:2" x14ac:dyDescent="0.25">
      <c r="A9908">
        <f ca="1">26592.9434417306*((RANDBETWEEN(2979,3282)))</f>
        <v>79592679.721099555</v>
      </c>
      <c r="B9908">
        <v>155093819.9141081</v>
      </c>
    </row>
    <row r="9909" spans="1:2" x14ac:dyDescent="0.25">
      <c r="A9909">
        <f ca="1">27686.6254901871*((RANDBETWEEN(2979,3282)))</f>
        <v>84831820.501933202</v>
      </c>
      <c r="B9909">
        <v>157300534.02222171</v>
      </c>
    </row>
    <row r="9910" spans="1:2" x14ac:dyDescent="0.25">
      <c r="A9910">
        <f ca="1">26541.3316260336*((RANDBETWEEN(2979,3282)))</f>
        <v>86816695.748755887</v>
      </c>
      <c r="B9910">
        <v>172188651.28420946</v>
      </c>
    </row>
    <row r="9911" spans="1:2" x14ac:dyDescent="0.25">
      <c r="A9911">
        <f ca="1">26226.723122237*((RANDBETWEEN(2979,3282)))</f>
        <v>85236850.147270292</v>
      </c>
      <c r="B9911">
        <v>148245838.32782149</v>
      </c>
    </row>
    <row r="9912" spans="1:2" x14ac:dyDescent="0.25">
      <c r="A9912">
        <f ca="1">27178.0625344794*((RANDBETWEEN(2979,3282)))</f>
        <v>83572542.293524206</v>
      </c>
      <c r="B9912">
        <v>153890446.03222793</v>
      </c>
    </row>
    <row r="9913" spans="1:2" x14ac:dyDescent="0.25">
      <c r="A9913">
        <f ca="1">28113.0676890095*((RANDBETWEEN(2979,3282)))</f>
        <v>87262962.10668537</v>
      </c>
      <c r="B9913">
        <v>183347281.94621488</v>
      </c>
    </row>
    <row r="9914" spans="1:2" x14ac:dyDescent="0.25">
      <c r="A9914">
        <f ca="1">26629.6364341112*((RANDBETWEEN(2979,3282)))</f>
        <v>83111095.310861036</v>
      </c>
      <c r="B9914">
        <v>159665757.5386357</v>
      </c>
    </row>
    <row r="9915" spans="1:2" x14ac:dyDescent="0.25">
      <c r="A9915">
        <f ca="1">32006.4518928289*((RANDBETWEEN(2979,3282)))</f>
        <v>100468252.49158986</v>
      </c>
      <c r="B9915">
        <v>199960126.1768536</v>
      </c>
    </row>
    <row r="9916" spans="1:2" x14ac:dyDescent="0.25">
      <c r="A9916">
        <f ca="1">27333.3246366107*((RANDBETWEEN(2979,3282)))</f>
        <v>87302638.889334455</v>
      </c>
      <c r="B9916">
        <v>184003234.58275038</v>
      </c>
    </row>
    <row r="9917" spans="1:2" x14ac:dyDescent="0.25">
      <c r="A9917">
        <f ca="1">26875.7395536737*((RANDBETWEEN(2979,3282)))</f>
        <v>82884780.783529669</v>
      </c>
      <c r="B9917">
        <v>148839571.59543318</v>
      </c>
    </row>
    <row r="9918" spans="1:2" x14ac:dyDescent="0.25">
      <c r="A9918">
        <f ca="1">27065.269886647*((RANDBETWEEN(2979,3282)))</f>
        <v>80871026.421301365</v>
      </c>
      <c r="B9918">
        <v>165046537.17136431</v>
      </c>
    </row>
    <row r="9919" spans="1:2" x14ac:dyDescent="0.25">
      <c r="A9919">
        <f ca="1">27968.8491505378*((RANDBETWEEN(2979,3282)))</f>
        <v>85696553.797247887</v>
      </c>
      <c r="B9919">
        <v>166672437.23324463</v>
      </c>
    </row>
    <row r="9920" spans="1:2" x14ac:dyDescent="0.25">
      <c r="A9920">
        <f ca="1">28344.3283672118*((RANDBETWEEN(2979,3282)))</f>
        <v>86932055.102238581</v>
      </c>
      <c r="B9920">
        <v>190442722.12013531</v>
      </c>
    </row>
    <row r="9921" spans="1:2" x14ac:dyDescent="0.25">
      <c r="A9921">
        <f ca="1">25677.4657435439*((RANDBETWEEN(2979,3282)))</f>
        <v>82244922.776571035</v>
      </c>
      <c r="B9921">
        <v>157729659.8281537</v>
      </c>
    </row>
    <row r="9922" spans="1:2" x14ac:dyDescent="0.25">
      <c r="A9922">
        <f ca="1">29049.0138703536*((RANDBETWEEN(2979,3282)))</f>
        <v>94293099.023167923</v>
      </c>
      <c r="B9922">
        <v>185233105.78507981</v>
      </c>
    </row>
    <row r="9923" spans="1:2" x14ac:dyDescent="0.25">
      <c r="A9923">
        <f ca="1">25147.1307917973*((RANDBETWEEN(2979,3282)))</f>
        <v>82457441.866303295</v>
      </c>
      <c r="B9923">
        <v>146040498.08408529</v>
      </c>
    </row>
    <row r="9924" spans="1:2" x14ac:dyDescent="0.25">
      <c r="A9924">
        <f ca="1">29595.85194033*((RANDBETWEEN(2979,3282)))</f>
        <v>94321980.133831814</v>
      </c>
      <c r="B9924">
        <v>199889395.7134468</v>
      </c>
    </row>
    <row r="9925" spans="1:2" x14ac:dyDescent="0.25">
      <c r="A9925">
        <f ca="1">26847.1983409075*((RANDBETWEEN(2979,3282)))</f>
        <v>88005116.161494792</v>
      </c>
      <c r="B9925">
        <v>191010071.5319888</v>
      </c>
    </row>
    <row r="9926" spans="1:2" x14ac:dyDescent="0.25">
      <c r="A9926">
        <f ca="1">26440.0770367202*((RANDBETWEEN(2979,3282)))</f>
        <v>79452431.495344266</v>
      </c>
      <c r="B9926">
        <v>150527179.06782597</v>
      </c>
    </row>
    <row r="9927" spans="1:2" x14ac:dyDescent="0.25">
      <c r="A9927">
        <f ca="1">26983.8156031986*((RANDBETWEEN(2979,3282)))</f>
        <v>80951446.809595808</v>
      </c>
      <c r="B9927">
        <v>161761909.29195106</v>
      </c>
    </row>
    <row r="9928" spans="1:2" x14ac:dyDescent="0.25">
      <c r="A9928">
        <f ca="1">27219.1905017195*((RANDBETWEEN(2979,3282)))</f>
        <v>87400820.701021358</v>
      </c>
      <c r="B9928">
        <v>189678481.87774751</v>
      </c>
    </row>
    <row r="9929" spans="1:2" x14ac:dyDescent="0.25">
      <c r="A9929">
        <f ca="1">28220.5877506273*((RANDBETWEEN(2979,3282)))</f>
        <v>90842071.969269231</v>
      </c>
      <c r="B9929">
        <v>194360761.7010693</v>
      </c>
    </row>
    <row r="9930" spans="1:2" x14ac:dyDescent="0.25">
      <c r="A9930">
        <f ca="1">26757.087327221*((RANDBETWEEN(2979,3282)))</f>
        <v>80886674.990188941</v>
      </c>
      <c r="B9930">
        <v>155705955.61682194</v>
      </c>
    </row>
    <row r="9931" spans="1:2" x14ac:dyDescent="0.25">
      <c r="A9931">
        <f ca="1">25372.1395630869*((RANDBETWEEN(2979,3282)))</f>
        <v>83068384.929546431</v>
      </c>
      <c r="B9931">
        <v>156844792.63894945</v>
      </c>
    </row>
    <row r="9932" spans="1:2" x14ac:dyDescent="0.25">
      <c r="A9932">
        <f ca="1">29602.6992574004*((RANDBETWEEN(2979,3282)))</f>
        <v>91353929.908337697</v>
      </c>
      <c r="B9932">
        <v>181487922.53901124</v>
      </c>
    </row>
    <row r="9933" spans="1:2" x14ac:dyDescent="0.25">
      <c r="A9933">
        <f ca="1">31898.2496339273*((RANDBETWEEN(2979,3282)))</f>
        <v>97417254.382013887</v>
      </c>
      <c r="B9933">
        <v>157508748.95314938</v>
      </c>
    </row>
    <row r="9934" spans="1:2" x14ac:dyDescent="0.25">
      <c r="A9934">
        <f ca="1">26182.142319247*((RANDBETWEEN(2979,3282)))</f>
        <v>82421384.020989686</v>
      </c>
      <c r="B9934">
        <v>144897075.58876094</v>
      </c>
    </row>
    <row r="9935" spans="1:2" x14ac:dyDescent="0.25">
      <c r="A9935">
        <f ca="1">30294.879707853*((RANDBETWEEN(2979,3282)))</f>
        <v>93429409.019018576</v>
      </c>
      <c r="B9935">
        <v>161307817.34534514</v>
      </c>
    </row>
    <row r="9936" spans="1:2" x14ac:dyDescent="0.25">
      <c r="A9936">
        <f ca="1">28727.1296211454*((RANDBETWEEN(2979,3282)))</f>
        <v>85951571.826466933</v>
      </c>
      <c r="B9936">
        <v>150171968.96336555</v>
      </c>
    </row>
    <row r="9937" spans="1:2" x14ac:dyDescent="0.25">
      <c r="A9937">
        <f ca="1">25955.4892399438*((RANDBETWEEN(2979,3282)))</f>
        <v>80358194.68686609</v>
      </c>
      <c r="B9937">
        <v>186237662.94019806</v>
      </c>
    </row>
    <row r="9938" spans="1:2" x14ac:dyDescent="0.25">
      <c r="A9938">
        <f ca="1">27821.7312340889*((RANDBETWEEN(2979,3282)))</f>
        <v>84689349.876566723</v>
      </c>
      <c r="B9938">
        <v>168957362.32326415</v>
      </c>
    </row>
    <row r="9939" spans="1:2" x14ac:dyDescent="0.25">
      <c r="A9939">
        <f ca="1">31595.7389734151*((RANDBETWEEN(2979,3282)))</f>
        <v>94850408.398192108</v>
      </c>
      <c r="B9939">
        <v>143685283.18158832</v>
      </c>
    </row>
    <row r="9940" spans="1:2" x14ac:dyDescent="0.25">
      <c r="A9940">
        <f ca="1">25382.9606168545*((RANDBETWEEN(2979,3282)))</f>
        <v>82469239.044160336</v>
      </c>
      <c r="B9940">
        <v>155254570.26781997</v>
      </c>
    </row>
    <row r="9941" spans="1:2" x14ac:dyDescent="0.25">
      <c r="A9941">
        <f ca="1">31669.0339418292*((RANDBETWEEN(2979,3282)))</f>
        <v>100770866.00290053</v>
      </c>
      <c r="B9941">
        <v>164801281.68746102</v>
      </c>
    </row>
    <row r="9942" spans="1:2" x14ac:dyDescent="0.25">
      <c r="A9942">
        <f ca="1">25899.1576875401*((RANDBETWEEN(2979,3282)))</f>
        <v>84483052.376755759</v>
      </c>
      <c r="B9942">
        <v>146223872.5499303</v>
      </c>
    </row>
    <row r="9943" spans="1:2" x14ac:dyDescent="0.25">
      <c r="A9943">
        <f ca="1">27954.4759460953*((RANDBETWEEN(2979,3282)))</f>
        <v>91550908.723462224</v>
      </c>
      <c r="B9943">
        <v>157997516.2922501</v>
      </c>
    </row>
    <row r="9944" spans="1:2" x14ac:dyDescent="0.25">
      <c r="A9944">
        <f ca="1">26718.7561853855*((RANDBETWEEN(2979,3282)))</f>
        <v>80744081.192234933</v>
      </c>
      <c r="B9944">
        <v>155278096.84059018</v>
      </c>
    </row>
    <row r="9945" spans="1:2" x14ac:dyDescent="0.25">
      <c r="A9945">
        <f ca="1">33880.6378657303*((RANDBETWEEN(2979,3282)))</f>
        <v>109908789.23642898</v>
      </c>
      <c r="B9945">
        <v>198412323.70050824</v>
      </c>
    </row>
    <row r="9946" spans="1:2" x14ac:dyDescent="0.25">
      <c r="A9946">
        <f ca="1">27010.5469428693*((RANDBETWEEN(2979,3282)))</f>
        <v>86190655.294695988</v>
      </c>
      <c r="B9946">
        <v>183738942.85937935</v>
      </c>
    </row>
    <row r="9947" spans="1:2" x14ac:dyDescent="0.25">
      <c r="A9947">
        <f ca="1">29848.0139649394*((RANDBETWEEN(2979,3282)))</f>
        <v>97155285.455877885</v>
      </c>
      <c r="B9947">
        <v>162062416.43001616</v>
      </c>
    </row>
    <row r="9948" spans="1:2" x14ac:dyDescent="0.25">
      <c r="A9948">
        <f ca="1">32537.2951104863*((RANDBETWEEN(2979,3282)))</f>
        <v>104412180.00955068</v>
      </c>
      <c r="B9948">
        <v>192745802.20548931</v>
      </c>
    </row>
    <row r="9949" spans="1:2" x14ac:dyDescent="0.25">
      <c r="A9949">
        <f ca="1">27575.4442250989*((RANDBETWEEN(2979,3282)))</f>
        <v>90364730.725649253</v>
      </c>
      <c r="B9949">
        <v>145846788.60107586</v>
      </c>
    </row>
    <row r="9950" spans="1:2" x14ac:dyDescent="0.25">
      <c r="A9950">
        <f ca="1">27082.3533594266*((RANDBETWEEN(2979,3282)))</f>
        <v>88125977.831574082</v>
      </c>
      <c r="B9950">
        <v>170011043.14649442</v>
      </c>
    </row>
    <row r="9951" spans="1:2" x14ac:dyDescent="0.25">
      <c r="A9951">
        <f ca="1">29520.4399662708*((RANDBETWEEN(2979,3282)))</f>
        <v>92546579.294259027</v>
      </c>
      <c r="B9951">
        <v>201513861.61913952</v>
      </c>
    </row>
    <row r="9952" spans="1:2" x14ac:dyDescent="0.25">
      <c r="A9952">
        <f ca="1">26569.3795486072*((RANDBETWEEN(2979,3282)))</f>
        <v>83454421.162175074</v>
      </c>
      <c r="B9952">
        <v>171057715.26612923</v>
      </c>
    </row>
    <row r="9953" spans="1:2" x14ac:dyDescent="0.25">
      <c r="A9953">
        <f ca="1">27479.573280368*((RANDBETWEEN(2979,3282)))</f>
        <v>88319348.523102611</v>
      </c>
      <c r="B9953">
        <v>147353657.7845557</v>
      </c>
    </row>
    <row r="9954" spans="1:2" x14ac:dyDescent="0.25">
      <c r="A9954">
        <f ca="1">26602.0189610165*((RANDBETWEEN(2979,3282)))</f>
        <v>86616173.737069696</v>
      </c>
      <c r="B9954">
        <v>165670146.27781194</v>
      </c>
    </row>
    <row r="9955" spans="1:2" x14ac:dyDescent="0.25">
      <c r="A9955">
        <f ca="1">26832.5907963116*((RANDBETWEEN(2979,3282)))</f>
        <v>87393748.223586813</v>
      </c>
      <c r="B9955">
        <v>180871394.82609892</v>
      </c>
    </row>
    <row r="9956" spans="1:2" x14ac:dyDescent="0.25">
      <c r="A9956">
        <f ca="1">26696.2388158586*((RANDBETWEEN(2979,3282)))</f>
        <v>79608184.148890331</v>
      </c>
      <c r="B9956">
        <v>143700974.6015256</v>
      </c>
    </row>
    <row r="9957" spans="1:2" x14ac:dyDescent="0.25">
      <c r="A9957">
        <f ca="1">28378.7305335979*((RANDBETWEEN(2979,3282)))</f>
        <v>92344389.156327486</v>
      </c>
      <c r="B9957">
        <v>164890523.54209742</v>
      </c>
    </row>
    <row r="9958" spans="1:2" x14ac:dyDescent="0.25">
      <c r="A9958">
        <f ca="1">26915.3751518814*((RANDBETWEEN(2979,3282)))</f>
        <v>87878699.870893046</v>
      </c>
      <c r="B9958">
        <v>194678505.91809544</v>
      </c>
    </row>
    <row r="9959" spans="1:2" x14ac:dyDescent="0.25">
      <c r="A9959">
        <f ca="1">28151.1475118686*((RANDBETWEEN(2979,3282)))</f>
        <v>85860999.911199093</v>
      </c>
      <c r="B9959">
        <v>164843492.25034893</v>
      </c>
    </row>
    <row r="9960" spans="1:2" x14ac:dyDescent="0.25">
      <c r="A9960">
        <f ca="1">27063.8028204846*((RANDBETWEEN(2979,3282)))</f>
        <v>88552762.828625709</v>
      </c>
      <c r="B9960">
        <v>161284522.44057924</v>
      </c>
    </row>
    <row r="9961" spans="1:2" x14ac:dyDescent="0.25">
      <c r="A9961">
        <f ca="1">27056.4001584842*((RANDBETWEEN(2979,3282)))</f>
        <v>85985239.703662738</v>
      </c>
      <c r="B9961">
        <v>192672489.72181249</v>
      </c>
    </row>
    <row r="9962" spans="1:2" x14ac:dyDescent="0.25">
      <c r="A9962">
        <f ca="1">31948.4966725012*((RANDBETWEEN(2979,3282)))</f>
        <v>103321438.23886873</v>
      </c>
      <c r="B9962">
        <v>183603780.54601222</v>
      </c>
    </row>
    <row r="9963" spans="1:2" x14ac:dyDescent="0.25">
      <c r="A9963">
        <f ca="1">27945.9417204083*((RANDBETWEEN(2979,3282)))</f>
        <v>89315229.738425002</v>
      </c>
      <c r="B9963">
        <v>169240926.03691164</v>
      </c>
    </row>
    <row r="9964" spans="1:2" x14ac:dyDescent="0.25">
      <c r="A9964">
        <f ca="1">26308.7108163689*((RANDBETWEEN(2979,3282)))</f>
        <v>81951634.192989156</v>
      </c>
      <c r="B9964">
        <v>168451084.66243628</v>
      </c>
    </row>
    <row r="9965" spans="1:2" x14ac:dyDescent="0.25">
      <c r="A9965">
        <f ca="1">33578.74112135*((RANDBETWEEN(2979,3282)))</f>
        <v>102583054.12572421</v>
      </c>
      <c r="B9965">
        <v>155563849.20219928</v>
      </c>
    </row>
    <row r="9966" spans="1:2" x14ac:dyDescent="0.25">
      <c r="A9966">
        <f ca="1">27716.526859079*((RANDBETWEEN(2979,3282)))</f>
        <v>83177297.104096085</v>
      </c>
      <c r="B9966">
        <v>150345077.51657683</v>
      </c>
    </row>
    <row r="9967" spans="1:2" x14ac:dyDescent="0.25">
      <c r="A9967">
        <f ca="1">26277.9317764608*((RANDBETWEEN(2979,3282)))</f>
        <v>78912629.124711797</v>
      </c>
      <c r="B9967">
        <v>151334411.42662251</v>
      </c>
    </row>
    <row r="9968" spans="1:2" x14ac:dyDescent="0.25">
      <c r="A9968">
        <f ca="1">25750.6367789145*((RANDBETWEEN(2979,3282)))</f>
        <v>83509315.074019656</v>
      </c>
      <c r="B9968">
        <v>171585483.64949864</v>
      </c>
    </row>
    <row r="9969" spans="1:2" x14ac:dyDescent="0.25">
      <c r="A9969">
        <f ca="1">26252.0100784293*((RANDBETWEEN(2979,3282)))</f>
        <v>81512491.293523103</v>
      </c>
      <c r="B9969">
        <v>184855926.80698669</v>
      </c>
    </row>
    <row r="9970" spans="1:2" x14ac:dyDescent="0.25">
      <c r="A9970">
        <f ca="1">30356.2423233077*((RANDBETWEEN(2979,3282)))</f>
        <v>95986438.226299018</v>
      </c>
      <c r="B9970">
        <v>197674493.2610445</v>
      </c>
    </row>
    <row r="9971" spans="1:2" x14ac:dyDescent="0.25">
      <c r="A9971">
        <f ca="1">30950.9459592772*((RANDBETWEEN(2979,3282)))</f>
        <v>101488151.80046991</v>
      </c>
      <c r="B9971">
        <v>194098619.15556705</v>
      </c>
    </row>
    <row r="9972" spans="1:2" x14ac:dyDescent="0.25">
      <c r="A9972">
        <f ca="1">31215.0897890595*((RANDBETWEEN(2979,3282)))</f>
        <v>97016499.064397037</v>
      </c>
      <c r="B9972">
        <v>192224858.63636467</v>
      </c>
    </row>
    <row r="9973" spans="1:2" x14ac:dyDescent="0.25">
      <c r="A9973">
        <f ca="1">28169.5184899574*((RANDBETWEEN(2979,3282)))</f>
        <v>87325507.318868011</v>
      </c>
      <c r="B9973">
        <v>156525196.16835779</v>
      </c>
    </row>
    <row r="9974" spans="1:2" x14ac:dyDescent="0.25">
      <c r="A9974">
        <f ca="1">25659.7455252416*((RANDBETWEEN(2979,3282)))</f>
        <v>80905177.641086638</v>
      </c>
      <c r="B9974">
        <v>158331621.99134314</v>
      </c>
    </row>
    <row r="9975" spans="1:2" x14ac:dyDescent="0.25">
      <c r="A9975">
        <f ca="1">26524.8119687035*((RANDBETWEEN(2979,3282)))</f>
        <v>79335712.598392174</v>
      </c>
      <c r="B9975">
        <v>154971570.43939084</v>
      </c>
    </row>
    <row r="9976" spans="1:2" x14ac:dyDescent="0.25">
      <c r="A9976">
        <f ca="1">25583.2429247754*((RANDBETWEEN(2979,3282)))</f>
        <v>78642888.750759676</v>
      </c>
      <c r="B9976">
        <v>150943478.88922024</v>
      </c>
    </row>
    <row r="9977" spans="1:2" x14ac:dyDescent="0.25">
      <c r="A9977">
        <f ca="1">25704.0866854679*((RANDBETWEEN(2979,3282)))</f>
        <v>80942168.972538397</v>
      </c>
      <c r="B9977">
        <v>157461985.39003563</v>
      </c>
    </row>
    <row r="9978" spans="1:2" x14ac:dyDescent="0.25">
      <c r="A9978">
        <f ca="1">28275.8632320246*((RANDBETWEEN(2979,3282)))</f>
        <v>86269658.720906958</v>
      </c>
      <c r="B9978">
        <v>157323265.30147505</v>
      </c>
    </row>
    <row r="9979" spans="1:2" x14ac:dyDescent="0.25">
      <c r="A9979">
        <f ca="1">26516.5069701575*((RANDBETWEEN(2979,3282)))</f>
        <v>83977777.574488759</v>
      </c>
      <c r="B9979">
        <v>144351559.99748081</v>
      </c>
    </row>
    <row r="9980" spans="1:2" x14ac:dyDescent="0.25">
      <c r="A9980">
        <f ca="1">28700.2119964897*((RANDBETWEEN(2979,3282)))</f>
        <v>90721370.120903865</v>
      </c>
      <c r="B9980">
        <v>191509851.6417627</v>
      </c>
    </row>
    <row r="9981" spans="1:2" x14ac:dyDescent="0.25">
      <c r="A9981">
        <f ca="1">26103.4402255115*((RANDBETWEEN(2979,3282)))</f>
        <v>84601249.77088277</v>
      </c>
      <c r="B9981">
        <v>163181916.73036274</v>
      </c>
    </row>
    <row r="9982" spans="1:2" x14ac:dyDescent="0.25">
      <c r="A9982">
        <f ca="1">27279.72005077*((RANDBETWEEN(2979,3282)))</f>
        <v>82302915.393173009</v>
      </c>
      <c r="B9982">
        <v>146447399.38392085</v>
      </c>
    </row>
    <row r="9983" spans="1:2" x14ac:dyDescent="0.25">
      <c r="A9983">
        <f ca="1">30684.5328816785*((RANDBETWEEN(2979,3282)))</f>
        <v>99049672.142058328</v>
      </c>
      <c r="B9983">
        <v>199958921.08138871</v>
      </c>
    </row>
    <row r="9984" spans="1:2" x14ac:dyDescent="0.25">
      <c r="A9984">
        <f ca="1">25127.8466347128*((RANDBETWEEN(2979,3282)))</f>
        <v>75408667.750772968</v>
      </c>
      <c r="B9984">
        <v>147372946.4607403</v>
      </c>
    </row>
    <row r="9985" spans="1:2" x14ac:dyDescent="0.25">
      <c r="A9985">
        <f ca="1">26591.2423163562*((RANDBETWEEN(2979,3282)))</f>
        <v>86979953.616801277</v>
      </c>
      <c r="B9985">
        <v>143720527.49768493</v>
      </c>
    </row>
    <row r="9986" spans="1:2" x14ac:dyDescent="0.25">
      <c r="A9986">
        <f ca="1">26629.437304248*((RANDBETWEEN(2979,3282)))</f>
        <v>86598930.113414392</v>
      </c>
      <c r="B9986">
        <v>154160306.11384416</v>
      </c>
    </row>
    <row r="9987" spans="1:2" x14ac:dyDescent="0.25">
      <c r="A9987">
        <f ca="1">28043.5672715604*((RANDBETWEEN(2979,3282)))</f>
        <v>84775703.861927122</v>
      </c>
      <c r="B9987">
        <v>192527086.71201941</v>
      </c>
    </row>
    <row r="9988" spans="1:2" x14ac:dyDescent="0.25">
      <c r="A9988">
        <f ca="1">28134.5437075997*((RANDBETWEEN(2979,3282)))</f>
        <v>87020143.687605843</v>
      </c>
      <c r="B9988">
        <v>168668471.72650701</v>
      </c>
    </row>
    <row r="9989" spans="1:2" x14ac:dyDescent="0.25">
      <c r="A9989">
        <f ca="1">25456.1074891029*((RANDBETWEEN(2979,3282)))</f>
        <v>81943210.007422388</v>
      </c>
      <c r="B9989">
        <v>146584808.80562234</v>
      </c>
    </row>
    <row r="9990" spans="1:2" x14ac:dyDescent="0.25">
      <c r="A9990">
        <f ca="1">28160.6073727105*((RANDBETWEEN(2979,3282)))</f>
        <v>86988116.174302652</v>
      </c>
      <c r="B9990">
        <v>175108923.38940445</v>
      </c>
    </row>
    <row r="9991" spans="1:2" x14ac:dyDescent="0.25">
      <c r="A9991">
        <f ca="1">28312.8349966587*((RANDBETWEEN(2979,3282)))</f>
        <v>87967978.334618419</v>
      </c>
      <c r="B9991">
        <v>192423892.75412422</v>
      </c>
    </row>
    <row r="9992" spans="1:2" x14ac:dyDescent="0.25">
      <c r="A9992">
        <f ca="1">26766.9621421637*((RANDBETWEEN(2979,3282)))</f>
        <v>81933671.117163211</v>
      </c>
      <c r="B9992">
        <v>173554110.71054676</v>
      </c>
    </row>
    <row r="9993" spans="1:2" x14ac:dyDescent="0.25">
      <c r="A9993">
        <f ca="1">27954.7021882296*((RANDBETWEEN(2979,3282)))</f>
        <v>85848890.420053169</v>
      </c>
      <c r="B9993">
        <v>190589146.82693082</v>
      </c>
    </row>
    <row r="9994" spans="1:2" x14ac:dyDescent="0.25">
      <c r="A9994">
        <f ca="1">26815.4888927644*((RANDBETWEEN(2979,3282)))</f>
        <v>82672152.256392568</v>
      </c>
      <c r="B9994">
        <v>152113322.03847873</v>
      </c>
    </row>
    <row r="9995" spans="1:2" x14ac:dyDescent="0.25">
      <c r="A9995">
        <f ca="1">26713.9060403472*((RANDBETWEEN(2979,3282)))</f>
        <v>82492541.8525922</v>
      </c>
      <c r="B9995">
        <v>170899737.45259452</v>
      </c>
    </row>
    <row r="9996" spans="1:2" x14ac:dyDescent="0.25">
      <c r="A9996">
        <f ca="1">28326.9271049232*((RANDBETWEEN(2979,3282)))</f>
        <v>89456435.797347307</v>
      </c>
      <c r="B9996">
        <v>146927047.32379907</v>
      </c>
    </row>
    <row r="9997" spans="1:2" x14ac:dyDescent="0.25">
      <c r="A9997">
        <f ca="1">31262.6402404805*((RANDBETWEEN(2979,3282)))</f>
        <v>97914589.233184963</v>
      </c>
      <c r="B9997">
        <v>203551980.25697345</v>
      </c>
    </row>
    <row r="9998" spans="1:2" x14ac:dyDescent="0.25">
      <c r="A9998">
        <f ca="1">27765.9826382959*((RANDBETWEEN(2979,3282)))</f>
        <v>88129228.893951416</v>
      </c>
      <c r="B9998">
        <v>200728358.66176796</v>
      </c>
    </row>
    <row r="9999" spans="1:2" x14ac:dyDescent="0.25">
      <c r="A9999">
        <f ca="1">28666.4286218599*((RANDBETWEEN(2979,3282)))</f>
        <v>88894595.156387687</v>
      </c>
      <c r="B9999">
        <v>180053348.69231585</v>
      </c>
    </row>
    <row r="10000" spans="1:2" x14ac:dyDescent="0.25">
      <c r="A10000">
        <f ca="1">27666.9666246407*((RANDBETWEEN(2979,3282)))</f>
        <v>83664907.072913438</v>
      </c>
      <c r="B10000">
        <v>147729064.3136099</v>
      </c>
    </row>
    <row r="10001" spans="1:2" x14ac:dyDescent="0.25">
      <c r="A10001">
        <f ca="1">27559.6211267633*((RANDBETWEEN(2979,3282)))</f>
        <v>84663156.101416945</v>
      </c>
      <c r="B10001">
        <v>155048709.00227219</v>
      </c>
    </row>
    <row r="10002" spans="1:2" x14ac:dyDescent="0.25">
      <c r="A10002">
        <f ca="1">32171.9153028808*((RANDBETWEEN(2979,3282)))</f>
        <v>96226198.670916617</v>
      </c>
      <c r="B10002">
        <v>148456445.81436583</v>
      </c>
    </row>
    <row r="10003" spans="1:2" x14ac:dyDescent="0.25">
      <c r="A10003">
        <f ca="1">26034.501352098*((RANDBETWEEN(2979,3282)))</f>
        <v>85028681.415952072</v>
      </c>
      <c r="B10003">
        <v>148635316.81573775</v>
      </c>
    </row>
    <row r="10004" spans="1:2" x14ac:dyDescent="0.25">
      <c r="A10004">
        <f ca="1">28108.0479364609*((RANDBETWEEN(2979,3282)))</f>
        <v>91294939.697625041</v>
      </c>
      <c r="B10004">
        <v>194332622.86874899</v>
      </c>
    </row>
    <row r="10005" spans="1:2" x14ac:dyDescent="0.25">
      <c r="A10005">
        <f ca="1">26911.3330440779*((RANDBETWEEN(2979,3282)))</f>
        <v>80545619.800925195</v>
      </c>
      <c r="B10005">
        <v>185149035.39989412</v>
      </c>
    </row>
    <row r="10006" spans="1:2" x14ac:dyDescent="0.25">
      <c r="A10006">
        <f ca="1">27129.4421293961*((RANDBETWEEN(2979,3282)))</f>
        <v>87899392.499243528</v>
      </c>
      <c r="B10006">
        <v>150879670.06261352</v>
      </c>
    </row>
    <row r="10007" spans="1:2" x14ac:dyDescent="0.25">
      <c r="A10007">
        <f ca="1">30584.8283465604*((RANDBETWEEN(2979,3282)))</f>
        <v>97229169.313715622</v>
      </c>
      <c r="B10007">
        <v>153337119.64708126</v>
      </c>
    </row>
    <row r="10008" spans="1:2" x14ac:dyDescent="0.25">
      <c r="A10008">
        <f ca="1">25293.1628455251*((RANDBETWEEN(2979,3282)))</f>
        <v>80457551.011615455</v>
      </c>
      <c r="B10008">
        <v>192065582.93963343</v>
      </c>
    </row>
    <row r="10009" spans="1:2" x14ac:dyDescent="0.25">
      <c r="A10009">
        <f ca="1">25501.5963536479*((RANDBETWEEN(2979,3282)))</f>
        <v>78238897.612991884</v>
      </c>
      <c r="B10009">
        <v>144689334.18309656</v>
      </c>
    </row>
    <row r="10010" spans="1:2" x14ac:dyDescent="0.25">
      <c r="A10010">
        <f ca="1">27951.3617008216*((RANDBETWEEN(2979,3282)))</f>
        <v>88633767.953305215</v>
      </c>
      <c r="B10010">
        <v>199576801.36745325</v>
      </c>
    </row>
    <row r="10011" spans="1:2" x14ac:dyDescent="0.25">
      <c r="A10011">
        <f ca="1">26482.8348183388*((RANDBETWEEN(2979,3282)))</f>
        <v>80375403.673658162</v>
      </c>
      <c r="B10011">
        <v>161918710.14667016</v>
      </c>
    </row>
    <row r="10012" spans="1:2" x14ac:dyDescent="0.25">
      <c r="A10012">
        <f ca="1">25928.0419940163*((RANDBETWEEN(2979,3282)))</f>
        <v>80610282.55939655</v>
      </c>
      <c r="B10012">
        <v>151736096.11106235</v>
      </c>
    </row>
    <row r="10013" spans="1:2" x14ac:dyDescent="0.25">
      <c r="A10013">
        <f ca="1">27043.2789575824*((RANDBETWEEN(2979,3282)))</f>
        <v>82022265.078347266</v>
      </c>
      <c r="B10013">
        <v>155519515.43852529</v>
      </c>
    </row>
    <row r="10014" spans="1:2" x14ac:dyDescent="0.25">
      <c r="A10014">
        <f ca="1">26257.2082314686*((RANDBETWEEN(2979,3282)))</f>
        <v>82080032.931570828</v>
      </c>
      <c r="B10014">
        <v>146201781.11538318</v>
      </c>
    </row>
    <row r="10015" spans="1:2" x14ac:dyDescent="0.25">
      <c r="A10015">
        <f ca="1">25255.3049351382*((RANDBETWEEN(2979,3282)))</f>
        <v>77407509.626198485</v>
      </c>
      <c r="B10015">
        <v>143496372.78281006</v>
      </c>
    </row>
    <row r="10016" spans="1:2" x14ac:dyDescent="0.25">
      <c r="A10016">
        <f ca="1">28427.4605661383*((RANDBETWEEN(2979,3282)))</f>
        <v>91991262.392023444</v>
      </c>
      <c r="B10016">
        <v>143276735.73783907</v>
      </c>
    </row>
    <row r="10017" spans="1:2" x14ac:dyDescent="0.25">
      <c r="A10017">
        <f ca="1">28061.7450638949*((RANDBETWEEN(2979,3282)))</f>
        <v>88983793.597610608</v>
      </c>
      <c r="B10017">
        <v>165291283.41399646</v>
      </c>
    </row>
    <row r="10018" spans="1:2" x14ac:dyDescent="0.25">
      <c r="A10018">
        <f ca="1">27143.9273925466*((RANDBETWEEN(2979,3282)))</f>
        <v>83006129.966407508</v>
      </c>
      <c r="B10018">
        <v>150515887.88699976</v>
      </c>
    </row>
    <row r="10019" spans="1:2" x14ac:dyDescent="0.25">
      <c r="A10019">
        <f ca="1">27650.5789674541*((RANDBETWEEN(2979,3282)))</f>
        <v>87126974.326448008</v>
      </c>
      <c r="B10019">
        <v>168632839.07024312</v>
      </c>
    </row>
    <row r="10020" spans="1:2" x14ac:dyDescent="0.25">
      <c r="A10020">
        <f ca="1">26337.9371615007*((RANDBETWEEN(2979,3282)))</f>
        <v>83649288.424926266</v>
      </c>
      <c r="B10020">
        <v>194401533.94799504</v>
      </c>
    </row>
    <row r="10021" spans="1:2" x14ac:dyDescent="0.25">
      <c r="A10021">
        <f ca="1">31513.2647349057*((RANDBETWEEN(2979,3282)))</f>
        <v>95296112.558354989</v>
      </c>
      <c r="B10021">
        <v>156115804.22570616</v>
      </c>
    </row>
    <row r="10022" spans="1:2" x14ac:dyDescent="0.25">
      <c r="A10022">
        <f ca="1">27402.4994391057*((RANDBETWEEN(2979,3282)))</f>
        <v>87222155.714673519</v>
      </c>
      <c r="B10022">
        <v>149575455.34870493</v>
      </c>
    </row>
    <row r="10023" spans="1:2" x14ac:dyDescent="0.25">
      <c r="A10023">
        <f ca="1">32027.6802784445*((RANDBETWEEN(2979,3282)))</f>
        <v>97364148.046471328</v>
      </c>
      <c r="B10023">
        <v>179559468.19665515</v>
      </c>
    </row>
    <row r="10024" spans="1:2" x14ac:dyDescent="0.25">
      <c r="A10024">
        <f ca="1">26147.3244637023*((RANDBETWEEN(2979,3282)))</f>
        <v>80403022.725884691</v>
      </c>
      <c r="B10024">
        <v>168959459.05507109</v>
      </c>
    </row>
    <row r="10025" spans="1:2" x14ac:dyDescent="0.25">
      <c r="A10025">
        <f ca="1">32723.0153434393*((RANDBETWEEN(2979,3282)))</f>
        <v>105433555.43656147</v>
      </c>
      <c r="B10025">
        <v>174561493.24139071</v>
      </c>
    </row>
    <row r="10026" spans="1:2" x14ac:dyDescent="0.25">
      <c r="A10026">
        <f ca="1">30326.1306120422*((RANDBETWEEN(2979,3282)))</f>
        <v>92706981.281012937</v>
      </c>
      <c r="B10026">
        <v>168884189.06398642</v>
      </c>
    </row>
    <row r="10027" spans="1:2" x14ac:dyDescent="0.25">
      <c r="A10027">
        <f ca="1">27884.0801364317*((RANDBETWEEN(2979,3282)))</f>
        <v>88113693.231124103</v>
      </c>
      <c r="B10027">
        <v>198021260.71544763</v>
      </c>
    </row>
    <row r="10028" spans="1:2" x14ac:dyDescent="0.25">
      <c r="A10028">
        <f ca="1">26495.5470784928*((RANDBETWEEN(2979,3282)))</f>
        <v>81208851.795580506</v>
      </c>
      <c r="B10028">
        <v>149545244.30470958</v>
      </c>
    </row>
    <row r="10029" spans="1:2" x14ac:dyDescent="0.25">
      <c r="A10029">
        <f ca="1">27036.7080688505*((RANDBETWEEN(2979,3282)))</f>
        <v>80731610.293587744</v>
      </c>
      <c r="B10029">
        <v>167843335.82936862</v>
      </c>
    </row>
    <row r="10030" spans="1:2" x14ac:dyDescent="0.25">
      <c r="A10030">
        <f ca="1">27649.9972922592*((RANDBETWEEN(2979,3282)))</f>
        <v>82535241.917393714</v>
      </c>
      <c r="B10030">
        <v>191204062.04617041</v>
      </c>
    </row>
    <row r="10031" spans="1:2" x14ac:dyDescent="0.25">
      <c r="A10031">
        <f ca="1">24983.7671068019*((RANDBETWEEN(2979,3282)))</f>
        <v>81472064.535281137</v>
      </c>
      <c r="B10031">
        <v>173851051.22364116</v>
      </c>
    </row>
    <row r="10032" spans="1:2" x14ac:dyDescent="0.25">
      <c r="A10032">
        <f ca="1">27091.4725934466*((RANDBETWEEN(2979,3282)))</f>
        <v>83333369.697441876</v>
      </c>
      <c r="B10032">
        <v>164288871.32753903</v>
      </c>
    </row>
    <row r="10033" spans="1:2" x14ac:dyDescent="0.25">
      <c r="A10033">
        <f ca="1">26910.3612172198*((RANDBETWEEN(2979,3282)))</f>
        <v>85897873.0053657</v>
      </c>
      <c r="B10033">
        <v>155623459.5581601</v>
      </c>
    </row>
    <row r="10034" spans="1:2" x14ac:dyDescent="0.25">
      <c r="A10034">
        <f ca="1">26304.2081731723*((RANDBETWEEN(2979,3282)))</f>
        <v>86198890.183485687</v>
      </c>
      <c r="B10034">
        <v>151451203.06368706</v>
      </c>
    </row>
    <row r="10035" spans="1:2" x14ac:dyDescent="0.25">
      <c r="A10035">
        <f ca="1">27540.1711197072*((RANDBETWEEN(2979,3282)))</f>
        <v>84465704.824142054</v>
      </c>
      <c r="B10035">
        <v>182363581.99985003</v>
      </c>
    </row>
    <row r="10036" spans="1:2" x14ac:dyDescent="0.25">
      <c r="A10036">
        <f ca="1">28231.4350077921*((RANDBETWEEN(2979,3282)))</f>
        <v>87799762.874233544</v>
      </c>
      <c r="B10036">
        <v>170587426.83495301</v>
      </c>
    </row>
    <row r="10037" spans="1:2" x14ac:dyDescent="0.25">
      <c r="A10037">
        <f ca="1">27721.498423945*((RANDBETWEEN(2979,3282)))</f>
        <v>87793985.508633912</v>
      </c>
      <c r="B10037">
        <v>153536666.9098292</v>
      </c>
    </row>
    <row r="10038" spans="1:2" x14ac:dyDescent="0.25">
      <c r="A10038">
        <f ca="1">27016.9789813229*((RANDBETWEEN(2979,3282)))</f>
        <v>87643079.815411434</v>
      </c>
      <c r="B10038">
        <v>152731770.11548838</v>
      </c>
    </row>
    <row r="10039" spans="1:2" x14ac:dyDescent="0.25">
      <c r="A10039">
        <f ca="1">30445.4733799108*((RANDBETWEEN(2979,3282)))</f>
        <v>96025023.040238708</v>
      </c>
      <c r="B10039">
        <v>192620990.23361927</v>
      </c>
    </row>
    <row r="10040" spans="1:2" x14ac:dyDescent="0.25">
      <c r="A10040">
        <f ca="1">26683.407016486*((RANDBETWEEN(2979,3282)))</f>
        <v>84959967.940491572</v>
      </c>
      <c r="B10040">
        <v>168221247.00006008</v>
      </c>
    </row>
    <row r="10041" spans="1:2" x14ac:dyDescent="0.25">
      <c r="A10041">
        <f ca="1">26745.5229776816*((RANDBETWEEN(2979,3282)))</f>
        <v>86521766.83280012</v>
      </c>
      <c r="B10041">
        <v>152365623.0109601</v>
      </c>
    </row>
    <row r="10042" spans="1:2" x14ac:dyDescent="0.25">
      <c r="A10042">
        <f ca="1">27540.477145287*((RANDBETWEEN(2979,3282)))</f>
        <v>87000367.30196178</v>
      </c>
      <c r="B10042">
        <v>164380914.00048834</v>
      </c>
    </row>
    <row r="10043" spans="1:2" x14ac:dyDescent="0.25">
      <c r="A10043">
        <f ca="1">25780.9700915533*((RANDBETWEEN(2979,3282)))</f>
        <v>78038996.467131749</v>
      </c>
      <c r="B10043">
        <v>151713753.01029605</v>
      </c>
    </row>
    <row r="10044" spans="1:2" x14ac:dyDescent="0.25">
      <c r="A10044">
        <f ca="1">29218.4490969148*((RANDBETWEEN(2979,3282)))</f>
        <v>93440600.211933628</v>
      </c>
      <c r="B10044">
        <v>164525454.28162035</v>
      </c>
    </row>
    <row r="10045" spans="1:2" x14ac:dyDescent="0.25">
      <c r="A10045">
        <f ca="1">29986.486705268*((RANDBETWEEN(2979,3282)))</f>
        <v>94007635.821015328</v>
      </c>
      <c r="B10045">
        <v>157944598.93433407</v>
      </c>
    </row>
    <row r="10046" spans="1:2" x14ac:dyDescent="0.25">
      <c r="A10046">
        <f ca="1">29663.2446423614*((RANDBETWEEN(2979,3282)))</f>
        <v>90888181.584195256</v>
      </c>
      <c r="B10046">
        <v>203114158.07933187</v>
      </c>
    </row>
    <row r="10047" spans="1:2" x14ac:dyDescent="0.25">
      <c r="A10047">
        <f ca="1">26459.4574560273*((RANDBETWEEN(2979,3282)))</f>
        <v>83823561.220694631</v>
      </c>
      <c r="B10047">
        <v>178436066.81794703</v>
      </c>
    </row>
    <row r="10048" spans="1:2" x14ac:dyDescent="0.25">
      <c r="A10048">
        <f ca="1">28599.004523209*((RANDBETWEEN(2979,3282)))</f>
        <v>86769379.723416239</v>
      </c>
      <c r="B10048">
        <v>169006901.07215822</v>
      </c>
    </row>
    <row r="10049" spans="1:2" x14ac:dyDescent="0.25">
      <c r="A10049">
        <f ca="1">28619.7040466526*((RANDBETWEEN(2979,3282)))</f>
        <v>86660463.853264108</v>
      </c>
      <c r="B10049">
        <v>152206967.82382116</v>
      </c>
    </row>
    <row r="10050" spans="1:2" x14ac:dyDescent="0.25">
      <c r="A10050">
        <f ca="1">29784.2043379883*((RANDBETWEEN(2979,3282)))</f>
        <v>96590174.668096185</v>
      </c>
      <c r="B10050">
        <v>169798343.71232423</v>
      </c>
    </row>
    <row r="10051" spans="1:2" x14ac:dyDescent="0.25">
      <c r="A10051">
        <f ca="1">26113.6064300357*((RANDBETWEEN(2979,3282)))</f>
        <v>79124227.483008176</v>
      </c>
      <c r="B10051">
        <v>144204528.9781653</v>
      </c>
    </row>
    <row r="10052" spans="1:2" x14ac:dyDescent="0.25">
      <c r="A10052">
        <f ca="1">29241.4345174536*((RANDBETWEEN(2979,3282)))</f>
        <v>94654523.53299737</v>
      </c>
      <c r="B10052">
        <v>186737083.78294736</v>
      </c>
    </row>
    <row r="10053" spans="1:2" x14ac:dyDescent="0.25">
      <c r="A10053">
        <f ca="1">29871.723999409*((RANDBETWEEN(2979,3282)))</f>
        <v>90063247.858218133</v>
      </c>
      <c r="B10053">
        <v>160522872.8955794</v>
      </c>
    </row>
    <row r="10054" spans="1:2" x14ac:dyDescent="0.25">
      <c r="A10054">
        <f ca="1">30858.7817760307*((RANDBETWEEN(2979,3282)))</f>
        <v>92360333.855659902</v>
      </c>
      <c r="B10054">
        <v>200073345.68453705</v>
      </c>
    </row>
    <row r="10055" spans="1:2" x14ac:dyDescent="0.25">
      <c r="A10055">
        <f ca="1">33618.3046586377*((RANDBETWEEN(2979,3282)))</f>
        <v>107981994.56354435</v>
      </c>
      <c r="B10055">
        <v>170564258.92803371</v>
      </c>
    </row>
    <row r="10056" spans="1:2" x14ac:dyDescent="0.25">
      <c r="A10056">
        <f ca="1">31886.3491360276*((RANDBETWEEN(2979,3282)))</f>
        <v>99485409.304405987</v>
      </c>
      <c r="B10056">
        <v>186546241.39693809</v>
      </c>
    </row>
    <row r="10057" spans="1:2" x14ac:dyDescent="0.25">
      <c r="A10057">
        <f ca="1">27081.4336149352*((RANDBETWEEN(2979,3282)))</f>
        <v>84900294.382821977</v>
      </c>
      <c r="B10057">
        <v>193754369.72630107</v>
      </c>
    </row>
    <row r="10058" spans="1:2" x14ac:dyDescent="0.25">
      <c r="A10058">
        <f ca="1">28719.9655170762*((RANDBETWEEN(2979,3282)))</f>
        <v>93138848.171878055</v>
      </c>
      <c r="B10058">
        <v>168930254.97127929</v>
      </c>
    </row>
    <row r="10059" spans="1:2" x14ac:dyDescent="0.25">
      <c r="A10059">
        <f ca="1">30467.6884893478*((RANDBETWEEN(2979,3282)))</f>
        <v>97130990.904040918</v>
      </c>
      <c r="B10059">
        <v>177361111.9011732</v>
      </c>
    </row>
    <row r="10060" spans="1:2" x14ac:dyDescent="0.25">
      <c r="A10060">
        <f ca="1">26493.1716460525*((RANDBETWEEN(2979,3282)))</f>
        <v>86632671.28259176</v>
      </c>
      <c r="B10060">
        <v>149024428.77187341</v>
      </c>
    </row>
    <row r="10061" spans="1:2" x14ac:dyDescent="0.25">
      <c r="A10061">
        <f ca="1">27726.652874537*((RANDBETWEEN(2979,3282)))</f>
        <v>87061690.026046142</v>
      </c>
      <c r="B10061">
        <v>195994003.45154226</v>
      </c>
    </row>
    <row r="10062" spans="1:2" x14ac:dyDescent="0.25">
      <c r="A10062">
        <f ca="1">26993.4623852736*((RANDBETWEEN(2979,3282)))</f>
        <v>85920190.772325933</v>
      </c>
      <c r="B10062">
        <v>146064383.2431218</v>
      </c>
    </row>
    <row r="10063" spans="1:2" x14ac:dyDescent="0.25">
      <c r="A10063">
        <f ca="1">26014.2507868937*((RANDBETWEEN(2979,3282)))</f>
        <v>85274714.079437554</v>
      </c>
      <c r="B10063">
        <v>172556091.89506698</v>
      </c>
    </row>
    <row r="10064" spans="1:2" x14ac:dyDescent="0.25">
      <c r="A10064">
        <f ca="1">29553.3364144754*((RANDBETWEEN(2979,3282)))</f>
        <v>88453135.888524845</v>
      </c>
      <c r="B10064">
        <v>156185134.84103891</v>
      </c>
    </row>
    <row r="10065" spans="1:2" x14ac:dyDescent="0.25">
      <c r="A10065">
        <f ca="1">30157.7288068766*((RANDBETWEEN(2979,3282)))</f>
        <v>98163407.266383246</v>
      </c>
      <c r="B10065">
        <v>144334557.1029712</v>
      </c>
    </row>
    <row r="10066" spans="1:2" x14ac:dyDescent="0.25">
      <c r="A10066">
        <f ca="1">26907.1318451669*((RANDBETWEEN(2979,3282)))</f>
        <v>81932216.468533114</v>
      </c>
      <c r="B10066">
        <v>163005452.87117371</v>
      </c>
    </row>
    <row r="10067" spans="1:2" x14ac:dyDescent="0.25">
      <c r="A10067">
        <f ca="1">28607.5358795619*((RANDBETWEEN(2979,3282)))</f>
        <v>92774238.857419327</v>
      </c>
      <c r="B10067">
        <v>195064552.4864831</v>
      </c>
    </row>
    <row r="10068" spans="1:2" x14ac:dyDescent="0.25">
      <c r="A10068">
        <f ca="1">26382.8387830299*((RANDBETWEEN(2979,3282)))</f>
        <v>79808087.31866543</v>
      </c>
      <c r="B10068">
        <v>149568694.3000378</v>
      </c>
    </row>
    <row r="10069" spans="1:2" x14ac:dyDescent="0.25">
      <c r="A10069">
        <f ca="1">27584.6759743129*((RANDBETWEEN(2979,3282)))</f>
        <v>86726221.263239831</v>
      </c>
      <c r="B10069">
        <v>178848823.5782342</v>
      </c>
    </row>
    <row r="10070" spans="1:2" x14ac:dyDescent="0.25">
      <c r="A10070">
        <f ca="1">30804.2661267963*((RANDBETWEEN(2979,3282)))</f>
        <v>96509765.775252864</v>
      </c>
      <c r="B10070">
        <v>179406221.82327062</v>
      </c>
    </row>
    <row r="10071" spans="1:2" x14ac:dyDescent="0.25">
      <c r="A10071">
        <f ca="1">32045.6472962821*((RANDBETWEEN(2979,3282)))</f>
        <v>100399012.97925191</v>
      </c>
      <c r="B10071">
        <v>201540768.0573692</v>
      </c>
    </row>
    <row r="10072" spans="1:2" x14ac:dyDescent="0.25">
      <c r="A10072">
        <f ca="1">27205.8345330622*((RANDBETWEEN(2979,3282)))</f>
        <v>87575581.361927137</v>
      </c>
      <c r="B10072">
        <v>176147040.72582743</v>
      </c>
    </row>
    <row r="10073" spans="1:2" x14ac:dyDescent="0.25">
      <c r="A10073">
        <f ca="1">29200.4780352094*((RANDBETWEEN(2979,3282)))</f>
        <v>93704334.014986813</v>
      </c>
      <c r="B10073">
        <v>151493439.5526115</v>
      </c>
    </row>
    <row r="10074" spans="1:2" x14ac:dyDescent="0.25">
      <c r="A10074">
        <f ca="1">25710.9315764172*((RANDBETWEEN(2979,3282)))</f>
        <v>83123441.786556706</v>
      </c>
      <c r="B10074">
        <v>161049105.73536983</v>
      </c>
    </row>
    <row r="10075" spans="1:2" x14ac:dyDescent="0.25">
      <c r="A10075">
        <f ca="1">31776.4326839773*((RANDBETWEEN(2979,3282)))</f>
        <v>97108778.282234684</v>
      </c>
      <c r="B10075">
        <v>191796399.6982553</v>
      </c>
    </row>
    <row r="10076" spans="1:2" x14ac:dyDescent="0.25">
      <c r="A10076">
        <f ca="1">26474.4648074782*((RANDBETWEEN(2979,3282)))</f>
        <v>83553410.932401106</v>
      </c>
      <c r="B10076">
        <v>192172654.41168404</v>
      </c>
    </row>
    <row r="10077" spans="1:2" x14ac:dyDescent="0.25">
      <c r="A10077">
        <f ca="1">31454.1145628154*((RANDBETWEEN(2979,3282)))</f>
        <v>95746324.729210019</v>
      </c>
      <c r="B10077">
        <v>143457058.36140487</v>
      </c>
    </row>
    <row r="10078" spans="1:2" x14ac:dyDescent="0.25">
      <c r="A10078">
        <f ca="1">29501.9124968116*((RANDBETWEEN(2979,3282)))</f>
        <v>93078533.927440688</v>
      </c>
      <c r="B10078">
        <v>191354513.18704864</v>
      </c>
    </row>
    <row r="10079" spans="1:2" x14ac:dyDescent="0.25">
      <c r="A10079">
        <f ca="1">27904.0776988101*((RANDBETWEEN(2979,3282)))</f>
        <v>90409211.744144604</v>
      </c>
      <c r="B10079">
        <v>146052673.65208429</v>
      </c>
    </row>
    <row r="10080" spans="1:2" x14ac:dyDescent="0.25">
      <c r="A10080">
        <f ca="1">26969.2283505536*((RANDBETWEEN(2979,3282)))</f>
        <v>83280977.146509707</v>
      </c>
      <c r="B10080">
        <v>178819342.13417131</v>
      </c>
    </row>
    <row r="10081" spans="1:2" x14ac:dyDescent="0.25">
      <c r="A10081">
        <f ca="1">27968.6789600412*((RANDBETWEEN(2979,3282)))</f>
        <v>86255405.912767172</v>
      </c>
      <c r="B10081">
        <v>146454524.84902081</v>
      </c>
    </row>
    <row r="10082" spans="1:2" x14ac:dyDescent="0.25">
      <c r="A10082">
        <f ca="1">25092.7495354874*((RANDBETWEEN(2979,3282)))</f>
        <v>79895314.520991862</v>
      </c>
      <c r="B10082">
        <v>181379939.37446475</v>
      </c>
    </row>
    <row r="10083" spans="1:2" x14ac:dyDescent="0.25">
      <c r="A10083">
        <f ca="1">26379.4409550092*((RANDBETWEEN(2979,3282)))</f>
        <v>83359033.417829216</v>
      </c>
      <c r="B10083">
        <v>166497246.03426865</v>
      </c>
    </row>
    <row r="10084" spans="1:2" x14ac:dyDescent="0.25">
      <c r="A10084">
        <f ca="1">26767.7299891989*((RANDBETWEEN(2979,3282)))</f>
        <v>87128961.114842385</v>
      </c>
      <c r="B10084">
        <v>161401670.56780887</v>
      </c>
    </row>
    <row r="10085" spans="1:2" x14ac:dyDescent="0.25">
      <c r="A10085">
        <f ca="1">27153.6672769387*((RANDBETWEEN(2979,3282)))</f>
        <v>82248458.181847185</v>
      </c>
      <c r="B10085">
        <v>170344632.37100425</v>
      </c>
    </row>
    <row r="10086" spans="1:2" x14ac:dyDescent="0.25">
      <c r="A10086">
        <f ca="1">25579.5414612817*((RANDBETWEEN(2979,3282)))</f>
        <v>82340543.963865817</v>
      </c>
      <c r="B10086">
        <v>156045825.22913498</v>
      </c>
    </row>
    <row r="10087" spans="1:2" x14ac:dyDescent="0.25">
      <c r="A10087">
        <f ca="1">29986.2278738586*((RANDBETWEEN(2979,3282)))</f>
        <v>92627457.902349085</v>
      </c>
      <c r="B10087">
        <v>150884366.54049283</v>
      </c>
    </row>
    <row r="10088" spans="1:2" x14ac:dyDescent="0.25">
      <c r="A10088">
        <f ca="1">27217.6888695623*((RANDBETWEEN(2979,3282)))</f>
        <v>81789155.053034678</v>
      </c>
      <c r="B10088">
        <v>163252866.90681571</v>
      </c>
    </row>
    <row r="10089" spans="1:2" x14ac:dyDescent="0.25">
      <c r="A10089">
        <f ca="1">28100.5324825982*((RANDBETWEEN(2979,3282)))</f>
        <v>87926566.138049692</v>
      </c>
      <c r="B10089">
        <v>143160205.46048021</v>
      </c>
    </row>
    <row r="10090" spans="1:2" x14ac:dyDescent="0.25">
      <c r="A10090">
        <f ca="1">27091.2925784205*((RANDBETWEEN(2979,3282)))</f>
        <v>83305724.678643093</v>
      </c>
      <c r="B10090">
        <v>154366736.057107</v>
      </c>
    </row>
    <row r="10091" spans="1:2" x14ac:dyDescent="0.25">
      <c r="A10091">
        <f ca="1">26821.8559138165*((RANDBETWEEN(2979,3282)))</f>
        <v>84622955.408091128</v>
      </c>
      <c r="B10091">
        <v>151415261.0056563</v>
      </c>
    </row>
    <row r="10092" spans="1:2" x14ac:dyDescent="0.25">
      <c r="A10092">
        <f ca="1">25960.1286352072*((RANDBETWEEN(2979,3282)))</f>
        <v>80035076.582343742</v>
      </c>
      <c r="B10092">
        <v>177223845.29518074</v>
      </c>
    </row>
    <row r="10093" spans="1:2" x14ac:dyDescent="0.25">
      <c r="A10093">
        <f ca="1">27470.5030335255*((RANDBETWEEN(2979,3282)))</f>
        <v>84334444.312923253</v>
      </c>
      <c r="B10093">
        <v>178766834.79415196</v>
      </c>
    </row>
    <row r="10094" spans="1:2" x14ac:dyDescent="0.25">
      <c r="A10094">
        <f ca="1">25801.1376053623*((RANDBETWEEN(2979,3282)))</f>
        <v>81015572.080837756</v>
      </c>
      <c r="B10094">
        <v>144078122.7194761</v>
      </c>
    </row>
    <row r="10095" spans="1:2" x14ac:dyDescent="0.25">
      <c r="A10095">
        <f ca="1">25582.7694105326*((RANDBETWEEN(2979,3282)))</f>
        <v>82223020.885451868</v>
      </c>
      <c r="B10095">
        <v>163889230.93876517</v>
      </c>
    </row>
    <row r="10096" spans="1:2" x14ac:dyDescent="0.25">
      <c r="A10096">
        <f ca="1">26880.1211403522*((RANDBETWEEN(2979,3282)))</f>
        <v>86984072.010179818</v>
      </c>
      <c r="B10096">
        <v>176071097.22904888</v>
      </c>
    </row>
    <row r="10097" spans="1:2" x14ac:dyDescent="0.25">
      <c r="A10097">
        <f ca="1">31897.5169526437*((RANDBETWEEN(2979,3282)))</f>
        <v>101051333.70597526</v>
      </c>
      <c r="B10097">
        <v>182744751.43528143</v>
      </c>
    </row>
    <row r="10098" spans="1:2" x14ac:dyDescent="0.25">
      <c r="A10098">
        <f ca="1">32230.2647491918*((RANDBETWEEN(2979,3282)))</f>
        <v>101912097.1369444</v>
      </c>
      <c r="B10098">
        <v>175470559.82039082</v>
      </c>
    </row>
    <row r="10099" spans="1:2" x14ac:dyDescent="0.25">
      <c r="A10099">
        <f ca="1">26685.7534952603*((RANDBETWEEN(2979,3282)))</f>
        <v>87155670.915520072</v>
      </c>
      <c r="B10099">
        <v>146590059.86050656</v>
      </c>
    </row>
    <row r="10100" spans="1:2" x14ac:dyDescent="0.25">
      <c r="A10100">
        <f ca="1">30638.6373673205*((RANDBETWEEN(2979,3282)))</f>
        <v>96389153.157590166</v>
      </c>
      <c r="B10100">
        <v>195722460.90276247</v>
      </c>
    </row>
    <row r="10101" spans="1:2" x14ac:dyDescent="0.25">
      <c r="A10101">
        <f ca="1">31856.3427513325*((RANDBETWEEN(2979,3282)))</f>
        <v>101016462.86447531</v>
      </c>
      <c r="B10101">
        <v>193403280.19222766</v>
      </c>
    </row>
    <row r="10102" spans="1:2" x14ac:dyDescent="0.25">
      <c r="A10102">
        <f ca="1">28851.2491312573*((RANDBETWEEN(2979,3282)))</f>
        <v>90766029.766935587</v>
      </c>
      <c r="B10102">
        <v>163688722.13635623</v>
      </c>
    </row>
    <row r="10103" spans="1:2" x14ac:dyDescent="0.25">
      <c r="A10103">
        <f ca="1">27063.8320093483*((RANDBETWEEN(2979,3282)))</f>
        <v>87362049.726176441</v>
      </c>
      <c r="B10103">
        <v>167860737.91299221</v>
      </c>
    </row>
    <row r="10104" spans="1:2" x14ac:dyDescent="0.25">
      <c r="A10104">
        <f ca="1">26620.5889993478*((RANDBETWEEN(2979,3282)))</f>
        <v>86729878.959875286</v>
      </c>
      <c r="B10104">
        <v>153735415.77683061</v>
      </c>
    </row>
    <row r="10105" spans="1:2" x14ac:dyDescent="0.25">
      <c r="A10105">
        <f ca="1">26015.1119406982*((RANDBETWEEN(2979,3282)))</f>
        <v>83196327.98635295</v>
      </c>
      <c r="B10105">
        <v>155686472.38849542</v>
      </c>
    </row>
    <row r="10106" spans="1:2" x14ac:dyDescent="0.25">
      <c r="A10106">
        <f ca="1">26723.8855224649*((RANDBETWEEN(2979,3282)))</f>
        <v>82550082.378893942</v>
      </c>
      <c r="B10106">
        <v>143035477.5675917</v>
      </c>
    </row>
    <row r="10107" spans="1:2" x14ac:dyDescent="0.25">
      <c r="A10107">
        <f ca="1">26906.0120459604*((RANDBETWEEN(2979,3282)))</f>
        <v>81444498.463122189</v>
      </c>
      <c r="B10107">
        <v>154055705.81538445</v>
      </c>
    </row>
    <row r="10108" spans="1:2" x14ac:dyDescent="0.25">
      <c r="A10108">
        <f ca="1">27508.0369051965*((RANDBETWEEN(2979,3282)))</f>
        <v>83321843.785840124</v>
      </c>
      <c r="B10108">
        <v>143887398.66812801</v>
      </c>
    </row>
    <row r="10109" spans="1:2" x14ac:dyDescent="0.25">
      <c r="A10109">
        <f ca="1">25568.8851851905*((RANDBETWEEN(2979,3282)))</f>
        <v>83354565.703721091</v>
      </c>
      <c r="B10109">
        <v>144626965.03471571</v>
      </c>
    </row>
    <row r="10110" spans="1:2" x14ac:dyDescent="0.25">
      <c r="A10110">
        <f ca="1">25821.9793486157*((RANDBETWEEN(2979,3282)))</f>
        <v>81649098.700322881</v>
      </c>
      <c r="B10110">
        <v>174374738.99324664</v>
      </c>
    </row>
    <row r="10111" spans="1:2" x14ac:dyDescent="0.25">
      <c r="A10111">
        <f ca="1">26916.1929005791*((RANDBETWEEN(2979,3282)))</f>
        <v>83144119.869888753</v>
      </c>
      <c r="B10111">
        <v>159257493.543946</v>
      </c>
    </row>
    <row r="10112" spans="1:2" x14ac:dyDescent="0.25">
      <c r="A10112">
        <f ca="1">29646.3411087729*((RANDBETWEEN(2979,3282)))</f>
        <v>91962950.119413644</v>
      </c>
      <c r="B10112">
        <v>170181989.16208407</v>
      </c>
    </row>
    <row r="10113" spans="1:2" x14ac:dyDescent="0.25">
      <c r="A10113">
        <f ca="1">31136.0249582202*((RANDBETWEEN(2979,3282)))</f>
        <v>97486894.144187406</v>
      </c>
      <c r="B10113">
        <v>203062461.60914558</v>
      </c>
    </row>
    <row r="10114" spans="1:2" x14ac:dyDescent="0.25">
      <c r="A10114">
        <f ca="1">27842.7691096962*((RANDBETWEEN(2979,3282)))</f>
        <v>84363590.402379349</v>
      </c>
      <c r="B10114">
        <v>162263241.30942929</v>
      </c>
    </row>
    <row r="10115" spans="1:2" x14ac:dyDescent="0.25">
      <c r="A10115">
        <f ca="1">26777.1959449153*((RANDBETWEEN(2979,3282)))</f>
        <v>83625182.93597056</v>
      </c>
      <c r="B10115">
        <v>156654998.64463478</v>
      </c>
    </row>
    <row r="10116" spans="1:2" x14ac:dyDescent="0.25">
      <c r="A10116">
        <f ca="1">27491.4218022167*((RANDBETWEEN(2979,3282)))</f>
        <v>83573922.278738782</v>
      </c>
      <c r="B10116">
        <v>188503872.55411869</v>
      </c>
    </row>
    <row r="10117" spans="1:2" x14ac:dyDescent="0.25">
      <c r="A10117">
        <f ca="1">28722.2299995085*((RANDBETWEEN(2979,3282)))</f>
        <v>93806803.17839478</v>
      </c>
      <c r="B10117">
        <v>199087434.68191499</v>
      </c>
    </row>
    <row r="10118" spans="1:2" x14ac:dyDescent="0.25">
      <c r="A10118">
        <f ca="1">25937.2774253481*((RANDBETWEEN(2979,3282)))</f>
        <v>80094312.689474896</v>
      </c>
      <c r="B10118">
        <v>145451562.26878417</v>
      </c>
    </row>
    <row r="10119" spans="1:2" x14ac:dyDescent="0.25">
      <c r="A10119">
        <f ca="1">28785.8820115694*((RANDBETWEEN(2979,3282)))</f>
        <v>93237471.835473135</v>
      </c>
      <c r="B10119">
        <v>184867961.37692383</v>
      </c>
    </row>
    <row r="10120" spans="1:2" x14ac:dyDescent="0.25">
      <c r="A10120">
        <f ca="1">27619.8946745435*((RANDBETWEEN(2979,3282)))</f>
        <v>90013236.744337156</v>
      </c>
      <c r="B10120">
        <v>146351956.5303002</v>
      </c>
    </row>
    <row r="10121" spans="1:2" x14ac:dyDescent="0.25">
      <c r="A10121">
        <f ca="1">26585.0746056163*((RANDBETWEEN(2979,3282)))</f>
        <v>83104943.217156574</v>
      </c>
      <c r="B10121">
        <v>162981167.30596215</v>
      </c>
    </row>
    <row r="10122" spans="1:2" x14ac:dyDescent="0.25">
      <c r="A10122">
        <f ca="1">28583.3075713775*((RANDBETWEEN(2979,3282)))</f>
        <v>92066833.687406838</v>
      </c>
      <c r="B10122">
        <v>177532979.67289099</v>
      </c>
    </row>
    <row r="10123" spans="1:2" x14ac:dyDescent="0.25">
      <c r="A10123">
        <f ca="1">31124.6914583468*((RANDBETWEEN(2979,3282)))</f>
        <v>99692386.741084695</v>
      </c>
      <c r="B10123">
        <v>193179581.55896825</v>
      </c>
    </row>
    <row r="10124" spans="1:2" x14ac:dyDescent="0.25">
      <c r="A10124">
        <f ca="1">28752.7141088426*((RANDBETWEEN(2979,3282)))</f>
        <v>91462383.580228224</v>
      </c>
      <c r="B10124">
        <v>184373994.19067645</v>
      </c>
    </row>
    <row r="10125" spans="1:2" x14ac:dyDescent="0.25">
      <c r="A10125">
        <f ca="1">26644.7919485297*((RANDBETWEEN(2979,3282)))</f>
        <v>81479773.778603867</v>
      </c>
      <c r="B10125">
        <v>190232272.88891944</v>
      </c>
    </row>
    <row r="10126" spans="1:2" x14ac:dyDescent="0.25">
      <c r="A10126">
        <f ca="1">28359.6630174814*((RANDBETWEEN(2979,3282)))</f>
        <v>89446377.157136187</v>
      </c>
      <c r="B10126">
        <v>157440524.36423311</v>
      </c>
    </row>
    <row r="10127" spans="1:2" x14ac:dyDescent="0.25">
      <c r="A10127">
        <f ca="1">30506.4115655073*((RANDBETWEEN(2979,3282)))</f>
        <v>97803555.479016528</v>
      </c>
      <c r="B10127">
        <v>187653669.58943343</v>
      </c>
    </row>
    <row r="10128" spans="1:2" x14ac:dyDescent="0.25">
      <c r="A10128">
        <f ca="1">27212.0101858533*((RANDBETWEEN(2979,3282)))</f>
        <v>81064578.343656912</v>
      </c>
      <c r="B10128">
        <v>168429532.47974005</v>
      </c>
    </row>
    <row r="10129" spans="1:2" x14ac:dyDescent="0.25">
      <c r="A10129">
        <f ca="1">27798.6178439906*((RANDBETWEEN(2979,3282)))</f>
        <v>83479249.385504007</v>
      </c>
      <c r="B10129">
        <v>147727718.55887139</v>
      </c>
    </row>
    <row r="10130" spans="1:2" x14ac:dyDescent="0.25">
      <c r="A10130">
        <f ca="1">30516.2076401469*((RANDBETWEEN(2979,3282)))</f>
        <v>90999331.182917997</v>
      </c>
      <c r="B10130">
        <v>171542476.44173077</v>
      </c>
    </row>
    <row r="10131" spans="1:2" x14ac:dyDescent="0.25">
      <c r="A10131">
        <f ca="1">27797.4390424899*((RANDBETWEEN(2979,3282)))</f>
        <v>85755099.446081355</v>
      </c>
      <c r="B10131">
        <v>175770305.97237709</v>
      </c>
    </row>
    <row r="10132" spans="1:2" x14ac:dyDescent="0.25">
      <c r="A10132">
        <f ca="1">27218.9024277412*((RANDBETWEEN(2979,3282)))</f>
        <v>88406995.08530347</v>
      </c>
      <c r="B10132">
        <v>173807024.84416488</v>
      </c>
    </row>
    <row r="10133" spans="1:2" x14ac:dyDescent="0.25">
      <c r="A10133">
        <f ca="1">26295.4497437548*((RANDBETWEEN(2979,3282)))</f>
        <v>83645825.634884104</v>
      </c>
      <c r="B10133">
        <v>200099106.43692276</v>
      </c>
    </row>
    <row r="10134" spans="1:2" x14ac:dyDescent="0.25">
      <c r="A10134">
        <f ca="1">27639.4371641157*((RANDBETWEEN(2979,3282)))</f>
        <v>89800531.346211776</v>
      </c>
      <c r="B10134">
        <v>159204581.20246881</v>
      </c>
    </row>
    <row r="10135" spans="1:2" x14ac:dyDescent="0.25">
      <c r="A10135">
        <f ca="1">28951.7292905842*((RANDBETWEEN(2979,3282)))</f>
        <v>90561009.220947281</v>
      </c>
      <c r="B10135">
        <v>162474917.25367868</v>
      </c>
    </row>
    <row r="10136" spans="1:2" x14ac:dyDescent="0.25">
      <c r="A10136">
        <f ca="1">30042.0339298213*((RANDBETWEEN(2979,3282)))</f>
        <v>96104466.541498333</v>
      </c>
      <c r="B10136">
        <v>155579208.83627272</v>
      </c>
    </row>
    <row r="10137" spans="1:2" x14ac:dyDescent="0.25">
      <c r="A10137">
        <f ca="1">28723.1324821609*((RANDBETWEEN(2979,3282)))</f>
        <v>93235288.03709434</v>
      </c>
      <c r="B10137">
        <v>170830277.34872547</v>
      </c>
    </row>
    <row r="10138" spans="1:2" x14ac:dyDescent="0.25">
      <c r="A10138">
        <f ca="1">25874.1715622966*((RANDBETWEEN(2979,3282)))</f>
        <v>80209931.843119591</v>
      </c>
      <c r="B10138">
        <v>175891113.23518258</v>
      </c>
    </row>
    <row r="10139" spans="1:2" x14ac:dyDescent="0.25">
      <c r="A10139">
        <f ca="1">31223.5165410247*((RANDBETWEEN(2979,3282)))</f>
        <v>93514432.040368989</v>
      </c>
      <c r="B10139">
        <v>198102826.52963561</v>
      </c>
    </row>
    <row r="10140" spans="1:2" x14ac:dyDescent="0.25">
      <c r="A10140">
        <f ca="1">29538.9980377973*((RANDBETWEEN(2979,3282)))</f>
        <v>92073056.883814216</v>
      </c>
      <c r="B10140">
        <v>152357146.36557043</v>
      </c>
    </row>
    <row r="10141" spans="1:2" x14ac:dyDescent="0.25">
      <c r="A10141">
        <f ca="1">27510.6247186791*((RANDBETWEEN(2979,3282)))</f>
        <v>88033999.09977299</v>
      </c>
      <c r="B10141">
        <v>189793196.15161002</v>
      </c>
    </row>
    <row r="10142" spans="1:2" x14ac:dyDescent="0.25">
      <c r="A10142">
        <f ca="1">28885.924713995*((RANDBETWEEN(2979,3282)))</f>
        <v>87293264.485692769</v>
      </c>
      <c r="B10142">
        <v>157049538.64243919</v>
      </c>
    </row>
    <row r="10143" spans="1:2" x14ac:dyDescent="0.25">
      <c r="A10143">
        <f ca="1">26823.4392906557*((RANDBETWEEN(2979,3282)))</f>
        <v>80175260.039770022</v>
      </c>
      <c r="B10143">
        <v>144279578.97609687</v>
      </c>
    </row>
    <row r="10144" spans="1:2" x14ac:dyDescent="0.25">
      <c r="A10144">
        <f ca="1">25183.7527403688*((RANDBETWEEN(2979,3282)))</f>
        <v>81469440.115093037</v>
      </c>
      <c r="B10144">
        <v>148801885.1480754</v>
      </c>
    </row>
    <row r="10145" spans="1:2" x14ac:dyDescent="0.25">
      <c r="A10145">
        <f ca="1">28822.669835304*((RANDBETWEEN(2979,3282)))</f>
        <v>87707384.308829919</v>
      </c>
      <c r="B10145">
        <v>190586825.56093028</v>
      </c>
    </row>
    <row r="10146" spans="1:2" x14ac:dyDescent="0.25">
      <c r="A10146">
        <f ca="1">27844.8932111888*((RANDBETWEEN(2979,3282)))</f>
        <v>83868818.3521007</v>
      </c>
      <c r="B10146">
        <v>180399744.17745093</v>
      </c>
    </row>
    <row r="10147" spans="1:2" x14ac:dyDescent="0.25">
      <c r="A10147">
        <f ca="1">29748.4089631013*((RANDBETWEEN(2979,3282)))</f>
        <v>95938618.906001702</v>
      </c>
      <c r="B10147">
        <v>152091349.19418916</v>
      </c>
    </row>
    <row r="10148" spans="1:2" x14ac:dyDescent="0.25">
      <c r="A10148">
        <f ca="1">27507.873927154*((RANDBETWEEN(2979,3282)))</f>
        <v>83403873.747131005</v>
      </c>
      <c r="B10148">
        <v>156598417.03072068</v>
      </c>
    </row>
    <row r="10149" spans="1:2" x14ac:dyDescent="0.25">
      <c r="A10149">
        <f ca="1">26273.1580918026*((RANDBETWEEN(2979,3282)))</f>
        <v>81000146.397027448</v>
      </c>
      <c r="B10149">
        <v>151985533.07633814</v>
      </c>
    </row>
    <row r="10150" spans="1:2" x14ac:dyDescent="0.25">
      <c r="A10150">
        <f ca="1">26437.999007808*((RANDBETWEEN(2979,3282)))</f>
        <v>85183232.803157374</v>
      </c>
      <c r="B10150">
        <v>193777053.76717153</v>
      </c>
    </row>
    <row r="10151" spans="1:2" x14ac:dyDescent="0.25">
      <c r="A10151">
        <f ca="1">25821.5727392174*((RANDBETWEEN(2979,3282)))</f>
        <v>80976452.110185832</v>
      </c>
      <c r="B10151">
        <v>165356216.95119041</v>
      </c>
    </row>
    <row r="10152" spans="1:2" x14ac:dyDescent="0.25">
      <c r="A10152">
        <f ca="1">25972.7418892376*((RANDBETWEEN(2979,3282)))</f>
        <v>80359663.405301094</v>
      </c>
      <c r="B10152">
        <v>179961413.88907284</v>
      </c>
    </row>
    <row r="10153" spans="1:2" x14ac:dyDescent="0.25">
      <c r="A10153">
        <f ca="1">26813.9665671547*((RANDBETWEEN(2979,3282)))</f>
        <v>82801528.759373844</v>
      </c>
      <c r="B10153">
        <v>173768557.99560192</v>
      </c>
    </row>
    <row r="10154" spans="1:2" x14ac:dyDescent="0.25">
      <c r="A10154">
        <f ca="1">28116.7369866183*((RANDBETWEEN(2979,3282)))</f>
        <v>87358701.817423031</v>
      </c>
      <c r="B10154">
        <v>146478548.80193064</v>
      </c>
    </row>
    <row r="10155" spans="1:2" x14ac:dyDescent="0.25">
      <c r="A10155">
        <f ca="1">29973.3856954189*((RANDBETWEEN(2979,3282)))</f>
        <v>92707681.955930576</v>
      </c>
      <c r="B10155">
        <v>145943976.08350068</v>
      </c>
    </row>
    <row r="10156" spans="1:2" x14ac:dyDescent="0.25">
      <c r="A10156">
        <f ca="1">28165.4730064496*((RANDBETWEEN(2979,3282)))</f>
        <v>85679368.885619745</v>
      </c>
      <c r="B10156">
        <v>171926496.94228718</v>
      </c>
    </row>
    <row r="10157" spans="1:2" x14ac:dyDescent="0.25">
      <c r="A10157">
        <f ca="1">26984.7117167177*((RANDBETWEEN(2979,3282)))</f>
        <v>82114477.753971994</v>
      </c>
      <c r="B10157">
        <v>157860085.25941259</v>
      </c>
    </row>
    <row r="10158" spans="1:2" x14ac:dyDescent="0.25">
      <c r="A10158">
        <f ca="1">26429.6773111895*((RANDBETWEEN(2979,3282)))</f>
        <v>81244828.054596424</v>
      </c>
      <c r="B10158">
        <v>150701384.49322531</v>
      </c>
    </row>
    <row r="10159" spans="1:2" x14ac:dyDescent="0.25">
      <c r="A10159">
        <f ca="1">25733.9224230411*((RANDBETWEEN(2979,3282)))</f>
        <v>82322817.831308529</v>
      </c>
      <c r="B10159">
        <v>171026377.11878905</v>
      </c>
    </row>
    <row r="10160" spans="1:2" x14ac:dyDescent="0.25">
      <c r="A10160">
        <f ca="1">26464.9193848499*((RANDBETWEEN(2979,3282)))</f>
        <v>81062048.075795293</v>
      </c>
      <c r="B10160">
        <v>155697350.58162615</v>
      </c>
    </row>
    <row r="10161" spans="1:2" x14ac:dyDescent="0.25">
      <c r="A10161">
        <f ca="1">27303.8557522088*((RANDBETWEEN(2979,3282)))</f>
        <v>81802351.833617434</v>
      </c>
      <c r="B10161">
        <v>148528159.2534042</v>
      </c>
    </row>
    <row r="10162" spans="1:2" x14ac:dyDescent="0.25">
      <c r="A10162">
        <f ca="1">26386.3919309344*((RANDBETWEEN(2979,3282)))</f>
        <v>85016954.801470801</v>
      </c>
      <c r="B10162">
        <v>203124209.19698259</v>
      </c>
    </row>
    <row r="10163" spans="1:2" x14ac:dyDescent="0.25">
      <c r="A10163">
        <f ca="1">25995.9249792191*((RANDBETWEEN(2979,3282)))</f>
        <v>83264947.70843862</v>
      </c>
      <c r="B10163">
        <v>145748252.64175391</v>
      </c>
    </row>
    <row r="10164" spans="1:2" x14ac:dyDescent="0.25">
      <c r="A10164">
        <f ca="1">26438.3566652995*((RANDBETWEEN(2979,3282)))</f>
        <v>84761371.468950108</v>
      </c>
      <c r="B10164">
        <v>183549512.0535323</v>
      </c>
    </row>
    <row r="10165" spans="1:2" x14ac:dyDescent="0.25">
      <c r="A10165">
        <f ca="1">30996.6722816978*((RANDBETWEEN(2979,3282)))</f>
        <v>93981910.358107641</v>
      </c>
      <c r="B10165">
        <v>176144690.50196195</v>
      </c>
    </row>
    <row r="10166" spans="1:2" x14ac:dyDescent="0.25">
      <c r="A10166">
        <f ca="1">28025.6553149122*((RANDBETWEEN(2979,3282)))</f>
        <v>84805632.982924387</v>
      </c>
      <c r="B10166">
        <v>148528066.21461302</v>
      </c>
    </row>
    <row r="10167" spans="1:2" x14ac:dyDescent="0.25">
      <c r="A10167">
        <f ca="1">25774.2591964173*((RANDBETWEEN(2979,3282)))</f>
        <v>80750754.062375411</v>
      </c>
      <c r="B10167">
        <v>148504897.78237492</v>
      </c>
    </row>
    <row r="10168" spans="1:2" x14ac:dyDescent="0.25">
      <c r="A10168">
        <f ca="1">26725.5974203906*((RANDBETWEEN(2979,3282)))</f>
        <v>79829359.494706824</v>
      </c>
      <c r="B10168">
        <v>157990454.41613626</v>
      </c>
    </row>
    <row r="10169" spans="1:2" x14ac:dyDescent="0.25">
      <c r="A10169">
        <f ca="1">27778.3298897187*((RANDBETWEEN(2979,3282)))</f>
        <v>83140541.359928146</v>
      </c>
      <c r="B10169">
        <v>166680311.50263879</v>
      </c>
    </row>
    <row r="10170" spans="1:2" x14ac:dyDescent="0.25">
      <c r="A10170">
        <f ca="1">31870.6447912849*((RANDBETWEEN(2979,3282)))</f>
        <v>98225327.246740147</v>
      </c>
      <c r="B10170">
        <v>183953434.95581889</v>
      </c>
    </row>
    <row r="10171" spans="1:2" x14ac:dyDescent="0.25">
      <c r="A10171">
        <f ca="1">27724.5354137137*((RANDBETWEEN(2979,3282)))</f>
        <v>85086599.184687406</v>
      </c>
      <c r="B10171">
        <v>166158772.89795178</v>
      </c>
    </row>
    <row r="10172" spans="1:2" x14ac:dyDescent="0.25">
      <c r="A10172">
        <f ca="1">26766.1944262118*((RANDBETWEEN(2979,3282)))</f>
        <v>80914205.750438318</v>
      </c>
      <c r="B10172">
        <v>150913080.81682825</v>
      </c>
    </row>
    <row r="10173" spans="1:2" x14ac:dyDescent="0.25">
      <c r="A10173">
        <f ca="1">28878.9405378259*((RANDBETWEEN(2979,3282)))</f>
        <v>93134583.234488577</v>
      </c>
      <c r="B10173">
        <v>172647389.66428584</v>
      </c>
    </row>
    <row r="10174" spans="1:2" x14ac:dyDescent="0.25">
      <c r="A10174">
        <f ca="1">25962.557239265*((RANDBETWEEN(2979,3282)))</f>
        <v>83962910.111783043</v>
      </c>
      <c r="B10174">
        <v>144559498.88034838</v>
      </c>
    </row>
    <row r="10175" spans="1:2" x14ac:dyDescent="0.25">
      <c r="A10175">
        <f ca="1">31180.212414445*((RANDBETWEEN(2979,3282)))</f>
        <v>96378036.573049575</v>
      </c>
      <c r="B10175">
        <v>173535720.27161571</v>
      </c>
    </row>
    <row r="10176" spans="1:2" x14ac:dyDescent="0.25">
      <c r="A10176">
        <f ca="1">28412.6015803927*((RANDBETWEEN(2979,3282)))</f>
        <v>88164302.70395869</v>
      </c>
      <c r="B10176">
        <v>162976644.67751098</v>
      </c>
    </row>
    <row r="10177" spans="1:2" x14ac:dyDescent="0.25">
      <c r="A10177">
        <f ca="1">29861.0284474012*((RANDBETWEEN(2979,3282)))</f>
        <v>93494880.068813056</v>
      </c>
      <c r="B10177">
        <v>181168146.20361689</v>
      </c>
    </row>
    <row r="10178" spans="1:2" x14ac:dyDescent="0.25">
      <c r="A10178">
        <f ca="1">28626.5271348222*((RANDBETWEEN(2979,3282)))</f>
        <v>87683052.613960251</v>
      </c>
      <c r="B10178">
        <v>179430806.29119778</v>
      </c>
    </row>
    <row r="10179" spans="1:2" x14ac:dyDescent="0.25">
      <c r="A10179">
        <f ca="1">28108.365809024*((RANDBETWEEN(2979,3282)))</f>
        <v>87445126.031873584</v>
      </c>
      <c r="B10179">
        <v>147621639.70570081</v>
      </c>
    </row>
    <row r="10180" spans="1:2" x14ac:dyDescent="0.25">
      <c r="A10180">
        <f ca="1">25983.3260589002*((RANDBETWEEN(2979,3282)))</f>
        <v>82133293.672183678</v>
      </c>
      <c r="B10180">
        <v>159980150.38149619</v>
      </c>
    </row>
    <row r="10181" spans="1:2" x14ac:dyDescent="0.25">
      <c r="A10181">
        <f ca="1">28286.0842159693*((RANDBETWEEN(2979,3282)))</f>
        <v>84886538.732123882</v>
      </c>
      <c r="B10181">
        <v>192507212.38842642</v>
      </c>
    </row>
    <row r="10182" spans="1:2" x14ac:dyDescent="0.25">
      <c r="A10182">
        <f ca="1">26274.7010617264*((RANDBETWEEN(2979,3282)))</f>
        <v>84604537.418758854</v>
      </c>
      <c r="B10182">
        <v>144917714.3369073</v>
      </c>
    </row>
    <row r="10183" spans="1:2" x14ac:dyDescent="0.25">
      <c r="A10183">
        <f ca="1">31797.3495200136*((RANDBETWEEN(2979,3282)))</f>
        <v>96981916.036041528</v>
      </c>
      <c r="B10183">
        <v>146886826.20944309</v>
      </c>
    </row>
    <row r="10184" spans="1:2" x14ac:dyDescent="0.25">
      <c r="A10184">
        <f ca="1">26873.9624665793*((RANDBETWEEN(2979,3282)))</f>
        <v>85539822.531122044</v>
      </c>
      <c r="B10184">
        <v>165150914.61629015</v>
      </c>
    </row>
    <row r="10185" spans="1:2" x14ac:dyDescent="0.25">
      <c r="A10185">
        <f ca="1">29512.483420507*((RANDBETWEEN(2979,3282)))</f>
        <v>90131124.366228536</v>
      </c>
      <c r="B10185">
        <v>160675429.34526348</v>
      </c>
    </row>
    <row r="10186" spans="1:2" x14ac:dyDescent="0.25">
      <c r="A10186">
        <f ca="1">26418.0790634171*((RANDBETWEEN(2979,3282)))</f>
        <v>82662169.389431983</v>
      </c>
      <c r="B10186">
        <v>174180692.42962843</v>
      </c>
    </row>
    <row r="10187" spans="1:2" x14ac:dyDescent="0.25">
      <c r="A10187">
        <f ca="1">30121.5919511191*((RANDBETWEEN(2979,3282)))</f>
        <v>90003316.749943942</v>
      </c>
      <c r="B10187">
        <v>186781597.3634671</v>
      </c>
    </row>
    <row r="10188" spans="1:2" x14ac:dyDescent="0.25">
      <c r="A10188">
        <f ca="1">31549.3913604184*((RANDBETWEEN(2979,3282)))</f>
        <v>103103410.96584734</v>
      </c>
      <c r="B10188">
        <v>167088629.52353331</v>
      </c>
    </row>
    <row r="10189" spans="1:2" x14ac:dyDescent="0.25">
      <c r="A10189">
        <f ca="1">34667.4568115152*((RANDBETWEEN(2979,3282)))</f>
        <v>112322560.06930915</v>
      </c>
      <c r="B10189">
        <v>168972525.73435283</v>
      </c>
    </row>
    <row r="10190" spans="1:2" x14ac:dyDescent="0.25">
      <c r="A10190">
        <f ca="1">26029.3176369707*((RANDBETWEEN(2979,3282)))</f>
        <v>80977207.168615803</v>
      </c>
      <c r="B10190">
        <v>189061210.91403049</v>
      </c>
    </row>
    <row r="10191" spans="1:2" x14ac:dyDescent="0.25">
      <c r="A10191">
        <f ca="1">33342.2320472766*((RANDBETWEEN(2979,3282)))</f>
        <v>108962414.33050005</v>
      </c>
      <c r="B10191">
        <v>195112728.3283847</v>
      </c>
    </row>
    <row r="10192" spans="1:2" x14ac:dyDescent="0.25">
      <c r="A10192">
        <f ca="1">28112.5005770804*((RANDBETWEEN(2979,3282)))</f>
        <v>90241126.852428108</v>
      </c>
      <c r="B10192">
        <v>197214812.63562375</v>
      </c>
    </row>
    <row r="10193" spans="1:2" x14ac:dyDescent="0.25">
      <c r="A10193">
        <f ca="1">28770.1201570543*((RANDBETWEEN(2979,3282)))</f>
        <v>93560430.750740454</v>
      </c>
      <c r="B10193">
        <v>196175781.50520122</v>
      </c>
    </row>
    <row r="10194" spans="1:2" x14ac:dyDescent="0.25">
      <c r="A10194">
        <f ca="1">27876.5482907987*((RANDBETWEEN(2979,3282)))</f>
        <v>88117769.147214681</v>
      </c>
      <c r="B10194">
        <v>182120815.25073284</v>
      </c>
    </row>
    <row r="10195" spans="1:2" x14ac:dyDescent="0.25">
      <c r="A10195">
        <f ca="1">25173.8096881314*((RANDBETWEEN(2979,3282)))</f>
        <v>81235883.863600016</v>
      </c>
      <c r="B10195">
        <v>149624990.12240154</v>
      </c>
    </row>
    <row r="10196" spans="1:2" x14ac:dyDescent="0.25">
      <c r="A10196">
        <f ca="1">27188.554230726*((RANDBETWEEN(2979,3282)))</f>
        <v>85154551.850633785</v>
      </c>
      <c r="B10196">
        <v>144077661.55206171</v>
      </c>
    </row>
    <row r="10197" spans="1:2" x14ac:dyDescent="0.25">
      <c r="A10197">
        <f ca="1">27503.1968248161*((RANDBETWEEN(2979,3282)))</f>
        <v>83307183.1823681</v>
      </c>
      <c r="B10197">
        <v>199110030.89349997</v>
      </c>
    </row>
    <row r="10198" spans="1:2" x14ac:dyDescent="0.25">
      <c r="A10198">
        <f ca="1">29677.4485972785*((RANDBETWEEN(2979,3282)))</f>
        <v>94225899.296359256</v>
      </c>
      <c r="B10198">
        <v>164335132.75236997</v>
      </c>
    </row>
    <row r="10199" spans="1:2" x14ac:dyDescent="0.25">
      <c r="A10199">
        <f ca="1">28996.9827028148*((RANDBETWEEN(2979,3282)))</f>
        <v>86700978.281416133</v>
      </c>
      <c r="B10199">
        <v>166354828.94497222</v>
      </c>
    </row>
    <row r="10200" spans="1:2" x14ac:dyDescent="0.25">
      <c r="A10200">
        <f ca="1">29052.2962414558*((RANDBETWEEN(2979,3282)))</f>
        <v>90004013.756029919</v>
      </c>
      <c r="B10200">
        <v>183486451.52957234</v>
      </c>
    </row>
    <row r="10201" spans="1:2" x14ac:dyDescent="0.25">
      <c r="A10201">
        <f ca="1">27990.1692992622*((RANDBETWEEN(2979,3282)))</f>
        <v>85621927.886442959</v>
      </c>
      <c r="B10201">
        <v>148031512.89311856</v>
      </c>
    </row>
    <row r="10202" spans="1:2" x14ac:dyDescent="0.25">
      <c r="A10202">
        <f ca="1">30653.6820580914*((RANDBETWEEN(2979,3282)))</f>
        <v>99501851.960564688</v>
      </c>
      <c r="B10202">
        <v>183803475.75934523</v>
      </c>
    </row>
    <row r="10203" spans="1:2" x14ac:dyDescent="0.25">
      <c r="A10203">
        <f ca="1">27077.770240759*((RANDBETWEEN(2979,3282)))</f>
        <v>81449932.884203091</v>
      </c>
      <c r="B10203">
        <v>157048215.10113513</v>
      </c>
    </row>
    <row r="10204" spans="1:2" x14ac:dyDescent="0.25">
      <c r="A10204">
        <f ca="1">26246.7904109501*((RANDBETWEEN(2979,3282)))</f>
        <v>83858495.362985641</v>
      </c>
      <c r="B10204">
        <v>153294452.80665812</v>
      </c>
    </row>
    <row r="10205" spans="1:2" x14ac:dyDescent="0.25">
      <c r="A10205">
        <f ca="1">26993.6664736384*((RANDBETWEEN(2979,3282)))</f>
        <v>87648435.039903909</v>
      </c>
      <c r="B10205">
        <v>175512338.32017624</v>
      </c>
    </row>
    <row r="10206" spans="1:2" x14ac:dyDescent="0.25">
      <c r="A10206">
        <f ca="1">31667.5324924817*((RANDBETWEEN(2979,3282)))</f>
        <v>102982815.66555049</v>
      </c>
      <c r="B10206">
        <v>156711331.91130871</v>
      </c>
    </row>
    <row r="10207" spans="1:2" x14ac:dyDescent="0.25">
      <c r="A10207">
        <f ca="1">26992.9169401853*((RANDBETWEEN(2979,3282)))</f>
        <v>80924764.986675575</v>
      </c>
      <c r="B10207">
        <v>149814319.87194124</v>
      </c>
    </row>
    <row r="10208" spans="1:2" x14ac:dyDescent="0.25">
      <c r="A10208">
        <f ca="1">26952.9823562425*((RANDBETWEEN(2979,3282)))</f>
        <v>82664796.886595786</v>
      </c>
      <c r="B10208">
        <v>148606072.1394507</v>
      </c>
    </row>
    <row r="10209" spans="1:2" x14ac:dyDescent="0.25">
      <c r="A10209">
        <f ca="1">29664.9967256685*((RANDBETWEEN(2979,3282)))</f>
        <v>96262914.374794185</v>
      </c>
      <c r="B10209">
        <v>179503686.09359372</v>
      </c>
    </row>
    <row r="10210" spans="1:2" x14ac:dyDescent="0.25">
      <c r="A10210">
        <f ca="1">31659.8075223045*((RANDBETWEEN(2979,3282)))</f>
        <v>100266610.42313826</v>
      </c>
      <c r="B10210">
        <v>143103794.96152556</v>
      </c>
    </row>
    <row r="10211" spans="1:2" x14ac:dyDescent="0.25">
      <c r="A10211">
        <f ca="1">27895.9997280464*((RANDBETWEEN(2979,3282)))</f>
        <v>89992495.122677729</v>
      </c>
      <c r="B10211">
        <v>193161379.34132633</v>
      </c>
    </row>
    <row r="10212" spans="1:2" x14ac:dyDescent="0.25">
      <c r="A10212">
        <f ca="1">27262.3988670972*((RANDBETWEEN(2979,3282)))</f>
        <v>87784924.352053121</v>
      </c>
      <c r="B10212">
        <v>183352824.4955782</v>
      </c>
    </row>
    <row r="10213" spans="1:2" x14ac:dyDescent="0.25">
      <c r="A10213">
        <f ca="1">27278.2155156064*((RANDBETWEEN(2979,3282)))</f>
        <v>88954260.79639256</v>
      </c>
      <c r="B10213">
        <v>164488788.48338184</v>
      </c>
    </row>
    <row r="10214" spans="1:2" x14ac:dyDescent="0.25">
      <c r="A10214">
        <f ca="1">27343.9864691698*((RANDBETWEEN(2979,3282)))</f>
        <v>86707781.093737423</v>
      </c>
      <c r="B10214">
        <v>161056587.24101067</v>
      </c>
    </row>
    <row r="10215" spans="1:2" x14ac:dyDescent="0.25">
      <c r="A10215">
        <f ca="1">26384.4039959444*((RANDBETWEEN(2979,3282)))</f>
        <v>81923574.407407388</v>
      </c>
      <c r="B10215">
        <v>144202353.30606776</v>
      </c>
    </row>
    <row r="10216" spans="1:2" x14ac:dyDescent="0.25">
      <c r="A10216">
        <f ca="1">27434.0436054212*((RANDBETWEEN(2979,3282)))</f>
        <v>87596901.232110038</v>
      </c>
      <c r="B10216">
        <v>168558119.10777873</v>
      </c>
    </row>
    <row r="10217" spans="1:2" x14ac:dyDescent="0.25">
      <c r="A10217">
        <f ca="1">27397.7000298686*((RANDBETWEEN(2979,3282)))</f>
        <v>84001348.291577145</v>
      </c>
      <c r="B10217">
        <v>161048957.22575346</v>
      </c>
    </row>
    <row r="10218" spans="1:2" x14ac:dyDescent="0.25">
      <c r="A10218">
        <f ca="1">27912.1084230004*((RANDBETWEEN(2979,3282)))</f>
        <v>87699844.665067405</v>
      </c>
      <c r="B10218">
        <v>194150109.06601134</v>
      </c>
    </row>
    <row r="10219" spans="1:2" x14ac:dyDescent="0.25">
      <c r="A10219">
        <f ca="1">29612.0951103047*((RANDBETWEEN(2979,3282)))</f>
        <v>93692668.929004103</v>
      </c>
      <c r="B10219">
        <v>200268641.32606563</v>
      </c>
    </row>
    <row r="10220" spans="1:2" x14ac:dyDescent="0.25">
      <c r="A10220">
        <f ca="1">26455.3894865174*((RANDBETWEEN(2979,3282)))</f>
        <v>84260415.514557943</v>
      </c>
      <c r="B10220">
        <v>150744062.71069127</v>
      </c>
    </row>
    <row r="10221" spans="1:2" x14ac:dyDescent="0.25">
      <c r="A10221">
        <f ca="1">26486.5465190706*((RANDBETWEEN(2979,3282)))</f>
        <v>84386137.209759012</v>
      </c>
      <c r="B10221">
        <v>164271397.76650047</v>
      </c>
    </row>
    <row r="10222" spans="1:2" x14ac:dyDescent="0.25">
      <c r="A10222">
        <f ca="1">27264.800183907*((RANDBETWEEN(2979,3282)))</f>
        <v>88937778.199904501</v>
      </c>
      <c r="B10222">
        <v>155884415.36460355</v>
      </c>
    </row>
    <row r="10223" spans="1:2" x14ac:dyDescent="0.25">
      <c r="A10223">
        <f ca="1">28353.8081501617*((RANDBETWEEN(2979,3282)))</f>
        <v>85600146.80533804</v>
      </c>
      <c r="B10223">
        <v>143719040.49518651</v>
      </c>
    </row>
    <row r="10224" spans="1:2" x14ac:dyDescent="0.25">
      <c r="A10224">
        <f ca="1">26654.7982039798*((RANDBETWEEN(2979,3282)))</f>
        <v>81803575.688013941</v>
      </c>
      <c r="B10224">
        <v>156323035.51556244</v>
      </c>
    </row>
    <row r="10225" spans="1:2" x14ac:dyDescent="0.25">
      <c r="A10225">
        <f ca="1">27797.6978867968*((RANDBETWEEN(2979,3282)))</f>
        <v>87201378.270881474</v>
      </c>
      <c r="B10225">
        <v>143537611.38567996</v>
      </c>
    </row>
    <row r="10226" spans="1:2" x14ac:dyDescent="0.25">
      <c r="A10226">
        <f ca="1">30589.9061425813*((RANDBETWEEN(2979,3282)))</f>
        <v>96449974.067558974</v>
      </c>
      <c r="B10226">
        <v>165081358.48296723</v>
      </c>
    </row>
    <row r="10227" spans="1:2" x14ac:dyDescent="0.25">
      <c r="A10227">
        <f ca="1">29843.6519274508*((RANDBETWEEN(2979,3282)))</f>
        <v>92664539.234734803</v>
      </c>
      <c r="B10227">
        <v>193198685.36288986</v>
      </c>
    </row>
    <row r="10228" spans="1:2" x14ac:dyDescent="0.25">
      <c r="A10228">
        <f ca="1">27579.4600024398*((RANDBETWEEN(2979,3282)))</f>
        <v>86213391.967626929</v>
      </c>
      <c r="B10228">
        <v>156726521.55040151</v>
      </c>
    </row>
    <row r="10229" spans="1:2" x14ac:dyDescent="0.25">
      <c r="A10229">
        <f ca="1">27480.0594972459*((RANDBETWEEN(2979,3282)))</f>
        <v>89530033.842027202</v>
      </c>
      <c r="B10229">
        <v>194721522.53746301</v>
      </c>
    </row>
    <row r="10230" spans="1:2" x14ac:dyDescent="0.25">
      <c r="A10230">
        <f ca="1">27843.5947660743*((RANDBETWEEN(2979,3282)))</f>
        <v>89767749.525823444</v>
      </c>
      <c r="B10230">
        <v>172054775.15401211</v>
      </c>
    </row>
    <row r="10231" spans="1:2" x14ac:dyDescent="0.25">
      <c r="A10231">
        <f ca="1">30652.5146390216*((RANDBETWEEN(2979,3282)))</f>
        <v>96708683.686113015</v>
      </c>
      <c r="B10231">
        <v>192141390.20752728</v>
      </c>
    </row>
    <row r="10232" spans="1:2" x14ac:dyDescent="0.25">
      <c r="A10232">
        <f ca="1">28724.2791485018*((RANDBETWEEN(2979,3282)))</f>
        <v>88413331.21908851</v>
      </c>
      <c r="B10232">
        <v>180475959.13359445</v>
      </c>
    </row>
    <row r="10233" spans="1:2" x14ac:dyDescent="0.25">
      <c r="A10233">
        <f ca="1">26363.3758213121*((RANDBETWEEN(2979,3282)))</f>
        <v>81278287.657105252</v>
      </c>
      <c r="B10233">
        <v>153603845.48860472</v>
      </c>
    </row>
    <row r="10234" spans="1:2" x14ac:dyDescent="0.25">
      <c r="A10234">
        <f ca="1">27101.9925328463*((RANDBETWEEN(2979,3282)))</f>
        <v>88081475.731750488</v>
      </c>
      <c r="B10234">
        <v>157148828.41876552</v>
      </c>
    </row>
    <row r="10235" spans="1:2" x14ac:dyDescent="0.25">
      <c r="A10235">
        <f ca="1">30753.9517738444*((RANDBETWEEN(2979,3282)))</f>
        <v>99704311.6508037</v>
      </c>
      <c r="B10235">
        <v>198737371.45959798</v>
      </c>
    </row>
    <row r="10236" spans="1:2" x14ac:dyDescent="0.25">
      <c r="A10236">
        <f ca="1">25477.2086180918*((RANDBETWEEN(2979,3282)))</f>
        <v>79743662.974627256</v>
      </c>
      <c r="B10236">
        <v>143326988.53092688</v>
      </c>
    </row>
    <row r="10237" spans="1:2" x14ac:dyDescent="0.25">
      <c r="A10237">
        <f ca="1">31079.5203661294*((RANDBETWEEN(2979,3282)))</f>
        <v>101505713.5157786</v>
      </c>
      <c r="B10237">
        <v>202911260.02849376</v>
      </c>
    </row>
    <row r="10238" spans="1:2" x14ac:dyDescent="0.25">
      <c r="A10238">
        <f ca="1">26020.5734285365*((RANDBETWEEN(2979,3282)))</f>
        <v>81054086.229891241</v>
      </c>
      <c r="B10238">
        <v>146363380.8891809</v>
      </c>
    </row>
    <row r="10239" spans="1:2" x14ac:dyDescent="0.25">
      <c r="A10239">
        <f ca="1">27592.8848317951*((RANDBETWEEN(2979,3282)))</f>
        <v>87193516.06847249</v>
      </c>
      <c r="B10239">
        <v>148947967.7422635</v>
      </c>
    </row>
    <row r="10240" spans="1:2" x14ac:dyDescent="0.25">
      <c r="A10240">
        <f ca="1">32506.1949886508*((RANDBETWEEN(2979,3282)))</f>
        <v>105742652.29808091</v>
      </c>
      <c r="B10240">
        <v>160868075.24339727</v>
      </c>
    </row>
    <row r="10241" spans="1:2" x14ac:dyDescent="0.25">
      <c r="A10241">
        <f ca="1">27831.783208181*((RANDBETWEEN(2979,3282)))</f>
        <v>88783388.434097528</v>
      </c>
      <c r="B10241">
        <v>159719764.34813696</v>
      </c>
    </row>
    <row r="10242" spans="1:2" x14ac:dyDescent="0.25">
      <c r="A10242">
        <f ca="1">31233.5449544118*((RANDBETWEEN(2979,3282)))</f>
        <v>95980683.644907311</v>
      </c>
      <c r="B10242">
        <v>190822164.25057459</v>
      </c>
    </row>
    <row r="10243" spans="1:2" x14ac:dyDescent="0.25">
      <c r="A10243">
        <f ca="1">27527.2711908816*((RANDBETWEEN(2979,3282)))</f>
        <v>87646831.471766934</v>
      </c>
      <c r="B10243">
        <v>174561976.14591333</v>
      </c>
    </row>
    <row r="10244" spans="1:2" x14ac:dyDescent="0.25">
      <c r="A10244">
        <f ca="1">27506.1220643724*((RANDBETWEEN(2979,3282)))</f>
        <v>89174847.732695177</v>
      </c>
      <c r="B10244">
        <v>146327350.98128289</v>
      </c>
    </row>
    <row r="10245" spans="1:2" x14ac:dyDescent="0.25">
      <c r="A10245">
        <f ca="1">27205.8109275977*((RANDBETWEEN(2979,3282)))</f>
        <v>81454197.917227611</v>
      </c>
      <c r="B10245">
        <v>146721574.28504363</v>
      </c>
    </row>
    <row r="10246" spans="1:2" x14ac:dyDescent="0.25">
      <c r="A10246">
        <f ca="1">26150.5648728612*((RANDBETWEEN(2979,3282)))</f>
        <v>80726793.762522608</v>
      </c>
      <c r="B10246">
        <v>151792523.57845622</v>
      </c>
    </row>
    <row r="10247" spans="1:2" x14ac:dyDescent="0.25">
      <c r="A10247">
        <f ca="1">31221.1375462584*((RANDBETWEEN(2979,3282)))</f>
        <v>93663412.638775334</v>
      </c>
      <c r="B10247">
        <v>180609087.61357635</v>
      </c>
    </row>
    <row r="10248" spans="1:2" x14ac:dyDescent="0.25">
      <c r="A10248">
        <f ca="1">29666.3600329947*((RANDBETWEEN(2979,3282)))</f>
        <v>92143714.26248166</v>
      </c>
      <c r="B10248">
        <v>168635213.89646938</v>
      </c>
    </row>
    <row r="10249" spans="1:2" x14ac:dyDescent="0.25">
      <c r="A10249">
        <f ca="1">26730.999133225*((RANDBETWEEN(2979,3282)))</f>
        <v>85699583.22111927</v>
      </c>
      <c r="B10249">
        <v>176045273.66747782</v>
      </c>
    </row>
    <row r="10250" spans="1:2" x14ac:dyDescent="0.25">
      <c r="A10250">
        <f ca="1">27191.2491908582*((RANDBETWEEN(2979,3282)))</f>
        <v>84320063.740851372</v>
      </c>
      <c r="B10250">
        <v>143864623.66519248</v>
      </c>
    </row>
    <row r="10251" spans="1:2" x14ac:dyDescent="0.25">
      <c r="A10251">
        <f ca="1">27012.0395160659*((RANDBETWEEN(2979,3282)))</f>
        <v>87573032.111085698</v>
      </c>
      <c r="B10251">
        <v>190022851.35814875</v>
      </c>
    </row>
    <row r="10252" spans="1:2" x14ac:dyDescent="0.25">
      <c r="A10252">
        <f ca="1">29233.0968286802*((RANDBETWEEN(2979,3282)))</f>
        <v>91791924.042055815</v>
      </c>
      <c r="B10252">
        <v>189554169.80146873</v>
      </c>
    </row>
    <row r="10253" spans="1:2" x14ac:dyDescent="0.25">
      <c r="A10253">
        <f ca="1">24957.7976457376*((RANDBETWEEN(2979,3282)))</f>
        <v>75272717.699544594</v>
      </c>
      <c r="B10253">
        <v>148401179.29905197</v>
      </c>
    </row>
    <row r="10254" spans="1:2" x14ac:dyDescent="0.25">
      <c r="A10254">
        <f ca="1">26931.6576295142*((RANDBETWEEN(2979,3282)))</f>
        <v>87500955.638291523</v>
      </c>
      <c r="B10254">
        <v>175405338.99763045</v>
      </c>
    </row>
    <row r="10255" spans="1:2" x14ac:dyDescent="0.25">
      <c r="A10255">
        <f ca="1">33895.5065835741*((RANDBETWEEN(2979,3282)))</f>
        <v>109618068.29127863</v>
      </c>
      <c r="B10255">
        <v>150983921.18783751</v>
      </c>
    </row>
    <row r="10256" spans="1:2" x14ac:dyDescent="0.25">
      <c r="A10256">
        <f ca="1">28855.6339046076*((RANDBETWEEN(2979,3282)))</f>
        <v>94271355.966352865</v>
      </c>
      <c r="B10256">
        <v>152598349.64008602</v>
      </c>
    </row>
    <row r="10257" spans="1:2" x14ac:dyDescent="0.25">
      <c r="A10257">
        <f ca="1">31633.3820474095*((RANDBETWEEN(2979,3282)))</f>
        <v>98917585.66224964</v>
      </c>
      <c r="B10257">
        <v>151659979.31085214</v>
      </c>
    </row>
    <row r="10258" spans="1:2" x14ac:dyDescent="0.25">
      <c r="A10258">
        <f ca="1">29249.3044786509*((RANDBETWEEN(2979,3282)))</f>
        <v>95089488.860094115</v>
      </c>
      <c r="B10258">
        <v>181571309.61404258</v>
      </c>
    </row>
    <row r="10259" spans="1:2" x14ac:dyDescent="0.25">
      <c r="A10259">
        <f ca="1">31173.8562028212*((RANDBETWEEN(2979,3282)))</f>
        <v>100722729.39131525</v>
      </c>
      <c r="B10259">
        <v>177311070.29071921</v>
      </c>
    </row>
    <row r="10260" spans="1:2" x14ac:dyDescent="0.25">
      <c r="A10260">
        <f ca="1">25451.556604205*((RANDBETWEEN(2979,3282)))</f>
        <v>81724948.256102383</v>
      </c>
      <c r="B10260">
        <v>156418890.00094277</v>
      </c>
    </row>
    <row r="10261" spans="1:2" x14ac:dyDescent="0.25">
      <c r="A10261">
        <f ca="1">31499.3705900812*((RANDBETWEEN(2979,3282)))</f>
        <v>100451492.81176883</v>
      </c>
      <c r="B10261">
        <v>185145794.997033</v>
      </c>
    </row>
    <row r="10262" spans="1:2" x14ac:dyDescent="0.25">
      <c r="A10262">
        <f ca="1">27683.2106705676*((RANDBETWEEN(2979,3282)))</f>
        <v>86288567.660159171</v>
      </c>
      <c r="B10262">
        <v>190754179.61121824</v>
      </c>
    </row>
    <row r="10263" spans="1:2" x14ac:dyDescent="0.25">
      <c r="A10263">
        <f ca="1">32025.2985514056*((RANDBETWEEN(2979,3282)))</f>
        <v>103377663.72393729</v>
      </c>
      <c r="B10263">
        <v>197549313.48866081</v>
      </c>
    </row>
    <row r="10264" spans="1:2" x14ac:dyDescent="0.25">
      <c r="A10264">
        <f ca="1">27509.3709999217*((RANDBETWEEN(2979,3282)))</f>
        <v>88029987.19974947</v>
      </c>
      <c r="B10264">
        <v>186412489.74173558</v>
      </c>
    </row>
    <row r="10265" spans="1:2" x14ac:dyDescent="0.25">
      <c r="A10265">
        <f ca="1">25060.7345938083*((RANDBETWEEN(2979,3282)))</f>
        <v>75407750.392769173</v>
      </c>
      <c r="B10265">
        <v>184170352.3903878</v>
      </c>
    </row>
    <row r="10266" spans="1:2" x14ac:dyDescent="0.25">
      <c r="A10266">
        <f ca="1">25892.9078333013*((RANDBETWEEN(2979,3282)))</f>
        <v>83245698.684063703</v>
      </c>
      <c r="B10266">
        <v>159821611.66149744</v>
      </c>
    </row>
    <row r="10267" spans="1:2" x14ac:dyDescent="0.25">
      <c r="A10267">
        <f ca="1">28673.3275564965*((RANDBETWEEN(2979,3282)))</f>
        <v>93016274.593274638</v>
      </c>
      <c r="B10267">
        <v>156933438.05755559</v>
      </c>
    </row>
    <row r="10268" spans="1:2" x14ac:dyDescent="0.25">
      <c r="A10268">
        <f ca="1">31423.129601089*((RANDBETWEEN(2979,3282)))</f>
        <v>96783239.171354249</v>
      </c>
      <c r="B10268">
        <v>147308953.02546203</v>
      </c>
    </row>
    <row r="10269" spans="1:2" x14ac:dyDescent="0.25">
      <c r="A10269">
        <f ca="1">26251.2464300826*((RANDBETWEEN(2979,3282)))</f>
        <v>79541276.683150411</v>
      </c>
      <c r="B10269">
        <v>151723101.09145799</v>
      </c>
    </row>
    <row r="10270" spans="1:2" x14ac:dyDescent="0.25">
      <c r="A10270">
        <f ca="1">31490.9304667551*((RANDBETWEEN(2979,3282)))</f>
        <v>97684866.307874411</v>
      </c>
      <c r="B10270">
        <v>193694487.82228228</v>
      </c>
    </row>
    <row r="10271" spans="1:2" x14ac:dyDescent="0.25">
      <c r="A10271">
        <f ca="1">27260.2411641337*((RANDBETWEEN(2979,3282)))</f>
        <v>81835243.974729434</v>
      </c>
      <c r="B10271">
        <v>152617939.53172931</v>
      </c>
    </row>
    <row r="10272" spans="1:2" x14ac:dyDescent="0.25">
      <c r="A10272">
        <f ca="1">30717.4121693621*((RANDBETWEEN(2979,3282)))</f>
        <v>97527783.637724683</v>
      </c>
      <c r="B10272">
        <v>202718690.74267042</v>
      </c>
    </row>
    <row r="10273" spans="1:2" x14ac:dyDescent="0.25">
      <c r="A10273">
        <f ca="1">31164.2188635105*((RANDBETWEEN(2979,3282)))</f>
        <v>95331345.503478706</v>
      </c>
      <c r="B10273">
        <v>154562188.53879398</v>
      </c>
    </row>
    <row r="10274" spans="1:2" x14ac:dyDescent="0.25">
      <c r="A10274">
        <f ca="1">27529.5658420285*((RANDBETWEEN(2979,3282)))</f>
        <v>83855057.554818898</v>
      </c>
      <c r="B10274">
        <v>144363743.8214145</v>
      </c>
    </row>
    <row r="10275" spans="1:2" x14ac:dyDescent="0.25">
      <c r="A10275">
        <f ca="1">31729.8796614781*((RANDBETWEEN(2979,3282)))</f>
        <v>102297132.02860539</v>
      </c>
      <c r="B10275">
        <v>188841241.9811855</v>
      </c>
    </row>
    <row r="10276" spans="1:2" x14ac:dyDescent="0.25">
      <c r="A10276">
        <f ca="1">26679.2035021881*((RANDBETWEEN(2979,3282)))</f>
        <v>81931833.955219567</v>
      </c>
      <c r="B10276">
        <v>192476470.31917155</v>
      </c>
    </row>
    <row r="10277" spans="1:2" x14ac:dyDescent="0.25">
      <c r="A10277">
        <f ca="1">27974.7079610737*((RANDBETWEEN(2979,3282)))</f>
        <v>83420579.139921889</v>
      </c>
      <c r="B10277">
        <v>201439559.08138591</v>
      </c>
    </row>
    <row r="10278" spans="1:2" x14ac:dyDescent="0.25">
      <c r="A10278">
        <f ca="1">28201.8818766775*((RANDBETWEEN(2979,3282)))</f>
        <v>91515106.689818546</v>
      </c>
      <c r="B10278">
        <v>161380106.15398532</v>
      </c>
    </row>
    <row r="10279" spans="1:2" x14ac:dyDescent="0.25">
      <c r="A10279">
        <f ca="1">27572.1251522385*((RANDBETWEEN(2979,3282)))</f>
        <v>88727098.739903361</v>
      </c>
      <c r="B10279">
        <v>182768202.83043122</v>
      </c>
    </row>
    <row r="10280" spans="1:2" x14ac:dyDescent="0.25">
      <c r="A10280">
        <f ca="1">30206.8106797569*((RANDBETWEEN(2979,3282)))</f>
        <v>93067183.704330921</v>
      </c>
      <c r="B10280">
        <v>146779840.12705839</v>
      </c>
    </row>
    <row r="10281" spans="1:2" x14ac:dyDescent="0.25">
      <c r="A10281">
        <f ca="1">27965.1010170894*((RANDBETWEEN(2979,3282)))</f>
        <v>89600183.658754587</v>
      </c>
      <c r="B10281">
        <v>197995161.3825089</v>
      </c>
    </row>
    <row r="10282" spans="1:2" x14ac:dyDescent="0.25">
      <c r="A10282">
        <f ca="1">28095.9669674844*((RANDBETWEEN(2979,3282)))</f>
        <v>87715608.872486338</v>
      </c>
      <c r="B10282">
        <v>153719493.19218624</v>
      </c>
    </row>
    <row r="10283" spans="1:2" x14ac:dyDescent="0.25">
      <c r="A10283">
        <f ca="1">29830.8660229117*((RANDBETWEEN(2979,3282)))</f>
        <v>89910230.193055719</v>
      </c>
      <c r="B10283">
        <v>192302657.15501797</v>
      </c>
    </row>
    <row r="10284" spans="1:2" x14ac:dyDescent="0.25">
      <c r="A10284">
        <f ca="1">26951.8361334287*((RANDBETWEEN(2979,3282)))</f>
        <v>84736572.803499863</v>
      </c>
      <c r="B10284">
        <v>150531930.53045392</v>
      </c>
    </row>
    <row r="10285" spans="1:2" x14ac:dyDescent="0.25">
      <c r="A10285">
        <f ca="1">27061.7086401599*((RANDBETWEEN(2979,3282)))</f>
        <v>84865518.295541525</v>
      </c>
      <c r="B10285">
        <v>190919087.13193399</v>
      </c>
    </row>
    <row r="10286" spans="1:2" x14ac:dyDescent="0.25">
      <c r="A10286">
        <f ca="1">26771.9547470311*((RANDBETWEEN(2979,3282)))</f>
        <v>82189901.073385596</v>
      </c>
      <c r="B10286">
        <v>190298047.60481882</v>
      </c>
    </row>
    <row r="10287" spans="1:2" x14ac:dyDescent="0.25">
      <c r="A10287">
        <f ca="1">26365.6355384194*((RANDBETWEEN(2979,3282)))</f>
        <v>80863404.196332186</v>
      </c>
      <c r="B10287">
        <v>143298794.94324788</v>
      </c>
    </row>
    <row r="10288" spans="1:2" x14ac:dyDescent="0.25">
      <c r="A10288">
        <f ca="1">27864.7054599923*((RANDBETWEEN(2979,3282)))</f>
        <v>83008957.56531693</v>
      </c>
      <c r="B10288">
        <v>168765861.63521546</v>
      </c>
    </row>
    <row r="10289" spans="1:2" x14ac:dyDescent="0.25">
      <c r="A10289">
        <f ca="1">27018.5583020355*((RANDBETWEEN(2979,3282)))</f>
        <v>80866544.997992218</v>
      </c>
      <c r="B10289">
        <v>156078105.18799913</v>
      </c>
    </row>
    <row r="10290" spans="1:2" x14ac:dyDescent="0.25">
      <c r="A10290">
        <f ca="1">29376.4249405538*((RANDBETWEEN(2979,3282)))</f>
        <v>90009366.01785697</v>
      </c>
      <c r="B10290">
        <v>196413530.10680676</v>
      </c>
    </row>
    <row r="10291" spans="1:2" x14ac:dyDescent="0.25">
      <c r="A10291">
        <f ca="1">32084.8584984569*((RANDBETWEEN(2979,3282)))</f>
        <v>99976419.081191599</v>
      </c>
      <c r="B10291">
        <v>147638609.72845182</v>
      </c>
    </row>
    <row r="10292" spans="1:2" x14ac:dyDescent="0.25">
      <c r="A10292">
        <f ca="1">25755.0018565272*((RANDBETWEEN(2979,3282)))</f>
        <v>83755266.037426591</v>
      </c>
      <c r="B10292">
        <v>144549475.91584486</v>
      </c>
    </row>
    <row r="10293" spans="1:2" x14ac:dyDescent="0.25">
      <c r="A10293">
        <f ca="1">27545.3417462323*((RANDBETWEEN(2979,3282)))</f>
        <v>89357088.624777615</v>
      </c>
      <c r="B10293">
        <v>143179474.94692034</v>
      </c>
    </row>
    <row r="10294" spans="1:2" x14ac:dyDescent="0.25">
      <c r="A10294">
        <f ca="1">26879.7752175458*((RANDBETWEEN(2979,3282)))</f>
        <v>80451167.22611469</v>
      </c>
      <c r="B10294">
        <v>174778212.27006572</v>
      </c>
    </row>
    <row r="10295" spans="1:2" x14ac:dyDescent="0.25">
      <c r="A10295">
        <f ca="1">29893.5245122399*((RANDBETWEEN(2979,3282)))</f>
        <v>93178115.904651657</v>
      </c>
      <c r="B10295">
        <v>179547725.46323749</v>
      </c>
    </row>
    <row r="10296" spans="1:2" x14ac:dyDescent="0.25">
      <c r="A10296">
        <f ca="1">27403.6588806247*((RANDBETWEEN(2979,3282)))</f>
        <v>83416737.632621735</v>
      </c>
      <c r="B10296">
        <v>197937663.44701847</v>
      </c>
    </row>
    <row r="10297" spans="1:2" x14ac:dyDescent="0.25">
      <c r="A10297">
        <f ca="1">27343.2820423389*((RANDBETWEEN(2979,3282)))</f>
        <v>85666502.638647854</v>
      </c>
      <c r="B10297">
        <v>179532737.24810582</v>
      </c>
    </row>
    <row r="10298" spans="1:2" x14ac:dyDescent="0.25">
      <c r="A10298">
        <f ca="1">32202.7037704674*((RANDBETWEEN(2979,3282)))</f>
        <v>96704719.422713533</v>
      </c>
      <c r="B10298">
        <v>183709458.47433856</v>
      </c>
    </row>
    <row r="10299" spans="1:2" x14ac:dyDescent="0.25">
      <c r="A10299">
        <f ca="1">31574.4188800427*((RANDBETWEEN(2979,3282)))</f>
        <v>100343503.20077574</v>
      </c>
      <c r="B10299">
        <v>182264438.92521289</v>
      </c>
    </row>
    <row r="10300" spans="1:2" x14ac:dyDescent="0.25">
      <c r="A10300">
        <f ca="1">26611.6881273235*((RANDBETWEEN(2979,3282)))</f>
        <v>80101181.263243645</v>
      </c>
      <c r="B10300">
        <v>171921907.78664479</v>
      </c>
    </row>
    <row r="10301" spans="1:2" x14ac:dyDescent="0.25">
      <c r="A10301">
        <f ca="1">28013.8495934176*((RANDBETWEEN(2979,3282)))</f>
        <v>89784387.946903467</v>
      </c>
      <c r="B10301">
        <v>157329184.06973183</v>
      </c>
    </row>
    <row r="10302" spans="1:2" x14ac:dyDescent="0.25">
      <c r="A10302">
        <f ca="1">25829.1022065257*((RANDBETWEEN(2979,3282)))</f>
        <v>79811925.818164259</v>
      </c>
      <c r="B10302">
        <v>152695007.66134596</v>
      </c>
    </row>
    <row r="10303" spans="1:2" x14ac:dyDescent="0.25">
      <c r="A10303">
        <f ca="1">26163.4526302761*((RANDBETWEEN(2979,3282)))</f>
        <v>82127077.806436822</v>
      </c>
      <c r="B10303">
        <v>146966856.70215836</v>
      </c>
    </row>
    <row r="10304" spans="1:2" x14ac:dyDescent="0.25">
      <c r="A10304">
        <f ca="1">27706.2237028396*((RANDBETWEEN(2979,3282)))</f>
        <v>89768164.797200173</v>
      </c>
      <c r="B10304">
        <v>156323673.7808103</v>
      </c>
    </row>
    <row r="10305" spans="1:2" x14ac:dyDescent="0.25">
      <c r="A10305">
        <f ca="1">28047.8298036463*((RANDBETWEEN(2979,3282)))</f>
        <v>85489785.241513878</v>
      </c>
      <c r="B10305">
        <v>192926503.82470229</v>
      </c>
    </row>
    <row r="10306" spans="1:2" x14ac:dyDescent="0.25">
      <c r="A10306">
        <f ca="1">25653.3970262571*((RANDBETWEEN(2979,3282)))</f>
        <v>82142177.278075203</v>
      </c>
      <c r="B10306">
        <v>151625362.80705351</v>
      </c>
    </row>
    <row r="10307" spans="1:2" x14ac:dyDescent="0.25">
      <c r="A10307">
        <f ca="1">25509.3092921861*((RANDBETWEEN(2979,3282)))</f>
        <v>82012429.374378458</v>
      </c>
      <c r="B10307">
        <v>143053873.70547804</v>
      </c>
    </row>
    <row r="10308" spans="1:2" x14ac:dyDescent="0.25">
      <c r="A10308">
        <f ca="1">26540.467020796*((RANDBETWEEN(2979,3282)))</f>
        <v>84053659.054861024</v>
      </c>
      <c r="B10308">
        <v>170784600.27788201</v>
      </c>
    </row>
    <row r="10309" spans="1:2" x14ac:dyDescent="0.25">
      <c r="A10309">
        <f ca="1">31423.2720945082*((RANDBETWEEN(2979,3282)))</f>
        <v>101214359.416411</v>
      </c>
      <c r="B10309">
        <v>200532302.09967205</v>
      </c>
    </row>
    <row r="10310" spans="1:2" x14ac:dyDescent="0.25">
      <c r="A10310">
        <f ca="1">28110.7815744768*((RANDBETWEEN(2979,3282)))</f>
        <v>88352186.488580465</v>
      </c>
      <c r="B10310">
        <v>155159680.87262231</v>
      </c>
    </row>
    <row r="10311" spans="1:2" x14ac:dyDescent="0.25">
      <c r="A10311">
        <f ca="1">28076.8095643852*((RANDBETWEEN(2979,3282)))</f>
        <v>83809276.54968974</v>
      </c>
      <c r="B10311">
        <v>155279819.50816202</v>
      </c>
    </row>
    <row r="10312" spans="1:2" x14ac:dyDescent="0.25">
      <c r="A10312">
        <f ca="1">30783.3235701704*((RANDBETWEEN(2979,3282)))</f>
        <v>94966553.213975742</v>
      </c>
      <c r="B10312">
        <v>172071730.64024994</v>
      </c>
    </row>
    <row r="10313" spans="1:2" x14ac:dyDescent="0.25">
      <c r="A10313">
        <f ca="1">26531.6352066486*((RANDBETWEEN(2979,3282)))</f>
        <v>85697181.717474952</v>
      </c>
      <c r="B10313">
        <v>187478903.82973081</v>
      </c>
    </row>
    <row r="10314" spans="1:2" x14ac:dyDescent="0.25">
      <c r="A10314">
        <f ca="1">27567.2840778671*((RANDBETWEEN(2979,3282)))</f>
        <v>82150506.55204387</v>
      </c>
      <c r="B10314">
        <v>145715835.56812048</v>
      </c>
    </row>
    <row r="10315" spans="1:2" x14ac:dyDescent="0.25">
      <c r="A10315">
        <f ca="1">28667.8472544121*((RANDBETWEEN(2979,3282)))</f>
        <v>87207591.347921684</v>
      </c>
      <c r="B10315">
        <v>153212551.57631904</v>
      </c>
    </row>
    <row r="10316" spans="1:2" x14ac:dyDescent="0.25">
      <c r="A10316">
        <f ca="1">29623.3117300536*((RANDBETWEEN(2979,3282)))</f>
        <v>91595279.869325578</v>
      </c>
      <c r="B10316">
        <v>186896627.95477691</v>
      </c>
    </row>
    <row r="10317" spans="1:2" x14ac:dyDescent="0.25">
      <c r="A10317">
        <f ca="1">26001.3396180125*((RANDBETWEEN(2979,3282)))</f>
        <v>79148077.79723005</v>
      </c>
      <c r="B10317">
        <v>181987126.40165463</v>
      </c>
    </row>
    <row r="10318" spans="1:2" x14ac:dyDescent="0.25">
      <c r="A10318">
        <f ca="1">33956.453041375*((RANDBETWEEN(2979,3282)))</f>
        <v>109203952.98106204</v>
      </c>
      <c r="B10318">
        <v>182957722.45178282</v>
      </c>
    </row>
    <row r="10319" spans="1:2" x14ac:dyDescent="0.25">
      <c r="A10319">
        <f ca="1">26214.4785554178*((RANDBETWEEN(2979,3282)))</f>
        <v>81920245.485680521</v>
      </c>
      <c r="B10319">
        <v>156168757.79695681</v>
      </c>
    </row>
    <row r="10320" spans="1:2" x14ac:dyDescent="0.25">
      <c r="A10320">
        <f ca="1">26347.0655014172*((RANDBETWEEN(2979,3282)))</f>
        <v>79304667.159265727</v>
      </c>
      <c r="B10320">
        <v>143089644.36128888</v>
      </c>
    </row>
    <row r="10321" spans="1:2" x14ac:dyDescent="0.25">
      <c r="A10321">
        <f ca="1">26959.8573444037*((RANDBETWEEN(2979,3282)))</f>
        <v>82416283.901842102</v>
      </c>
      <c r="B10321">
        <v>152132543.96571684</v>
      </c>
    </row>
    <row r="10322" spans="1:2" x14ac:dyDescent="0.25">
      <c r="A10322">
        <f ca="1">26143.3429365051*((RANDBETWEEN(2979,3282)))</f>
        <v>84390710.999038562</v>
      </c>
      <c r="B10322">
        <v>145872259.27615261</v>
      </c>
    </row>
    <row r="10323" spans="1:2" x14ac:dyDescent="0.25">
      <c r="A10323">
        <f ca="1">33442.5582201206*((RANDBETWEEN(2979,3282)))</f>
        <v>105444386.06804025</v>
      </c>
      <c r="B10323">
        <v>181236937.62652788</v>
      </c>
    </row>
    <row r="10324" spans="1:2" x14ac:dyDescent="0.25">
      <c r="A10324">
        <f ca="1">28154.4502086014*((RANDBETWEEN(2979,3282)))</f>
        <v>86462316.590615004</v>
      </c>
      <c r="B10324">
        <v>178060781.66746393</v>
      </c>
    </row>
    <row r="10325" spans="1:2" x14ac:dyDescent="0.25">
      <c r="A10325">
        <f ca="1">26236.9874272206*((RANDBETWEEN(2979,3282)))</f>
        <v>78396118.432535186</v>
      </c>
      <c r="B10325">
        <v>143808214.85098395</v>
      </c>
    </row>
    <row r="10326" spans="1:2" x14ac:dyDescent="0.25">
      <c r="A10326">
        <f ca="1">30440.4430658943*((RANDBETWEEN(2979,3282)))</f>
        <v>92965113.123241276</v>
      </c>
      <c r="B10326">
        <v>147889361.83885223</v>
      </c>
    </row>
    <row r="10327" spans="1:2" x14ac:dyDescent="0.25">
      <c r="A10327">
        <f ca="1">29405.011442026*((RANDBETWEEN(2979,3282)))</f>
        <v>90008740.024041444</v>
      </c>
      <c r="B10327">
        <v>151319325.20884708</v>
      </c>
    </row>
    <row r="10328" spans="1:2" x14ac:dyDescent="0.25">
      <c r="A10328">
        <f ca="1">30124.9441543534*((RANDBETWEEN(2979,3282)))</f>
        <v>98237442.887346476</v>
      </c>
      <c r="B10328">
        <v>185743985.00424623</v>
      </c>
    </row>
    <row r="10329" spans="1:2" x14ac:dyDescent="0.25">
      <c r="A10329">
        <f ca="1">28338.4899843532*((RANDBETWEEN(2979,3282)))</f>
        <v>86602425.392183229</v>
      </c>
      <c r="B10329">
        <v>195262068.51435149</v>
      </c>
    </row>
    <row r="10330" spans="1:2" x14ac:dyDescent="0.25">
      <c r="A10330">
        <f ca="1">31222.5899354146*((RANDBETWEEN(2979,3282)))</f>
        <v>99475171.534230962</v>
      </c>
      <c r="B10330">
        <v>199470083.75914595</v>
      </c>
    </row>
    <row r="10331" spans="1:2" x14ac:dyDescent="0.25">
      <c r="A10331">
        <f ca="1">26485.4107914417*((RANDBETWEEN(2979,3282)))</f>
        <v>79111922.034036472</v>
      </c>
      <c r="B10331">
        <v>171918973.17050028</v>
      </c>
    </row>
    <row r="10332" spans="1:2" x14ac:dyDescent="0.25">
      <c r="A10332">
        <f ca="1">30688.5463879736*((RANDBETWEEN(2979,3282)))</f>
        <v>98817119.369275078</v>
      </c>
      <c r="B10332">
        <v>170207650.92467362</v>
      </c>
    </row>
    <row r="10333" spans="1:2" x14ac:dyDescent="0.25">
      <c r="A10333">
        <f ca="1">27605.4615721197*((RANDBETWEEN(2979,3282)))</f>
        <v>84500317.87225832</v>
      </c>
      <c r="B10333">
        <v>169660048.79773569</v>
      </c>
    </row>
    <row r="10334" spans="1:2" x14ac:dyDescent="0.25">
      <c r="A10334">
        <f ca="1">26587.6584968043*((RANDBETWEEN(2979,3282)))</f>
        <v>82368566.023099825</v>
      </c>
      <c r="B10334">
        <v>150709700.22339839</v>
      </c>
    </row>
    <row r="10335" spans="1:2" x14ac:dyDescent="0.25">
      <c r="A10335">
        <f ca="1">25731.9670041636*((RANDBETWEEN(2979,3282)))</f>
        <v>77839200.187594801</v>
      </c>
      <c r="B10335">
        <v>162265985.85668376</v>
      </c>
    </row>
    <row r="10336" spans="1:2" x14ac:dyDescent="0.25">
      <c r="A10336">
        <f ca="1">31219.7701888972*((RANDBETWEEN(2979,3282)))</f>
        <v>101120835.64183804</v>
      </c>
      <c r="B10336">
        <v>184674587.15434837</v>
      </c>
    </row>
    <row r="10337" spans="1:2" x14ac:dyDescent="0.25">
      <c r="A10337">
        <f ca="1">33453.9182691136*((RANDBETWEEN(2979,3282)))</f>
        <v>103238791.7784846</v>
      </c>
      <c r="B10337">
        <v>197621995.55001813</v>
      </c>
    </row>
    <row r="10338" spans="1:2" x14ac:dyDescent="0.25">
      <c r="A10338">
        <f ca="1">28034.8577640765*((RANDBETWEEN(2979,3282)))</f>
        <v>85085793.313972116</v>
      </c>
      <c r="B10338">
        <v>172396608.08925498</v>
      </c>
    </row>
    <row r="10339" spans="1:2" x14ac:dyDescent="0.25">
      <c r="A10339">
        <f ca="1">26136.9148710383*((RANDBETWEEN(2979,3282)))</f>
        <v>85310890.13906914</v>
      </c>
      <c r="B10339">
        <v>177624675.85254195</v>
      </c>
    </row>
    <row r="10340" spans="1:2" x14ac:dyDescent="0.25">
      <c r="A10340">
        <f ca="1">26152.7115680746*((RANDBETWEEN(2979,3282)))</f>
        <v>81073405.861031368</v>
      </c>
      <c r="B10340">
        <v>180973318.51280272</v>
      </c>
    </row>
    <row r="10341" spans="1:2" x14ac:dyDescent="0.25">
      <c r="A10341">
        <f ca="1">27380.9893844165*((RANDBETWEEN(2979,3282)))</f>
        <v>86140592.603374228</v>
      </c>
      <c r="B10341">
        <v>146644031.98305741</v>
      </c>
    </row>
    <row r="10342" spans="1:2" x14ac:dyDescent="0.25">
      <c r="A10342">
        <f ca="1">26076.3090916541*((RANDBETWEEN(2979,3282)))</f>
        <v>81644923.765968889</v>
      </c>
      <c r="B10342">
        <v>166548387.44738787</v>
      </c>
    </row>
    <row r="10343" spans="1:2" x14ac:dyDescent="0.25">
      <c r="A10343">
        <f ca="1">29247.586261963*((RANDBETWEEN(2979,3282)))</f>
        <v>94674436.729974106</v>
      </c>
      <c r="B10343">
        <v>191238977.61968923</v>
      </c>
    </row>
    <row r="10344" spans="1:2" x14ac:dyDescent="0.25">
      <c r="A10344">
        <f ca="1">29945.3481009642*((RANDBETWEEN(2979,3282)))</f>
        <v>91153639.619334906</v>
      </c>
      <c r="B10344">
        <v>178476700.07456303</v>
      </c>
    </row>
    <row r="10345" spans="1:2" x14ac:dyDescent="0.25">
      <c r="A10345">
        <f ca="1">28596.5168617603*((RANDBETWEEN(2979,3282)))</f>
        <v>88191658.0016689</v>
      </c>
      <c r="B10345">
        <v>199637547.52413747</v>
      </c>
    </row>
    <row r="10346" spans="1:2" x14ac:dyDescent="0.25">
      <c r="A10346">
        <f ca="1">27215.7060511999*((RANDBETWEEN(2979,3282)))</f>
        <v>86682023.773071542</v>
      </c>
      <c r="B10346">
        <v>197307967.85455528</v>
      </c>
    </row>
    <row r="10347" spans="1:2" x14ac:dyDescent="0.25">
      <c r="A10347">
        <f ca="1">32387.4960956862*((RANDBETWEEN(2979,3282)))</f>
        <v>105680399.76022422</v>
      </c>
      <c r="B10347">
        <v>151017895.09551734</v>
      </c>
    </row>
    <row r="10348" spans="1:2" x14ac:dyDescent="0.25">
      <c r="A10348">
        <f ca="1">28619.9300990847*((RANDBETWEEN(2979,3282)))</f>
        <v>88836263.027558967</v>
      </c>
      <c r="B10348">
        <v>188561257.61386505</v>
      </c>
    </row>
    <row r="10349" spans="1:2" x14ac:dyDescent="0.25">
      <c r="A10349">
        <f ca="1">28006.7813375222*((RANDBETWEEN(2979,3282)))</f>
        <v>91638188.536372691</v>
      </c>
      <c r="B10349">
        <v>196361671.92448592</v>
      </c>
    </row>
    <row r="10350" spans="1:2" x14ac:dyDescent="0.25">
      <c r="A10350">
        <f ca="1">27167.4332782559*((RANDBETWEEN(2979,3282)))</f>
        <v>83947368.829810768</v>
      </c>
      <c r="B10350">
        <v>165008730.61539319</v>
      </c>
    </row>
    <row r="10351" spans="1:2" x14ac:dyDescent="0.25">
      <c r="A10351">
        <f ca="1">28417.1109309041*((RANDBETWEEN(2979,3282)))</f>
        <v>92497696.080092922</v>
      </c>
      <c r="B10351">
        <v>150390229.85314551</v>
      </c>
    </row>
    <row r="10352" spans="1:2" x14ac:dyDescent="0.25">
      <c r="A10352">
        <f ca="1">26071.8829145982*((RANDBETWEEN(2979,3282)))</f>
        <v>81709281.054350853</v>
      </c>
      <c r="B10352">
        <v>145249327.54636621</v>
      </c>
    </row>
    <row r="10353" spans="1:2" x14ac:dyDescent="0.25">
      <c r="A10353">
        <f ca="1">25378.4426742604*((RANDBETWEEN(2979,3282)))</f>
        <v>75805408.268015757</v>
      </c>
      <c r="B10353">
        <v>186627407.68860316</v>
      </c>
    </row>
    <row r="10354" spans="1:2" x14ac:dyDescent="0.25">
      <c r="A10354">
        <f ca="1">29041.9517037278*((RANDBETWEEN(2979,3282)))</f>
        <v>90843224.929260507</v>
      </c>
      <c r="B10354">
        <v>196048884.96287513</v>
      </c>
    </row>
    <row r="10355" spans="1:2" x14ac:dyDescent="0.25">
      <c r="A10355">
        <f ca="1">31850.6308578367*((RANDBETWEEN(2979,3282)))</f>
        <v>104278965.42855749</v>
      </c>
      <c r="B10355">
        <v>196915814.29257911</v>
      </c>
    </row>
    <row r="10356" spans="1:2" x14ac:dyDescent="0.25">
      <c r="A10356">
        <f ca="1">28958.7863810877*((RANDBETWEEN(2979,3282)))</f>
        <v>94897942.97082445</v>
      </c>
      <c r="B10356">
        <v>170094474.46233839</v>
      </c>
    </row>
    <row r="10357" spans="1:2" x14ac:dyDescent="0.25">
      <c r="A10357">
        <f ca="1">25931.4658255901*((RANDBETWEEN(2979,3282)))</f>
        <v>78364889.724933386</v>
      </c>
      <c r="B10357">
        <v>146318702.41268653</v>
      </c>
    </row>
    <row r="10358" spans="1:2" x14ac:dyDescent="0.25">
      <c r="A10358">
        <f ca="1">26238.799357204*((RANDBETWEEN(2979,3282)))</f>
        <v>79975860.440757856</v>
      </c>
      <c r="B10358">
        <v>174966068.23992807</v>
      </c>
    </row>
    <row r="10359" spans="1:2" x14ac:dyDescent="0.25">
      <c r="A10359">
        <f ca="1">32395.9978094885*((RANDBETWEEN(2979,3282)))</f>
        <v>104898240.90712379</v>
      </c>
      <c r="B10359">
        <v>170806880.98092371</v>
      </c>
    </row>
    <row r="10360" spans="1:2" x14ac:dyDescent="0.25">
      <c r="A10360">
        <f ca="1">34205.5106830933*((RANDBETWEEN(2979,3282)))</f>
        <v>108157824.77994087</v>
      </c>
      <c r="B10360">
        <v>157289335.67360798</v>
      </c>
    </row>
    <row r="10361" spans="1:2" x14ac:dyDescent="0.25">
      <c r="A10361">
        <f ca="1">31785.5835513596*((RANDBETWEEN(2979,3282)))</f>
        <v>99902089.101923317</v>
      </c>
      <c r="B10361">
        <v>190744965.55710846</v>
      </c>
    </row>
    <row r="10362" spans="1:2" x14ac:dyDescent="0.25">
      <c r="A10362">
        <f ca="1">27939.7345727468*((RANDBETWEEN(2979,3282)))</f>
        <v>87730766.558424905</v>
      </c>
      <c r="B10362">
        <v>186787644.83165002</v>
      </c>
    </row>
    <row r="10363" spans="1:2" x14ac:dyDescent="0.25">
      <c r="A10363">
        <f ca="1">25721.4609637162*((RANDBETWEEN(2979,3282)))</f>
        <v>79582200.221737966</v>
      </c>
      <c r="B10363">
        <v>185288813.0739904</v>
      </c>
    </row>
    <row r="10364" spans="1:2" x14ac:dyDescent="0.25">
      <c r="A10364">
        <f ca="1">26161.7903345188*((RANDBETWEEN(2979,3282)))</f>
        <v>82278830.602061659</v>
      </c>
      <c r="B10364">
        <v>145292971.46059123</v>
      </c>
    </row>
    <row r="10365" spans="1:2" x14ac:dyDescent="0.25">
      <c r="A10365">
        <f ca="1">30310.0108540487*((RANDBETWEEN(2979,3282)))</f>
        <v>98204435.16711767</v>
      </c>
      <c r="B10365">
        <v>169412058.92739093</v>
      </c>
    </row>
    <row r="10366" spans="1:2" x14ac:dyDescent="0.25">
      <c r="A10366">
        <f ca="1">26919.5350583963*((RANDBETWEEN(2979,3282)))</f>
        <v>86007914.51157634</v>
      </c>
      <c r="B10366">
        <v>158072913.948486</v>
      </c>
    </row>
    <row r="10367" spans="1:2" x14ac:dyDescent="0.25">
      <c r="A10367">
        <f ca="1">26290.0364803158*((RANDBETWEEN(2979,3282)))</f>
        <v>84259566.919412225</v>
      </c>
      <c r="B10367">
        <v>157833705.78660864</v>
      </c>
    </row>
    <row r="10368" spans="1:2" x14ac:dyDescent="0.25">
      <c r="A10368">
        <f ca="1">30627.0708087101*((RANDBETWEEN(2979,3282)))</f>
        <v>96230256.480967224</v>
      </c>
      <c r="B10368">
        <v>155282954.25658989</v>
      </c>
    </row>
    <row r="10369" spans="1:2" x14ac:dyDescent="0.25">
      <c r="A10369">
        <f ca="1">32254.9269536547*((RANDBETWEEN(2979,3282)))</f>
        <v>105086552.01500711</v>
      </c>
      <c r="B10369">
        <v>172586400.49135998</v>
      </c>
    </row>
    <row r="10370" spans="1:2" x14ac:dyDescent="0.25">
      <c r="A10370">
        <f ca="1">27825.9909025292*((RANDBETWEEN(2979,3282)))</f>
        <v>87679697.333869517</v>
      </c>
      <c r="B10370">
        <v>189291354.13563988</v>
      </c>
    </row>
    <row r="10371" spans="1:2" x14ac:dyDescent="0.25">
      <c r="A10371">
        <f ca="1">29505.211069329*((RANDBETWEEN(2979,3282)))</f>
        <v>93944592.044743434</v>
      </c>
      <c r="B10371">
        <v>196135041.88436407</v>
      </c>
    </row>
    <row r="10372" spans="1:2" x14ac:dyDescent="0.25">
      <c r="A10372">
        <f ca="1">32883.1576470287*((RANDBETWEEN(2979,3282)))</f>
        <v>103450413.9575526</v>
      </c>
      <c r="B10372">
        <v>190912451.30916312</v>
      </c>
    </row>
    <row r="10373" spans="1:2" x14ac:dyDescent="0.25">
      <c r="A10373">
        <f ca="1">26230.2967122755*((RANDBETWEEN(2979,3282)))</f>
        <v>80500780.609973595</v>
      </c>
      <c r="B10373">
        <v>149060472.8514176</v>
      </c>
    </row>
    <row r="10374" spans="1:2" x14ac:dyDescent="0.25">
      <c r="A10374">
        <f ca="1">26918.2084995227*((RANDBETWEEN(2979,3282)))</f>
        <v>86084430.781473488</v>
      </c>
      <c r="B10374">
        <v>174194704.70603424</v>
      </c>
    </row>
    <row r="10375" spans="1:2" x14ac:dyDescent="0.25">
      <c r="A10375">
        <f ca="1">27117.8547038977*((RANDBETWEEN(2979,3282)))</f>
        <v>83956878.163267359</v>
      </c>
      <c r="B10375">
        <v>154480659.46808067</v>
      </c>
    </row>
    <row r="10376" spans="1:2" x14ac:dyDescent="0.25">
      <c r="A10376">
        <f ca="1">27386.9938805022*((RANDBETWEEN(2979,3282)))</f>
        <v>85392646.919405892</v>
      </c>
      <c r="B10376">
        <v>194523674.94656903</v>
      </c>
    </row>
    <row r="10377" spans="1:2" x14ac:dyDescent="0.25">
      <c r="A10377">
        <f ca="1">26812.1570553891*((RANDBETWEEN(2979,3282)))</f>
        <v>85450344.535524905</v>
      </c>
      <c r="B10377">
        <v>179122043.25339764</v>
      </c>
    </row>
    <row r="10378" spans="1:2" x14ac:dyDescent="0.25">
      <c r="A10378">
        <f ca="1">30020.4771624837*((RANDBETWEEN(2979,3282)))</f>
        <v>90511738.644888386</v>
      </c>
      <c r="B10378">
        <v>171583277.44028986</v>
      </c>
    </row>
    <row r="10379" spans="1:2" x14ac:dyDescent="0.25">
      <c r="A10379">
        <f ca="1">26619.2568064692*((RANDBETWEEN(2979,3282)))</f>
        <v>86406107.593798965</v>
      </c>
      <c r="B10379">
        <v>148502188.83531559</v>
      </c>
    </row>
    <row r="10380" spans="1:2" x14ac:dyDescent="0.25">
      <c r="A10380">
        <f ca="1">28312.9035178894*((RANDBETWEEN(2979,3282)))</f>
        <v>87232055.738617286</v>
      </c>
      <c r="B10380">
        <v>183039422.5756487</v>
      </c>
    </row>
    <row r="10381" spans="1:2" x14ac:dyDescent="0.25">
      <c r="A10381">
        <f ca="1">26222.8810316028*((RANDBETWEEN(2979,3282)))</f>
        <v>83178978.6322442</v>
      </c>
      <c r="B10381">
        <v>194912372.11456135</v>
      </c>
    </row>
    <row r="10382" spans="1:2" x14ac:dyDescent="0.25">
      <c r="A10382">
        <f ca="1">27713.6111232818*((RANDBETWEEN(2979,3282)))</f>
        <v>89459536.705953494</v>
      </c>
      <c r="B10382">
        <v>172865105.20908976</v>
      </c>
    </row>
    <row r="10383" spans="1:2" x14ac:dyDescent="0.25">
      <c r="A10383">
        <f ca="1">25745.4217140251*((RANDBETWEEN(2979,3282)))</f>
        <v>80428697.434614569</v>
      </c>
      <c r="B10383">
        <v>148395766.14218068</v>
      </c>
    </row>
    <row r="10384" spans="1:2" x14ac:dyDescent="0.25">
      <c r="A10384">
        <f ca="1">30385.9798104489*((RANDBETWEEN(2979,3282)))</f>
        <v>97964398.908887148</v>
      </c>
      <c r="B10384">
        <v>198897697.38767636</v>
      </c>
    </row>
    <row r="10385" spans="1:2" x14ac:dyDescent="0.25">
      <c r="A10385">
        <f ca="1">26859.0427489368*((RANDBETWEEN(2979,3282)))</f>
        <v>83343609.649950832</v>
      </c>
      <c r="B10385">
        <v>147273313.41786581</v>
      </c>
    </row>
    <row r="10386" spans="1:2" x14ac:dyDescent="0.25">
      <c r="A10386">
        <f ca="1">27908.2558021576*((RANDBETWEEN(2979,3282)))</f>
        <v>87520290.195566162</v>
      </c>
      <c r="B10386">
        <v>198564248.61008012</v>
      </c>
    </row>
    <row r="10387" spans="1:2" x14ac:dyDescent="0.25">
      <c r="A10387">
        <f ca="1">30246.5997569903*((RANDBETWEEN(2979,3282)))</f>
        <v>95609501.831846312</v>
      </c>
      <c r="B10387">
        <v>202649569.40883642</v>
      </c>
    </row>
    <row r="10388" spans="1:2" x14ac:dyDescent="0.25">
      <c r="A10388">
        <f ca="1">31238.6692191679*((RANDBETWEEN(2979,3282)))</f>
        <v>97089783.933173791</v>
      </c>
      <c r="B10388">
        <v>174238581.05411619</v>
      </c>
    </row>
    <row r="10389" spans="1:2" x14ac:dyDescent="0.25">
      <c r="A10389">
        <f ca="1">26432.0299722724*((RANDBETWEEN(2979,3282)))</f>
        <v>79296089.916817248</v>
      </c>
      <c r="B10389">
        <v>143868676.78895846</v>
      </c>
    </row>
    <row r="10390" spans="1:2" x14ac:dyDescent="0.25">
      <c r="A10390">
        <f ca="1">32977.0685223451*((RANDBETWEEN(2979,3282)))</f>
        <v>105823412.88820533</v>
      </c>
      <c r="B10390">
        <v>172859183.31199884</v>
      </c>
    </row>
    <row r="10391" spans="1:2" x14ac:dyDescent="0.25">
      <c r="A10391">
        <f ca="1">27128.0507013015*((RANDBETWEEN(2979,3282)))</f>
        <v>83418755.906502217</v>
      </c>
      <c r="B10391">
        <v>150352585.38623267</v>
      </c>
    </row>
    <row r="10392" spans="1:2" x14ac:dyDescent="0.25">
      <c r="A10392">
        <f ca="1">28363.0643813447*((RANDBETWEEN(2979,3282)))</f>
        <v>89428741.994379878</v>
      </c>
      <c r="B10392">
        <v>152565034.21764082</v>
      </c>
    </row>
    <row r="10393" spans="1:2" x14ac:dyDescent="0.25">
      <c r="A10393">
        <f ca="1">25253.7309599609*((RANDBETWEEN(2979,3282)))</f>
        <v>82226148.00563255</v>
      </c>
      <c r="B10393">
        <v>164048822.27998728</v>
      </c>
    </row>
    <row r="10394" spans="1:2" x14ac:dyDescent="0.25">
      <c r="A10394">
        <f ca="1">27459.0184218215*((RANDBETWEEN(2979,3282)))</f>
        <v>82486891.339151695</v>
      </c>
      <c r="B10394">
        <v>157682587.87767285</v>
      </c>
    </row>
    <row r="10395" spans="1:2" x14ac:dyDescent="0.25">
      <c r="A10395">
        <f ca="1">27128.1235778291*((RANDBETWEEN(2979,3282)))</f>
        <v>86620098.584008276</v>
      </c>
      <c r="B10395">
        <v>187810378.04470342</v>
      </c>
    </row>
    <row r="10396" spans="1:2" x14ac:dyDescent="0.25">
      <c r="A10396">
        <f ca="1">27269.3329263922*((RANDBETWEEN(2979,3282)))</f>
        <v>84834894.734006047</v>
      </c>
      <c r="B10396">
        <v>202376568.21040574</v>
      </c>
    </row>
    <row r="10397" spans="1:2" x14ac:dyDescent="0.25">
      <c r="A10397">
        <f ca="1">34352.7387584796*((RANDBETWEEN(2979,3282)))</f>
        <v>108657712.69307098</v>
      </c>
      <c r="B10397">
        <v>199259433.74102485</v>
      </c>
    </row>
    <row r="10398" spans="1:2" x14ac:dyDescent="0.25">
      <c r="A10398">
        <f ca="1">27849.2716978997*((RANDBETWEEN(2979,3282)))</f>
        <v>83714910.723886356</v>
      </c>
      <c r="B10398">
        <v>148833940.22644952</v>
      </c>
    </row>
    <row r="10399" spans="1:2" x14ac:dyDescent="0.25">
      <c r="A10399">
        <f ca="1">29779.1453680566*((RANDBETWEEN(2979,3282)))</f>
        <v>97288467.917440861</v>
      </c>
      <c r="B10399">
        <v>176638669.36765623</v>
      </c>
    </row>
    <row r="10400" spans="1:2" x14ac:dyDescent="0.25">
      <c r="A10400">
        <f ca="1">28170.3405117286*((RANDBETWEEN(2979,3282)))</f>
        <v>90821177.809813112</v>
      </c>
      <c r="B10400">
        <v>154152004.44272402</v>
      </c>
    </row>
    <row r="10401" spans="1:2" x14ac:dyDescent="0.25">
      <c r="A10401">
        <f ca="1">26583.9612977354*((RANDBETWEEN(2979,3282)))</f>
        <v>85786443.107792005</v>
      </c>
      <c r="B10401">
        <v>143472981.69983917</v>
      </c>
    </row>
    <row r="10402" spans="1:2" x14ac:dyDescent="0.25">
      <c r="A10402">
        <f ca="1">30908.317244096*((RANDBETWEEN(2979,3282)))</f>
        <v>95321250.380791947</v>
      </c>
      <c r="B10402">
        <v>155584205.81120613</v>
      </c>
    </row>
    <row r="10403" spans="1:2" x14ac:dyDescent="0.25">
      <c r="A10403">
        <f ca="1">28975.2430733708*((RANDBETWEEN(2979,3282)))</f>
        <v>92981555.02244696</v>
      </c>
      <c r="B10403">
        <v>145098364.2754871</v>
      </c>
    </row>
    <row r="10404" spans="1:2" x14ac:dyDescent="0.25">
      <c r="A10404">
        <f ca="1">25468.6770681442*((RANDBETWEEN(2979,3282)))</f>
        <v>82900543.856809497</v>
      </c>
      <c r="B10404">
        <v>146974684.46176371</v>
      </c>
    </row>
    <row r="10405" spans="1:2" x14ac:dyDescent="0.25">
      <c r="A10405">
        <f ca="1">27469.8968973992*((RANDBETWEEN(2979,3282)))</f>
        <v>88095959.34995909</v>
      </c>
      <c r="B10405">
        <v>151445420.28093687</v>
      </c>
    </row>
    <row r="10406" spans="1:2" x14ac:dyDescent="0.25">
      <c r="A10406">
        <f ca="1">27043.1448032048*((RANDBETWEEN(2979,3282)))</f>
        <v>83049497.690641955</v>
      </c>
      <c r="B10406">
        <v>176026888.08488607</v>
      </c>
    </row>
    <row r="10407" spans="1:2" x14ac:dyDescent="0.25">
      <c r="A10407">
        <f ca="1">26679.3701131144*((RANDBETWEEN(2979,3282)))</f>
        <v>85587419.322871119</v>
      </c>
      <c r="B10407">
        <v>155803604.68301484</v>
      </c>
    </row>
    <row r="10408" spans="1:2" x14ac:dyDescent="0.25">
      <c r="A10408">
        <f ca="1">27158.2677407467*((RANDBETWEEN(2979,3282)))</f>
        <v>86200341.809129924</v>
      </c>
      <c r="B10408">
        <v>192509779.35397923</v>
      </c>
    </row>
    <row r="10409" spans="1:2" x14ac:dyDescent="0.25">
      <c r="A10409">
        <f ca="1">27484.4307810442*((RANDBETWEEN(2979,3282)))</f>
        <v>83992420.466870993</v>
      </c>
      <c r="B10409">
        <v>186124580.57582343</v>
      </c>
    </row>
    <row r="10410" spans="1:2" x14ac:dyDescent="0.25">
      <c r="A10410">
        <f ca="1">31743.4383834559*((RANDBETWEEN(2979,3282)))</f>
        <v>100245778.41495369</v>
      </c>
      <c r="B10410">
        <v>168255728.12709704</v>
      </c>
    </row>
    <row r="10411" spans="1:2" x14ac:dyDescent="0.25">
      <c r="A10411">
        <f ca="1">27207.4728947461*((RANDBETWEEN(2979,3282)))</f>
        <v>81350343.955290705</v>
      </c>
      <c r="B10411">
        <v>187237013.01690742</v>
      </c>
    </row>
    <row r="10412" spans="1:2" x14ac:dyDescent="0.25">
      <c r="A10412">
        <f ca="1">27348.0974401737*((RANDBETWEEN(2979,3282)))</f>
        <v>88252310.439440444</v>
      </c>
      <c r="B10412">
        <v>163968844.90740567</v>
      </c>
    </row>
    <row r="10413" spans="1:2" x14ac:dyDescent="0.25">
      <c r="A10413">
        <f ca="1">26269.056135991*((RANDBETWEEN(2979,3282)))</f>
        <v>84428746.421074942</v>
      </c>
      <c r="B10413">
        <v>173411182.49366456</v>
      </c>
    </row>
    <row r="10414" spans="1:2" x14ac:dyDescent="0.25">
      <c r="A10414">
        <f ca="1">28352.351823156*((RANDBETWEEN(2979,3282)))</f>
        <v>88459337.688246876</v>
      </c>
      <c r="B10414">
        <v>155026293.72615474</v>
      </c>
    </row>
    <row r="10415" spans="1:2" x14ac:dyDescent="0.25">
      <c r="A10415">
        <f ca="1">26564.4651662333*((RANDBETWEEN(2979,3282)))</f>
        <v>81154441.082842648</v>
      </c>
      <c r="B10415">
        <v>162396689.80623811</v>
      </c>
    </row>
    <row r="10416" spans="1:2" x14ac:dyDescent="0.25">
      <c r="A10416">
        <f ca="1">25309.5828479276*((RANDBETWEEN(2979,3282)))</f>
        <v>78839350.571294397</v>
      </c>
      <c r="B10416">
        <v>187241297.48732308</v>
      </c>
    </row>
    <row r="10417" spans="1:2" x14ac:dyDescent="0.25">
      <c r="A10417">
        <f ca="1">26782.4707414109*((RANDBETWEEN(2979,3282)))</f>
        <v>86989464.968102574</v>
      </c>
      <c r="B10417">
        <v>144592333.32955611</v>
      </c>
    </row>
    <row r="10418" spans="1:2" x14ac:dyDescent="0.25">
      <c r="A10418">
        <f ca="1">27115.7525508389*((RANDBETWEEN(2979,3282)))</f>
        <v>88044848.53257376</v>
      </c>
      <c r="B10418">
        <v>200496939.2784487</v>
      </c>
    </row>
    <row r="10419" spans="1:2" x14ac:dyDescent="0.25">
      <c r="A10419">
        <f ca="1">29961.4788521968*((RANDBETWEEN(2979,3282)))</f>
        <v>96326154.509812832</v>
      </c>
      <c r="B10419">
        <v>178231352.77645543</v>
      </c>
    </row>
    <row r="10420" spans="1:2" x14ac:dyDescent="0.25">
      <c r="A10420">
        <f ca="1">29768.4060978507*((RANDBETWEEN(2979,3282)))</f>
        <v>90615028.161857426</v>
      </c>
      <c r="B10420">
        <v>179066862.76235348</v>
      </c>
    </row>
    <row r="10421" spans="1:2" x14ac:dyDescent="0.25">
      <c r="A10421">
        <f ca="1">27560.249320072*((RANDBETWEEN(2979,3282)))</f>
        <v>83755597.683698744</v>
      </c>
      <c r="B10421">
        <v>169715557.31966192</v>
      </c>
    </row>
    <row r="10422" spans="1:2" x14ac:dyDescent="0.25">
      <c r="A10422">
        <f ca="1">26401.9059495253*((RANDBETWEEN(2979,3282)))</f>
        <v>81344272.2304876</v>
      </c>
      <c r="B10422">
        <v>170854505.40999103</v>
      </c>
    </row>
    <row r="10423" spans="1:2" x14ac:dyDescent="0.25">
      <c r="A10423">
        <f ca="1">26973.384920749*((RANDBETWEEN(2979,3282)))</f>
        <v>80812261.222564146</v>
      </c>
      <c r="B10423">
        <v>182514393.32956111</v>
      </c>
    </row>
    <row r="10424" spans="1:2" x14ac:dyDescent="0.25">
      <c r="A10424">
        <f ca="1">27804.1547619967*((RANDBETWEEN(2979,3282)))</f>
        <v>86276292.226475909</v>
      </c>
      <c r="B10424">
        <v>189749031.55549669</v>
      </c>
    </row>
    <row r="10425" spans="1:2" x14ac:dyDescent="0.25">
      <c r="A10425">
        <f ca="1">28444.7601232275*((RANDBETWEEN(2979,3282)))</f>
        <v>88491648.743360698</v>
      </c>
      <c r="B10425">
        <v>145132823.85999373</v>
      </c>
    </row>
    <row r="10426" spans="1:2" x14ac:dyDescent="0.25">
      <c r="A10426">
        <f ca="1">30513.3474630101*((RANDBETWEEN(2979,3282)))</f>
        <v>98710679.042837635</v>
      </c>
      <c r="B10426">
        <v>183173971.83659121</v>
      </c>
    </row>
    <row r="10427" spans="1:2" x14ac:dyDescent="0.25">
      <c r="A10427">
        <f ca="1">26699.8910027749*((RANDBETWEEN(2979,3282)))</f>
        <v>80286572.245344043</v>
      </c>
      <c r="B10427">
        <v>156690215.57373586</v>
      </c>
    </row>
    <row r="10428" spans="1:2" x14ac:dyDescent="0.25">
      <c r="A10428">
        <f ca="1">26546.0738219813*((RANDBETWEEN(2979,3282)))</f>
        <v>86726023.176412925</v>
      </c>
      <c r="B10428">
        <v>155020631.38464132</v>
      </c>
    </row>
    <row r="10429" spans="1:2" x14ac:dyDescent="0.25">
      <c r="A10429">
        <f ca="1">29543.1011495915*((RANDBETWEEN(2979,3282)))</f>
        <v>91347268.754536882</v>
      </c>
      <c r="B10429">
        <v>156017479.68366137</v>
      </c>
    </row>
    <row r="10430" spans="1:2" x14ac:dyDescent="0.25">
      <c r="A10430">
        <f ca="1">26783.7997548731*((RANDBETWEEN(2979,3282)))</f>
        <v>83940428.431772307</v>
      </c>
      <c r="B10430">
        <v>181422014.96681195</v>
      </c>
    </row>
    <row r="10431" spans="1:2" x14ac:dyDescent="0.25">
      <c r="A10431">
        <f ca="1">28433.3426265046*((RANDBETWEEN(2979,3282)))</f>
        <v>87972762.086405203</v>
      </c>
      <c r="B10431">
        <v>168591616.81628734</v>
      </c>
    </row>
    <row r="10432" spans="1:2" x14ac:dyDescent="0.25">
      <c r="A10432">
        <f ca="1">30878.8304286065*((RANDBETWEEN(2979,3282)))</f>
        <v>96002283.802537546</v>
      </c>
      <c r="B10432">
        <v>167247090.68606901</v>
      </c>
    </row>
    <row r="10433" spans="1:2" x14ac:dyDescent="0.25">
      <c r="A10433">
        <f ca="1">32444.8470486082*((RANDBETWEEN(2979,3282)))</f>
        <v>103563951.77915727</v>
      </c>
      <c r="B10433">
        <v>184122794.39193165</v>
      </c>
    </row>
    <row r="10434" spans="1:2" x14ac:dyDescent="0.25">
      <c r="A10434">
        <f ca="1">26731.0676455305*((RANDBETWEEN(2979,3282)))</f>
        <v>87276935.862657219</v>
      </c>
      <c r="B10434">
        <v>143160450.38257092</v>
      </c>
    </row>
    <row r="10435" spans="1:2" x14ac:dyDescent="0.25">
      <c r="A10435">
        <f ca="1">26508.5048449374*((RANDBETWEEN(2979,3282)))</f>
        <v>84350062.416590929</v>
      </c>
      <c r="B10435">
        <v>143284285.1701124</v>
      </c>
    </row>
    <row r="10436" spans="1:2" x14ac:dyDescent="0.25">
      <c r="A10436">
        <f ca="1">27813.9738837395*((RANDBETWEEN(2979,3282)))</f>
        <v>89143786.297385156</v>
      </c>
      <c r="B10436">
        <v>160127789.76983353</v>
      </c>
    </row>
    <row r="10437" spans="1:2" x14ac:dyDescent="0.25">
      <c r="A10437">
        <f ca="1">28060.6225103027*((RANDBETWEEN(2979,3282)))</f>
        <v>91505690.006097108</v>
      </c>
      <c r="B10437">
        <v>172534734.45909983</v>
      </c>
    </row>
    <row r="10438" spans="1:2" x14ac:dyDescent="0.25">
      <c r="A10438">
        <f ca="1">27401.4681088735*((RANDBETWEEN(2979,3282)))</f>
        <v>88534143.459770292</v>
      </c>
      <c r="B10438">
        <v>173170641.07153985</v>
      </c>
    </row>
    <row r="10439" spans="1:2" x14ac:dyDescent="0.25">
      <c r="A10439">
        <f ca="1">28450.918377516*((RANDBETWEEN(2979,3282)))</f>
        <v>92437033.808549523</v>
      </c>
      <c r="B10439">
        <v>176260543.66386181</v>
      </c>
    </row>
    <row r="10440" spans="1:2" x14ac:dyDescent="0.25">
      <c r="A10440">
        <f ca="1">26723.4297179522*((RANDBETWEEN(2979,3282)))</f>
        <v>85434804.808293194</v>
      </c>
      <c r="B10440">
        <v>192640107.24952763</v>
      </c>
    </row>
    <row r="10441" spans="1:2" x14ac:dyDescent="0.25">
      <c r="A10441">
        <f ca="1">28442.0721402291*((RANDBETWEEN(2979,3282)))</f>
        <v>87004298.676960945</v>
      </c>
      <c r="B10441">
        <v>178599075.56273025</v>
      </c>
    </row>
    <row r="10442" spans="1:2" x14ac:dyDescent="0.25">
      <c r="A10442">
        <f ca="1">31065.5652690228*((RANDBETWEEN(2979,3282)))</f>
        <v>97980792.858498037</v>
      </c>
      <c r="B10442">
        <v>176134773.1275776</v>
      </c>
    </row>
    <row r="10443" spans="1:2" x14ac:dyDescent="0.25">
      <c r="A10443">
        <f ca="1">29401.3198612171*((RANDBETWEEN(2979,3282)))</f>
        <v>92937572.081307203</v>
      </c>
      <c r="B10443">
        <v>159708032.42114553</v>
      </c>
    </row>
    <row r="10444" spans="1:2" x14ac:dyDescent="0.25">
      <c r="A10444">
        <f ca="1">30882.3856561682*((RANDBETWEEN(2979,3282)))</f>
        <v>100491282.9251712</v>
      </c>
      <c r="B10444">
        <v>179001888.3769587</v>
      </c>
    </row>
    <row r="10445" spans="1:2" x14ac:dyDescent="0.25">
      <c r="A10445">
        <f ca="1">26602.5906202965*((RANDBETWEEN(2979,3282)))</f>
        <v>85819957.341076508</v>
      </c>
      <c r="B10445">
        <v>161738079.65332532</v>
      </c>
    </row>
    <row r="10446" spans="1:2" x14ac:dyDescent="0.25">
      <c r="A10446">
        <f ca="1">26350.9704227707*((RANDBETWEEN(2979,3282)))</f>
        <v>80212353.966914162</v>
      </c>
      <c r="B10446">
        <v>149727045.47595137</v>
      </c>
    </row>
    <row r="10447" spans="1:2" x14ac:dyDescent="0.25">
      <c r="A10447">
        <f ca="1">28266.630889896*((RANDBETWEEN(2979,3282)))</f>
        <v>85280425.394816235</v>
      </c>
      <c r="B10447">
        <v>193557968.90256619</v>
      </c>
    </row>
    <row r="10448" spans="1:2" x14ac:dyDescent="0.25">
      <c r="A10448">
        <f ca="1">27254.8879461343*((RANDBETWEEN(2979,3282)))</f>
        <v>88660150.488774985</v>
      </c>
      <c r="B10448">
        <v>192280348.44961929</v>
      </c>
    </row>
    <row r="10449" spans="1:2" x14ac:dyDescent="0.25">
      <c r="A10449">
        <f ca="1">26677.8571583465*((RANDBETWEEN(2979,3282)))</f>
        <v>82327867.190657184</v>
      </c>
      <c r="B10449">
        <v>195226613.80113593</v>
      </c>
    </row>
    <row r="10450" spans="1:2" x14ac:dyDescent="0.25">
      <c r="A10450">
        <f ca="1">25789.1327510205*((RANDBETWEEN(2979,3282)))</f>
        <v>82576803.068767488</v>
      </c>
      <c r="B10450">
        <v>144111494.4904443</v>
      </c>
    </row>
    <row r="10451" spans="1:2" x14ac:dyDescent="0.25">
      <c r="A10451">
        <f ca="1">26251.4014674775*((RANDBETWEEN(2979,3282)))</f>
        <v>85185797.761964336</v>
      </c>
      <c r="B10451">
        <v>157232295.4885107</v>
      </c>
    </row>
    <row r="10452" spans="1:2" x14ac:dyDescent="0.25">
      <c r="A10452">
        <f ca="1">26904.5634574056*((RANDBETWEEN(2979,3282)))</f>
        <v>86444362.388644114</v>
      </c>
      <c r="B10452">
        <v>156772817.34962282</v>
      </c>
    </row>
    <row r="10453" spans="1:2" x14ac:dyDescent="0.25">
      <c r="A10453">
        <f ca="1">25695.7125458552*((RANDBETWEEN(2979,3282)))</f>
        <v>78860141.803229541</v>
      </c>
      <c r="B10453">
        <v>180489494.14138606</v>
      </c>
    </row>
    <row r="10454" spans="1:2" x14ac:dyDescent="0.25">
      <c r="A10454">
        <f ca="1">27084.4480582902*((RANDBETWEEN(2979,3282)))</f>
        <v>85478518.071963772</v>
      </c>
      <c r="B10454">
        <v>157063813.09400389</v>
      </c>
    </row>
    <row r="10455" spans="1:2" x14ac:dyDescent="0.25">
      <c r="A10455">
        <f ca="1">26438.9897150888*((RANDBETWEEN(2979,3282)))</f>
        <v>80189455.805864185</v>
      </c>
      <c r="B10455">
        <v>146599081.65434936</v>
      </c>
    </row>
    <row r="10456" spans="1:2" x14ac:dyDescent="0.25">
      <c r="A10456">
        <f ca="1">27322.316153713*((RANDBETWEEN(2979,3282)))</f>
        <v>84644535.44420296</v>
      </c>
      <c r="B10456">
        <v>200152338.92699885</v>
      </c>
    </row>
    <row r="10457" spans="1:2" x14ac:dyDescent="0.25">
      <c r="A10457">
        <f ca="1">28174.6415920825*((RANDBETWEEN(2979,3282)))</f>
        <v>84101305.152366176</v>
      </c>
      <c r="B10457">
        <v>196267257.84999818</v>
      </c>
    </row>
    <row r="10458" spans="1:2" x14ac:dyDescent="0.25">
      <c r="A10458">
        <f ca="1">30237.2506449024*((RANDBETWEEN(2979,3282)))</f>
        <v>98452488.099802092</v>
      </c>
      <c r="B10458">
        <v>150679060.00218356</v>
      </c>
    </row>
    <row r="10459" spans="1:2" x14ac:dyDescent="0.25">
      <c r="A10459">
        <f ca="1">27152.525750588*((RANDBETWEEN(2979,3282)))</f>
        <v>88435776.369665101</v>
      </c>
      <c r="B10459">
        <v>145595286.14098608</v>
      </c>
    </row>
    <row r="10460" spans="1:2" x14ac:dyDescent="0.25">
      <c r="A10460">
        <f ca="1">29218.7079871897*((RANDBETWEEN(2979,3282)))</f>
        <v>87831436.209492311</v>
      </c>
      <c r="B10460">
        <v>196557160.86786324</v>
      </c>
    </row>
    <row r="10461" spans="1:2" x14ac:dyDescent="0.25">
      <c r="A10461">
        <f ca="1">25907.3253266718*((RANDBETWEEN(2979,3282)))</f>
        <v>84250621.96233654</v>
      </c>
      <c r="B10461">
        <v>151466314.32184619</v>
      </c>
    </row>
    <row r="10462" spans="1:2" x14ac:dyDescent="0.25">
      <c r="A10462">
        <f ca="1">28031.6164441623*((RANDBETWEEN(2979,3282)))</f>
        <v>91439132.840857461</v>
      </c>
      <c r="B10462">
        <v>195560204.21482971</v>
      </c>
    </row>
    <row r="10463" spans="1:2" x14ac:dyDescent="0.25">
      <c r="A10463">
        <f ca="1">29507.9643239844*((RANDBETWEEN(2979,3282)))</f>
        <v>94041882.300538212</v>
      </c>
      <c r="B10463">
        <v>152839903.03211451</v>
      </c>
    </row>
    <row r="10464" spans="1:2" x14ac:dyDescent="0.25">
      <c r="A10464">
        <f ca="1">26274.1731328108*((RANDBETWEEN(2979,3282)))</f>
        <v>82973838.753416583</v>
      </c>
      <c r="B10464">
        <v>156337013.07602134</v>
      </c>
    </row>
    <row r="10465" spans="1:2" x14ac:dyDescent="0.25">
      <c r="A10465">
        <f ca="1">28428.04928281*((RANDBETWEEN(2979,3282)))</f>
        <v>90116916.226507723</v>
      </c>
      <c r="B10465">
        <v>163937877.57435906</v>
      </c>
    </row>
    <row r="10466" spans="1:2" x14ac:dyDescent="0.25">
      <c r="A10466">
        <f ca="1">31800.8305014831*((RANDBETWEEN(2979,3282)))</f>
        <v>95179885.690939039</v>
      </c>
      <c r="B10466">
        <v>193647403.21752515</v>
      </c>
    </row>
    <row r="10467" spans="1:2" x14ac:dyDescent="0.25">
      <c r="A10467">
        <f ca="1">30169.798821153*((RANDBETWEEN(2979,3282)))</f>
        <v>95577922.66541259</v>
      </c>
      <c r="B10467">
        <v>152521637.3569319</v>
      </c>
    </row>
    <row r="10468" spans="1:2" x14ac:dyDescent="0.25">
      <c r="A10468">
        <f ca="1">26832.2560245176*((RANDBETWEEN(2979,3282)))</f>
        <v>83126329.16395539</v>
      </c>
      <c r="B10468">
        <v>195830183.67080638</v>
      </c>
    </row>
    <row r="10469" spans="1:2" x14ac:dyDescent="0.25">
      <c r="A10469">
        <f ca="1">29803.0438079922*((RANDBETWEEN(2979,3282)))</f>
        <v>95369740.185575083</v>
      </c>
      <c r="B10469">
        <v>162867322.52688915</v>
      </c>
    </row>
    <row r="10470" spans="1:2" x14ac:dyDescent="0.25">
      <c r="A10470">
        <f ca="1">24955.6342272258*((RANDBETWEEN(2979,3282)))</f>
        <v>78934671.060715318</v>
      </c>
      <c r="B10470">
        <v>145587013.91892576</v>
      </c>
    </row>
    <row r="10471" spans="1:2" x14ac:dyDescent="0.25">
      <c r="A10471">
        <f ca="1">28067.5820019526*((RANDBETWEEN(2979,3282)))</f>
        <v>83894002.603836328</v>
      </c>
      <c r="B10471">
        <v>177627021.29833013</v>
      </c>
    </row>
    <row r="10472" spans="1:2" x14ac:dyDescent="0.25">
      <c r="A10472">
        <f ca="1">27101.3042113504*((RANDBETWEEN(2979,3282)))</f>
        <v>81114203.504571676</v>
      </c>
      <c r="B10472">
        <v>148874346.172833</v>
      </c>
    </row>
    <row r="10473" spans="1:2" x14ac:dyDescent="0.25">
      <c r="A10473">
        <f ca="1">28406.3174238693*((RANDBETWEEN(2979,3282)))</f>
        <v>89025398.806406274</v>
      </c>
      <c r="B10473">
        <v>181288491.79799193</v>
      </c>
    </row>
    <row r="10474" spans="1:2" x14ac:dyDescent="0.25">
      <c r="A10474">
        <f ca="1">26987.233535004*((RANDBETWEEN(2979,3282)))</f>
        <v>85414594.138287798</v>
      </c>
      <c r="B10474">
        <v>170840184.44716126</v>
      </c>
    </row>
    <row r="10475" spans="1:2" x14ac:dyDescent="0.25">
      <c r="A10475">
        <f ca="1">27305.3299725919*((RANDBETWEEN(2979,3282)))</f>
        <v>88933459.72073181</v>
      </c>
      <c r="B10475">
        <v>184165909.91823339</v>
      </c>
    </row>
    <row r="10476" spans="1:2" x14ac:dyDescent="0.25">
      <c r="A10476">
        <f ca="1">27353.0717748778*((RANDBETWEEN(2979,3282)))</f>
        <v>85669820.798917368</v>
      </c>
      <c r="B10476">
        <v>143397651.32592773</v>
      </c>
    </row>
    <row r="10477" spans="1:2" x14ac:dyDescent="0.25">
      <c r="A10477">
        <f ca="1">27253.2480073951*((RANDBETWEEN(2979,3282)))</f>
        <v>82141289.494288921</v>
      </c>
      <c r="B10477">
        <v>144424043.90329236</v>
      </c>
    </row>
    <row r="10478" spans="1:2" x14ac:dyDescent="0.25">
      <c r="A10478">
        <f ca="1">27680.5875537459*((RANDBETWEEN(2979,3282)))</f>
        <v>90792327.176286668</v>
      </c>
      <c r="B10478">
        <v>149205430.5693087</v>
      </c>
    </row>
    <row r="10479" spans="1:2" x14ac:dyDescent="0.25">
      <c r="A10479">
        <f ca="1">27149.4367891673*((RANDBETWEEN(2979,3282)))</f>
        <v>83185874.32200864</v>
      </c>
      <c r="B10479">
        <v>145365817.50016657</v>
      </c>
    </row>
    <row r="10480" spans="1:2" x14ac:dyDescent="0.25">
      <c r="A10480">
        <f ca="1">26227.3886450516*((RANDBETWEEN(2979,3282)))</f>
        <v>79941080.590117335</v>
      </c>
      <c r="B10480">
        <v>152520324.26431131</v>
      </c>
    </row>
    <row r="10481" spans="1:2" x14ac:dyDescent="0.25">
      <c r="A10481">
        <f ca="1">28910.9891227483*((RANDBETWEEN(2979,3282)))</f>
        <v>88525448.693855375</v>
      </c>
      <c r="B10481">
        <v>200012322.14983827</v>
      </c>
    </row>
    <row r="10482" spans="1:2" x14ac:dyDescent="0.25">
      <c r="A10482">
        <f ca="1">29443.0890362018*((RANDBETWEEN(2979,3282)))</f>
        <v>93099047.532470047</v>
      </c>
      <c r="B10482">
        <v>147632453.37687004</v>
      </c>
    </row>
    <row r="10483" spans="1:2" x14ac:dyDescent="0.25">
      <c r="A10483">
        <f ca="1">26896.1446501052*((RANDBETWEEN(2979,3282)))</f>
        <v>83404944.55997622</v>
      </c>
      <c r="B10483">
        <v>151715247.63490728</v>
      </c>
    </row>
    <row r="10484" spans="1:2" x14ac:dyDescent="0.25">
      <c r="A10484">
        <f ca="1">29149.8105247529*((RANDBETWEEN(2979,3282)))</f>
        <v>92754697.089763567</v>
      </c>
      <c r="B10484">
        <v>167169246.11343837</v>
      </c>
    </row>
    <row r="10485" spans="1:2" x14ac:dyDescent="0.25">
      <c r="A10485">
        <f ca="1">30108.6793953424*((RANDBETWEEN(2979,3282)))</f>
        <v>91590602.720631465</v>
      </c>
      <c r="B10485">
        <v>166114635.02882025</v>
      </c>
    </row>
    <row r="10486" spans="1:2" x14ac:dyDescent="0.25">
      <c r="A10486">
        <f ca="1">29776.9010012774*((RANDBETWEEN(2979,3282)))</f>
        <v>94779875.887065962</v>
      </c>
      <c r="B10486">
        <v>176171465.64920044</v>
      </c>
    </row>
    <row r="10487" spans="1:2" x14ac:dyDescent="0.25">
      <c r="A10487">
        <f ca="1">28122.0974274655*((RANDBETWEEN(2979,3282)))</f>
        <v>88697095.286226317</v>
      </c>
      <c r="B10487">
        <v>156558267.52294526</v>
      </c>
    </row>
    <row r="10488" spans="1:2" x14ac:dyDescent="0.25">
      <c r="A10488">
        <f ca="1">26182.1273800099*((RANDBETWEEN(2979,3282)))</f>
        <v>85720285.042152345</v>
      </c>
      <c r="B10488">
        <v>145040254.51662332</v>
      </c>
    </row>
    <row r="10489" spans="1:2" x14ac:dyDescent="0.25">
      <c r="A10489">
        <f ca="1">30893.4079315781*((RANDBETWEEN(2979,3282)))</f>
        <v>96758153.641702577</v>
      </c>
      <c r="B10489">
        <v>193172155.11527032</v>
      </c>
    </row>
    <row r="10490" spans="1:2" x14ac:dyDescent="0.25">
      <c r="A10490">
        <f ca="1">25787.8728338677*((RANDBETWEEN(2979,3282)))</f>
        <v>81850708.374696091</v>
      </c>
      <c r="B10490">
        <v>171498134.37719172</v>
      </c>
    </row>
    <row r="10491" spans="1:2" x14ac:dyDescent="0.25">
      <c r="A10491">
        <f ca="1">27674.2678423027*((RANDBETWEEN(2979,3282)))</f>
        <v>89166490.987899154</v>
      </c>
      <c r="B10491">
        <v>155530962.24008253</v>
      </c>
    </row>
    <row r="10492" spans="1:2" x14ac:dyDescent="0.25">
      <c r="A10492">
        <f ca="1">28371.0549879806*((RANDBETWEEN(2979,3282)))</f>
        <v>85708957.118689537</v>
      </c>
      <c r="B10492">
        <v>156880275.88174754</v>
      </c>
    </row>
    <row r="10493" spans="1:2" x14ac:dyDescent="0.25">
      <c r="A10493">
        <f ca="1">25861.7256403158*((RANDBETWEEN(2979,3282)))</f>
        <v>84671289.746393889</v>
      </c>
      <c r="B10493">
        <v>143111114.02175623</v>
      </c>
    </row>
    <row r="10494" spans="1:2" x14ac:dyDescent="0.25">
      <c r="A10494">
        <f ca="1">27267.6151279808*((RANDBETWEEN(2979,3282)))</f>
        <v>86765551.337234929</v>
      </c>
      <c r="B10494">
        <v>143503078.35501948</v>
      </c>
    </row>
    <row r="10495" spans="1:2" x14ac:dyDescent="0.25">
      <c r="A10495">
        <f ca="1">26658.4958913696*((RANDBETWEEN(2979,3282)))</f>
        <v>86960013.597647622</v>
      </c>
      <c r="B10495">
        <v>145844739.3085885</v>
      </c>
    </row>
    <row r="10496" spans="1:2" x14ac:dyDescent="0.25">
      <c r="A10496">
        <f ca="1">29497.7113860317*((RANDBETWEEN(2979,3282)))</f>
        <v>90410485.398187131</v>
      </c>
      <c r="B10496">
        <v>149113997.52519459</v>
      </c>
    </row>
    <row r="10497" spans="1:2" x14ac:dyDescent="0.25">
      <c r="A10497">
        <f ca="1">25925.7301021158*((RANDBETWEEN(2979,3282)))</f>
        <v>78917922.430840552</v>
      </c>
      <c r="B10497">
        <v>146555411.53061837</v>
      </c>
    </row>
    <row r="10498" spans="1:2" x14ac:dyDescent="0.25">
      <c r="A10498">
        <f ca="1">30066.6120798168*((RANDBETWEEN(2979,3282)))</f>
        <v>90831235.093126684</v>
      </c>
      <c r="B10498">
        <v>169193070.2135874</v>
      </c>
    </row>
    <row r="10499" spans="1:2" x14ac:dyDescent="0.25">
      <c r="A10499">
        <f ca="1">29627.936079918*((RANDBETWEEN(2979,3282)))</f>
        <v>90335577.107670039</v>
      </c>
      <c r="B10499">
        <v>159934625.44636849</v>
      </c>
    </row>
    <row r="10500" spans="1:2" x14ac:dyDescent="0.25">
      <c r="A10500">
        <f ca="1">27562.8694214844*((RANDBETWEEN(2979,3282)))</f>
        <v>85720523.90081659</v>
      </c>
      <c r="B10500">
        <v>153022585.54969433</v>
      </c>
    </row>
    <row r="10501" spans="1:2" x14ac:dyDescent="0.25">
      <c r="A10501">
        <f ca="1">27035.0475912422*((RANDBETWEEN(2979,3282)))</f>
        <v>88458675.718544334</v>
      </c>
      <c r="B10501">
        <v>161642591.36893392</v>
      </c>
    </row>
    <row r="10502" spans="1:2" x14ac:dyDescent="0.25">
      <c r="A10502">
        <f ca="1">27833.7975093014*((RANDBETWEEN(2979,3282)))</f>
        <v>86451775.063890234</v>
      </c>
      <c r="B10502">
        <v>161546548.60884839</v>
      </c>
    </row>
    <row r="10503" spans="1:2" x14ac:dyDescent="0.25">
      <c r="A10503">
        <f ca="1">26999.7854057418*((RANDBETWEEN(2979,3282)))</f>
        <v>84590327.676189065</v>
      </c>
      <c r="B10503">
        <v>200494767.40489435</v>
      </c>
    </row>
    <row r="10504" spans="1:2" x14ac:dyDescent="0.25">
      <c r="A10504">
        <f ca="1">25801.8100175752*((RANDBETWEEN(2979,3282)))</f>
        <v>78772925.983657017</v>
      </c>
      <c r="B10504">
        <v>191939408.9138813</v>
      </c>
    </row>
    <row r="10505" spans="1:2" x14ac:dyDescent="0.25">
      <c r="A10505">
        <f ca="1">29879.9033264825*((RANDBETWEEN(2979,3282)))</f>
        <v>91312984.565730542</v>
      </c>
      <c r="B10505">
        <v>151991558.79806477</v>
      </c>
    </row>
    <row r="10506" spans="1:2" x14ac:dyDescent="0.25">
      <c r="A10506">
        <f ca="1">29318.3762601544*((RANDBETWEEN(2979,3282)))</f>
        <v>87573989.889081135</v>
      </c>
      <c r="B10506">
        <v>153677912.27810717</v>
      </c>
    </row>
    <row r="10507" spans="1:2" x14ac:dyDescent="0.25">
      <c r="A10507">
        <f ca="1">26766.2270150835*((RANDBETWEEN(2979,3282)))</f>
        <v>82092018.255261093</v>
      </c>
      <c r="B10507">
        <v>160050395.65321827</v>
      </c>
    </row>
    <row r="10508" spans="1:2" x14ac:dyDescent="0.25">
      <c r="A10508">
        <f ca="1">30731.9568644275*((RANDBETWEEN(2979,3282)))</f>
        <v>97205179.562184229</v>
      </c>
      <c r="B10508">
        <v>194287240.61832911</v>
      </c>
    </row>
    <row r="10509" spans="1:2" x14ac:dyDescent="0.25">
      <c r="A10509">
        <f ca="1">30040.9345704296*((RANDBETWEEN(2979,3282)))</f>
        <v>95289844.457402661</v>
      </c>
      <c r="B10509">
        <v>160578772.49761569</v>
      </c>
    </row>
    <row r="10510" spans="1:2" x14ac:dyDescent="0.25">
      <c r="A10510">
        <f ca="1">28929.8865930528*((RANDBETWEEN(2979,3282)))</f>
        <v>91302722.087674648</v>
      </c>
      <c r="B10510">
        <v>187960307.46612883</v>
      </c>
    </row>
    <row r="10511" spans="1:2" x14ac:dyDescent="0.25">
      <c r="A10511">
        <f ca="1">27565.0245928263*((RANDBETWEEN(2979,3282)))</f>
        <v>82805333.876850203</v>
      </c>
      <c r="B10511">
        <v>145591982.36929154</v>
      </c>
    </row>
    <row r="10512" spans="1:2" x14ac:dyDescent="0.25">
      <c r="A10512">
        <f ca="1">27898.5023198858*((RANDBETWEEN(2979,3282)))</f>
        <v>87908180.809960097</v>
      </c>
      <c r="B10512">
        <v>176682569.48580053</v>
      </c>
    </row>
    <row r="10513" spans="1:2" x14ac:dyDescent="0.25">
      <c r="A10513">
        <f ca="1">26867.7060756482*((RANDBETWEEN(2979,3282)))</f>
        <v>80173234.929734126</v>
      </c>
      <c r="B10513">
        <v>168118511.77019355</v>
      </c>
    </row>
    <row r="10514" spans="1:2" x14ac:dyDescent="0.25">
      <c r="A10514">
        <f ca="1">26853.5089438205*((RANDBETWEEN(2979,3282)))</f>
        <v>82386565.439641237</v>
      </c>
      <c r="B10514">
        <v>163726470.89550355</v>
      </c>
    </row>
    <row r="10515" spans="1:2" x14ac:dyDescent="0.25">
      <c r="A10515">
        <f ca="1">27040.2190823486*((RANDBETWEEN(2979,3282)))</f>
        <v>86312379.310856655</v>
      </c>
      <c r="B10515">
        <v>149648886.22350007</v>
      </c>
    </row>
    <row r="10516" spans="1:2" x14ac:dyDescent="0.25">
      <c r="A10516">
        <f ca="1">27492.3255289495*((RANDBETWEEN(2979,3282)))</f>
        <v>84593885.652577549</v>
      </c>
      <c r="B10516">
        <v>186881378.68701118</v>
      </c>
    </row>
    <row r="10517" spans="1:2" x14ac:dyDescent="0.25">
      <c r="A10517">
        <f ca="1">28621.1279429338*((RANDBETWEEN(2979,3282)))</f>
        <v>90557248.811442688</v>
      </c>
      <c r="B10517">
        <v>178599056.51259384</v>
      </c>
    </row>
    <row r="10518" spans="1:2" x14ac:dyDescent="0.25">
      <c r="A10518">
        <f ca="1">26125.7536072082*((RANDBETWEEN(2979,3282)))</f>
        <v>82008740.573026627</v>
      </c>
      <c r="B10518">
        <v>160306406.94573784</v>
      </c>
    </row>
    <row r="10519" spans="1:2" x14ac:dyDescent="0.25">
      <c r="A10519">
        <f ca="1">30417.3965667082*((RANDBETWEEN(2979,3282)))</f>
        <v>93350990.063227385</v>
      </c>
      <c r="B10519">
        <v>157909266.6489149</v>
      </c>
    </row>
    <row r="10520" spans="1:2" x14ac:dyDescent="0.25">
      <c r="A10520">
        <f ca="1">29240.7258061398*((RANDBETWEEN(2979,3282)))</f>
        <v>92312971.36998336</v>
      </c>
      <c r="B10520">
        <v>150767713.76962429</v>
      </c>
    </row>
    <row r="10521" spans="1:2" x14ac:dyDescent="0.25">
      <c r="A10521">
        <f ca="1">27447.3863888968*((RANDBETWEEN(2979,3282)))</f>
        <v>85498608.601413667</v>
      </c>
      <c r="B10521">
        <v>166274856.89813194</v>
      </c>
    </row>
    <row r="10522" spans="1:2" x14ac:dyDescent="0.25">
      <c r="A10522">
        <f ca="1">27943.1041802322*((RANDBETWEEN(2979,3282)))</f>
        <v>85338240.166429132</v>
      </c>
      <c r="B10522">
        <v>143423453.76435399</v>
      </c>
    </row>
    <row r="10523" spans="1:2" x14ac:dyDescent="0.25">
      <c r="A10523">
        <f ca="1">28712.1117859858*((RANDBETWEEN(2979,3282)))</f>
        <v>91620348.709080592</v>
      </c>
      <c r="B10523">
        <v>169356927.79367447</v>
      </c>
    </row>
    <row r="10524" spans="1:2" x14ac:dyDescent="0.25">
      <c r="A10524">
        <f ca="1">27192.7959041362*((RANDBETWEEN(2979,3282)))</f>
        <v>88730093.035196394</v>
      </c>
      <c r="B10524">
        <v>166446681.36693448</v>
      </c>
    </row>
    <row r="10525" spans="1:2" x14ac:dyDescent="0.25">
      <c r="A10525">
        <f ca="1">26477.9032756924*((RANDBETWEEN(2979,3282)))</f>
        <v>85179414.837902591</v>
      </c>
      <c r="B10525">
        <v>148470847.7922805</v>
      </c>
    </row>
    <row r="10526" spans="1:2" x14ac:dyDescent="0.25">
      <c r="A10526">
        <f ca="1">27863.9029199797*((RANDBETWEEN(2979,3282)))</f>
        <v>83368797.536579281</v>
      </c>
      <c r="B10526">
        <v>161094073.35657996</v>
      </c>
    </row>
    <row r="10527" spans="1:2" x14ac:dyDescent="0.25">
      <c r="A10527">
        <f ca="1">26216.290930198*((RANDBETWEEN(2979,3282)))</f>
        <v>85124296.65035288</v>
      </c>
      <c r="B10527">
        <v>146093235.50650704</v>
      </c>
    </row>
    <row r="10528" spans="1:2" x14ac:dyDescent="0.25">
      <c r="A10528">
        <f ca="1">26969.3329168533*((RANDBETWEEN(2979,3282)))</f>
        <v>87839117.310191065</v>
      </c>
      <c r="B10528">
        <v>149190728.2991904</v>
      </c>
    </row>
    <row r="10529" spans="1:2" x14ac:dyDescent="0.25">
      <c r="A10529">
        <f ca="1">32641.2200621929*((RANDBETWEEN(2979,3282)))</f>
        <v>100110621.93074575</v>
      </c>
      <c r="B10529">
        <v>192198886.30966753</v>
      </c>
    </row>
    <row r="10530" spans="1:2" x14ac:dyDescent="0.25">
      <c r="A10530">
        <f ca="1">26703.7593127669*((RANDBETWEEN(2979,3282)))</f>
        <v>84864547.095973298</v>
      </c>
      <c r="B10530">
        <v>161495293.13744098</v>
      </c>
    </row>
    <row r="10531" spans="1:2" x14ac:dyDescent="0.25">
      <c r="A10531">
        <f ca="1">29017.8883464696*((RANDBETWEEN(2979,3282)))</f>
        <v>93814833.024136215</v>
      </c>
      <c r="B10531">
        <v>166713310.27888018</v>
      </c>
    </row>
    <row r="10532" spans="1:2" x14ac:dyDescent="0.25">
      <c r="A10532">
        <f ca="1">29464.4860998069*((RANDBETWEEN(2979,3282)))</f>
        <v>93785459.255685523</v>
      </c>
      <c r="B10532">
        <v>159172751.52163118</v>
      </c>
    </row>
    <row r="10533" spans="1:2" x14ac:dyDescent="0.25">
      <c r="A10533">
        <f ca="1">26450.1907104332*((RANDBETWEEN(2979,3282)))</f>
        <v>81334336.434582114</v>
      </c>
      <c r="B10533">
        <v>165491553.54555237</v>
      </c>
    </row>
    <row r="10534" spans="1:2" x14ac:dyDescent="0.25">
      <c r="A10534">
        <f ca="1">26882.7217249586*((RANDBETWEEN(2979,3282)))</f>
        <v>88121561.814414367</v>
      </c>
      <c r="B10534">
        <v>150163157.58479249</v>
      </c>
    </row>
    <row r="10535" spans="1:2" x14ac:dyDescent="0.25">
      <c r="A10535">
        <f ca="1">31438.9557244608*((RANDBETWEEN(2979,3282)))</f>
        <v>94316867.173382342</v>
      </c>
      <c r="B10535">
        <v>182299900.33014297</v>
      </c>
    </row>
    <row r="10536" spans="1:2" x14ac:dyDescent="0.25">
      <c r="A10536">
        <f ca="1">29510.6096990362*((RANDBETWEEN(2979,3282)))</f>
        <v>96499693.715848267</v>
      </c>
      <c r="B10536">
        <v>183714681.2613349</v>
      </c>
    </row>
    <row r="10537" spans="1:2" x14ac:dyDescent="0.25">
      <c r="A10537">
        <f ca="1">25664.9717705715*((RANDBETWEEN(2979,3282)))</f>
        <v>77893189.32368435</v>
      </c>
      <c r="B10537">
        <v>184847661.92630541</v>
      </c>
    </row>
    <row r="10538" spans="1:2" x14ac:dyDescent="0.25">
      <c r="A10538">
        <f ca="1">28419.9877472758*((RANDBETWEEN(2979,3282)))</f>
        <v>86567282.678202048</v>
      </c>
      <c r="B10538">
        <v>173582283.88043463</v>
      </c>
    </row>
    <row r="10539" spans="1:2" x14ac:dyDescent="0.25">
      <c r="A10539">
        <f ca="1">27508.0616240066*((RANDBETWEEN(2979,3282)))</f>
        <v>88988579.353661358</v>
      </c>
      <c r="B10539">
        <v>171543675.93354842</v>
      </c>
    </row>
    <row r="10540" spans="1:2" x14ac:dyDescent="0.25">
      <c r="A10540">
        <f ca="1">28937.3096012995*((RANDBETWEEN(2979,3282)))</f>
        <v>92830889.200968653</v>
      </c>
      <c r="B10540">
        <v>184119537.69397327</v>
      </c>
    </row>
    <row r="10541" spans="1:2" x14ac:dyDescent="0.25">
      <c r="A10541">
        <f ca="1">29790.6621919152*((RANDBETWEEN(2979,3282)))</f>
        <v>95330119.014128596</v>
      </c>
      <c r="B10541">
        <v>149770811.03827071</v>
      </c>
    </row>
    <row r="10542" spans="1:2" x14ac:dyDescent="0.25">
      <c r="A10542">
        <f ca="1">27397.3820200116*((RANDBETWEEN(2979,3282)))</f>
        <v>87041482.677576944</v>
      </c>
      <c r="B10542">
        <v>155875337.96340105</v>
      </c>
    </row>
    <row r="10543" spans="1:2" x14ac:dyDescent="0.25">
      <c r="A10543">
        <f ca="1">27010.6536875621*((RANDBETWEEN(2979,3282)))</f>
        <v>87271422.064513117</v>
      </c>
      <c r="B10543">
        <v>182156933.32863227</v>
      </c>
    </row>
    <row r="10544" spans="1:2" x14ac:dyDescent="0.25">
      <c r="A10544">
        <f ca="1">27493.0622321419*((RANDBETWEEN(2979,3282)))</f>
        <v>84871083.110622138</v>
      </c>
      <c r="B10544">
        <v>154087242.61274526</v>
      </c>
    </row>
    <row r="10545" spans="1:2" x14ac:dyDescent="0.25">
      <c r="A10545">
        <f ca="1">31694.9660174555*((RANDBETWEEN(2979,3282)))</f>
        <v>103167114.38681774</v>
      </c>
      <c r="B10545">
        <v>202637234.04015216</v>
      </c>
    </row>
    <row r="10546" spans="1:2" x14ac:dyDescent="0.25">
      <c r="A10546">
        <f ca="1">33221.4795729447*((RANDBETWEEN(2979,3282)))</f>
        <v>104016452.54288971</v>
      </c>
      <c r="B10546">
        <v>166166596.03566521</v>
      </c>
    </row>
    <row r="10547" spans="1:2" x14ac:dyDescent="0.25">
      <c r="A10547">
        <f ca="1">27690.3263379357*((RANDBETWEEN(2979,3282)))</f>
        <v>90242773.535332307</v>
      </c>
      <c r="B10547">
        <v>161917326.83711389</v>
      </c>
    </row>
    <row r="10548" spans="1:2" x14ac:dyDescent="0.25">
      <c r="A10548">
        <f ca="1">25961.9181274145*((RANDBETWEEN(2979,3282)))</f>
        <v>81338689.493189529</v>
      </c>
      <c r="B10548">
        <v>156805411.19807407</v>
      </c>
    </row>
    <row r="10549" spans="1:2" x14ac:dyDescent="0.25">
      <c r="A10549">
        <f ca="1">30030.6814510109*((RANDBETWEEN(2979,3282)))</f>
        <v>95587659.058567792</v>
      </c>
      <c r="B10549">
        <v>162379726.52856207</v>
      </c>
    </row>
    <row r="10550" spans="1:2" x14ac:dyDescent="0.25">
      <c r="A10550">
        <f ca="1">27317.3449262505*((RANDBETWEEN(2979,3282)))</f>
        <v>87879898.627747983</v>
      </c>
      <c r="B10550">
        <v>170118710.76213726</v>
      </c>
    </row>
    <row r="10551" spans="1:2" x14ac:dyDescent="0.25">
      <c r="A10551">
        <f ca="1">26357.0607908942*((RANDBETWEEN(2979,3282)))</f>
        <v>85739518.752778873</v>
      </c>
      <c r="B10551">
        <v>179040235.64193469</v>
      </c>
    </row>
    <row r="10552" spans="1:2" x14ac:dyDescent="0.25">
      <c r="A10552">
        <f ca="1">29755.1694061866*((RANDBETWEEN(2979,3282)))</f>
        <v>96049686.84317033</v>
      </c>
      <c r="B10552">
        <v>174256020.90500182</v>
      </c>
    </row>
    <row r="10553" spans="1:2" x14ac:dyDescent="0.25">
      <c r="A10553">
        <f ca="1">26181.0780671275*((RANDBETWEEN(2979,3282)))</f>
        <v>80087917.80734314</v>
      </c>
      <c r="B10553">
        <v>157429150.90142199</v>
      </c>
    </row>
    <row r="10554" spans="1:2" x14ac:dyDescent="0.25">
      <c r="A10554">
        <f ca="1">28306.0821271659*((RANDBETWEEN(2979,3282)))</f>
        <v>87097814.705289453</v>
      </c>
      <c r="B10554">
        <v>184867769.41399848</v>
      </c>
    </row>
    <row r="10555" spans="1:2" x14ac:dyDescent="0.25">
      <c r="A10555">
        <f ca="1">27999.1159279014*((RANDBETWEEN(2979,3282)))</f>
        <v>86013284.130513012</v>
      </c>
      <c r="B10555">
        <v>146455822.31053662</v>
      </c>
    </row>
    <row r="10556" spans="1:2" x14ac:dyDescent="0.25">
      <c r="A10556">
        <f ca="1">30255.6117538402*((RANDBETWEEN(2979,3282)))</f>
        <v>97060002.506319344</v>
      </c>
      <c r="B10556">
        <v>155316922.96265885</v>
      </c>
    </row>
    <row r="10557" spans="1:2" x14ac:dyDescent="0.25">
      <c r="A10557">
        <f ca="1">26545.8249632678*((RANDBETWEEN(2979,3282)))</f>
        <v>82451332.335909843</v>
      </c>
      <c r="B10557">
        <v>164226129.07664478</v>
      </c>
    </row>
    <row r="10558" spans="1:2" x14ac:dyDescent="0.25">
      <c r="A10558">
        <f ca="1">26067.7689154943*((RANDBETWEEN(2979,3282)))</f>
        <v>83964283.676807076</v>
      </c>
      <c r="B10558">
        <v>171827336.08374697</v>
      </c>
    </row>
    <row r="10559" spans="1:2" x14ac:dyDescent="0.25">
      <c r="A10559">
        <f ca="1">26437.0032168683*((RANDBETWEEN(2979,3282)))</f>
        <v>82747820.068797693</v>
      </c>
      <c r="B10559">
        <v>154726394.56119496</v>
      </c>
    </row>
    <row r="10560" spans="1:2" x14ac:dyDescent="0.25">
      <c r="A10560">
        <f ca="1">27330.4113573007*((RANDBETWEEN(2979,3282)))</f>
        <v>88741845.677155301</v>
      </c>
      <c r="B10560">
        <v>156069575.74905875</v>
      </c>
    </row>
    <row r="10561" spans="1:2" x14ac:dyDescent="0.25">
      <c r="A10561">
        <f ca="1">29287.3667085332*((RANDBETWEEN(2979,3282)))</f>
        <v>94510332.368436724</v>
      </c>
      <c r="B10561">
        <v>179060308.06612509</v>
      </c>
    </row>
    <row r="10562" spans="1:2" x14ac:dyDescent="0.25">
      <c r="A10562">
        <f ca="1">25202.6325958644*((RANDBETWEEN(2979,3282)))</f>
        <v>76011139.909126922</v>
      </c>
      <c r="B10562">
        <v>144766911.26250046</v>
      </c>
    </row>
    <row r="10563" spans="1:2" x14ac:dyDescent="0.25">
      <c r="A10563">
        <f ca="1">34472.1542646001*((RANDBETWEEN(2979,3282)))</f>
        <v>109104368.24745944</v>
      </c>
      <c r="B10563">
        <v>143944580.99623635</v>
      </c>
    </row>
    <row r="10564" spans="1:2" x14ac:dyDescent="0.25">
      <c r="A10564">
        <f ca="1">25499.2545082255*((RANDBETWEEN(2979,3282)))</f>
        <v>79557674.065663606</v>
      </c>
      <c r="B10564">
        <v>144057221.67294332</v>
      </c>
    </row>
    <row r="10565" spans="1:2" x14ac:dyDescent="0.25">
      <c r="A10565">
        <f ca="1">28756.5942502264*((RANDBETWEEN(2979,3282)))</f>
        <v>87966421.811442524</v>
      </c>
      <c r="B10565">
        <v>187805575.32477868</v>
      </c>
    </row>
    <row r="10566" spans="1:2" x14ac:dyDescent="0.25">
      <c r="A10566">
        <f ca="1">34486.1732146335*((RANDBETWEEN(2979,3282)))</f>
        <v>106941623.13857852</v>
      </c>
      <c r="B10566">
        <v>188057114.4589192</v>
      </c>
    </row>
    <row r="10567" spans="1:2" x14ac:dyDescent="0.25">
      <c r="A10567">
        <f ca="1">30024.6079259188*((RANDBETWEEN(2979,3282)))</f>
        <v>95808523.891607165</v>
      </c>
      <c r="B10567">
        <v>144809708.78938425</v>
      </c>
    </row>
    <row r="10568" spans="1:2" x14ac:dyDescent="0.25">
      <c r="A10568">
        <f ca="1">26736.7989127201*((RANDBETWEEN(2979,3282)))</f>
        <v>86199439.694609582</v>
      </c>
      <c r="B10568">
        <v>159386921.8950949</v>
      </c>
    </row>
    <row r="10569" spans="1:2" x14ac:dyDescent="0.25">
      <c r="A10569">
        <f ca="1">26857.833637641*((RANDBETWEEN(2979,3282)))</f>
        <v>84951327.795858338</v>
      </c>
      <c r="B10569">
        <v>156781684.46280646</v>
      </c>
    </row>
    <row r="10570" spans="1:2" x14ac:dyDescent="0.25">
      <c r="A10570">
        <f ca="1">27953.3207209983*((RANDBETWEEN(2979,3282)))</f>
        <v>89226999.741426468</v>
      </c>
      <c r="B10570">
        <v>167209917.09192878</v>
      </c>
    </row>
    <row r="10571" spans="1:2" x14ac:dyDescent="0.25">
      <c r="A10571">
        <f ca="1">30191.3101480631*((RANDBETWEEN(2979,3282)))</f>
        <v>90211634.722412407</v>
      </c>
      <c r="B10571">
        <v>169763038.65741032</v>
      </c>
    </row>
    <row r="10572" spans="1:2" x14ac:dyDescent="0.25">
      <c r="A10572">
        <f ca="1">30677.2916681864*((RANDBETWEEN(2979,3282)))</f>
        <v>95191636.046382338</v>
      </c>
      <c r="B10572">
        <v>184174966.04564488</v>
      </c>
    </row>
    <row r="10573" spans="1:2" x14ac:dyDescent="0.25">
      <c r="A10573">
        <f ca="1">28340.8395648535*((RANDBETWEEN(2979,3282)))</f>
        <v>86893014.105840877</v>
      </c>
      <c r="B10573">
        <v>161032153.52225482</v>
      </c>
    </row>
    <row r="10574" spans="1:2" x14ac:dyDescent="0.25">
      <c r="A10574">
        <f ca="1">29198.3228471377*((RANDBETWEEN(2979,3282)))</f>
        <v>95828895.584305838</v>
      </c>
      <c r="B10574">
        <v>156556680.94782689</v>
      </c>
    </row>
    <row r="10575" spans="1:2" x14ac:dyDescent="0.25">
      <c r="A10575">
        <f ca="1">29719.7534966933*((RANDBETWEEN(2979,3282)))</f>
        <v>89872534.574000627</v>
      </c>
      <c r="B10575">
        <v>178337930.750981</v>
      </c>
    </row>
    <row r="10576" spans="1:2" x14ac:dyDescent="0.25">
      <c r="A10576">
        <f ca="1">26838.6766237994*((RANDBETWEEN(2979,3282)))</f>
        <v>86742602.848119557</v>
      </c>
      <c r="B10576">
        <v>178745321.85655674</v>
      </c>
    </row>
    <row r="10577" spans="1:2" x14ac:dyDescent="0.25">
      <c r="A10577">
        <f ca="1">27680.2375952097*((RANDBETWEEN(2979,3282)))</f>
        <v>88715161.492647141</v>
      </c>
      <c r="B10577">
        <v>159974249.05206752</v>
      </c>
    </row>
    <row r="10578" spans="1:2" x14ac:dyDescent="0.25">
      <c r="A10578">
        <f ca="1">27565.5580540832*((RANDBETWEEN(2979,3282)))</f>
        <v>88954055.84052664</v>
      </c>
      <c r="B10578">
        <v>161576156.49440974</v>
      </c>
    </row>
    <row r="10579" spans="1:2" x14ac:dyDescent="0.25">
      <c r="A10579">
        <f ca="1">27200.6116265301*((RANDBETWEEN(2979,3282)))</f>
        <v>81982643.442361712</v>
      </c>
      <c r="B10579">
        <v>181493816.79340631</v>
      </c>
    </row>
    <row r="10580" spans="1:2" x14ac:dyDescent="0.25">
      <c r="A10580">
        <f ca="1">25996.9762654951*((RANDBETWEEN(2979,3282)))</f>
        <v>79316774.586025625</v>
      </c>
      <c r="B10580">
        <v>159858617.51199263</v>
      </c>
    </row>
    <row r="10581" spans="1:2" x14ac:dyDescent="0.25">
      <c r="A10581">
        <f ca="1">29162.3597982025*((RANDBETWEEN(2979,3282)))</f>
        <v>90665776.612611532</v>
      </c>
      <c r="B10581">
        <v>196578169.87280858</v>
      </c>
    </row>
    <row r="10582" spans="1:2" x14ac:dyDescent="0.25">
      <c r="A10582">
        <f ca="1">28531.0006533583*((RANDBETWEEN(2979,3282)))</f>
        <v>90956830.082906157</v>
      </c>
      <c r="B10582">
        <v>180741275.17162937</v>
      </c>
    </row>
    <row r="10583" spans="1:2" x14ac:dyDescent="0.25">
      <c r="A10583">
        <f ca="1">27608.5066698009*((RANDBETWEEN(2979,3282)))</f>
        <v>87215272.569900975</v>
      </c>
      <c r="B10583">
        <v>149915802.2056815</v>
      </c>
    </row>
    <row r="10584" spans="1:2" x14ac:dyDescent="0.25">
      <c r="A10584">
        <f ca="1">27706.6983690212*((RANDBETWEEN(2979,3282)))</f>
        <v>90517783.571592271</v>
      </c>
      <c r="B10584">
        <v>168576099.64326608</v>
      </c>
    </row>
    <row r="10585" spans="1:2" x14ac:dyDescent="0.25">
      <c r="A10585">
        <f ca="1">30821.2598375145*((RANDBETWEEN(2979,3282)))</f>
        <v>98104070.062808499</v>
      </c>
      <c r="B10585">
        <v>160115674.2049728</v>
      </c>
    </row>
    <row r="10586" spans="1:2" x14ac:dyDescent="0.25">
      <c r="A10586">
        <f ca="1">32564.3039850019*((RANDBETWEEN(2979,3282)))</f>
        <v>102023964.38501102</v>
      </c>
      <c r="B10586">
        <v>164289903.97960952</v>
      </c>
    </row>
    <row r="10587" spans="1:2" x14ac:dyDescent="0.25">
      <c r="A10587">
        <f ca="1">26049.823878339*((RANDBETWEEN(2979,3282)))</f>
        <v>77628475.157450244</v>
      </c>
      <c r="B10587">
        <v>143786241.04322574</v>
      </c>
    </row>
    <row r="10588" spans="1:2" x14ac:dyDescent="0.25">
      <c r="A10588">
        <f ca="1">27788.1659652679*((RANDBETWEEN(2979,3282)))</f>
        <v>89005495.586753175</v>
      </c>
      <c r="B10588">
        <v>185614375.8793605</v>
      </c>
    </row>
    <row r="10589" spans="1:2" x14ac:dyDescent="0.25">
      <c r="A10589">
        <f ca="1">26820.4654081069*((RANDBETWEEN(2979,3282)))</f>
        <v>81024625.9978908</v>
      </c>
      <c r="B10589">
        <v>147559193.08862716</v>
      </c>
    </row>
    <row r="10590" spans="1:2" x14ac:dyDescent="0.25">
      <c r="A10590">
        <f ca="1">29049.4445065955*((RANDBETWEEN(2979,3282)))</f>
        <v>95107881.314593777</v>
      </c>
      <c r="B10590">
        <v>147360323.01676217</v>
      </c>
    </row>
    <row r="10591" spans="1:2" x14ac:dyDescent="0.25">
      <c r="A10591">
        <f ca="1">27179.9586207381*((RANDBETWEEN(2979,3282)))</f>
        <v>82898873.793251112</v>
      </c>
      <c r="B10591">
        <v>147945679.25928888</v>
      </c>
    </row>
    <row r="10592" spans="1:2" x14ac:dyDescent="0.25">
      <c r="A10592">
        <f ca="1">27347.0014859157*((RANDBETWEEN(2979,3282)))</f>
        <v>85541420.647944406</v>
      </c>
      <c r="B10592">
        <v>164067592.42207035</v>
      </c>
    </row>
    <row r="10593" spans="1:2" x14ac:dyDescent="0.25">
      <c r="A10593">
        <f ca="1">29467.1900368147*((RANDBETWEEN(2979,3282)))</f>
        <v>96563981.750641748</v>
      </c>
      <c r="B10593">
        <v>180544682.38932618</v>
      </c>
    </row>
    <row r="10594" spans="1:2" x14ac:dyDescent="0.25">
      <c r="A10594">
        <f ca="1">25759.4677147608*((RANDBETWEEN(2979,3282)))</f>
        <v>78102706.11115472</v>
      </c>
      <c r="B10594">
        <v>173919724.79303008</v>
      </c>
    </row>
    <row r="10595" spans="1:2" x14ac:dyDescent="0.25">
      <c r="A10595">
        <f ca="1">28025.6279373454*((RANDBETWEEN(2979,3282)))</f>
        <v>84245037.579660311</v>
      </c>
      <c r="B10595">
        <v>149278055.03304225</v>
      </c>
    </row>
    <row r="10596" spans="1:2" x14ac:dyDescent="0.25">
      <c r="A10596">
        <f ca="1">26742.880490999*((RANDBETWEEN(2979,3282)))</f>
        <v>83277329.848970816</v>
      </c>
      <c r="B10596">
        <v>176813284.34180301</v>
      </c>
    </row>
    <row r="10597" spans="1:2" x14ac:dyDescent="0.25">
      <c r="A10597">
        <f ca="1">26892.964920374*((RANDBETWEEN(2979,3282)))</f>
        <v>83153047.533796549</v>
      </c>
      <c r="B10597">
        <v>162259158.06576166</v>
      </c>
    </row>
    <row r="10598" spans="1:2" x14ac:dyDescent="0.25">
      <c r="A10598">
        <f ca="1">27892.9436210066*((RANDBETWEEN(2979,3282)))</f>
        <v>85017692.156828105</v>
      </c>
      <c r="B10598">
        <v>173974156.1230197</v>
      </c>
    </row>
    <row r="10599" spans="1:2" x14ac:dyDescent="0.25">
      <c r="A10599">
        <f ca="1">27645.1439668261*((RANDBETWEEN(2979,3282)))</f>
        <v>89045008.717146993</v>
      </c>
      <c r="B10599">
        <v>143591041.82786608</v>
      </c>
    </row>
    <row r="10600" spans="1:2" x14ac:dyDescent="0.25">
      <c r="A10600">
        <f ca="1">31739.0083570276*((RANDBETWEEN(2979,3282)))</f>
        <v>98327447.890071377</v>
      </c>
      <c r="B10600">
        <v>171869411.39694208</v>
      </c>
    </row>
    <row r="10601" spans="1:2" x14ac:dyDescent="0.25">
      <c r="A10601">
        <f ca="1">30465.3444937292*((RANDBETWEEN(2979,3282)))</f>
        <v>91243706.758719042</v>
      </c>
      <c r="B10601">
        <v>159890754.36191851</v>
      </c>
    </row>
    <row r="10602" spans="1:2" x14ac:dyDescent="0.25">
      <c r="A10602">
        <f ca="1">27342.9642449332*((RANDBETWEEN(2979,3282)))</f>
        <v>83833528.374965116</v>
      </c>
      <c r="B10602">
        <v>166041083.76179579</v>
      </c>
    </row>
    <row r="10603" spans="1:2" x14ac:dyDescent="0.25">
      <c r="A10603">
        <f ca="1">26390.9477842656*((RANDBETWEEN(2979,3282)))</f>
        <v>84081559.640670061</v>
      </c>
      <c r="B10603">
        <v>156689015.41482624</v>
      </c>
    </row>
    <row r="10604" spans="1:2" x14ac:dyDescent="0.25">
      <c r="A10604">
        <f ca="1">28844.6149875654*((RANDBETWEEN(2979,3282)))</f>
        <v>94091134.089438319</v>
      </c>
      <c r="B10604">
        <v>174343487.3562797</v>
      </c>
    </row>
    <row r="10605" spans="1:2" x14ac:dyDescent="0.25">
      <c r="A10605">
        <f ca="1">30375.1061070007*((RANDBETWEEN(2979,3282)))</f>
        <v>97534465.70957917</v>
      </c>
      <c r="B10605">
        <v>186240645.67181775</v>
      </c>
    </row>
    <row r="10606" spans="1:2" x14ac:dyDescent="0.25">
      <c r="A10606">
        <f ca="1">28187.1467253373*((RANDBETWEEN(2979,3282)))</f>
        <v>87915710.636327177</v>
      </c>
      <c r="B10606">
        <v>172602910.68084076</v>
      </c>
    </row>
    <row r="10607" spans="1:2" x14ac:dyDescent="0.25">
      <c r="A10607">
        <f ca="1">27918.5463000489*((RANDBETWEEN(2979,3282)))</f>
        <v>89143918.336056113</v>
      </c>
      <c r="B10607">
        <v>178393355.30528834</v>
      </c>
    </row>
    <row r="10608" spans="1:2" x14ac:dyDescent="0.25">
      <c r="A10608">
        <f ca="1">26036.5443707993*((RANDBETWEEN(2979,3282)))</f>
        <v>79125058.342859149</v>
      </c>
      <c r="B10608">
        <v>167825343.60651568</v>
      </c>
    </row>
    <row r="10609" spans="1:2" x14ac:dyDescent="0.25">
      <c r="A10609">
        <f ca="1">26310.7752382953*((RANDBETWEEN(2979,3282)))</f>
        <v>79905824.398702681</v>
      </c>
      <c r="B10609">
        <v>174535236.59717217</v>
      </c>
    </row>
    <row r="10610" spans="1:2" x14ac:dyDescent="0.25">
      <c r="A10610">
        <f ca="1">32899.2863774443*((RANDBETWEEN(2979,3282)))</f>
        <v>103402457.08430745</v>
      </c>
      <c r="B10610">
        <v>198741300.39146298</v>
      </c>
    </row>
    <row r="10611" spans="1:2" x14ac:dyDescent="0.25">
      <c r="A10611">
        <f ca="1">30920.6218279579*((RANDBETWEEN(2979,3282)))</f>
        <v>101388718.97387381</v>
      </c>
      <c r="B10611">
        <v>167490227.95273882</v>
      </c>
    </row>
    <row r="10612" spans="1:2" x14ac:dyDescent="0.25">
      <c r="A10612">
        <f ca="1">27363.9184191252*((RANDBETWEEN(2979,3282)))</f>
        <v>82940036.728368446</v>
      </c>
      <c r="B10612">
        <v>173754978.77670532</v>
      </c>
    </row>
    <row r="10613" spans="1:2" x14ac:dyDescent="0.25">
      <c r="A10613">
        <f ca="1">31167.3912985864*((RANDBETWEEN(2979,3282)))</f>
        <v>99423978.24249059</v>
      </c>
      <c r="B10613">
        <v>188543638.10143781</v>
      </c>
    </row>
    <row r="10614" spans="1:2" x14ac:dyDescent="0.25">
      <c r="A10614">
        <f ca="1">26626.5052180071*((RANDBETWEEN(2979,3282)))</f>
        <v>85763973.307200715</v>
      </c>
      <c r="B10614">
        <v>150637540.03089604</v>
      </c>
    </row>
    <row r="10615" spans="1:2" x14ac:dyDescent="0.25">
      <c r="A10615">
        <f ca="1">26946.6921582252*((RANDBETWEEN(2979,3282)))</f>
        <v>88169576.741712704</v>
      </c>
      <c r="B10615">
        <v>142943093.88350764</v>
      </c>
    </row>
    <row r="10616" spans="1:2" x14ac:dyDescent="0.25">
      <c r="A10616">
        <f ca="1">30519.0305300055*((RANDBETWEEN(2979,3282)))</f>
        <v>99278406.314107969</v>
      </c>
      <c r="B10616">
        <v>192019045.98742935</v>
      </c>
    </row>
    <row r="10617" spans="1:2" x14ac:dyDescent="0.25">
      <c r="A10617">
        <f ca="1">30338.8156378155*((RANDBETWEEN(2979,3282)))</f>
        <v>91228818.622911289</v>
      </c>
      <c r="B10617">
        <v>147614834.5908694</v>
      </c>
    </row>
    <row r="10618" spans="1:2" x14ac:dyDescent="0.25">
      <c r="A10618">
        <f ca="1">29199.0405930612*((RANDBETWEEN(2979,3282)))</f>
        <v>87801515.063334987</v>
      </c>
      <c r="B10618">
        <v>146951081.948614</v>
      </c>
    </row>
    <row r="10619" spans="1:2" x14ac:dyDescent="0.25">
      <c r="A10619">
        <f ca="1">26733.0812212656*((RANDBETWEEN(2979,3282)))</f>
        <v>84209205.846986592</v>
      </c>
      <c r="B10619">
        <v>157731463.54769489</v>
      </c>
    </row>
    <row r="10620" spans="1:2" x14ac:dyDescent="0.25">
      <c r="A10620">
        <f ca="1">26309.9824895349*((RANDBETWEEN(2979,3282)))</f>
        <v>83060614.719461814</v>
      </c>
      <c r="B10620">
        <v>169850594.01327363</v>
      </c>
    </row>
    <row r="10621" spans="1:2" x14ac:dyDescent="0.25">
      <c r="A10621">
        <f ca="1">27494.1085834743*((RANDBETWEEN(2979,3282)))</f>
        <v>89383347.00487487</v>
      </c>
      <c r="B10621">
        <v>143453333.77541327</v>
      </c>
    </row>
    <row r="10622" spans="1:2" x14ac:dyDescent="0.25">
      <c r="A10622">
        <f ca="1">26963.7117432602*((RANDBETWEEN(2979,3282)))</f>
        <v>88036518.841744423</v>
      </c>
      <c r="B10622">
        <v>175761037.80650333</v>
      </c>
    </row>
    <row r="10623" spans="1:2" x14ac:dyDescent="0.25">
      <c r="A10623">
        <f ca="1">25970.374788885*((RANDBETWEEN(2979,3282)))</f>
        <v>78716205.985110313</v>
      </c>
      <c r="B10623">
        <v>149225734.84765869</v>
      </c>
    </row>
    <row r="10624" spans="1:2" x14ac:dyDescent="0.25">
      <c r="A10624">
        <f ca="1">28975.5430693078*((RANDBETWEEN(2979,3282)))</f>
        <v>87853846.586141199</v>
      </c>
      <c r="B10624">
        <v>165490894.8996653</v>
      </c>
    </row>
    <row r="10625" spans="1:2" x14ac:dyDescent="0.25">
      <c r="A10625">
        <f ca="1">26265.9576752593*((RANDBETWEEN(2979,3282)))</f>
        <v>82317511.354262739</v>
      </c>
      <c r="B10625">
        <v>152235827.10781932</v>
      </c>
    </row>
    <row r="10626" spans="1:2" x14ac:dyDescent="0.25">
      <c r="A10626">
        <f ca="1">26384.3216267983*((RANDBETWEEN(2979,3282)))</f>
        <v>80076416.137332946</v>
      </c>
      <c r="B10626">
        <v>168952589.36112505</v>
      </c>
    </row>
    <row r="10627" spans="1:2" x14ac:dyDescent="0.25">
      <c r="A10627">
        <f ca="1">27789.7799200042*((RANDBETWEEN(2979,3282)))</f>
        <v>87676755.647613361</v>
      </c>
      <c r="B10627">
        <v>183445532.41190863</v>
      </c>
    </row>
    <row r="10628" spans="1:2" x14ac:dyDescent="0.25">
      <c r="A10628">
        <f ca="1">28408.1039057647*((RANDBETWEEN(2979,3282)))</f>
        <v>90678667.667200774</v>
      </c>
      <c r="B10628">
        <v>160332452.98906305</v>
      </c>
    </row>
    <row r="10629" spans="1:2" x14ac:dyDescent="0.25">
      <c r="A10629">
        <f ca="1">31793.9981035677*((RANDBETWEEN(2979,3282)))</f>
        <v>103425875.83090575</v>
      </c>
      <c r="B10629">
        <v>151812713.9441039</v>
      </c>
    </row>
    <row r="10630" spans="1:2" x14ac:dyDescent="0.25">
      <c r="A10630">
        <f ca="1">33653.3761503634*((RANDBETWEEN(2979,3282)))</f>
        <v>104359119.44227675</v>
      </c>
      <c r="B10630">
        <v>164202923.61331585</v>
      </c>
    </row>
    <row r="10631" spans="1:2" x14ac:dyDescent="0.25">
      <c r="A10631">
        <f ca="1">29977.7572861547*((RANDBETWEEN(2979,3282)))</f>
        <v>91911803.839350328</v>
      </c>
      <c r="B10631">
        <v>169361251.1194489</v>
      </c>
    </row>
    <row r="10632" spans="1:2" x14ac:dyDescent="0.25">
      <c r="A10632">
        <f ca="1">26696.7781910463*((RANDBETWEEN(2979,3282)))</f>
        <v>82199380.050231576</v>
      </c>
      <c r="B10632">
        <v>180221553.4609932</v>
      </c>
    </row>
    <row r="10633" spans="1:2" x14ac:dyDescent="0.25">
      <c r="A10633">
        <f ca="1">27024.7004791382*((RANDBETWEEN(2979,3282)))</f>
        <v>87370856.649053887</v>
      </c>
      <c r="B10633">
        <v>199192638.85373947</v>
      </c>
    </row>
    <row r="10634" spans="1:2" x14ac:dyDescent="0.25">
      <c r="A10634">
        <f ca="1">27047.3878603019*((RANDBETWEEN(2979,3282)))</f>
        <v>86876209.807289839</v>
      </c>
      <c r="B10634">
        <v>144870052.48059097</v>
      </c>
    </row>
    <row r="10635" spans="1:2" x14ac:dyDescent="0.25">
      <c r="A10635">
        <f ca="1">27464.553085124*((RANDBETWEEN(2979,3282)))</f>
        <v>81954226.406009912</v>
      </c>
      <c r="B10635">
        <v>148237369.92071715</v>
      </c>
    </row>
    <row r="10636" spans="1:2" x14ac:dyDescent="0.25">
      <c r="A10636">
        <f ca="1">30333.451008229*((RANDBETWEEN(2979,3282)))</f>
        <v>97582711.893472537</v>
      </c>
      <c r="B10636">
        <v>170949489.39369974</v>
      </c>
    </row>
    <row r="10637" spans="1:2" x14ac:dyDescent="0.25">
      <c r="A10637">
        <f ca="1">30072.6015105801*((RANDBETWEEN(2979,3282)))</f>
        <v>90759111.358930662</v>
      </c>
      <c r="B10637">
        <v>192877773.30084896</v>
      </c>
    </row>
    <row r="10638" spans="1:2" x14ac:dyDescent="0.25">
      <c r="A10638">
        <f ca="1">27700.1968269623*((RANDBETWEEN(2979,3282)))</f>
        <v>85676708.785794318</v>
      </c>
      <c r="B10638">
        <v>180015834.23655117</v>
      </c>
    </row>
    <row r="10639" spans="1:2" x14ac:dyDescent="0.25">
      <c r="A10639">
        <f ca="1">28093.2056308099*((RANDBETWEEN(2979,3282)))</f>
        <v>91499570.739547834</v>
      </c>
      <c r="B10639">
        <v>188542312.1584852</v>
      </c>
    </row>
    <row r="10640" spans="1:2" x14ac:dyDescent="0.25">
      <c r="A10640">
        <f ca="1">30071.8884650899*((RANDBETWEEN(2979,3282)))</f>
        <v>93042422.910988197</v>
      </c>
      <c r="B10640">
        <v>197377477.70318863</v>
      </c>
    </row>
    <row r="10641" spans="1:2" x14ac:dyDescent="0.25">
      <c r="A10641">
        <f ca="1">26001.0097841666*((RANDBETWEEN(2979,3282)))</f>
        <v>82267194.957103044</v>
      </c>
      <c r="B10641">
        <v>192808725.16150337</v>
      </c>
    </row>
    <row r="10642" spans="1:2" x14ac:dyDescent="0.25">
      <c r="A10642">
        <f ca="1">28077.9349429076*((RANDBETWEEN(2979,3282)))</f>
        <v>89961703.557075948</v>
      </c>
      <c r="B10642">
        <v>177703004.49475774</v>
      </c>
    </row>
    <row r="10643" spans="1:2" x14ac:dyDescent="0.25">
      <c r="A10643">
        <f ca="1">34093.3033817857*((RANDBETWEEN(2979,3282)))</f>
        <v>106166546.73088057</v>
      </c>
      <c r="B10643">
        <v>181373350.95171833</v>
      </c>
    </row>
    <row r="10644" spans="1:2" x14ac:dyDescent="0.25">
      <c r="A10644">
        <f ca="1">25519.7874391698*((RANDBETWEEN(2979,3282)))</f>
        <v>78218148.501055434</v>
      </c>
      <c r="B10644">
        <v>177286346.86485738</v>
      </c>
    </row>
    <row r="10645" spans="1:2" x14ac:dyDescent="0.25">
      <c r="A10645">
        <f ca="1">32428.2380068036*((RANDBETWEEN(2979,3282)))</f>
        <v>101597669.67531554</v>
      </c>
      <c r="B10645">
        <v>182747438.59337962</v>
      </c>
    </row>
    <row r="10646" spans="1:2" x14ac:dyDescent="0.25">
      <c r="A10646">
        <f ca="1">26803.9954388762*((RANDBETWEEN(2979,3282)))</f>
        <v>83816093.737365797</v>
      </c>
      <c r="B10646">
        <v>193022807.67897335</v>
      </c>
    </row>
    <row r="10647" spans="1:2" x14ac:dyDescent="0.25">
      <c r="A10647">
        <f ca="1">27236.1610277433*((RANDBETWEEN(2979,3282)))</f>
        <v>87537021.543167055</v>
      </c>
      <c r="B10647">
        <v>161248598.49088532</v>
      </c>
    </row>
    <row r="10648" spans="1:2" x14ac:dyDescent="0.25">
      <c r="A10648">
        <f ca="1">27126.833695633*((RANDBETWEEN(2979,3282)))</f>
        <v>83143745.277115151</v>
      </c>
      <c r="B10648">
        <v>182380303.89729559</v>
      </c>
    </row>
    <row r="10649" spans="1:2" x14ac:dyDescent="0.25">
      <c r="A10649">
        <f ca="1">26658.0416453675*((RANDBETWEEN(2979,3282)))</f>
        <v>82453322.809121758</v>
      </c>
      <c r="B10649">
        <v>193895715.40067929</v>
      </c>
    </row>
    <row r="10650" spans="1:2" x14ac:dyDescent="0.25">
      <c r="A10650">
        <f ca="1">31074.5541437637*((RANDBETWEEN(2979,3282)))</f>
        <v>92695395.010847002</v>
      </c>
      <c r="B10650">
        <v>173028846.11855149</v>
      </c>
    </row>
    <row r="10651" spans="1:2" x14ac:dyDescent="0.25">
      <c r="A10651">
        <f ca="1">29792.0185320211*((RANDBETWEEN(2979,3282)))</f>
        <v>89882519.91110763</v>
      </c>
      <c r="B10651">
        <v>167319046.02521586</v>
      </c>
    </row>
    <row r="10652" spans="1:2" x14ac:dyDescent="0.25">
      <c r="A10652">
        <f ca="1">30785.204516358*((RANDBETWEEN(2979,3282)))</f>
        <v>99928773.860098004</v>
      </c>
      <c r="B10652">
        <v>200631768.83410051</v>
      </c>
    </row>
    <row r="10653" spans="1:2" x14ac:dyDescent="0.25">
      <c r="A10653">
        <f ca="1">29894.4192934712*((RANDBETWEEN(2979,3282)))</f>
        <v>89593574.622533292</v>
      </c>
      <c r="B10653">
        <v>151360761.48089039</v>
      </c>
    </row>
    <row r="10654" spans="1:2" x14ac:dyDescent="0.25">
      <c r="A10654">
        <f ca="1">28562.6551581022*((RANDBETWEEN(2979,3282)))</f>
        <v>92057437.574563265</v>
      </c>
      <c r="B10654">
        <v>190546558.96653461</v>
      </c>
    </row>
    <row r="10655" spans="1:2" x14ac:dyDescent="0.25">
      <c r="A10655">
        <f ca="1">27012.0550686523*((RANDBETWEEN(2979,3282)))</f>
        <v>85655226.622696579</v>
      </c>
      <c r="B10655">
        <v>161319624.63864771</v>
      </c>
    </row>
    <row r="10656" spans="1:2" x14ac:dyDescent="0.25">
      <c r="A10656">
        <f ca="1">26580.4505608576*((RANDBETWEEN(2979,3282)))</f>
        <v>86466205.674469829</v>
      </c>
      <c r="B10656">
        <v>148426826.00709698</v>
      </c>
    </row>
    <row r="10657" spans="1:2" x14ac:dyDescent="0.25">
      <c r="A10657">
        <f ca="1">30848.8511623005*((RANDBETWEEN(2979,3282)))</f>
        <v>94860217.324074075</v>
      </c>
      <c r="B10657">
        <v>199873851.69073528</v>
      </c>
    </row>
    <row r="10658" spans="1:2" x14ac:dyDescent="0.25">
      <c r="A10658">
        <f ca="1">30653.6249062743*((RANDBETWEEN(2979,3282)))</f>
        <v>95148851.709075511</v>
      </c>
      <c r="B10658">
        <v>181442576.93198144</v>
      </c>
    </row>
    <row r="10659" spans="1:2" x14ac:dyDescent="0.25">
      <c r="A10659">
        <f ca="1">26874.3476098716*((RANDBETWEEN(2979,3282)))</f>
        <v>81536770.648350373</v>
      </c>
      <c r="B10659">
        <v>187205124.97866914</v>
      </c>
    </row>
    <row r="10660" spans="1:2" x14ac:dyDescent="0.25">
      <c r="A10660">
        <f ca="1">27350.8965171486*((RANDBETWEEN(2979,3282)))</f>
        <v>84733077.410126448</v>
      </c>
      <c r="B10660">
        <v>183063379.72402528</v>
      </c>
    </row>
    <row r="10661" spans="1:2" x14ac:dyDescent="0.25">
      <c r="A10661">
        <f ca="1">27021.8152086588*((RANDBETWEEN(2979,3282)))</f>
        <v>86658961.374168932</v>
      </c>
      <c r="B10661">
        <v>147891689.25183868</v>
      </c>
    </row>
    <row r="10662" spans="1:2" x14ac:dyDescent="0.25">
      <c r="A10662">
        <f ca="1">28467.8974811101*((RANDBETWEEN(2979,3282)))</f>
        <v>88165078.498998046</v>
      </c>
      <c r="B10662">
        <v>154339154.52527618</v>
      </c>
    </row>
    <row r="10663" spans="1:2" x14ac:dyDescent="0.25">
      <c r="A10663">
        <f ca="1">28624.5647436722*((RANDBETWEEN(2979,3282)))</f>
        <v>85616073.148323417</v>
      </c>
      <c r="B10663">
        <v>190140431.85286289</v>
      </c>
    </row>
    <row r="10664" spans="1:2" x14ac:dyDescent="0.25">
      <c r="A10664">
        <f ca="1">28333.6979132267*((RANDBETWEEN(2979,3282)))</f>
        <v>92622858.478338152</v>
      </c>
      <c r="B10664">
        <v>153511787.64871714</v>
      </c>
    </row>
    <row r="10665" spans="1:2" x14ac:dyDescent="0.25">
      <c r="A10665">
        <f ca="1">28465.7470740635*((RANDBETWEEN(2979,3282)))</f>
        <v>87873761.217634007</v>
      </c>
      <c r="B10665">
        <v>188108521.15221709</v>
      </c>
    </row>
    <row r="10666" spans="1:2" x14ac:dyDescent="0.25">
      <c r="A10666">
        <f ca="1">26861.4049668915*((RANDBETWEEN(2979,3282)))</f>
        <v>82034730.768886536</v>
      </c>
      <c r="B10666">
        <v>164123863.61483049</v>
      </c>
    </row>
    <row r="10667" spans="1:2" x14ac:dyDescent="0.25">
      <c r="A10667">
        <f ca="1">26246.5351731491*((RANDBETWEEN(2979,3282)))</f>
        <v>78240921.351157546</v>
      </c>
      <c r="B10667">
        <v>162528665.4158195</v>
      </c>
    </row>
    <row r="10668" spans="1:2" x14ac:dyDescent="0.25">
      <c r="A10668">
        <f ca="1">28092.3308215186*((RANDBETWEEN(2979,3282)))</f>
        <v>88799857.726820394</v>
      </c>
      <c r="B10668">
        <v>193930802.00195384</v>
      </c>
    </row>
    <row r="10669" spans="1:2" x14ac:dyDescent="0.25">
      <c r="A10669">
        <f ca="1">27133.3871401704*((RANDBETWEEN(2979,3282)))</f>
        <v>83516565.617444381</v>
      </c>
      <c r="B10669">
        <v>198647920.60332453</v>
      </c>
    </row>
    <row r="10670" spans="1:2" x14ac:dyDescent="0.25">
      <c r="A10670">
        <f ca="1">25752.399767276*((RANDBETWEEN(2979,3282)))</f>
        <v>79291638.883442774</v>
      </c>
      <c r="B10670">
        <v>154733716.59946239</v>
      </c>
    </row>
    <row r="10671" spans="1:2" x14ac:dyDescent="0.25">
      <c r="A10671">
        <f ca="1">26878.5843340917*((RANDBETWEEN(2979,3282)))</f>
        <v>86629677.30877763</v>
      </c>
      <c r="B10671">
        <v>145724033.31694388</v>
      </c>
    </row>
    <row r="10672" spans="1:2" x14ac:dyDescent="0.25">
      <c r="A10672">
        <f ca="1">26956.1456578593*((RANDBETWEEN(2979,3282)))</f>
        <v>80437138.643052086</v>
      </c>
      <c r="B10672">
        <v>149540263.10582665</v>
      </c>
    </row>
    <row r="10673" spans="1:2" x14ac:dyDescent="0.25">
      <c r="A10673">
        <f ca="1">26563.2057675033*((RANDBETWEEN(2979,3282)))</f>
        <v>80247444.623627499</v>
      </c>
      <c r="B10673">
        <v>153388272.19329685</v>
      </c>
    </row>
    <row r="10674" spans="1:2" x14ac:dyDescent="0.25">
      <c r="A10674">
        <f ca="1">27220.2068433144*((RANDBETWEEN(2979,3282)))</f>
        <v>87839607.483375639</v>
      </c>
      <c r="B10674">
        <v>186468026.06483692</v>
      </c>
    </row>
    <row r="10675" spans="1:2" x14ac:dyDescent="0.25">
      <c r="A10675">
        <f ca="1">25911.3511314455*((RANDBETWEEN(2979,3282)))</f>
        <v>83279082.536465853</v>
      </c>
      <c r="B10675">
        <v>192763247.5135867</v>
      </c>
    </row>
    <row r="10676" spans="1:2" x14ac:dyDescent="0.25">
      <c r="A10676">
        <f ca="1">29061.4665692709*((RANDBETWEEN(2979,3282)))</f>
        <v>89015272.101676747</v>
      </c>
      <c r="B10676">
        <v>196378547.15078679</v>
      </c>
    </row>
    <row r="10677" spans="1:2" x14ac:dyDescent="0.25">
      <c r="A10677">
        <f ca="1">27028.5122844535*((RANDBETWEEN(2979,3282)))</f>
        <v>87653465.338482633</v>
      </c>
      <c r="B10677">
        <v>181681075.86272666</v>
      </c>
    </row>
    <row r="10678" spans="1:2" x14ac:dyDescent="0.25">
      <c r="A10678">
        <f ca="1">27533.8306544401*((RANDBETWEEN(2979,3282)))</f>
        <v>82326153.656775981</v>
      </c>
      <c r="B10678">
        <v>146856415.28045982</v>
      </c>
    </row>
    <row r="10679" spans="1:2" x14ac:dyDescent="0.25">
      <c r="A10679">
        <f ca="1">24892.2284452689*((RANDBETWEEN(2979,3282)))</f>
        <v>77589076.063903257</v>
      </c>
      <c r="B10679">
        <v>155154857.46512568</v>
      </c>
    </row>
    <row r="10680" spans="1:2" x14ac:dyDescent="0.25">
      <c r="A10680">
        <f ca="1">25739.5138230737*((RANDBETWEEN(2979,3282)))</f>
        <v>81722956.388259083</v>
      </c>
      <c r="B10680">
        <v>154720116.22585607</v>
      </c>
    </row>
    <row r="10681" spans="1:2" x14ac:dyDescent="0.25">
      <c r="A10681">
        <f ca="1">33522.2968105694*((RANDBETWEEN(2979,3282)))</f>
        <v>101807215.41369918</v>
      </c>
      <c r="B10681">
        <v>201768101.97037399</v>
      </c>
    </row>
    <row r="10682" spans="1:2" x14ac:dyDescent="0.25">
      <c r="A10682">
        <f ca="1">25902.665606845*((RANDBETWEEN(2979,3282)))</f>
        <v>77189943.50839816</v>
      </c>
      <c r="B10682">
        <v>154331775.82259786</v>
      </c>
    </row>
    <row r="10683" spans="1:2" x14ac:dyDescent="0.25">
      <c r="A10683">
        <f ca="1">26607.9199233666*((RANDBETWEEN(2979,3282)))</f>
        <v>86316092.23140122</v>
      </c>
      <c r="B10683">
        <v>147423658.52085388</v>
      </c>
    </row>
    <row r="10684" spans="1:2" x14ac:dyDescent="0.25">
      <c r="A10684">
        <f ca="1">30867.513718487*((RANDBETWEEN(2979,3282)))</f>
        <v>92972951.320082814</v>
      </c>
      <c r="B10684">
        <v>203465590.89874497</v>
      </c>
    </row>
    <row r="10685" spans="1:2" x14ac:dyDescent="0.25">
      <c r="A10685">
        <f ca="1">26809.5684121523*((RANDBETWEEN(2979,3282)))</f>
        <v>86165952.876657546</v>
      </c>
      <c r="B10685">
        <v>150574990.84705821</v>
      </c>
    </row>
    <row r="10686" spans="1:2" x14ac:dyDescent="0.25">
      <c r="A10686">
        <f ca="1">29226.3034278966*((RANDBETWEEN(2979,3282)))</f>
        <v>89578620.00650312</v>
      </c>
      <c r="B10686">
        <v>203146345.75284272</v>
      </c>
    </row>
    <row r="10687" spans="1:2" x14ac:dyDescent="0.25">
      <c r="A10687">
        <f ca="1">28902.2615974263*((RANDBETWEEN(2979,3282)))</f>
        <v>86186544.083525151</v>
      </c>
      <c r="B10687">
        <v>161860605.1815632</v>
      </c>
    </row>
    <row r="10688" spans="1:2" x14ac:dyDescent="0.25">
      <c r="A10688">
        <f ca="1">27764.8451503106*((RANDBETWEEN(2979,3282)))</f>
        <v>86071019.965962812</v>
      </c>
      <c r="B10688">
        <v>159292068.21951926</v>
      </c>
    </row>
    <row r="10689" spans="1:2" x14ac:dyDescent="0.25">
      <c r="A10689">
        <f ca="1">27634.778767002*((RANDBETWEEN(2979,3282)))</f>
        <v>88403657.27563943</v>
      </c>
      <c r="B10689">
        <v>176822883.1383965</v>
      </c>
    </row>
    <row r="10690" spans="1:2" x14ac:dyDescent="0.25">
      <c r="A10690">
        <f ca="1">28942.8596452841*((RANDBETWEEN(2979,3282)))</f>
        <v>87060121.813014641</v>
      </c>
      <c r="B10690">
        <v>165015971.42702848</v>
      </c>
    </row>
    <row r="10691" spans="1:2" x14ac:dyDescent="0.25">
      <c r="A10691">
        <f ca="1">25407.419550753*((RANDBETWEEN(2979,3282)))</f>
        <v>78000778.020811573</v>
      </c>
      <c r="B10691">
        <v>149971519.1699</v>
      </c>
    </row>
    <row r="10692" spans="1:2" x14ac:dyDescent="0.25">
      <c r="A10692">
        <f ca="1">27297.9982962569*((RANDBETWEEN(2979,3282)))</f>
        <v>83695662.776323542</v>
      </c>
      <c r="B10692">
        <v>197184669.4288094</v>
      </c>
    </row>
    <row r="10693" spans="1:2" x14ac:dyDescent="0.25">
      <c r="A10693">
        <f ca="1">25535.3296301693*((RANDBETWEEN(2979,3282)))</f>
        <v>82734468.001748517</v>
      </c>
      <c r="B10693">
        <v>145846803.40979362</v>
      </c>
    </row>
    <row r="10694" spans="1:2" x14ac:dyDescent="0.25">
      <c r="A10694">
        <f ca="1">28132.7616874317*((RANDBETWEEN(2979,3282)))</f>
        <v>87633552.656349763</v>
      </c>
      <c r="B10694">
        <v>160393858.34457454</v>
      </c>
    </row>
    <row r="10695" spans="1:2" x14ac:dyDescent="0.25">
      <c r="A10695">
        <f ca="1">26734.5712896022*((RANDBETWEEN(2979,3282)))</f>
        <v>83144516.710662887</v>
      </c>
      <c r="B10695">
        <v>160547741.132514</v>
      </c>
    </row>
    <row r="10696" spans="1:2" x14ac:dyDescent="0.25">
      <c r="A10696">
        <f ca="1">27671.4062502976*((RANDBETWEEN(2979,3282)))</f>
        <v>87856714.844694972</v>
      </c>
      <c r="B10696">
        <v>160700329.4819887</v>
      </c>
    </row>
    <row r="10697" spans="1:2" x14ac:dyDescent="0.25">
      <c r="A10697">
        <f ca="1">26458.1688885595*((RANDBETWEEN(2979,3282)))</f>
        <v>85486343.678935736</v>
      </c>
      <c r="B10697">
        <v>166555062.51846871</v>
      </c>
    </row>
    <row r="10698" spans="1:2" x14ac:dyDescent="0.25">
      <c r="A10698">
        <f ca="1">28981.5681004173*((RANDBETWEEN(2979,3282)))</f>
        <v>90596381.881904423</v>
      </c>
      <c r="B10698">
        <v>181325911.23730716</v>
      </c>
    </row>
    <row r="10699" spans="1:2" x14ac:dyDescent="0.25">
      <c r="A10699">
        <f ca="1">30357.8920102288*((RANDBETWEEN(2979,3282)))</f>
        <v>97813128.05695729</v>
      </c>
      <c r="B10699">
        <v>183139183.49951774</v>
      </c>
    </row>
    <row r="10700" spans="1:2" x14ac:dyDescent="0.25">
      <c r="A10700">
        <f ca="1">26319.6313648088*((RANDBETWEEN(2979,3282)))</f>
        <v>79616884.87854667</v>
      </c>
      <c r="B10700">
        <v>143527987.67625159</v>
      </c>
    </row>
    <row r="10701" spans="1:2" x14ac:dyDescent="0.25">
      <c r="A10701">
        <f ca="1">27469.1104660847*((RANDBETWEEN(2979,3282)))</f>
        <v>89302078.125241503</v>
      </c>
      <c r="B10701">
        <v>190794251.09356928</v>
      </c>
    </row>
    <row r="10702" spans="1:2" x14ac:dyDescent="0.25">
      <c r="A10702">
        <f ca="1">27480.9869171062*((RANDBETWEEN(2979,3282)))</f>
        <v>89120840.572175384</v>
      </c>
      <c r="B10702">
        <v>153582176.01684248</v>
      </c>
    </row>
    <row r="10703" spans="1:2" x14ac:dyDescent="0.25">
      <c r="A10703">
        <f ca="1">27048.6597314719*((RANDBETWEEN(2979,3282)))</f>
        <v>86177029.904469386</v>
      </c>
      <c r="B10703">
        <v>149761845.41423678</v>
      </c>
    </row>
    <row r="10704" spans="1:2" x14ac:dyDescent="0.25">
      <c r="A10704">
        <f ca="1">28334.0348385046*((RANDBETWEEN(2979,3282)))</f>
        <v>88260518.521941826</v>
      </c>
      <c r="B10704">
        <v>165411742.75320578</v>
      </c>
    </row>
    <row r="10705" spans="1:2" x14ac:dyDescent="0.25">
      <c r="A10705">
        <f ca="1">24875.2396257488*((RANDBETWEEN(2979,3282)))</f>
        <v>80745027.825180516</v>
      </c>
      <c r="B10705">
        <v>146599452.95209616</v>
      </c>
    </row>
    <row r="10706" spans="1:2" x14ac:dyDescent="0.25">
      <c r="A10706">
        <f ca="1">27353.2271649111*((RANDBETWEEN(2979,3282)))</f>
        <v>88980047.967455879</v>
      </c>
      <c r="B10706">
        <v>156745464.26373342</v>
      </c>
    </row>
    <row r="10707" spans="1:2" x14ac:dyDescent="0.25">
      <c r="A10707">
        <f ca="1">27520.9288628556*((RANDBETWEEN(2979,3282)))</f>
        <v>84929586.470772326</v>
      </c>
      <c r="B10707">
        <v>147823657.15531686</v>
      </c>
    </row>
    <row r="10708" spans="1:2" x14ac:dyDescent="0.25">
      <c r="A10708">
        <f ca="1">26337.2455696048*((RANDBETWEEN(2979,3282)))</f>
        <v>82251217.913875684</v>
      </c>
      <c r="B10708">
        <v>185126998.74068129</v>
      </c>
    </row>
    <row r="10709" spans="1:2" x14ac:dyDescent="0.25">
      <c r="A10709">
        <f ca="1">32306.2003346145*((RANDBETWEEN(2979,3282)))</f>
        <v>104058271.27779341</v>
      </c>
      <c r="B10709">
        <v>151517110.7873365</v>
      </c>
    </row>
    <row r="10710" spans="1:2" x14ac:dyDescent="0.25">
      <c r="A10710">
        <f ca="1">25668.9665115048*((RANDBETWEEN(2979,3282)))</f>
        <v>81806996.27216576</v>
      </c>
      <c r="B10710">
        <v>151276671.90148127</v>
      </c>
    </row>
    <row r="10711" spans="1:2" x14ac:dyDescent="0.25">
      <c r="A10711">
        <f ca="1">27730.2826415384*((RANDBETWEEN(2979,3282)))</f>
        <v>88736904.45292297</v>
      </c>
      <c r="B10711">
        <v>153595267.21715534</v>
      </c>
    </row>
    <row r="10712" spans="1:2" x14ac:dyDescent="0.25">
      <c r="A10712">
        <f ca="1">30979.8184246947*((RANDBETWEEN(2979,3282)))</f>
        <v>100591470.4249838</v>
      </c>
      <c r="B10712">
        <v>181325869.52401406</v>
      </c>
    </row>
    <row r="10713" spans="1:2" x14ac:dyDescent="0.25">
      <c r="A10713">
        <f ca="1">30085.5238931994*((RANDBETWEEN(2979,3282)))</f>
        <v>97838123.700684458</v>
      </c>
      <c r="B10713">
        <v>185111371.72816816</v>
      </c>
    </row>
    <row r="10714" spans="1:2" x14ac:dyDescent="0.25">
      <c r="A10714">
        <f ca="1">25522.863426617*((RANDBETWEEN(2979,3282)))</f>
        <v>81290320.01377517</v>
      </c>
      <c r="B10714">
        <v>148463912.94996694</v>
      </c>
    </row>
    <row r="10715" spans="1:2" x14ac:dyDescent="0.25">
      <c r="A10715">
        <f ca="1">29966.8520978679*((RANDBETWEEN(2979,3282)))</f>
        <v>97452203.022266537</v>
      </c>
      <c r="B10715">
        <v>176353761.69199973</v>
      </c>
    </row>
    <row r="10716" spans="1:2" x14ac:dyDescent="0.25">
      <c r="A10716">
        <f ca="1">30089.4025815392*((RANDBETWEEN(2979,3282)))</f>
        <v>90990353.406574637</v>
      </c>
      <c r="B10716">
        <v>175088886.18708807</v>
      </c>
    </row>
    <row r="10717" spans="1:2" x14ac:dyDescent="0.25">
      <c r="A10717">
        <f ca="1">26789.633210626*((RANDBETWEEN(2979,3282)))</f>
        <v>81333326.427460551</v>
      </c>
      <c r="B10717">
        <v>187802052.80832151</v>
      </c>
    </row>
    <row r="10718" spans="1:2" x14ac:dyDescent="0.25">
      <c r="A10718">
        <f ca="1">27245.1996617297*((RANDBETWEEN(2979,3282)))</f>
        <v>88901086.496224135</v>
      </c>
      <c r="B10718">
        <v>174387073.07246733</v>
      </c>
    </row>
    <row r="10719" spans="1:2" x14ac:dyDescent="0.25">
      <c r="A10719">
        <f ca="1">28469.5933851656*((RANDBETWEEN(2979,3282)))</f>
        <v>93038631.182721198</v>
      </c>
      <c r="B10719">
        <v>195314402.81060001</v>
      </c>
    </row>
    <row r="10720" spans="1:2" x14ac:dyDescent="0.25">
      <c r="A10720">
        <f ca="1">25629.7592403185*((RANDBETWEEN(2979,3282)))</f>
        <v>82015229.569019377</v>
      </c>
      <c r="B10720">
        <v>150364598.89082623</v>
      </c>
    </row>
    <row r="10721" spans="1:2" x14ac:dyDescent="0.25">
      <c r="A10721">
        <f ca="1">28728.6585379674*((RANDBETWEEN(2979,3282)))</f>
        <v>87823509.150566429</v>
      </c>
      <c r="B10721">
        <v>149133853.32127592</v>
      </c>
    </row>
    <row r="10722" spans="1:2" x14ac:dyDescent="0.25">
      <c r="A10722">
        <f ca="1">27687.4542934846*((RANDBETWEEN(2979,3282)))</f>
        <v>90399538.268227309</v>
      </c>
      <c r="B10722">
        <v>199060416.23828712</v>
      </c>
    </row>
    <row r="10723" spans="1:2" x14ac:dyDescent="0.25">
      <c r="A10723">
        <f ca="1">27744.3803369978*((RANDBETWEEN(2979,3282)))</f>
        <v>89642092.868840024</v>
      </c>
      <c r="B10723">
        <v>168550397.31210786</v>
      </c>
    </row>
    <row r="10724" spans="1:2" x14ac:dyDescent="0.25">
      <c r="A10724">
        <f ca="1">27769.2643946*((RANDBETWEEN(2979,3282)))</f>
        <v>83585485.827746153</v>
      </c>
      <c r="B10724">
        <v>167422606.41773167</v>
      </c>
    </row>
    <row r="10725" spans="1:2" x14ac:dyDescent="0.25">
      <c r="A10725">
        <f ca="1">27181.2990045983*((RANDBETWEEN(2979,3282)))</f>
        <v>87116063.309737399</v>
      </c>
      <c r="B10725">
        <v>188629898.34819573</v>
      </c>
    </row>
    <row r="10726" spans="1:2" x14ac:dyDescent="0.25">
      <c r="A10726">
        <f ca="1">26371.2891265667*((RANDBETWEEN(2979,3282)))</f>
        <v>83227788.483444542</v>
      </c>
      <c r="B10726">
        <v>168419551.58034021</v>
      </c>
    </row>
    <row r="10727" spans="1:2" x14ac:dyDescent="0.25">
      <c r="A10727">
        <f ca="1">26394.7082675157*((RANDBETWEEN(2979,3282)))</f>
        <v>83855988.165897444</v>
      </c>
      <c r="B10727">
        <v>171735081.28484595</v>
      </c>
    </row>
    <row r="10728" spans="1:2" x14ac:dyDescent="0.25">
      <c r="A10728">
        <f ca="1">27162.4084920805*((RANDBETWEEN(2979,3282)))</f>
        <v>83116969.985766247</v>
      </c>
      <c r="B10728">
        <v>145477069.38102776</v>
      </c>
    </row>
    <row r="10729" spans="1:2" x14ac:dyDescent="0.25">
      <c r="A10729">
        <f ca="1">26614.7790394257*((RANDBETWEEN(2979,3282)))</f>
        <v>83623635.741875485</v>
      </c>
      <c r="B10729">
        <v>155100344.71623641</v>
      </c>
    </row>
    <row r="10730" spans="1:2" x14ac:dyDescent="0.25">
      <c r="A10730">
        <f ca="1">26808.688730753*((RANDBETWEEN(2979,3282)))</f>
        <v>80104361.9274901</v>
      </c>
      <c r="B10730">
        <v>175671055.61378574</v>
      </c>
    </row>
    <row r="10731" spans="1:2" x14ac:dyDescent="0.25">
      <c r="A10731">
        <f ca="1">28100.3400147619*((RANDBETWEEN(2979,3282)))</f>
        <v>88740873.766618118</v>
      </c>
      <c r="B10731">
        <v>187880674.47191143</v>
      </c>
    </row>
    <row r="10732" spans="1:2" x14ac:dyDescent="0.25">
      <c r="A10732">
        <f ca="1">26531.9449816549*((RANDBETWEEN(2979,3282)))</f>
        <v>79463175.220056489</v>
      </c>
      <c r="B10732">
        <v>143268550.45772153</v>
      </c>
    </row>
    <row r="10733" spans="1:2" x14ac:dyDescent="0.25">
      <c r="A10733">
        <f ca="1">25255.8208687931*((RANDBETWEEN(2979,3282)))</f>
        <v>77510114.246325895</v>
      </c>
      <c r="B10733">
        <v>165541135.68148834</v>
      </c>
    </row>
    <row r="10734" spans="1:2" x14ac:dyDescent="0.25">
      <c r="A10734">
        <f ca="1">30625.2070833865*((RANDBETWEEN(2979,3282)))</f>
        <v>99195045.743088976</v>
      </c>
      <c r="B10734">
        <v>187649135.24568391</v>
      </c>
    </row>
    <row r="10735" spans="1:2" x14ac:dyDescent="0.25">
      <c r="A10735">
        <f ca="1">28787.9467600688*((RANDBETWEEN(2979,3282)))</f>
        <v>86075960.81260559</v>
      </c>
      <c r="B10735">
        <v>145246535.734662</v>
      </c>
    </row>
    <row r="10736" spans="1:2" x14ac:dyDescent="0.25">
      <c r="A10736">
        <f ca="1">28856.0960207275*((RANDBETWEEN(2979,3282)))</f>
        <v>86048878.333809286</v>
      </c>
      <c r="B10736">
        <v>195615449.52636877</v>
      </c>
    </row>
    <row r="10737" spans="1:2" x14ac:dyDescent="0.25">
      <c r="A10737">
        <f ca="1">28257.7900213292*((RANDBETWEEN(2979,3282)))</f>
        <v>89012038.567186818</v>
      </c>
      <c r="B10737">
        <v>153461163.19404292</v>
      </c>
    </row>
    <row r="10738" spans="1:2" x14ac:dyDescent="0.25">
      <c r="A10738">
        <f ca="1">28508.6870283177*((RANDBETWEEN(2979,3282)))</f>
        <v>91455867.986843273</v>
      </c>
      <c r="B10738">
        <v>170553984.02663827</v>
      </c>
    </row>
    <row r="10739" spans="1:2" x14ac:dyDescent="0.25">
      <c r="A10739">
        <f ca="1">26964.3678097461*((RANDBETWEEN(2979,3282)))</f>
        <v>82052571.245057374</v>
      </c>
      <c r="B10739">
        <v>169782737.27162242</v>
      </c>
    </row>
    <row r="10740" spans="1:2" x14ac:dyDescent="0.25">
      <c r="A10740">
        <f ca="1">25782.0269433358*((RANDBETWEEN(2979,3282)))</f>
        <v>78583618.12328738</v>
      </c>
      <c r="B10740">
        <v>144521044.70313096</v>
      </c>
    </row>
    <row r="10741" spans="1:2" x14ac:dyDescent="0.25">
      <c r="A10741">
        <f ca="1">26765.2578514318*((RANDBETWEEN(2979,3282)))</f>
        <v>80054886.233632505</v>
      </c>
      <c r="B10741">
        <v>163776805.73770878</v>
      </c>
    </row>
    <row r="10742" spans="1:2" x14ac:dyDescent="0.25">
      <c r="A10742">
        <f ca="1">29374.7604168908*((RANDBETWEEN(2979,3282)))</f>
        <v>91502378.69861494</v>
      </c>
      <c r="B10742">
        <v>166657009.11975795</v>
      </c>
    </row>
    <row r="10743" spans="1:2" x14ac:dyDescent="0.25">
      <c r="A10743">
        <f ca="1">31165.7012732772*((RANDBETWEEN(2979,3282)))</f>
        <v>100976872.12541826</v>
      </c>
      <c r="B10743">
        <v>158008417.27489269</v>
      </c>
    </row>
    <row r="10744" spans="1:2" x14ac:dyDescent="0.25">
      <c r="A10744">
        <f ca="1">28526.2953046388*((RANDBETWEEN(2979,3282)))</f>
        <v>93623301.189824492</v>
      </c>
      <c r="B10744">
        <v>165812848.5163531</v>
      </c>
    </row>
    <row r="10745" spans="1:2" x14ac:dyDescent="0.25">
      <c r="A10745">
        <f ca="1">26929.3545410671*((RANDBETWEEN(2979,3282)))</f>
        <v>84908254.867984578</v>
      </c>
      <c r="B10745">
        <v>191402948.17238662</v>
      </c>
    </row>
    <row r="10746" spans="1:2" x14ac:dyDescent="0.25">
      <c r="A10746">
        <f ca="1">26162.8616998762*((RANDBETWEEN(2979,3282)))</f>
        <v>85369417.726696163</v>
      </c>
      <c r="B10746">
        <v>165714731.52614745</v>
      </c>
    </row>
    <row r="10747" spans="1:2" x14ac:dyDescent="0.25">
      <c r="A10747">
        <f ca="1">31667.3447614352*((RANDBETWEEN(2979,3282)))</f>
        <v>98833783.000439242</v>
      </c>
      <c r="B10747">
        <v>160197225.82165059</v>
      </c>
    </row>
    <row r="10748" spans="1:2" x14ac:dyDescent="0.25">
      <c r="A10748">
        <f ca="1">27191.5965357278*((RANDBETWEEN(2979,3282)))</f>
        <v>86904342.528186113</v>
      </c>
      <c r="B10748">
        <v>152240459.7622084</v>
      </c>
    </row>
    <row r="10749" spans="1:2" x14ac:dyDescent="0.25">
      <c r="A10749">
        <f ca="1">26914.9481071505*((RANDBETWEEN(2979,3282)))</f>
        <v>85993259.202345848</v>
      </c>
      <c r="B10749">
        <v>189100704.15902346</v>
      </c>
    </row>
    <row r="10750" spans="1:2" x14ac:dyDescent="0.25">
      <c r="A10750">
        <f ca="1">26913.6421007214*((RANDBETWEEN(2979,3282)))</f>
        <v>81682903.775689453</v>
      </c>
      <c r="B10750">
        <v>147258342.0678618</v>
      </c>
    </row>
    <row r="10751" spans="1:2" x14ac:dyDescent="0.25">
      <c r="A10751">
        <f ca="1">27302.9159509832*((RANDBETWEEN(2979,3282)))</f>
        <v>89498958.487323254</v>
      </c>
      <c r="B10751">
        <v>168092118.92192915</v>
      </c>
    </row>
    <row r="10752" spans="1:2" x14ac:dyDescent="0.25">
      <c r="A10752">
        <f ca="1">27582.4051065768*((RANDBETWEEN(2979,3282)))</f>
        <v>88677432.417644426</v>
      </c>
      <c r="B10752">
        <v>155133459.94628072</v>
      </c>
    </row>
    <row r="10753" spans="1:2" x14ac:dyDescent="0.25">
      <c r="A10753">
        <f ca="1">26805.2434209704*((RANDBETWEEN(2979,3282)))</f>
        <v>84570542.993161559</v>
      </c>
      <c r="B10753">
        <v>187681589.41169685</v>
      </c>
    </row>
    <row r="10754" spans="1:2" x14ac:dyDescent="0.25">
      <c r="A10754">
        <f ca="1">29710.0888016887*((RANDBETWEEN(2979,3282)))</f>
        <v>89932438.802711681</v>
      </c>
      <c r="B10754">
        <v>196066224.65637484</v>
      </c>
    </row>
    <row r="10755" spans="1:2" x14ac:dyDescent="0.25">
      <c r="A10755">
        <f ca="1">33124.4434818028*((RANDBETWEEN(2979,3282)))</f>
        <v>100168317.08897178</v>
      </c>
      <c r="B10755">
        <v>164875951.8044396</v>
      </c>
    </row>
    <row r="10756" spans="1:2" x14ac:dyDescent="0.25">
      <c r="A10756">
        <f ca="1">27406.4579037768*((RANDBETWEEN(2979,3282)))</f>
        <v>82575657.664079428</v>
      </c>
      <c r="B10756">
        <v>172772985.97856361</v>
      </c>
    </row>
    <row r="10757" spans="1:2" x14ac:dyDescent="0.25">
      <c r="A10757">
        <f ca="1">27035.1634142809*((RANDBETWEEN(2979,3282)))</f>
        <v>87972421.750070184</v>
      </c>
      <c r="B10757">
        <v>169275132.3694309</v>
      </c>
    </row>
    <row r="10758" spans="1:2" x14ac:dyDescent="0.25">
      <c r="A10758">
        <f ca="1">27046.2146795987*((RANDBETWEEN(2979,3282)))</f>
        <v>87683827.991259068</v>
      </c>
      <c r="B10758">
        <v>165215174.28668106</v>
      </c>
    </row>
    <row r="10759" spans="1:2" x14ac:dyDescent="0.25">
      <c r="A10759">
        <f ca="1">27412.639169294*((RANDBETWEEN(2979,3282)))</f>
        <v>88652475.073496908</v>
      </c>
      <c r="B10759">
        <v>146632797.86137694</v>
      </c>
    </row>
    <row r="10760" spans="1:2" x14ac:dyDescent="0.25">
      <c r="A10760">
        <f ca="1">28007.6911796573*((RANDBETWEEN(2979,3282)))</f>
        <v>84863304.274361745</v>
      </c>
      <c r="B10760">
        <v>179988603.49821398</v>
      </c>
    </row>
    <row r="10761" spans="1:2" x14ac:dyDescent="0.25">
      <c r="A10761">
        <f ca="1">26822.332177543*((RANDBETWEEN(2979,3282)))</f>
        <v>81754468.477151096</v>
      </c>
      <c r="B10761">
        <v>173673666.01482368</v>
      </c>
    </row>
    <row r="10762" spans="1:2" x14ac:dyDescent="0.25">
      <c r="A10762">
        <f ca="1">27714.9942876281*((RANDBETWEEN(2979,3282)))</f>
        <v>85140462.451593399</v>
      </c>
      <c r="B10762">
        <v>143870429.03969324</v>
      </c>
    </row>
    <row r="10763" spans="1:2" x14ac:dyDescent="0.25">
      <c r="A10763">
        <f ca="1">26035.627819539*((RANDBETWEEN(2979,3282)))</f>
        <v>84225255.996208638</v>
      </c>
      <c r="B10763">
        <v>156792014.85774621</v>
      </c>
    </row>
    <row r="10764" spans="1:2" x14ac:dyDescent="0.25">
      <c r="A10764">
        <f ca="1">26661.5575891317*((RANDBETWEEN(2979,3282)))</f>
        <v>81264427.531673327</v>
      </c>
      <c r="B10764">
        <v>148367841.30745509</v>
      </c>
    </row>
    <row r="10765" spans="1:2" x14ac:dyDescent="0.25">
      <c r="A10765">
        <f ca="1">26815.6265910968*((RANDBETWEEN(2979,3282)))</f>
        <v>87794361.459250852</v>
      </c>
      <c r="B10765">
        <v>165681824.73271111</v>
      </c>
    </row>
    <row r="10766" spans="1:2" x14ac:dyDescent="0.25">
      <c r="A10766">
        <f ca="1">26732.3401213077*((RANDBETWEEN(2979,3282)))</f>
        <v>85891008.809761778</v>
      </c>
      <c r="B10766">
        <v>200032467.84730688</v>
      </c>
    </row>
    <row r="10767" spans="1:2" x14ac:dyDescent="0.25">
      <c r="A10767">
        <f ca="1">25654.2368193238*((RANDBETWEEN(2979,3282)))</f>
        <v>82170520.53229402</v>
      </c>
      <c r="B10767">
        <v>150431177.11441404</v>
      </c>
    </row>
    <row r="10768" spans="1:2" x14ac:dyDescent="0.25">
      <c r="A10768">
        <f ca="1">26544.5641764561*((RANDBETWEEN(2979,3282)))</f>
        <v>80801653.353132486</v>
      </c>
      <c r="B10768">
        <v>182224697.48068026</v>
      </c>
    </row>
    <row r="10769" spans="1:2" x14ac:dyDescent="0.25">
      <c r="A10769">
        <f ca="1">30809.5689993448*((RANDBETWEEN(2979,3282)))</f>
        <v>99915432.264875114</v>
      </c>
      <c r="B10769">
        <v>182715177.87900445</v>
      </c>
    </row>
    <row r="10770" spans="1:2" x14ac:dyDescent="0.25">
      <c r="A10770">
        <f ca="1">27131.9744414763*((RANDBETWEEN(2979,3282)))</f>
        <v>83864932.998603106</v>
      </c>
      <c r="B10770">
        <v>157100245.09328997</v>
      </c>
    </row>
    <row r="10771" spans="1:2" x14ac:dyDescent="0.25">
      <c r="A10771">
        <f ca="1">26644.3396103631*((RANDBETWEEN(2979,3282)))</f>
        <v>87020413.167445779</v>
      </c>
      <c r="B10771">
        <v>149384308.5854286</v>
      </c>
    </row>
    <row r="10772" spans="1:2" x14ac:dyDescent="0.25">
      <c r="A10772">
        <f ca="1">28607.6013853273*((RANDBETWEEN(2979,3282)))</f>
        <v>90085336.762395695</v>
      </c>
      <c r="B10772">
        <v>149466994.71023029</v>
      </c>
    </row>
    <row r="10773" spans="1:2" x14ac:dyDescent="0.25">
      <c r="A10773">
        <f ca="1">28096.917236003*((RANDBETWEEN(2979,3282)))</f>
        <v>89657262.900085658</v>
      </c>
      <c r="B10773">
        <v>174834412.05592197</v>
      </c>
    </row>
    <row r="10774" spans="1:2" x14ac:dyDescent="0.25">
      <c r="A10774">
        <f ca="1">26550.3031223297*((RANDBETWEEN(2979,3282)))</f>
        <v>79438506.942010358</v>
      </c>
      <c r="B10774">
        <v>148532067.25260231</v>
      </c>
    </row>
    <row r="10775" spans="1:2" x14ac:dyDescent="0.25">
      <c r="A10775">
        <f ca="1">32015.973907462*((RANDBETWEEN(2979,3282)))</f>
        <v>102355068.58215615</v>
      </c>
      <c r="B10775">
        <v>168398144.25304914</v>
      </c>
    </row>
    <row r="10776" spans="1:2" x14ac:dyDescent="0.25">
      <c r="A10776">
        <f ca="1">27532.3557818099*((RANDBETWEEN(2979,3282)))</f>
        <v>89865609.271827519</v>
      </c>
      <c r="B10776">
        <v>172652564.5268915</v>
      </c>
    </row>
    <row r="10777" spans="1:2" x14ac:dyDescent="0.25">
      <c r="A10777">
        <f ca="1">26082.2468328708*((RANDBETWEEN(2979,3282)))</f>
        <v>79185701.384595796</v>
      </c>
      <c r="B10777">
        <v>152420560.27186167</v>
      </c>
    </row>
    <row r="10778" spans="1:2" x14ac:dyDescent="0.25">
      <c r="A10778">
        <f ca="1">27256.8787848302*((RANDBETWEEN(2979,3282)))</f>
        <v>84877920.535961181</v>
      </c>
      <c r="B10778">
        <v>158099630.65244472</v>
      </c>
    </row>
    <row r="10779" spans="1:2" x14ac:dyDescent="0.25">
      <c r="A10779">
        <f ca="1">31094.3505273595*((RANDBETWEEN(2979,3282)))</f>
        <v>93034296.777859509</v>
      </c>
      <c r="B10779">
        <v>167873666.06039903</v>
      </c>
    </row>
    <row r="10780" spans="1:2" x14ac:dyDescent="0.25">
      <c r="A10780">
        <f ca="1">24854.5431552342*((RANDBETWEEN(2979,3282)))</f>
        <v>76899956.522294641</v>
      </c>
      <c r="B10780">
        <v>169029015.22068962</v>
      </c>
    </row>
    <row r="10781" spans="1:2" x14ac:dyDescent="0.25">
      <c r="A10781">
        <f ca="1">27285.1475863783*((RANDBETWEEN(2979,3282)))</f>
        <v>87285187.128824174</v>
      </c>
      <c r="B10781">
        <v>158696333.67107421</v>
      </c>
    </row>
    <row r="10782" spans="1:2" x14ac:dyDescent="0.25">
      <c r="A10782">
        <f ca="1">27916.8217552248*((RANDBETWEEN(2979,3282)))</f>
        <v>84922971.779393986</v>
      </c>
      <c r="B10782">
        <v>167975923.52477193</v>
      </c>
    </row>
    <row r="10783" spans="1:2" x14ac:dyDescent="0.25">
      <c r="A10783">
        <f ca="1">26715.3667471888*((RANDBETWEEN(2979,3282)))</f>
        <v>81775737.613144845</v>
      </c>
      <c r="B10783">
        <v>188025704.78169999</v>
      </c>
    </row>
    <row r="10784" spans="1:2" x14ac:dyDescent="0.25">
      <c r="A10784">
        <f ca="1">28708.7021695883*((RANDBETWEEN(2979,3282)))</f>
        <v>87016076.276022106</v>
      </c>
      <c r="B10784">
        <v>145698126.11685169</v>
      </c>
    </row>
    <row r="10785" spans="1:2" x14ac:dyDescent="0.25">
      <c r="A10785">
        <f ca="1">28608.7942016664*((RANDBETWEEN(2979,3282)))</f>
        <v>86455776.077435806</v>
      </c>
      <c r="B10785">
        <v>178061835.46346927</v>
      </c>
    </row>
    <row r="10786" spans="1:2" x14ac:dyDescent="0.25">
      <c r="A10786">
        <f ca="1">25516.273551918*((RANDBETWEEN(2979,3282)))</f>
        <v>79483192.114224568</v>
      </c>
      <c r="B10786">
        <v>150139700.90382451</v>
      </c>
    </row>
    <row r="10787" spans="1:2" x14ac:dyDescent="0.25">
      <c r="A10787">
        <f ca="1">31183.6304267479*((RANDBETWEEN(2979,3282)))</f>
        <v>97729497.757427931</v>
      </c>
      <c r="B10787">
        <v>144665489.51464394</v>
      </c>
    </row>
    <row r="10788" spans="1:2" x14ac:dyDescent="0.25">
      <c r="A10788">
        <f ca="1">28478.5044800038*((RANDBETWEEN(2979,3282)))</f>
        <v>92469704.046572462</v>
      </c>
      <c r="B10788">
        <v>163955400.11716262</v>
      </c>
    </row>
    <row r="10789" spans="1:2" x14ac:dyDescent="0.25">
      <c r="A10789">
        <f ca="1">27581.9194440083*((RANDBETWEEN(2979,3282)))</f>
        <v>84290345.820889339</v>
      </c>
      <c r="B10789">
        <v>148082695.09203002</v>
      </c>
    </row>
    <row r="10790" spans="1:2" x14ac:dyDescent="0.25">
      <c r="A10790">
        <f ca="1">26409.5606673349*((RANDBETWEEN(2979,3282)))</f>
        <v>80654798.278040797</v>
      </c>
      <c r="B10790">
        <v>150927280.85664025</v>
      </c>
    </row>
    <row r="10791" spans="1:2" x14ac:dyDescent="0.25">
      <c r="A10791">
        <f ca="1">26196.1021423974*((RANDBETWEEN(2979,3282)))</f>
        <v>83460781.425678149</v>
      </c>
      <c r="B10791">
        <v>161792177.86790121</v>
      </c>
    </row>
    <row r="10792" spans="1:2" x14ac:dyDescent="0.25">
      <c r="A10792">
        <f ca="1">26659.9876078675*((RANDBETWEEN(2979,3282)))</f>
        <v>83819001.039135456</v>
      </c>
      <c r="B10792">
        <v>178518551.11152446</v>
      </c>
    </row>
    <row r="10793" spans="1:2" x14ac:dyDescent="0.25">
      <c r="A10793">
        <f ca="1">27221.1737105705*((RANDBETWEEN(2979,3282)))</f>
        <v>84984504.32440123</v>
      </c>
      <c r="B10793">
        <v>202042893.87106195</v>
      </c>
    </row>
    <row r="10794" spans="1:2" x14ac:dyDescent="0.25">
      <c r="A10794">
        <f ca="1">27566.3503541173*((RANDBETWEEN(2979,3282)))</f>
        <v>84711394.638202593</v>
      </c>
      <c r="B10794">
        <v>174095687.13391089</v>
      </c>
    </row>
    <row r="10795" spans="1:2" x14ac:dyDescent="0.25">
      <c r="A10795">
        <f ca="1">29360.4400272051*((RANDBETWEEN(2979,3282)))</f>
        <v>90723759.684063658</v>
      </c>
      <c r="B10795">
        <v>160956639.72669491</v>
      </c>
    </row>
    <row r="10796" spans="1:2" x14ac:dyDescent="0.25">
      <c r="A10796">
        <f ca="1">27713.5220807086*((RANDBETWEEN(2979,3282)))</f>
        <v>83971971.904547021</v>
      </c>
      <c r="B10796">
        <v>147652534.09792429</v>
      </c>
    </row>
    <row r="10797" spans="1:2" x14ac:dyDescent="0.25">
      <c r="A10797">
        <f ca="1">28482.4964179572*((RANDBETWEEN(2979,3282)))</f>
        <v>92368735.883435205</v>
      </c>
      <c r="B10797">
        <v>148243153.30584401</v>
      </c>
    </row>
    <row r="10798" spans="1:2" x14ac:dyDescent="0.25">
      <c r="A10798">
        <f ca="1">26445.6510634719*((RANDBETWEEN(2979,3282)))</f>
        <v>81928626.99463582</v>
      </c>
      <c r="B10798">
        <v>179433212.0949465</v>
      </c>
    </row>
    <row r="10799" spans="1:2" x14ac:dyDescent="0.25">
      <c r="A10799">
        <f ca="1">28230.0438168672*((RANDBETWEEN(2979,3282)))</f>
        <v>89658619.16237016</v>
      </c>
      <c r="B10799">
        <v>163072908.09007102</v>
      </c>
    </row>
    <row r="10800" spans="1:2" x14ac:dyDescent="0.25">
      <c r="A10800">
        <f ca="1">28915.4522501537*((RANDBETWEEN(2979,3282)))</f>
        <v>92355954.486991048</v>
      </c>
      <c r="B10800">
        <v>192376800.52930415</v>
      </c>
    </row>
    <row r="10801" spans="1:2" x14ac:dyDescent="0.25">
      <c r="A10801">
        <f ca="1">25626.8974856089*((RANDBETWEEN(2979,3282)))</f>
        <v>84030596.855311662</v>
      </c>
      <c r="B10801">
        <v>143477474.86235079</v>
      </c>
    </row>
    <row r="10802" spans="1:2" x14ac:dyDescent="0.25">
      <c r="A10802">
        <f ca="1">28009.2537921519*((RANDBETWEEN(2979,3282)))</f>
        <v>84727992.721259445</v>
      </c>
      <c r="B10802">
        <v>158231848.16817221</v>
      </c>
    </row>
    <row r="10803" spans="1:2" x14ac:dyDescent="0.25">
      <c r="A10803">
        <f ca="1">30276.5602869714*((RANDBETWEEN(2979,3282)))</f>
        <v>98580480.294379011</v>
      </c>
      <c r="B10803">
        <v>145799528.46365011</v>
      </c>
    </row>
    <row r="10804" spans="1:2" x14ac:dyDescent="0.25">
      <c r="A10804">
        <f ca="1">25646.4676565111*((RANDBETWEEN(2979,3282)))</f>
        <v>83017615.804126397</v>
      </c>
      <c r="B10804">
        <v>146727848.40049607</v>
      </c>
    </row>
    <row r="10805" spans="1:2" x14ac:dyDescent="0.25">
      <c r="A10805">
        <f ca="1">26893.481075423*((RANDBETWEEN(2979,3282)))</f>
        <v>86489435.138560474</v>
      </c>
      <c r="B10805">
        <v>183148856.39429012</v>
      </c>
    </row>
    <row r="10806" spans="1:2" x14ac:dyDescent="0.25">
      <c r="A10806">
        <f ca="1">30258.4993636913*((RANDBETWEEN(2979,3282)))</f>
        <v>90836015.089801133</v>
      </c>
      <c r="B10806">
        <v>187099680.42041424</v>
      </c>
    </row>
    <row r="10807" spans="1:2" x14ac:dyDescent="0.25">
      <c r="A10807">
        <f ca="1">26671.8926537957*((RANDBETWEEN(2979,3282)))</f>
        <v>83883102.396187499</v>
      </c>
      <c r="B10807">
        <v>157656196.41295531</v>
      </c>
    </row>
    <row r="10808" spans="1:2" x14ac:dyDescent="0.25">
      <c r="A10808">
        <f ca="1">29785.8884828816*((RANDBETWEEN(2979,3282)))</f>
        <v>97310497.673574343</v>
      </c>
      <c r="B10808">
        <v>144989721.84824157</v>
      </c>
    </row>
    <row r="10809" spans="1:2" x14ac:dyDescent="0.25">
      <c r="A10809">
        <f ca="1">25479.7135079701*((RANDBETWEEN(2979,3282)))</f>
        <v>77560247.918260947</v>
      </c>
      <c r="B10809">
        <v>148704754.27775505</v>
      </c>
    </row>
    <row r="10810" spans="1:2" x14ac:dyDescent="0.25">
      <c r="A10810">
        <f ca="1">30316.1652474397*((RANDBETWEEN(2979,3282)))</f>
        <v>97102677.287549347</v>
      </c>
      <c r="B10810">
        <v>202541570.33770058</v>
      </c>
    </row>
    <row r="10811" spans="1:2" x14ac:dyDescent="0.25">
      <c r="A10811">
        <f ca="1">27559.3378639494*((RANDBETWEEN(2979,3282)))</f>
        <v>84248895.850093409</v>
      </c>
      <c r="B10811">
        <v>145595681.45023757</v>
      </c>
    </row>
    <row r="10812" spans="1:2" x14ac:dyDescent="0.25">
      <c r="A10812">
        <f ca="1">29149.5474269003*((RANDBETWEEN(2979,3282)))</f>
        <v>89226764.673741922</v>
      </c>
      <c r="B10812">
        <v>159809329.30463693</v>
      </c>
    </row>
    <row r="10813" spans="1:2" x14ac:dyDescent="0.25">
      <c r="A10813">
        <f ca="1">26759.498496932*((RANDBETWEEN(2979,3282)))</f>
        <v>83623432.802912652</v>
      </c>
      <c r="B10813">
        <v>148271264.64394808</v>
      </c>
    </row>
    <row r="10814" spans="1:2" x14ac:dyDescent="0.25">
      <c r="A10814">
        <f ca="1">27266.829803953*((RANDBETWEEN(2979,3282)))</f>
        <v>85099775.818137452</v>
      </c>
      <c r="B10814">
        <v>176917497.87316099</v>
      </c>
    </row>
    <row r="10815" spans="1:2" x14ac:dyDescent="0.25">
      <c r="A10815">
        <f ca="1">28634.9289820075*((RANDBETWEEN(2979,3282)))</f>
        <v>92204471.322064221</v>
      </c>
      <c r="B10815">
        <v>201454293.49888223</v>
      </c>
    </row>
    <row r="10816" spans="1:2" x14ac:dyDescent="0.25">
      <c r="A10816">
        <f ca="1">26341.3906868524*((RANDBETWEEN(2979,3282)))</f>
        <v>86083664.764633566</v>
      </c>
      <c r="B10816">
        <v>176289482.41011158</v>
      </c>
    </row>
    <row r="10817" spans="1:2" x14ac:dyDescent="0.25">
      <c r="A10817">
        <f ca="1">29617.3328966217*((RANDBETWEEN(2979,3282)))</f>
        <v>89355493.349107534</v>
      </c>
      <c r="B10817">
        <v>166349647.52550229</v>
      </c>
    </row>
    <row r="10818" spans="1:2" x14ac:dyDescent="0.25">
      <c r="A10818">
        <f ca="1">28915.4150702022*((RANDBETWEEN(2979,3282)))</f>
        <v>92673905.29999803</v>
      </c>
      <c r="B10818">
        <v>162176310.86013693</v>
      </c>
    </row>
    <row r="10819" spans="1:2" x14ac:dyDescent="0.25">
      <c r="A10819">
        <f ca="1">26296.0056161442*((RANDBETWEEN(2979,3282)))</f>
        <v>80912809.280875579</v>
      </c>
      <c r="B10819">
        <v>157417988.45139608</v>
      </c>
    </row>
    <row r="10820" spans="1:2" x14ac:dyDescent="0.25">
      <c r="A10820">
        <f ca="1">26617.5683946936*((RANDBETWEEN(2979,3282)))</f>
        <v>83765487.738100782</v>
      </c>
      <c r="B10820">
        <v>164068181.10195616</v>
      </c>
    </row>
    <row r="10821" spans="1:2" x14ac:dyDescent="0.25">
      <c r="A10821">
        <f ca="1">28569.7605175549*((RANDBETWEEN(2979,3282)))</f>
        <v>88366269.280797407</v>
      </c>
      <c r="B10821">
        <v>188360217.43965313</v>
      </c>
    </row>
    <row r="10822" spans="1:2" x14ac:dyDescent="0.25">
      <c r="A10822">
        <f ca="1">28120.8846829869*((RANDBETWEEN(2979,3282)))</f>
        <v>84981313.511986479</v>
      </c>
      <c r="B10822">
        <v>150589848.45615733</v>
      </c>
    </row>
    <row r="10823" spans="1:2" x14ac:dyDescent="0.25">
      <c r="A10823">
        <f ca="1">28317.5197211277*((RANDBETWEEN(2979,3282)))</f>
        <v>84782654.045056447</v>
      </c>
      <c r="B10823">
        <v>155283043.32121181</v>
      </c>
    </row>
    <row r="10824" spans="1:2" x14ac:dyDescent="0.25">
      <c r="A10824">
        <f ca="1">25878.510246191*((RANDBETWEEN(2979,3282)))</f>
        <v>79886961.129991651</v>
      </c>
      <c r="B10824">
        <v>165275911.01743749</v>
      </c>
    </row>
    <row r="10825" spans="1:2" x14ac:dyDescent="0.25">
      <c r="A10825">
        <f ca="1">28454.8532283899*((RANDBETWEEN(2979,3282)))</f>
        <v>91738446.808328912</v>
      </c>
      <c r="B10825">
        <v>184275402.67945835</v>
      </c>
    </row>
    <row r="10826" spans="1:2" x14ac:dyDescent="0.25">
      <c r="A10826">
        <f ca="1">26419.907821078*((RANDBETWEEN(2979,3282)))</f>
        <v>85574081.432471737</v>
      </c>
      <c r="B10826">
        <v>195449218.82496405</v>
      </c>
    </row>
    <row r="10827" spans="1:2" x14ac:dyDescent="0.25">
      <c r="A10827">
        <f ca="1">25703.4917019361*((RANDBETWEEN(2979,3282)))</f>
        <v>83716272.473205879</v>
      </c>
      <c r="B10827">
        <v>155126877.00583476</v>
      </c>
    </row>
    <row r="10828" spans="1:2" x14ac:dyDescent="0.25">
      <c r="A10828">
        <f ca="1">26903.365170091*((RANDBETWEEN(2979,3282)))</f>
        <v>86467415.656672463</v>
      </c>
      <c r="B10828">
        <v>186374208.135272</v>
      </c>
    </row>
    <row r="10829" spans="1:2" x14ac:dyDescent="0.25">
      <c r="A10829">
        <f ca="1">30686.3045851739*((RANDBETWEEN(2979,3282)))</f>
        <v>98134802.063386187</v>
      </c>
      <c r="B10829">
        <v>179927253.68330958</v>
      </c>
    </row>
    <row r="10830" spans="1:2" x14ac:dyDescent="0.25">
      <c r="A10830">
        <f ca="1">31610.64124638*((RANDBETWEEN(2979,3282)))</f>
        <v>97740102.733806893</v>
      </c>
      <c r="B10830">
        <v>194077276.13649613</v>
      </c>
    </row>
    <row r="10831" spans="1:2" x14ac:dyDescent="0.25">
      <c r="A10831">
        <f ca="1">31791.2820406211*((RANDBETWEEN(2979,3282)))</f>
        <v>99093426.120615959</v>
      </c>
      <c r="B10831">
        <v>198323512.35169852</v>
      </c>
    </row>
    <row r="10832" spans="1:2" x14ac:dyDescent="0.25">
      <c r="A10832">
        <f ca="1">27271.3994887167*((RANDBETWEEN(2979,3282)))</f>
        <v>83995910.425247461</v>
      </c>
      <c r="B10832">
        <v>155146643.93918982</v>
      </c>
    </row>
    <row r="10833" spans="1:2" x14ac:dyDescent="0.25">
      <c r="A10833">
        <f ca="1">30249.8611618476*((RANDBETWEEN(2979,3282)))</f>
        <v>94016568.491022348</v>
      </c>
      <c r="B10833">
        <v>166525689.81803223</v>
      </c>
    </row>
    <row r="10834" spans="1:2" x14ac:dyDescent="0.25">
      <c r="A10834">
        <f ca="1">28334.9913971894*((RANDBETWEEN(2979,3282)))</f>
        <v>90615302.488211587</v>
      </c>
      <c r="B10834">
        <v>157745505.96076974</v>
      </c>
    </row>
    <row r="10835" spans="1:2" x14ac:dyDescent="0.25">
      <c r="A10835">
        <f ca="1">28219.6302339838*((RANDBETWEEN(2979,3282)))</f>
        <v>86916461.12067014</v>
      </c>
      <c r="B10835">
        <v>152958481.58965355</v>
      </c>
    </row>
    <row r="10836" spans="1:2" x14ac:dyDescent="0.25">
      <c r="A10836">
        <f ca="1">26272.3373301346*((RANDBETWEEN(2979,3282)))</f>
        <v>78738194.978413418</v>
      </c>
      <c r="B10836">
        <v>171177437.4781034</v>
      </c>
    </row>
    <row r="10837" spans="1:2" x14ac:dyDescent="0.25">
      <c r="A10837">
        <f ca="1">25784.4817909268*((RANDBETWEEN(2979,3282)))</f>
        <v>82355634.840220183</v>
      </c>
      <c r="B10837">
        <v>167368447.88965103</v>
      </c>
    </row>
    <row r="10838" spans="1:2" x14ac:dyDescent="0.25">
      <c r="A10838">
        <f ca="1">26201.0575794648*((RANDBETWEEN(2979,3282)))</f>
        <v>83528971.563333914</v>
      </c>
      <c r="B10838">
        <v>157106692.0810734</v>
      </c>
    </row>
    <row r="10839" spans="1:2" x14ac:dyDescent="0.25">
      <c r="A10839">
        <f ca="1">29790.9183671629*((RANDBETWEEN(2979,3282)))</f>
        <v>92590174.285142362</v>
      </c>
      <c r="B10839">
        <v>185103238.20716581</v>
      </c>
    </row>
    <row r="10840" spans="1:2" x14ac:dyDescent="0.25">
      <c r="A10840">
        <f ca="1">26601.0560321446*((RANDBETWEEN(2979,3282)))</f>
        <v>84883969.798573434</v>
      </c>
      <c r="B10840">
        <v>149943648.11216044</v>
      </c>
    </row>
    <row r="10841" spans="1:2" x14ac:dyDescent="0.25">
      <c r="A10841">
        <f ca="1">28894.9681777389*((RANDBETWEEN(2979,3282)))</f>
        <v>89343241.605568767</v>
      </c>
      <c r="B10841">
        <v>183042198.79443538</v>
      </c>
    </row>
    <row r="10842" spans="1:2" x14ac:dyDescent="0.25">
      <c r="A10842">
        <f ca="1">25836.9346008089*((RANDBETWEEN(2979,3282)))</f>
        <v>77769173.148434922</v>
      </c>
      <c r="B10842">
        <v>149035894.93807879</v>
      </c>
    </row>
    <row r="10843" spans="1:2" x14ac:dyDescent="0.25">
      <c r="A10843">
        <f ca="1">32059.0785810515*((RANDBETWEEN(2979,3282)))</f>
        <v>98549607.558152452</v>
      </c>
      <c r="B10843">
        <v>181775592.16279727</v>
      </c>
    </row>
    <row r="10844" spans="1:2" x14ac:dyDescent="0.25">
      <c r="A10844">
        <f ca="1">25535.6526240415*((RANDBETWEEN(2979,3282)))</f>
        <v>81382124.91282019</v>
      </c>
      <c r="B10844">
        <v>147854967.94183582</v>
      </c>
    </row>
    <row r="10845" spans="1:2" x14ac:dyDescent="0.25">
      <c r="A10845">
        <f ca="1">26934.4126156471*((RANDBETWEEN(2979,3282)))</f>
        <v>81368860.511869952</v>
      </c>
      <c r="B10845">
        <v>166176599.79295045</v>
      </c>
    </row>
    <row r="10846" spans="1:2" x14ac:dyDescent="0.25">
      <c r="A10846">
        <f ca="1">27278.3868092209*((RANDBETWEEN(2979,3282)))</f>
        <v>88982097.771678582</v>
      </c>
      <c r="B10846">
        <v>145278768.91811734</v>
      </c>
    </row>
    <row r="10847" spans="1:2" x14ac:dyDescent="0.25">
      <c r="A10847">
        <f ca="1">27252.6853782388*((RANDBETWEEN(2979,3282)))</f>
        <v>83829260.223462433</v>
      </c>
      <c r="B10847">
        <v>145238031.84425279</v>
      </c>
    </row>
    <row r="10848" spans="1:2" x14ac:dyDescent="0.25">
      <c r="A10848">
        <f ca="1">26772.0300389133*((RANDBETWEEN(2979,3282)))</f>
        <v>85429547.854172349</v>
      </c>
      <c r="B10848">
        <v>145601593.4218623</v>
      </c>
    </row>
    <row r="10849" spans="1:2" x14ac:dyDescent="0.25">
      <c r="A10849">
        <f ca="1">25874.1435468603*((RANDBETWEEN(2979,3282)))</f>
        <v>78036416.937330753</v>
      </c>
      <c r="B10849">
        <v>156702384.61465311</v>
      </c>
    </row>
    <row r="10850" spans="1:2" x14ac:dyDescent="0.25">
      <c r="A10850">
        <f ca="1">26784.1854415612*((RANDBETWEEN(2979,3282)))</f>
        <v>79950793.543060169</v>
      </c>
      <c r="B10850">
        <v>153578479.33801317</v>
      </c>
    </row>
    <row r="10851" spans="1:2" x14ac:dyDescent="0.25">
      <c r="A10851">
        <f ca="1">26883.8356278436*((RANDBETWEEN(2979,3282)))</f>
        <v>83044168.254408866</v>
      </c>
      <c r="B10851">
        <v>167784388.03283498</v>
      </c>
    </row>
    <row r="10852" spans="1:2" x14ac:dyDescent="0.25">
      <c r="A10852">
        <f ca="1">27264.963157512*((RANDBETWEEN(2979,3282)))</f>
        <v>84030616.451451987</v>
      </c>
      <c r="B10852">
        <v>171039154.13799047</v>
      </c>
    </row>
    <row r="10853" spans="1:2" x14ac:dyDescent="0.25">
      <c r="A10853">
        <f ca="1">27341.1420515631*((RANDBETWEEN(2979,3282)))</f>
        <v>83527188.967525154</v>
      </c>
      <c r="B10853">
        <v>203633714.2450206</v>
      </c>
    </row>
    <row r="10854" spans="1:2" x14ac:dyDescent="0.25">
      <c r="A10854">
        <f ca="1">26610.7953972808*((RANDBETWEEN(2979,3282)))</f>
        <v>81588698.688062996</v>
      </c>
      <c r="B10854">
        <v>147120251.19682801</v>
      </c>
    </row>
    <row r="10855" spans="1:2" x14ac:dyDescent="0.25">
      <c r="A10855">
        <f ca="1">29553.2335574566*((RANDBETWEEN(2979,3282)))</f>
        <v>94836326.485878363</v>
      </c>
      <c r="B10855">
        <v>181884424.0931915</v>
      </c>
    </row>
    <row r="10856" spans="1:2" x14ac:dyDescent="0.25">
      <c r="A10856">
        <f ca="1">27919.0489563631*((RANDBETWEEN(2979,3282)))</f>
        <v>83785065.918045565</v>
      </c>
      <c r="B10856">
        <v>181189278.78302318</v>
      </c>
    </row>
    <row r="10857" spans="1:2" x14ac:dyDescent="0.25">
      <c r="A10857">
        <f ca="1">30165.9835776127*((RANDBETWEEN(2979,3282)))</f>
        <v>92760399.501158938</v>
      </c>
      <c r="B10857">
        <v>157983872.73966694</v>
      </c>
    </row>
    <row r="10858" spans="1:2" x14ac:dyDescent="0.25">
      <c r="A10858">
        <f ca="1">28811.9365631996*((RANDBETWEEN(2979,3282)))</f>
        <v>90181361.442814618</v>
      </c>
      <c r="B10858">
        <v>153182333.43733108</v>
      </c>
    </row>
    <row r="10859" spans="1:2" x14ac:dyDescent="0.25">
      <c r="A10859">
        <f ca="1">27509.7214789443*((RANDBETWEEN(2979,3282)))</f>
        <v>89379085.085089907</v>
      </c>
      <c r="B10859">
        <v>157762420.57154739</v>
      </c>
    </row>
    <row r="10860" spans="1:2" x14ac:dyDescent="0.25">
      <c r="A10860">
        <f ca="1">27148.3343425833*((RANDBETWEEN(2979,3282)))</f>
        <v>85327214.838739425</v>
      </c>
      <c r="B10860">
        <v>145026149.41158709</v>
      </c>
    </row>
    <row r="10861" spans="1:2" x14ac:dyDescent="0.25">
      <c r="A10861">
        <f ca="1">27327.0676824112*((RANDBETWEEN(2979,3282)))</f>
        <v>83156266.957577318</v>
      </c>
      <c r="B10861">
        <v>191067865.86730307</v>
      </c>
    </row>
    <row r="10862" spans="1:2" x14ac:dyDescent="0.25">
      <c r="A10862">
        <f ca="1">26822.2732584285*((RANDBETWEEN(2979,3282)))</f>
        <v>81378777.066072062</v>
      </c>
      <c r="B10862">
        <v>196522881.56002831</v>
      </c>
    </row>
    <row r="10863" spans="1:2" x14ac:dyDescent="0.25">
      <c r="A10863">
        <f ca="1">30825.8188795444*((RANDBETWEEN(2979,3282)))</f>
        <v>95005173.786755979</v>
      </c>
      <c r="B10863">
        <v>181732130.35677049</v>
      </c>
    </row>
    <row r="10864" spans="1:2" x14ac:dyDescent="0.25">
      <c r="A10864">
        <f ca="1">28833.6295447092*((RANDBETWEEN(2979,3282)))</f>
        <v>91633274.693085894</v>
      </c>
      <c r="B10864">
        <v>156556336.19647324</v>
      </c>
    </row>
    <row r="10865" spans="1:2" x14ac:dyDescent="0.25">
      <c r="A10865">
        <f ca="1">26458.6944675916*((RANDBETWEEN(2979,3282)))</f>
        <v>85911380.936269775</v>
      </c>
      <c r="B10865">
        <v>159292648.12691671</v>
      </c>
    </row>
    <row r="10866" spans="1:2" x14ac:dyDescent="0.25">
      <c r="A10866">
        <f ca="1">32806.7295592535*((RANDBETWEEN(2979,3282)))</f>
        <v>99863684.778367683</v>
      </c>
      <c r="B10866">
        <v>179044968.2641114</v>
      </c>
    </row>
    <row r="10867" spans="1:2" x14ac:dyDescent="0.25">
      <c r="A10867">
        <f ca="1">30811.4139841758*((RANDBETWEEN(2979,3282)))</f>
        <v>99181941.615062043</v>
      </c>
      <c r="B10867">
        <v>173278392.40830481</v>
      </c>
    </row>
    <row r="10868" spans="1:2" x14ac:dyDescent="0.25">
      <c r="A10868">
        <f ca="1">26677.523822052*((RANDBETWEEN(2979,3282)))</f>
        <v>81659900.419301257</v>
      </c>
      <c r="B10868">
        <v>143678782.4496485</v>
      </c>
    </row>
    <row r="10869" spans="1:2" x14ac:dyDescent="0.25">
      <c r="A10869">
        <f ca="1">30399.0274467781*((RANDBETWEEN(2979,3282)))</f>
        <v>96608109.225860789</v>
      </c>
      <c r="B10869">
        <v>145368532.45980147</v>
      </c>
    </row>
    <row r="10870" spans="1:2" x14ac:dyDescent="0.25">
      <c r="A10870">
        <f ca="1">27148.4218075272*((RANDBETWEEN(2979,3282)))</f>
        <v>82395460.185845137</v>
      </c>
      <c r="B10870">
        <v>154434602.44253409</v>
      </c>
    </row>
    <row r="10871" spans="1:2" x14ac:dyDescent="0.25">
      <c r="A10871">
        <f ca="1">28428.1727182501*((RANDBETWEEN(2979,3282)))</f>
        <v>90486873.762189969</v>
      </c>
      <c r="B10871">
        <v>197562670.58718517</v>
      </c>
    </row>
    <row r="10872" spans="1:2" x14ac:dyDescent="0.25">
      <c r="A10872">
        <f ca="1">29851.4160132615*((RANDBETWEEN(2979,3282)))</f>
        <v>95852896.818582729</v>
      </c>
      <c r="B10872">
        <v>171509017.19373405</v>
      </c>
    </row>
    <row r="10873" spans="1:2" x14ac:dyDescent="0.25">
      <c r="A10873">
        <f ca="1">25501.1264769536*((RANDBETWEEN(2979,3282)))</f>
        <v>76681887.316199481</v>
      </c>
      <c r="B10873">
        <v>159298623.97744957</v>
      </c>
    </row>
    <row r="10874" spans="1:2" x14ac:dyDescent="0.25">
      <c r="A10874">
        <f ca="1">29514.8316376812*((RANDBETWEEN(2979,3282)))</f>
        <v>91082770.433884144</v>
      </c>
      <c r="B10874">
        <v>157674120.53881267</v>
      </c>
    </row>
    <row r="10875" spans="1:2" x14ac:dyDescent="0.25">
      <c r="A10875">
        <f ca="1">26332.2933160817*((RANDBETWEEN(2979,3282)))</f>
        <v>79734184.161095336</v>
      </c>
      <c r="B10875">
        <v>153212494.1396268</v>
      </c>
    </row>
    <row r="10876" spans="1:2" x14ac:dyDescent="0.25">
      <c r="A10876">
        <f ca="1">27078.0244051692*((RANDBETWEEN(2979,3282)))</f>
        <v>83102456.899464354</v>
      </c>
      <c r="B10876">
        <v>153767768.50064024</v>
      </c>
    </row>
    <row r="10877" spans="1:2" x14ac:dyDescent="0.25">
      <c r="A10877">
        <f ca="1">30964.4010382345*((RANDBETWEEN(2979,3282)))</f>
        <v>98404866.499509156</v>
      </c>
      <c r="B10877">
        <v>172925175.63212746</v>
      </c>
    </row>
    <row r="10878" spans="1:2" x14ac:dyDescent="0.25">
      <c r="A10878">
        <f ca="1">26852.799475278*((RANDBETWEEN(2979,3282)))</f>
        <v>84452054.349749431</v>
      </c>
      <c r="B10878">
        <v>166075219.46519142</v>
      </c>
    </row>
    <row r="10879" spans="1:2" x14ac:dyDescent="0.25">
      <c r="A10879">
        <f ca="1">26705.1244432016*((RANDBETWEEN(2979,3282)))</f>
        <v>87646218.422587678</v>
      </c>
      <c r="B10879">
        <v>179565644.29662883</v>
      </c>
    </row>
    <row r="10880" spans="1:2" x14ac:dyDescent="0.25">
      <c r="A10880">
        <f ca="1">30199.625675089*((RANDBETWEEN(2979,3282)))</f>
        <v>97242794.673786461</v>
      </c>
      <c r="B10880">
        <v>203074490.65864408</v>
      </c>
    </row>
    <row r="10881" spans="1:2" x14ac:dyDescent="0.25">
      <c r="A10881">
        <f ca="1">28002.5284312193*((RANDBETWEEN(2979,3282)))</f>
        <v>88908027.769121408</v>
      </c>
      <c r="B10881">
        <v>158206607.06744593</v>
      </c>
    </row>
    <row r="10882" spans="1:2" x14ac:dyDescent="0.25">
      <c r="A10882">
        <f ca="1">27111.4515462473*((RANDBETWEEN(2979,3282)))</f>
        <v>84533505.921199173</v>
      </c>
      <c r="B10882">
        <v>148609583.18403774</v>
      </c>
    </row>
    <row r="10883" spans="1:2" x14ac:dyDescent="0.25">
      <c r="A10883">
        <f ca="1">27271.2277431391*((RANDBETWEEN(2979,3282)))</f>
        <v>89204185.947808057</v>
      </c>
      <c r="B10883">
        <v>191010426.41209576</v>
      </c>
    </row>
    <row r="10884" spans="1:2" x14ac:dyDescent="0.25">
      <c r="A10884">
        <f ca="1">27193.3526225755*((RANDBETWEEN(2979,3282)))</f>
        <v>81063384.167897478</v>
      </c>
      <c r="B10884">
        <v>151755800.9188062</v>
      </c>
    </row>
    <row r="10885" spans="1:2" x14ac:dyDescent="0.25">
      <c r="A10885">
        <f ca="1">29354.9514823436*((RANDBETWEEN(2979,3282)))</f>
        <v>90648090.177477062</v>
      </c>
      <c r="B10885">
        <v>166566659.54284289</v>
      </c>
    </row>
    <row r="10886" spans="1:2" x14ac:dyDescent="0.25">
      <c r="A10886">
        <f ca="1">25324.928376126*((RANDBETWEEN(2979,3282)))</f>
        <v>81217045.302236244</v>
      </c>
      <c r="B10886">
        <v>193150212.7259964</v>
      </c>
    </row>
    <row r="10887" spans="1:2" x14ac:dyDescent="0.25">
      <c r="A10887">
        <f ca="1">27498.1577885022*((RANDBETWEEN(2979,3282)))</f>
        <v>82521971.52329506</v>
      </c>
      <c r="B10887">
        <v>151032884.97866711</v>
      </c>
    </row>
    <row r="10888" spans="1:2" x14ac:dyDescent="0.25">
      <c r="A10888">
        <f ca="1">27136.4441338934*((RANDBETWEEN(2979,3282)))</f>
        <v>88410534.98822473</v>
      </c>
      <c r="B10888">
        <v>146964443.41791612</v>
      </c>
    </row>
    <row r="10889" spans="1:2" x14ac:dyDescent="0.25">
      <c r="A10889">
        <f ca="1">29453.7461453473*((RANDBETWEEN(2979,3282)))</f>
        <v>94340348.903547391</v>
      </c>
      <c r="B10889">
        <v>190929907.18402186</v>
      </c>
    </row>
    <row r="10890" spans="1:2" x14ac:dyDescent="0.25">
      <c r="A10890">
        <f ca="1">27052.3580723557*((RANDBETWEEN(2979,3282)))</f>
        <v>87757849.586721838</v>
      </c>
      <c r="B10890">
        <v>145914888.71699479</v>
      </c>
    </row>
    <row r="10891" spans="1:2" x14ac:dyDescent="0.25">
      <c r="A10891">
        <f ca="1">26263.5683042406*((RANDBETWEEN(2979,3282)))</f>
        <v>83465620.070876658</v>
      </c>
      <c r="B10891">
        <v>189788557.32943586</v>
      </c>
    </row>
    <row r="10892" spans="1:2" x14ac:dyDescent="0.25">
      <c r="A10892">
        <f ca="1">30943.4399305198*((RANDBETWEEN(2979,3282)))</f>
        <v>98585799.618636146</v>
      </c>
      <c r="B10892">
        <v>187601691.65948367</v>
      </c>
    </row>
    <row r="10893" spans="1:2" x14ac:dyDescent="0.25">
      <c r="A10893">
        <f ca="1">28464.1826170716*((RANDBETWEEN(2979,3282)))</f>
        <v>90943063.461543858</v>
      </c>
      <c r="B10893">
        <v>159401134.65769565</v>
      </c>
    </row>
    <row r="10894" spans="1:2" x14ac:dyDescent="0.25">
      <c r="A10894">
        <f ca="1">28349.8668787965*((RANDBETWEEN(2979,3282)))</f>
        <v>86665543.048480868</v>
      </c>
      <c r="B10894">
        <v>149311460.97886825</v>
      </c>
    </row>
    <row r="10895" spans="1:2" x14ac:dyDescent="0.25">
      <c r="A10895">
        <f ca="1">26350.4318940455*((RANDBETWEEN(2979,3282)))</f>
        <v>84136929.037687123</v>
      </c>
      <c r="B10895">
        <v>176171222.36707464</v>
      </c>
    </row>
    <row r="10896" spans="1:2" x14ac:dyDescent="0.25">
      <c r="A10896">
        <f ca="1">28118.9577394465*((RANDBETWEEN(2979,3282)))</f>
        <v>84328754.26060015</v>
      </c>
      <c r="B10896">
        <v>177264132.95331511</v>
      </c>
    </row>
    <row r="10897" spans="1:2" x14ac:dyDescent="0.25">
      <c r="A10897">
        <f ca="1">31479.3882432275*((RANDBETWEEN(2979,3282)))</f>
        <v>101898779.74332748</v>
      </c>
      <c r="B10897">
        <v>180242541.24137619</v>
      </c>
    </row>
    <row r="10898" spans="1:2" x14ac:dyDescent="0.25">
      <c r="A10898">
        <f ca="1">30737.3810411836*((RANDBETWEEN(2979,3282)))</f>
        <v>99742801.478640631</v>
      </c>
      <c r="B10898">
        <v>162946227.4735786</v>
      </c>
    </row>
    <row r="10899" spans="1:2" x14ac:dyDescent="0.25">
      <c r="A10899">
        <f ca="1">31065.7201493546*((RANDBETWEEN(2979,3282)))</f>
        <v>99441370.198084101</v>
      </c>
      <c r="B10899">
        <v>186511607.7773301</v>
      </c>
    </row>
    <row r="10900" spans="1:2" x14ac:dyDescent="0.25">
      <c r="A10900">
        <f ca="1">28784.1619600625*((RANDBETWEEN(2979,3282)))</f>
        <v>91447282.547118679</v>
      </c>
      <c r="B10900">
        <v>180837032.10778478</v>
      </c>
    </row>
    <row r="10901" spans="1:2" x14ac:dyDescent="0.25">
      <c r="A10901">
        <f ca="1">28613.4672152896*((RANDBETWEEN(2979,3282)))</f>
        <v>90561623.736391619</v>
      </c>
      <c r="B10901">
        <v>145669419.22913018</v>
      </c>
    </row>
    <row r="10902" spans="1:2" x14ac:dyDescent="0.25">
      <c r="A10902">
        <f ca="1">26111.420375182*((RANDBETWEEN(2979,3282)))</f>
        <v>83086539.633829266</v>
      </c>
      <c r="B10902">
        <v>199387083.95864317</v>
      </c>
    </row>
    <row r="10903" spans="1:2" x14ac:dyDescent="0.25">
      <c r="A10903">
        <f ca="1">31031.1009480286*((RANDBETWEEN(2979,3282)))</f>
        <v>96848066.058797106</v>
      </c>
      <c r="B10903">
        <v>155679550.20327947</v>
      </c>
    </row>
    <row r="10904" spans="1:2" x14ac:dyDescent="0.25">
      <c r="A10904">
        <f ca="1">27981.538607641*((RANDBETWEEN(2979,3282)))</f>
        <v>87526252.764700979</v>
      </c>
      <c r="B10904">
        <v>168479889.10051152</v>
      </c>
    </row>
    <row r="10905" spans="1:2" x14ac:dyDescent="0.25">
      <c r="A10905">
        <f ca="1">27493.2189490982*((RANDBETWEEN(2979,3282)))</f>
        <v>82314697.533600017</v>
      </c>
      <c r="B10905">
        <v>151098968.1747683</v>
      </c>
    </row>
    <row r="10906" spans="1:2" x14ac:dyDescent="0.25">
      <c r="A10906">
        <f ca="1">27118.3696045914*((RANDBETWEEN(2979,3282)))</f>
        <v>81680529.249029174</v>
      </c>
      <c r="B10906">
        <v>169808751.43596902</v>
      </c>
    </row>
    <row r="10907" spans="1:2" x14ac:dyDescent="0.25">
      <c r="A10907">
        <f ca="1">27432.8008379774*((RANDBETWEEN(2979,3282)))</f>
        <v>88031857.889069349</v>
      </c>
      <c r="B10907">
        <v>150983218.10797375</v>
      </c>
    </row>
    <row r="10908" spans="1:2" x14ac:dyDescent="0.25">
      <c r="A10908">
        <f ca="1">31584.9522557803*((RANDBETWEEN(2979,3282)))</f>
        <v>100850752.55270641</v>
      </c>
      <c r="B10908">
        <v>197568838.34174997</v>
      </c>
    </row>
    <row r="10909" spans="1:2" x14ac:dyDescent="0.25">
      <c r="A10909">
        <f ca="1">28535.7363640359*((RANDBETWEEN(2979,3282)))</f>
        <v>92912357.601300895</v>
      </c>
      <c r="B10909">
        <v>189198782.14979604</v>
      </c>
    </row>
    <row r="10910" spans="1:2" x14ac:dyDescent="0.25">
      <c r="A10910">
        <f ca="1">29498.3027129779*((RANDBETWEEN(2979,3282)))</f>
        <v>92064202.767204106</v>
      </c>
      <c r="B10910">
        <v>179384404.32257211</v>
      </c>
    </row>
    <row r="10911" spans="1:2" x14ac:dyDescent="0.25">
      <c r="A10911">
        <f ca="1">26555.3412847236*((RANDBETWEEN(2979,3282)))</f>
        <v>83675880.388163999</v>
      </c>
      <c r="B10911">
        <v>161967097.6250892</v>
      </c>
    </row>
    <row r="10912" spans="1:2" x14ac:dyDescent="0.25">
      <c r="A10912">
        <f ca="1">31527.6275133871*((RANDBETWEEN(2979,3282)))</f>
        <v>97861755.801553681</v>
      </c>
      <c r="B10912">
        <v>173555328.03862119</v>
      </c>
    </row>
    <row r="10913" spans="1:2" x14ac:dyDescent="0.25">
      <c r="A10913">
        <f ca="1">27207.2607325247*((RANDBETWEEN(2979,3282)))</f>
        <v>84478544.574489102</v>
      </c>
      <c r="B10913">
        <v>150548150.10357523</v>
      </c>
    </row>
    <row r="10914" spans="1:2" x14ac:dyDescent="0.25">
      <c r="A10914">
        <f ca="1">28027.3515873786*((RANDBETWEEN(2979,3282)))</f>
        <v>85763695.857378572</v>
      </c>
      <c r="B10914">
        <v>194956355.22223562</v>
      </c>
    </row>
    <row r="10915" spans="1:2" x14ac:dyDescent="0.25">
      <c r="A10915">
        <f ca="1">29863.6891233341*((RANDBETWEEN(2979,3282)))</f>
        <v>89262566.789645612</v>
      </c>
      <c r="B10915">
        <v>166609104.34718484</v>
      </c>
    </row>
    <row r="10916" spans="1:2" x14ac:dyDescent="0.25">
      <c r="A10916">
        <f ca="1">31950.9733646879*((RANDBETWEEN(2979,3282)))</f>
        <v>101604095.29970747</v>
      </c>
      <c r="B10916">
        <v>180101603.58381397</v>
      </c>
    </row>
    <row r="10917" spans="1:2" x14ac:dyDescent="0.25">
      <c r="A10917">
        <f ca="1">27812.4841979287*((RANDBETWEEN(2979,3282)))</f>
        <v>88471512.233611107</v>
      </c>
      <c r="B10917">
        <v>147180481.99292171</v>
      </c>
    </row>
    <row r="10918" spans="1:2" x14ac:dyDescent="0.25">
      <c r="A10918">
        <f ca="1">26528.2539181918*((RANDBETWEEN(2979,3282)))</f>
        <v>83935395.397158742</v>
      </c>
      <c r="B10918">
        <v>176721514.71293327</v>
      </c>
    </row>
    <row r="10919" spans="1:2" x14ac:dyDescent="0.25">
      <c r="A10919">
        <f ca="1">26026.9454683208*((RANDBETWEEN(2979,3282)))</f>
        <v>77664405.277469158</v>
      </c>
      <c r="B10919">
        <v>156941848.39475602</v>
      </c>
    </row>
    <row r="10920" spans="1:2" x14ac:dyDescent="0.25">
      <c r="A10920">
        <f ca="1">25886.5242865153*((RANDBETWEEN(2979,3282)))</f>
        <v>82552125.949697271</v>
      </c>
      <c r="B10920">
        <v>165181317.42505231</v>
      </c>
    </row>
    <row r="10921" spans="1:2" x14ac:dyDescent="0.25">
      <c r="A10921">
        <f ca="1">32956.5438813244*((RANDBETWEEN(2979,3282)))</f>
        <v>102330068.75151215</v>
      </c>
      <c r="B10921">
        <v>201979607.82153255</v>
      </c>
    </row>
    <row r="10922" spans="1:2" x14ac:dyDescent="0.25">
      <c r="A10922">
        <f ca="1">27454.172818931*((RANDBETWEEN(2979,3282)))</f>
        <v>82142885.074241564</v>
      </c>
      <c r="B10922">
        <v>165012605.47962949</v>
      </c>
    </row>
    <row r="10923" spans="1:2" x14ac:dyDescent="0.25">
      <c r="A10923">
        <f ca="1">28695.4517788549*((RANDBETWEEN(2979,3282)))</f>
        <v>89357636.839354053</v>
      </c>
      <c r="B10923">
        <v>185872654.01486844</v>
      </c>
    </row>
    <row r="10924" spans="1:2" x14ac:dyDescent="0.25">
      <c r="A10924">
        <f ca="1">26400.355237379*((RANDBETWEEN(2979,3282)))</f>
        <v>83372321.839642733</v>
      </c>
      <c r="B10924">
        <v>145435544.86912349</v>
      </c>
    </row>
    <row r="10925" spans="1:2" x14ac:dyDescent="0.25">
      <c r="A10925">
        <f ca="1">26713.1685877142*((RANDBETWEEN(2979,3282)))</f>
        <v>80780621.809247673</v>
      </c>
      <c r="B10925">
        <v>161387901.88324064</v>
      </c>
    </row>
    <row r="10926" spans="1:2" x14ac:dyDescent="0.25">
      <c r="A10926">
        <f ca="1">26977.965053111*((RANDBETWEEN(2979,3282)))</f>
        <v>87732342.352716938</v>
      </c>
      <c r="B10926">
        <v>193318733.67479327</v>
      </c>
    </row>
    <row r="10927" spans="1:2" x14ac:dyDescent="0.25">
      <c r="A10927">
        <f ca="1">27523.0089948393*((RANDBETWEEN(2979,3282)))</f>
        <v>85926834.081888169</v>
      </c>
      <c r="B10927">
        <v>175898607.49003595</v>
      </c>
    </row>
    <row r="10928" spans="1:2" x14ac:dyDescent="0.25">
      <c r="A10928">
        <f ca="1">27406.4214470943*((RANDBETWEEN(2979,3282)))</f>
        <v>81671135.912340939</v>
      </c>
      <c r="B10928">
        <v>163099536.58546782</v>
      </c>
    </row>
    <row r="10929" spans="1:2" x14ac:dyDescent="0.25">
      <c r="A10929">
        <f ca="1">27805.7446252179*((RANDBETWEEN(2979,3282)))</f>
        <v>87838347.271063223</v>
      </c>
      <c r="B10929">
        <v>183023184.45493937</v>
      </c>
    </row>
    <row r="10930" spans="1:2" x14ac:dyDescent="0.25">
      <c r="A10930">
        <f ca="1">30199.3730961937*((RANDBETWEEN(2979,3282)))</f>
        <v>95611215.222549215</v>
      </c>
      <c r="B10930">
        <v>176177406.54642338</v>
      </c>
    </row>
    <row r="10931" spans="1:2" x14ac:dyDescent="0.25">
      <c r="A10931">
        <f ca="1">28325.8825083631*((RANDBETWEEN(2979,3282)))</f>
        <v>87215392.243249968</v>
      </c>
      <c r="B10931">
        <v>170940333.77132729</v>
      </c>
    </row>
    <row r="10932" spans="1:2" x14ac:dyDescent="0.25">
      <c r="A10932">
        <f ca="1">26808.0156748803*((RANDBETWEEN(2979,3282)))</f>
        <v>81603599.714335546</v>
      </c>
      <c r="B10932">
        <v>143462899.05880287</v>
      </c>
    </row>
    <row r="10933" spans="1:2" x14ac:dyDescent="0.25">
      <c r="A10933">
        <f ca="1">25845.1644687669*((RANDBETWEEN(2979,3282)))</f>
        <v>83350655.411773175</v>
      </c>
      <c r="B10933">
        <v>147138955.52125913</v>
      </c>
    </row>
    <row r="10934" spans="1:2" x14ac:dyDescent="0.25">
      <c r="A10934">
        <f ca="1">27165.6266729622*((RANDBETWEEN(2979,3282)))</f>
        <v>82827995.725861877</v>
      </c>
      <c r="B10934">
        <v>148516781.38646531</v>
      </c>
    </row>
    <row r="10935" spans="1:2" x14ac:dyDescent="0.25">
      <c r="A10935">
        <f ca="1">32452.4875581013*((RANDBETWEEN(2979,3282)))</f>
        <v>98298584.813488826</v>
      </c>
      <c r="B10935">
        <v>190672654.77536169</v>
      </c>
    </row>
    <row r="10936" spans="1:2" x14ac:dyDescent="0.25">
      <c r="A10936">
        <f ca="1">30725.3842024295*((RANDBETWEEN(2979,3282)))</f>
        <v>92268328.759895742</v>
      </c>
      <c r="B10936">
        <v>200077882.16076827</v>
      </c>
    </row>
    <row r="10937" spans="1:2" x14ac:dyDescent="0.25">
      <c r="A10937">
        <f ca="1">26951.2721279407*((RANDBETWEEN(2979,3282)))</f>
        <v>81985769.813195646</v>
      </c>
      <c r="B10937">
        <v>167121526.29298729</v>
      </c>
    </row>
    <row r="10938" spans="1:2" x14ac:dyDescent="0.25">
      <c r="A10938">
        <f ca="1">27885.8116326431*((RANDBETWEEN(2979,3282)))</f>
        <v>86446016.061193541</v>
      </c>
      <c r="B10938">
        <v>174086432.96243477</v>
      </c>
    </row>
    <row r="10939" spans="1:2" x14ac:dyDescent="0.25">
      <c r="A10939">
        <f ca="1">27364.3911112358*((RANDBETWEEN(2979,3282)))</f>
        <v>83680308.018158928</v>
      </c>
      <c r="B10939">
        <v>159885466.55409646</v>
      </c>
    </row>
    <row r="10940" spans="1:2" x14ac:dyDescent="0.25">
      <c r="A10940">
        <f ca="1">29757.4539704309*((RANDBETWEEN(2979,3282)))</f>
        <v>92783741.479803637</v>
      </c>
      <c r="B10940">
        <v>186546360.63275945</v>
      </c>
    </row>
    <row r="10941" spans="1:2" x14ac:dyDescent="0.25">
      <c r="A10941">
        <f ca="1">29047.2045360366*((RANDBETWEEN(2979,3282)))</f>
        <v>91208222.243154928</v>
      </c>
      <c r="B10941">
        <v>150044438.6621289</v>
      </c>
    </row>
    <row r="10942" spans="1:2" x14ac:dyDescent="0.25">
      <c r="A10942">
        <f ca="1">25732.3673296252*((RANDBETWEEN(2979,3282)))</f>
        <v>79255691.375245482</v>
      </c>
      <c r="B10942">
        <v>168027286.4730556</v>
      </c>
    </row>
    <row r="10943" spans="1:2" x14ac:dyDescent="0.25">
      <c r="A10943">
        <f ca="1">27698.2646801988*((RANDBETWEEN(2979,3282)))</f>
        <v>84701293.392047971</v>
      </c>
      <c r="B10943">
        <v>166155815.16715333</v>
      </c>
    </row>
    <row r="10944" spans="1:2" x14ac:dyDescent="0.25">
      <c r="A10944">
        <f ca="1">29824.6856266064*((RANDBETWEEN(2979,3282)))</f>
        <v>93142493.211891845</v>
      </c>
      <c r="B10944">
        <v>158099963.58010948</v>
      </c>
    </row>
    <row r="10945" spans="1:2" x14ac:dyDescent="0.25">
      <c r="A10945">
        <f ca="1">27619.0791504707*((RANDBETWEEN(2979,3282)))</f>
        <v>87442004.590390205</v>
      </c>
      <c r="B10945">
        <v>148150653.8929182</v>
      </c>
    </row>
    <row r="10946" spans="1:2" x14ac:dyDescent="0.25">
      <c r="A10946">
        <f ca="1">27687.6600289336*((RANDBETWEEN(2979,3282)))</f>
        <v>85084179.268912897</v>
      </c>
      <c r="B10946">
        <v>169074575.61792767</v>
      </c>
    </row>
    <row r="10947" spans="1:2" x14ac:dyDescent="0.25">
      <c r="A10947">
        <f ca="1">29657.7238152833*((RANDBETWEEN(2979,3282)))</f>
        <v>96239313.780594468</v>
      </c>
      <c r="B10947">
        <v>150085585.53876504</v>
      </c>
    </row>
    <row r="10948" spans="1:2" x14ac:dyDescent="0.25">
      <c r="A10948">
        <f ca="1">26319.9941786957*((RANDBETWEEN(2979,3282)))</f>
        <v>85724221.040012002</v>
      </c>
      <c r="B10948">
        <v>175161596.87148884</v>
      </c>
    </row>
    <row r="10949" spans="1:2" x14ac:dyDescent="0.25">
      <c r="A10949">
        <f ca="1">26812.9362428267*((RANDBETWEEN(2979,3282)))</f>
        <v>86203590.020687878</v>
      </c>
      <c r="B10949">
        <v>143592909.29259759</v>
      </c>
    </row>
    <row r="10950" spans="1:2" x14ac:dyDescent="0.25">
      <c r="A10950">
        <f ca="1">29281.8856799025*((RANDBETWEEN(2979,3282)))</f>
        <v>88079912.125146642</v>
      </c>
      <c r="B10950">
        <v>199316328.4216271</v>
      </c>
    </row>
    <row r="10951" spans="1:2" x14ac:dyDescent="0.25">
      <c r="A10951">
        <f ca="1">25531.4549698859*((RANDBETWEEN(2979,3282)))</f>
        <v>83794235.211165607</v>
      </c>
      <c r="B10951">
        <v>145091243.79293317</v>
      </c>
    </row>
    <row r="10952" spans="1:2" x14ac:dyDescent="0.25">
      <c r="A10952">
        <f ca="1">26256.8203345137*((RANDBETWEEN(2979,3282)))</f>
        <v>84205622.812785551</v>
      </c>
      <c r="B10952">
        <v>146862178.0142965</v>
      </c>
    </row>
    <row r="10953" spans="1:2" x14ac:dyDescent="0.25">
      <c r="A10953">
        <f ca="1">30588.0110514369*((RANDBETWEEN(2979,3282)))</f>
        <v>99563975.972427249</v>
      </c>
      <c r="B10953">
        <v>165159999.70510367</v>
      </c>
    </row>
    <row r="10954" spans="1:2" x14ac:dyDescent="0.25">
      <c r="A10954">
        <f ca="1">29238.768897508*((RANDBETWEEN(2979,3282)))</f>
        <v>90786377.426762238</v>
      </c>
      <c r="B10954">
        <v>192422404.55849832</v>
      </c>
    </row>
    <row r="10955" spans="1:2" x14ac:dyDescent="0.25">
      <c r="A10955">
        <f ca="1">26676.9091153989*((RANDBETWEEN(2979,3282)))</f>
        <v>83925556.077044845</v>
      </c>
      <c r="B10955">
        <v>167428695.64020082</v>
      </c>
    </row>
    <row r="10956" spans="1:2" x14ac:dyDescent="0.25">
      <c r="A10956">
        <f ca="1">29842.8129460918*((RANDBETWEEN(2979,3282)))</f>
        <v>91527907.305663571</v>
      </c>
      <c r="B10956">
        <v>195218042.84328592</v>
      </c>
    </row>
    <row r="10957" spans="1:2" x14ac:dyDescent="0.25">
      <c r="A10957">
        <f ca="1">27389.3492774682*((RANDBETWEEN(2979,3282)))</f>
        <v>83674462.042665362</v>
      </c>
      <c r="B10957">
        <v>154526161.86068803</v>
      </c>
    </row>
    <row r="10958" spans="1:2" x14ac:dyDescent="0.25">
      <c r="A10958">
        <f ca="1">26171.2783007295*((RANDBETWEEN(2979,3282)))</f>
        <v>82125471.307689264</v>
      </c>
      <c r="B10958">
        <v>148509009.93974707</v>
      </c>
    </row>
    <row r="10959" spans="1:2" x14ac:dyDescent="0.25">
      <c r="A10959">
        <f ca="1">27519.0868801771*((RANDBETWEEN(2979,3282)))</f>
        <v>86464970.977516338</v>
      </c>
      <c r="B10959">
        <v>150320542.01494801</v>
      </c>
    </row>
    <row r="10960" spans="1:2" x14ac:dyDescent="0.25">
      <c r="A10960">
        <f ca="1">28373.9075800315*((RANDBETWEEN(2979,3282)))</f>
        <v>87533504.884397253</v>
      </c>
      <c r="B10960">
        <v>149396256.6076076</v>
      </c>
    </row>
    <row r="10961" spans="1:2" x14ac:dyDescent="0.25">
      <c r="A10961">
        <f ca="1">26179.4534975352*((RANDBETWEEN(2979,3282)))</f>
        <v>83643353.924624994</v>
      </c>
      <c r="B10961">
        <v>166058921.33073002</v>
      </c>
    </row>
    <row r="10962" spans="1:2" x14ac:dyDescent="0.25">
      <c r="A10962">
        <f ca="1">27998.4297068767*((RANDBETWEEN(2979,3282)))</f>
        <v>84779245.152422711</v>
      </c>
      <c r="B10962">
        <v>194142966.63904268</v>
      </c>
    </row>
    <row r="10963" spans="1:2" x14ac:dyDescent="0.25">
      <c r="A10963">
        <f ca="1">29184.9147402582*((RANDBETWEEN(2979,3282)))</f>
        <v>94821787.991098925</v>
      </c>
      <c r="B10963">
        <v>159398099.56200173</v>
      </c>
    </row>
    <row r="10964" spans="1:2" x14ac:dyDescent="0.25">
      <c r="A10964">
        <f ca="1">24949.8407034888*((RANDBETWEEN(2979,3282)))</f>
        <v>81286581.011966571</v>
      </c>
      <c r="B10964">
        <v>144046899.19755992</v>
      </c>
    </row>
    <row r="10965" spans="1:2" x14ac:dyDescent="0.25">
      <c r="A10965">
        <f ca="1">29182.6789227476*((RANDBETWEEN(2979,3282)))</f>
        <v>94435148.994011268</v>
      </c>
      <c r="B10965">
        <v>157119386.30845439</v>
      </c>
    </row>
    <row r="10966" spans="1:2" x14ac:dyDescent="0.25">
      <c r="A10966">
        <f ca="1">29744.4137057435*((RANDBETWEEN(2979,3282)))</f>
        <v>90898928.284752101</v>
      </c>
      <c r="B10966">
        <v>143390285.0312537</v>
      </c>
    </row>
    <row r="10967" spans="1:2" x14ac:dyDescent="0.25">
      <c r="A10967">
        <f ca="1">26495.0287018245*((RANDBETWEEN(2979,3282)))</f>
        <v>86479773.682755187</v>
      </c>
      <c r="B10967">
        <v>158956286.83124304</v>
      </c>
    </row>
    <row r="10968" spans="1:2" x14ac:dyDescent="0.25">
      <c r="A10968">
        <f ca="1">30808.2308491436*((RANDBETWEEN(2979,3282)))</f>
        <v>96029255.556780756</v>
      </c>
      <c r="B10968">
        <v>190542254.50454372</v>
      </c>
    </row>
    <row r="10969" spans="1:2" x14ac:dyDescent="0.25">
      <c r="A10969">
        <f ca="1">30471.4775918207*((RANDBETWEEN(2979,3282)))</f>
        <v>95131953.041664377</v>
      </c>
      <c r="B10969">
        <v>196889671.66333309</v>
      </c>
    </row>
    <row r="10970" spans="1:2" x14ac:dyDescent="0.25">
      <c r="A10970">
        <f ca="1">24504.8099542878*((RANDBETWEEN(2979,3282)))</f>
        <v>76602035.917103797</v>
      </c>
      <c r="B10970">
        <v>172575229.89711043</v>
      </c>
    </row>
    <row r="10971" spans="1:2" x14ac:dyDescent="0.25">
      <c r="A10971">
        <f ca="1">31291.3956789688*((RANDBETWEEN(2979,3282)))</f>
        <v>99537929.654799893</v>
      </c>
      <c r="B10971">
        <v>186925526.90344822</v>
      </c>
    </row>
    <row r="10972" spans="1:2" x14ac:dyDescent="0.25">
      <c r="A10972">
        <f ca="1">26848.5285854167*((RANDBETWEEN(2979,3282)))</f>
        <v>84196985.643866658</v>
      </c>
      <c r="B10972">
        <v>198385800.76551342</v>
      </c>
    </row>
    <row r="10973" spans="1:2" x14ac:dyDescent="0.25">
      <c r="A10973">
        <f ca="1">27155.2357654856*((RANDBETWEEN(2979,3282)))</f>
        <v>83230797.621213481</v>
      </c>
      <c r="B10973">
        <v>158150322.29849753</v>
      </c>
    </row>
    <row r="10974" spans="1:2" x14ac:dyDescent="0.25">
      <c r="A10974">
        <f ca="1">26765.3440552786*((RANDBETWEEN(2979,3282)))</f>
        <v>82490790.378368646</v>
      </c>
      <c r="B10974">
        <v>177470038.53281501</v>
      </c>
    </row>
    <row r="10975" spans="1:2" x14ac:dyDescent="0.25">
      <c r="A10975">
        <f ca="1">30280.7166304858*((RANDBETWEEN(2979,3282)))</f>
        <v>95687064.552335009</v>
      </c>
      <c r="B10975">
        <v>177362255.12893528</v>
      </c>
    </row>
    <row r="10976" spans="1:2" x14ac:dyDescent="0.25">
      <c r="A10976">
        <f ca="1">30563.9211027316*((RANDBETWEEN(2979,3282)))</f>
        <v>99607818.873802319</v>
      </c>
      <c r="B10976">
        <v>185162242.31188771</v>
      </c>
    </row>
    <row r="10977" spans="1:2" x14ac:dyDescent="0.25">
      <c r="A10977">
        <f ca="1">28088.9618309376*((RANDBETWEEN(2979,3282)))</f>
        <v>87244315.446892247</v>
      </c>
      <c r="B10977">
        <v>156171544.19843888</v>
      </c>
    </row>
    <row r="10978" spans="1:2" x14ac:dyDescent="0.25">
      <c r="A10978">
        <f ca="1">25770.6062610964*((RANDBETWEEN(2979,3282)))</f>
        <v>83187517.010819256</v>
      </c>
      <c r="B10978">
        <v>175540407.19972089</v>
      </c>
    </row>
    <row r="10979" spans="1:2" x14ac:dyDescent="0.25">
      <c r="A10979">
        <f ca="1">26816.1435387557*((RANDBETWEEN(2979,3282)))</f>
        <v>80153453.037340894</v>
      </c>
      <c r="B10979">
        <v>190585299.66602203</v>
      </c>
    </row>
    <row r="10980" spans="1:2" x14ac:dyDescent="0.25">
      <c r="A10980">
        <f ca="1">27661.6403124028*((RANDBETWEEN(2979,3282)))</f>
        <v>84976559.039701447</v>
      </c>
      <c r="B10980">
        <v>145051321.45261303</v>
      </c>
    </row>
    <row r="10981" spans="1:2" x14ac:dyDescent="0.25">
      <c r="A10981">
        <f ca="1">26374.0092744919*((RANDBETWEEN(2979,3282)))</f>
        <v>82471527.001336128</v>
      </c>
      <c r="B10981">
        <v>145788987.93288356</v>
      </c>
    </row>
    <row r="10982" spans="1:2" x14ac:dyDescent="0.25">
      <c r="A10982">
        <f ca="1">26892.8314028247*((RANDBETWEEN(2979,3282)))</f>
        <v>82641670.900880173</v>
      </c>
      <c r="B10982">
        <v>151149372.28291163</v>
      </c>
    </row>
    <row r="10983" spans="1:2" x14ac:dyDescent="0.25">
      <c r="A10983">
        <f ca="1">29011.098206286*((RANDBETWEEN(2979,3282)))</f>
        <v>92284303.394195676</v>
      </c>
      <c r="B10983">
        <v>146894399.62154314</v>
      </c>
    </row>
    <row r="10984" spans="1:2" x14ac:dyDescent="0.25">
      <c r="A10984">
        <f ca="1">27843.3907038167*((RANDBETWEEN(2979,3282)))</f>
        <v>87400403.419280633</v>
      </c>
      <c r="B10984">
        <v>179786999.96366537</v>
      </c>
    </row>
    <row r="10985" spans="1:2" x14ac:dyDescent="0.25">
      <c r="A10985">
        <f ca="1">26496.3178001399*((RANDBETWEEN(2979,3282)))</f>
        <v>83675371.612841845</v>
      </c>
      <c r="B10985">
        <v>168254207.24606875</v>
      </c>
    </row>
    <row r="10986" spans="1:2" x14ac:dyDescent="0.25">
      <c r="A10986">
        <f ca="1">26708.1354062077*((RANDBETWEEN(2979,3282)))</f>
        <v>84664789.237678409</v>
      </c>
      <c r="B10986">
        <v>158891751.38455984</v>
      </c>
    </row>
    <row r="10987" spans="1:2" x14ac:dyDescent="0.25">
      <c r="A10987">
        <f ca="1">26189.4784073976*((RANDBETWEEN(2979,3282)))</f>
        <v>83387299.249153852</v>
      </c>
      <c r="B10987">
        <v>155763895.37736434</v>
      </c>
    </row>
    <row r="10988" spans="1:2" x14ac:dyDescent="0.25">
      <c r="A10988">
        <f ca="1">27719.706539423*((RANDBETWEEN(2979,3282)))</f>
        <v>84489665.532161325</v>
      </c>
      <c r="B10988">
        <v>186167304.44826108</v>
      </c>
    </row>
    <row r="10989" spans="1:2" x14ac:dyDescent="0.25">
      <c r="A10989">
        <f ca="1">29992.770116702*((RANDBETWEEN(2979,3282)))</f>
        <v>92317746.41920884</v>
      </c>
      <c r="B10989">
        <v>179862983.26240844</v>
      </c>
    </row>
    <row r="10990" spans="1:2" x14ac:dyDescent="0.25">
      <c r="A10990">
        <f ca="1">29885.0861846096*((RANDBETWEEN(2979,3282)))</f>
        <v>93988596.050597072</v>
      </c>
      <c r="B10990">
        <v>151498169.47532547</v>
      </c>
    </row>
    <row r="10991" spans="1:2" x14ac:dyDescent="0.25">
      <c r="A10991">
        <f ca="1">26615.8189850243*((RANDBETWEEN(2979,3282)))</f>
        <v>79927304.412027895</v>
      </c>
      <c r="B10991">
        <v>176227145.96819937</v>
      </c>
    </row>
    <row r="10992" spans="1:2" x14ac:dyDescent="0.25">
      <c r="A10992">
        <f ca="1">25357.4534695565*((RANDBETWEEN(2979,3282)))</f>
        <v>81346710.730337217</v>
      </c>
      <c r="B10992">
        <v>166028985.50057045</v>
      </c>
    </row>
    <row r="10993" spans="1:2" x14ac:dyDescent="0.25">
      <c r="A10993">
        <f ca="1">27528.5091773138*((RANDBETWEEN(2979,3282)))</f>
        <v>84952979.321190327</v>
      </c>
      <c r="B10993">
        <v>143553957.96593761</v>
      </c>
    </row>
    <row r="10994" spans="1:2" x14ac:dyDescent="0.25">
      <c r="A10994">
        <f ca="1">26551.4444583965*((RANDBETWEEN(2979,3282)))</f>
        <v>84592902.044451401</v>
      </c>
      <c r="B10994">
        <v>145011034.71746013</v>
      </c>
    </row>
    <row r="10995" spans="1:2" x14ac:dyDescent="0.25">
      <c r="A10995">
        <f ca="1">27482.1784554599*((RANDBETWEEN(2979,3282)))</f>
        <v>88135346.306659982</v>
      </c>
      <c r="B10995">
        <v>193910026.64674163</v>
      </c>
    </row>
    <row r="10996" spans="1:2" x14ac:dyDescent="0.25">
      <c r="A10996">
        <f ca="1">27172.1548639568*((RANDBETWEEN(2979,3282)))</f>
        <v>85429254.892280206</v>
      </c>
      <c r="B10996">
        <v>145484259.68843931</v>
      </c>
    </row>
    <row r="10997" spans="1:2" x14ac:dyDescent="0.25">
      <c r="A10997">
        <f ca="1">28073.5825046348*((RANDBETWEEN(2979,3282)))</f>
        <v>88572152.802122653</v>
      </c>
      <c r="B10997">
        <v>159361535.79697677</v>
      </c>
    </row>
    <row r="10998" spans="1:2" x14ac:dyDescent="0.25">
      <c r="A10998">
        <f ca="1">26050.4951612577*((RANDBETWEEN(2979,3282)))</f>
        <v>84638058.778926432</v>
      </c>
      <c r="B10998">
        <v>147514306.03320864</v>
      </c>
    </row>
    <row r="10999" spans="1:2" x14ac:dyDescent="0.25">
      <c r="A10999">
        <f ca="1">27920.8625626306*((RANDBETWEEN(2979,3282)))</f>
        <v>85940414.967776954</v>
      </c>
      <c r="B10999">
        <v>173699638.69552386</v>
      </c>
    </row>
    <row r="11000" spans="1:2" x14ac:dyDescent="0.25">
      <c r="A11000">
        <f ca="1">25167.6169496701*((RANDBETWEEN(2979,3282)))</f>
        <v>75276342.296463311</v>
      </c>
      <c r="B11000">
        <v>151042533.97240049</v>
      </c>
    </row>
    <row r="11001" spans="1:2" x14ac:dyDescent="0.25">
      <c r="A11001">
        <f ca="1">26990.4013413995*((RANDBETWEEN(2979,3282)))</f>
        <v>83751215.362362668</v>
      </c>
      <c r="B11001">
        <v>198113634.79975253</v>
      </c>
    </row>
    <row r="11002" spans="1:2" x14ac:dyDescent="0.25">
      <c r="A11002">
        <f ca="1">26008.4451817243*((RANDBETWEEN(2979,3282)))</f>
        <v>84605472.176148996</v>
      </c>
      <c r="B11002">
        <v>155084556.42498484</v>
      </c>
    </row>
    <row r="11003" spans="1:2" x14ac:dyDescent="0.25">
      <c r="A11003">
        <f ca="1">27078.1396959262*((RANDBETWEEN(2979,3282)))</f>
        <v>84537952.130681664</v>
      </c>
      <c r="B11003">
        <v>175826339.95841038</v>
      </c>
    </row>
    <row r="11004" spans="1:2" x14ac:dyDescent="0.25">
      <c r="A11004">
        <f ca="1">26716.9972261304*((RANDBETWEEN(2979,3282)))</f>
        <v>86937108.973828226</v>
      </c>
      <c r="B11004">
        <v>158036187.56929997</v>
      </c>
    </row>
    <row r="11005" spans="1:2" x14ac:dyDescent="0.25">
      <c r="A11005">
        <f ca="1">26413.4639528247*((RANDBETWEEN(2979,3282)))</f>
        <v>82066632.50142619</v>
      </c>
      <c r="B11005">
        <v>143625544.49477768</v>
      </c>
    </row>
    <row r="11006" spans="1:2" x14ac:dyDescent="0.25">
      <c r="A11006">
        <f ca="1">27679.7787384125*((RANDBETWEEN(2979,3282)))</f>
        <v>84284926.258466125</v>
      </c>
      <c r="B11006">
        <v>154885980.80649143</v>
      </c>
    </row>
    <row r="11007" spans="1:2" x14ac:dyDescent="0.25">
      <c r="A11007">
        <f ca="1">28183.9828677796*((RANDBETWEEN(2979,3282)))</f>
        <v>90696056.868514597</v>
      </c>
      <c r="B11007">
        <v>186043010.45840606</v>
      </c>
    </row>
    <row r="11008" spans="1:2" x14ac:dyDescent="0.25">
      <c r="A11008">
        <f ca="1">27448.7427908549*((RANDBETWEEN(2979,3282)))</f>
        <v>86545886.019565552</v>
      </c>
      <c r="B11008">
        <v>186393304.28339076</v>
      </c>
    </row>
    <row r="11009" spans="1:2" x14ac:dyDescent="0.25">
      <c r="A11009">
        <f ca="1">26430.1827496326*((RANDBETWEEN(2979,3282)))</f>
        <v>82647181.458101034</v>
      </c>
      <c r="B11009">
        <v>162326983.15114689</v>
      </c>
    </row>
    <row r="11010" spans="1:2" x14ac:dyDescent="0.25">
      <c r="A11010">
        <f ca="1">33241.1396531056*((RANDBETWEEN(2979,3282)))</f>
        <v>106837022.84508124</v>
      </c>
      <c r="B11010">
        <v>161458651.81205797</v>
      </c>
    </row>
    <row r="11011" spans="1:2" x14ac:dyDescent="0.25">
      <c r="A11011">
        <f ca="1">28408.4393009715*((RANDBETWEEN(2979,3282)))</f>
        <v>84912825.070603833</v>
      </c>
      <c r="B11011">
        <v>192228387.876706</v>
      </c>
    </row>
    <row r="11012" spans="1:2" x14ac:dyDescent="0.25">
      <c r="A11012">
        <f ca="1">28054.395237603*((RANDBETWEEN(2979,3282)))</f>
        <v>90503479.036507145</v>
      </c>
      <c r="B11012">
        <v>198843727.72207335</v>
      </c>
    </row>
    <row r="11013" spans="1:2" x14ac:dyDescent="0.25">
      <c r="A11013">
        <f ca="1">28413.8364614241*((RANDBETWEEN(2979,3282)))</f>
        <v>85440406.239502281</v>
      </c>
      <c r="B11013">
        <v>174191888.58222365</v>
      </c>
    </row>
    <row r="11014" spans="1:2" x14ac:dyDescent="0.25">
      <c r="A11014">
        <f ca="1">30350.8764409823*((RANDBETWEEN(2979,3282)))</f>
        <v>93480699.438225433</v>
      </c>
      <c r="B11014">
        <v>151590968.18847606</v>
      </c>
    </row>
    <row r="11015" spans="1:2" x14ac:dyDescent="0.25">
      <c r="A11015">
        <f ca="1">33193.4297871627*((RANDBETWEEN(2979,3282)))</f>
        <v>100941219.98276187</v>
      </c>
      <c r="B11015">
        <v>170969526.29201394</v>
      </c>
    </row>
    <row r="11016" spans="1:2" x14ac:dyDescent="0.25">
      <c r="A11016">
        <f ca="1">28277.5187035469*((RANDBETWEEN(2979,3282)))</f>
        <v>84493225.886198223</v>
      </c>
      <c r="B11016">
        <v>191827116.4590323</v>
      </c>
    </row>
    <row r="11017" spans="1:2" x14ac:dyDescent="0.25">
      <c r="A11017">
        <f ca="1">28335.9023742336*((RANDBETWEEN(2979,3282)))</f>
        <v>85517753.365437075</v>
      </c>
      <c r="B11017">
        <v>186620047.99163842</v>
      </c>
    </row>
    <row r="11018" spans="1:2" x14ac:dyDescent="0.25">
      <c r="A11018">
        <f ca="1">27707.023004047*((RANDBETWEEN(2979,3282)))</f>
        <v>89632219.418091923</v>
      </c>
      <c r="B11018">
        <v>156567901.68433326</v>
      </c>
    </row>
    <row r="11019" spans="1:2" x14ac:dyDescent="0.25">
      <c r="A11019">
        <f ca="1">25566.5930660482*((RANDBETWEEN(2979,3282)))</f>
        <v>83807292.070505962</v>
      </c>
      <c r="B11019">
        <v>149845820.51764527</v>
      </c>
    </row>
    <row r="11020" spans="1:2" x14ac:dyDescent="0.25">
      <c r="A11020">
        <f ca="1">27969.0194952962*((RANDBETWEEN(2979,3282)))</f>
        <v>90228056.891825423</v>
      </c>
      <c r="B11020">
        <v>179857452.88989624</v>
      </c>
    </row>
    <row r="11021" spans="1:2" x14ac:dyDescent="0.25">
      <c r="A11021">
        <f ca="1">29807.5682483048*((RANDBETWEEN(2979,3282)))</f>
        <v>96665943.829252586</v>
      </c>
      <c r="B11021">
        <v>191121396.74562487</v>
      </c>
    </row>
    <row r="11022" spans="1:2" x14ac:dyDescent="0.25">
      <c r="A11022">
        <f ca="1">29132.2331277328*((RANDBETWEEN(2979,3282)))</f>
        <v>92553104.646807134</v>
      </c>
      <c r="B11022">
        <v>184231498.74230093</v>
      </c>
    </row>
    <row r="11023" spans="1:2" x14ac:dyDescent="0.25">
      <c r="A11023">
        <f ca="1">26463.4997905774*((RANDBETWEEN(2979,3282)))</f>
        <v>82116239.850161657</v>
      </c>
      <c r="B11023">
        <v>145648859.63448441</v>
      </c>
    </row>
    <row r="11024" spans="1:2" x14ac:dyDescent="0.25">
      <c r="A11024">
        <f ca="1">28074.7309182545*((RANDBETWEEN(2979,3282)))</f>
        <v>89951437.862087533</v>
      </c>
      <c r="B11024">
        <v>172786643.18186018</v>
      </c>
    </row>
    <row r="11025" spans="1:2" x14ac:dyDescent="0.25">
      <c r="A11025">
        <f ca="1">25979.167037016*((RANDBETWEEN(2979,3282)))</f>
        <v>82769626.179932907</v>
      </c>
      <c r="B11025">
        <v>175431395.78455096</v>
      </c>
    </row>
    <row r="11026" spans="1:2" x14ac:dyDescent="0.25">
      <c r="A11026">
        <f ca="1">28165.7203763579*((RANDBETWEEN(2979,3282)))</f>
        <v>91961077.028808445</v>
      </c>
      <c r="B11026">
        <v>164897171.41341555</v>
      </c>
    </row>
    <row r="11027" spans="1:2" x14ac:dyDescent="0.25">
      <c r="A11027">
        <f ca="1">27003.1080559372*((RANDBETWEEN(2979,3282)))</f>
        <v>86409945.778998941</v>
      </c>
      <c r="B11027">
        <v>144845947.9895871</v>
      </c>
    </row>
    <row r="11028" spans="1:2" x14ac:dyDescent="0.25">
      <c r="A11028">
        <f ca="1">31907.9450343576*((RANDBETWEEN(2979,3282)))</f>
        <v>99648512.342298687</v>
      </c>
      <c r="B11028">
        <v>185835284.80945867</v>
      </c>
    </row>
    <row r="11029" spans="1:2" x14ac:dyDescent="0.25">
      <c r="A11029">
        <f ca="1">25487.5974761691*((RANDBETWEEN(2979,3282)))</f>
        <v>79852642.892837793</v>
      </c>
      <c r="B11029">
        <v>180985909.3182528</v>
      </c>
    </row>
    <row r="11030" spans="1:2" x14ac:dyDescent="0.25">
      <c r="A11030">
        <f ca="1">26170.6850967531*((RANDBETWEEN(2979,3282)))</f>
        <v>83484485.458642274</v>
      </c>
      <c r="B11030">
        <v>198121435.98441765</v>
      </c>
    </row>
    <row r="11031" spans="1:2" x14ac:dyDescent="0.25">
      <c r="A11031">
        <f ca="1">28372.569778305*((RANDBETWEEN(2979,3282)))</f>
        <v>90763850.720797837</v>
      </c>
      <c r="B11031">
        <v>150964413.3709656</v>
      </c>
    </row>
    <row r="11032" spans="1:2" x14ac:dyDescent="0.25">
      <c r="A11032">
        <f ca="1">25969.0210959933*((RANDBETWEEN(2979,3282)))</f>
        <v>79361328.469355673</v>
      </c>
      <c r="B11032">
        <v>144275742.80594274</v>
      </c>
    </row>
    <row r="11033" spans="1:2" x14ac:dyDescent="0.25">
      <c r="A11033">
        <f ca="1">30119.0392128953*((RANDBETWEEN(2979,3282)))</f>
        <v>97344734.736077666</v>
      </c>
      <c r="B11033">
        <v>175579673.48771018</v>
      </c>
    </row>
    <row r="11034" spans="1:2" x14ac:dyDescent="0.25">
      <c r="A11034">
        <f ca="1">27257.7231538912*((RANDBETWEEN(2979,3282)))</f>
        <v>86025374.273680627</v>
      </c>
      <c r="B11034">
        <v>165003447.66750503</v>
      </c>
    </row>
    <row r="11035" spans="1:2" x14ac:dyDescent="0.25">
      <c r="A11035">
        <f ca="1">31096.4430282815*((RANDBETWEEN(2979,3282)))</f>
        <v>99322039.032330945</v>
      </c>
      <c r="B11035">
        <v>202038059.7335889</v>
      </c>
    </row>
    <row r="11036" spans="1:2" x14ac:dyDescent="0.25">
      <c r="A11036">
        <f ca="1">26489.0899922364*((RANDBETWEEN(2979,3282)))</f>
        <v>81162571.736212313</v>
      </c>
      <c r="B11036">
        <v>156047759.18851364</v>
      </c>
    </row>
    <row r="11037" spans="1:2" x14ac:dyDescent="0.25">
      <c r="A11037">
        <f ca="1">30128.7857272926*((RANDBETWEEN(2979,3282)))</f>
        <v>95960182.541426778</v>
      </c>
      <c r="B11037">
        <v>190007125.83888674</v>
      </c>
    </row>
    <row r="11038" spans="1:2" x14ac:dyDescent="0.25">
      <c r="A11038">
        <f ca="1">27121.5240275334*((RANDBETWEEN(2979,3282)))</f>
        <v>86273567.931583777</v>
      </c>
      <c r="B11038">
        <v>162116164.49678627</v>
      </c>
    </row>
    <row r="11039" spans="1:2" x14ac:dyDescent="0.25">
      <c r="A11039">
        <f ca="1">29329.073335408*((RANDBETWEEN(2979,3282)))</f>
        <v>90480191.239733666</v>
      </c>
      <c r="B11039">
        <v>199353929.7902652</v>
      </c>
    </row>
    <row r="11040" spans="1:2" x14ac:dyDescent="0.25">
      <c r="A11040">
        <f ca="1">27104.6853928349*((RANDBETWEEN(2979,3282)))</f>
        <v>81883254.571754277</v>
      </c>
      <c r="B11040">
        <v>189835910.46833575</v>
      </c>
    </row>
    <row r="11041" spans="1:2" x14ac:dyDescent="0.25">
      <c r="A11041">
        <f ca="1">30040.0800520276*((RANDBETWEEN(2979,3282)))</f>
        <v>98261101.850182399</v>
      </c>
      <c r="B11041">
        <v>176046423.23822597</v>
      </c>
    </row>
    <row r="11042" spans="1:2" x14ac:dyDescent="0.25">
      <c r="A11042">
        <f ca="1">26085.1682140305*((RANDBETWEEN(2979,3282)))</f>
        <v>78046823.296379149</v>
      </c>
      <c r="B11042">
        <v>150406896.89671445</v>
      </c>
    </row>
    <row r="11043" spans="1:2" x14ac:dyDescent="0.25">
      <c r="A11043">
        <f ca="1">28594.5798172739*((RANDBETWEEN(2979,3282)))</f>
        <v>86269847.308715343</v>
      </c>
      <c r="B11043">
        <v>166904344.61141205</v>
      </c>
    </row>
    <row r="11044" spans="1:2" x14ac:dyDescent="0.25">
      <c r="A11044">
        <f ca="1">31150.6436678524*((RANDBETWEEN(2979,3282)))</f>
        <v>96847351.163352996</v>
      </c>
      <c r="B11044">
        <v>191654215.72034335</v>
      </c>
    </row>
    <row r="11045" spans="1:2" x14ac:dyDescent="0.25">
      <c r="A11045">
        <f ca="1">28121.9665819003*((RANDBETWEEN(2979,3282)))</f>
        <v>84112802.046463937</v>
      </c>
      <c r="B11045">
        <v>172123281.14331901</v>
      </c>
    </row>
    <row r="11046" spans="1:2" x14ac:dyDescent="0.25">
      <c r="A11046">
        <f ca="1">30678.6368395054*((RANDBETWEEN(2979,3282)))</f>
        <v>93048305.53421995</v>
      </c>
      <c r="B11046">
        <v>162253873.76075527</v>
      </c>
    </row>
    <row r="11047" spans="1:2" x14ac:dyDescent="0.25">
      <c r="A11047">
        <f ca="1">24731.6733628322*((RANDBETWEEN(2979,3282)))</f>
        <v>79957499.982036486</v>
      </c>
      <c r="B11047">
        <v>149997472.61653006</v>
      </c>
    </row>
    <row r="11048" spans="1:2" x14ac:dyDescent="0.25">
      <c r="A11048">
        <f ca="1">27272.8590323562*((RANDBETWEEN(2979,3282)))</f>
        <v>88254971.82870473</v>
      </c>
      <c r="B11048">
        <v>172110872.20762885</v>
      </c>
    </row>
    <row r="11049" spans="1:2" x14ac:dyDescent="0.25">
      <c r="A11049">
        <f ca="1">31884.6234859204*((RANDBETWEEN(2979,3282)))</f>
        <v>102923564.61255108</v>
      </c>
      <c r="B11049">
        <v>186262584.40561897</v>
      </c>
    </row>
    <row r="11050" spans="1:2" x14ac:dyDescent="0.25">
      <c r="A11050">
        <f ca="1">26434.3417750995*((RANDBETWEEN(2979,3282)))</f>
        <v>81285600.958430946</v>
      </c>
      <c r="B11050">
        <v>144846973.98802346</v>
      </c>
    </row>
    <row r="11051" spans="1:2" x14ac:dyDescent="0.25">
      <c r="A11051">
        <f ca="1">27946.2619194548*((RANDBETWEEN(2979,3282)))</f>
        <v>84537442.306350797</v>
      </c>
      <c r="B11051">
        <v>148947434.46450853</v>
      </c>
    </row>
    <row r="11052" spans="1:2" x14ac:dyDescent="0.25">
      <c r="A11052">
        <f ca="1">29097.628724818*((RANDBETWEEN(2979,3282)))</f>
        <v>90144453.789486185</v>
      </c>
      <c r="B11052">
        <v>159880350.30075347</v>
      </c>
    </row>
    <row r="11053" spans="1:2" x14ac:dyDescent="0.25">
      <c r="A11053">
        <f ca="1">28385.7266110786*((RANDBETWEEN(2979,3282)))</f>
        <v>88307995.487065598</v>
      </c>
      <c r="B11053">
        <v>193223962.14497519</v>
      </c>
    </row>
    <row r="11054" spans="1:2" x14ac:dyDescent="0.25">
      <c r="A11054">
        <f ca="1">27623.9410279507*((RANDBETWEEN(2979,3282)))</f>
        <v>89860680.163923562</v>
      </c>
      <c r="B11054">
        <v>160811535.87168479</v>
      </c>
    </row>
    <row r="11055" spans="1:2" x14ac:dyDescent="0.25">
      <c r="A11055">
        <f ca="1">30659.3640640133*((RANDBETWEEN(2979,3282)))</f>
        <v>95381281.603145465</v>
      </c>
      <c r="B11055">
        <v>179377010.99521658</v>
      </c>
    </row>
    <row r="11056" spans="1:2" x14ac:dyDescent="0.25">
      <c r="A11056">
        <f ca="1">27814.2026646523*((RANDBETWEEN(2979,3282)))</f>
        <v>85445230.585812002</v>
      </c>
      <c r="B11056">
        <v>184364247.44387579</v>
      </c>
    </row>
    <row r="11057" spans="1:2" x14ac:dyDescent="0.25">
      <c r="A11057">
        <f ca="1">29454.1929557729*((RANDBETWEEN(2979,3282)))</f>
        <v>91484723.320630625</v>
      </c>
      <c r="B11057">
        <v>168516237.67660579</v>
      </c>
    </row>
    <row r="11058" spans="1:2" x14ac:dyDescent="0.25">
      <c r="A11058">
        <f ca="1">25995.2473077598*((RANDBETWEEN(2979,3282)))</f>
        <v>78453656.37481916</v>
      </c>
      <c r="B11058">
        <v>157426869.03501856</v>
      </c>
    </row>
    <row r="11059" spans="1:2" x14ac:dyDescent="0.25">
      <c r="A11059">
        <f ca="1">26305.3101716386*((RANDBETWEEN(2979,3282)))</f>
        <v>82230399.596542224</v>
      </c>
      <c r="B11059">
        <v>173176070.92902935</v>
      </c>
    </row>
    <row r="11060" spans="1:2" x14ac:dyDescent="0.25">
      <c r="A11060">
        <f ca="1">26718.6335543555*((RANDBETWEEN(2979,3282)))</f>
        <v>82560577.682958588</v>
      </c>
      <c r="B11060">
        <v>156724007.53184164</v>
      </c>
    </row>
    <row r="11061" spans="1:2" x14ac:dyDescent="0.25">
      <c r="A11061">
        <f ca="1">31656.0075698426*((RANDBETWEEN(2979,3282)))</f>
        <v>94778086.664108783</v>
      </c>
      <c r="B11061">
        <v>195602732.40437707</v>
      </c>
    </row>
    <row r="11062" spans="1:2" x14ac:dyDescent="0.25">
      <c r="A11062">
        <f ca="1">28343.0595454154*((RANDBETWEEN(2979,3282)))</f>
        <v>87381652.578515753</v>
      </c>
      <c r="B11062">
        <v>196695352.04388666</v>
      </c>
    </row>
    <row r="11063" spans="1:2" x14ac:dyDescent="0.25">
      <c r="A11063">
        <f ca="1">31121.5926130129*((RANDBETWEEN(2979,3282)))</f>
        <v>96881517.804309279</v>
      </c>
      <c r="B11063">
        <v>151884634.59408543</v>
      </c>
    </row>
    <row r="11064" spans="1:2" x14ac:dyDescent="0.25">
      <c r="A11064">
        <f ca="1">28312.1526250684*((RANDBETWEEN(2979,3282)))</f>
        <v>85644261.690831766</v>
      </c>
      <c r="B11064">
        <v>163561257.13675088</v>
      </c>
    </row>
    <row r="11065" spans="1:2" x14ac:dyDescent="0.25">
      <c r="A11065">
        <f ca="1">28465.75242048*((RANDBETWEEN(2979,3282)))</f>
        <v>86934407.892146021</v>
      </c>
      <c r="B11065">
        <v>161473968.10076845</v>
      </c>
    </row>
    <row r="11066" spans="1:2" x14ac:dyDescent="0.25">
      <c r="A11066">
        <f ca="1">27254.8987856453*((RANDBETWEEN(2979,3282)))</f>
        <v>85117048.907570228</v>
      </c>
      <c r="B11066">
        <v>161474378.73009133</v>
      </c>
    </row>
    <row r="11067" spans="1:2" x14ac:dyDescent="0.25">
      <c r="A11067">
        <f ca="1">26781.0098465934*((RANDBETWEEN(2979,3282)))</f>
        <v>87172187.050661564</v>
      </c>
      <c r="B11067">
        <v>165589364.74107128</v>
      </c>
    </row>
    <row r="11068" spans="1:2" x14ac:dyDescent="0.25">
      <c r="A11068">
        <f ca="1">30567.6820983972*((RANDBETWEEN(2979,3282)))</f>
        <v>95493438.875392824</v>
      </c>
      <c r="B11068">
        <v>158480643.48312062</v>
      </c>
    </row>
    <row r="11069" spans="1:2" x14ac:dyDescent="0.25">
      <c r="A11069">
        <f ca="1">26594.1875022758*((RANDBETWEEN(2979,3282)))</f>
        <v>84941834.882268891</v>
      </c>
      <c r="B11069">
        <v>154876805.92484626</v>
      </c>
    </row>
    <row r="11070" spans="1:2" x14ac:dyDescent="0.25">
      <c r="A11070">
        <f ca="1">25932.1331613447*((RANDBETWEEN(2979,3282)))</f>
        <v>79948766.536425561</v>
      </c>
      <c r="B11070">
        <v>157315436.62072396</v>
      </c>
    </row>
    <row r="11071" spans="1:2" x14ac:dyDescent="0.25">
      <c r="A11071">
        <f ca="1">27988.0748759089*((RANDBETWEEN(2979,3282)))</f>
        <v>88106459.709361255</v>
      </c>
      <c r="B11071">
        <v>169781116.45756945</v>
      </c>
    </row>
    <row r="11072" spans="1:2" x14ac:dyDescent="0.25">
      <c r="A11072">
        <f ca="1">29744.0707030474*((RANDBETWEEN(2979,3282)))</f>
        <v>90927624.139215976</v>
      </c>
      <c r="B11072">
        <v>183541580.99756545</v>
      </c>
    </row>
    <row r="11073" spans="1:2" x14ac:dyDescent="0.25">
      <c r="A11073">
        <f ca="1">27550.9717338699*((RANDBETWEEN(2979,3282)))</f>
        <v>82735568.11681135</v>
      </c>
      <c r="B11073">
        <v>156962213.53319725</v>
      </c>
    </row>
    <row r="11074" spans="1:2" x14ac:dyDescent="0.25">
      <c r="A11074">
        <f ca="1">29519.3691698317*((RANDBETWEEN(2979,3282)))</f>
        <v>94845733.142669156</v>
      </c>
      <c r="B11074">
        <v>198244941.94273275</v>
      </c>
    </row>
    <row r="11075" spans="1:2" x14ac:dyDescent="0.25">
      <c r="A11075">
        <f ca="1">28067.5699517916*((RANDBETWEEN(2979,3282)))</f>
        <v>83837831.446001485</v>
      </c>
      <c r="B11075">
        <v>175963878.27278891</v>
      </c>
    </row>
    <row r="11076" spans="1:2" x14ac:dyDescent="0.25">
      <c r="A11076">
        <f ca="1">27962.8358829454*((RANDBETWEEN(2979,3282)))</f>
        <v>88334598.554224476</v>
      </c>
      <c r="B11076">
        <v>186771629.16593194</v>
      </c>
    </row>
    <row r="11077" spans="1:2" x14ac:dyDescent="0.25">
      <c r="A11077">
        <f ca="1">26994.4442982286*((RANDBETWEEN(2979,3282)))</f>
        <v>87003093.97319077</v>
      </c>
      <c r="B11077">
        <v>158289500.30683613</v>
      </c>
    </row>
    <row r="11078" spans="1:2" x14ac:dyDescent="0.25">
      <c r="A11078">
        <f ca="1">28464.5572007191*((RANDBETWEEN(2979,3282)))</f>
        <v>86475324.775784522</v>
      </c>
      <c r="B11078">
        <v>155370953.63021511</v>
      </c>
    </row>
    <row r="11079" spans="1:2" x14ac:dyDescent="0.25">
      <c r="A11079">
        <f ca="1">25841.2916928938*((RANDBETWEEN(2979,3282)))</f>
        <v>81916894.666473299</v>
      </c>
      <c r="B11079">
        <v>143098445.73611617</v>
      </c>
    </row>
    <row r="11080" spans="1:2" x14ac:dyDescent="0.25">
      <c r="A11080">
        <f ca="1">27129.2646036504*((RANDBETWEEN(2979,3282)))</f>
        <v>82852774.099548176</v>
      </c>
      <c r="B11080">
        <v>196753504.47212815</v>
      </c>
    </row>
    <row r="11081" spans="1:2" x14ac:dyDescent="0.25">
      <c r="A11081">
        <f ca="1">26074.2001236645*((RANDBETWEEN(2979,3282)))</f>
        <v>78431193.971982822</v>
      </c>
      <c r="B11081">
        <v>145953741.73410109</v>
      </c>
    </row>
    <row r="11082" spans="1:2" x14ac:dyDescent="0.25">
      <c r="A11082">
        <f ca="1">30767.6171386872*((RANDBETWEEN(2979,3282)))</f>
        <v>98271769.140966788</v>
      </c>
      <c r="B11082">
        <v>176950867.12256813</v>
      </c>
    </row>
    <row r="11083" spans="1:2" x14ac:dyDescent="0.25">
      <c r="A11083">
        <f ca="1">27063.1535918311*((RANDBETWEEN(2979,3282)))</f>
        <v>84599418.128064007</v>
      </c>
      <c r="B11083">
        <v>155648630.54716885</v>
      </c>
    </row>
    <row r="11084" spans="1:2" x14ac:dyDescent="0.25">
      <c r="A11084">
        <f ca="1">27687.8181746867*((RANDBETWEEN(2979,3282)))</f>
        <v>88490266.886298701</v>
      </c>
      <c r="B11084">
        <v>167983817.98536026</v>
      </c>
    </row>
    <row r="11085" spans="1:2" x14ac:dyDescent="0.25">
      <c r="A11085">
        <f ca="1">25581.566587412*((RANDBETWEEN(2979,3282)))</f>
        <v>78970296.055340692</v>
      </c>
      <c r="B11085">
        <v>169083017.4395147</v>
      </c>
    </row>
    <row r="11086" spans="1:2" x14ac:dyDescent="0.25">
      <c r="A11086">
        <f ca="1">28709.5843109577*((RANDBETWEEN(2979,3282)))</f>
        <v>86272300.854427785</v>
      </c>
      <c r="B11086">
        <v>184399669.31304663</v>
      </c>
    </row>
    <row r="11087" spans="1:2" x14ac:dyDescent="0.25">
      <c r="A11087">
        <f ca="1">25638.9784986603*((RANDBETWEEN(2979,3282)))</f>
        <v>77583548.936946109</v>
      </c>
      <c r="B11087">
        <v>152685619.61871964</v>
      </c>
    </row>
    <row r="11088" spans="1:2" x14ac:dyDescent="0.25">
      <c r="A11088">
        <f ca="1">25874.0355578451*((RANDBETWEEN(2979,3282)))</f>
        <v>83133276.24735634</v>
      </c>
      <c r="B11088">
        <v>148781314.11001441</v>
      </c>
    </row>
    <row r="11089" spans="1:2" x14ac:dyDescent="0.25">
      <c r="A11089">
        <f ca="1">29588.2943569155*((RANDBETWEEN(2979,3282)))</f>
        <v>88528176.715891212</v>
      </c>
      <c r="B11089">
        <v>157661015.45841438</v>
      </c>
    </row>
    <row r="11090" spans="1:2" x14ac:dyDescent="0.25">
      <c r="A11090">
        <f ca="1">26399.2285591506*((RANDBETWEEN(2979,3282)))</f>
        <v>80491247.876850307</v>
      </c>
      <c r="B11090">
        <v>157964371.85990629</v>
      </c>
    </row>
    <row r="11091" spans="1:2" x14ac:dyDescent="0.25">
      <c r="A11091">
        <f ca="1">29001.9836031819*((RANDBETWEEN(2979,3282)))</f>
        <v>86976948.825942487</v>
      </c>
      <c r="B11091">
        <v>185597560.42596188</v>
      </c>
    </row>
    <row r="11092" spans="1:2" x14ac:dyDescent="0.25">
      <c r="A11092">
        <f ca="1">30403.0867495688*((RANDBETWEEN(2979,3282)))</f>
        <v>92030143.590944886</v>
      </c>
      <c r="B11092">
        <v>190441265.14039287</v>
      </c>
    </row>
    <row r="11093" spans="1:2" x14ac:dyDescent="0.25">
      <c r="A11093">
        <f ca="1">29780.6506169626*((RANDBETWEEN(2979,3282)))</f>
        <v>95715011.082917869</v>
      </c>
      <c r="B11093">
        <v>189861028.43425065</v>
      </c>
    </row>
    <row r="11094" spans="1:2" x14ac:dyDescent="0.25">
      <c r="A11094">
        <f ca="1">29287.3794456008*((RANDBETWEEN(2979,3282)))</f>
        <v>90468715.107460842</v>
      </c>
      <c r="B11094">
        <v>158904035.9562121</v>
      </c>
    </row>
    <row r="11095" spans="1:2" x14ac:dyDescent="0.25">
      <c r="A11095">
        <f ca="1">28959.5974886017*((RANDBETWEEN(2979,3282)))</f>
        <v>92815509.950968385</v>
      </c>
      <c r="B11095">
        <v>193742577.46749172</v>
      </c>
    </row>
    <row r="11096" spans="1:2" x14ac:dyDescent="0.25">
      <c r="A11096">
        <f ca="1">26932.7455003862*((RANDBETWEEN(2979,3282)))</f>
        <v>83599242.033198744</v>
      </c>
      <c r="B11096">
        <v>144364085.62251294</v>
      </c>
    </row>
    <row r="11097" spans="1:2" x14ac:dyDescent="0.25">
      <c r="A11097">
        <f ca="1">26866.4931023935*((RANDBETWEEN(2979,3282)))</f>
        <v>83259262.124317586</v>
      </c>
      <c r="B11097">
        <v>162195263.69601911</v>
      </c>
    </row>
    <row r="11098" spans="1:2" x14ac:dyDescent="0.25">
      <c r="A11098">
        <f ca="1">30491.8508995375*((RANDBETWEEN(2979,3282)))</f>
        <v>99159499.125295877</v>
      </c>
      <c r="B11098">
        <v>152578569.08745885</v>
      </c>
    </row>
    <row r="11099" spans="1:2" x14ac:dyDescent="0.25">
      <c r="A11099">
        <f ca="1">33847.7174469105*((RANDBETWEEN(2979,3282)))</f>
        <v>100832350.27434649</v>
      </c>
      <c r="B11099">
        <v>202511084.03650936</v>
      </c>
    </row>
    <row r="11100" spans="1:2" x14ac:dyDescent="0.25">
      <c r="A11100">
        <f ca="1">26207.7168616706*((RANDBETWEEN(2979,3282)))</f>
        <v>79540420.675170168</v>
      </c>
      <c r="B11100">
        <v>152347114.97448277</v>
      </c>
    </row>
    <row r="11101" spans="1:2" x14ac:dyDescent="0.25">
      <c r="A11101">
        <f ca="1">25550.201919057*((RANDBETWEEN(2979,3282)))</f>
        <v>76267352.728385091</v>
      </c>
      <c r="B11101">
        <v>147018389.87628847</v>
      </c>
    </row>
    <row r="11102" spans="1:2" x14ac:dyDescent="0.25">
      <c r="A11102">
        <f ca="1">29857.5131149573*((RANDBETWEEN(2979,3282)))</f>
        <v>89035104.108802706</v>
      </c>
      <c r="B11102">
        <v>184109538.83881992</v>
      </c>
    </row>
    <row r="11103" spans="1:2" x14ac:dyDescent="0.25">
      <c r="A11103">
        <f ca="1">27468.7846543623*((RANDBETWEEN(2979,3282)))</f>
        <v>89960269.743036628</v>
      </c>
      <c r="B11103">
        <v>179012616.72464561</v>
      </c>
    </row>
    <row r="11104" spans="1:2" x14ac:dyDescent="0.25">
      <c r="A11104">
        <f ca="1">27047.0652828925*((RANDBETWEEN(2979,3282)))</f>
        <v>83683619.985269248</v>
      </c>
      <c r="B11104">
        <v>145513845.62040704</v>
      </c>
    </row>
    <row r="11105" spans="1:2" x14ac:dyDescent="0.25">
      <c r="A11105">
        <f ca="1">26817.1765012071*((RANDBETWEEN(2979,3282)))</f>
        <v>86351308.333886907</v>
      </c>
      <c r="B11105">
        <v>177207117.56878072</v>
      </c>
    </row>
    <row r="11106" spans="1:2" x14ac:dyDescent="0.25">
      <c r="A11106">
        <f ca="1">26638.4877449108*((RANDBETWEEN(2979,3282)))</f>
        <v>85722653.563122913</v>
      </c>
      <c r="B11106">
        <v>147621176.55947062</v>
      </c>
    </row>
    <row r="11107" spans="1:2" x14ac:dyDescent="0.25">
      <c r="A11107">
        <f ca="1">26820.4836238243*((RANDBETWEEN(2979,3282)))</f>
        <v>84672266.80041346</v>
      </c>
      <c r="B11107">
        <v>146026001.70195442</v>
      </c>
    </row>
    <row r="11108" spans="1:2" x14ac:dyDescent="0.25">
      <c r="A11108">
        <f ca="1">27386.436665128*((RANDBETWEEN(2979,3282)))</f>
        <v>87280573.651763037</v>
      </c>
      <c r="B11108">
        <v>194105952.87547761</v>
      </c>
    </row>
    <row r="11109" spans="1:2" x14ac:dyDescent="0.25">
      <c r="A11109">
        <f ca="1">29337.9199267349*((RANDBETWEEN(2979,3282)))</f>
        <v>89304628.256980971</v>
      </c>
      <c r="B11109">
        <v>162194877.0408611</v>
      </c>
    </row>
    <row r="11110" spans="1:2" x14ac:dyDescent="0.25">
      <c r="A11110">
        <f ca="1">27594.2099618648*((RANDBETWEEN(2979,3282)))</f>
        <v>84162340.383687586</v>
      </c>
      <c r="B11110">
        <v>185133105.35719854</v>
      </c>
    </row>
    <row r="11111" spans="1:2" x14ac:dyDescent="0.25">
      <c r="A11111">
        <f ca="1">28910.0285321448*((RANDBETWEEN(2979,3282)))</f>
        <v>92136260.931945384</v>
      </c>
      <c r="B11111">
        <v>169323767.15385762</v>
      </c>
    </row>
    <row r="11112" spans="1:2" x14ac:dyDescent="0.25">
      <c r="A11112">
        <f ca="1">27700.9195533083*((RANDBETWEEN(2979,3282)))</f>
        <v>83296665.096797943</v>
      </c>
      <c r="B11112">
        <v>201522837.40684521</v>
      </c>
    </row>
    <row r="11113" spans="1:2" x14ac:dyDescent="0.25">
      <c r="A11113">
        <f ca="1">25786.300397397*((RANDBETWEEN(2979,3282)))</f>
        <v>81072128.449416071</v>
      </c>
      <c r="B11113">
        <v>152434219.32259852</v>
      </c>
    </row>
    <row r="11114" spans="1:2" x14ac:dyDescent="0.25">
      <c r="A11114">
        <f ca="1">27111.4389995603*((RANDBETWEEN(2979,3282)))</f>
        <v>81795211.461673334</v>
      </c>
      <c r="B11114">
        <v>149929858.56173521</v>
      </c>
    </row>
    <row r="11115" spans="1:2" x14ac:dyDescent="0.25">
      <c r="A11115">
        <f ca="1">27187.05863132*((RANDBETWEEN(2979,3282)))</f>
        <v>89227926.427992195</v>
      </c>
      <c r="B11115">
        <v>155623525.28878704</v>
      </c>
    </row>
    <row r="11116" spans="1:2" x14ac:dyDescent="0.25">
      <c r="A11116">
        <f ca="1">28263.2991828833*((RANDBETWEEN(2979,3282)))</f>
        <v>88040176.954681456</v>
      </c>
      <c r="B11116">
        <v>199853335.03646481</v>
      </c>
    </row>
    <row r="11117" spans="1:2" x14ac:dyDescent="0.25">
      <c r="A11117">
        <f ca="1">27477.7581441751*((RANDBETWEEN(2979,3282)))</f>
        <v>89220280.694136634</v>
      </c>
      <c r="B11117">
        <v>148205464.29724246</v>
      </c>
    </row>
    <row r="11118" spans="1:2" x14ac:dyDescent="0.25">
      <c r="A11118">
        <f ca="1">31092.8106327597*((RANDBETWEEN(2979,3282)))</f>
        <v>95175093.346877456</v>
      </c>
      <c r="B11118">
        <v>146810725.57664222</v>
      </c>
    </row>
    <row r="11119" spans="1:2" x14ac:dyDescent="0.25">
      <c r="A11119">
        <f ca="1">27783.2154026627*((RANDBETWEEN(2979,3282)))</f>
        <v>84961072.701342568</v>
      </c>
      <c r="B11119">
        <v>173059845.32925272</v>
      </c>
    </row>
    <row r="11120" spans="1:2" x14ac:dyDescent="0.25">
      <c r="A11120">
        <f ca="1">27331.7413849225*((RANDBETWEEN(2979,3282)))</f>
        <v>87215586.75928773</v>
      </c>
      <c r="B11120">
        <v>171149871.36361805</v>
      </c>
    </row>
    <row r="11121" spans="1:2" x14ac:dyDescent="0.25">
      <c r="A11121">
        <f ca="1">25625.5970840844*((RANDBETWEEN(2979,3282)))</f>
        <v>78029943.121037081</v>
      </c>
      <c r="B11121">
        <v>158383288.02116171</v>
      </c>
    </row>
    <row r="11122" spans="1:2" x14ac:dyDescent="0.25">
      <c r="A11122">
        <f ca="1">26585.6508276992*((RANDBETWEEN(2979,3282)))</f>
        <v>79624024.228959024</v>
      </c>
      <c r="B11122">
        <v>148131308.98930824</v>
      </c>
    </row>
    <row r="11123" spans="1:2" x14ac:dyDescent="0.25">
      <c r="A11123">
        <f ca="1">32857.863475275*((RANDBETWEEN(2979,3282)))</f>
        <v>101333650.95774813</v>
      </c>
      <c r="B11123">
        <v>155344389.79292673</v>
      </c>
    </row>
    <row r="11124" spans="1:2" x14ac:dyDescent="0.25">
      <c r="A11124">
        <f ca="1">27533.0461529311*((RANDBETWEEN(2979,3282)))</f>
        <v>87307289.350944638</v>
      </c>
      <c r="B11124">
        <v>172042071.34815961</v>
      </c>
    </row>
    <row r="11125" spans="1:2" x14ac:dyDescent="0.25">
      <c r="A11125">
        <f ca="1">26719.543301155*((RANDBETWEEN(2979,3282)))</f>
        <v>82296193.367557362</v>
      </c>
      <c r="B11125">
        <v>146699576.94081625</v>
      </c>
    </row>
    <row r="11126" spans="1:2" x14ac:dyDescent="0.25">
      <c r="A11126">
        <f ca="1">29255.1068321118*((RANDBETWEEN(2979,3282)))</f>
        <v>91626994.598174095</v>
      </c>
      <c r="B11126">
        <v>186678307.96243179</v>
      </c>
    </row>
    <row r="11127" spans="1:2" x14ac:dyDescent="0.25">
      <c r="A11127">
        <f ca="1">27371.0313352817*((RANDBETWEEN(2979,3282)))</f>
        <v>82359433.287862629</v>
      </c>
      <c r="B11127">
        <v>143479876.12373564</v>
      </c>
    </row>
    <row r="11128" spans="1:2" x14ac:dyDescent="0.25">
      <c r="A11128">
        <f ca="1">27851.5092707073*((RANDBETWEEN(2979,3282)))</f>
        <v>88261432.87887156</v>
      </c>
      <c r="B11128">
        <v>187830164.77745384</v>
      </c>
    </row>
    <row r="11129" spans="1:2" x14ac:dyDescent="0.25">
      <c r="A11129">
        <f ca="1">27126.2387336507*((RANDBETWEEN(2979,3282)))</f>
        <v>86424196.605411246</v>
      </c>
      <c r="B11129">
        <v>146138325.74995929</v>
      </c>
    </row>
    <row r="11130" spans="1:2" x14ac:dyDescent="0.25">
      <c r="A11130">
        <f ca="1">25639.175898966*((RANDBETWEEN(2979,3282)))</f>
        <v>78353321.547239974</v>
      </c>
      <c r="B11130">
        <v>153216327.54847157</v>
      </c>
    </row>
    <row r="11131" spans="1:2" x14ac:dyDescent="0.25">
      <c r="A11131">
        <f ca="1">26593.1919641329*((RANDBETWEEN(2979,3282)))</f>
        <v>83901520.646839172</v>
      </c>
      <c r="B11131">
        <v>144260904.22935802</v>
      </c>
    </row>
    <row r="11132" spans="1:2" x14ac:dyDescent="0.25">
      <c r="A11132">
        <f ca="1">27570.4749494999*((RANDBETWEEN(2979,3282)))</f>
        <v>90183023.559814289</v>
      </c>
      <c r="B11132">
        <v>201939242.25252953</v>
      </c>
    </row>
    <row r="11133" spans="1:2" x14ac:dyDescent="0.25">
      <c r="A11133">
        <f ca="1">26940.744833665*((RANDBETWEEN(2979,3282)))</f>
        <v>86937783.578236997</v>
      </c>
      <c r="B11133">
        <v>185003968.47749767</v>
      </c>
    </row>
    <row r="11134" spans="1:2" x14ac:dyDescent="0.25">
      <c r="A11134">
        <f ca="1">26093.14937311*((RANDBETWEEN(2979,3282)))</f>
        <v>82767469.811505079</v>
      </c>
      <c r="B11134">
        <v>168610270.41187114</v>
      </c>
    </row>
    <row r="11135" spans="1:2" x14ac:dyDescent="0.25">
      <c r="A11135">
        <f ca="1">27756.3054793206*((RANDBETWEEN(2979,3282)))</f>
        <v>87987488.369446397</v>
      </c>
      <c r="B11135">
        <v>151823197.9634296</v>
      </c>
    </row>
    <row r="11136" spans="1:2" x14ac:dyDescent="0.25">
      <c r="A11136">
        <f ca="1">26754.895225001*((RANDBETWEEN(2979,3282)))</f>
        <v>83100704.568853125</v>
      </c>
      <c r="B11136">
        <v>159301804.25739878</v>
      </c>
    </row>
    <row r="11137" spans="1:2" x14ac:dyDescent="0.25">
      <c r="A11137">
        <f ca="1">33087.0399654009*((RANDBETWEEN(2979,3282)))</f>
        <v>100220644.05519928</v>
      </c>
      <c r="B11137">
        <v>156584969.68483508</v>
      </c>
    </row>
    <row r="11138" spans="1:2" x14ac:dyDescent="0.25">
      <c r="A11138">
        <f ca="1">29429.3777097629*((RANDBETWEEN(2979,3282)))</f>
        <v>89465308.237679318</v>
      </c>
      <c r="B11138">
        <v>181475289.21446073</v>
      </c>
    </row>
    <row r="11139" spans="1:2" x14ac:dyDescent="0.25">
      <c r="A11139">
        <f ca="1">29299.3424701978*((RANDBETWEEN(2979,3282)))</f>
        <v>89919682.041037157</v>
      </c>
      <c r="B11139">
        <v>175985085.52303976</v>
      </c>
    </row>
    <row r="11140" spans="1:2" x14ac:dyDescent="0.25">
      <c r="A11140">
        <f ca="1">33231.7071897095*((RANDBETWEEN(2979,3282)))</f>
        <v>101655792.29332142</v>
      </c>
      <c r="B11140">
        <v>189190906.45463803</v>
      </c>
    </row>
    <row r="11141" spans="1:2" x14ac:dyDescent="0.25">
      <c r="A11141">
        <f ca="1">28524.6081939572*((RANDBETWEEN(2979,3282)))</f>
        <v>89709892.76999554</v>
      </c>
      <c r="B11141">
        <v>192982676.7101512</v>
      </c>
    </row>
    <row r="11142" spans="1:2" x14ac:dyDescent="0.25">
      <c r="A11142">
        <f ca="1">27215.0330596564*((RANDBETWEEN(2979,3282)))</f>
        <v>88530502.543062374</v>
      </c>
      <c r="B11142">
        <v>169181958.39103985</v>
      </c>
    </row>
    <row r="11143" spans="1:2" x14ac:dyDescent="0.25">
      <c r="A11143">
        <f ca="1">27124.2858096405*((RANDBETWEEN(2979,3282)))</f>
        <v>87936934.594854578</v>
      </c>
      <c r="B11143">
        <v>202945593.12424058</v>
      </c>
    </row>
    <row r="11144" spans="1:2" x14ac:dyDescent="0.25">
      <c r="A11144">
        <f ca="1">25892.1581533019*((RANDBETWEEN(2979,3282)))</f>
        <v>84045945.365617901</v>
      </c>
      <c r="B11144">
        <v>160630653.09869498</v>
      </c>
    </row>
    <row r="11145" spans="1:2" x14ac:dyDescent="0.25">
      <c r="A11145">
        <f ca="1">29570.544890357*((RANDBETWEEN(2979,3282)))</f>
        <v>94773596.373594224</v>
      </c>
      <c r="B11145">
        <v>192405168.96631867</v>
      </c>
    </row>
    <row r="11146" spans="1:2" x14ac:dyDescent="0.25">
      <c r="A11146">
        <f ca="1">26220.8719291457*((RANDBETWEEN(2979,3282)))</f>
        <v>81389586.468068302</v>
      </c>
      <c r="B11146">
        <v>179914536.5318791</v>
      </c>
    </row>
    <row r="11147" spans="1:2" x14ac:dyDescent="0.25">
      <c r="A11147">
        <f ca="1">29434.9541350626*((RANDBETWEEN(2979,3282)))</f>
        <v>91130618.002153844</v>
      </c>
      <c r="B11147">
        <v>157335458.13300204</v>
      </c>
    </row>
    <row r="11148" spans="1:2" x14ac:dyDescent="0.25">
      <c r="A11148">
        <f ca="1">30271.2725290603*((RANDBETWEEN(2979,3282)))</f>
        <v>92418195.031221122</v>
      </c>
      <c r="B11148">
        <v>147894991.02918988</v>
      </c>
    </row>
    <row r="11149" spans="1:2" x14ac:dyDescent="0.25">
      <c r="A11149">
        <f ca="1">29155.1584403049*((RANDBETWEEN(2979,3282)))</f>
        <v>90993249.492191717</v>
      </c>
      <c r="B11149">
        <v>200012334.2196523</v>
      </c>
    </row>
    <row r="11150" spans="1:2" x14ac:dyDescent="0.25">
      <c r="A11150">
        <f ca="1">29002.0336836173*((RANDBETWEEN(2979,3282)))</f>
        <v>89587282.04869391</v>
      </c>
      <c r="B11150">
        <v>198643789.44790518</v>
      </c>
    </row>
    <row r="11151" spans="1:2" x14ac:dyDescent="0.25">
      <c r="A11151">
        <f ca="1">26311.3687532733*((RANDBETWEEN(2979,3282)))</f>
        <v>83038679.785330638</v>
      </c>
      <c r="B11151">
        <v>175260227.83396095</v>
      </c>
    </row>
    <row r="11152" spans="1:2" x14ac:dyDescent="0.25">
      <c r="A11152">
        <f ca="1">31621.9831892611*((RANDBETWEEN(2979,3282)))</f>
        <v>97174354.340599239</v>
      </c>
      <c r="B11152">
        <v>183959383.32515037</v>
      </c>
    </row>
    <row r="11153" spans="1:2" x14ac:dyDescent="0.25">
      <c r="A11153">
        <f ca="1">27069.3265711124*((RANDBETWEEN(2979,3282)))</f>
        <v>84023189.676732853</v>
      </c>
      <c r="B11153">
        <v>151454338.03767905</v>
      </c>
    </row>
    <row r="11154" spans="1:2" x14ac:dyDescent="0.25">
      <c r="A11154">
        <f ca="1">28385.1161057982*((RANDBETWEEN(2979,3282)))</f>
        <v>92904485.014277533</v>
      </c>
      <c r="B11154">
        <v>150994983.20985922</v>
      </c>
    </row>
    <row r="11155" spans="1:2" x14ac:dyDescent="0.25">
      <c r="A11155">
        <f ca="1">25613.4435177451*((RANDBETWEEN(2979,3282)))</f>
        <v>79273607.687421054</v>
      </c>
      <c r="B11155">
        <v>150456487.92504159</v>
      </c>
    </row>
    <row r="11156" spans="1:2" x14ac:dyDescent="0.25">
      <c r="A11156">
        <f ca="1">25422.7178403753*((RANDBETWEEN(2979,3282)))</f>
        <v>82852637.441782966</v>
      </c>
      <c r="B11156">
        <v>181757393.96966922</v>
      </c>
    </row>
    <row r="11157" spans="1:2" x14ac:dyDescent="0.25">
      <c r="A11157">
        <f ca="1">29723.8195067155*((RANDBETWEEN(2979,3282)))</f>
        <v>93659755.265660405</v>
      </c>
      <c r="B11157">
        <v>151494188.14982885</v>
      </c>
    </row>
    <row r="11158" spans="1:2" x14ac:dyDescent="0.25">
      <c r="A11158">
        <f ca="1">26388.4465384714*((RANDBETWEEN(2979,3282)))</f>
        <v>81170861.552338004</v>
      </c>
      <c r="B11158">
        <v>177864904.17717558</v>
      </c>
    </row>
    <row r="11159" spans="1:2" x14ac:dyDescent="0.25">
      <c r="A11159">
        <f ca="1">30874.3453473219*((RANDBETWEEN(2979,3282)))</f>
        <v>99446266.363723949</v>
      </c>
      <c r="B11159">
        <v>186199461.70236319</v>
      </c>
    </row>
    <row r="11160" spans="1:2" x14ac:dyDescent="0.25">
      <c r="A11160">
        <f ca="1">28938.2685689413*((RANDBETWEEN(2979,3282)))</f>
        <v>87104188.39251329</v>
      </c>
      <c r="B11160">
        <v>144236980.88854977</v>
      </c>
    </row>
    <row r="11161" spans="1:2" x14ac:dyDescent="0.25">
      <c r="A11161">
        <f ca="1">28359.6451160451*((RANDBETWEEN(2979,3282)))</f>
        <v>90835943.306692392</v>
      </c>
      <c r="B11161">
        <v>200027490.84531879</v>
      </c>
    </row>
    <row r="11162" spans="1:2" x14ac:dyDescent="0.25">
      <c r="A11162">
        <f ca="1">29662.401287902*((RANDBETWEEN(2979,3282)))</f>
        <v>94830696.917422563</v>
      </c>
      <c r="B11162">
        <v>174744434.42853948</v>
      </c>
    </row>
    <row r="11163" spans="1:2" x14ac:dyDescent="0.25">
      <c r="A11163">
        <f ca="1">26830.3649467794*((RANDBETWEEN(2979,3282)))</f>
        <v>86179132.209055588</v>
      </c>
      <c r="B11163">
        <v>144387656.69260406</v>
      </c>
    </row>
    <row r="11164" spans="1:2" x14ac:dyDescent="0.25">
      <c r="A11164">
        <f ca="1">26413.2142985609*((RANDBETWEEN(2979,3282)))</f>
        <v>85024136.827067375</v>
      </c>
      <c r="B11164">
        <v>143432396.00380462</v>
      </c>
    </row>
    <row r="11165" spans="1:2" x14ac:dyDescent="0.25">
      <c r="A11165">
        <f ca="1">26903.593300306*((RANDBETWEEN(2979,3282)))</f>
        <v>83643271.570651293</v>
      </c>
      <c r="B11165">
        <v>146018837.73450804</v>
      </c>
    </row>
    <row r="11166" spans="1:2" x14ac:dyDescent="0.25">
      <c r="A11166">
        <f ca="1">27375.1809403252*((RANDBETWEEN(2979,3282)))</f>
        <v>89024088.417937502</v>
      </c>
      <c r="B11166">
        <v>147301537.67252252</v>
      </c>
    </row>
    <row r="11167" spans="1:2" x14ac:dyDescent="0.25">
      <c r="A11167">
        <f ca="1">25049.8832661463*((RANDBETWEEN(2979,3282)))</f>
        <v>79683678.669611394</v>
      </c>
      <c r="B11167">
        <v>144587523.49149513</v>
      </c>
    </row>
    <row r="11168" spans="1:2" x14ac:dyDescent="0.25">
      <c r="A11168">
        <f ca="1">26651.6168303622*((RANDBETWEEN(2979,3282)))</f>
        <v>84085851.099792808</v>
      </c>
      <c r="B11168">
        <v>181698090.49400562</v>
      </c>
    </row>
    <row r="11169" spans="1:2" x14ac:dyDescent="0.25">
      <c r="A11169">
        <f ca="1">28870.8200358396*((RANDBETWEEN(2979,3282)))</f>
        <v>94320969.057088077</v>
      </c>
      <c r="B11169">
        <v>143462949.29239044</v>
      </c>
    </row>
    <row r="11170" spans="1:2" x14ac:dyDescent="0.25">
      <c r="A11170">
        <f ca="1">27923.2101490255*((RANDBETWEEN(2979,3282)))</f>
        <v>84886558.853037417</v>
      </c>
      <c r="B11170">
        <v>172198197.7489143</v>
      </c>
    </row>
    <row r="11171" spans="1:2" x14ac:dyDescent="0.25">
      <c r="A11171">
        <f ca="1">32151.2667971369*((RANDBETWEEN(2979,3282)))</f>
        <v>101340792.94457558</v>
      </c>
      <c r="B11171">
        <v>198926684.3059746</v>
      </c>
    </row>
    <row r="11172" spans="1:2" x14ac:dyDescent="0.25">
      <c r="A11172">
        <f ca="1">27076.2906271999*((RANDBETWEEN(2979,3282)))</f>
        <v>83963577.234946936</v>
      </c>
      <c r="B11172">
        <v>160989743.64701718</v>
      </c>
    </row>
    <row r="11173" spans="1:2" x14ac:dyDescent="0.25">
      <c r="A11173">
        <f ca="1">26134.751507903*((RANDBETWEEN(2979,3282)))</f>
        <v>83578935.322273865</v>
      </c>
      <c r="B11173">
        <v>155101717.1861231</v>
      </c>
    </row>
    <row r="11174" spans="1:2" x14ac:dyDescent="0.25">
      <c r="A11174">
        <f ca="1">26305.0202694048*((RANDBETWEEN(2979,3282)))</f>
        <v>80467057.004109383</v>
      </c>
      <c r="B11174">
        <v>160364933.51265499</v>
      </c>
    </row>
    <row r="11175" spans="1:2" x14ac:dyDescent="0.25">
      <c r="A11175">
        <f ca="1">26706.6360312298*((RANDBETWEEN(2979,3282)))</f>
        <v>86663033.9213406</v>
      </c>
      <c r="B11175">
        <v>148346667.8303718</v>
      </c>
    </row>
    <row r="11176" spans="1:2" x14ac:dyDescent="0.25">
      <c r="A11176">
        <f ca="1">29041.6444611485*((RANDBETWEEN(2979,3282)))</f>
        <v>89912931.251715839</v>
      </c>
      <c r="B11176">
        <v>168429240.19057995</v>
      </c>
    </row>
    <row r="11177" spans="1:2" x14ac:dyDescent="0.25">
      <c r="A11177">
        <f ca="1">31529.811444063*((RANDBETWEEN(2979,3282)))</f>
        <v>102913304.55342175</v>
      </c>
      <c r="B11177">
        <v>188141957.88286263</v>
      </c>
    </row>
    <row r="11178" spans="1:2" x14ac:dyDescent="0.25">
      <c r="A11178">
        <f ca="1">30110.9104397666*((RANDBETWEEN(2979,3282)))</f>
        <v>96264580.675933957</v>
      </c>
      <c r="B11178">
        <v>162628180.52438244</v>
      </c>
    </row>
    <row r="11179" spans="1:2" x14ac:dyDescent="0.25">
      <c r="A11179">
        <f ca="1">31618.0440800778*((RANDBETWEEN(2979,3282)))</f>
        <v>94917368.328393459</v>
      </c>
      <c r="B11179">
        <v>173340288.12269193</v>
      </c>
    </row>
    <row r="11180" spans="1:2" x14ac:dyDescent="0.25">
      <c r="A11180">
        <f ca="1">27222.9030427594*((RANDBETWEEN(2979,3282)))</f>
        <v>86133265.22729063</v>
      </c>
      <c r="B11180">
        <v>157496172.75164831</v>
      </c>
    </row>
    <row r="11181" spans="1:2" x14ac:dyDescent="0.25">
      <c r="A11181">
        <f ca="1">30183.3384310841*((RANDBETWEEN(2979,3282)))</f>
        <v>96073566.226140648</v>
      </c>
      <c r="B11181">
        <v>182155094.90330189</v>
      </c>
    </row>
    <row r="11182" spans="1:2" x14ac:dyDescent="0.25">
      <c r="A11182">
        <f ca="1">29072.3807795446*((RANDBETWEEN(2979,3282)))</f>
        <v>89310353.75476113</v>
      </c>
      <c r="B11182">
        <v>181115412.2004995</v>
      </c>
    </row>
    <row r="11183" spans="1:2" x14ac:dyDescent="0.25">
      <c r="A11183">
        <f ca="1">29900.4349935025*((RANDBETWEEN(2979,3282)))</f>
        <v>97624920.253785759</v>
      </c>
      <c r="B11183">
        <v>168373038.18824005</v>
      </c>
    </row>
    <row r="11184" spans="1:2" x14ac:dyDescent="0.25">
      <c r="A11184">
        <f ca="1">27410.3848350992*((RANDBETWEEN(2979,3282)))</f>
        <v>82066692.196286976</v>
      </c>
      <c r="B11184">
        <v>200026504.21911123</v>
      </c>
    </row>
    <row r="11185" spans="1:2" x14ac:dyDescent="0.25">
      <c r="A11185">
        <f ca="1">31237.0440433886*((RANDBETWEEN(2979,3282)))</f>
        <v>95647828.860856146</v>
      </c>
      <c r="B11185">
        <v>187241412.76273498</v>
      </c>
    </row>
    <row r="11186" spans="1:2" x14ac:dyDescent="0.25">
      <c r="A11186">
        <f ca="1">26330.9637346899*((RANDBETWEEN(2979,3282)))</f>
        <v>79598503.369967669</v>
      </c>
      <c r="B11186">
        <v>158342900.48291412</v>
      </c>
    </row>
    <row r="11187" spans="1:2" x14ac:dyDescent="0.25">
      <c r="A11187">
        <f ca="1">26802.0462613977*((RANDBETWEEN(2979,3282)))</f>
        <v>82603906.577627614</v>
      </c>
      <c r="B11187">
        <v>143652382.29372382</v>
      </c>
    </row>
    <row r="11188" spans="1:2" x14ac:dyDescent="0.25">
      <c r="A11188">
        <f ca="1">27984.9202420921*((RANDBETWEEN(2979,3282)))</f>
        <v>86865192.431453794</v>
      </c>
      <c r="B11188">
        <v>152094202.49405751</v>
      </c>
    </row>
    <row r="11189" spans="1:2" x14ac:dyDescent="0.25">
      <c r="A11189">
        <f ca="1">26742.9510822129*((RANDBETWEEN(2979,3282)))</f>
        <v>83732179.838408485</v>
      </c>
      <c r="B11189">
        <v>163801768.97717568</v>
      </c>
    </row>
    <row r="11190" spans="1:2" x14ac:dyDescent="0.25">
      <c r="A11190">
        <f ca="1">26893.0146250881*((RANDBETWEEN(2979,3282)))</f>
        <v>86972009.297534958</v>
      </c>
      <c r="B11190">
        <v>146390015.21355191</v>
      </c>
    </row>
    <row r="11191" spans="1:2" x14ac:dyDescent="0.25">
      <c r="A11191">
        <f ca="1">29590.4013861254*((RANDBETWEEN(2979,3282)))</f>
        <v>94896417.245304093</v>
      </c>
      <c r="B11191">
        <v>182045896.43278569</v>
      </c>
    </row>
    <row r="11192" spans="1:2" x14ac:dyDescent="0.25">
      <c r="A11192">
        <f ca="1">27677.4606304139*((RANDBETWEEN(2979,3282)))</f>
        <v>87128646.064543024</v>
      </c>
      <c r="B11192">
        <v>143962644.73963562</v>
      </c>
    </row>
    <row r="11193" spans="1:2" x14ac:dyDescent="0.25">
      <c r="A11193">
        <f ca="1">27349.4834778434*((RANDBETWEEN(2979,3282)))</f>
        <v>86369668.823029503</v>
      </c>
      <c r="B11193">
        <v>144670966.94276252</v>
      </c>
    </row>
    <row r="11194" spans="1:2" x14ac:dyDescent="0.25">
      <c r="A11194">
        <f ca="1">27058.5864902071*((RANDBETWEEN(2979,3282)))</f>
        <v>84666317.127858058</v>
      </c>
      <c r="B11194">
        <v>148981979.75836068</v>
      </c>
    </row>
    <row r="11195" spans="1:2" x14ac:dyDescent="0.25">
      <c r="A11195">
        <f ca="1">32456.0916920458*((RANDBETWEEN(2979,3282)))</f>
        <v>96978801.97583276</v>
      </c>
      <c r="B11195">
        <v>191206955.23418933</v>
      </c>
    </row>
    <row r="11196" spans="1:2" x14ac:dyDescent="0.25">
      <c r="A11196">
        <f ca="1">27761.1797200448*((RANDBETWEEN(2979,3282)))</f>
        <v>89973983.472665161</v>
      </c>
      <c r="B11196">
        <v>155642359.04535934</v>
      </c>
    </row>
    <row r="11197" spans="1:2" x14ac:dyDescent="0.25">
      <c r="A11197">
        <f ca="1">28853.2065847528*((RANDBETWEEN(2979,3282)))</f>
        <v>86732738.993766859</v>
      </c>
      <c r="B11197">
        <v>162556851.08136746</v>
      </c>
    </row>
    <row r="11198" spans="1:2" x14ac:dyDescent="0.25">
      <c r="A11198">
        <f ca="1">28114.2982457961*((RANDBETWEEN(2979,3282)))</f>
        <v>85804838.246169642</v>
      </c>
      <c r="B11198">
        <v>157891271.92735851</v>
      </c>
    </row>
    <row r="11199" spans="1:2" x14ac:dyDescent="0.25">
      <c r="A11199">
        <f ca="1">27351.8734234545*((RANDBETWEEN(2979,3282)))</f>
        <v>89686792.955507159</v>
      </c>
      <c r="B11199">
        <v>154760912.12838411</v>
      </c>
    </row>
    <row r="11200" spans="1:2" x14ac:dyDescent="0.25">
      <c r="A11200">
        <f ca="1">28192.8569206788*((RANDBETWEEN(2979,3282)))</f>
        <v>89963406.4338862</v>
      </c>
      <c r="B11200">
        <v>170905600.73158422</v>
      </c>
    </row>
    <row r="11201" spans="1:2" x14ac:dyDescent="0.25">
      <c r="A11201">
        <f ca="1">28458.1699960846*((RANDBETWEEN(2979,3282)))</f>
        <v>93029757.717200696</v>
      </c>
      <c r="B11201">
        <v>174839412.53884494</v>
      </c>
    </row>
    <row r="11202" spans="1:2" x14ac:dyDescent="0.25">
      <c r="A11202">
        <f ca="1">26600.6392216994*((RANDBETWEEN(2979,3282)))</f>
        <v>82355579.030381307</v>
      </c>
      <c r="B11202">
        <v>145206837.4197464</v>
      </c>
    </row>
    <row r="11203" spans="1:2" x14ac:dyDescent="0.25">
      <c r="A11203">
        <f ca="1">28077.7349114632*((RANDBETWEEN(2979,3282)))</f>
        <v>84401671.143858433</v>
      </c>
      <c r="B11203">
        <v>145847423.33708444</v>
      </c>
    </row>
    <row r="11204" spans="1:2" x14ac:dyDescent="0.25">
      <c r="A11204">
        <f ca="1">31383.2356313612*((RANDBETWEEN(2979,3282)))</f>
        <v>101179551.6755085</v>
      </c>
      <c r="B11204">
        <v>180507507.93033457</v>
      </c>
    </row>
    <row r="11205" spans="1:2" x14ac:dyDescent="0.25">
      <c r="A11205">
        <f ca="1">26701.8718951934*((RANDBETWEEN(2979,3282)))</f>
        <v>83630262.77574563</v>
      </c>
      <c r="B11205">
        <v>174686277.19539836</v>
      </c>
    </row>
    <row r="11206" spans="1:2" x14ac:dyDescent="0.25">
      <c r="A11206">
        <f ca="1">28797.7046319507*((RANDBETWEEN(2979,3282)))</f>
        <v>91029544.341596261</v>
      </c>
      <c r="B11206">
        <v>195435103.54381496</v>
      </c>
    </row>
    <row r="11207" spans="1:2" x14ac:dyDescent="0.25">
      <c r="A11207">
        <f ca="1">26585.2522778476*((RANDBETWEEN(2979,3282)))</f>
        <v>81457212.979324952</v>
      </c>
      <c r="B11207">
        <v>182241446.17239618</v>
      </c>
    </row>
    <row r="11208" spans="1:2" x14ac:dyDescent="0.25">
      <c r="A11208">
        <f ca="1">28062.7719567847*((RANDBETWEEN(2979,3282)))</f>
        <v>84721508.537532881</v>
      </c>
      <c r="B11208">
        <v>179832679.64067754</v>
      </c>
    </row>
    <row r="11209" spans="1:2" x14ac:dyDescent="0.25">
      <c r="A11209">
        <f ca="1">25323.9309033776*((RANDBETWEEN(2979,3282)))</f>
        <v>81872268.610619813</v>
      </c>
      <c r="B11209">
        <v>146113876.31559795</v>
      </c>
    </row>
    <row r="11210" spans="1:2" x14ac:dyDescent="0.25">
      <c r="A11210">
        <f ca="1">27362.1126860705*((RANDBETWEEN(2979,3282)))</f>
        <v>85041446.228307009</v>
      </c>
      <c r="B11210">
        <v>147376009.86223847</v>
      </c>
    </row>
    <row r="11211" spans="1:2" x14ac:dyDescent="0.25">
      <c r="A11211">
        <f ca="1">27015.421062606*((RANDBETWEEN(2979,3282)))</f>
        <v>87394887.137530297</v>
      </c>
      <c r="B11211">
        <v>195536967.34885469</v>
      </c>
    </row>
    <row r="11212" spans="1:2" x14ac:dyDescent="0.25">
      <c r="A11212">
        <f ca="1">27360.9900798875*((RANDBETWEEN(2979,3282)))</f>
        <v>87473085.285400435</v>
      </c>
      <c r="B11212">
        <v>179546506.06062365</v>
      </c>
    </row>
    <row r="11213" spans="1:2" x14ac:dyDescent="0.25">
      <c r="A11213">
        <f ca="1">27554.8938988754*((RANDBETWEEN(2979,3282)))</f>
        <v>85998823.858390033</v>
      </c>
      <c r="B11213">
        <v>170122021.51123193</v>
      </c>
    </row>
    <row r="11214" spans="1:2" x14ac:dyDescent="0.25">
      <c r="A11214">
        <f ca="1">30823.0945858745*((RANDBETWEEN(2979,3282)))</f>
        <v>99774357.174475715</v>
      </c>
      <c r="B11214">
        <v>173283161.16031355</v>
      </c>
    </row>
    <row r="11215" spans="1:2" x14ac:dyDescent="0.25">
      <c r="A11215">
        <f ca="1">27232.7577004645*((RANDBETWEEN(2979,3282)))</f>
        <v>87880109.099398911</v>
      </c>
      <c r="B11215">
        <v>178254038.05677027</v>
      </c>
    </row>
    <row r="11216" spans="1:2" x14ac:dyDescent="0.25">
      <c r="A11216">
        <f ca="1">30103.473297977*((RANDBETWEEN(2979,3282)))</f>
        <v>97053597.91267775</v>
      </c>
      <c r="B11216">
        <v>157580611.14538112</v>
      </c>
    </row>
    <row r="11217" spans="1:2" x14ac:dyDescent="0.25">
      <c r="A11217">
        <f ca="1">27329.5705685328*((RANDBETWEEN(2979,3282)))</f>
        <v>88520479.071477577</v>
      </c>
      <c r="B11217">
        <v>183478107.14504904</v>
      </c>
    </row>
    <row r="11218" spans="1:2" x14ac:dyDescent="0.25">
      <c r="A11218">
        <f ca="1">25905.9229057079*((RANDBETWEEN(2979,3282)))</f>
        <v>81033726.849054411</v>
      </c>
      <c r="B11218">
        <v>157540117.06267795</v>
      </c>
    </row>
    <row r="11219" spans="1:2" x14ac:dyDescent="0.25">
      <c r="A11219">
        <f ca="1">28544.9579089112*((RANDBETWEEN(2979,3282)))</f>
        <v>89117358.591620892</v>
      </c>
      <c r="B11219">
        <v>192213500.09590825</v>
      </c>
    </row>
    <row r="11220" spans="1:2" x14ac:dyDescent="0.25">
      <c r="A11220">
        <f ca="1">28246.1369632392*((RANDBETWEEN(2979,3282)))</f>
        <v>88410408.694938779</v>
      </c>
      <c r="B11220">
        <v>170682970.65930003</v>
      </c>
    </row>
    <row r="11221" spans="1:2" x14ac:dyDescent="0.25">
      <c r="A11221">
        <f ca="1">27852.8284229074*((RANDBETWEEN(2979,3282)))</f>
        <v>90243164.090219915</v>
      </c>
      <c r="B11221">
        <v>175048090.54188156</v>
      </c>
    </row>
    <row r="11222" spans="1:2" x14ac:dyDescent="0.25">
      <c r="A11222">
        <f ca="1">27349.9929599595*((RANDBETWEEN(2979,3282)))</f>
        <v>81667078.978439137</v>
      </c>
      <c r="B11222">
        <v>182809706.08850777</v>
      </c>
    </row>
    <row r="11223" spans="1:2" x14ac:dyDescent="0.25">
      <c r="A11223">
        <f ca="1">27740.0558223714*((RANDBETWEEN(2979,3282)))</f>
        <v>90848682.818266317</v>
      </c>
      <c r="B11223">
        <v>200836902.88580555</v>
      </c>
    </row>
    <row r="11224" spans="1:2" x14ac:dyDescent="0.25">
      <c r="A11224">
        <f ca="1">26837.5545610346*((RANDBETWEEN(2979,3282)))</f>
        <v>83518469.793939799</v>
      </c>
      <c r="B11224">
        <v>155542490.57024756</v>
      </c>
    </row>
    <row r="11225" spans="1:2" x14ac:dyDescent="0.25">
      <c r="A11225">
        <f ca="1">28816.7184129899*((RANDBETWEEN(2979,3282)))</f>
        <v>88755492.712008864</v>
      </c>
      <c r="B11225">
        <v>196677809.97055519</v>
      </c>
    </row>
    <row r="11226" spans="1:2" x14ac:dyDescent="0.25">
      <c r="A11226">
        <f ca="1">25843.2661273157*((RANDBETWEEN(2979,3282)))</f>
        <v>77736544.510965586</v>
      </c>
      <c r="B11226">
        <v>172148647.77847329</v>
      </c>
    </row>
    <row r="11227" spans="1:2" x14ac:dyDescent="0.25">
      <c r="A11227">
        <f ca="1">31121.5642849766*((RANDBETWEEN(2979,3282)))</f>
        <v>98188535.319101244</v>
      </c>
      <c r="B11227">
        <v>167116415.1907295</v>
      </c>
    </row>
    <row r="11228" spans="1:2" x14ac:dyDescent="0.25">
      <c r="A11228">
        <f ca="1">25023.4443468398*((RANDBETWEEN(2979,3282)))</f>
        <v>79224224.802094877</v>
      </c>
      <c r="B11228">
        <v>145294462.21408311</v>
      </c>
    </row>
    <row r="11229" spans="1:2" x14ac:dyDescent="0.25">
      <c r="A11229">
        <f ca="1">26455.8662734224*((RANDBETWEEN(2979,3282)))</f>
        <v>85505359.795701221</v>
      </c>
      <c r="B11229">
        <v>169264031.263569</v>
      </c>
    </row>
    <row r="11230" spans="1:2" x14ac:dyDescent="0.25">
      <c r="A11230">
        <f ca="1">25968.1957996713*((RANDBETWEEN(2979,3282)))</f>
        <v>77489096.266219065</v>
      </c>
      <c r="B11230">
        <v>146981351.77902615</v>
      </c>
    </row>
    <row r="11231" spans="1:2" x14ac:dyDescent="0.25">
      <c r="A11231">
        <f ca="1">26947.0973017641*((RANDBETWEEN(2979,3282)))</f>
        <v>80760450.613387048</v>
      </c>
      <c r="B11231">
        <v>145947309.69916886</v>
      </c>
    </row>
    <row r="11232" spans="1:2" x14ac:dyDescent="0.25">
      <c r="A11232">
        <f ca="1">28508.5480169765*((RANDBETWEEN(2979,3282)))</f>
        <v>90942268.174155012</v>
      </c>
      <c r="B11232">
        <v>203327513.5748435</v>
      </c>
    </row>
    <row r="11233" spans="1:2" x14ac:dyDescent="0.25">
      <c r="A11233">
        <f ca="1">28204.9402370998*((RANDBETWEEN(2979,3282)))</f>
        <v>84755845.412485033</v>
      </c>
      <c r="B11233">
        <v>198351504.53027922</v>
      </c>
    </row>
    <row r="11234" spans="1:2" x14ac:dyDescent="0.25">
      <c r="A11234">
        <f ca="1">27119.9290804927*((RANDBETWEEN(2979,3282)))</f>
        <v>84641298.660217628</v>
      </c>
      <c r="B11234">
        <v>162599022.59061173</v>
      </c>
    </row>
    <row r="11235" spans="1:2" x14ac:dyDescent="0.25">
      <c r="A11235">
        <f ca="1">27596.8517090926*((RANDBETWEEN(2979,3282)))</f>
        <v>85826208.815277904</v>
      </c>
      <c r="B11235">
        <v>156812676.14966249</v>
      </c>
    </row>
    <row r="11236" spans="1:2" x14ac:dyDescent="0.25">
      <c r="A11236">
        <f ca="1">27707.2039666388*((RANDBETWEEN(2979,3282)))</f>
        <v>88995539.140843824</v>
      </c>
      <c r="B11236">
        <v>145535357.84056735</v>
      </c>
    </row>
    <row r="11237" spans="1:2" x14ac:dyDescent="0.25">
      <c r="A11237">
        <f ca="1">26780.5205863572*((RANDBETWEEN(2979,3282)))</f>
        <v>85938690.561620116</v>
      </c>
      <c r="B11237">
        <v>153211330.39326942</v>
      </c>
    </row>
    <row r="11238" spans="1:2" x14ac:dyDescent="0.25">
      <c r="A11238">
        <f ca="1">30728.6859098455*((RANDBETWEEN(2979,3282)))</f>
        <v>96949004.045562401</v>
      </c>
      <c r="B11238">
        <v>165880821.41525796</v>
      </c>
    </row>
    <row r="11239" spans="1:2" x14ac:dyDescent="0.25">
      <c r="A11239">
        <f ca="1">32933.3821583405*((RANDBETWEEN(2979,3282)))</f>
        <v>102389885.13028061</v>
      </c>
      <c r="B11239">
        <v>151762017.18814605</v>
      </c>
    </row>
    <row r="11240" spans="1:2" x14ac:dyDescent="0.25">
      <c r="A11240">
        <f ca="1">27555.6861676343*((RANDBETWEEN(2979,3282)))</f>
        <v>87599526.326909468</v>
      </c>
      <c r="B11240">
        <v>201099711.62074101</v>
      </c>
    </row>
    <row r="11241" spans="1:2" x14ac:dyDescent="0.25">
      <c r="A11241">
        <f ca="1">26184.3028703072*((RANDBETWEEN(2979,3282)))</f>
        <v>83344636.036187947</v>
      </c>
      <c r="B11241">
        <v>151782960.91118184</v>
      </c>
    </row>
    <row r="11242" spans="1:2" x14ac:dyDescent="0.25">
      <c r="A11242">
        <f ca="1">29599.2737246085*((RANDBETWEEN(2979,3282)))</f>
        <v>89537803.016940832</v>
      </c>
      <c r="B11242">
        <v>149759015.72316724</v>
      </c>
    </row>
    <row r="11243" spans="1:2" x14ac:dyDescent="0.25">
      <c r="A11243">
        <f ca="1">30070.8286178237*((RANDBETWEEN(2979,3282)))</f>
        <v>97850476.322398409</v>
      </c>
      <c r="B11243">
        <v>162022083.10049319</v>
      </c>
    </row>
    <row r="11244" spans="1:2" x14ac:dyDescent="0.25">
      <c r="A11244">
        <f ca="1">26190.6270084282*((RANDBETWEEN(2979,3282)))</f>
        <v>85669540.944568574</v>
      </c>
      <c r="B11244">
        <v>144416182.38328326</v>
      </c>
    </row>
    <row r="11245" spans="1:2" x14ac:dyDescent="0.25">
      <c r="A11245">
        <f ca="1">25494.2127569235*((RANDBETWEEN(2979,3282)))</f>
        <v>81428515.545613691</v>
      </c>
      <c r="B11245">
        <v>145560221.72590876</v>
      </c>
    </row>
    <row r="11246" spans="1:2" x14ac:dyDescent="0.25">
      <c r="A11246">
        <f ca="1">26405.6838878273*((RANDBETWEEN(2979,3282)))</f>
        <v>80722175.645088077</v>
      </c>
      <c r="B11246">
        <v>179663855.4324311</v>
      </c>
    </row>
    <row r="11247" spans="1:2" x14ac:dyDescent="0.25">
      <c r="A11247">
        <f ca="1">31070.5274823069*((RANDBETWEEN(2979,3282)))</f>
        <v>101724906.97707278</v>
      </c>
      <c r="B11247">
        <v>164109664.07821673</v>
      </c>
    </row>
    <row r="11248" spans="1:2" x14ac:dyDescent="0.25">
      <c r="A11248">
        <f ca="1">27721.3648892721*((RANDBETWEEN(2979,3282)))</f>
        <v>84383834.722944304</v>
      </c>
      <c r="B11248">
        <v>155191417.87932545</v>
      </c>
    </row>
    <row r="11249" spans="1:2" x14ac:dyDescent="0.25">
      <c r="A11249">
        <f ca="1">27835.4153621234*((RANDBETWEEN(2979,3282)))</f>
        <v>89574366.635313243</v>
      </c>
      <c r="B11249">
        <v>169441049.19877297</v>
      </c>
    </row>
    <row r="11250" spans="1:2" x14ac:dyDescent="0.25">
      <c r="A11250">
        <f ca="1">28996.5342438852*((RANDBETWEEN(2979,3282)))</f>
        <v>94180743.22413899</v>
      </c>
      <c r="B11250">
        <v>173817226.58026898</v>
      </c>
    </row>
    <row r="11251" spans="1:2" x14ac:dyDescent="0.25">
      <c r="A11251">
        <f ca="1">26240.2125558891*((RANDBETWEEN(2979,3282)))</f>
        <v>81056016.58514148</v>
      </c>
      <c r="B11251">
        <v>149073975.07527786</v>
      </c>
    </row>
    <row r="11252" spans="1:2" x14ac:dyDescent="0.25">
      <c r="A11252">
        <f ca="1">27674.3838084628*((RANDBETWEEN(2979,3282)))</f>
        <v>87008262.693807006</v>
      </c>
      <c r="B11252">
        <v>193029368.58358887</v>
      </c>
    </row>
    <row r="11253" spans="1:2" x14ac:dyDescent="0.25">
      <c r="A11253">
        <f ca="1">27941.9298930948*((RANDBETWEEN(2979,3282)))</f>
        <v>88045021.093141615</v>
      </c>
      <c r="B11253">
        <v>153329003.37159771</v>
      </c>
    </row>
    <row r="11254" spans="1:2" x14ac:dyDescent="0.25">
      <c r="A11254">
        <f ca="1">28316.6755271009*((RANDBETWEEN(2979,3282)))</f>
        <v>88687827.750879928</v>
      </c>
      <c r="B11254">
        <v>145978671.66134042</v>
      </c>
    </row>
    <row r="11255" spans="1:2" x14ac:dyDescent="0.25">
      <c r="A11255">
        <f ca="1">29075.2435903259*((RANDBETWEEN(2979,3282)))</f>
        <v>89144696.847939149</v>
      </c>
      <c r="B11255">
        <v>180869005.82241371</v>
      </c>
    </row>
    <row r="11256" spans="1:2" x14ac:dyDescent="0.25">
      <c r="A11256">
        <f ca="1">27108.3864423611*((RANDBETWEEN(2979,3282)))</f>
        <v>88725748.825847939</v>
      </c>
      <c r="B11256">
        <v>161491430.08385998</v>
      </c>
    </row>
    <row r="11257" spans="1:2" x14ac:dyDescent="0.25">
      <c r="A11257">
        <f ca="1">28533.3317520419*((RANDBETWEEN(2979,3282)))</f>
        <v>88681595.085346162</v>
      </c>
      <c r="B11257">
        <v>148129894.18882334</v>
      </c>
    </row>
    <row r="11258" spans="1:2" x14ac:dyDescent="0.25">
      <c r="A11258">
        <f ca="1">27085.4814485054*((RANDBETWEEN(2979,3282)))</f>
        <v>81825239.455934733</v>
      </c>
      <c r="B11258">
        <v>183732955.02602518</v>
      </c>
    </row>
    <row r="11259" spans="1:2" x14ac:dyDescent="0.25">
      <c r="A11259">
        <f ca="1">26908.0503319099*((RANDBETWEEN(2979,3282)))</f>
        <v>87101358.924392238</v>
      </c>
      <c r="B11259">
        <v>143187678.60900983</v>
      </c>
    </row>
    <row r="11260" spans="1:2" x14ac:dyDescent="0.25">
      <c r="A11260">
        <f ca="1">28738.7944715572*((RANDBETWEEN(2979,3282)))</f>
        <v>92682612.170771852</v>
      </c>
      <c r="B11260">
        <v>193558403.86153245</v>
      </c>
    </row>
    <row r="11261" spans="1:2" x14ac:dyDescent="0.25">
      <c r="A11261">
        <f ca="1">29316.3513319098*((RANDBETWEEN(2979,3282)))</f>
        <v>94897029.261392057</v>
      </c>
      <c r="B11261">
        <v>167982720.65785211</v>
      </c>
    </row>
    <row r="11262" spans="1:2" x14ac:dyDescent="0.25">
      <c r="A11262">
        <f ca="1">25552.8301833128*((RANDBETWEEN(2979,3282)))</f>
        <v>83532201.869249523</v>
      </c>
      <c r="B11262">
        <v>157200457.88031444</v>
      </c>
    </row>
    <row r="11263" spans="1:2" x14ac:dyDescent="0.25">
      <c r="A11263">
        <f ca="1">25976.2921330749*((RANDBETWEEN(2979,3282)))</f>
        <v>79123785.837346077</v>
      </c>
      <c r="B11263">
        <v>154846305.96283266</v>
      </c>
    </row>
    <row r="11264" spans="1:2" x14ac:dyDescent="0.25">
      <c r="A11264">
        <f ca="1">27507.0950759709*((RANDBETWEEN(2979,3282)))</f>
        <v>86812392.059764042</v>
      </c>
      <c r="B11264">
        <v>169404186.36952055</v>
      </c>
    </row>
    <row r="11265" spans="1:2" x14ac:dyDescent="0.25">
      <c r="A11265">
        <f ca="1">29353.5211937656*((RANDBETWEEN(2979,3282)))</f>
        <v>88236684.708459407</v>
      </c>
      <c r="B11265">
        <v>148469587.96971992</v>
      </c>
    </row>
    <row r="11266" spans="1:2" x14ac:dyDescent="0.25">
      <c r="A11266">
        <f ca="1">28763.9474638244*((RANDBETWEEN(2979,3282)))</f>
        <v>86119258.706690326</v>
      </c>
      <c r="B11266">
        <v>150473646.94081807</v>
      </c>
    </row>
    <row r="11267" spans="1:2" x14ac:dyDescent="0.25">
      <c r="A11267">
        <f ca="1">33788.500313402*((RANDBETWEEN(2979,3282)))</f>
        <v>109001702.0110348</v>
      </c>
      <c r="B11267">
        <v>197381570.39930737</v>
      </c>
    </row>
    <row r="11268" spans="1:2" x14ac:dyDescent="0.25">
      <c r="A11268">
        <f ca="1">27525.5198332442*((RANDBETWEEN(2979,3282)))</f>
        <v>85852096.359888554</v>
      </c>
      <c r="B11268">
        <v>156712969.84306985</v>
      </c>
    </row>
    <row r="11269" spans="1:2" x14ac:dyDescent="0.25">
      <c r="A11269">
        <f ca="1">31951.9386021444*((RANDBETWEEN(2979,3282)))</f>
        <v>100904222.10557197</v>
      </c>
      <c r="B11269">
        <v>197766859.08126158</v>
      </c>
    </row>
    <row r="11270" spans="1:2" x14ac:dyDescent="0.25">
      <c r="A11270">
        <f ca="1">29280.3195768125*((RANDBETWEEN(2979,3282)))</f>
        <v>88485125.761127457</v>
      </c>
      <c r="B11270">
        <v>151459542.09966928</v>
      </c>
    </row>
    <row r="11271" spans="1:2" x14ac:dyDescent="0.25">
      <c r="A11271">
        <f ca="1">29683.2621037892*((RANDBETWEEN(2979,3282)))</f>
        <v>93917841.296389058</v>
      </c>
      <c r="B11271">
        <v>154203337.58913738</v>
      </c>
    </row>
    <row r="11272" spans="1:2" x14ac:dyDescent="0.25">
      <c r="A11272">
        <f ca="1">26130.024845355*((RANDBETWEEN(2979,3282)))</f>
        <v>79539795.629260734</v>
      </c>
      <c r="B11272">
        <v>147044275.07068938</v>
      </c>
    </row>
    <row r="11273" spans="1:2" x14ac:dyDescent="0.25">
      <c r="A11273">
        <f ca="1">27629.9988190369*((RANDBETWEEN(2979,3282)))</f>
        <v>89797496.161869779</v>
      </c>
      <c r="B11273">
        <v>160536848.47278765</v>
      </c>
    </row>
    <row r="11274" spans="1:2" x14ac:dyDescent="0.25">
      <c r="A11274">
        <f ca="1">27671.5043271941*((RANDBETWEEN(2979,3282)))</f>
        <v>82654783.425328717</v>
      </c>
      <c r="B11274">
        <v>163274976.17026263</v>
      </c>
    </row>
    <row r="11275" spans="1:2" x14ac:dyDescent="0.25">
      <c r="A11275">
        <f ca="1">33037.1894003345*((RANDBETWEEN(2979,3282)))</f>
        <v>100201795.45121458</v>
      </c>
      <c r="B11275">
        <v>156676807.39207828</v>
      </c>
    </row>
    <row r="11276" spans="1:2" x14ac:dyDescent="0.25">
      <c r="A11276">
        <f ca="1">34076.3973635308*((RANDBETWEEN(2979,3282)))</f>
        <v>101854351.71959347</v>
      </c>
      <c r="B11276">
        <v>156442568.48146081</v>
      </c>
    </row>
    <row r="11277" spans="1:2" x14ac:dyDescent="0.25">
      <c r="A11277">
        <f ca="1">31946.9620880114*((RANDBETWEEN(2979,3282)))</f>
        <v>100664877.53932402</v>
      </c>
      <c r="B11277">
        <v>201941217.86752966</v>
      </c>
    </row>
    <row r="11278" spans="1:2" x14ac:dyDescent="0.25">
      <c r="A11278">
        <f ca="1">29976.3535932751*((RANDBETWEEN(2979,3282)))</f>
        <v>97363196.470957592</v>
      </c>
      <c r="B11278">
        <v>154845268.17391244</v>
      </c>
    </row>
    <row r="11279" spans="1:2" x14ac:dyDescent="0.25">
      <c r="A11279">
        <f ca="1">26624.2443413944*((RANDBETWEEN(2979,3282)))</f>
        <v>85703442.534948424</v>
      </c>
      <c r="B11279">
        <v>145123158.88165429</v>
      </c>
    </row>
    <row r="11280" spans="1:2" x14ac:dyDescent="0.25">
      <c r="A11280">
        <f ca="1">26781.2011111554*((RANDBETWEEN(2979,3282)))</f>
        <v>81843350.595690995</v>
      </c>
      <c r="B11280">
        <v>145331349.40015987</v>
      </c>
    </row>
    <row r="11281" spans="1:2" x14ac:dyDescent="0.25">
      <c r="A11281">
        <f ca="1">26555.3343017575*((RANDBETWEEN(2979,3282)))</f>
        <v>85800285.128978461</v>
      </c>
      <c r="B11281">
        <v>160658565.57008159</v>
      </c>
    </row>
    <row r="11282" spans="1:2" x14ac:dyDescent="0.25">
      <c r="A11282">
        <f ca="1">26099.2678656467*((RANDBETWEEN(2979,3282)))</f>
        <v>79054682.365043998</v>
      </c>
      <c r="B11282">
        <v>144075333.99444166</v>
      </c>
    </row>
    <row r="11283" spans="1:2" x14ac:dyDescent="0.25">
      <c r="A11283">
        <f ca="1">26749.7417001334*((RANDBETWEEN(2979,3282)))</f>
        <v>81479713.218606219</v>
      </c>
      <c r="B11283">
        <v>143514211.96171653</v>
      </c>
    </row>
    <row r="11284" spans="1:2" x14ac:dyDescent="0.25">
      <c r="A11284">
        <f ca="1">28292.5674473137*((RANDBETWEEN(2979,3282)))</f>
        <v>88838661.784565061</v>
      </c>
      <c r="B11284">
        <v>191759456.59452724</v>
      </c>
    </row>
    <row r="11285" spans="1:2" x14ac:dyDescent="0.25">
      <c r="A11285">
        <f ca="1">26409.5452805254*((RANDBETWEEN(2979,3282)))</f>
        <v>79651188.56606473</v>
      </c>
      <c r="B11285">
        <v>157229941.37964556</v>
      </c>
    </row>
    <row r="11286" spans="1:2" x14ac:dyDescent="0.25">
      <c r="A11286">
        <f ca="1">27058.5677553752*((RANDBETWEEN(2979,3282)))</f>
        <v>88779160.805385977</v>
      </c>
      <c r="B11286">
        <v>152413963.3571592</v>
      </c>
    </row>
    <row r="11287" spans="1:2" x14ac:dyDescent="0.25">
      <c r="A11287">
        <f ca="1">25761.0265221323*((RANDBETWEEN(2979,3282)))</f>
        <v>82718656.162566975</v>
      </c>
      <c r="B11287">
        <v>147065239.87920347</v>
      </c>
    </row>
    <row r="11288" spans="1:2" x14ac:dyDescent="0.25">
      <c r="A11288">
        <f ca="1">26076.6535671504*((RANDBETWEEN(2979,3282)))</f>
        <v>81619925.665180832</v>
      </c>
      <c r="B11288">
        <v>162418535.96170458</v>
      </c>
    </row>
    <row r="11289" spans="1:2" x14ac:dyDescent="0.25">
      <c r="A11289">
        <f ca="1">26866.6537591448*((RANDBETWEEN(2979,3282)))</f>
        <v>86483758.4506872</v>
      </c>
      <c r="B11289">
        <v>147468535.71013841</v>
      </c>
    </row>
    <row r="11290" spans="1:2" x14ac:dyDescent="0.25">
      <c r="A11290">
        <f ca="1">26139.7446803747*((RANDBETWEEN(2979,3282)))</f>
        <v>80275155.91343078</v>
      </c>
      <c r="B11290">
        <v>153261038.57244217</v>
      </c>
    </row>
    <row r="11291" spans="1:2" x14ac:dyDescent="0.25">
      <c r="A11291">
        <f ca="1">27019.5395364537*((RANDBETWEEN(2979,3282)))</f>
        <v>84409041.511881471</v>
      </c>
      <c r="B11291">
        <v>157634693.59097609</v>
      </c>
    </row>
    <row r="11292" spans="1:2" x14ac:dyDescent="0.25">
      <c r="A11292">
        <f ca="1">27530.6834051286*((RANDBETWEEN(2979,3282)))</f>
        <v>82564519.531980664</v>
      </c>
      <c r="B11292">
        <v>167634281.3018471</v>
      </c>
    </row>
    <row r="11293" spans="1:2" x14ac:dyDescent="0.25">
      <c r="A11293">
        <f ca="1">31639.8123944462*((RANDBETWEEN(2979,3282)))</f>
        <v>100519683.97715567</v>
      </c>
      <c r="B11293">
        <v>157563440.17338175</v>
      </c>
    </row>
    <row r="11294" spans="1:2" x14ac:dyDescent="0.25">
      <c r="A11294">
        <f ca="1">24690.009782877*((RANDBETWEEN(2979,3282)))</f>
        <v>74761349.622551471</v>
      </c>
      <c r="B11294">
        <v>149734778.4576478</v>
      </c>
    </row>
    <row r="11295" spans="1:2" x14ac:dyDescent="0.25">
      <c r="A11295">
        <f ca="1">26685.9722253309*((RANDBETWEEN(2979,3282)))</f>
        <v>81632389.037287265</v>
      </c>
      <c r="B11295">
        <v>153421832.90353721</v>
      </c>
    </row>
    <row r="11296" spans="1:2" x14ac:dyDescent="0.25">
      <c r="A11296">
        <f ca="1">27399.7573328863*((RANDBETWEEN(2979,3282)))</f>
        <v>85925638.995931312</v>
      </c>
      <c r="B11296">
        <v>199972336.46436545</v>
      </c>
    </row>
    <row r="11297" spans="1:2" x14ac:dyDescent="0.25">
      <c r="A11297">
        <f ca="1">26358.8172334992*((RANDBETWEEN(2979,3282)))</f>
        <v>85007185.578035071</v>
      </c>
      <c r="B11297">
        <v>177337095.92573565</v>
      </c>
    </row>
    <row r="11298" spans="1:2" x14ac:dyDescent="0.25">
      <c r="A11298">
        <f ca="1">28913.0687312345*((RANDBETWEEN(2979,3282)))</f>
        <v>86276597.094003648</v>
      </c>
      <c r="B11298">
        <v>147334202.57047677</v>
      </c>
    </row>
    <row r="11299" spans="1:2" x14ac:dyDescent="0.25">
      <c r="A11299">
        <f ca="1">26172.420231219*((RANDBETWEEN(2979,3282)))</f>
        <v>82102882.265334055</v>
      </c>
      <c r="B11299">
        <v>153671573.92490536</v>
      </c>
    </row>
    <row r="11300" spans="1:2" x14ac:dyDescent="0.25">
      <c r="A11300">
        <f ca="1">28446.5011809293*((RANDBETWEEN(2979,3282)))</f>
        <v>85055038.53097859</v>
      </c>
      <c r="B11300">
        <v>162459708.82176691</v>
      </c>
    </row>
    <row r="11301" spans="1:2" x14ac:dyDescent="0.25">
      <c r="A11301">
        <f ca="1">28728.9803817913*((RANDBETWEEN(2979,3282)))</f>
        <v>93627747.064257771</v>
      </c>
      <c r="B11301">
        <v>152612592.78031844</v>
      </c>
    </row>
    <row r="11302" spans="1:2" x14ac:dyDescent="0.25">
      <c r="A11302">
        <f ca="1">32533.3816127057*((RANDBETWEEN(2979,3282)))</f>
        <v>100788416.23616223</v>
      </c>
      <c r="B11302">
        <v>166489992.86408594</v>
      </c>
    </row>
    <row r="11303" spans="1:2" x14ac:dyDescent="0.25">
      <c r="A11303">
        <f ca="1">29416.1687037565*((RANDBETWEEN(2979,3282)))</f>
        <v>91366619.993867591</v>
      </c>
      <c r="B11303">
        <v>152187806.01322705</v>
      </c>
    </row>
    <row r="11304" spans="1:2" x14ac:dyDescent="0.25">
      <c r="A11304">
        <f ca="1">33725.1836945348*((RANDBETWEEN(2979,3282)))</f>
        <v>108257839.6594567</v>
      </c>
      <c r="B11304">
        <v>145994949.64580208</v>
      </c>
    </row>
    <row r="11305" spans="1:2" x14ac:dyDescent="0.25">
      <c r="A11305">
        <f ca="1">27329.5394168398*((RANDBETWEEN(2979,3282)))</f>
        <v>81496686.541016176</v>
      </c>
      <c r="B11305">
        <v>171795471.64228591</v>
      </c>
    </row>
    <row r="11306" spans="1:2" x14ac:dyDescent="0.25">
      <c r="A11306">
        <f ca="1">28141.1233274175*((RANDBETWEEN(2979,3282)))</f>
        <v>86618377.601791054</v>
      </c>
      <c r="B11306">
        <v>150494862.26593059</v>
      </c>
    </row>
    <row r="11307" spans="1:2" x14ac:dyDescent="0.25">
      <c r="A11307">
        <f ca="1">26900.1739526397*((RANDBETWEEN(2979,3282)))</f>
        <v>82018630.381598428</v>
      </c>
      <c r="B11307">
        <v>151659252.15383741</v>
      </c>
    </row>
    <row r="11308" spans="1:2" x14ac:dyDescent="0.25">
      <c r="A11308">
        <f ca="1">26831.0476387349*((RANDBETWEEN(2979,3282)))</f>
        <v>82639626.727303401</v>
      </c>
      <c r="B11308">
        <v>163047996.05300772</v>
      </c>
    </row>
    <row r="11309" spans="1:2" x14ac:dyDescent="0.25">
      <c r="A11309">
        <f ca="1">30462.464646238*((RANDBETWEEN(2979,3282)))</f>
        <v>95865376.241710871</v>
      </c>
      <c r="B11309">
        <v>159151939.45536178</v>
      </c>
    </row>
    <row r="11310" spans="1:2" x14ac:dyDescent="0.25">
      <c r="A11310">
        <f ca="1">29373.9554730692*((RANDBETWEEN(2979,3282)))</f>
        <v>91000514.055568367</v>
      </c>
      <c r="B11310">
        <v>186051522.49606419</v>
      </c>
    </row>
    <row r="11311" spans="1:2" x14ac:dyDescent="0.25">
      <c r="A11311">
        <f ca="1">27630.2548551517*((RANDBETWEEN(2979,3282)))</f>
        <v>87532647.381120592</v>
      </c>
      <c r="B11311">
        <v>192408786.93620855</v>
      </c>
    </row>
    <row r="11312" spans="1:2" x14ac:dyDescent="0.25">
      <c r="A11312">
        <f ca="1">27969.4823659615*((RANDBETWEEN(2979,3282)))</f>
        <v>84831440.015961289</v>
      </c>
      <c r="B11312">
        <v>160899362.87227178</v>
      </c>
    </row>
    <row r="11313" spans="1:2" x14ac:dyDescent="0.25">
      <c r="A11313">
        <f ca="1">26234.7036563219*((RANDBETWEEN(2979,3282)))</f>
        <v>80514305.521251887</v>
      </c>
      <c r="B11313">
        <v>160651795.25792313</v>
      </c>
    </row>
    <row r="11314" spans="1:2" x14ac:dyDescent="0.25">
      <c r="A11314">
        <f ca="1">28814.2394904903*((RANDBETWEEN(2979,3282)))</f>
        <v>90217383.844725072</v>
      </c>
      <c r="B11314">
        <v>200235301.1905883</v>
      </c>
    </row>
    <row r="11315" spans="1:2" x14ac:dyDescent="0.25">
      <c r="A11315">
        <f ca="1">29240.422589638*((RANDBETWEEN(2979,3282)))</f>
        <v>92370494.960666448</v>
      </c>
      <c r="B11315">
        <v>190562427.34196252</v>
      </c>
    </row>
    <row r="11316" spans="1:2" x14ac:dyDescent="0.25">
      <c r="A11316">
        <f ca="1">30965.8984114561*((RANDBETWEEN(2979,3282)))</f>
        <v>98069000.269081503</v>
      </c>
      <c r="B11316">
        <v>170808688.34087196</v>
      </c>
    </row>
    <row r="11317" spans="1:2" x14ac:dyDescent="0.25">
      <c r="A11317">
        <f ca="1">25351.5509926742*((RANDBETWEEN(2979,3282)))</f>
        <v>76637738.650854036</v>
      </c>
      <c r="B11317">
        <v>151238398.84962684</v>
      </c>
    </row>
    <row r="11318" spans="1:2" x14ac:dyDescent="0.25">
      <c r="A11318">
        <f ca="1">26636.8473401077*((RANDBETWEEN(2979,3282)))</f>
        <v>82281221.433592603</v>
      </c>
      <c r="B11318">
        <v>181326325.94040897</v>
      </c>
    </row>
    <row r="11319" spans="1:2" x14ac:dyDescent="0.25">
      <c r="A11319">
        <f ca="1">28245.0636607033*((RANDBETWEEN(2979,3282)))</f>
        <v>85074131.746038318</v>
      </c>
      <c r="B11319">
        <v>159052417.71382576</v>
      </c>
    </row>
    <row r="11320" spans="1:2" x14ac:dyDescent="0.25">
      <c r="A11320">
        <f ca="1">28074.2564249467*((RANDBETWEEN(2979,3282)))</f>
        <v>88967318.610656187</v>
      </c>
      <c r="B11320">
        <v>194552602.63407132</v>
      </c>
    </row>
    <row r="11321" spans="1:2" x14ac:dyDescent="0.25">
      <c r="A11321">
        <f ca="1">26813.5832491307*((RANDBETWEEN(2979,3282)))</f>
        <v>83336616.738298118</v>
      </c>
      <c r="B11321">
        <v>202029276.79067492</v>
      </c>
    </row>
    <row r="11322" spans="1:2" x14ac:dyDescent="0.25">
      <c r="A11322">
        <f ca="1">25835.3784242939*((RANDBETWEEN(2979,3282)))</f>
        <v>81923984.983435869</v>
      </c>
      <c r="B11322">
        <v>154454753.28816062</v>
      </c>
    </row>
    <row r="11323" spans="1:2" x14ac:dyDescent="0.25">
      <c r="A11323">
        <f ca="1">31883.1783813694*((RANDBETWEEN(2979,3282)))</f>
        <v>100400128.72293237</v>
      </c>
      <c r="B11323">
        <v>178631547.44703126</v>
      </c>
    </row>
    <row r="11324" spans="1:2" x14ac:dyDescent="0.25">
      <c r="A11324">
        <f ca="1">26265.8202137106*((RANDBETWEEN(2979,3282)))</f>
        <v>85416447.33498688</v>
      </c>
      <c r="B11324">
        <v>194230333.68977866</v>
      </c>
    </row>
    <row r="11325" spans="1:2" x14ac:dyDescent="0.25">
      <c r="A11325">
        <f ca="1">27938.5797641339*((RANDBETWEEN(2979,3282)))</f>
        <v>89012315.128530696</v>
      </c>
      <c r="B11325">
        <v>186217566.67230082</v>
      </c>
    </row>
    <row r="11326" spans="1:2" x14ac:dyDescent="0.25">
      <c r="A11326">
        <f ca="1">34048.7231485692*((RANDBETWEEN(2979,3282)))</f>
        <v>111305275.97267279</v>
      </c>
      <c r="B11326">
        <v>184486091.48860937</v>
      </c>
    </row>
    <row r="11327" spans="1:2" x14ac:dyDescent="0.25">
      <c r="A11327">
        <f ca="1">29009.3229358375*((RANDBETWEEN(2979,3282)))</f>
        <v>94164262.24972859</v>
      </c>
      <c r="B11327">
        <v>173536989.35506713</v>
      </c>
    </row>
    <row r="11328" spans="1:2" x14ac:dyDescent="0.25">
      <c r="A11328">
        <f ca="1">27937.3521898123*((RANDBETWEEN(2979,3282)))</f>
        <v>87555661.762871623</v>
      </c>
      <c r="B11328">
        <v>167355591.11242276</v>
      </c>
    </row>
    <row r="11329" spans="1:2" x14ac:dyDescent="0.25">
      <c r="A11329">
        <f ca="1">27799.5941094337*((RANDBETWEEN(2979,3282)))</f>
        <v>85177956.351304755</v>
      </c>
      <c r="B11329">
        <v>169011035.79563481</v>
      </c>
    </row>
    <row r="11330" spans="1:2" x14ac:dyDescent="0.25">
      <c r="A11330">
        <f ca="1">27907.4977502955*((RANDBETWEEN(2979,3282)))</f>
        <v>90308662.71995613</v>
      </c>
      <c r="B11330">
        <v>157841416.04283136</v>
      </c>
    </row>
    <row r="11331" spans="1:2" x14ac:dyDescent="0.25">
      <c r="A11331">
        <f ca="1">26335.0529342058*((RANDBETWEEN(2979,3282)))</f>
        <v>84193164.230655789</v>
      </c>
      <c r="B11331">
        <v>146602880.0370717</v>
      </c>
    </row>
    <row r="11332" spans="1:2" x14ac:dyDescent="0.25">
      <c r="A11332">
        <f ca="1">25561.3153553317*((RANDBETWEEN(2979,3282)))</f>
        <v>83457694.635157943</v>
      </c>
      <c r="B11332">
        <v>176462687.40938199</v>
      </c>
    </row>
    <row r="11333" spans="1:2" x14ac:dyDescent="0.25">
      <c r="A11333">
        <f ca="1">25907.823333387*((RANDBETWEEN(2979,3282)))</f>
        <v>82853219.020171538</v>
      </c>
      <c r="B11333">
        <v>162469054.86968899</v>
      </c>
    </row>
    <row r="11334" spans="1:2" x14ac:dyDescent="0.25">
      <c r="A11334">
        <f ca="1">33406.1492801116*((RANDBETWEEN(2979,3282)))</f>
        <v>99583731.004012689</v>
      </c>
      <c r="B11334">
        <v>196908485.40164775</v>
      </c>
    </row>
    <row r="11335" spans="1:2" x14ac:dyDescent="0.25">
      <c r="A11335">
        <f ca="1">26158.1597934265*((RANDBETWEEN(2979,3282)))</f>
        <v>83261422.622476593</v>
      </c>
      <c r="B11335">
        <v>156431613.98598039</v>
      </c>
    </row>
    <row r="11336" spans="1:2" x14ac:dyDescent="0.25">
      <c r="A11336">
        <f ca="1">32645.5967465824*((RANDBETWEEN(2979,3282)))</f>
        <v>106000252.63615294</v>
      </c>
      <c r="B11336">
        <v>196322092.19635308</v>
      </c>
    </row>
    <row r="11337" spans="1:2" x14ac:dyDescent="0.25">
      <c r="A11337">
        <f ca="1">27865.9760884773*((RANDBETWEEN(2979,3282)))</f>
        <v>84099515.83502461</v>
      </c>
      <c r="B11337">
        <v>150200032.59726197</v>
      </c>
    </row>
    <row r="11338" spans="1:2" x14ac:dyDescent="0.25">
      <c r="A11338">
        <f ca="1">31646.6662279516*((RANDBETWEEN(2979,3282)))</f>
        <v>100921218.60093777</v>
      </c>
      <c r="B11338">
        <v>193932237.13510656</v>
      </c>
    </row>
    <row r="11339" spans="1:2" x14ac:dyDescent="0.25">
      <c r="A11339">
        <f ca="1">28145.3072120438*((RANDBETWEEN(2979,3282)))</f>
        <v>88094811.57369715</v>
      </c>
      <c r="B11339">
        <v>174957086.01599455</v>
      </c>
    </row>
    <row r="11340" spans="1:2" x14ac:dyDescent="0.25">
      <c r="A11340">
        <f ca="1">28642.5314974368*((RANDBETWEEN(2979,3282)))</f>
        <v>92658589.394208118</v>
      </c>
      <c r="B11340">
        <v>185061286.261976</v>
      </c>
    </row>
    <row r="11341" spans="1:2" x14ac:dyDescent="0.25">
      <c r="A11341">
        <f ca="1">30117.663633346*((RANDBETWEEN(2979,3282)))</f>
        <v>97219818.208440721</v>
      </c>
      <c r="B11341">
        <v>175473452.25368702</v>
      </c>
    </row>
    <row r="11342" spans="1:2" x14ac:dyDescent="0.25">
      <c r="A11342">
        <f ca="1">26465.9016999649*((RANDBETWEEN(2979,3282)))</f>
        <v>79053648.377795294</v>
      </c>
      <c r="B11342">
        <v>151182652.22469786</v>
      </c>
    </row>
    <row r="11343" spans="1:2" x14ac:dyDescent="0.25">
      <c r="A11343">
        <f ca="1">25915.2081312175*((RANDBETWEEN(2979,3282)))</f>
        <v>84120765.593931928</v>
      </c>
      <c r="B11343">
        <v>168005920.37613824</v>
      </c>
    </row>
    <row r="11344" spans="1:2" x14ac:dyDescent="0.25">
      <c r="A11344">
        <f ca="1">27849.9596388381*((RANDBETWEEN(2979,3282)))</f>
        <v>90595918.705140471</v>
      </c>
      <c r="B11344">
        <v>159285905.78292817</v>
      </c>
    </row>
    <row r="11345" spans="1:2" x14ac:dyDescent="0.25">
      <c r="A11345">
        <f ca="1">25933.5948640266*((RANDBETWEEN(2979,3282)))</f>
        <v>83609909.841621608</v>
      </c>
      <c r="B11345">
        <v>184962449.24427092</v>
      </c>
    </row>
    <row r="11346" spans="1:2" x14ac:dyDescent="0.25">
      <c r="A11346">
        <f ca="1">27588.96437554*((RANDBETWEEN(2979,3282)))</f>
        <v>90519392.116146684</v>
      </c>
      <c r="B11346">
        <v>161489313.45808616</v>
      </c>
    </row>
    <row r="11347" spans="1:2" x14ac:dyDescent="0.25">
      <c r="A11347">
        <f ca="1">30450.1571753593*((RANDBETWEEN(2979,3282)))</f>
        <v>99724264.749301851</v>
      </c>
      <c r="B11347">
        <v>159634754.13695678</v>
      </c>
    </row>
    <row r="11348" spans="1:2" x14ac:dyDescent="0.25">
      <c r="A11348">
        <f ca="1">27267.9223668433*((RANDBETWEEN(2979,3282)))</f>
        <v>85075917.784551159</v>
      </c>
      <c r="B11348">
        <v>168468041.63070664</v>
      </c>
    </row>
    <row r="11349" spans="1:2" x14ac:dyDescent="0.25">
      <c r="A11349">
        <f ca="1">27465.1749576789*((RANDBETWEEN(2979,3282)))</f>
        <v>89673796.236821532</v>
      </c>
      <c r="B11349">
        <v>146067615.24563521</v>
      </c>
    </row>
    <row r="11350" spans="1:2" x14ac:dyDescent="0.25">
      <c r="A11350">
        <f ca="1">30862.5393576051*((RANDBETWEEN(2979,3282)))</f>
        <v>96908373.582879931</v>
      </c>
      <c r="B11350">
        <v>149264072.95339775</v>
      </c>
    </row>
    <row r="11351" spans="1:2" x14ac:dyDescent="0.25">
      <c r="A11351">
        <f ca="1">26089.6530713463*((RANDBETWEEN(2979,3282)))</f>
        <v>83486889.828308225</v>
      </c>
      <c r="B11351">
        <v>145298901.48031154</v>
      </c>
    </row>
    <row r="11352" spans="1:2" x14ac:dyDescent="0.25">
      <c r="A11352">
        <f ca="1">27239.8697413262*((RANDBETWEEN(2979,3282)))</f>
        <v>84252917.109921813</v>
      </c>
      <c r="B11352">
        <v>198636390.29638672</v>
      </c>
    </row>
    <row r="11353" spans="1:2" x14ac:dyDescent="0.25">
      <c r="A11353">
        <f ca="1">32826.9480096632*((RANDBETWEEN(2979,3282)))</f>
        <v>99564133.313308671</v>
      </c>
      <c r="B11353">
        <v>152110584.2648744</v>
      </c>
    </row>
    <row r="11354" spans="1:2" x14ac:dyDescent="0.25">
      <c r="A11354">
        <f ca="1">26844.2061916424*((RANDBETWEEN(2979,3282)))</f>
        <v>84961912.596548229</v>
      </c>
      <c r="B11354">
        <v>179529855.41982341</v>
      </c>
    </row>
    <row r="11355" spans="1:2" x14ac:dyDescent="0.25">
      <c r="A11355">
        <f ca="1">25497.323743302*((RANDBETWEEN(2979,3282)))</f>
        <v>83580227.230543837</v>
      </c>
      <c r="B11355">
        <v>148183070.1334489</v>
      </c>
    </row>
    <row r="11356" spans="1:2" x14ac:dyDescent="0.25">
      <c r="A11356">
        <f ca="1">29296.5614053831*((RANDBETWEEN(2979,3282)))</f>
        <v>89823257.268904492</v>
      </c>
      <c r="B11356">
        <v>174646542.32549042</v>
      </c>
    </row>
    <row r="11357" spans="1:2" x14ac:dyDescent="0.25">
      <c r="A11357">
        <f ca="1">26938.4489381023*((RANDBETWEEN(2979,3282)))</f>
        <v>81839007.873954728</v>
      </c>
      <c r="B11357">
        <v>147883739.28838199</v>
      </c>
    </row>
    <row r="11358" spans="1:2" x14ac:dyDescent="0.25">
      <c r="A11358">
        <f ca="1">31954.0351667087*((RANDBETWEEN(2979,3282)))</f>
        <v>102348774.63896814</v>
      </c>
      <c r="B11358">
        <v>197409166.69866639</v>
      </c>
    </row>
    <row r="11359" spans="1:2" x14ac:dyDescent="0.25">
      <c r="A11359">
        <f ca="1">25390.7878085093*((RANDBETWEEN(2979,3282)))</f>
        <v>82621623.528889418</v>
      </c>
      <c r="B11359">
        <v>185656464.65886533</v>
      </c>
    </row>
    <row r="11360" spans="1:2" x14ac:dyDescent="0.25">
      <c r="A11360">
        <f ca="1">26744.3831629976*((RANDBETWEEN(2979,3282)))</f>
        <v>79831983.741547897</v>
      </c>
      <c r="B11360">
        <v>178298930.30190653</v>
      </c>
    </row>
    <row r="11361" spans="1:2" x14ac:dyDescent="0.25">
      <c r="A11361">
        <f ca="1">27998.3103809506*((RANDBETWEEN(2979,3282)))</f>
        <v>90658529.013517961</v>
      </c>
      <c r="B11361">
        <v>176915552.46091989</v>
      </c>
    </row>
    <row r="11362" spans="1:2" x14ac:dyDescent="0.25">
      <c r="A11362">
        <f ca="1">26648.2990772512*((RANDBETWEEN(2979,3282)))</f>
        <v>81437201.980079591</v>
      </c>
      <c r="B11362">
        <v>179202853.20835036</v>
      </c>
    </row>
    <row r="11363" spans="1:2" x14ac:dyDescent="0.25">
      <c r="A11363">
        <f ca="1">28189.8879480585*((RANDBETWEEN(2979,3282)))</f>
        <v>86655715.552331761</v>
      </c>
      <c r="B11363">
        <v>170805180.82071596</v>
      </c>
    </row>
    <row r="11364" spans="1:2" x14ac:dyDescent="0.25">
      <c r="A11364">
        <f ca="1">32203.8539099879*((RANDBETWEEN(2979,3282)))</f>
        <v>96096300.067403853</v>
      </c>
      <c r="B11364">
        <v>172359008.29392546</v>
      </c>
    </row>
    <row r="11365" spans="1:2" x14ac:dyDescent="0.25">
      <c r="A11365">
        <f ca="1">32720.5285659002*((RANDBETWEEN(2979,3282)))</f>
        <v>102807900.75405848</v>
      </c>
      <c r="B11365">
        <v>155629943.79179868</v>
      </c>
    </row>
    <row r="11366" spans="1:2" x14ac:dyDescent="0.25">
      <c r="A11366">
        <f ca="1">30545.5197767505*((RANDBETWEEN(2979,3282)))</f>
        <v>95485294.822122186</v>
      </c>
      <c r="B11366">
        <v>165794958.18794456</v>
      </c>
    </row>
    <row r="11367" spans="1:2" x14ac:dyDescent="0.25">
      <c r="A11367">
        <f ca="1">29868.9929113142*((RANDBETWEEN(2979,3282)))</f>
        <v>96984619.983037218</v>
      </c>
      <c r="B11367">
        <v>191765738.66696724</v>
      </c>
    </row>
    <row r="11368" spans="1:2" x14ac:dyDescent="0.25">
      <c r="A11368">
        <f ca="1">26988.2871856199*((RANDBETWEEN(2979,3282)))</f>
        <v>84959128.060331568</v>
      </c>
      <c r="B11368">
        <v>161838569.50771427</v>
      </c>
    </row>
    <row r="11369" spans="1:2" x14ac:dyDescent="0.25">
      <c r="A11369">
        <f ca="1">30181.0096710918*((RANDBETWEEN(2979,3282)))</f>
        <v>90422304.974590987</v>
      </c>
      <c r="B11369">
        <v>157987559.23055512</v>
      </c>
    </row>
    <row r="11370" spans="1:2" x14ac:dyDescent="0.25">
      <c r="A11370">
        <f ca="1">30714.9531624302*((RANDBETWEEN(2979,3282)))</f>
        <v>98779289.370375544</v>
      </c>
      <c r="B11370">
        <v>162353878.62955338</v>
      </c>
    </row>
    <row r="11371" spans="1:2" x14ac:dyDescent="0.25">
      <c r="A11371">
        <f ca="1">28277.0328315072*((RANDBETWEEN(2979,3282)))</f>
        <v>91956910.768061429</v>
      </c>
      <c r="B11371">
        <v>181457225.07327461</v>
      </c>
    </row>
    <row r="11372" spans="1:2" x14ac:dyDescent="0.25">
      <c r="A11372">
        <f ca="1">26928.37245893*((RANDBETWEEN(2979,3282)))</f>
        <v>83881880.209566951</v>
      </c>
      <c r="B11372">
        <v>162128072.18857837</v>
      </c>
    </row>
    <row r="11373" spans="1:2" x14ac:dyDescent="0.25">
      <c r="A11373">
        <f ca="1">26044.3757079663*((RANDBETWEEN(2979,3282)))</f>
        <v>85034886.686509863</v>
      </c>
      <c r="B11373">
        <v>143376438.98339358</v>
      </c>
    </row>
    <row r="11374" spans="1:2" x14ac:dyDescent="0.25">
      <c r="A11374">
        <f ca="1">27366.3794621571*((RANDBETWEEN(2979,3282)))</f>
        <v>86970353.93073535</v>
      </c>
      <c r="B11374">
        <v>167339373.45113212</v>
      </c>
    </row>
    <row r="11375" spans="1:2" x14ac:dyDescent="0.25">
      <c r="A11375">
        <f ca="1">27711.9319295688*((RANDBETWEEN(2979,3282)))</f>
        <v>87015466.258845925</v>
      </c>
      <c r="B11375">
        <v>160670824.23334849</v>
      </c>
    </row>
    <row r="11376" spans="1:2" x14ac:dyDescent="0.25">
      <c r="A11376">
        <f ca="1">27544.0910821612*((RANDBETWEEN(2979,3282)))</f>
        <v>85827387.812014297</v>
      </c>
      <c r="B11376">
        <v>162232673.60188389</v>
      </c>
    </row>
    <row r="11377" spans="1:2" x14ac:dyDescent="0.25">
      <c r="A11377">
        <f ca="1">26239.0558859833*((RANDBETWEEN(2979,3282)))</f>
        <v>78349820.875546008</v>
      </c>
      <c r="B11377">
        <v>151629231.06377229</v>
      </c>
    </row>
    <row r="11378" spans="1:2" x14ac:dyDescent="0.25">
      <c r="A11378">
        <f ca="1">29838.5808423183*((RANDBETWEEN(2979,3282)))</f>
        <v>97512482.192696333</v>
      </c>
      <c r="B11378">
        <v>157871322.88595971</v>
      </c>
    </row>
    <row r="11379" spans="1:2" x14ac:dyDescent="0.25">
      <c r="A11379">
        <f ca="1">26123.3984789775*((RANDBETWEEN(2979,3282)))</f>
        <v>84378577.087097302</v>
      </c>
      <c r="B11379">
        <v>147993312.65309829</v>
      </c>
    </row>
    <row r="11380" spans="1:2" x14ac:dyDescent="0.25">
      <c r="A11380">
        <f ca="1">27156.8699874904*((RANDBETWEEN(2979,3282)))</f>
        <v>86603258.390107036</v>
      </c>
      <c r="B11380">
        <v>169613333.74714646</v>
      </c>
    </row>
    <row r="11381" spans="1:2" x14ac:dyDescent="0.25">
      <c r="A11381">
        <f ca="1">26603.1424948135*((RANDBETWEEN(2979,3282)))</f>
        <v>86380403.680659398</v>
      </c>
      <c r="B11381">
        <v>200965366.32387596</v>
      </c>
    </row>
    <row r="11382" spans="1:2" x14ac:dyDescent="0.25">
      <c r="A11382">
        <f ca="1">27817.0668115245*((RANDBETWEEN(2979,3282)))</f>
        <v>83061761.499212071</v>
      </c>
      <c r="B11382">
        <v>157571197.80236885</v>
      </c>
    </row>
    <row r="11383" spans="1:2" x14ac:dyDescent="0.25">
      <c r="A11383">
        <f ca="1">27060.4343364128*((RANDBETWEEN(2979,3282)))</f>
        <v>88217015.936705634</v>
      </c>
      <c r="B11383">
        <v>159105912.21051502</v>
      </c>
    </row>
    <row r="11384" spans="1:2" x14ac:dyDescent="0.25">
      <c r="A11384">
        <f ca="1">29622.213586998*((RANDBETWEEN(2979,3282)))</f>
        <v>95028061.187089741</v>
      </c>
      <c r="B11384">
        <v>157095519.76948106</v>
      </c>
    </row>
    <row r="11385" spans="1:2" x14ac:dyDescent="0.25">
      <c r="A11385">
        <f ca="1">30674.9479601714*((RANDBETWEEN(2979,3282)))</f>
        <v>93589266.226482928</v>
      </c>
      <c r="B11385">
        <v>156256339.667593</v>
      </c>
    </row>
    <row r="11386" spans="1:2" x14ac:dyDescent="0.25">
      <c r="A11386">
        <f ca="1">28998.4796225207*((RANDBETWEEN(2979,3282)))</f>
        <v>89605302.033588827</v>
      </c>
      <c r="B11386">
        <v>174423623.19527829</v>
      </c>
    </row>
    <row r="11387" spans="1:2" x14ac:dyDescent="0.25">
      <c r="A11387">
        <f ca="1">25865.3747985788*((RANDBETWEEN(2979,3282)))</f>
        <v>77621989.770535126</v>
      </c>
      <c r="B11387">
        <v>189426855.32514083</v>
      </c>
    </row>
    <row r="11388" spans="1:2" x14ac:dyDescent="0.25">
      <c r="A11388">
        <f ca="1">32788.4138536436*((RANDBETWEEN(2979,3282)))</f>
        <v>106627921.85204905</v>
      </c>
      <c r="B11388">
        <v>185758593.20915931</v>
      </c>
    </row>
    <row r="11389" spans="1:2" x14ac:dyDescent="0.25">
      <c r="A11389">
        <f ca="1">27287.3000887772*((RANDBETWEEN(2979,3282)))</f>
        <v>89120322.089946225</v>
      </c>
      <c r="B11389">
        <v>165613165.82713914</v>
      </c>
    </row>
    <row r="11390" spans="1:2" x14ac:dyDescent="0.25">
      <c r="A11390">
        <f ca="1">25831.6373923124*((RANDBETWEEN(2979,3282)))</f>
        <v>79354790.069183603</v>
      </c>
      <c r="B11390">
        <v>155791171.85777211</v>
      </c>
    </row>
    <row r="11391" spans="1:2" x14ac:dyDescent="0.25">
      <c r="A11391">
        <f ca="1">26113.5353030018*((RANDBETWEEN(2979,3282)))</f>
        <v>84477286.705210835</v>
      </c>
      <c r="B11391">
        <v>146988308.65898144</v>
      </c>
    </row>
    <row r="11392" spans="1:2" x14ac:dyDescent="0.25">
      <c r="A11392">
        <f ca="1">30920.3214724206*((RANDBETWEEN(2979,3282)))</f>
        <v>100336443.1780047</v>
      </c>
      <c r="B11392">
        <v>165045785.94008863</v>
      </c>
    </row>
    <row r="11393" spans="1:2" x14ac:dyDescent="0.25">
      <c r="A11393">
        <f ca="1">30838.3260548358*((RANDBETWEEN(2979,3282)))</f>
        <v>100193721.35216139</v>
      </c>
      <c r="B11393">
        <v>144996823.99107462</v>
      </c>
    </row>
    <row r="11394" spans="1:2" x14ac:dyDescent="0.25">
      <c r="A11394">
        <f ca="1">27093.7579650049*((RANDBETWEEN(2979,3282)))</f>
        <v>87702494.532720923</v>
      </c>
      <c r="B11394">
        <v>178575338.14032775</v>
      </c>
    </row>
    <row r="11395" spans="1:2" x14ac:dyDescent="0.25">
      <c r="A11395">
        <f ca="1">25642.5778729554*((RANDBETWEEN(2979,3282)))</f>
        <v>82158819.504949108</v>
      </c>
      <c r="B11395">
        <v>202856746.35661614</v>
      </c>
    </row>
    <row r="11396" spans="1:2" x14ac:dyDescent="0.25">
      <c r="A11396">
        <f ca="1">27238.8251928851*((RANDBETWEEN(2979,3282)))</f>
        <v>83977298.069664672</v>
      </c>
      <c r="B11396">
        <v>151424397.21327704</v>
      </c>
    </row>
    <row r="11397" spans="1:2" x14ac:dyDescent="0.25">
      <c r="A11397">
        <f ca="1">28384.4717082761*((RANDBETWEEN(2979,3282)))</f>
        <v>88360860.427863583</v>
      </c>
      <c r="B11397">
        <v>149211900.90024355</v>
      </c>
    </row>
    <row r="11398" spans="1:2" x14ac:dyDescent="0.25">
      <c r="A11398">
        <f ca="1">26379.9051650205*((RANDBETWEEN(2979,3282)))</f>
        <v>85365373.114006415</v>
      </c>
      <c r="B11398">
        <v>167417295.84652829</v>
      </c>
    </row>
    <row r="11399" spans="1:2" x14ac:dyDescent="0.25">
      <c r="A11399">
        <f ca="1">26505.3221923457*((RANDBETWEEN(2979,3282)))</f>
        <v>85002568.270852655</v>
      </c>
      <c r="B11399">
        <v>149578492.57277352</v>
      </c>
    </row>
    <row r="11400" spans="1:2" x14ac:dyDescent="0.25">
      <c r="A11400">
        <f ca="1">26935.6141169619*((RANDBETWEEN(2979,3282)))</f>
        <v>82907820.252008781</v>
      </c>
      <c r="B11400">
        <v>196458372.61913818</v>
      </c>
    </row>
    <row r="11401" spans="1:2" x14ac:dyDescent="0.25">
      <c r="A11401">
        <f ca="1">30853.801487237*((RANDBETWEEN(2979,3282)))</f>
        <v>100953638.46623959</v>
      </c>
      <c r="B11401">
        <v>200925126.71863461</v>
      </c>
    </row>
    <row r="11402" spans="1:2" x14ac:dyDescent="0.25">
      <c r="A11402">
        <f ca="1">30967.589174528*((RANDBETWEEN(2979,3282)))</f>
        <v>97516938.310588673</v>
      </c>
      <c r="B11402">
        <v>183539751.12175471</v>
      </c>
    </row>
    <row r="11403" spans="1:2" x14ac:dyDescent="0.25">
      <c r="A11403">
        <f ca="1">30323.8753954895*((RANDBETWEEN(2979,3282)))</f>
        <v>96247980.505283549</v>
      </c>
      <c r="B11403">
        <v>173693906.98993319</v>
      </c>
    </row>
    <row r="11404" spans="1:2" x14ac:dyDescent="0.25">
      <c r="A11404">
        <f ca="1">28457.8461246903*((RANDBETWEEN(2979,3282)))</f>
        <v>93227903.904485345</v>
      </c>
      <c r="B11404">
        <v>184886858.72711262</v>
      </c>
    </row>
    <row r="11405" spans="1:2" x14ac:dyDescent="0.25">
      <c r="A11405">
        <f ca="1">27075.6962544592*((RANDBETWEEN(2979,3282)))</f>
        <v>81091710.282105237</v>
      </c>
      <c r="B11405">
        <v>201702190.36274081</v>
      </c>
    </row>
    <row r="11406" spans="1:2" x14ac:dyDescent="0.25">
      <c r="A11406">
        <f ca="1">27229.6673589795*((RANDBETWEEN(2979,3282)))</f>
        <v>86944327.877221555</v>
      </c>
      <c r="B11406">
        <v>151640937.68504617</v>
      </c>
    </row>
    <row r="11407" spans="1:2" x14ac:dyDescent="0.25">
      <c r="A11407">
        <f ca="1">29329.0881310856*((RANDBETWEEN(2979,3282)))</f>
        <v>95671485.483601391</v>
      </c>
      <c r="B11407">
        <v>156361975.12856144</v>
      </c>
    </row>
    <row r="11408" spans="1:2" x14ac:dyDescent="0.25">
      <c r="A11408">
        <f ca="1">30724.8645266304*((RANDBETWEEN(2979,3282)))</f>
        <v>92113143.85083808</v>
      </c>
      <c r="B11408">
        <v>188885427.83472648</v>
      </c>
    </row>
    <row r="11409" spans="1:2" x14ac:dyDescent="0.25">
      <c r="A11409">
        <f ca="1">27057.2479144178*((RANDBETWEEN(2979,3282)))</f>
        <v>82714006.874375105</v>
      </c>
      <c r="B11409">
        <v>167871506.83945122</v>
      </c>
    </row>
    <row r="11410" spans="1:2" x14ac:dyDescent="0.25">
      <c r="A11410">
        <f ca="1">25965.7556450454*((RANDBETWEEN(2979,3282)))</f>
        <v>79636972.563354313</v>
      </c>
      <c r="B11410">
        <v>151886249.32100618</v>
      </c>
    </row>
    <row r="11411" spans="1:2" x14ac:dyDescent="0.25">
      <c r="A11411">
        <f ca="1">31499.4821624113*((RANDBETWEEN(2979,3282)))</f>
        <v>101932324.2775629</v>
      </c>
      <c r="B11411">
        <v>151523906.69192809</v>
      </c>
    </row>
    <row r="11412" spans="1:2" x14ac:dyDescent="0.25">
      <c r="A11412">
        <f ca="1">26822.1307535475*((RANDBETWEEN(2979,3282)))</f>
        <v>84516534.004428223</v>
      </c>
      <c r="B11412">
        <v>153404452.53540373</v>
      </c>
    </row>
    <row r="11413" spans="1:2" x14ac:dyDescent="0.25">
      <c r="A11413">
        <f ca="1">25009.5186239117*((RANDBETWEEN(2979,3282)))</f>
        <v>81506021.195328176</v>
      </c>
      <c r="B11413">
        <v>168438086.29890212</v>
      </c>
    </row>
    <row r="11414" spans="1:2" x14ac:dyDescent="0.25">
      <c r="A11414">
        <f ca="1">27436.5515691337*((RANDBETWEEN(2979,3282)))</f>
        <v>85602040.895697176</v>
      </c>
      <c r="B11414">
        <v>151173841.65790901</v>
      </c>
    </row>
    <row r="11415" spans="1:2" x14ac:dyDescent="0.25">
      <c r="A11415">
        <f ca="1">26581.4451821026*((RANDBETWEEN(2979,3282)))</f>
        <v>82189828.503061339</v>
      </c>
      <c r="B11415">
        <v>160943601.6092571</v>
      </c>
    </row>
    <row r="11416" spans="1:2" x14ac:dyDescent="0.25">
      <c r="A11416">
        <f ca="1">25584.646619588*((RANDBETWEEN(2979,3282)))</f>
        <v>76319000.86623098</v>
      </c>
      <c r="B11416">
        <v>146200122.02712545</v>
      </c>
    </row>
    <row r="11417" spans="1:2" x14ac:dyDescent="0.25">
      <c r="A11417">
        <f ca="1">28420.8834870523*((RANDBETWEEN(2979,3282)))</f>
        <v>88019476.159400836</v>
      </c>
      <c r="B11417">
        <v>169259544.03409225</v>
      </c>
    </row>
    <row r="11418" spans="1:2" x14ac:dyDescent="0.25">
      <c r="A11418">
        <f ca="1">31706.4454363103*((RANDBETWEEN(2979,3282)))</f>
        <v>101714276.9596836</v>
      </c>
      <c r="B11418">
        <v>197538656.36962771</v>
      </c>
    </row>
    <row r="11419" spans="1:2" x14ac:dyDescent="0.25">
      <c r="A11419">
        <f ca="1">27209.3719455397*((RANDBETWEEN(2979,3282)))</f>
        <v>83886493.708098888</v>
      </c>
      <c r="B11419">
        <v>167920622.04061669</v>
      </c>
    </row>
    <row r="11420" spans="1:2" x14ac:dyDescent="0.25">
      <c r="A11420">
        <f ca="1">31146.0616452138*((RANDBETWEEN(2979,3282)))</f>
        <v>96116746.237129703</v>
      </c>
      <c r="B11420">
        <v>186248146.02876556</v>
      </c>
    </row>
    <row r="11421" spans="1:2" x14ac:dyDescent="0.25">
      <c r="A11421">
        <f ca="1">26580.7665183409*((RANDBETWEEN(2979,3282)))</f>
        <v>80672626.383164495</v>
      </c>
      <c r="B11421">
        <v>147678430.85248363</v>
      </c>
    </row>
    <row r="11422" spans="1:2" x14ac:dyDescent="0.25">
      <c r="A11422">
        <f ca="1">26054.6352327321*((RANDBETWEEN(2979,3282)))</f>
        <v>79180036.472272843</v>
      </c>
      <c r="B11422">
        <v>170657617.68735141</v>
      </c>
    </row>
    <row r="11423" spans="1:2" x14ac:dyDescent="0.25">
      <c r="A11423">
        <f ca="1">33359.5565198486*((RANDBETWEEN(2979,3282)))</f>
        <v>102313759.84637554</v>
      </c>
      <c r="B11423">
        <v>161620959.7047323</v>
      </c>
    </row>
    <row r="11424" spans="1:2" x14ac:dyDescent="0.25">
      <c r="A11424">
        <f ca="1">27370.313891083*((RANDBETWEEN(2979,3282)))</f>
        <v>83178383.915001109</v>
      </c>
      <c r="B11424">
        <v>200410707.05222222</v>
      </c>
    </row>
    <row r="11425" spans="1:2" x14ac:dyDescent="0.25">
      <c r="A11425">
        <f ca="1">27396.3620795852*((RANDBETWEEN(2979,3282)))</f>
        <v>81860329.893800452</v>
      </c>
      <c r="B11425">
        <v>158476231.86501223</v>
      </c>
    </row>
    <row r="11426" spans="1:2" x14ac:dyDescent="0.25">
      <c r="A11426">
        <f ca="1">29019.3981500271*((RANDBETWEEN(2979,3282)))</f>
        <v>91353065.37628521</v>
      </c>
      <c r="B11426">
        <v>143344395.2330052</v>
      </c>
    </row>
    <row r="11427" spans="1:2" x14ac:dyDescent="0.25">
      <c r="A11427">
        <f ca="1">25067.141790017*((RANDBETWEEN(2979,3282)))</f>
        <v>75928372.481961399</v>
      </c>
      <c r="B11427">
        <v>151649467.10355759</v>
      </c>
    </row>
    <row r="11428" spans="1:2" x14ac:dyDescent="0.25">
      <c r="A11428">
        <f ca="1">26977.0658956883*((RANDBETWEEN(2979,3282)))</f>
        <v>81794463.795726791</v>
      </c>
      <c r="B11428">
        <v>166463671.44802189</v>
      </c>
    </row>
    <row r="11429" spans="1:2" x14ac:dyDescent="0.25">
      <c r="A11429">
        <f ca="1">28212.6453324508*((RANDBETWEEN(2979,3282)))</f>
        <v>91521821.458470523</v>
      </c>
      <c r="B11429">
        <v>148820039.26037592</v>
      </c>
    </row>
    <row r="11430" spans="1:2" x14ac:dyDescent="0.25">
      <c r="A11430">
        <f ca="1">28063.7687612656*((RANDBETWEEN(2979,3282)))</f>
        <v>88513126.673031688</v>
      </c>
      <c r="B11430">
        <v>177451718.63813317</v>
      </c>
    </row>
    <row r="11431" spans="1:2" x14ac:dyDescent="0.25">
      <c r="A11431">
        <f ca="1">27035.8376555649*((RANDBETWEEN(2979,3282)))</f>
        <v>85000673.589095905</v>
      </c>
      <c r="B11431">
        <v>189186224.78026238</v>
      </c>
    </row>
    <row r="11432" spans="1:2" x14ac:dyDescent="0.25">
      <c r="A11432">
        <f ca="1">32491.4644479902*((RANDBETWEEN(2979,3282)))</f>
        <v>102738010.58454505</v>
      </c>
      <c r="B11432">
        <v>155911999.32758009</v>
      </c>
    </row>
    <row r="11433" spans="1:2" x14ac:dyDescent="0.25">
      <c r="A11433">
        <f ca="1">27197.5200154775*((RANDBETWEEN(2979,3282)))</f>
        <v>85481805.408645868</v>
      </c>
      <c r="B11433">
        <v>196722463.52985775</v>
      </c>
    </row>
    <row r="11434" spans="1:2" x14ac:dyDescent="0.25">
      <c r="A11434">
        <f ca="1">29126.1076133482*((RANDBETWEEN(2979,3282)))</f>
        <v>91164716.829779744</v>
      </c>
      <c r="B11434">
        <v>199397817.4217509</v>
      </c>
    </row>
    <row r="11435" spans="1:2" x14ac:dyDescent="0.25">
      <c r="A11435">
        <f ca="1">25742.3681778225*((RANDBETWEEN(2979,3282)))</f>
        <v>82993395.005299732</v>
      </c>
      <c r="B11435">
        <v>152035656.69010445</v>
      </c>
    </row>
    <row r="11436" spans="1:2" x14ac:dyDescent="0.25">
      <c r="A11436">
        <f ca="1">28610.9120119641*((RANDBETWEEN(2979,3282)))</f>
        <v>87377725.284538448</v>
      </c>
      <c r="B11436">
        <v>174380232.74401587</v>
      </c>
    </row>
    <row r="11437" spans="1:2" x14ac:dyDescent="0.25">
      <c r="A11437">
        <f ca="1">25409.9259515013*((RANDBETWEEN(2979,3282)))</f>
        <v>78770770.449654013</v>
      </c>
      <c r="B11437">
        <v>158583046.81378978</v>
      </c>
    </row>
    <row r="11438" spans="1:2" x14ac:dyDescent="0.25">
      <c r="A11438">
        <f ca="1">28466.8147754522*((RANDBETWEEN(2979,3282)))</f>
        <v>85229643.437703967</v>
      </c>
      <c r="B11438">
        <v>184575999.62632763</v>
      </c>
    </row>
    <row r="11439" spans="1:2" x14ac:dyDescent="0.25">
      <c r="A11439">
        <f ca="1">25941.9272644939*((RANDBETWEEN(2979,3282)))</f>
        <v>83325470.373554558</v>
      </c>
      <c r="B11439">
        <v>161569582.80306077</v>
      </c>
    </row>
    <row r="11440" spans="1:2" x14ac:dyDescent="0.25">
      <c r="A11440">
        <f ca="1">28365.1911620257*((RANDBETWEEN(2979,3282)))</f>
        <v>91789758.600315318</v>
      </c>
      <c r="B11440">
        <v>179599351.30829248</v>
      </c>
    </row>
    <row r="11441" spans="1:2" x14ac:dyDescent="0.25">
      <c r="A11441">
        <f ca="1">27184.7875384138*((RANDBETWEEN(2979,3282)))</f>
        <v>82913601.992162213</v>
      </c>
      <c r="B11441">
        <v>173808348.96778488</v>
      </c>
    </row>
    <row r="11442" spans="1:2" x14ac:dyDescent="0.25">
      <c r="A11442">
        <f ca="1">27605.8241404366*((RANDBETWEEN(2979,3282)))</f>
        <v>84887909.231842473</v>
      </c>
      <c r="B11442">
        <v>174328456.97786874</v>
      </c>
    </row>
    <row r="11443" spans="1:2" x14ac:dyDescent="0.25">
      <c r="A11443">
        <f ca="1">26785.8356929925*((RANDBETWEEN(2979,3282)))</f>
        <v>85875389.231733933</v>
      </c>
      <c r="B11443">
        <v>154593550.81181115</v>
      </c>
    </row>
    <row r="11444" spans="1:2" x14ac:dyDescent="0.25">
      <c r="A11444">
        <f ca="1">32899.6368416303*((RANDBETWEEN(2979,3282)))</f>
        <v>103271960.04587738</v>
      </c>
      <c r="B11444">
        <v>170584306.03412622</v>
      </c>
    </row>
    <row r="11445" spans="1:2" x14ac:dyDescent="0.25">
      <c r="A11445">
        <f ca="1">26722.1535684435*((RANDBETWEEN(2979,3282)))</f>
        <v>81368957.615910351</v>
      </c>
      <c r="B11445">
        <v>150175897.69053188</v>
      </c>
    </row>
    <row r="11446" spans="1:2" x14ac:dyDescent="0.25">
      <c r="A11446">
        <f ca="1">27503.3733314328*((RANDBETWEEN(2979,3282)))</f>
        <v>87295706.953967631</v>
      </c>
      <c r="B11446">
        <v>177640488.72010988</v>
      </c>
    </row>
    <row r="11447" spans="1:2" x14ac:dyDescent="0.25">
      <c r="A11447">
        <f ca="1">26038.3684661497*((RANDBETWEEN(2979,3282)))</f>
        <v>81812553.720642373</v>
      </c>
      <c r="B11447">
        <v>198067448.69980016</v>
      </c>
    </row>
    <row r="11448" spans="1:2" x14ac:dyDescent="0.25">
      <c r="A11448">
        <f ca="1">26684.2415020242*((RANDBETWEEN(2979,3282)))</f>
        <v>85949941.878019884</v>
      </c>
      <c r="B11448">
        <v>172831027.31673431</v>
      </c>
    </row>
    <row r="11449" spans="1:2" x14ac:dyDescent="0.25">
      <c r="A11449">
        <f ca="1">26169.142878777*((RANDBETWEEN(2979,3282)))</f>
        <v>78193398.921785653</v>
      </c>
      <c r="B11449">
        <v>145666805.23368207</v>
      </c>
    </row>
    <row r="11450" spans="1:2" x14ac:dyDescent="0.25">
      <c r="A11450">
        <f ca="1">27321.0842490932*((RANDBETWEEN(2979,3282)))</f>
        <v>85460351.531163648</v>
      </c>
      <c r="B11450">
        <v>166139838.67211136</v>
      </c>
    </row>
    <row r="11451" spans="1:2" x14ac:dyDescent="0.25">
      <c r="A11451">
        <f ca="1">25209.2834931511*((RANDBETWEEN(2979,3282)))</f>
        <v>81148683.564453289</v>
      </c>
      <c r="B11451">
        <v>147779111.19965175</v>
      </c>
    </row>
    <row r="11452" spans="1:2" x14ac:dyDescent="0.25">
      <c r="A11452">
        <f ca="1">26325.7719523069*((RANDBETWEEN(2979,3282)))</f>
        <v>78687732.365445212</v>
      </c>
      <c r="B11452">
        <v>147579504.49607471</v>
      </c>
    </row>
    <row r="11453" spans="1:2" x14ac:dyDescent="0.25">
      <c r="A11453">
        <f ca="1">27319.8869276378*((RANDBETWEEN(2979,3282)))</f>
        <v>81604502.252854079</v>
      </c>
      <c r="B11453">
        <v>147653799.3762159</v>
      </c>
    </row>
    <row r="11454" spans="1:2" x14ac:dyDescent="0.25">
      <c r="A11454">
        <f ca="1">26967.7231057762*((RANDBETWEEN(2979,3282)))</f>
        <v>88373228.617628589</v>
      </c>
      <c r="B11454">
        <v>144327432.82734105</v>
      </c>
    </row>
    <row r="11455" spans="1:2" x14ac:dyDescent="0.25">
      <c r="A11455">
        <f ca="1">33074.9593223387*((RANDBETWEEN(2979,3282)))</f>
        <v>100614026.25855428</v>
      </c>
      <c r="B11455">
        <v>190144105.40812939</v>
      </c>
    </row>
    <row r="11456" spans="1:2" x14ac:dyDescent="0.25">
      <c r="A11456">
        <f ca="1">27537.8341276426*((RANDBETWEEN(2979,3282)))</f>
        <v>88479061.05211556</v>
      </c>
      <c r="B11456">
        <v>159236188.75404555</v>
      </c>
    </row>
    <row r="11457" spans="1:2" x14ac:dyDescent="0.25">
      <c r="A11457">
        <f ca="1">29373.9569333535*((RANDBETWEEN(2979,3282)))</f>
        <v>91353006.062729374</v>
      </c>
      <c r="B11457">
        <v>185541005.52130404</v>
      </c>
    </row>
    <row r="11458" spans="1:2" x14ac:dyDescent="0.25">
      <c r="A11458">
        <f ca="1">25268.2210004024*((RANDBETWEEN(2979,3282)))</f>
        <v>77371292.703232229</v>
      </c>
      <c r="B11458">
        <v>154535604.11503682</v>
      </c>
    </row>
    <row r="11459" spans="1:2" x14ac:dyDescent="0.25">
      <c r="A11459">
        <f ca="1">26364.4247961716*((RANDBETWEEN(2979,3282)))</f>
        <v>78935087.839737892</v>
      </c>
      <c r="B11459">
        <v>177046292.04754177</v>
      </c>
    </row>
    <row r="11460" spans="1:2" x14ac:dyDescent="0.25">
      <c r="A11460">
        <f ca="1">26920.0851579189*((RANDBETWEEN(2979,3282)))</f>
        <v>85471270.376392365</v>
      </c>
      <c r="B11460">
        <v>144313024.82342184</v>
      </c>
    </row>
    <row r="11461" spans="1:2" x14ac:dyDescent="0.25">
      <c r="A11461">
        <f ca="1">30441.2244943497*((RANDBETWEEN(2979,3282)))</f>
        <v>95889857.157201678</v>
      </c>
      <c r="B11461">
        <v>168116143.28041887</v>
      </c>
    </row>
    <row r="11462" spans="1:2" x14ac:dyDescent="0.25">
      <c r="A11462">
        <f ca="1">26621.5622866616*((RANDBETWEEN(2979,3282)))</f>
        <v>81435359.034897938</v>
      </c>
      <c r="B11462">
        <v>145222487.40219235</v>
      </c>
    </row>
    <row r="11463" spans="1:2" x14ac:dyDescent="0.25">
      <c r="A11463">
        <f ca="1">25913.7570641343*((RANDBETWEEN(2979,3282)))</f>
        <v>78026322.520108446</v>
      </c>
      <c r="B11463">
        <v>147803823.55456656</v>
      </c>
    </row>
    <row r="11464" spans="1:2" x14ac:dyDescent="0.25">
      <c r="A11464">
        <f ca="1">28149.2795447205*((RANDBETWEEN(2979,3282)))</f>
        <v>87375363.706812367</v>
      </c>
      <c r="B11464">
        <v>178211392.43324381</v>
      </c>
    </row>
    <row r="11465" spans="1:2" x14ac:dyDescent="0.25">
      <c r="A11465">
        <f ca="1">27634.7518265457*((RANDBETWEEN(2979,3282)))</f>
        <v>90669620.742896438</v>
      </c>
      <c r="B11465">
        <v>189886718.94608021</v>
      </c>
    </row>
    <row r="11466" spans="1:2" x14ac:dyDescent="0.25">
      <c r="A11466">
        <f ca="1">25125.4759397174*((RANDBETWEEN(2979,3282)))</f>
        <v>81632671.328141928</v>
      </c>
      <c r="B11466">
        <v>151713426.07482237</v>
      </c>
    </row>
    <row r="11467" spans="1:2" x14ac:dyDescent="0.25">
      <c r="A11467">
        <f ca="1">30345.2433572917*((RANDBETWEEN(2979,3282)))</f>
        <v>96619254.84961687</v>
      </c>
      <c r="B11467">
        <v>196629153.10700887</v>
      </c>
    </row>
    <row r="11468" spans="1:2" x14ac:dyDescent="0.25">
      <c r="A11468">
        <f ca="1">29653.8977765913*((RANDBETWEEN(2979,3282)))</f>
        <v>94744203.396209106</v>
      </c>
      <c r="B11468">
        <v>191374417.08693412</v>
      </c>
    </row>
    <row r="11469" spans="1:2" x14ac:dyDescent="0.25">
      <c r="A11469">
        <f ca="1">27125.9967400864*((RANDBETWEEN(2979,3282)))</f>
        <v>85908031.67585367</v>
      </c>
      <c r="B11469">
        <v>169473280.59498441</v>
      </c>
    </row>
    <row r="11470" spans="1:2" x14ac:dyDescent="0.25">
      <c r="A11470">
        <f ca="1">29278.0570444957*((RANDBETWEEN(2979,3282)))</f>
        <v>91464650.207004592</v>
      </c>
      <c r="B11470">
        <v>185947135.26085395</v>
      </c>
    </row>
    <row r="11471" spans="1:2" x14ac:dyDescent="0.25">
      <c r="A11471">
        <f ca="1">26253.1670156511*((RANDBETWEEN(2979,3282)))</f>
        <v>83485071.109770387</v>
      </c>
      <c r="B11471">
        <v>161366867.95397177</v>
      </c>
    </row>
    <row r="11472" spans="1:2" x14ac:dyDescent="0.25">
      <c r="A11472">
        <f ca="1">30554.8319458195*((RANDBETWEEN(2979,3282)))</f>
        <v>93161682.602803558</v>
      </c>
      <c r="B11472">
        <v>146438680.78157926</v>
      </c>
    </row>
    <row r="11473" spans="1:2" x14ac:dyDescent="0.25">
      <c r="A11473">
        <f ca="1">29888.0214485335*((RANDBETWEEN(2979,3282)))</f>
        <v>91965441.997137696</v>
      </c>
      <c r="B11473">
        <v>199894826.55380693</v>
      </c>
    </row>
    <row r="11474" spans="1:2" x14ac:dyDescent="0.25">
      <c r="A11474">
        <f ca="1">27382.1524065184*((RANDBETWEEN(2979,3282)))</f>
        <v>82283367.981587663</v>
      </c>
      <c r="B11474">
        <v>145595446.44511729</v>
      </c>
    </row>
    <row r="11475" spans="1:2" x14ac:dyDescent="0.25">
      <c r="A11475">
        <f ca="1">29447.5930099254*((RANDBETWEEN(2979,3282)))</f>
        <v>94850697.084969684</v>
      </c>
      <c r="B11475">
        <v>202094688.72035146</v>
      </c>
    </row>
    <row r="11476" spans="1:2" x14ac:dyDescent="0.25">
      <c r="A11476">
        <f ca="1">29915.4392531162*((RANDBETWEEN(2979,3282)))</f>
        <v>95011435.067897141</v>
      </c>
      <c r="B11476">
        <v>179608243.59901243</v>
      </c>
    </row>
    <row r="11477" spans="1:2" x14ac:dyDescent="0.25">
      <c r="A11477">
        <f ca="1">30599.893423844*((RANDBETWEEN(2979,3282)))</f>
        <v>99633252.98803623</v>
      </c>
      <c r="B11477">
        <v>202523346.49520415</v>
      </c>
    </row>
    <row r="11478" spans="1:2" x14ac:dyDescent="0.25">
      <c r="A11478">
        <f ca="1">29007.0831394092*((RANDBETWEEN(2979,3282)))</f>
        <v>92184510.217042416</v>
      </c>
      <c r="B11478">
        <v>177835064.15465242</v>
      </c>
    </row>
    <row r="11479" spans="1:2" x14ac:dyDescent="0.25">
      <c r="A11479">
        <f ca="1">24328.0360110448*((RANDBETWEEN(2979,3282)))</f>
        <v>78263291.847531065</v>
      </c>
      <c r="B11479">
        <v>159061020.59235114</v>
      </c>
    </row>
    <row r="11480" spans="1:2" x14ac:dyDescent="0.25">
      <c r="A11480">
        <f ca="1">28846.416506534*((RANDBETWEEN(2979,3282)))</f>
        <v>89279659.087722853</v>
      </c>
      <c r="B11480">
        <v>165260965.99624717</v>
      </c>
    </row>
    <row r="11481" spans="1:2" x14ac:dyDescent="0.25">
      <c r="A11481">
        <f ca="1">26793.3546683572*((RANDBETWEEN(2979,3282)))</f>
        <v>83112986.181244075</v>
      </c>
      <c r="B11481">
        <v>150268783.18366432</v>
      </c>
    </row>
    <row r="11482" spans="1:2" x14ac:dyDescent="0.25">
      <c r="A11482">
        <f ca="1">27182.4184074631*((RANDBETWEEN(2979,3282)))</f>
        <v>81927809.080093682</v>
      </c>
      <c r="B11482">
        <v>174823587.00381729</v>
      </c>
    </row>
    <row r="11483" spans="1:2" x14ac:dyDescent="0.25">
      <c r="A11483">
        <f ca="1">25634.8300555463*((RANDBETWEEN(2979,3282)))</f>
        <v>81775107.87719278</v>
      </c>
      <c r="B11483">
        <v>194751340.05508974</v>
      </c>
    </row>
    <row r="11484" spans="1:2" x14ac:dyDescent="0.25">
      <c r="A11484">
        <f ca="1">25581.2063941588*((RANDBETWEEN(2979,3282)))</f>
        <v>80938937.031118333</v>
      </c>
      <c r="B11484">
        <v>148108182.1112909</v>
      </c>
    </row>
    <row r="11485" spans="1:2" x14ac:dyDescent="0.25">
      <c r="A11485">
        <f ca="1">32046.3518178863*((RANDBETWEEN(2979,3282)))</f>
        <v>96363379.916383952</v>
      </c>
      <c r="B11485">
        <v>180591881.33302081</v>
      </c>
    </row>
    <row r="11486" spans="1:2" x14ac:dyDescent="0.25">
      <c r="A11486">
        <f ca="1">26911.8962352282*((RANDBETWEEN(2979,3282)))</f>
        <v>85741301.405437112</v>
      </c>
      <c r="B11486">
        <v>193022156.49530652</v>
      </c>
    </row>
    <row r="11487" spans="1:2" x14ac:dyDescent="0.25">
      <c r="A11487">
        <f ca="1">26873.4826945212*((RANDBETWEEN(2979,3282)))</f>
        <v>83791519.041517049</v>
      </c>
      <c r="B11487">
        <v>154630040.93414438</v>
      </c>
    </row>
    <row r="11488" spans="1:2" x14ac:dyDescent="0.25">
      <c r="A11488">
        <f ca="1">27193.0154713481*((RANDBETWEEN(2979,3282)))</f>
        <v>82965890.203083009</v>
      </c>
      <c r="B11488">
        <v>193747858.33910662</v>
      </c>
    </row>
    <row r="11489" spans="1:2" x14ac:dyDescent="0.25">
      <c r="A11489">
        <f ca="1">30574.9965525673*((RANDBETWEEN(2979,3282)))</f>
        <v>94354439.361222625</v>
      </c>
      <c r="B11489">
        <v>179880199.00998902</v>
      </c>
    </row>
    <row r="11490" spans="1:2" x14ac:dyDescent="0.25">
      <c r="A11490">
        <f ca="1">25748.508896949*((RANDBETWEEN(2979,3282)))</f>
        <v>80695826.883038074</v>
      </c>
      <c r="B11490">
        <v>167214468.57674718</v>
      </c>
    </row>
    <row r="11491" spans="1:2" x14ac:dyDescent="0.25">
      <c r="A11491">
        <f ca="1">26223.2834607036*((RANDBETWEEN(2979,3282)))</f>
        <v>83993176.924633741</v>
      </c>
      <c r="B11491">
        <v>143236994.09494472</v>
      </c>
    </row>
    <row r="11492" spans="1:2" x14ac:dyDescent="0.25">
      <c r="A11492">
        <f ca="1">25596.1031805927*((RANDBETWEEN(2979,3282)))</f>
        <v>83520084.67827408</v>
      </c>
      <c r="B11492">
        <v>154589850.45492342</v>
      </c>
    </row>
    <row r="11493" spans="1:2" x14ac:dyDescent="0.25">
      <c r="A11493">
        <f ca="1">27483.2316005425*((RANDBETWEEN(2979,3282)))</f>
        <v>84730803.024472386</v>
      </c>
      <c r="B11493">
        <v>145857672.18655193</v>
      </c>
    </row>
    <row r="11494" spans="1:2" x14ac:dyDescent="0.25">
      <c r="A11494">
        <f ca="1">25942.0261920484*((RANDBETWEEN(2979,3282)))</f>
        <v>84648831.464653924</v>
      </c>
      <c r="B11494">
        <v>170663374.60430416</v>
      </c>
    </row>
    <row r="11495" spans="1:2" x14ac:dyDescent="0.25">
      <c r="A11495">
        <f ca="1">29214.1672773257*((RANDBETWEEN(2979,3282)))</f>
        <v>95588755.331409767</v>
      </c>
      <c r="B11495">
        <v>189041626.24019784</v>
      </c>
    </row>
    <row r="11496" spans="1:2" x14ac:dyDescent="0.25">
      <c r="A11496">
        <f ca="1">28321.7603517994*((RANDBETWEEN(2979,3282)))</f>
        <v>91649216.498422757</v>
      </c>
      <c r="B11496">
        <v>150555101.11545509</v>
      </c>
    </row>
    <row r="11497" spans="1:2" x14ac:dyDescent="0.25">
      <c r="A11497">
        <f ca="1">31340.2605735712*((RANDBETWEEN(2979,3282)))</f>
        <v>99097903.933632061</v>
      </c>
      <c r="B11497">
        <v>148710525.08205882</v>
      </c>
    </row>
    <row r="11498" spans="1:2" x14ac:dyDescent="0.25">
      <c r="A11498">
        <f ca="1">26881.3898854171*((RANDBETWEEN(2979,3282)))</f>
        <v>87740856.586001381</v>
      </c>
      <c r="B11498">
        <v>176081920.99169165</v>
      </c>
    </row>
    <row r="11499" spans="1:2" x14ac:dyDescent="0.25">
      <c r="A11499">
        <f ca="1">26626.0232117843*((RANDBETWEEN(2979,3282)))</f>
        <v>86241689.182969257</v>
      </c>
      <c r="B11499">
        <v>148311966.199687</v>
      </c>
    </row>
    <row r="11500" spans="1:2" x14ac:dyDescent="0.25">
      <c r="A11500">
        <f ca="1">26447.431199614*((RANDBETWEEN(2979,3282)))</f>
        <v>83203618.55398576</v>
      </c>
      <c r="B11500">
        <v>196631985.6683895</v>
      </c>
    </row>
    <row r="11501" spans="1:2" x14ac:dyDescent="0.25">
      <c r="A11501">
        <f ca="1">26991.3674226571*((RANDBETWEEN(2979,3282)))</f>
        <v>85346703.790441856</v>
      </c>
      <c r="B11501">
        <v>148572894.92308161</v>
      </c>
    </row>
    <row r="11502" spans="1:2" x14ac:dyDescent="0.25">
      <c r="A11502">
        <f ca="1">32726.0765024284*((RANDBETWEEN(2979,3282)))</f>
        <v>102399893.37609841</v>
      </c>
      <c r="B11502">
        <v>158164947.11640283</v>
      </c>
    </row>
    <row r="11503" spans="1:2" x14ac:dyDescent="0.25">
      <c r="A11503">
        <f ca="1">32498.233582218*((RANDBETWEEN(2979,3282)))</f>
        <v>106399216.74818161</v>
      </c>
      <c r="B11503">
        <v>185802338.08440235</v>
      </c>
    </row>
    <row r="11504" spans="1:2" x14ac:dyDescent="0.25">
      <c r="A11504">
        <f ca="1">25960.0775457358*((RANDBETWEEN(2979,3282)))</f>
        <v>84032771.015546903</v>
      </c>
      <c r="B11504">
        <v>152576523.04511327</v>
      </c>
    </row>
    <row r="11505" spans="1:2" x14ac:dyDescent="0.25">
      <c r="A11505">
        <f ca="1">27091.3770208885*((RANDBETWEEN(2979,3282)))</f>
        <v>81111582.80054009</v>
      </c>
      <c r="B11505">
        <v>154860921.62525779</v>
      </c>
    </row>
    <row r="11506" spans="1:2" x14ac:dyDescent="0.25">
      <c r="A11506">
        <f ca="1">31484.1729877549*((RANDBETWEEN(2979,3282)))</f>
        <v>101536457.88550954</v>
      </c>
      <c r="B11506">
        <v>186606153.04828262</v>
      </c>
    </row>
    <row r="11507" spans="1:2" x14ac:dyDescent="0.25">
      <c r="A11507">
        <f ca="1">30432.7323986339*((RANDBETWEEN(2979,3282)))</f>
        <v>96776089.027655944</v>
      </c>
      <c r="B11507">
        <v>203018525.41141325</v>
      </c>
    </row>
    <row r="11508" spans="1:2" x14ac:dyDescent="0.25">
      <c r="A11508">
        <f ca="1">27991.7805182181*((RANDBETWEEN(2979,3282)))</f>
        <v>84843086.7507191</v>
      </c>
      <c r="B11508">
        <v>183110911.40533575</v>
      </c>
    </row>
    <row r="11509" spans="1:2" x14ac:dyDescent="0.25">
      <c r="A11509">
        <f ca="1">26612.8785449758*((RANDBETWEEN(2979,3282)))</f>
        <v>83271696.967229351</v>
      </c>
      <c r="B11509">
        <v>163590972.41184089</v>
      </c>
    </row>
    <row r="11510" spans="1:2" x14ac:dyDescent="0.25">
      <c r="A11510">
        <f ca="1">25727.5559920425*((RANDBETWEEN(2979,3282)))</f>
        <v>78520500.887713671</v>
      </c>
      <c r="B11510">
        <v>149772357.11198077</v>
      </c>
    </row>
    <row r="11511" spans="1:2" x14ac:dyDescent="0.25">
      <c r="A11511">
        <f ca="1">27206.6826791214*((RANDBETWEEN(2979,3282)))</f>
        <v>86081943.996740013</v>
      </c>
      <c r="B11511">
        <v>150412868.42849723</v>
      </c>
    </row>
    <row r="11512" spans="1:2" x14ac:dyDescent="0.25">
      <c r="A11512">
        <f ca="1">30941.0838502332*((RANDBETWEEN(2979,3282)))</f>
        <v>92575722.879897594</v>
      </c>
      <c r="B11512">
        <v>162948232.96336457</v>
      </c>
    </row>
    <row r="11513" spans="1:2" x14ac:dyDescent="0.25">
      <c r="A11513">
        <f ca="1">27699.1757445859*((RANDBETWEEN(2979,3282)))</f>
        <v>83208323.936736122</v>
      </c>
      <c r="B11513">
        <v>196719260.59967491</v>
      </c>
    </row>
    <row r="11514" spans="1:2" x14ac:dyDescent="0.25">
      <c r="A11514">
        <f ca="1">26451.3312472723*((RANDBETWEEN(2979,3282)))</f>
        <v>81813967.547813103</v>
      </c>
      <c r="B11514">
        <v>178833542.66262701</v>
      </c>
    </row>
    <row r="11515" spans="1:2" x14ac:dyDescent="0.25">
      <c r="A11515">
        <f ca="1">30755.4279254502*((RANDBETWEEN(2979,3282)))</f>
        <v>96602799.113838926</v>
      </c>
      <c r="B11515">
        <v>161860608.16206557</v>
      </c>
    </row>
    <row r="11516" spans="1:2" x14ac:dyDescent="0.25">
      <c r="A11516">
        <f ca="1">27828.1767894313*((RANDBETWEEN(2979,3282)))</f>
        <v>90747684.510335609</v>
      </c>
      <c r="B11516">
        <v>146855008.11285377</v>
      </c>
    </row>
    <row r="11517" spans="1:2" x14ac:dyDescent="0.25">
      <c r="A11517">
        <f ca="1">25810.7440725951*((RANDBETWEEN(2979,3282)))</f>
        <v>79161552.070649058</v>
      </c>
      <c r="B11517">
        <v>173530960.56852365</v>
      </c>
    </row>
    <row r="11518" spans="1:2" x14ac:dyDescent="0.25">
      <c r="A11518">
        <f ca="1">29534.9109986909*((RANDBETWEEN(2979,3282)))</f>
        <v>96549624.054720566</v>
      </c>
      <c r="B11518">
        <v>194450277.64619395</v>
      </c>
    </row>
    <row r="11519" spans="1:2" x14ac:dyDescent="0.25">
      <c r="A11519">
        <f ca="1">28935.7087880998*((RANDBETWEEN(2979,3282)))</f>
        <v>89237725.902499929</v>
      </c>
      <c r="B11519">
        <v>161071033.57541019</v>
      </c>
    </row>
    <row r="11520" spans="1:2" x14ac:dyDescent="0.25">
      <c r="A11520">
        <f ca="1">28717.276725659*((RANDBETWEEN(2979,3282)))</f>
        <v>89540468.830604807</v>
      </c>
      <c r="B11520">
        <v>169351162.68754494</v>
      </c>
    </row>
    <row r="11521" spans="1:2" x14ac:dyDescent="0.25">
      <c r="A11521">
        <f ca="1">32848.4627887835*((RANDBETWEEN(2979,3282)))</f>
        <v>106363322.51008093</v>
      </c>
      <c r="B11521">
        <v>182743892.10955182</v>
      </c>
    </row>
    <row r="11522" spans="1:2" x14ac:dyDescent="0.25">
      <c r="A11522">
        <f ca="1">28648.224534063*((RANDBETWEEN(2979,3282)))</f>
        <v>88293828.013982058</v>
      </c>
      <c r="B11522">
        <v>195631617.487526</v>
      </c>
    </row>
    <row r="11523" spans="1:2" x14ac:dyDescent="0.25">
      <c r="A11523">
        <f ca="1">31942.4585576669*((RANDBETWEEN(2979,3282)))</f>
        <v>103110256.22414887</v>
      </c>
      <c r="B11523">
        <v>197016149.93693635</v>
      </c>
    </row>
    <row r="11524" spans="1:2" x14ac:dyDescent="0.25">
      <c r="A11524">
        <f ca="1">26533.5392626312*((RANDBETWEEN(2979,3282)))</f>
        <v>83607182.216550961</v>
      </c>
      <c r="B11524">
        <v>145218550.25401384</v>
      </c>
    </row>
    <row r="11525" spans="1:2" x14ac:dyDescent="0.25">
      <c r="A11525">
        <f ca="1">27952.9019532218*((RANDBETWEEN(2979,3282)))</f>
        <v>88303217.270227537</v>
      </c>
      <c r="B11525">
        <v>170240109.75916594</v>
      </c>
    </row>
    <row r="11526" spans="1:2" x14ac:dyDescent="0.25">
      <c r="A11526">
        <f ca="1">31605.4416301545*((RANDBETWEEN(2979,3282)))</f>
        <v>94342243.266011268</v>
      </c>
      <c r="B11526">
        <v>195013609.07486024</v>
      </c>
    </row>
    <row r="11527" spans="1:2" x14ac:dyDescent="0.25">
      <c r="A11527">
        <f ca="1">31620.3310511021*((RANDBETWEEN(2979,3282)))</f>
        <v>102544733.5987241</v>
      </c>
      <c r="B11527">
        <v>166122905.84592286</v>
      </c>
    </row>
    <row r="11528" spans="1:2" x14ac:dyDescent="0.25">
      <c r="A11528">
        <f ca="1">30439.36200708*((RANDBETWEEN(2979,3282)))</f>
        <v>97862548.852762341</v>
      </c>
      <c r="B11528">
        <v>200632429.63027588</v>
      </c>
    </row>
    <row r="11529" spans="1:2" x14ac:dyDescent="0.25">
      <c r="A11529">
        <f ca="1">27408.6646618222*((RANDBETWEEN(2979,3282)))</f>
        <v>87077327.630609259</v>
      </c>
      <c r="B11529">
        <v>153043806.45421869</v>
      </c>
    </row>
    <row r="11530" spans="1:2" x14ac:dyDescent="0.25">
      <c r="A11530">
        <f ca="1">27602.4538191035*((RANDBETWEEN(2979,3282)))</f>
        <v>90342831.349925771</v>
      </c>
      <c r="B11530">
        <v>188077931.22972107</v>
      </c>
    </row>
    <row r="11531" spans="1:2" x14ac:dyDescent="0.25">
      <c r="A11531">
        <f ca="1">27922.6344550086*((RANDBETWEEN(2979,3282)))</f>
        <v>89045281.277022392</v>
      </c>
      <c r="B11531">
        <v>151327707.54882559</v>
      </c>
    </row>
    <row r="11532" spans="1:2" x14ac:dyDescent="0.25">
      <c r="A11532">
        <f ca="1">28155.6664335032*((RANDBETWEEN(2979,3282)))</f>
        <v>85790315.622884259</v>
      </c>
      <c r="B11532">
        <v>171913904.57158107</v>
      </c>
    </row>
    <row r="11533" spans="1:2" x14ac:dyDescent="0.25">
      <c r="A11533">
        <f ca="1">27813.420345836*((RANDBETWEEN(2979,3282)))</f>
        <v>89392332.991517037</v>
      </c>
      <c r="B11533">
        <v>173076209.98962718</v>
      </c>
    </row>
    <row r="11534" spans="1:2" x14ac:dyDescent="0.25">
      <c r="A11534">
        <f ca="1">27508.5317088796*((RANDBETWEEN(2979,3282)))</f>
        <v>89402728.053858578</v>
      </c>
      <c r="B11534">
        <v>165955214.03567219</v>
      </c>
    </row>
    <row r="11535" spans="1:2" x14ac:dyDescent="0.25">
      <c r="A11535">
        <f ca="1">28136.9553625007*((RANDBETWEEN(2979,3282)))</f>
        <v>89981983.249277174</v>
      </c>
      <c r="B11535">
        <v>163550467.28482789</v>
      </c>
    </row>
    <row r="11536" spans="1:2" x14ac:dyDescent="0.25">
      <c r="A11536">
        <f ca="1">28073.5814874675*((RANDBETWEEN(2979,3282)))</f>
        <v>89779313.596920922</v>
      </c>
      <c r="B11536">
        <v>185151148.04182872</v>
      </c>
    </row>
    <row r="11537" spans="1:2" x14ac:dyDescent="0.25">
      <c r="A11537">
        <f ca="1">26766.3176568035*((RANDBETWEEN(2979,3282)))</f>
        <v>83644742.677511007</v>
      </c>
      <c r="B11537">
        <v>168885795.59817386</v>
      </c>
    </row>
    <row r="11538" spans="1:2" x14ac:dyDescent="0.25">
      <c r="A11538">
        <f ca="1">28934.238414164*((RANDBETWEEN(2979,3282)))</f>
        <v>90245889.613777533</v>
      </c>
      <c r="B11538">
        <v>182907404.69549462</v>
      </c>
    </row>
    <row r="11539" spans="1:2" x14ac:dyDescent="0.25">
      <c r="A11539">
        <f ca="1">27421.5735897496*((RANDBETWEEN(2979,3282)))</f>
        <v>82401828.637197658</v>
      </c>
      <c r="B11539">
        <v>164297596.17595699</v>
      </c>
    </row>
    <row r="11540" spans="1:2" x14ac:dyDescent="0.25">
      <c r="A11540">
        <f ca="1">27275.3864701985*((RANDBETWEEN(2979,3282)))</f>
        <v>86708453.588761151</v>
      </c>
      <c r="B11540">
        <v>175680084.41079289</v>
      </c>
    </row>
    <row r="11541" spans="1:2" x14ac:dyDescent="0.25">
      <c r="A11541">
        <f ca="1">31244.9041825835*((RANDBETWEEN(2979,3282)))</f>
        <v>96609243.732548237</v>
      </c>
      <c r="B11541">
        <v>198658175.19625533</v>
      </c>
    </row>
    <row r="11542" spans="1:2" x14ac:dyDescent="0.25">
      <c r="A11542">
        <f ca="1">28188.9515708611*((RANDBETWEEN(2979,3282)))</f>
        <v>87526694.62752369</v>
      </c>
      <c r="B11542">
        <v>147459138.21706575</v>
      </c>
    </row>
    <row r="11543" spans="1:2" x14ac:dyDescent="0.25">
      <c r="A11543">
        <f ca="1">30232.0191709367*((RANDBETWEEN(2979,3282)))</f>
        <v>93235547.123168632</v>
      </c>
      <c r="B11543">
        <v>191539206.67984048</v>
      </c>
    </row>
    <row r="11544" spans="1:2" x14ac:dyDescent="0.25">
      <c r="A11544">
        <f ca="1">26203.8787463288*((RANDBETWEEN(2979,3282)))</f>
        <v>79921830.176302731</v>
      </c>
      <c r="B11544">
        <v>155223144.29225636</v>
      </c>
    </row>
    <row r="11545" spans="1:2" x14ac:dyDescent="0.25">
      <c r="A11545">
        <f ca="1">26635.2261515508*((RANDBETWEEN(2979,3282)))</f>
        <v>87336906.550935119</v>
      </c>
      <c r="B11545">
        <v>150870753.68566996</v>
      </c>
    </row>
    <row r="11546" spans="1:2" x14ac:dyDescent="0.25">
      <c r="A11546">
        <f ca="1">28046.0020657111*((RANDBETWEEN(2979,3282)))</f>
        <v>85372030.288024679</v>
      </c>
      <c r="B11546">
        <v>155759196.3809467</v>
      </c>
    </row>
    <row r="11547" spans="1:2" x14ac:dyDescent="0.25">
      <c r="A11547">
        <f ca="1">25428.8748095764*((RANDBETWEEN(2979,3282)))</f>
        <v>80940108.518881679</v>
      </c>
      <c r="B11547">
        <v>160491744.39135581</v>
      </c>
    </row>
    <row r="11548" spans="1:2" x14ac:dyDescent="0.25">
      <c r="A11548">
        <f ca="1">29468.2747531619*((RANDBETWEEN(2979,3282)))</f>
        <v>90172920.744675472</v>
      </c>
      <c r="B11548">
        <v>195874449.19544074</v>
      </c>
    </row>
    <row r="11549" spans="1:2" x14ac:dyDescent="0.25">
      <c r="A11549">
        <f ca="1">26875.5803795869*((RANDBETWEEN(2979,3282)))</f>
        <v>80062353.950789511</v>
      </c>
      <c r="B11549">
        <v>151501750.93090209</v>
      </c>
    </row>
    <row r="11550" spans="1:2" x14ac:dyDescent="0.25">
      <c r="A11550">
        <f ca="1">30197.0272147184*((RANDBETWEEN(2979,3282)))</f>
        <v>95060241.671933681</v>
      </c>
      <c r="B11550">
        <v>187530075.79301822</v>
      </c>
    </row>
    <row r="11551" spans="1:2" x14ac:dyDescent="0.25">
      <c r="A11551">
        <f ca="1">27449.7979892556*((RANDBETWEEN(2979,3282)))</f>
        <v>85780618.716423839</v>
      </c>
      <c r="B11551">
        <v>144608845.32805696</v>
      </c>
    </row>
    <row r="11552" spans="1:2" x14ac:dyDescent="0.25">
      <c r="A11552">
        <f ca="1">27698.3100148046*((RANDBETWEEN(2979,3282)))</f>
        <v>89687127.827937335</v>
      </c>
      <c r="B11552">
        <v>166215923.25994682</v>
      </c>
    </row>
    <row r="11553" spans="1:2" x14ac:dyDescent="0.25">
      <c r="A11553">
        <f ca="1">29957.4714732067*((RANDBETWEEN(2979,3282)))</f>
        <v>89273264.99015595</v>
      </c>
      <c r="B11553">
        <v>155681926.74511725</v>
      </c>
    </row>
    <row r="11554" spans="1:2" x14ac:dyDescent="0.25">
      <c r="A11554">
        <f ca="1">26539.3764797846*((RANDBETWEEN(2979,3282)))</f>
        <v>84872925.982351169</v>
      </c>
      <c r="B11554">
        <v>151547620.53404829</v>
      </c>
    </row>
    <row r="11555" spans="1:2" x14ac:dyDescent="0.25">
      <c r="A11555">
        <f ca="1">30046.2388886911*((RANDBETWEEN(2979,3282)))</f>
        <v>98251201.166019961</v>
      </c>
      <c r="B11555">
        <v>155426572.51368999</v>
      </c>
    </row>
    <row r="11556" spans="1:2" x14ac:dyDescent="0.25">
      <c r="A11556">
        <f ca="1">32502.0597103717*((RANDBETWEEN(2979,3282)))</f>
        <v>104949150.80479008</v>
      </c>
      <c r="B11556">
        <v>197452401.64174205</v>
      </c>
    </row>
    <row r="11557" spans="1:2" x14ac:dyDescent="0.25">
      <c r="A11557">
        <f ca="1">25403.791060145*((RANDBETWEEN(2979,3282)))</f>
        <v>83044992.975613996</v>
      </c>
      <c r="B11557">
        <v>148410322.88834506</v>
      </c>
    </row>
    <row r="11558" spans="1:2" x14ac:dyDescent="0.25">
      <c r="A11558">
        <f ca="1">29314.1185778605*((RANDBETWEEN(2979,3282)))</f>
        <v>92955070.01039575</v>
      </c>
      <c r="B11558">
        <v>199845025.02035585</v>
      </c>
    </row>
    <row r="11559" spans="1:2" x14ac:dyDescent="0.25">
      <c r="A11559">
        <f ca="1">25589.4013297176*((RANDBETWEEN(2979,3282)))</f>
        <v>83242322.525571331</v>
      </c>
      <c r="B11559">
        <v>147077394.95983002</v>
      </c>
    </row>
    <row r="11560" spans="1:2" x14ac:dyDescent="0.25">
      <c r="A11560">
        <f ca="1">31281.6108080023*((RANDBETWEEN(2979,3282)))</f>
        <v>97504780.888543189</v>
      </c>
      <c r="B11560">
        <v>167553530.02944088</v>
      </c>
    </row>
    <row r="11561" spans="1:2" x14ac:dyDescent="0.25">
      <c r="A11561">
        <f ca="1">29863.9766856157*((RANDBETWEEN(2979,3282)))</f>
        <v>93802750.769518927</v>
      </c>
      <c r="B11561">
        <v>152617645.57774132</v>
      </c>
    </row>
    <row r="11562" spans="1:2" x14ac:dyDescent="0.25">
      <c r="A11562">
        <f ca="1">27951.1701622098*((RANDBETWEEN(2979,3282)))</f>
        <v>89359891.008584797</v>
      </c>
      <c r="B11562">
        <v>159765997.57797575</v>
      </c>
    </row>
    <row r="11563" spans="1:2" x14ac:dyDescent="0.25">
      <c r="A11563">
        <f ca="1">27251.095582636*((RANDBETWEEN(2979,3282)))</f>
        <v>85895453.276468575</v>
      </c>
      <c r="B11563">
        <v>144061957.12268099</v>
      </c>
    </row>
    <row r="11564" spans="1:2" x14ac:dyDescent="0.25">
      <c r="A11564">
        <f ca="1">30658.5466276209*((RANDBETWEEN(2979,3282)))</f>
        <v>97402202.635951713</v>
      </c>
      <c r="B11564">
        <v>144628760.38436705</v>
      </c>
    </row>
    <row r="11565" spans="1:2" x14ac:dyDescent="0.25">
      <c r="A11565">
        <f ca="1">27629.0685457004*((RANDBETWEEN(2979,3282)))</f>
        <v>83854223.036200598</v>
      </c>
      <c r="B11565">
        <v>170663737.94180408</v>
      </c>
    </row>
    <row r="11566" spans="1:2" x14ac:dyDescent="0.25">
      <c r="A11566">
        <f ca="1">26532.8326698014*((RANDBETWEEN(2979,3282)))</f>
        <v>79492366.678725049</v>
      </c>
      <c r="B11566">
        <v>149664580.02182204</v>
      </c>
    </row>
    <row r="11567" spans="1:2" x14ac:dyDescent="0.25">
      <c r="A11567">
        <f ca="1">26650.5660214264*((RANDBETWEEN(2979,3282)))</f>
        <v>80164902.592450634</v>
      </c>
      <c r="B11567">
        <v>160491110.97315252</v>
      </c>
    </row>
    <row r="11568" spans="1:2" x14ac:dyDescent="0.25">
      <c r="A11568">
        <f ca="1">30783.0543788683*((RANDBETWEEN(2979,3282)))</f>
        <v>95550600.792007223</v>
      </c>
      <c r="B11568">
        <v>194382495.14507312</v>
      </c>
    </row>
    <row r="11569" spans="1:2" x14ac:dyDescent="0.25">
      <c r="A11569">
        <f ca="1">31259.6696453144*((RANDBETWEEN(2979,3282)))</f>
        <v>95998445.48076044</v>
      </c>
      <c r="B11569">
        <v>180836446.08643222</v>
      </c>
    </row>
    <row r="11570" spans="1:2" x14ac:dyDescent="0.25">
      <c r="A11570">
        <f ca="1">26817.2356548885*((RANDBETWEEN(2979,3282)))</f>
        <v>87477822.706246138</v>
      </c>
      <c r="B11570">
        <v>158042234.96198058</v>
      </c>
    </row>
    <row r="11571" spans="1:2" x14ac:dyDescent="0.25">
      <c r="A11571">
        <f ca="1">31167.5982446784*((RANDBETWEEN(2979,3282)))</f>
        <v>101886878.66185379</v>
      </c>
      <c r="B11571">
        <v>187417144.45445588</v>
      </c>
    </row>
    <row r="11572" spans="1:2" x14ac:dyDescent="0.25">
      <c r="A11572">
        <f ca="1">27409.8017341339*((RANDBETWEEN(2979,3282)))</f>
        <v>88259561.583911136</v>
      </c>
      <c r="B11572">
        <v>156618902.99723905</v>
      </c>
    </row>
    <row r="11573" spans="1:2" x14ac:dyDescent="0.25">
      <c r="A11573">
        <f ca="1">27972.5520893237*((RANDBETWEEN(2979,3282)))</f>
        <v>89512166.685835838</v>
      </c>
      <c r="B11573">
        <v>189553689.21215326</v>
      </c>
    </row>
    <row r="11574" spans="1:2" x14ac:dyDescent="0.25">
      <c r="A11574">
        <f ca="1">27372.9660663813*((RANDBETWEEN(2979,3282)))</f>
        <v>88661037.089008883</v>
      </c>
      <c r="B11574">
        <v>149776189.89574283</v>
      </c>
    </row>
    <row r="11575" spans="1:2" x14ac:dyDescent="0.25">
      <c r="A11575">
        <f ca="1">26795.4647454643*((RANDBETWEEN(2979,3282)))</f>
        <v>80573962.489611223</v>
      </c>
      <c r="B11575">
        <v>198536398.78324279</v>
      </c>
    </row>
    <row r="11576" spans="1:2" x14ac:dyDescent="0.25">
      <c r="A11576">
        <f ca="1">28581.9653939682*((RANDBETWEEN(2979,3282)))</f>
        <v>89290059.890756518</v>
      </c>
      <c r="B11576">
        <v>174146895.78327647</v>
      </c>
    </row>
    <row r="11577" spans="1:2" x14ac:dyDescent="0.25">
      <c r="A11577">
        <f ca="1">31573.0622293637*((RANDBETWEEN(2979,3282)))</f>
        <v>97844919.848797977</v>
      </c>
      <c r="B11577">
        <v>163124062.82164326</v>
      </c>
    </row>
    <row r="11578" spans="1:2" x14ac:dyDescent="0.25">
      <c r="A11578">
        <f ca="1">27455.9110672269*((RANDBETWEEN(2979,3282)))</f>
        <v>88078562.7036639</v>
      </c>
      <c r="B11578">
        <v>179966801.16921622</v>
      </c>
    </row>
    <row r="11579" spans="1:2" x14ac:dyDescent="0.25">
      <c r="A11579">
        <f ca="1">26510.765223802*((RANDBETWEEN(2979,3282)))</f>
        <v>84489808.768257037</v>
      </c>
      <c r="B11579">
        <v>199429072.13617694</v>
      </c>
    </row>
    <row r="11580" spans="1:2" x14ac:dyDescent="0.25">
      <c r="A11580">
        <f ca="1">32807.221839223*((RANDBETWEEN(2979,3282)))</f>
        <v>101735194.92343043</v>
      </c>
      <c r="B11580">
        <v>174999109.64831951</v>
      </c>
    </row>
    <row r="11581" spans="1:2" x14ac:dyDescent="0.25">
      <c r="A11581">
        <f ca="1">26952.7692695184*((RANDBETWEEN(2979,3282)))</f>
        <v>86518389.355154037</v>
      </c>
      <c r="B11581">
        <v>165699673.88490379</v>
      </c>
    </row>
    <row r="11582" spans="1:2" x14ac:dyDescent="0.25">
      <c r="A11582">
        <f ca="1">31664.1661762761*((RANDBETWEEN(2979,3282)))</f>
        <v>103288510.06701271</v>
      </c>
      <c r="B11582">
        <v>192370703.44172207</v>
      </c>
    </row>
    <row r="11583" spans="1:2" x14ac:dyDescent="0.25">
      <c r="A11583">
        <f ca="1">31257.9873670671*((RANDBETWEEN(2979,3282)))</f>
        <v>101994812.77874006</v>
      </c>
      <c r="B11583">
        <v>168429323.870179</v>
      </c>
    </row>
    <row r="11584" spans="1:2" x14ac:dyDescent="0.25">
      <c r="A11584">
        <f ca="1">28455.3079449877*((RANDBETWEEN(2979,3282)))</f>
        <v>92195197.741760164</v>
      </c>
      <c r="B11584">
        <v>165620756.34696394</v>
      </c>
    </row>
    <row r="11585" spans="1:2" x14ac:dyDescent="0.25">
      <c r="A11585">
        <f ca="1">32242.3944163586*((RANDBETWEEN(2979,3282)))</f>
        <v>97952394.236897394</v>
      </c>
      <c r="B11585">
        <v>177113278.20941716</v>
      </c>
    </row>
    <row r="11586" spans="1:2" x14ac:dyDescent="0.25">
      <c r="A11586">
        <f ca="1">25554.2046868195*((RANDBETWEEN(2979,3282)))</f>
        <v>83230044.664971232</v>
      </c>
      <c r="B11586">
        <v>151256536.66199869</v>
      </c>
    </row>
    <row r="11587" spans="1:2" x14ac:dyDescent="0.25">
      <c r="A11587">
        <f ca="1">26689.3504520337*((RANDBETWEEN(2979,3282)))</f>
        <v>87434312.080862552</v>
      </c>
      <c r="B11587">
        <v>146910496.19714409</v>
      </c>
    </row>
    <row r="11588" spans="1:2" x14ac:dyDescent="0.25">
      <c r="A11588">
        <f ca="1">26014.3008598704*((RANDBETWEEN(2979,3282)))</f>
        <v>82881562.539546952</v>
      </c>
      <c r="B11588">
        <v>172775482.80555224</v>
      </c>
    </row>
    <row r="11589" spans="1:2" x14ac:dyDescent="0.25">
      <c r="A11589">
        <f ca="1">26875.2453857743*((RANDBETWEEN(2979,3282)))</f>
        <v>80598860.911937147</v>
      </c>
      <c r="B11589">
        <v>173995624.64403468</v>
      </c>
    </row>
    <row r="11590" spans="1:2" x14ac:dyDescent="0.25">
      <c r="A11590">
        <f ca="1">28708.8348059336*((RANDBETWEEN(2979,3282)))</f>
        <v>88853843.724364445</v>
      </c>
      <c r="B11590">
        <v>191779182.75790271</v>
      </c>
    </row>
    <row r="11591" spans="1:2" x14ac:dyDescent="0.25">
      <c r="A11591">
        <f ca="1">26375.4962938227*((RANDBETWEEN(2979,3282)))</f>
        <v>86564378.836326048</v>
      </c>
      <c r="B11591">
        <v>151284830.08525881</v>
      </c>
    </row>
    <row r="11592" spans="1:2" x14ac:dyDescent="0.25">
      <c r="A11592">
        <f ca="1">32688.387967473*((RANDBETWEEN(2979,3282)))</f>
        <v>99764960.076727718</v>
      </c>
      <c r="B11592">
        <v>177047229.46605736</v>
      </c>
    </row>
    <row r="11593" spans="1:2" x14ac:dyDescent="0.25">
      <c r="A11593">
        <f ca="1">26664.4269237029*((RANDBETWEEN(2979,3282)))</f>
        <v>82819710.025021106</v>
      </c>
      <c r="B11593">
        <v>194440283.49584097</v>
      </c>
    </row>
    <row r="11594" spans="1:2" x14ac:dyDescent="0.25">
      <c r="A11594">
        <f ca="1">25998.0974304205*((RANDBETWEEN(2979,3282)))</f>
        <v>79060214.285908625</v>
      </c>
      <c r="B11594">
        <v>168306355.39329827</v>
      </c>
    </row>
    <row r="11595" spans="1:2" x14ac:dyDescent="0.25">
      <c r="A11595">
        <f ca="1">32935.3474830286*((RANDBETWEEN(2979,3282)))</f>
        <v>106150624.93780124</v>
      </c>
      <c r="B11595">
        <v>149190506.39101249</v>
      </c>
    </row>
    <row r="11596" spans="1:2" x14ac:dyDescent="0.25">
      <c r="A11596">
        <f ca="1">27784.3679471446*((RANDBETWEEN(2979,3282)))</f>
        <v>86020403.164359525</v>
      </c>
      <c r="B11596">
        <v>164213553.78269267</v>
      </c>
    </row>
    <row r="11597" spans="1:2" x14ac:dyDescent="0.25">
      <c r="A11597">
        <f ca="1">33720.8522248943*((RANDBETWEEN(2979,3282)))</f>
        <v>104602083.60162224</v>
      </c>
      <c r="B11597">
        <v>146429859.59691972</v>
      </c>
    </row>
    <row r="11598" spans="1:2" x14ac:dyDescent="0.25">
      <c r="A11598">
        <f ca="1">30476.0842487653*((RANDBETWEEN(2979,3282)))</f>
        <v>99412986.819472328</v>
      </c>
      <c r="B11598">
        <v>154288460.03778371</v>
      </c>
    </row>
    <row r="11599" spans="1:2" x14ac:dyDescent="0.25">
      <c r="A11599">
        <f ca="1">28843.0410352801*((RANDBETWEEN(2979,3282)))</f>
        <v>90970951.425273523</v>
      </c>
      <c r="B11599">
        <v>203065175.83448762</v>
      </c>
    </row>
    <row r="11600" spans="1:2" x14ac:dyDescent="0.25">
      <c r="A11600">
        <f ca="1">30270.0732110751*((RANDBETWEEN(2979,3282)))</f>
        <v>98256657.643149644</v>
      </c>
      <c r="B11600">
        <v>157239104.98660487</v>
      </c>
    </row>
    <row r="11601" spans="1:2" x14ac:dyDescent="0.25">
      <c r="A11601">
        <f ca="1">28977.6050469089*((RANDBETWEEN(2979,3282)))</f>
        <v>91656164.763372898</v>
      </c>
      <c r="B11601">
        <v>166132204.18159091</v>
      </c>
    </row>
    <row r="11602" spans="1:2" x14ac:dyDescent="0.25">
      <c r="A11602">
        <f ca="1">28356.9157029623*((RANDBETWEEN(2979,3282)))</f>
        <v>91904763.793300971</v>
      </c>
      <c r="B11602">
        <v>158096144.91992113</v>
      </c>
    </row>
    <row r="11603" spans="1:2" x14ac:dyDescent="0.25">
      <c r="A11603">
        <f ca="1">28598.4620257311*((RANDBETWEEN(2979,3282)))</f>
        <v>86853529.172145441</v>
      </c>
      <c r="B11603">
        <v>164013723.5279502</v>
      </c>
    </row>
    <row r="11604" spans="1:2" x14ac:dyDescent="0.25">
      <c r="A11604">
        <f ca="1">27820.8510742385*((RANDBETWEEN(2979,3282)))</f>
        <v>89471857.054751083</v>
      </c>
      <c r="B11604">
        <v>157642481.62405556</v>
      </c>
    </row>
    <row r="11605" spans="1:2" x14ac:dyDescent="0.25">
      <c r="A11605">
        <f ca="1">25649.8937512161*((RANDBETWEEN(2979,3282)))</f>
        <v>77898727.322443247</v>
      </c>
      <c r="B11605">
        <v>170757943.69085419</v>
      </c>
    </row>
    <row r="11606" spans="1:2" x14ac:dyDescent="0.25">
      <c r="A11606">
        <f ca="1">29665.6648502418*((RANDBETWEEN(2979,3282)))</f>
        <v>93209518.959459692</v>
      </c>
      <c r="B11606">
        <v>184083729.42757541</v>
      </c>
    </row>
    <row r="11607" spans="1:2" x14ac:dyDescent="0.25">
      <c r="A11607">
        <f ca="1">28212.741092553*((RANDBETWEEN(2979,3282)))</f>
        <v>92368514.337018624</v>
      </c>
      <c r="B11607">
        <v>146469064.35948122</v>
      </c>
    </row>
    <row r="11608" spans="1:2" x14ac:dyDescent="0.25">
      <c r="A11608">
        <f ca="1">30607.4039629671*((RANDBETWEEN(2979,3282)))</f>
        <v>98372196.33697632</v>
      </c>
      <c r="B11608">
        <v>167118611.09605682</v>
      </c>
    </row>
    <row r="11609" spans="1:2" x14ac:dyDescent="0.25">
      <c r="A11609">
        <f ca="1">24825.3774447325*((RANDBETWEEN(2979,3282)))</f>
        <v>80210794.523930579</v>
      </c>
      <c r="B11609">
        <v>171488466.45573622</v>
      </c>
    </row>
    <row r="11610" spans="1:2" x14ac:dyDescent="0.25">
      <c r="A11610">
        <f ca="1">27340.1809113403*((RANDBETWEEN(2979,3282)))</f>
        <v>85574766.25249511</v>
      </c>
      <c r="B11610">
        <v>159161881.19317579</v>
      </c>
    </row>
    <row r="11611" spans="1:2" x14ac:dyDescent="0.25">
      <c r="A11611">
        <f ca="1">25778.4389414002*((RANDBETWEEN(2979,3282)))</f>
        <v>78959358.477508947</v>
      </c>
      <c r="B11611">
        <v>172274124.05380234</v>
      </c>
    </row>
    <row r="11612" spans="1:2" x14ac:dyDescent="0.25">
      <c r="A11612">
        <f ca="1">30436.7771845163*((RANDBETWEEN(2979,3282)))</f>
        <v>94932308.03850621</v>
      </c>
      <c r="B11612">
        <v>153822987.35303649</v>
      </c>
    </row>
    <row r="11613" spans="1:2" x14ac:dyDescent="0.25">
      <c r="A11613">
        <f ca="1">25520.3698684472*((RANDBETWEEN(2979,3282)))</f>
        <v>78653779.93455413</v>
      </c>
      <c r="B11613">
        <v>173581915.67047551</v>
      </c>
    </row>
    <row r="11614" spans="1:2" x14ac:dyDescent="0.25">
      <c r="A11614">
        <f ca="1">26210.9065912405*((RANDBETWEEN(2979,3282)))</f>
        <v>79130726.998954937</v>
      </c>
      <c r="B11614">
        <v>172163248.13681424</v>
      </c>
    </row>
    <row r="11615" spans="1:2" x14ac:dyDescent="0.25">
      <c r="A11615">
        <f ca="1">30995.1201077192*((RANDBETWEEN(2979,3282)))</f>
        <v>94225165.127466395</v>
      </c>
      <c r="B11615">
        <v>188082654.75559068</v>
      </c>
    </row>
    <row r="11616" spans="1:2" x14ac:dyDescent="0.25">
      <c r="A11616">
        <f ca="1">28427.507627679*((RANDBETWEEN(2979,3282)))</f>
        <v>85964783.066101253</v>
      </c>
      <c r="B11616">
        <v>194765389.70574144</v>
      </c>
    </row>
    <row r="11617" spans="1:2" x14ac:dyDescent="0.25">
      <c r="A11617">
        <f ca="1">27511.0220282218*((RANDBETWEEN(2979,3282)))</f>
        <v>85449234.419657022</v>
      </c>
      <c r="B11617">
        <v>200541668.41365454</v>
      </c>
    </row>
    <row r="11618" spans="1:2" x14ac:dyDescent="0.25">
      <c r="A11618">
        <f ca="1">26744.2033265453*((RANDBETWEEN(2979,3282)))</f>
        <v>86517497.761373922</v>
      </c>
      <c r="B11618">
        <v>144834173.64951134</v>
      </c>
    </row>
    <row r="11619" spans="1:2" x14ac:dyDescent="0.25">
      <c r="A11619">
        <f ca="1">33642.2498621261*((RANDBETWEEN(2979,3282)))</f>
        <v>105098388.56928201</v>
      </c>
      <c r="B11619">
        <v>184469708.801523</v>
      </c>
    </row>
    <row r="11620" spans="1:2" x14ac:dyDescent="0.25">
      <c r="A11620">
        <f ca="1">27252.4205858334*((RANDBETWEEN(2979,3282)))</f>
        <v>85736115.163031861</v>
      </c>
      <c r="B11620">
        <v>160836099.48746958</v>
      </c>
    </row>
    <row r="11621" spans="1:2" x14ac:dyDescent="0.25">
      <c r="A11621">
        <f ca="1">28168.8273387253*((RANDBETWEEN(2979,3282)))</f>
        <v>89238845.009081706</v>
      </c>
      <c r="B11621">
        <v>181761448.52320808</v>
      </c>
    </row>
    <row r="11622" spans="1:2" x14ac:dyDescent="0.25">
      <c r="A11622">
        <f ca="1">27139.7836775495*((RANDBETWEEN(2979,3282)))</f>
        <v>81582189.734713882</v>
      </c>
      <c r="B11622">
        <v>162532203.10009295</v>
      </c>
    </row>
    <row r="11623" spans="1:2" x14ac:dyDescent="0.25">
      <c r="A11623">
        <f ca="1">29405.9141406951*((RANDBETWEEN(2979,3282)))</f>
        <v>93804866.108817518</v>
      </c>
      <c r="B11623">
        <v>156889623.86080688</v>
      </c>
    </row>
    <row r="11624" spans="1:2" x14ac:dyDescent="0.25">
      <c r="A11624">
        <f ca="1">24169.8177586653*((RANDBETWEEN(2979,3282)))</f>
        <v>72388604.187202573</v>
      </c>
      <c r="B11624">
        <v>149402355.9717761</v>
      </c>
    </row>
    <row r="11625" spans="1:2" x14ac:dyDescent="0.25">
      <c r="A11625">
        <f ca="1">29465.2102486433*((RANDBETWEEN(2979,3282)))</f>
        <v>94583324.898145124</v>
      </c>
      <c r="B11625">
        <v>164960714.61243233</v>
      </c>
    </row>
    <row r="11626" spans="1:2" x14ac:dyDescent="0.25">
      <c r="A11626">
        <f ca="1">31162.9763116736*((RANDBETWEEN(2979,3282)))</f>
        <v>98630820.026446894</v>
      </c>
      <c r="B11626">
        <v>181957633.60621953</v>
      </c>
    </row>
    <row r="11627" spans="1:2" x14ac:dyDescent="0.25">
      <c r="A11627">
        <f ca="1">29148.0170551161*((RANDBETWEEN(2979,3282)))</f>
        <v>92078585.877111763</v>
      </c>
      <c r="B11627">
        <v>177595197.92377973</v>
      </c>
    </row>
    <row r="11628" spans="1:2" x14ac:dyDescent="0.25">
      <c r="A11628">
        <f ca="1">30446.8513534281*((RANDBETWEEN(2979,3282)))</f>
        <v>99591650.777063265</v>
      </c>
      <c r="B11628">
        <v>202603548.43703103</v>
      </c>
    </row>
    <row r="11629" spans="1:2" x14ac:dyDescent="0.25">
      <c r="A11629">
        <f ca="1">34714.7271034346*((RANDBETWEEN(2979,3282)))</f>
        <v>112475715.815128</v>
      </c>
      <c r="B11629">
        <v>181219978.90833861</v>
      </c>
    </row>
    <row r="11630" spans="1:2" x14ac:dyDescent="0.25">
      <c r="A11630">
        <f ca="1">26580.8196113297*((RANDBETWEEN(2979,3282)))</f>
        <v>86919280.129048154</v>
      </c>
      <c r="B11630">
        <v>195634150.92656699</v>
      </c>
    </row>
    <row r="11631" spans="1:2" x14ac:dyDescent="0.25">
      <c r="A11631">
        <f ca="1">26879.0765019068*((RANDBETWEEN(2979,3282)))</f>
        <v>87410756.784200788</v>
      </c>
      <c r="B11631">
        <v>169190051.99795461</v>
      </c>
    </row>
    <row r="11632" spans="1:2" x14ac:dyDescent="0.25">
      <c r="A11632">
        <f ca="1">26825.7506138257*((RANDBETWEEN(2979,3282)))</f>
        <v>85574144.458104134</v>
      </c>
      <c r="B11632">
        <v>143169650.02009714</v>
      </c>
    </row>
    <row r="11633" spans="1:2" x14ac:dyDescent="0.25">
      <c r="A11633">
        <f ca="1">27426.844203331*((RANDBETWEEN(2979,3282)))</f>
        <v>86312278.707882553</v>
      </c>
      <c r="B11633">
        <v>166762214.92237991</v>
      </c>
    </row>
    <row r="11634" spans="1:2" x14ac:dyDescent="0.25">
      <c r="A11634">
        <f ca="1">28349.1729032931*((RANDBETWEEN(2979,3282)))</f>
        <v>86181485.626011044</v>
      </c>
      <c r="B11634">
        <v>155946438.03249025</v>
      </c>
    </row>
    <row r="11635" spans="1:2" x14ac:dyDescent="0.25">
      <c r="A11635">
        <f ca="1">29302.4580656129*((RANDBETWEEN(2979,3282)))</f>
        <v>92361347.822811842</v>
      </c>
      <c r="B11635">
        <v>144783337.08467835</v>
      </c>
    </row>
    <row r="11636" spans="1:2" x14ac:dyDescent="0.25">
      <c r="A11636">
        <f ca="1">31521.6407875741*((RANDBETWEEN(2979,3282)))</f>
        <v>103170330.29772998</v>
      </c>
      <c r="B11636">
        <v>176234823.56107271</v>
      </c>
    </row>
    <row r="11637" spans="1:2" x14ac:dyDescent="0.25">
      <c r="A11637">
        <f ca="1">26792.9049269279*((RANDBETWEEN(2979,3282)))</f>
        <v>81262880.643372178</v>
      </c>
      <c r="B11637">
        <v>166417709.30239332</v>
      </c>
    </row>
    <row r="11638" spans="1:2" x14ac:dyDescent="0.25">
      <c r="A11638">
        <f ca="1">28409.7164483936*((RANDBETWEEN(2979,3282)))</f>
        <v>92132710.442140549</v>
      </c>
      <c r="B11638">
        <v>180725829.96112233</v>
      </c>
    </row>
    <row r="11639" spans="1:2" x14ac:dyDescent="0.25">
      <c r="A11639">
        <f ca="1">26263.1545440497*((RANDBETWEEN(2979,3282)))</f>
        <v>85171410.186353087</v>
      </c>
      <c r="B11639">
        <v>155857906.43549109</v>
      </c>
    </row>
    <row r="11640" spans="1:2" x14ac:dyDescent="0.25">
      <c r="A11640">
        <f ca="1">30147.6642712827*((RANDBETWEEN(2979,3282)))</f>
        <v>92673919.96992299</v>
      </c>
      <c r="B11640">
        <v>200922761.41155052</v>
      </c>
    </row>
    <row r="11641" spans="1:2" x14ac:dyDescent="0.25">
      <c r="A11641">
        <f ca="1">30873.1713362352*((RANDBETWEEN(2979,3282)))</f>
        <v>98145811.677891776</v>
      </c>
      <c r="B11641">
        <v>176496761.69606686</v>
      </c>
    </row>
    <row r="11642" spans="1:2" x14ac:dyDescent="0.25">
      <c r="A11642">
        <f ca="1">28385.7276489079*((RANDBETWEEN(2979,3282)))</f>
        <v>87144183.882147342</v>
      </c>
      <c r="B11642">
        <v>188695965.03916037</v>
      </c>
    </row>
    <row r="11643" spans="1:2" x14ac:dyDescent="0.25">
      <c r="A11643">
        <f ca="1">26136.7957371785*((RANDBETWEEN(2979,3282)))</f>
        <v>85415048.469099343</v>
      </c>
      <c r="B11643">
        <v>153793165.33981299</v>
      </c>
    </row>
    <row r="11644" spans="1:2" x14ac:dyDescent="0.25">
      <c r="A11644">
        <f ca="1">28132.4948286787*((RANDBETWEEN(2979,3282)))</f>
        <v>90755428.317317441</v>
      </c>
      <c r="B11644">
        <v>146103102.0701507</v>
      </c>
    </row>
    <row r="11645" spans="1:2" x14ac:dyDescent="0.25">
      <c r="A11645">
        <f ca="1">26155.6283530094*((RANDBETWEEN(2979,3282)))</f>
        <v>85267348.430810735</v>
      </c>
      <c r="B11645">
        <v>194189666.149984</v>
      </c>
    </row>
    <row r="11646" spans="1:2" x14ac:dyDescent="0.25">
      <c r="A11646">
        <f ca="1">27254.3322365632*((RANDBETWEEN(2979,3282)))</f>
        <v>82444355.015603647</v>
      </c>
      <c r="B11646">
        <v>157827568.19045192</v>
      </c>
    </row>
    <row r="11647" spans="1:2" x14ac:dyDescent="0.25">
      <c r="A11647">
        <f ca="1">29042.2522559256*((RANDBETWEEN(2979,3282)))</f>
        <v>88927376.407644212</v>
      </c>
      <c r="B11647">
        <v>194528540.15567967</v>
      </c>
    </row>
    <row r="11648" spans="1:2" x14ac:dyDescent="0.25">
      <c r="A11648">
        <f ca="1">28444.5947292063*((RANDBETWEEN(2979,3282)))</f>
        <v>84878670.671951681</v>
      </c>
      <c r="B11648">
        <v>195557096.81208953</v>
      </c>
    </row>
    <row r="11649" spans="1:2" x14ac:dyDescent="0.25">
      <c r="A11649">
        <f ca="1">26642.7584959139*((RANDBETWEEN(2979,3282)))</f>
        <v>82059696.167414755</v>
      </c>
      <c r="B11649">
        <v>165674965.655559</v>
      </c>
    </row>
    <row r="11650" spans="1:2" x14ac:dyDescent="0.25">
      <c r="A11650">
        <f ca="1">27392.0944193902*((RANDBETWEEN(2979,3282)))</f>
        <v>87599917.953209922</v>
      </c>
      <c r="B11650">
        <v>146872031.07153189</v>
      </c>
    </row>
    <row r="11651" spans="1:2" x14ac:dyDescent="0.25">
      <c r="A11651">
        <f ca="1">26402.0894484933*((RANDBETWEEN(2979,3282)))</f>
        <v>79734310.13444984</v>
      </c>
      <c r="B11651">
        <v>178490904.08638582</v>
      </c>
    </row>
    <row r="11652" spans="1:2" x14ac:dyDescent="0.25">
      <c r="A11652">
        <f ca="1">26787.1997374733*((RANDBETWEEN(2979,3282)))</f>
        <v>86281570.354401529</v>
      </c>
      <c r="B11652">
        <v>191366992.24922472</v>
      </c>
    </row>
    <row r="11653" spans="1:2" x14ac:dyDescent="0.25">
      <c r="A11653">
        <f ca="1">27752.0917711917*((RANDBETWEEN(2979,3282)))</f>
        <v>84338606.892651722</v>
      </c>
      <c r="B11653">
        <v>153393467.99831074</v>
      </c>
    </row>
    <row r="11654" spans="1:2" x14ac:dyDescent="0.25">
      <c r="A11654">
        <f ca="1">32815.8409725258*((RANDBETWEEN(2979,3282)))</f>
        <v>106914009.8884889</v>
      </c>
      <c r="B11654">
        <v>162438959.92374405</v>
      </c>
    </row>
    <row r="11655" spans="1:2" x14ac:dyDescent="0.25">
      <c r="A11655">
        <f ca="1">27645.1017461199*((RANDBETWEEN(2979,3282)))</f>
        <v>87939068.654407471</v>
      </c>
      <c r="B11655">
        <v>175645453.55428293</v>
      </c>
    </row>
    <row r="11656" spans="1:2" x14ac:dyDescent="0.25">
      <c r="A11656">
        <f ca="1">27310.1746759677*((RANDBETWEEN(2979,3282)))</f>
        <v>89113099.967682555</v>
      </c>
      <c r="B11656">
        <v>191797804.44178966</v>
      </c>
    </row>
    <row r="11657" spans="1:2" x14ac:dyDescent="0.25">
      <c r="A11657">
        <f ca="1">28679.3365744111*((RANDBETWEEN(2979,3282)))</f>
        <v>86496879.108423799</v>
      </c>
      <c r="B11657">
        <v>198074058.49784777</v>
      </c>
    </row>
    <row r="11658" spans="1:2" x14ac:dyDescent="0.25">
      <c r="A11658">
        <f ca="1">25998.3046620284*((RANDBETWEEN(2979,3282)))</f>
        <v>82596613.911264136</v>
      </c>
      <c r="B11658">
        <v>151942256.84991902</v>
      </c>
    </row>
    <row r="11659" spans="1:2" x14ac:dyDescent="0.25">
      <c r="A11659">
        <f ca="1">28370.9982658522*((RANDBETWEEN(2979,3282)))</f>
        <v>88545885.58772485</v>
      </c>
      <c r="B11659">
        <v>184276843.14613804</v>
      </c>
    </row>
    <row r="11660" spans="1:2" x14ac:dyDescent="0.25">
      <c r="A11660">
        <f ca="1">27064.37956633*((RANDBETWEEN(2979,3282)))</f>
        <v>84684443.663046554</v>
      </c>
      <c r="B11660">
        <v>168025770.39912456</v>
      </c>
    </row>
    <row r="11661" spans="1:2" x14ac:dyDescent="0.25">
      <c r="A11661">
        <f ca="1">27016.6170628286*((RANDBETWEEN(2979,3282)))</f>
        <v>82995047.617009416</v>
      </c>
      <c r="B11661">
        <v>144907096.92895865</v>
      </c>
    </row>
    <row r="11662" spans="1:2" x14ac:dyDescent="0.25">
      <c r="A11662">
        <f ca="1">29430.4376996585*((RANDBETWEEN(2979,3282)))</f>
        <v>88879921.852968708</v>
      </c>
      <c r="B11662">
        <v>188652599.9465667</v>
      </c>
    </row>
    <row r="11663" spans="1:2" x14ac:dyDescent="0.25">
      <c r="A11663">
        <f ca="1">27484.3929981815*((RANDBETWEEN(2979,3282)))</f>
        <v>85064196.329371721</v>
      </c>
      <c r="B11663">
        <v>164787305.51882213</v>
      </c>
    </row>
    <row r="11664" spans="1:2" x14ac:dyDescent="0.25">
      <c r="A11664">
        <f ca="1">26420.4121991345*((RANDBETWEEN(2979,3282)))</f>
        <v>86421168.303369015</v>
      </c>
      <c r="B11664">
        <v>161728772.67088342</v>
      </c>
    </row>
    <row r="11665" spans="1:2" x14ac:dyDescent="0.25">
      <c r="A11665">
        <f ca="1">32391.9151737526*((RANDBETWEEN(2979,3282)))</f>
        <v>105662427.2967813</v>
      </c>
      <c r="B11665">
        <v>196223373.79750839</v>
      </c>
    </row>
    <row r="11666" spans="1:2" x14ac:dyDescent="0.25">
      <c r="A11666">
        <f ca="1">30950.8362449412*((RANDBETWEEN(2979,3282)))</f>
        <v>98392708.422668159</v>
      </c>
      <c r="B11666">
        <v>150647548.00181112</v>
      </c>
    </row>
    <row r="11667" spans="1:2" x14ac:dyDescent="0.25">
      <c r="A11667">
        <f ca="1">31904.5879073848*((RANDBETWEEN(2979,3282)))</f>
        <v>97915180.287764013</v>
      </c>
      <c r="B11667">
        <v>166494927.68851787</v>
      </c>
    </row>
    <row r="11668" spans="1:2" x14ac:dyDescent="0.25">
      <c r="A11668">
        <f ca="1">29812.8629252036*((RANDBETWEEN(2979,3282)))</f>
        <v>88872144.380031928</v>
      </c>
      <c r="B11668">
        <v>164231581.88339955</v>
      </c>
    </row>
    <row r="11669" spans="1:2" x14ac:dyDescent="0.25">
      <c r="A11669">
        <f ca="1">29867.1068692591*((RANDBETWEEN(2979,3282)))</f>
        <v>97814774.996823475</v>
      </c>
      <c r="B11669">
        <v>157783568.92921633</v>
      </c>
    </row>
    <row r="11670" spans="1:2" x14ac:dyDescent="0.25">
      <c r="A11670">
        <f ca="1">27055.9759401001*((RANDBETWEEN(2979,3282)))</f>
        <v>83873525.414310262</v>
      </c>
      <c r="B11670">
        <v>163744025.11284226</v>
      </c>
    </row>
    <row r="11671" spans="1:2" x14ac:dyDescent="0.25">
      <c r="A11671">
        <f ca="1">29492.4308711536*((RANDBETWEEN(2979,3282)))</f>
        <v>88447800.182589605</v>
      </c>
      <c r="B11671">
        <v>161479746.00451109</v>
      </c>
    </row>
    <row r="11672" spans="1:2" x14ac:dyDescent="0.25">
      <c r="A11672">
        <f ca="1">30111.9100487292*((RANDBETWEEN(2979,3282)))</f>
        <v>91239087.44764939</v>
      </c>
      <c r="B11672">
        <v>175453398.91339552</v>
      </c>
    </row>
    <row r="11673" spans="1:2" x14ac:dyDescent="0.25">
      <c r="A11673">
        <f ca="1">30846.4207641261*((RANDBETWEEN(2979,3282)))</f>
        <v>95778136.472611412</v>
      </c>
      <c r="B11673">
        <v>175494975.64984399</v>
      </c>
    </row>
    <row r="11674" spans="1:2" x14ac:dyDescent="0.25">
      <c r="A11674">
        <f ca="1">30301.0432635195*((RANDBETWEEN(2979,3282)))</f>
        <v>97417854.09221521</v>
      </c>
      <c r="B11674">
        <v>186992753.4450078</v>
      </c>
    </row>
    <row r="11675" spans="1:2" x14ac:dyDescent="0.25">
      <c r="A11675">
        <f ca="1">27497.7460140695*((RANDBETWEEN(2979,3282)))</f>
        <v>82383247.05815208</v>
      </c>
      <c r="B11675">
        <v>162174864.44100419</v>
      </c>
    </row>
    <row r="11676" spans="1:2" x14ac:dyDescent="0.25">
      <c r="A11676">
        <f ca="1">25803.9143406973*((RANDBETWEEN(2979,3282)))</f>
        <v>79682487.484073326</v>
      </c>
      <c r="B11676">
        <v>142979109.67198205</v>
      </c>
    </row>
    <row r="11677" spans="1:2" x14ac:dyDescent="0.25">
      <c r="A11677">
        <f ca="1">31308.5777198038*((RANDBETWEEN(2979,3282)))</f>
        <v>97275750.97543034</v>
      </c>
      <c r="B11677">
        <v>168564603.86848384</v>
      </c>
    </row>
    <row r="11678" spans="1:2" x14ac:dyDescent="0.25">
      <c r="A11678">
        <f ca="1">29359.5619603575*((RANDBETWEEN(2979,3282)))</f>
        <v>87697011.575587749</v>
      </c>
      <c r="B11678">
        <v>187603931.60946071</v>
      </c>
    </row>
    <row r="11679" spans="1:2" x14ac:dyDescent="0.25">
      <c r="A11679">
        <f ca="1">27026.2078549827*((RANDBETWEEN(2979,3282)))</f>
        <v>81078623.564948067</v>
      </c>
      <c r="B11679">
        <v>146799744.25105047</v>
      </c>
    </row>
    <row r="11680" spans="1:2" x14ac:dyDescent="0.25">
      <c r="A11680">
        <f ca="1">25179.2587665348*((RANDBETWEEN(2979,3282)))</f>
        <v>75965823.698635608</v>
      </c>
      <c r="B11680">
        <v>147363223.32400161</v>
      </c>
    </row>
    <row r="11681" spans="1:2" x14ac:dyDescent="0.25">
      <c r="A11681">
        <f ca="1">32003.069236433*((RANDBETWEEN(2979,3282)))</f>
        <v>102505830.76429486</v>
      </c>
      <c r="B11681">
        <v>187619234.03226179</v>
      </c>
    </row>
    <row r="11682" spans="1:2" x14ac:dyDescent="0.25">
      <c r="A11682">
        <f ca="1">26511.6445843911*((RANDBETWEEN(2979,3282)))</f>
        <v>82106563.277859226</v>
      </c>
      <c r="B11682">
        <v>145022939.98751765</v>
      </c>
    </row>
    <row r="11683" spans="1:2" x14ac:dyDescent="0.25">
      <c r="A11683">
        <f ca="1">26589.648331409*((RANDBETWEEN(2979,3282)))</f>
        <v>80167789.719198406</v>
      </c>
      <c r="B11683">
        <v>153125193.63129714</v>
      </c>
    </row>
    <row r="11684" spans="1:2" x14ac:dyDescent="0.25">
      <c r="A11684">
        <f ca="1">26559.7457353973*((RANDBETWEEN(2979,3282)))</f>
        <v>85628620.250920996</v>
      </c>
      <c r="B11684">
        <v>193024788.78151205</v>
      </c>
    </row>
    <row r="11685" spans="1:2" x14ac:dyDescent="0.25">
      <c r="A11685">
        <f ca="1">27878.457568996*((RANDBETWEEN(2979,3282)))</f>
        <v>86032920.057921574</v>
      </c>
      <c r="B11685">
        <v>197554068.25697589</v>
      </c>
    </row>
    <row r="11686" spans="1:2" x14ac:dyDescent="0.25">
      <c r="A11686">
        <f ca="1">28174.5274584173*((RANDBETWEEN(2979,3282)))</f>
        <v>88721586.966556057</v>
      </c>
      <c r="B11686">
        <v>187027831.97381347</v>
      </c>
    </row>
    <row r="11687" spans="1:2" x14ac:dyDescent="0.25">
      <c r="A11687">
        <f ca="1">26650.065330091*((RANDBETWEEN(2979,3282)))</f>
        <v>79976846.055603191</v>
      </c>
      <c r="B11687">
        <v>146553333.86541361</v>
      </c>
    </row>
    <row r="11688" spans="1:2" x14ac:dyDescent="0.25">
      <c r="A11688">
        <f ca="1">31769.0681643383*((RANDBETWEEN(2979,3282)))</f>
        <v>103376547.80675693</v>
      </c>
      <c r="B11688">
        <v>199840092.69098479</v>
      </c>
    </row>
    <row r="11689" spans="1:2" x14ac:dyDescent="0.25">
      <c r="A11689">
        <f ca="1">27037.9570795855*((RANDBETWEEN(2979,3282)))</f>
        <v>80789415.75380148</v>
      </c>
      <c r="B11689">
        <v>199214482.83568627</v>
      </c>
    </row>
    <row r="11690" spans="1:2" x14ac:dyDescent="0.25">
      <c r="A11690">
        <f ca="1">26037.5594105696*((RANDBETWEEN(2979,3282)))</f>
        <v>79050030.370489299</v>
      </c>
      <c r="B11690">
        <v>155600628.48538604</v>
      </c>
    </row>
    <row r="11691" spans="1:2" x14ac:dyDescent="0.25">
      <c r="A11691">
        <f ca="1">28976.9816319346*((RANDBETWEEN(2979,3282)))</f>
        <v>91074653.269170403</v>
      </c>
      <c r="B11691">
        <v>150077869.95419794</v>
      </c>
    </row>
    <row r="11692" spans="1:2" x14ac:dyDescent="0.25">
      <c r="A11692">
        <f ca="1">29042.0182915324*((RANDBETWEEN(2979,3282)))</f>
        <v>88491029.734299272</v>
      </c>
      <c r="B11692">
        <v>168779446.08754352</v>
      </c>
    </row>
    <row r="11693" spans="1:2" x14ac:dyDescent="0.25">
      <c r="A11693">
        <f ca="1">26341.7156497031*((RANDBETWEEN(2979,3282)))</f>
        <v>80342232.731594414</v>
      </c>
      <c r="B11693">
        <v>162547463.68208432</v>
      </c>
    </row>
    <row r="11694" spans="1:2" x14ac:dyDescent="0.25">
      <c r="A11694">
        <f ca="1">28560.3565188833*((RANDBETWEEN(2979,3282)))</f>
        <v>85995233.478357539</v>
      </c>
      <c r="B11694">
        <v>199799638.42037159</v>
      </c>
    </row>
    <row r="11695" spans="1:2" x14ac:dyDescent="0.25">
      <c r="A11695">
        <f ca="1">25275.391086936*((RANDBETWEEN(2979,3282)))</f>
        <v>78454813.933849439</v>
      </c>
      <c r="B11695">
        <v>149202024.874883</v>
      </c>
    </row>
    <row r="11696" spans="1:2" x14ac:dyDescent="0.25">
      <c r="A11696">
        <f ca="1">26777.8699170886*((RANDBETWEEN(2979,3282)))</f>
        <v>86412186.222445086</v>
      </c>
      <c r="B11696">
        <v>183607517.68792623</v>
      </c>
    </row>
    <row r="11697" spans="1:2" x14ac:dyDescent="0.25">
      <c r="A11697">
        <f ca="1">28281.7267499053*((RANDBETWEEN(2979,3282)))</f>
        <v>85071434.063715175</v>
      </c>
      <c r="B11697">
        <v>168347462.17366943</v>
      </c>
    </row>
    <row r="11698" spans="1:2" x14ac:dyDescent="0.25">
      <c r="A11698">
        <f ca="1">25944.4558488851*((RANDBETWEEN(2979,3282)))</f>
        <v>78819256.868912861</v>
      </c>
      <c r="B11698">
        <v>143621068.77134603</v>
      </c>
    </row>
    <row r="11699" spans="1:2" x14ac:dyDescent="0.25">
      <c r="A11699">
        <f ca="1">27252.315117831*((RANDBETWEEN(2979,3282)))</f>
        <v>88624528.763186499</v>
      </c>
      <c r="B11699">
        <v>151131644.54448357</v>
      </c>
    </row>
    <row r="11700" spans="1:2" x14ac:dyDescent="0.25">
      <c r="A11700">
        <f ca="1">27203.0893088572*((RANDBETWEEN(2979,3282)))</f>
        <v>81690877.194498256</v>
      </c>
      <c r="B11700">
        <v>194785825.19219434</v>
      </c>
    </row>
    <row r="11701" spans="1:2" x14ac:dyDescent="0.25">
      <c r="A11701">
        <f ca="1">27455.5621188506*((RANDBETWEEN(2979,3282)))</f>
        <v>82943253.161047548</v>
      </c>
      <c r="B11701">
        <v>155660151.86771277</v>
      </c>
    </row>
    <row r="11702" spans="1:2" x14ac:dyDescent="0.25">
      <c r="A11702">
        <f ca="1">26352.017184677*((RANDBETWEEN(2979,3282)))</f>
        <v>80742580.653850436</v>
      </c>
      <c r="B11702">
        <v>175775197.11726242</v>
      </c>
    </row>
    <row r="11703" spans="1:2" x14ac:dyDescent="0.25">
      <c r="A11703">
        <f ca="1">29672.3833364516*((RANDBETWEEN(2979,3282)))</f>
        <v>96257211.543448925</v>
      </c>
      <c r="B11703">
        <v>198454276.8255105</v>
      </c>
    </row>
    <row r="11704" spans="1:2" x14ac:dyDescent="0.25">
      <c r="A11704">
        <f ca="1">26216.9828299369*((RANDBETWEEN(2979,3282)))</f>
        <v>80905609.013185248</v>
      </c>
      <c r="B11704">
        <v>195651403.9551084</v>
      </c>
    </row>
    <row r="11705" spans="1:2" x14ac:dyDescent="0.25">
      <c r="A11705">
        <f ca="1">28202.3148720577*((RANDBETWEEN(2979,3282)))</f>
        <v>90867858.517770052</v>
      </c>
      <c r="B11705">
        <v>191738403.83378196</v>
      </c>
    </row>
    <row r="11706" spans="1:2" x14ac:dyDescent="0.25">
      <c r="A11706">
        <f ca="1">31512.4398739903*((RANDBETWEEN(2979,3282)))</f>
        <v>100146533.91954111</v>
      </c>
      <c r="B11706">
        <v>190902262.52276826</v>
      </c>
    </row>
    <row r="11707" spans="1:2" x14ac:dyDescent="0.25">
      <c r="A11707">
        <f ca="1">26521.9083456086*((RANDBETWEEN(2979,3282)))</f>
        <v>81952696.787930623</v>
      </c>
      <c r="B11707">
        <v>154718459.42098129</v>
      </c>
    </row>
    <row r="11708" spans="1:2" x14ac:dyDescent="0.25">
      <c r="A11708">
        <f ca="1">31382.9200336683*((RANDBETWEEN(2979,3282)))</f>
        <v>94556738.061442569</v>
      </c>
      <c r="B11708">
        <v>189191005.56521246</v>
      </c>
    </row>
    <row r="11709" spans="1:2" x14ac:dyDescent="0.25">
      <c r="A11709">
        <f ca="1">28780.5179868916*((RANDBETWEEN(2979,3282)))</f>
        <v>88701556.435599893</v>
      </c>
      <c r="B11709">
        <v>161080776.37880358</v>
      </c>
    </row>
    <row r="11710" spans="1:2" x14ac:dyDescent="0.25">
      <c r="A11710">
        <f ca="1">26329.8094390798*((RANDBETWEEN(2979,3282)))</f>
        <v>80042620.694802478</v>
      </c>
      <c r="B11710">
        <v>152207197.06194204</v>
      </c>
    </row>
    <row r="11711" spans="1:2" x14ac:dyDescent="0.25">
      <c r="A11711">
        <f ca="1">28199.4560679877*((RANDBETWEEN(2979,3282)))</f>
        <v>87559311.0911019</v>
      </c>
      <c r="B11711">
        <v>162687947.51941556</v>
      </c>
    </row>
    <row r="11712" spans="1:2" x14ac:dyDescent="0.25">
      <c r="A11712">
        <f ca="1">31186.8312015838*((RANDBETWEEN(2979,3282)))</f>
        <v>100016167.66347924</v>
      </c>
      <c r="B11712">
        <v>164910177.03982326</v>
      </c>
    </row>
    <row r="11713" spans="1:2" x14ac:dyDescent="0.25">
      <c r="A11713">
        <f ca="1">27035.3805959174*((RANDBETWEEN(2979,3282)))</f>
        <v>85648085.727866337</v>
      </c>
      <c r="B11713">
        <v>150513232.74350977</v>
      </c>
    </row>
    <row r="11714" spans="1:2" x14ac:dyDescent="0.25">
      <c r="A11714">
        <f ca="1">31083.8711854552*((RANDBETWEEN(2979,3282)))</f>
        <v>93096194.200438336</v>
      </c>
      <c r="B11714">
        <v>156913213.40676135</v>
      </c>
    </row>
    <row r="11715" spans="1:2" x14ac:dyDescent="0.25">
      <c r="A11715">
        <f ca="1">27819.7912199863*((RANDBETWEEN(2979,3282)))</f>
        <v>89023331.903956249</v>
      </c>
      <c r="B11715">
        <v>145409714.38866049</v>
      </c>
    </row>
    <row r="11716" spans="1:2" x14ac:dyDescent="0.25">
      <c r="A11716">
        <f ca="1">26641.3462439804*((RANDBETWEEN(2979,3282)))</f>
        <v>82961152.203755036</v>
      </c>
      <c r="B11716">
        <v>188132975.92692262</v>
      </c>
    </row>
    <row r="11717" spans="1:2" x14ac:dyDescent="0.25">
      <c r="A11717">
        <f ca="1">26473.399287396*((RANDBETWEEN(2979,3282)))</f>
        <v>86038547.684037149</v>
      </c>
      <c r="B11717">
        <v>150382083.5792194</v>
      </c>
    </row>
    <row r="11718" spans="1:2" x14ac:dyDescent="0.25">
      <c r="A11718">
        <f ca="1">27803.7439468312*((RANDBETWEEN(2979,3282)))</f>
        <v>88304690.77513577</v>
      </c>
      <c r="B11718">
        <v>201327302.11871958</v>
      </c>
    </row>
    <row r="11719" spans="1:2" x14ac:dyDescent="0.25">
      <c r="A11719">
        <f ca="1">25928.681792829*((RANDBETWEEN(2979,3282)))</f>
        <v>84553431.326415226</v>
      </c>
      <c r="B11719">
        <v>191025213.77195263</v>
      </c>
    </row>
    <row r="11720" spans="1:2" x14ac:dyDescent="0.25">
      <c r="A11720">
        <f ca="1">27644.6652309831*((RANDBETWEEN(2979,3282)))</f>
        <v>83072219.019104362</v>
      </c>
      <c r="B11720">
        <v>154991212.84548295</v>
      </c>
    </row>
    <row r="11721" spans="1:2" x14ac:dyDescent="0.25">
      <c r="A11721">
        <f ca="1">33579.4694677783*((RANDBETWEEN(2979,3282)))</f>
        <v>100033239.54451144</v>
      </c>
      <c r="B11721">
        <v>188099844.2057851</v>
      </c>
    </row>
    <row r="11722" spans="1:2" x14ac:dyDescent="0.25">
      <c r="A11722">
        <f ca="1">28594.7100017171*((RANDBETWEEN(2979,3282)))</f>
        <v>90445067.735431045</v>
      </c>
      <c r="B11722">
        <v>179599239.70730102</v>
      </c>
    </row>
    <row r="11723" spans="1:2" x14ac:dyDescent="0.25">
      <c r="A11723">
        <f ca="1">27019.4129012211*((RANDBETWEEN(2979,3282)))</f>
        <v>82679403.477736682</v>
      </c>
      <c r="B11723">
        <v>187558384.70536697</v>
      </c>
    </row>
    <row r="11724" spans="1:2" x14ac:dyDescent="0.25">
      <c r="A11724">
        <f ca="1">29745.1068229327*((RANDBETWEEN(2979,3282)))</f>
        <v>89086594.934683383</v>
      </c>
      <c r="B11724">
        <v>178564142.3800106</v>
      </c>
    </row>
    <row r="11725" spans="1:2" x14ac:dyDescent="0.25">
      <c r="A11725">
        <f ca="1">27703.1964081567*((RANDBETWEEN(2979,3282)))</f>
        <v>82694041.278347656</v>
      </c>
      <c r="B11725">
        <v>153661194.78502879</v>
      </c>
    </row>
    <row r="11726" spans="1:2" x14ac:dyDescent="0.25">
      <c r="A11726">
        <f ca="1">25837.0490417734*((RANDBETWEEN(2979,3282)))</f>
        <v>83195297.914510474</v>
      </c>
      <c r="B11726">
        <v>151829939.15061107</v>
      </c>
    </row>
    <row r="11727" spans="1:2" x14ac:dyDescent="0.25">
      <c r="A11727">
        <f ca="1">28030.9155126384*((RANDBETWEEN(2979,3282)))</f>
        <v>89811053.302493528</v>
      </c>
      <c r="B11727">
        <v>172352877.39531499</v>
      </c>
    </row>
    <row r="11728" spans="1:2" x14ac:dyDescent="0.25">
      <c r="A11728">
        <f ca="1">27895.2943930494*((RANDBETWEEN(2979,3282)))</f>
        <v>83183767.880073294</v>
      </c>
      <c r="B11728">
        <v>177464954.05196339</v>
      </c>
    </row>
    <row r="11729" spans="1:2" x14ac:dyDescent="0.25">
      <c r="A11729">
        <f ca="1">28009.5508138993*((RANDBETWEEN(2979,3282)))</f>
        <v>83888604.687628493</v>
      </c>
      <c r="B11729">
        <v>161397941.52695221</v>
      </c>
    </row>
    <row r="11730" spans="1:2" x14ac:dyDescent="0.25">
      <c r="A11730">
        <f ca="1">28494.8322545617*((RANDBETWEEN(2979,3282)))</f>
        <v>88647423.143941462</v>
      </c>
      <c r="B11730">
        <v>168751976.99481818</v>
      </c>
    </row>
    <row r="11731" spans="1:2" x14ac:dyDescent="0.25">
      <c r="A11731">
        <f ca="1">31859.9527198356*((RANDBETWEEN(2979,3282)))</f>
        <v>101696969.0817153</v>
      </c>
      <c r="B11731">
        <v>169207155.54490185</v>
      </c>
    </row>
    <row r="11732" spans="1:2" x14ac:dyDescent="0.25">
      <c r="A11732">
        <f ca="1">28428.7787307228*((RANDBETWEEN(2979,3282)))</f>
        <v>92166100.645003423</v>
      </c>
      <c r="B11732">
        <v>184088354.34626564</v>
      </c>
    </row>
    <row r="11733" spans="1:2" x14ac:dyDescent="0.25">
      <c r="A11733">
        <f ca="1">28638.9080337678*((RANDBETWEEN(2979,3282)))</f>
        <v>88923809.444849148</v>
      </c>
      <c r="B11733">
        <v>199181272.44782734</v>
      </c>
    </row>
    <row r="11734" spans="1:2" x14ac:dyDescent="0.25">
      <c r="A11734">
        <f ca="1">26586.4795225894*((RANDBETWEEN(2979,3282)))</f>
        <v>79280881.936361596</v>
      </c>
      <c r="B11734">
        <v>146209305.0513078</v>
      </c>
    </row>
    <row r="11735" spans="1:2" x14ac:dyDescent="0.25">
      <c r="A11735">
        <f ca="1">27551.0496662748*((RANDBETWEEN(2979,3282)))</f>
        <v>88025603.683747992</v>
      </c>
      <c r="B11735">
        <v>152610803.69512704</v>
      </c>
    </row>
    <row r="11736" spans="1:2" x14ac:dyDescent="0.25">
      <c r="A11736">
        <f ca="1">27452.839116038*((RANDBETWEEN(2979,3282)))</f>
        <v>87354934.067232788</v>
      </c>
      <c r="B11736">
        <v>148427564.46997043</v>
      </c>
    </row>
    <row r="11737" spans="1:2" x14ac:dyDescent="0.25">
      <c r="A11737">
        <f ca="1">26525.981126599*((RANDBETWEEN(2979,3282)))</f>
        <v>84432197.925964519</v>
      </c>
      <c r="B11737">
        <v>158269072.61040914</v>
      </c>
    </row>
    <row r="11738" spans="1:2" x14ac:dyDescent="0.25">
      <c r="A11738">
        <f ca="1">26819.7782825577*((RANDBETWEEN(2979,3282)))</f>
        <v>83570429.128449917</v>
      </c>
      <c r="B11738">
        <v>186639704.17716181</v>
      </c>
    </row>
    <row r="11739" spans="1:2" x14ac:dyDescent="0.25">
      <c r="A11739">
        <f ca="1">26738.5053339819*((RANDBETWEEN(2979,3282)))</f>
        <v>80402685.539283574</v>
      </c>
      <c r="B11739">
        <v>190428300.46272612</v>
      </c>
    </row>
    <row r="11740" spans="1:2" x14ac:dyDescent="0.25">
      <c r="A11740">
        <f ca="1">32070.0811014041*((RANDBETWEEN(2979,3282)))</f>
        <v>96851644.926240444</v>
      </c>
      <c r="B11740">
        <v>169194054.43513396</v>
      </c>
    </row>
    <row r="11741" spans="1:2" x14ac:dyDescent="0.25">
      <c r="A11741">
        <f ca="1">28168.5395595116*((RANDBETWEEN(2979,3282)))</f>
        <v>86730933.303736225</v>
      </c>
      <c r="B11741">
        <v>157247385.05932456</v>
      </c>
    </row>
    <row r="11742" spans="1:2" x14ac:dyDescent="0.25">
      <c r="A11742">
        <f ca="1">26809.5810563789*((RANDBETWEEN(2979,3282)))</f>
        <v>81179411.438715398</v>
      </c>
      <c r="B11742">
        <v>149510598.06344214</v>
      </c>
    </row>
    <row r="11743" spans="1:2" x14ac:dyDescent="0.25">
      <c r="A11743">
        <f ca="1">26756.7327438675*((RANDBETWEEN(2979,3282)))</f>
        <v>83748573.488305286</v>
      </c>
      <c r="B11743">
        <v>149326946.69111353</v>
      </c>
    </row>
    <row r="11744" spans="1:2" x14ac:dyDescent="0.25">
      <c r="A11744">
        <f ca="1">26814.8017861525*((RANDBETWEEN(2979,3282)))</f>
        <v>81785145.447765052</v>
      </c>
      <c r="B11744">
        <v>179926230.06085259</v>
      </c>
    </row>
    <row r="11745" spans="1:2" x14ac:dyDescent="0.25">
      <c r="A11745">
        <f ca="1">26557.1560050783*((RANDBETWEEN(2979,3282)))</f>
        <v>80760311.411443174</v>
      </c>
      <c r="B11745">
        <v>152710799.01341277</v>
      </c>
    </row>
    <row r="11746" spans="1:2" x14ac:dyDescent="0.25">
      <c r="A11746">
        <f ca="1">32830.9946534641*((RANDBETWEEN(2979,3282)))</f>
        <v>101414942.48455058</v>
      </c>
      <c r="B11746">
        <v>162057230.77465042</v>
      </c>
    </row>
    <row r="11747" spans="1:2" x14ac:dyDescent="0.25">
      <c r="A11747">
        <f ca="1">26558.5437823654*((RANDBETWEEN(2979,3282)))</f>
        <v>83553178.739321649</v>
      </c>
      <c r="B11747">
        <v>184544857.0011847</v>
      </c>
    </row>
    <row r="11748" spans="1:2" x14ac:dyDescent="0.25">
      <c r="A11748">
        <f ca="1">26003.6231292727*((RANDBETWEEN(2979,3282)))</f>
        <v>81365336.771494195</v>
      </c>
      <c r="B11748">
        <v>167666681.25562093</v>
      </c>
    </row>
    <row r="11749" spans="1:2" x14ac:dyDescent="0.25">
      <c r="A11749">
        <f ca="1">29778.2338424315*((RANDBETWEEN(2979,3282)))</f>
        <v>92937867.822228596</v>
      </c>
      <c r="B11749">
        <v>177137244.48575932</v>
      </c>
    </row>
    <row r="11750" spans="1:2" x14ac:dyDescent="0.25">
      <c r="A11750">
        <f ca="1">26155.2625955502*((RANDBETWEEN(2979,3282)))</f>
        <v>80008948.279788002</v>
      </c>
      <c r="B11750">
        <v>154715760.00617933</v>
      </c>
    </row>
    <row r="11751" spans="1:2" x14ac:dyDescent="0.25">
      <c r="A11751">
        <f ca="1">29268.5797695849*((RANDBETWEEN(2979,3282)))</f>
        <v>89825271.312856004</v>
      </c>
      <c r="B11751">
        <v>159832806.87778205</v>
      </c>
    </row>
    <row r="11752" spans="1:2" x14ac:dyDescent="0.25">
      <c r="A11752">
        <f ca="1">29641.9478684999*((RANDBETWEEN(2979,3282)))</f>
        <v>90348657.103187606</v>
      </c>
      <c r="B11752">
        <v>187963102.51967409</v>
      </c>
    </row>
    <row r="11753" spans="1:2" x14ac:dyDescent="0.25">
      <c r="A11753">
        <f ca="1">26475.9928000775*((RANDBETWEEN(2979,3282)))</f>
        <v>82419765.586641237</v>
      </c>
      <c r="B11753">
        <v>161598330.08531639</v>
      </c>
    </row>
    <row r="11754" spans="1:2" x14ac:dyDescent="0.25">
      <c r="A11754">
        <f ca="1">27929.4025045994*((RANDBETWEEN(2979,3282)))</f>
        <v>86553218.361753687</v>
      </c>
      <c r="B11754">
        <v>169313755.40546465</v>
      </c>
    </row>
    <row r="11755" spans="1:2" x14ac:dyDescent="0.25">
      <c r="A11755">
        <f ca="1">28161.096047178*((RANDBETWEEN(2979,3282)))</f>
        <v>90875856.944243342</v>
      </c>
      <c r="B11755">
        <v>185445027.37757286</v>
      </c>
    </row>
    <row r="11756" spans="1:2" x14ac:dyDescent="0.25">
      <c r="A11756">
        <f ca="1">26657.8312061424*((RANDBETWEEN(2979,3282)))</f>
        <v>80719912.892199114</v>
      </c>
      <c r="B11756">
        <v>171078518.00269562</v>
      </c>
    </row>
    <row r="11757" spans="1:2" x14ac:dyDescent="0.25">
      <c r="A11757">
        <f ca="1">27998.3564363203*((RANDBETWEEN(2979,3282)))</f>
        <v>88474806.338772193</v>
      </c>
      <c r="B11757">
        <v>173754864.46830547</v>
      </c>
    </row>
    <row r="11758" spans="1:2" x14ac:dyDescent="0.25">
      <c r="A11758">
        <f ca="1">26645.9698281904*((RANDBETWEEN(2979,3282)))</f>
        <v>80737288.579416767</v>
      </c>
      <c r="B11758">
        <v>169959822.70061323</v>
      </c>
    </row>
    <row r="11759" spans="1:2" x14ac:dyDescent="0.25">
      <c r="A11759">
        <f ca="1">29244.0177836157*((RANDBETWEEN(2979,3282)))</f>
        <v>90714943.164775878</v>
      </c>
      <c r="B11759">
        <v>175030436.92289811</v>
      </c>
    </row>
    <row r="11760" spans="1:2" x14ac:dyDescent="0.25">
      <c r="A11760">
        <f ca="1">27590.9735001878*((RANDBETWEEN(2979,3282)))</f>
        <v>89670663.875610307</v>
      </c>
      <c r="B11760">
        <v>148300471.98165488</v>
      </c>
    </row>
    <row r="11761" spans="1:2" x14ac:dyDescent="0.25">
      <c r="A11761">
        <f ca="1">25861.3129945521*((RANDBETWEEN(2979,3282)))</f>
        <v>80971770.985942632</v>
      </c>
      <c r="B11761">
        <v>147604594.63498861</v>
      </c>
    </row>
    <row r="11762" spans="1:2" x14ac:dyDescent="0.25">
      <c r="A11762">
        <f ca="1">27912.7996778336*((RANDBETWEEN(2979,3282)))</f>
        <v>84938649.419647694</v>
      </c>
      <c r="B11762">
        <v>172588600.88119137</v>
      </c>
    </row>
    <row r="11763" spans="1:2" x14ac:dyDescent="0.25">
      <c r="A11763">
        <f ca="1">32208.4758414742*((RANDBETWEEN(2979,3282)))</f>
        <v>104516504.10558376</v>
      </c>
      <c r="B11763">
        <v>163431207.39367923</v>
      </c>
    </row>
    <row r="11764" spans="1:2" x14ac:dyDescent="0.25">
      <c r="A11764">
        <f ca="1">28877.0694249724*((RANDBETWEEN(2979,3282)))</f>
        <v>90587366.78613852</v>
      </c>
      <c r="B11764">
        <v>175495386.92034647</v>
      </c>
    </row>
    <row r="11765" spans="1:2" x14ac:dyDescent="0.25">
      <c r="A11765">
        <f ca="1">26870.2041814047*((RANDBETWEEN(2979,3282)))</f>
        <v>87032591.343569979</v>
      </c>
      <c r="B11765">
        <v>152551537.94419473</v>
      </c>
    </row>
    <row r="11766" spans="1:2" x14ac:dyDescent="0.25">
      <c r="A11766">
        <f ca="1">28037.9413205215*((RANDBETWEEN(2979,3282)))</f>
        <v>86020403.971359909</v>
      </c>
      <c r="B11766">
        <v>197470450.11441958</v>
      </c>
    </row>
    <row r="11767" spans="1:2" x14ac:dyDescent="0.25">
      <c r="A11767">
        <f ca="1">27748.7570200689*((RANDBETWEEN(2979,3282)))</f>
        <v>83523758.630407289</v>
      </c>
      <c r="B11767">
        <v>171358735.35246894</v>
      </c>
    </row>
    <row r="11768" spans="1:2" x14ac:dyDescent="0.25">
      <c r="A11768">
        <f ca="1">31224.7352307368*((RANDBETWEEN(2979,3282)))</f>
        <v>99794253.797434911</v>
      </c>
      <c r="B11768">
        <v>181990649.37287202</v>
      </c>
    </row>
    <row r="11769" spans="1:2" x14ac:dyDescent="0.25">
      <c r="A11769">
        <f ca="1">26953.482538557*((RANDBETWEEN(2979,3282)))</f>
        <v>87086702.082077712</v>
      </c>
      <c r="B11769">
        <v>159686944.28778726</v>
      </c>
    </row>
    <row r="11770" spans="1:2" x14ac:dyDescent="0.25">
      <c r="A11770">
        <f ca="1">28621.7976304092*((RANDBETWEEN(2979,3282)))</f>
        <v>91732861.405461505</v>
      </c>
      <c r="B11770">
        <v>146979277.59274077</v>
      </c>
    </row>
    <row r="11771" spans="1:2" x14ac:dyDescent="0.25">
      <c r="A11771">
        <f ca="1">26251.6384577148*((RANDBETWEEN(2979,3282)))</f>
        <v>83007680.803294346</v>
      </c>
      <c r="B11771">
        <v>170301416.15093061</v>
      </c>
    </row>
    <row r="11772" spans="1:2" x14ac:dyDescent="0.25">
      <c r="A11772">
        <f ca="1">26692.4486728457*((RANDBETWEEN(2979,3282)))</f>
        <v>80744657.235358372</v>
      </c>
      <c r="B11772">
        <v>170323591.34578708</v>
      </c>
    </row>
    <row r="11773" spans="1:2" x14ac:dyDescent="0.25">
      <c r="A11773">
        <f ca="1">26448.5407775529*((RANDBETWEEN(2979,3282)))</f>
        <v>79795247.525877163</v>
      </c>
      <c r="B11773">
        <v>158115407.08441436</v>
      </c>
    </row>
    <row r="11774" spans="1:2" x14ac:dyDescent="0.25">
      <c r="A11774">
        <f ca="1">27667.6773425053*((RANDBETWEEN(2979,3282)))</f>
        <v>87153183.628891826</v>
      </c>
      <c r="B11774">
        <v>160888388.35846666</v>
      </c>
    </row>
    <row r="11775" spans="1:2" x14ac:dyDescent="0.25">
      <c r="A11775">
        <f ca="1">32376.7218175304*((RANDBETWEEN(2979,3282)))</f>
        <v>104673941.63607571</v>
      </c>
      <c r="B11775">
        <v>144749933.13252974</v>
      </c>
    </row>
    <row r="11776" spans="1:2" x14ac:dyDescent="0.25">
      <c r="A11776">
        <f ca="1">27065.0497501108*((RANDBETWEEN(2979,3282)))</f>
        <v>83089702.732840285</v>
      </c>
      <c r="B11776">
        <v>145030587.91067806</v>
      </c>
    </row>
    <row r="11777" spans="1:2" x14ac:dyDescent="0.25">
      <c r="A11777">
        <f ca="1">27142.3626816386*((RANDBETWEEN(2979,3282)))</f>
        <v>82078504.749275267</v>
      </c>
      <c r="B11777">
        <v>156548270.7815235</v>
      </c>
    </row>
    <row r="11778" spans="1:2" x14ac:dyDescent="0.25">
      <c r="A11778">
        <f ca="1">27331.8707267337*((RANDBETWEEN(2979,3282)))</f>
        <v>84783462.994328052</v>
      </c>
      <c r="B11778">
        <v>184474727.74273756</v>
      </c>
    </row>
    <row r="11779" spans="1:2" x14ac:dyDescent="0.25">
      <c r="A11779">
        <f ca="1">27692.766683857*((RANDBETWEEN(2979,3282)))</f>
        <v>89807642.355748266</v>
      </c>
      <c r="B11779">
        <v>158184876.93882784</v>
      </c>
    </row>
    <row r="11780" spans="1:2" x14ac:dyDescent="0.25">
      <c r="A11780">
        <f ca="1">26396.8637857035*((RANDBETWEEN(2979,3282)))</f>
        <v>86476125.761964753</v>
      </c>
      <c r="B11780">
        <v>173390043.42514125</v>
      </c>
    </row>
    <row r="11781" spans="1:2" x14ac:dyDescent="0.25">
      <c r="A11781">
        <f ca="1">33554.0505803069*((RANDBETWEEN(2979,3282)))</f>
        <v>102507624.52283764</v>
      </c>
      <c r="B11781">
        <v>180975423.50703102</v>
      </c>
    </row>
    <row r="11782" spans="1:2" x14ac:dyDescent="0.25">
      <c r="A11782">
        <f ca="1">27603.8741346824*((RANDBETWEEN(2979,3282)))</f>
        <v>82590791.410969734</v>
      </c>
      <c r="B11782">
        <v>154106919.61723208</v>
      </c>
    </row>
    <row r="11783" spans="1:2" x14ac:dyDescent="0.25">
      <c r="A11783">
        <f ca="1">28182.015751712*((RANDBETWEEN(2979,3282)))</f>
        <v>88970623.728154808</v>
      </c>
      <c r="B11783">
        <v>172968135.01313823</v>
      </c>
    </row>
    <row r="11784" spans="1:2" x14ac:dyDescent="0.25">
      <c r="A11784">
        <f ca="1">30000.8650406097*((RANDBETWEEN(2979,3282)))</f>
        <v>97982825.222631276</v>
      </c>
      <c r="B11784">
        <v>170734582.60842896</v>
      </c>
    </row>
    <row r="11785" spans="1:2" x14ac:dyDescent="0.25">
      <c r="A11785">
        <f ca="1">31913.8506262679*((RANDBETWEEN(2979,3282)))</f>
        <v>103017909.82159272</v>
      </c>
      <c r="B11785">
        <v>167089170.14257684</v>
      </c>
    </row>
    <row r="11786" spans="1:2" x14ac:dyDescent="0.25">
      <c r="A11786">
        <f ca="1">29833.999938327*((RANDBETWEEN(2979,3282)))</f>
        <v>90039011.813870907</v>
      </c>
      <c r="B11786">
        <v>165792450.890524</v>
      </c>
    </row>
    <row r="11787" spans="1:2" x14ac:dyDescent="0.25">
      <c r="A11787">
        <f ca="1">29400.0566816587*((RANDBETWEEN(2979,3282)))</f>
        <v>94991583.138439268</v>
      </c>
      <c r="B11787">
        <v>188967034.35842049</v>
      </c>
    </row>
    <row r="11788" spans="1:2" x14ac:dyDescent="0.25">
      <c r="A11788">
        <f ca="1">26917.6874759855*((RANDBETWEEN(2979,3282)))</f>
        <v>84171608.737406716</v>
      </c>
      <c r="B11788">
        <v>162651279.63853335</v>
      </c>
    </row>
    <row r="11789" spans="1:2" x14ac:dyDescent="0.25">
      <c r="A11789">
        <f ca="1">27869.0452829034*((RANDBETWEEN(2979,3282)))</f>
        <v>83356314.441164032</v>
      </c>
      <c r="B11789">
        <v>163883056.14209023</v>
      </c>
    </row>
    <row r="11790" spans="1:2" x14ac:dyDescent="0.25">
      <c r="A11790">
        <f ca="1">27881.8393481148*((RANDBETWEEN(2979,3282)))</f>
        <v>88301785.215479523</v>
      </c>
      <c r="B11790">
        <v>183411279.13569948</v>
      </c>
    </row>
    <row r="11791" spans="1:2" x14ac:dyDescent="0.25">
      <c r="A11791">
        <f ca="1">25903.630116844*((RANDBETWEEN(2979,3282)))</f>
        <v>82010892.949928164</v>
      </c>
      <c r="B11791">
        <v>148022206.89394665</v>
      </c>
    </row>
    <row r="11792" spans="1:2" x14ac:dyDescent="0.25">
      <c r="A11792">
        <f ca="1">27044.2471243387*((RANDBETWEEN(2979,3282)))</f>
        <v>85270511.183039978</v>
      </c>
      <c r="B11792">
        <v>149914311.77049848</v>
      </c>
    </row>
    <row r="11793" spans="1:2" x14ac:dyDescent="0.25">
      <c r="A11793">
        <f ca="1">29761.5682614512*((RANDBETWEEN(2979,3282)))</f>
        <v>90981114.175256252</v>
      </c>
      <c r="B11793">
        <v>145415475.94759369</v>
      </c>
    </row>
    <row r="11794" spans="1:2" x14ac:dyDescent="0.25">
      <c r="A11794">
        <f ca="1">27351.1949413764*((RANDBETWEEN(2979,3282)))</f>
        <v>87797335.761818394</v>
      </c>
      <c r="B11794">
        <v>168514234.51166502</v>
      </c>
    </row>
    <row r="11795" spans="1:2" x14ac:dyDescent="0.25">
      <c r="A11795">
        <f ca="1">25933.8526214774*((RANDBETWEEN(2979,3282)))</f>
        <v>84622161.103880823</v>
      </c>
      <c r="B11795">
        <v>164057021.30646724</v>
      </c>
    </row>
    <row r="11796" spans="1:2" x14ac:dyDescent="0.25">
      <c r="A11796">
        <f ca="1">25571.2209615105*((RANDBETWEEN(2979,3282)))</f>
        <v>82416045.158948451</v>
      </c>
      <c r="B11796">
        <v>148874813.15207946</v>
      </c>
    </row>
    <row r="11797" spans="1:2" x14ac:dyDescent="0.25">
      <c r="A11797">
        <f ca="1">29569.8444551665*((RANDBETWEEN(2979,3282)))</f>
        <v>95924575.412560269</v>
      </c>
      <c r="B11797">
        <v>182387162.98518774</v>
      </c>
    </row>
    <row r="11798" spans="1:2" x14ac:dyDescent="0.25">
      <c r="A11798">
        <f ca="1">27510.8817903361*((RANDBETWEEN(2979,3282)))</f>
        <v>86384168.821655422</v>
      </c>
      <c r="B11798">
        <v>198268995.39248466</v>
      </c>
    </row>
    <row r="11799" spans="1:2" x14ac:dyDescent="0.25">
      <c r="A11799">
        <f ca="1">29064.6725541389*((RANDBETWEEN(2979,3282)))</f>
        <v>93849827.67731452</v>
      </c>
      <c r="B11799">
        <v>153363586.02830419</v>
      </c>
    </row>
    <row r="11800" spans="1:2" x14ac:dyDescent="0.25">
      <c r="A11800">
        <f ca="1">31548.5013843188*((RANDBETWEEN(2979,3282)))</f>
        <v>97800354.291388184</v>
      </c>
      <c r="B11800">
        <v>156714100.04967514</v>
      </c>
    </row>
    <row r="11801" spans="1:2" x14ac:dyDescent="0.25">
      <c r="A11801">
        <f ca="1">26230.1694094864*((RANDBETWEEN(2979,3282)))</f>
        <v>78585587.550821334</v>
      </c>
      <c r="B11801">
        <v>150435215.74368203</v>
      </c>
    </row>
    <row r="11802" spans="1:2" x14ac:dyDescent="0.25">
      <c r="A11802">
        <f ca="1">29361.2421516331*((RANDBETWEEN(2979,3282)))</f>
        <v>88876479.9929934</v>
      </c>
      <c r="B11802">
        <v>157699206.78524476</v>
      </c>
    </row>
    <row r="11803" spans="1:2" x14ac:dyDescent="0.25">
      <c r="A11803">
        <f ca="1">27849.250282255*((RANDBETWEEN(2979,3282)))</f>
        <v>86555469.8772486</v>
      </c>
      <c r="B11803">
        <v>186945188.2263357</v>
      </c>
    </row>
    <row r="11804" spans="1:2" x14ac:dyDescent="0.25">
      <c r="A11804">
        <f ca="1">27590.0528989373*((RANDBETWEEN(2979,3282)))</f>
        <v>86605176.049764276</v>
      </c>
      <c r="B11804">
        <v>164678447.99888664</v>
      </c>
    </row>
    <row r="11805" spans="1:2" x14ac:dyDescent="0.25">
      <c r="A11805">
        <f ca="1">28472.5759274029*((RANDBETWEEN(2979,3282)))</f>
        <v>85617035.813700557</v>
      </c>
      <c r="B11805">
        <v>158643857.01074377</v>
      </c>
    </row>
    <row r="11806" spans="1:2" x14ac:dyDescent="0.25">
      <c r="A11806">
        <f ca="1">28443.472579668*((RANDBETWEEN(2979,3282)))</f>
        <v>88914295.284042105</v>
      </c>
      <c r="B11806">
        <v>148531413.53197283</v>
      </c>
    </row>
    <row r="11807" spans="1:2" x14ac:dyDescent="0.25">
      <c r="A11807">
        <f ca="1">27589.909907006*((RANDBETWEEN(2979,3282)))</f>
        <v>82935269.180459991</v>
      </c>
      <c r="B11807">
        <v>193881380.90523267</v>
      </c>
    </row>
    <row r="11808" spans="1:2" x14ac:dyDescent="0.25">
      <c r="A11808">
        <f ca="1">25405.7328584178*((RANDBETWEEN(2979,3282)))</f>
        <v>81806459.804105386</v>
      </c>
      <c r="B11808">
        <v>147788949.13901097</v>
      </c>
    </row>
    <row r="11809" spans="1:2" x14ac:dyDescent="0.25">
      <c r="A11809">
        <f ca="1">27822.2717010723*((RANDBETWEEN(2979,3282)))</f>
        <v>88780868.998121664</v>
      </c>
      <c r="B11809">
        <v>164761907.39380741</v>
      </c>
    </row>
    <row r="11810" spans="1:2" x14ac:dyDescent="0.25">
      <c r="A11810">
        <f ca="1">26138.463775317*((RANDBETWEEN(2979,3282)))</f>
        <v>80663299.210628375</v>
      </c>
      <c r="B11810">
        <v>177500481.1180554</v>
      </c>
    </row>
    <row r="11811" spans="1:2" x14ac:dyDescent="0.25">
      <c r="A11811">
        <f ca="1">28154.0479461713*((RANDBETWEEN(2979,3282)))</f>
        <v>85165995.037168398</v>
      </c>
      <c r="B11811">
        <v>148935100.24321467</v>
      </c>
    </row>
    <row r="11812" spans="1:2" x14ac:dyDescent="0.25">
      <c r="A11812">
        <f ca="1">26077.3739678207*((RANDBETWEEN(2979,3282)))</f>
        <v>79275216.862174839</v>
      </c>
      <c r="B11812">
        <v>149443259.35662812</v>
      </c>
    </row>
    <row r="11813" spans="1:2" x14ac:dyDescent="0.25">
      <c r="A11813">
        <f ca="1">29986.5057650618*((RANDBETWEEN(2979,3282)))</f>
        <v>95716926.402077213</v>
      </c>
      <c r="B11813">
        <v>170996494.25197044</v>
      </c>
    </row>
    <row r="11814" spans="1:2" x14ac:dyDescent="0.25">
      <c r="A11814">
        <f ca="1">29399.3887380427*((RANDBETWEEN(2979,3282)))</f>
        <v>94724830.513973549</v>
      </c>
      <c r="B11814">
        <v>190210662.60056359</v>
      </c>
    </row>
    <row r="11815" spans="1:2" x14ac:dyDescent="0.25">
      <c r="A11815">
        <f ca="1">28383.1985643959*((RANDBETWEEN(2979,3282)))</f>
        <v>89350309.080718204</v>
      </c>
      <c r="B11815">
        <v>180683642.7994563</v>
      </c>
    </row>
    <row r="11816" spans="1:2" x14ac:dyDescent="0.25">
      <c r="A11816">
        <f ca="1">30540.9263433644*((RANDBETWEEN(2979,3282)))</f>
        <v>95043362.780550003</v>
      </c>
      <c r="B11816">
        <v>166737788.91484931</v>
      </c>
    </row>
    <row r="11817" spans="1:2" x14ac:dyDescent="0.25">
      <c r="A11817">
        <f ca="1">24375.072891425*((RANDBETWEEN(2979,3282)))</f>
        <v>75757726.546548903</v>
      </c>
      <c r="B11817">
        <v>146591321.89389956</v>
      </c>
    </row>
    <row r="11818" spans="1:2" x14ac:dyDescent="0.25">
      <c r="A11818">
        <f ca="1">27093.1855680939*((RANDBETWEEN(2979,3282)))</f>
        <v>81333743.075417802</v>
      </c>
      <c r="B11818">
        <v>188625682.45100859</v>
      </c>
    </row>
    <row r="11819" spans="1:2" x14ac:dyDescent="0.25">
      <c r="A11819">
        <f ca="1">35677.5678258253*((RANDBETWEEN(2979,3282)))</f>
        <v>110172329.4461484</v>
      </c>
      <c r="B11819">
        <v>150177142.61857188</v>
      </c>
    </row>
    <row r="11820" spans="1:2" x14ac:dyDescent="0.25">
      <c r="A11820">
        <f ca="1">26683.4893525587*((RANDBETWEEN(2979,3282)))</f>
        <v>82478665.58875905</v>
      </c>
      <c r="B11820">
        <v>150229248.15173739</v>
      </c>
    </row>
    <row r="11821" spans="1:2" x14ac:dyDescent="0.25">
      <c r="A11821">
        <f ca="1">35838.367314596*((RANDBETWEEN(2979,3282)))</f>
        <v>116797239.07826842</v>
      </c>
      <c r="B11821">
        <v>177253913.646862</v>
      </c>
    </row>
    <row r="11822" spans="1:2" x14ac:dyDescent="0.25">
      <c r="A11822">
        <f ca="1">27801.4850362668*((RANDBETWEEN(2979,3282)))</f>
        <v>85489566.486520454</v>
      </c>
      <c r="B11822">
        <v>158382672.49296847</v>
      </c>
    </row>
    <row r="11823" spans="1:2" x14ac:dyDescent="0.25">
      <c r="A11823">
        <f ca="1">27473.501691355*((RANDBETWEEN(2979,3282)))</f>
        <v>88025099.419101566</v>
      </c>
      <c r="B11823">
        <v>146816726.16874546</v>
      </c>
    </row>
    <row r="11824" spans="1:2" x14ac:dyDescent="0.25">
      <c r="A11824">
        <f ca="1">31033.0793420572*((RANDBETWEEN(2979,3282)))</f>
        <v>100671309.38563368</v>
      </c>
      <c r="B11824">
        <v>190735323.429905</v>
      </c>
    </row>
    <row r="11825" spans="1:2" x14ac:dyDescent="0.25">
      <c r="A11825">
        <f ca="1">30577.7716221035*((RANDBETWEEN(2979,3282)))</f>
        <v>92834114.644706115</v>
      </c>
      <c r="B11825">
        <v>193804006.61272302</v>
      </c>
    </row>
    <row r="11826" spans="1:2" x14ac:dyDescent="0.25">
      <c r="A11826">
        <f ca="1">27160.9897825298*((RANDBETWEEN(2979,3282)))</f>
        <v>87105294.232572973</v>
      </c>
      <c r="B11826">
        <v>165026925.09857899</v>
      </c>
    </row>
    <row r="11827" spans="1:2" x14ac:dyDescent="0.25">
      <c r="A11827">
        <f ca="1">27294.3796268688*((RANDBETWEEN(2979,3282)))</f>
        <v>83056797.204561666</v>
      </c>
      <c r="B11827">
        <v>172175002.92472136</v>
      </c>
    </row>
    <row r="11828" spans="1:2" x14ac:dyDescent="0.25">
      <c r="A11828">
        <f ca="1">29094.1478711697*((RANDBETWEEN(2979,3282)))</f>
        <v>91151965.28037475</v>
      </c>
      <c r="B11828">
        <v>157784970.68455312</v>
      </c>
    </row>
    <row r="11829" spans="1:2" x14ac:dyDescent="0.25">
      <c r="A11829">
        <f ca="1">28270.2364206084*((RANDBETWEEN(2979,3282)))</f>
        <v>88174867.395877749</v>
      </c>
      <c r="B11829">
        <v>145679583.50987414</v>
      </c>
    </row>
    <row r="11830" spans="1:2" x14ac:dyDescent="0.25">
      <c r="A11830">
        <f ca="1">24571.7649856044*((RANDBETWEEN(2979,3282)))</f>
        <v>80054810.323099166</v>
      </c>
      <c r="B11830">
        <v>149523503.11973035</v>
      </c>
    </row>
    <row r="11831" spans="1:2" x14ac:dyDescent="0.25">
      <c r="A11831">
        <f ca="1">26684.5473060091*((RANDBETWEEN(2979,3282)))</f>
        <v>80854178.337207675</v>
      </c>
      <c r="B11831">
        <v>147205416.72760728</v>
      </c>
    </row>
    <row r="11832" spans="1:2" x14ac:dyDescent="0.25">
      <c r="A11832">
        <f ca="1">33499.8647085516*((RANDBETWEEN(2979,3282)))</f>
        <v>105692073.15548022</v>
      </c>
      <c r="B11832">
        <v>150371942.97054791</v>
      </c>
    </row>
    <row r="11833" spans="1:2" x14ac:dyDescent="0.25">
      <c r="A11833">
        <f ca="1">29591.2280627995*((RANDBETWEEN(2979,3282)))</f>
        <v>88803275.416461453</v>
      </c>
      <c r="B11833">
        <v>144384684.87483329</v>
      </c>
    </row>
    <row r="11834" spans="1:2" x14ac:dyDescent="0.25">
      <c r="A11834">
        <f ca="1">29220.04106614*((RANDBETWEEN(2979,3282)))</f>
        <v>95520314.245211661</v>
      </c>
      <c r="B11834">
        <v>185714767.54613692</v>
      </c>
    </row>
    <row r="11835" spans="1:2" x14ac:dyDescent="0.25">
      <c r="A11835">
        <f ca="1">29304.1220981182*((RANDBETWEEN(2979,3282)))</f>
        <v>93773190.713978156</v>
      </c>
      <c r="B11835">
        <v>179235953.28769532</v>
      </c>
    </row>
    <row r="11836" spans="1:2" x14ac:dyDescent="0.25">
      <c r="A11836">
        <f ca="1">27085.8142641023*((RANDBETWEEN(2979,3282)))</f>
        <v>83830595.147396535</v>
      </c>
      <c r="B11836">
        <v>155483292.69010413</v>
      </c>
    </row>
    <row r="11837" spans="1:2" x14ac:dyDescent="0.25">
      <c r="A11837">
        <f ca="1">33085.5749410815*((RANDBETWEEN(2979,3282)))</f>
        <v>103987962.0398192</v>
      </c>
      <c r="B11837">
        <v>177808012.25159505</v>
      </c>
    </row>
    <row r="11838" spans="1:2" x14ac:dyDescent="0.25">
      <c r="A11838">
        <f ca="1">26990.4690884366*((RANDBETWEEN(2979,3282)))</f>
        <v>83913368.395949364</v>
      </c>
      <c r="B11838">
        <v>197232406.70722449</v>
      </c>
    </row>
    <row r="11839" spans="1:2" x14ac:dyDescent="0.25">
      <c r="A11839">
        <f ca="1">26771.693928359*((RANDBETWEEN(2979,3282)))</f>
        <v>83527685.056480154</v>
      </c>
      <c r="B11839">
        <v>158274235.53508219</v>
      </c>
    </row>
    <row r="11840" spans="1:2" x14ac:dyDescent="0.25">
      <c r="A11840">
        <f ca="1">29547.8974360695*((RANDBETWEEN(2979,3282)))</f>
        <v>93194068.513363197</v>
      </c>
      <c r="B11840">
        <v>162584063.76995948</v>
      </c>
    </row>
    <row r="11841" spans="1:2" x14ac:dyDescent="0.25">
      <c r="A11841">
        <f ca="1">27736.3782222588*((RANDBETWEEN(2979,3282)))</f>
        <v>83902544.122332841</v>
      </c>
      <c r="B11841">
        <v>164887718.05546349</v>
      </c>
    </row>
    <row r="11842" spans="1:2" x14ac:dyDescent="0.25">
      <c r="A11842">
        <f ca="1">26789.0466668092*((RANDBETWEEN(2979,3282)))</f>
        <v>87841284.02046752</v>
      </c>
      <c r="B11842">
        <v>175483510.28290609</v>
      </c>
    </row>
    <row r="11843" spans="1:2" x14ac:dyDescent="0.25">
      <c r="A11843">
        <f ca="1">30707.34168499*((RANDBETWEEN(2979,3282)))</f>
        <v>97280858.458048463</v>
      </c>
      <c r="B11843">
        <v>170249264.35850549</v>
      </c>
    </row>
    <row r="11844" spans="1:2" x14ac:dyDescent="0.25">
      <c r="A11844">
        <f ca="1">26088.1704865501*((RANDBETWEEN(2979,3282)))</f>
        <v>78081894.266244546</v>
      </c>
      <c r="B11844">
        <v>157052769.43647859</v>
      </c>
    </row>
    <row r="11845" spans="1:2" x14ac:dyDescent="0.25">
      <c r="A11845">
        <f ca="1">27759.6442430258*((RANDBETWEEN(2979,3282)))</f>
        <v>85471944.62427637</v>
      </c>
      <c r="B11845">
        <v>145611958.86606643</v>
      </c>
    </row>
    <row r="11846" spans="1:2" x14ac:dyDescent="0.25">
      <c r="A11846">
        <f ca="1">26236.9054681537*((RANDBETWEEN(2979,3282)))</f>
        <v>82252698.642661884</v>
      </c>
      <c r="B11846">
        <v>143634478.20071366</v>
      </c>
    </row>
    <row r="11847" spans="1:2" x14ac:dyDescent="0.25">
      <c r="A11847">
        <f ca="1">28849.7007621272*((RANDBETWEEN(2979,3282)))</f>
        <v>93444180.768530026</v>
      </c>
      <c r="B11847">
        <v>171960820.55368379</v>
      </c>
    </row>
    <row r="11848" spans="1:2" x14ac:dyDescent="0.25">
      <c r="A11848">
        <f ca="1">27797.9125092763*((RANDBETWEEN(2979,3282)))</f>
        <v>86451507.903849199</v>
      </c>
      <c r="B11848">
        <v>160307509.28396925</v>
      </c>
    </row>
    <row r="11849" spans="1:2" x14ac:dyDescent="0.25">
      <c r="A11849">
        <f ca="1">26889.0112339397*((RANDBETWEEN(2979,3282)))</f>
        <v>87711954.645111382</v>
      </c>
      <c r="B11849">
        <v>158213372.63006747</v>
      </c>
    </row>
    <row r="11850" spans="1:2" x14ac:dyDescent="0.25">
      <c r="A11850">
        <f ca="1">26948.7374349359*((RANDBETWEEN(2979,3282)))</f>
        <v>88122371.412240356</v>
      </c>
      <c r="B11850">
        <v>196579519.87646651</v>
      </c>
    </row>
    <row r="11851" spans="1:2" x14ac:dyDescent="0.25">
      <c r="A11851">
        <f ca="1">28668.014975019*((RANDBETWEEN(2979,3282)))</f>
        <v>85860704.850181773</v>
      </c>
      <c r="B11851">
        <v>174969420.1519759</v>
      </c>
    </row>
    <row r="11852" spans="1:2" x14ac:dyDescent="0.25">
      <c r="A11852">
        <f ca="1">31116.4214940254*((RANDBETWEEN(2979,3282)))</f>
        <v>93473730.168052375</v>
      </c>
      <c r="B11852">
        <v>202505497.63508424</v>
      </c>
    </row>
    <row r="11853" spans="1:2" x14ac:dyDescent="0.25">
      <c r="A11853">
        <f ca="1">26733.4975145409*((RANDBETWEEN(2979,3282)))</f>
        <v>85466991.553987294</v>
      </c>
      <c r="B11853">
        <v>187363500.76404721</v>
      </c>
    </row>
    <row r="11854" spans="1:2" x14ac:dyDescent="0.25">
      <c r="A11854">
        <f ca="1">27662.6827421976*((RANDBETWEEN(2979,3282)))</f>
        <v>89267477.209071651</v>
      </c>
      <c r="B11854">
        <v>146372645.86015043</v>
      </c>
    </row>
    <row r="11855" spans="1:2" x14ac:dyDescent="0.25">
      <c r="A11855">
        <f ca="1">32680.7255237237*((RANDBETWEEN(2979,3282)))</f>
        <v>101539014.2022095</v>
      </c>
      <c r="B11855">
        <v>168034566.04355544</v>
      </c>
    </row>
    <row r="11856" spans="1:2" x14ac:dyDescent="0.25">
      <c r="A11856">
        <f ca="1">28211.026171549*((RANDBETWEEN(2979,3282)))</f>
        <v>87059226.765400335</v>
      </c>
      <c r="B11856">
        <v>194072040.1877633</v>
      </c>
    </row>
    <row r="11857" spans="1:2" x14ac:dyDescent="0.25">
      <c r="A11857">
        <f ca="1">32896.9298796777*((RANDBETWEEN(2979,3282)))</f>
        <v>106191289.65159954</v>
      </c>
      <c r="B11857">
        <v>197369098.56932274</v>
      </c>
    </row>
    <row r="11858" spans="1:2" x14ac:dyDescent="0.25">
      <c r="A11858">
        <f ca="1">27756.9083834335*((RANDBETWEEN(2979,3282)))</f>
        <v>85019410.378456771</v>
      </c>
      <c r="B11858">
        <v>145883063.86650184</v>
      </c>
    </row>
    <row r="11859" spans="1:2" x14ac:dyDescent="0.25">
      <c r="A11859">
        <f ca="1">28299.2435149673*((RANDBETWEEN(2979,3282)))</f>
        <v>91604651.257949054</v>
      </c>
      <c r="B11859">
        <v>143382165.74367011</v>
      </c>
    </row>
    <row r="11860" spans="1:2" x14ac:dyDescent="0.25">
      <c r="A11860">
        <f ca="1">29616.5303971711*((RANDBETWEEN(2979,3282)))</f>
        <v>93321687.281486094</v>
      </c>
      <c r="B11860">
        <v>164924438.82392988</v>
      </c>
    </row>
    <row r="11861" spans="1:2" x14ac:dyDescent="0.25">
      <c r="A11861">
        <f ca="1">25349.8225179457*((RANDBETWEEN(2979,3282)))</f>
        <v>77570456.904913917</v>
      </c>
      <c r="B11861">
        <v>151880741.43828008</v>
      </c>
    </row>
    <row r="11862" spans="1:2" x14ac:dyDescent="0.25">
      <c r="A11862">
        <f ca="1">27569.8680707674*((RANDBETWEEN(2979,3282)))</f>
        <v>84032957.879698932</v>
      </c>
      <c r="B11862">
        <v>165863878.70630515</v>
      </c>
    </row>
    <row r="11863" spans="1:2" x14ac:dyDescent="0.25">
      <c r="A11863">
        <f ca="1">28095.4049257176*((RANDBETWEEN(2979,3282)))</f>
        <v>91843878.702170864</v>
      </c>
      <c r="B11863">
        <v>158780744.22969091</v>
      </c>
    </row>
    <row r="11864" spans="1:2" x14ac:dyDescent="0.25">
      <c r="A11864">
        <f ca="1">26623.60475415*((RANDBETWEEN(2979,3282)))</f>
        <v>87298799.988857731</v>
      </c>
      <c r="B11864">
        <v>163900139.96022528</v>
      </c>
    </row>
    <row r="11865" spans="1:2" x14ac:dyDescent="0.25">
      <c r="A11865">
        <f ca="1">27418.9786390585*((RANDBETWEEN(2979,3282)))</f>
        <v>87713312.666348293</v>
      </c>
      <c r="B11865">
        <v>199363898.08990899</v>
      </c>
    </row>
    <row r="11866" spans="1:2" x14ac:dyDescent="0.25">
      <c r="A11866">
        <f ca="1">30199.2782291619*((RANDBETWEEN(2979,3282)))</f>
        <v>93074175.502276838</v>
      </c>
      <c r="B11866">
        <v>164685621.31249094</v>
      </c>
    </row>
    <row r="11867" spans="1:2" x14ac:dyDescent="0.25">
      <c r="A11867">
        <f ca="1">26204.50907407*((RANDBETWEEN(2979,3282)))</f>
        <v>81679454.783876181</v>
      </c>
      <c r="B11867">
        <v>168180800.76898444</v>
      </c>
    </row>
    <row r="11868" spans="1:2" x14ac:dyDescent="0.25">
      <c r="A11868">
        <f ca="1">27578.1660610734*((RANDBETWEEN(2979,3282)))</f>
        <v>85464736.623266488</v>
      </c>
      <c r="B11868">
        <v>147520583.23268184</v>
      </c>
    </row>
    <row r="11869" spans="1:2" x14ac:dyDescent="0.25">
      <c r="A11869">
        <f ca="1">29859.4193428827*((RANDBETWEEN(2979,3282)))</f>
        <v>93370404.285194054</v>
      </c>
      <c r="B11869">
        <v>172791080.71800584</v>
      </c>
    </row>
    <row r="11870" spans="1:2" x14ac:dyDescent="0.25">
      <c r="A11870">
        <f ca="1">30502.3652496974*((RANDBETWEEN(2979,3282)))</f>
        <v>94984365.387557819</v>
      </c>
      <c r="B11870">
        <v>189853473.02748716</v>
      </c>
    </row>
    <row r="11871" spans="1:2" x14ac:dyDescent="0.25">
      <c r="A11871">
        <f ca="1">30913.9500934062*((RANDBETWEEN(2979,3282)))</f>
        <v>98522758.947685525</v>
      </c>
      <c r="B11871">
        <v>165777193.70464146</v>
      </c>
    </row>
    <row r="11872" spans="1:2" x14ac:dyDescent="0.25">
      <c r="A11872">
        <f ca="1">26623.2654025329*((RANDBETWEEN(2979,3282)))</f>
        <v>82239266.828424186</v>
      </c>
      <c r="B11872">
        <v>159695092.26129207</v>
      </c>
    </row>
    <row r="11873" spans="1:2" x14ac:dyDescent="0.25">
      <c r="A11873">
        <f ca="1">26911.496521345*((RANDBETWEEN(2979,3282)))</f>
        <v>84798125.538758159</v>
      </c>
      <c r="B11873">
        <v>180590959.99403787</v>
      </c>
    </row>
    <row r="11874" spans="1:2" x14ac:dyDescent="0.25">
      <c r="A11874">
        <f ca="1">27720.2896570346*((RANDBETWEEN(2979,3282)))</f>
        <v>82966826.943504646</v>
      </c>
      <c r="B11874">
        <v>149043055.46180406</v>
      </c>
    </row>
    <row r="11875" spans="1:2" x14ac:dyDescent="0.25">
      <c r="A11875">
        <f ca="1">27735.975381722*((RANDBETWEEN(2979,3282)))</f>
        <v>84761140.76654245</v>
      </c>
      <c r="B11875">
        <v>164655201.03989032</v>
      </c>
    </row>
    <row r="11876" spans="1:2" x14ac:dyDescent="0.25">
      <c r="A11876">
        <f ca="1">27709.99526343*((RANDBETWEEN(2979,3282)))</f>
        <v>88810534.819293067</v>
      </c>
      <c r="B11876">
        <v>181275124.4060277</v>
      </c>
    </row>
    <row r="11877" spans="1:2" x14ac:dyDescent="0.25">
      <c r="A11877">
        <f ca="1">29544.5546874098*((RANDBETWEEN(2979,3282)))</f>
        <v>88367763.070042849</v>
      </c>
      <c r="B11877">
        <v>143823620.45206439</v>
      </c>
    </row>
    <row r="11878" spans="1:2" x14ac:dyDescent="0.25">
      <c r="A11878">
        <f ca="1">25853.52735135*((RANDBETWEEN(2979,3282)))</f>
        <v>82317631.086698428</v>
      </c>
      <c r="B11878">
        <v>148840727.70981804</v>
      </c>
    </row>
    <row r="11879" spans="1:2" x14ac:dyDescent="0.25">
      <c r="A11879">
        <f ca="1">26528.9631329592*((RANDBETWEEN(2979,3282)))</f>
        <v>85874253.661388859</v>
      </c>
      <c r="B11879">
        <v>149920042.63522294</v>
      </c>
    </row>
    <row r="11880" spans="1:2" x14ac:dyDescent="0.25">
      <c r="A11880">
        <f ca="1">25854.9804606756*((RANDBETWEEN(2979,3282)))</f>
        <v>82813502.415544063</v>
      </c>
      <c r="B11880">
        <v>147518285.11304018</v>
      </c>
    </row>
    <row r="11881" spans="1:2" x14ac:dyDescent="0.25">
      <c r="A11881">
        <f ca="1">26874.1654311848*((RANDBETWEEN(2979,3282)))</f>
        <v>83094919.513223276</v>
      </c>
      <c r="B11881">
        <v>165495359.54596385</v>
      </c>
    </row>
    <row r="11882" spans="1:2" x14ac:dyDescent="0.25">
      <c r="A11882">
        <f ca="1">27312.3993724144*((RANDBETWEEN(2979,3282)))</f>
        <v>84422626.460132882</v>
      </c>
      <c r="B11882">
        <v>147109344.71073082</v>
      </c>
    </row>
    <row r="11883" spans="1:2" x14ac:dyDescent="0.25">
      <c r="A11883">
        <f ca="1">27655.1853629952*((RANDBETWEEN(2979,3282)))</f>
        <v>86671350.927626848</v>
      </c>
      <c r="B11883">
        <v>189969893.78877395</v>
      </c>
    </row>
    <row r="11884" spans="1:2" x14ac:dyDescent="0.25">
      <c r="A11884">
        <f ca="1">31333.1987633047*((RANDBETWEEN(2979,3282)))</f>
        <v>95566256.228079394</v>
      </c>
      <c r="B11884">
        <v>153888229.43360537</v>
      </c>
    </row>
    <row r="11885" spans="1:2" x14ac:dyDescent="0.25">
      <c r="A11885">
        <f ca="1">32241.5888079386*((RANDBETWEEN(2979,3282)))</f>
        <v>101335313.62335096</v>
      </c>
      <c r="B11885">
        <v>181279682.50721851</v>
      </c>
    </row>
    <row r="11886" spans="1:2" x14ac:dyDescent="0.25">
      <c r="A11886">
        <f ca="1">27631.9849008908*((RANDBETWEEN(2979,3282)))</f>
        <v>89914478.867498606</v>
      </c>
      <c r="B11886">
        <v>157162229.38361818</v>
      </c>
    </row>
    <row r="11887" spans="1:2" x14ac:dyDescent="0.25">
      <c r="A11887">
        <f ca="1">25906.0738851227*((RANDBETWEEN(2979,3282)))</f>
        <v>78987619.275739118</v>
      </c>
      <c r="B11887">
        <v>185430735.70676664</v>
      </c>
    </row>
    <row r="11888" spans="1:2" x14ac:dyDescent="0.25">
      <c r="A11888">
        <f ca="1">29146.2882889978*((RANDBETWEEN(2979,3282)))</f>
        <v>92743489.335591137</v>
      </c>
      <c r="B11888">
        <v>181725956.91091636</v>
      </c>
    </row>
    <row r="11889" spans="1:2" x14ac:dyDescent="0.25">
      <c r="A11889">
        <f ca="1">25731.7052403692*((RANDBETWEEN(2979,3282)))</f>
        <v>79819749.655625343</v>
      </c>
      <c r="B11889">
        <v>154027244.59830517</v>
      </c>
    </row>
    <row r="11890" spans="1:2" x14ac:dyDescent="0.25">
      <c r="A11890">
        <f ca="1">26257.9126199074*((RANDBETWEEN(2979,3282)))</f>
        <v>79298896.112120196</v>
      </c>
      <c r="B11890">
        <v>147515470.40452981</v>
      </c>
    </row>
    <row r="11891" spans="1:2" x14ac:dyDescent="0.25">
      <c r="A11891">
        <f ca="1">26458.6044646332*((RANDBETWEEN(2979,3282)))</f>
        <v>85514209.629694343</v>
      </c>
      <c r="B11891">
        <v>154489810.70251176</v>
      </c>
    </row>
    <row r="11892" spans="1:2" x14ac:dyDescent="0.25">
      <c r="A11892">
        <f ca="1">26026.9229453523*((RANDBETWEEN(2979,3282)))</f>
        <v>79069791.907980338</v>
      </c>
      <c r="B11892">
        <v>163185635.63961792</v>
      </c>
    </row>
    <row r="11893" spans="1:2" x14ac:dyDescent="0.25">
      <c r="A11893">
        <f ca="1">27139.5454022459*((RANDBETWEEN(2979,3282)))</f>
        <v>81988566.66018495</v>
      </c>
      <c r="B11893">
        <v>154671706.49105021</v>
      </c>
    </row>
    <row r="11894" spans="1:2" x14ac:dyDescent="0.25">
      <c r="A11894">
        <f ca="1">28097.7976763587*((RANDBETWEEN(2979,3282)))</f>
        <v>87861813.333973706</v>
      </c>
      <c r="B11894">
        <v>185307862.78722352</v>
      </c>
    </row>
    <row r="11895" spans="1:2" x14ac:dyDescent="0.25">
      <c r="A11895">
        <f ca="1">25432.8149645779*((RANDBETWEEN(2979,3282)))</f>
        <v>79960770.248632863</v>
      </c>
      <c r="B11895">
        <v>158480684.19094312</v>
      </c>
    </row>
    <row r="11896" spans="1:2" x14ac:dyDescent="0.25">
      <c r="A11896">
        <f ca="1">26782.0935446116*((RANDBETWEEN(2979,3282)))</f>
        <v>82221027.181957558</v>
      </c>
      <c r="B11896">
        <v>152663705.11642209</v>
      </c>
    </row>
    <row r="11897" spans="1:2" x14ac:dyDescent="0.25">
      <c r="A11897">
        <f ca="1">26741.0115816969*((RANDBETWEEN(2979,3282)))</f>
        <v>86747841.571024656</v>
      </c>
      <c r="B11897">
        <v>144957046.22918117</v>
      </c>
    </row>
    <row r="11898" spans="1:2" x14ac:dyDescent="0.25">
      <c r="A11898">
        <f ca="1">29036.0172220328*((RANDBETWEEN(2979,3282)))</f>
        <v>89314788.974972919</v>
      </c>
      <c r="B11898">
        <v>167730452.70809644</v>
      </c>
    </row>
    <row r="11899" spans="1:2" x14ac:dyDescent="0.25">
      <c r="A11899">
        <f ca="1">26823.1179406738*((RANDBETWEEN(2979,3282)))</f>
        <v>80683938.765546709</v>
      </c>
      <c r="B11899">
        <v>148426371.42339343</v>
      </c>
    </row>
    <row r="11900" spans="1:2" x14ac:dyDescent="0.25">
      <c r="A11900">
        <f ca="1">28366.0363146574*((RANDBETWEEN(2979,3282)))</f>
        <v>92388180.276839092</v>
      </c>
      <c r="B11900">
        <v>187494559.88543296</v>
      </c>
    </row>
    <row r="11901" spans="1:2" x14ac:dyDescent="0.25">
      <c r="A11901">
        <f ca="1">29114.3093902903*((RANDBETWEEN(2979,3282)))</f>
        <v>91680960.270024106</v>
      </c>
      <c r="B11901">
        <v>150409442.57736415</v>
      </c>
    </row>
    <row r="11902" spans="1:2" x14ac:dyDescent="0.25">
      <c r="A11902">
        <f ca="1">25198.3418359132*((RANDBETWEEN(2979,3282)))</f>
        <v>79173190.048439234</v>
      </c>
      <c r="B11902">
        <v>166958166.85657036</v>
      </c>
    </row>
    <row r="11903" spans="1:2" x14ac:dyDescent="0.25">
      <c r="A11903">
        <f ca="1">27571.1323979072*((RANDBETWEEN(2979,3282)))</f>
        <v>82658254.928925663</v>
      </c>
      <c r="B11903">
        <v>167294470.21743178</v>
      </c>
    </row>
    <row r="11904" spans="1:2" x14ac:dyDescent="0.25">
      <c r="A11904">
        <f ca="1">32701.7052643172*((RANDBETWEEN(2979,3282)))</f>
        <v>105626508.00374451</v>
      </c>
      <c r="B11904">
        <v>191846302.61830169</v>
      </c>
    </row>
    <row r="11905" spans="1:2" x14ac:dyDescent="0.25">
      <c r="A11905">
        <f ca="1">27558.3290430657*((RANDBETWEEN(2979,3282)))</f>
        <v>84108020.239436507</v>
      </c>
      <c r="B11905">
        <v>168400019.17484891</v>
      </c>
    </row>
    <row r="11906" spans="1:2" x14ac:dyDescent="0.25">
      <c r="A11906">
        <f ca="1">27430.0651046414*((RANDBETWEEN(2979,3282)))</f>
        <v>85197782.215016201</v>
      </c>
      <c r="B11906">
        <v>198189040.08874199</v>
      </c>
    </row>
    <row r="11907" spans="1:2" x14ac:dyDescent="0.25">
      <c r="A11907">
        <f ca="1">27783.4061304074*((RANDBETWEEN(2979,3282)))</f>
        <v>85045006.165177166</v>
      </c>
      <c r="B11907">
        <v>180489972.10612854</v>
      </c>
    </row>
    <row r="11908" spans="1:2" x14ac:dyDescent="0.25">
      <c r="A11908">
        <f ca="1">28444.2080061769*((RANDBETWEEN(2979,3282)))</f>
        <v>84735295.650401086</v>
      </c>
      <c r="B11908">
        <v>189581314.36150408</v>
      </c>
    </row>
    <row r="11909" spans="1:2" x14ac:dyDescent="0.25">
      <c r="A11909">
        <f ca="1">26541.5400209283*((RANDBETWEEN(2979,3282)))</f>
        <v>83154644.885568291</v>
      </c>
      <c r="B11909">
        <v>158727542.76318634</v>
      </c>
    </row>
    <row r="11910" spans="1:2" x14ac:dyDescent="0.25">
      <c r="A11910">
        <f ca="1">29974.6925868136*((RANDBETWEEN(2979,3282)))</f>
        <v>91003166.693566173</v>
      </c>
      <c r="B11910">
        <v>169147266.26256505</v>
      </c>
    </row>
    <row r="11911" spans="1:2" x14ac:dyDescent="0.25">
      <c r="A11911">
        <f ca="1">28026.0553318503*((RANDBETWEEN(2979,3282)))</f>
        <v>86096041.979444057</v>
      </c>
      <c r="B11911">
        <v>148175863.01642603</v>
      </c>
    </row>
    <row r="11912" spans="1:2" x14ac:dyDescent="0.25">
      <c r="A11912">
        <f ca="1">29727.5903316123*((RANDBETWEEN(2979,3282)))</f>
        <v>89390864.127158105</v>
      </c>
      <c r="B11912">
        <v>171221701.85717237</v>
      </c>
    </row>
    <row r="11913" spans="1:2" x14ac:dyDescent="0.25">
      <c r="A11913">
        <f ca="1">27150.8993019335*((RANDBETWEEN(2979,3282)))</f>
        <v>83896278.842974439</v>
      </c>
      <c r="B11913">
        <v>155409031.219749</v>
      </c>
    </row>
    <row r="11914" spans="1:2" x14ac:dyDescent="0.25">
      <c r="A11914">
        <f ca="1">29124.2776806681*((RANDBETWEEN(2979,3282)))</f>
        <v>94653902.462171182</v>
      </c>
      <c r="B11914">
        <v>194917531.89807713</v>
      </c>
    </row>
    <row r="11915" spans="1:2" x14ac:dyDescent="0.25">
      <c r="A11915">
        <f ca="1">26708.4117941153*((RANDBETWEEN(2979,3282)))</f>
        <v>83784287.798139647</v>
      </c>
      <c r="B11915">
        <v>176734679.81097454</v>
      </c>
    </row>
    <row r="11916" spans="1:2" x14ac:dyDescent="0.25">
      <c r="A11916">
        <f ca="1">28530.4357529138*((RANDBETWEEN(2979,3282)))</f>
        <v>89214672.599361584</v>
      </c>
      <c r="B11916">
        <v>146622512.8561967</v>
      </c>
    </row>
    <row r="11917" spans="1:2" x14ac:dyDescent="0.25">
      <c r="A11917">
        <f ca="1">28715.6759508749*((RANDBETWEEN(2979,3282)))</f>
        <v>92033741.422554091</v>
      </c>
      <c r="B11917">
        <v>190538940.18525058</v>
      </c>
    </row>
    <row r="11918" spans="1:2" x14ac:dyDescent="0.25">
      <c r="A11918">
        <f ca="1">27426.6240997099*((RANDBETWEEN(2979,3282)))</f>
        <v>82115312.55453147</v>
      </c>
      <c r="B11918">
        <v>202847065.53570345</v>
      </c>
    </row>
    <row r="11919" spans="1:2" x14ac:dyDescent="0.25">
      <c r="A11919">
        <f ca="1">28330.1045907984*((RANDBETWEEN(2979,3282)))</f>
        <v>84678682.621896297</v>
      </c>
      <c r="B11919">
        <v>182970018.11248118</v>
      </c>
    </row>
    <row r="11920" spans="1:2" x14ac:dyDescent="0.25">
      <c r="A11920">
        <f ca="1">28422.5978994343*((RANDBETWEEN(2979,3282)))</f>
        <v>89929099.753810197</v>
      </c>
      <c r="B11920">
        <v>154289763.91161129</v>
      </c>
    </row>
    <row r="11921" spans="1:2" x14ac:dyDescent="0.25">
      <c r="A11921">
        <f ca="1">28016.4514868251*((RANDBETWEEN(2979,3282)))</f>
        <v>90941401.526234314</v>
      </c>
      <c r="B11921">
        <v>161757308.77192056</v>
      </c>
    </row>
    <row r="11922" spans="1:2" x14ac:dyDescent="0.25">
      <c r="A11922">
        <f ca="1">26870.6121114569*((RANDBETWEEN(2979,3282)))</f>
        <v>82949579.588067472</v>
      </c>
      <c r="B11922">
        <v>160882417.79224128</v>
      </c>
    </row>
    <row r="11923" spans="1:2" x14ac:dyDescent="0.25">
      <c r="A11923">
        <f ca="1">32664.0696041944*((RANDBETWEEN(2979,3282)))</f>
        <v>99396763.80556342</v>
      </c>
      <c r="B11923">
        <v>154790228.94689548</v>
      </c>
    </row>
    <row r="11924" spans="1:2" x14ac:dyDescent="0.25">
      <c r="A11924">
        <f ca="1">28556.9825130753*((RANDBETWEEN(2979,3282)))</f>
        <v>88555202.773046628</v>
      </c>
      <c r="B11924">
        <v>157916580.58715343</v>
      </c>
    </row>
    <row r="11925" spans="1:2" x14ac:dyDescent="0.25">
      <c r="A11925">
        <f ca="1">32708.858174421*((RANDBETWEEN(2979,3282)))</f>
        <v>99990979.439204931</v>
      </c>
      <c r="B11925">
        <v>159495901.31629628</v>
      </c>
    </row>
    <row r="11926" spans="1:2" x14ac:dyDescent="0.25">
      <c r="A11926">
        <f ca="1">26925.5989394221*((RANDBETWEEN(2979,3282)))</f>
        <v>85865735.017817155</v>
      </c>
      <c r="B11926">
        <v>165327257.78581491</v>
      </c>
    </row>
    <row r="11927" spans="1:2" x14ac:dyDescent="0.25">
      <c r="A11927">
        <f ca="1">27752.9178013971*((RANDBETWEEN(2979,3282)))</f>
        <v>90474512.032554656</v>
      </c>
      <c r="B11927">
        <v>151294149.75297809</v>
      </c>
    </row>
    <row r="11928" spans="1:2" x14ac:dyDescent="0.25">
      <c r="A11928">
        <f ca="1">27184.550984956*((RANDBETWEEN(2979,3282)))</f>
        <v>89138142.679671019</v>
      </c>
      <c r="B11928">
        <v>144643457.95395699</v>
      </c>
    </row>
    <row r="11929" spans="1:2" x14ac:dyDescent="0.25">
      <c r="A11929">
        <f ca="1">30464.0581162116*((RANDBETWEEN(2979,3282)))</f>
        <v>95657142.484904334</v>
      </c>
      <c r="B11929">
        <v>160271719.38640636</v>
      </c>
    </row>
    <row r="11930" spans="1:2" x14ac:dyDescent="0.25">
      <c r="A11930">
        <f ca="1">27126.2243927668*((RANDBETWEEN(2979,3282)))</f>
        <v>83060499.0906519</v>
      </c>
      <c r="B11930">
        <v>146466768.37936723</v>
      </c>
    </row>
    <row r="11931" spans="1:2" x14ac:dyDescent="0.25">
      <c r="A11931">
        <f ca="1">29164.6685078427*((RANDBETWEEN(2979,3282)))</f>
        <v>87406511.518004522</v>
      </c>
      <c r="B11931">
        <v>162897548.89961597</v>
      </c>
    </row>
    <row r="11932" spans="1:2" x14ac:dyDescent="0.25">
      <c r="A11932">
        <f ca="1">26951.9797052974*((RANDBETWEEN(2979,3282)))</f>
        <v>81745354.446167096</v>
      </c>
      <c r="B11932">
        <v>144455674.93600419</v>
      </c>
    </row>
    <row r="11933" spans="1:2" x14ac:dyDescent="0.25">
      <c r="A11933">
        <f ca="1">26839.434530769*((RANDBETWEEN(2979,3282)))</f>
        <v>84839452.551760912</v>
      </c>
      <c r="B11933">
        <v>153643737.85952801</v>
      </c>
    </row>
    <row r="11934" spans="1:2" x14ac:dyDescent="0.25">
      <c r="A11934">
        <f ca="1">27425.9413562061*((RANDBETWEEN(2979,3282)))</f>
        <v>87022511.923242077</v>
      </c>
      <c r="B11934">
        <v>181181785.71502891</v>
      </c>
    </row>
    <row r="11935" spans="1:2" x14ac:dyDescent="0.25">
      <c r="A11935">
        <f ca="1">30088.9186353177*((RANDBETWEEN(2979,3282)))</f>
        <v>97157118.273440868</v>
      </c>
      <c r="B11935">
        <v>194901755.57002014</v>
      </c>
    </row>
    <row r="11936" spans="1:2" x14ac:dyDescent="0.25">
      <c r="A11936">
        <f ca="1">29951.1115085617*((RANDBETWEEN(2979,3282)))</f>
        <v>90212747.863787815</v>
      </c>
      <c r="B11936">
        <v>149036257.07527751</v>
      </c>
    </row>
    <row r="11937" spans="1:2" x14ac:dyDescent="0.25">
      <c r="A11937">
        <f ca="1">27932.4759695069*((RANDBETWEEN(2979,3282)))</f>
        <v>88825273.583031997</v>
      </c>
      <c r="B11937">
        <v>150044747.45742345</v>
      </c>
    </row>
    <row r="11938" spans="1:2" x14ac:dyDescent="0.25">
      <c r="A11938">
        <f ca="1">27053.9102352412*((RANDBETWEEN(2979,3282)))</f>
        <v>83596582.626895204</v>
      </c>
      <c r="B11938">
        <v>159435069.21062469</v>
      </c>
    </row>
    <row r="11939" spans="1:2" x14ac:dyDescent="0.25">
      <c r="A11939">
        <f ca="1">30595.4481024876*((RANDBETWEEN(2979,3282)))</f>
        <v>95366011.73545371</v>
      </c>
      <c r="B11939">
        <v>177046123.98879626</v>
      </c>
    </row>
    <row r="11940" spans="1:2" x14ac:dyDescent="0.25">
      <c r="A11940">
        <f ca="1">29315.6180391223*((RANDBETWEEN(2979,3282)))</f>
        <v>90702522.213044286</v>
      </c>
      <c r="B11940">
        <v>181166041.950295</v>
      </c>
    </row>
    <row r="11941" spans="1:2" x14ac:dyDescent="0.25">
      <c r="A11941">
        <f ca="1">30124.3743281648*((RANDBETWEEN(2979,3282)))</f>
        <v>95644888.491923153</v>
      </c>
      <c r="B11941">
        <v>174666702.85714945</v>
      </c>
    </row>
    <row r="11942" spans="1:2" x14ac:dyDescent="0.25">
      <c r="A11942">
        <f ca="1">28849.8878729716*((RANDBETWEEN(2979,3282)))</f>
        <v>91886892.875414535</v>
      </c>
      <c r="B11942">
        <v>151004063.90567982</v>
      </c>
    </row>
    <row r="11943" spans="1:2" x14ac:dyDescent="0.25">
      <c r="A11943">
        <f ca="1">26425.7076574379*((RANDBETWEEN(2979,3282)))</f>
        <v>80387002.693925962</v>
      </c>
      <c r="B11943">
        <v>179366584.67377689</v>
      </c>
    </row>
    <row r="11944" spans="1:2" x14ac:dyDescent="0.25">
      <c r="A11944">
        <f ca="1">26180.0049165298*((RANDBETWEEN(2979,3282)))</f>
        <v>85556256.067219257</v>
      </c>
      <c r="B11944">
        <v>151893295.67521298</v>
      </c>
    </row>
    <row r="11945" spans="1:2" x14ac:dyDescent="0.25">
      <c r="A11945">
        <f ca="1">29481.755008652*((RANDBETWEEN(2979,3282)))</f>
        <v>94636433.577773005</v>
      </c>
      <c r="B11945">
        <v>146260831.73908195</v>
      </c>
    </row>
    <row r="11946" spans="1:2" x14ac:dyDescent="0.25">
      <c r="A11946">
        <f ca="1">28567.0905496803*((RANDBETWEEN(2979,3282)))</f>
        <v>87215327.448173821</v>
      </c>
      <c r="B11946">
        <v>179239163.53985113</v>
      </c>
    </row>
    <row r="11947" spans="1:2" x14ac:dyDescent="0.25">
      <c r="A11947">
        <f ca="1">28953.8412831313*((RANDBETWEEN(2979,3282)))</f>
        <v>90278077.120803252</v>
      </c>
      <c r="B11947">
        <v>198979536.86741579</v>
      </c>
    </row>
    <row r="11948" spans="1:2" x14ac:dyDescent="0.25">
      <c r="A11948">
        <f ca="1">26241.2623605469*((RANDBETWEEN(2979,3282)))</f>
        <v>84418141.01387924</v>
      </c>
      <c r="B11948">
        <v>184296685.11440453</v>
      </c>
    </row>
    <row r="11949" spans="1:2" x14ac:dyDescent="0.25">
      <c r="A11949">
        <f ca="1">25904.7164854479*((RANDBETWEEN(2979,3282)))</f>
        <v>81522142.779704422</v>
      </c>
      <c r="B11949">
        <v>147375241.27406418</v>
      </c>
    </row>
    <row r="11950" spans="1:2" x14ac:dyDescent="0.25">
      <c r="A11950">
        <f ca="1">28865.5700330888*((RANDBETWEEN(2979,3282)))</f>
        <v>93524446.907207802</v>
      </c>
      <c r="B11950">
        <v>158211180.73859996</v>
      </c>
    </row>
    <row r="11951" spans="1:2" x14ac:dyDescent="0.25">
      <c r="A11951">
        <f ca="1">32448.7447653977*((RANDBETWEEN(2979,3282)))</f>
        <v>105620664.2113696</v>
      </c>
      <c r="B11951">
        <v>175706069.30285341</v>
      </c>
    </row>
    <row r="11952" spans="1:2" x14ac:dyDescent="0.25">
      <c r="A11952">
        <f ca="1">27827.7227842804*((RANDBETWEEN(2979,3282)))</f>
        <v>90579237.662832797</v>
      </c>
      <c r="B11952">
        <v>165364038.52501833</v>
      </c>
    </row>
    <row r="11953" spans="1:2" x14ac:dyDescent="0.25">
      <c r="A11953">
        <f ca="1">26813.1391022206*((RANDBETWEEN(2979,3282)))</f>
        <v>81029306.366910607</v>
      </c>
      <c r="B11953">
        <v>153218078.33408731</v>
      </c>
    </row>
    <row r="11954" spans="1:2" x14ac:dyDescent="0.25">
      <c r="A11954">
        <f ca="1">32312.2640397847*((RANDBETWEEN(2979,3282)))</f>
        <v>96452108.158757225</v>
      </c>
      <c r="B11954">
        <v>175680419.91974285</v>
      </c>
    </row>
    <row r="11955" spans="1:2" x14ac:dyDescent="0.25">
      <c r="A11955">
        <f ca="1">26599.9059089905*((RANDBETWEEN(2979,3282)))</f>
        <v>83337505.21286723</v>
      </c>
      <c r="B11955">
        <v>158394597.28388536</v>
      </c>
    </row>
    <row r="11956" spans="1:2" x14ac:dyDescent="0.25">
      <c r="A11956">
        <f ca="1">30815.9727704304*((RANDBETWEEN(2979,3282)))</f>
        <v>92293838.447439075</v>
      </c>
      <c r="B11956">
        <v>167070132.85817075</v>
      </c>
    </row>
    <row r="11957" spans="1:2" x14ac:dyDescent="0.25">
      <c r="A11957">
        <f ca="1">25992.4061062868*((RANDBETWEEN(2979,3282)))</f>
        <v>83617570.443924636</v>
      </c>
      <c r="B11957">
        <v>150275939.63172671</v>
      </c>
    </row>
    <row r="11958" spans="1:2" x14ac:dyDescent="0.25">
      <c r="A11958">
        <f ca="1">29360.2832509448*((RANDBETWEEN(2979,3282)))</f>
        <v>88051489.469583511</v>
      </c>
      <c r="B11958">
        <v>172508919.22433668</v>
      </c>
    </row>
    <row r="11959" spans="1:2" x14ac:dyDescent="0.25">
      <c r="A11959">
        <f ca="1">27246.9573378036*((RANDBETWEEN(2979,3282)))</f>
        <v>86045891.272783741</v>
      </c>
      <c r="B11959">
        <v>184458735.36095399</v>
      </c>
    </row>
    <row r="11960" spans="1:2" x14ac:dyDescent="0.25">
      <c r="A11960">
        <f ca="1">25559.7804895441*((RANDBETWEEN(2979,3282)))</f>
        <v>82430292.078779593</v>
      </c>
      <c r="B11960">
        <v>183594634.72166216</v>
      </c>
    </row>
    <row r="11961" spans="1:2" x14ac:dyDescent="0.25">
      <c r="A11961">
        <f ca="1">27479.671924869*((RANDBETWEEN(2979,3282)))</f>
        <v>90188283.257420048</v>
      </c>
      <c r="B11961">
        <v>185345570.07065758</v>
      </c>
    </row>
    <row r="11962" spans="1:2" x14ac:dyDescent="0.25">
      <c r="A11962">
        <f ca="1">26528.9720542815*((RANDBETWEEN(2979,3282)))</f>
        <v>81470473.178698599</v>
      </c>
      <c r="B11962">
        <v>164250751.5757035</v>
      </c>
    </row>
    <row r="11963" spans="1:2" x14ac:dyDescent="0.25">
      <c r="A11963">
        <f ca="1">29254.6566051406*((RANDBETWEEN(2979,3282)))</f>
        <v>92093658.992982551</v>
      </c>
      <c r="B11963">
        <v>179590414.09132925</v>
      </c>
    </row>
    <row r="11964" spans="1:2" x14ac:dyDescent="0.25">
      <c r="A11964">
        <f ca="1">25965.3565043433*((RANDBETWEEN(2979,3282)))</f>
        <v>79220302.694751352</v>
      </c>
      <c r="B11964">
        <v>166298429.42208517</v>
      </c>
    </row>
    <row r="11965" spans="1:2" x14ac:dyDescent="0.25">
      <c r="A11965">
        <f ca="1">28245.9594585048*((RANDBETWEEN(2979,3282)))</f>
        <v>90951989.456385404</v>
      </c>
      <c r="B11965">
        <v>151474442.6229158</v>
      </c>
    </row>
    <row r="11966" spans="1:2" x14ac:dyDescent="0.25">
      <c r="A11966">
        <f ca="1">31141.4730126306*((RANDBETWEEN(2979,3282)))</f>
        <v>99247874.491253629</v>
      </c>
      <c r="B11966">
        <v>198838212.56009907</v>
      </c>
    </row>
    <row r="11967" spans="1:2" x14ac:dyDescent="0.25">
      <c r="A11967">
        <f ca="1">27192.8621001099*((RANDBETWEEN(2979,3282)))</f>
        <v>83155772.302135974</v>
      </c>
      <c r="B11967">
        <v>146555436.3381044</v>
      </c>
    </row>
    <row r="11968" spans="1:2" x14ac:dyDescent="0.25">
      <c r="A11968">
        <f ca="1">32987.0573620087*((RANDBETWEEN(2979,3282)))</f>
        <v>103546373.05934541</v>
      </c>
      <c r="B11968">
        <v>156856849.65749636</v>
      </c>
    </row>
    <row r="11969" spans="1:2" x14ac:dyDescent="0.25">
      <c r="A11969">
        <f ca="1">27016.6287376915*((RANDBETWEEN(2979,3282)))</f>
        <v>87722993.511284292</v>
      </c>
      <c r="B11969">
        <v>202906681.33706889</v>
      </c>
    </row>
    <row r="11970" spans="1:2" x14ac:dyDescent="0.25">
      <c r="A11970">
        <f ca="1">32168.9171731283*((RANDBETWEEN(2979,3282)))</f>
        <v>103294393.04291514</v>
      </c>
      <c r="B11970">
        <v>184009392.61601847</v>
      </c>
    </row>
    <row r="11971" spans="1:2" x14ac:dyDescent="0.25">
      <c r="A11971">
        <f ca="1">29670.3443390207*((RANDBETWEEN(2979,3282)))</f>
        <v>91681364.007574007</v>
      </c>
      <c r="B11971">
        <v>181039676.48840746</v>
      </c>
    </row>
    <row r="11972" spans="1:2" x14ac:dyDescent="0.25">
      <c r="A11972">
        <f ca="1">29072.2271100156*((RANDBETWEEN(2979,3282)))</f>
        <v>91664732.077879205</v>
      </c>
      <c r="B11972">
        <v>143393825.54625088</v>
      </c>
    </row>
    <row r="11973" spans="1:2" x14ac:dyDescent="0.25">
      <c r="A11973">
        <f ca="1">27021.4806223686*((RANDBETWEEN(2979,3282)))</f>
        <v>81577849.998930916</v>
      </c>
      <c r="B11973">
        <v>144528823.82687557</v>
      </c>
    </row>
    <row r="11974" spans="1:2" x14ac:dyDescent="0.25">
      <c r="A11974">
        <f ca="1">26523.2915378485*((RANDBETWEEN(2979,3282)))</f>
        <v>81453028.312732741</v>
      </c>
      <c r="B11974">
        <v>150224513.4194999</v>
      </c>
    </row>
    <row r="11975" spans="1:2" x14ac:dyDescent="0.25">
      <c r="A11975">
        <f ca="1">26347.5155093127*((RANDBETWEEN(2979,3282)))</f>
        <v>80649744.974006206</v>
      </c>
      <c r="B11975">
        <v>151358568.0535199</v>
      </c>
    </row>
    <row r="11976" spans="1:2" x14ac:dyDescent="0.25">
      <c r="A11976">
        <f ca="1">25479.6712989873*((RANDBETWEEN(2979,3282)))</f>
        <v>80108086.564016208</v>
      </c>
      <c r="B11976">
        <v>156760274.94655746</v>
      </c>
    </row>
    <row r="11977" spans="1:2" x14ac:dyDescent="0.25">
      <c r="A11977">
        <f ca="1">27121.7285622285*((RANDBETWEEN(2979,3282)))</f>
        <v>83480680.514539242</v>
      </c>
      <c r="B11977">
        <v>145692735.54261324</v>
      </c>
    </row>
    <row r="11978" spans="1:2" x14ac:dyDescent="0.25">
      <c r="A11978">
        <f ca="1">28681.9037706141*((RANDBETWEEN(2979,3282)))</f>
        <v>91982865.392359287</v>
      </c>
      <c r="B11978">
        <v>162124035.47708195</v>
      </c>
    </row>
    <row r="11979" spans="1:2" x14ac:dyDescent="0.25">
      <c r="A11979">
        <f ca="1">30640.2101565818*((RANDBETWEEN(2979,3282)))</f>
        <v>95750656.739318177</v>
      </c>
      <c r="B11979">
        <v>174609745.72137171</v>
      </c>
    </row>
    <row r="11980" spans="1:2" x14ac:dyDescent="0.25">
      <c r="A11980">
        <f ca="1">27203.8557543554*((RANDBETWEEN(2979,3282)))</f>
        <v>84549583.684536651</v>
      </c>
      <c r="B11980">
        <v>148638008.14068043</v>
      </c>
    </row>
    <row r="11981" spans="1:2" x14ac:dyDescent="0.25">
      <c r="A11981">
        <f ca="1">27662.0189315777*((RANDBETWEEN(2979,3282)))</f>
        <v>83290339.0029805</v>
      </c>
      <c r="B11981">
        <v>155974003.78655484</v>
      </c>
    </row>
    <row r="11982" spans="1:2" x14ac:dyDescent="0.25">
      <c r="A11982">
        <f ca="1">26763.0340565866*((RANDBETWEEN(2979,3282)))</f>
        <v>84785291.891266495</v>
      </c>
      <c r="B11982">
        <v>143523313.596616</v>
      </c>
    </row>
    <row r="11983" spans="1:2" x14ac:dyDescent="0.25">
      <c r="A11983">
        <f ca="1">26819.9538482175*((RANDBETWEEN(2979,3282)))</f>
        <v>87298949.775948077</v>
      </c>
      <c r="B11983">
        <v>168985802.56064591</v>
      </c>
    </row>
    <row r="11984" spans="1:2" x14ac:dyDescent="0.25">
      <c r="A11984">
        <f ca="1">30319.2277827221*((RANDBETWEEN(2979,3282)))</f>
        <v>97203444.271407142</v>
      </c>
      <c r="B11984">
        <v>157019719.32787937</v>
      </c>
    </row>
    <row r="11985" spans="1:2" x14ac:dyDescent="0.25">
      <c r="A11985">
        <f ca="1">29189.797275828*((RANDBETWEEN(2979,3282)))</f>
        <v>87773720.408414856</v>
      </c>
      <c r="B11985">
        <v>153733748.48699832</v>
      </c>
    </row>
    <row r="11986" spans="1:2" x14ac:dyDescent="0.25">
      <c r="A11986">
        <f ca="1">26000.9171169797*((RANDBETWEEN(2979,3282)))</f>
        <v>84398976.961716235</v>
      </c>
      <c r="B11986">
        <v>147236093.97019306</v>
      </c>
    </row>
    <row r="11987" spans="1:2" x14ac:dyDescent="0.25">
      <c r="A11987">
        <f ca="1">26909.4989184228*((RANDBETWEEN(2979,3282)))</f>
        <v>81777967.213086993</v>
      </c>
      <c r="B11987">
        <v>157625441.27851099</v>
      </c>
    </row>
    <row r="11988" spans="1:2" x14ac:dyDescent="0.25">
      <c r="A11988">
        <f ca="1">29248.225936646*((RANDBETWEEN(2979,3282)))</f>
        <v>93945301.708506837</v>
      </c>
      <c r="B11988">
        <v>160901281.64450383</v>
      </c>
    </row>
    <row r="11989" spans="1:2" x14ac:dyDescent="0.25">
      <c r="A11989">
        <f ca="1">27174.7320413412*((RANDBETWEEN(2979,3282)))</f>
        <v>85219959.68164596</v>
      </c>
      <c r="B11989">
        <v>151848664.52863196</v>
      </c>
    </row>
    <row r="11990" spans="1:2" x14ac:dyDescent="0.25">
      <c r="A11990">
        <f ca="1">26689.5856132449*((RANDBETWEEN(2979,3282)))</f>
        <v>84072194.681721494</v>
      </c>
      <c r="B11990">
        <v>165074913.39436051</v>
      </c>
    </row>
    <row r="11991" spans="1:2" x14ac:dyDescent="0.25">
      <c r="A11991">
        <f ca="1">28442.3295546728*((RANDBETWEEN(2979,3282)))</f>
        <v>91214550.881835535</v>
      </c>
      <c r="B11991">
        <v>173222314.38748348</v>
      </c>
    </row>
    <row r="11992" spans="1:2" x14ac:dyDescent="0.25">
      <c r="A11992">
        <f ca="1">27985.4941500689*((RANDBETWEEN(2979,3282)))</f>
        <v>84124395.415107131</v>
      </c>
      <c r="B11992">
        <v>143922627.58589327</v>
      </c>
    </row>
    <row r="11993" spans="1:2" x14ac:dyDescent="0.25">
      <c r="A11993">
        <f ca="1">31401.9305290201*((RANDBETWEEN(2979,3282)))</f>
        <v>97126171.126259297</v>
      </c>
      <c r="B11993">
        <v>168357009.07574672</v>
      </c>
    </row>
    <row r="11994" spans="1:2" x14ac:dyDescent="0.25">
      <c r="A11994">
        <f ca="1">26499.09166506*((RANDBETWEEN(2979,3282)))</f>
        <v>85804058.811464354</v>
      </c>
      <c r="B11994">
        <v>147854683.6599611</v>
      </c>
    </row>
    <row r="11995" spans="1:2" x14ac:dyDescent="0.25">
      <c r="A11995">
        <f ca="1">26851.5851607041*((RANDBETWEEN(2979,3282)))</f>
        <v>81575115.718219146</v>
      </c>
      <c r="B11995">
        <v>178408793.18466708</v>
      </c>
    </row>
    <row r="11996" spans="1:2" x14ac:dyDescent="0.25">
      <c r="A11996">
        <f ca="1">28626.3725063024*((RANDBETWEEN(2979,3282)))</f>
        <v>89800930.552270502</v>
      </c>
      <c r="B11996">
        <v>153050390.53250393</v>
      </c>
    </row>
    <row r="11997" spans="1:2" x14ac:dyDescent="0.25">
      <c r="A11997">
        <f ca="1">26465.5865248653*((RANDBETWEEN(2979,3282)))</f>
        <v>83895909.283822879</v>
      </c>
      <c r="B11997">
        <v>155333069.65012598</v>
      </c>
    </row>
    <row r="11998" spans="1:2" x14ac:dyDescent="0.25">
      <c r="A11998">
        <f ca="1">27826.6330893537*((RANDBETWEEN(2979,3282)))</f>
        <v>83006846.505542085</v>
      </c>
      <c r="B11998">
        <v>155089452.00084054</v>
      </c>
    </row>
    <row r="11999" spans="1:2" x14ac:dyDescent="0.25">
      <c r="A11999">
        <f ca="1">29568.0234898143*((RANDBETWEEN(2979,3282)))</f>
        <v>95209035.637202069</v>
      </c>
      <c r="B11999">
        <v>167278884.77204418</v>
      </c>
    </row>
    <row r="12000" spans="1:2" x14ac:dyDescent="0.25">
      <c r="A12000">
        <f ca="1">28045.0691153556*((RANDBETWEEN(2979,3282)))</f>
        <v>86266632.598833963</v>
      </c>
      <c r="B12000">
        <v>152623071.64723259</v>
      </c>
    </row>
    <row r="12001" spans="1:2" x14ac:dyDescent="0.25">
      <c r="A12001">
        <f ca="1">26790.8163541791*((RANDBETWEEN(2979,3282)))</f>
        <v>81283336.818579331</v>
      </c>
      <c r="B12001">
        <v>167549602.43136913</v>
      </c>
    </row>
    <row r="12002" spans="1:2" x14ac:dyDescent="0.25">
      <c r="A12002">
        <f ca="1">28206.6558466915*((RANDBETWEEN(2979,3282)))</f>
        <v>84168661.04652755</v>
      </c>
      <c r="B12002">
        <v>158663060.70041353</v>
      </c>
    </row>
    <row r="12003" spans="1:2" x14ac:dyDescent="0.25">
      <c r="A12003">
        <f ca="1">29286.0572026417*((RANDBETWEEN(2979,3282)))</f>
        <v>89644621.097286209</v>
      </c>
      <c r="B12003">
        <v>181707511.12783676</v>
      </c>
    </row>
    <row r="12004" spans="1:2" x14ac:dyDescent="0.25">
      <c r="A12004">
        <f ca="1">25402.2002831198*((RANDBETWEEN(2979,3282)))</f>
        <v>80753594.700037792</v>
      </c>
      <c r="B12004">
        <v>148083627.48917115</v>
      </c>
    </row>
    <row r="12005" spans="1:2" x14ac:dyDescent="0.25">
      <c r="A12005">
        <f ca="1">30291.5289516223*((RANDBETWEEN(2979,3282)))</f>
        <v>98114262.274304554</v>
      </c>
      <c r="B12005">
        <v>156354529.00038019</v>
      </c>
    </row>
    <row r="12006" spans="1:2" x14ac:dyDescent="0.25">
      <c r="A12006">
        <f ca="1">32557.4082779903*((RANDBETWEEN(2979,3282)))</f>
        <v>97867569.283638969</v>
      </c>
      <c r="B12006">
        <v>193068070.0605965</v>
      </c>
    </row>
    <row r="12007" spans="1:2" x14ac:dyDescent="0.25">
      <c r="A12007">
        <f ca="1">30904.6261166697*((RANDBETWEEN(2979,3282)))</f>
        <v>98987517.451693192</v>
      </c>
      <c r="B12007">
        <v>154296799.87913612</v>
      </c>
    </row>
    <row r="12008" spans="1:2" x14ac:dyDescent="0.25">
      <c r="A12008">
        <f ca="1">30806.4459039084*((RANDBETWEEN(2979,3282)))</f>
        <v>96300949.895617723</v>
      </c>
      <c r="B12008">
        <v>170168142.65339211</v>
      </c>
    </row>
    <row r="12009" spans="1:2" x14ac:dyDescent="0.25">
      <c r="A12009">
        <f ca="1">26897.7371717274*((RANDBETWEEN(2979,3282)))</f>
        <v>87390748.070942298</v>
      </c>
      <c r="B12009">
        <v>166287463.1492711</v>
      </c>
    </row>
    <row r="12010" spans="1:2" x14ac:dyDescent="0.25">
      <c r="A12010">
        <f ca="1">25796.5203866033*((RANDBETWEEN(2979,3282)))</f>
        <v>84148249.501099989</v>
      </c>
      <c r="B12010">
        <v>169123428.71373022</v>
      </c>
    </row>
    <row r="12011" spans="1:2" x14ac:dyDescent="0.25">
      <c r="A12011">
        <f ca="1">25686.0153184389*((RANDBETWEEN(2979,3282)))</f>
        <v>83813467.984066024</v>
      </c>
      <c r="B12011">
        <v>143033272.97252303</v>
      </c>
    </row>
    <row r="12012" spans="1:2" x14ac:dyDescent="0.25">
      <c r="A12012">
        <f ca="1">32435.1603339911*((RANDBETWEEN(2979,3282)))</f>
        <v>99835423.508024499</v>
      </c>
      <c r="B12012">
        <v>167127051.13888574</v>
      </c>
    </row>
    <row r="12013" spans="1:2" x14ac:dyDescent="0.25">
      <c r="A12013">
        <f ca="1">28536.6883652639*((RANDBETWEEN(2979,3282)))</f>
        <v>90090325.169138029</v>
      </c>
      <c r="B12013">
        <v>169630518.12304544</v>
      </c>
    </row>
    <row r="12014" spans="1:2" x14ac:dyDescent="0.25">
      <c r="A12014">
        <f ca="1">31864.1959626373*((RANDBETWEEN(2979,3282)))</f>
        <v>104482698.56148756</v>
      </c>
      <c r="B12014">
        <v>160368089.56630147</v>
      </c>
    </row>
    <row r="12015" spans="1:2" x14ac:dyDescent="0.25">
      <c r="A12015">
        <f ca="1">32389.8650910819*((RANDBETWEEN(2979,3282)))</f>
        <v>101315498.00490426</v>
      </c>
      <c r="B12015">
        <v>177037640.26673323</v>
      </c>
    </row>
    <row r="12016" spans="1:2" x14ac:dyDescent="0.25">
      <c r="A12016">
        <f ca="1">29890.7983652403*((RANDBETWEEN(2979,3282)))</f>
        <v>92541911.738784075</v>
      </c>
      <c r="B12016">
        <v>162741915.97487894</v>
      </c>
    </row>
    <row r="12017" spans="1:2" x14ac:dyDescent="0.25">
      <c r="A12017">
        <f ca="1">29299.0543725274*((RANDBETWEEN(2979,3282)))</f>
        <v>93815572.100832835</v>
      </c>
      <c r="B12017">
        <v>160458398.96498188</v>
      </c>
    </row>
    <row r="12018" spans="1:2" x14ac:dyDescent="0.25">
      <c r="A12018">
        <f ca="1">26001.6434945257*((RANDBETWEEN(2979,3282)))</f>
        <v>84167319.991779745</v>
      </c>
      <c r="B12018">
        <v>189325622.79052806</v>
      </c>
    </row>
    <row r="12019" spans="1:2" x14ac:dyDescent="0.25">
      <c r="A12019">
        <f ca="1">26979.6415886425*((RANDBETWEEN(2979,3282)))</f>
        <v>82126028.995827883</v>
      </c>
      <c r="B12019">
        <v>149037500.32015729</v>
      </c>
    </row>
    <row r="12020" spans="1:2" x14ac:dyDescent="0.25">
      <c r="A12020">
        <f ca="1">26449.0180775726*((RANDBETWEEN(2979,3282)))</f>
        <v>80828199.245061994</v>
      </c>
      <c r="B12020">
        <v>166321884.39944035</v>
      </c>
    </row>
    <row r="12021" spans="1:2" x14ac:dyDescent="0.25">
      <c r="A12021">
        <f ca="1">29399.2056920985*((RANDBETWEEN(2979,3282)))</f>
        <v>89579379.743824124</v>
      </c>
      <c r="B12021">
        <v>182654065.11429095</v>
      </c>
    </row>
    <row r="12022" spans="1:2" x14ac:dyDescent="0.25">
      <c r="A12022">
        <f ca="1">27642.6934083814*((RANDBETWEEN(2979,3282)))</f>
        <v>87074484.236401275</v>
      </c>
      <c r="B12022">
        <v>148361207.77765286</v>
      </c>
    </row>
    <row r="12023" spans="1:2" x14ac:dyDescent="0.25">
      <c r="A12023">
        <f ca="1">26536.3759934338*((RANDBETWEEN(2979,3282)))</f>
        <v>79688737.108281836</v>
      </c>
      <c r="B12023">
        <v>194759824.89093789</v>
      </c>
    </row>
    <row r="12024" spans="1:2" x14ac:dyDescent="0.25">
      <c r="A12024">
        <f ca="1">29885.3220497466*((RANDBETWEEN(2979,3282)))</f>
        <v>93511172.693657205</v>
      </c>
      <c r="B12024">
        <v>192048518.97327983</v>
      </c>
    </row>
    <row r="12025" spans="1:2" x14ac:dyDescent="0.25">
      <c r="A12025">
        <f ca="1">27901.4257775146*((RANDBETWEEN(2979,3282)))</f>
        <v>83453164.500546172</v>
      </c>
      <c r="B12025">
        <v>194912982.47165114</v>
      </c>
    </row>
    <row r="12026" spans="1:2" x14ac:dyDescent="0.25">
      <c r="A12026">
        <f ca="1">27043.2851660091*((RANDBETWEEN(2979,3282)))</f>
        <v>87890676.789529487</v>
      </c>
      <c r="B12026">
        <v>177651858.6923427</v>
      </c>
    </row>
    <row r="12027" spans="1:2" x14ac:dyDescent="0.25">
      <c r="A12027">
        <f ca="1">26395.6068941454*((RANDBETWEEN(2979,3282)))</f>
        <v>78632512.937659413</v>
      </c>
      <c r="B12027">
        <v>175093272.09894741</v>
      </c>
    </row>
    <row r="12028" spans="1:2" x14ac:dyDescent="0.25">
      <c r="A12028">
        <f ca="1">26573.8101692652*((RANDBETWEEN(2979,3282)))</f>
        <v>81927056.751844555</v>
      </c>
      <c r="B12028">
        <v>181006947.07553911</v>
      </c>
    </row>
    <row r="12029" spans="1:2" x14ac:dyDescent="0.25">
      <c r="A12029">
        <f ca="1">29815.1418040913*((RANDBETWEEN(2979,3282)))</f>
        <v>93649360.406650886</v>
      </c>
      <c r="B12029">
        <v>150639640.39992228</v>
      </c>
    </row>
    <row r="12030" spans="1:2" x14ac:dyDescent="0.25">
      <c r="A12030">
        <f ca="1">32680.7437068721*((RANDBETWEEN(2979,3282)))</f>
        <v>104513018.37457705</v>
      </c>
      <c r="B12030">
        <v>160334970.64349151</v>
      </c>
    </row>
    <row r="12031" spans="1:2" x14ac:dyDescent="0.25">
      <c r="A12031">
        <f ca="1">26173.5901568649*((RANDBETWEEN(2979,3282)))</f>
        <v>84959473.649183542</v>
      </c>
      <c r="B12031">
        <v>160141384.03898138</v>
      </c>
    </row>
    <row r="12032" spans="1:2" x14ac:dyDescent="0.25">
      <c r="A12032">
        <f ca="1">25403.4711750476*((RANDBETWEEN(2979,3282)))</f>
        <v>81265704.288977236</v>
      </c>
      <c r="B12032">
        <v>150652709.47567505</v>
      </c>
    </row>
    <row r="12033" spans="1:2" x14ac:dyDescent="0.25">
      <c r="A12033">
        <f ca="1">29712.8666361008*((RANDBETWEEN(2979,3282)))</f>
        <v>90921371.906468377</v>
      </c>
      <c r="B12033">
        <v>175923948.36977747</v>
      </c>
    </row>
    <row r="12034" spans="1:2" x14ac:dyDescent="0.25">
      <c r="A12034">
        <f ca="1">33203.9667237864*((RANDBETWEEN(2979,3282)))</f>
        <v>105289778.48112676</v>
      </c>
      <c r="B12034">
        <v>169319595.37497854</v>
      </c>
    </row>
    <row r="12035" spans="1:2" x14ac:dyDescent="0.25">
      <c r="A12035">
        <f ca="1">25760.6745940721*((RANDBETWEEN(2979,3282)))</f>
        <v>77642673.226533443</v>
      </c>
      <c r="B12035">
        <v>184346176.12892359</v>
      </c>
    </row>
    <row r="12036" spans="1:2" x14ac:dyDescent="0.25">
      <c r="A12036">
        <f ca="1">29356.7557305067*((RANDBETWEEN(2979,3282)))</f>
        <v>95614953.414260358</v>
      </c>
      <c r="B12036">
        <v>166434027.59181961</v>
      </c>
    </row>
    <row r="12037" spans="1:2" x14ac:dyDescent="0.25">
      <c r="A12037">
        <f ca="1">30948.969212028*((RANDBETWEEN(2979,3282)))</f>
        <v>97984436.525280729</v>
      </c>
      <c r="B12037">
        <v>153256541.04460067</v>
      </c>
    </row>
    <row r="12038" spans="1:2" x14ac:dyDescent="0.25">
      <c r="A12038">
        <f ca="1">28052.0536481788*((RANDBETWEEN(2979,3282)))</f>
        <v>84661097.910203665</v>
      </c>
      <c r="B12038">
        <v>146856065.48159191</v>
      </c>
    </row>
    <row r="12039" spans="1:2" x14ac:dyDescent="0.25">
      <c r="A12039">
        <f ca="1">26630.9712713863*((RANDBETWEEN(2979,3282)))</f>
        <v>85671834.580049559</v>
      </c>
      <c r="B12039">
        <v>173929077.66232365</v>
      </c>
    </row>
    <row r="12040" spans="1:2" x14ac:dyDescent="0.25">
      <c r="A12040">
        <f ca="1">27080.7708728754*((RANDBETWEEN(2979,3282)))</f>
        <v>88120828.420336679</v>
      </c>
      <c r="B12040">
        <v>166939994.71491569</v>
      </c>
    </row>
    <row r="12041" spans="1:2" x14ac:dyDescent="0.25">
      <c r="A12041">
        <f ca="1">25101.2366602197*((RANDBETWEEN(2979,3282)))</f>
        <v>78968490.533051193</v>
      </c>
      <c r="B12041">
        <v>154326707.84402445</v>
      </c>
    </row>
    <row r="12042" spans="1:2" x14ac:dyDescent="0.25">
      <c r="A12042">
        <f ca="1">28921.9492746656*((RANDBETWEEN(2979,3282)))</f>
        <v>88067335.541356698</v>
      </c>
      <c r="B12042">
        <v>181487093.03468716</v>
      </c>
    </row>
    <row r="12043" spans="1:2" x14ac:dyDescent="0.25">
      <c r="A12043">
        <f ca="1">27014.5827189114*((RANDBETWEEN(2979,3282)))</f>
        <v>82448506.458117634</v>
      </c>
      <c r="B12043">
        <v>143326603.72772929</v>
      </c>
    </row>
    <row r="12044" spans="1:2" x14ac:dyDescent="0.25">
      <c r="A12044">
        <f ca="1">27827.7130269393*((RANDBETWEEN(2979,3282)))</f>
        <v>87295535.765508458</v>
      </c>
      <c r="B12044">
        <v>152933015.32899475</v>
      </c>
    </row>
    <row r="12045" spans="1:2" x14ac:dyDescent="0.25">
      <c r="A12045">
        <f ca="1">24954.3412774308*((RANDBETWEEN(2979,3282)))</f>
        <v>76460101.674048096</v>
      </c>
      <c r="B12045">
        <v>161680993.43763822</v>
      </c>
    </row>
    <row r="12046" spans="1:2" x14ac:dyDescent="0.25">
      <c r="A12046">
        <f ca="1">29958.5170437544*((RANDBETWEEN(2979,3282)))</f>
        <v>93710241.312863678</v>
      </c>
      <c r="B12046">
        <v>185163114.82303509</v>
      </c>
    </row>
    <row r="12047" spans="1:2" x14ac:dyDescent="0.25">
      <c r="A12047">
        <f ca="1">29773.0665861083*((RANDBETWEEN(2979,3282)))</f>
        <v>97477020.002918467</v>
      </c>
      <c r="B12047">
        <v>202384217.27877098</v>
      </c>
    </row>
    <row r="12048" spans="1:2" x14ac:dyDescent="0.25">
      <c r="A12048">
        <f ca="1">26853.4533706595*((RANDBETWEEN(2979,3282)))</f>
        <v>85098593.731619895</v>
      </c>
      <c r="B12048">
        <v>174923728.77834022</v>
      </c>
    </row>
    <row r="12049" spans="1:2" x14ac:dyDescent="0.25">
      <c r="A12049">
        <f ca="1">30606.4098171725*((RANDBETWEEN(2979,3282)))</f>
        <v>95736849.908115536</v>
      </c>
      <c r="B12049">
        <v>163335523.5706633</v>
      </c>
    </row>
    <row r="12050" spans="1:2" x14ac:dyDescent="0.25">
      <c r="A12050">
        <f ca="1">31432.7165395286*((RANDBETWEEN(2979,3282)))</f>
        <v>103067877.53311437</v>
      </c>
      <c r="B12050">
        <v>172208621.29163188</v>
      </c>
    </row>
    <row r="12051" spans="1:2" x14ac:dyDescent="0.25">
      <c r="A12051">
        <f ca="1">30978.5615208081*((RANDBETWEEN(2979,3282)))</f>
        <v>98728675.566815257</v>
      </c>
      <c r="B12051">
        <v>162688968.26336044</v>
      </c>
    </row>
    <row r="12052" spans="1:2" x14ac:dyDescent="0.25">
      <c r="A12052">
        <f ca="1">27994.8634111796*((RANDBETWEEN(2979,3282)))</f>
        <v>89191634.828018203</v>
      </c>
      <c r="B12052">
        <v>182704627.26510289</v>
      </c>
    </row>
    <row r="12053" spans="1:2" x14ac:dyDescent="0.25">
      <c r="A12053">
        <f ca="1">29355.4046127078*((RANDBETWEEN(2979,3282)))</f>
        <v>90825621.871718019</v>
      </c>
      <c r="B12053">
        <v>188126098.03073147</v>
      </c>
    </row>
    <row r="12054" spans="1:2" x14ac:dyDescent="0.25">
      <c r="A12054">
        <f ca="1">27749.5303283844*((RANDBETWEEN(2979,3282)))</f>
        <v>85385304.820438877</v>
      </c>
      <c r="B12054">
        <v>164059189.47121161</v>
      </c>
    </row>
    <row r="12055" spans="1:2" x14ac:dyDescent="0.25">
      <c r="A12055">
        <f ca="1">28186.5693023237*((RANDBETWEEN(2979,3282)))</f>
        <v>83995976.520924643</v>
      </c>
      <c r="B12055">
        <v>166049837.83940783</v>
      </c>
    </row>
    <row r="12056" spans="1:2" x14ac:dyDescent="0.25">
      <c r="A12056">
        <f ca="1">32676.6199729232*((RANDBETWEEN(2979,3282)))</f>
        <v>102637263.33495186</v>
      </c>
      <c r="B12056">
        <v>169657446.25584486</v>
      </c>
    </row>
    <row r="12057" spans="1:2" x14ac:dyDescent="0.25">
      <c r="A12057">
        <f ca="1">31776.6262820723*((RANDBETWEEN(2979,3282)))</f>
        <v>99842159.778271139</v>
      </c>
      <c r="B12057">
        <v>162526452.79639953</v>
      </c>
    </row>
    <row r="12058" spans="1:2" x14ac:dyDescent="0.25">
      <c r="A12058">
        <f ca="1">29089.9104666774*((RANDBETWEEN(2979,3282)))</f>
        <v>90556891.28276673</v>
      </c>
      <c r="B12058">
        <v>155466316.11620188</v>
      </c>
    </row>
    <row r="12059" spans="1:2" x14ac:dyDescent="0.25">
      <c r="A12059">
        <f ca="1">29362.9061728131*((RANDBETWEEN(2979,3282)))</f>
        <v>95370719.249297082</v>
      </c>
      <c r="B12059">
        <v>166209466.25519943</v>
      </c>
    </row>
    <row r="12060" spans="1:2" x14ac:dyDescent="0.25">
      <c r="A12060">
        <f ca="1">27278.1818580537*((RANDBETWEEN(2979,3282)))</f>
        <v>88817760.129822746</v>
      </c>
      <c r="B12060">
        <v>152262676.29455507</v>
      </c>
    </row>
    <row r="12061" spans="1:2" x14ac:dyDescent="0.25">
      <c r="A12061">
        <f ca="1">25512.4506403295*((RANDBETWEEN(2979,3282)))</f>
        <v>80083582.559994161</v>
      </c>
      <c r="B12061">
        <v>145042565.62146366</v>
      </c>
    </row>
    <row r="12062" spans="1:2" x14ac:dyDescent="0.25">
      <c r="A12062">
        <f ca="1">28746.0332703448*((RANDBETWEEN(2979,3282)))</f>
        <v>92964671.596295208</v>
      </c>
      <c r="B12062">
        <v>173799354.99626237</v>
      </c>
    </row>
    <row r="12063" spans="1:2" x14ac:dyDescent="0.25">
      <c r="A12063">
        <f ca="1">26288.7427151658*((RANDBETWEEN(2979,3282)))</f>
        <v>84754906.513694644</v>
      </c>
      <c r="B12063">
        <v>169973203.72945946</v>
      </c>
    </row>
    <row r="12064" spans="1:2" x14ac:dyDescent="0.25">
      <c r="A12064">
        <f ca="1">26956.4099187301*((RANDBETWEEN(2979,3282)))</f>
        <v>87904852.744978786</v>
      </c>
      <c r="B12064">
        <v>152621865.92752063</v>
      </c>
    </row>
    <row r="12065" spans="1:2" x14ac:dyDescent="0.25">
      <c r="A12065">
        <f ca="1">29473.2092635216*((RANDBETWEEN(2979,3282)))</f>
        <v>92634296.715248525</v>
      </c>
      <c r="B12065">
        <v>180282464.21163699</v>
      </c>
    </row>
    <row r="12066" spans="1:2" x14ac:dyDescent="0.25">
      <c r="A12066">
        <f ca="1">26661.4738658367*((RANDBETWEEN(2979,3282)))</f>
        <v>81984032.137447774</v>
      </c>
      <c r="B12066">
        <v>157304257.33096227</v>
      </c>
    </row>
    <row r="12067" spans="1:2" x14ac:dyDescent="0.25">
      <c r="A12067">
        <f ca="1">29878.7611761423*((RANDBETWEEN(2979,3282)))</f>
        <v>90383252.557830572</v>
      </c>
      <c r="B12067">
        <v>145593518.78605667</v>
      </c>
    </row>
    <row r="12068" spans="1:2" x14ac:dyDescent="0.25">
      <c r="A12068">
        <f ca="1">28474.3208543324*((RANDBETWEEN(2979,3282)))</f>
        <v>88896829.707225725</v>
      </c>
      <c r="B12068">
        <v>148120305.6822736</v>
      </c>
    </row>
    <row r="12069" spans="1:2" x14ac:dyDescent="0.25">
      <c r="A12069">
        <f ca="1">27326.1863500075*((RANDBETWEEN(2979,3282)))</f>
        <v>82060537.609072641</v>
      </c>
      <c r="B12069">
        <v>170064359.38282201</v>
      </c>
    </row>
    <row r="12070" spans="1:2" x14ac:dyDescent="0.25">
      <c r="A12070">
        <f ca="1">27068.1168548692*((RANDBETWEEN(2979,3282)))</f>
        <v>81502099.85001123</v>
      </c>
      <c r="B12070">
        <v>167278293.32853892</v>
      </c>
    </row>
    <row r="12071" spans="1:2" x14ac:dyDescent="0.25">
      <c r="A12071">
        <f ca="1">26113.2398531694*((RANDBETWEEN(2979,3282)))</f>
        <v>85285841.360451296</v>
      </c>
      <c r="B12071">
        <v>164407090.92023966</v>
      </c>
    </row>
    <row r="12072" spans="1:2" x14ac:dyDescent="0.25">
      <c r="A12072">
        <f ca="1">27235.8576454156*((RANDBETWEEN(2979,3282)))</f>
        <v>83532375.398489669</v>
      </c>
      <c r="B12072">
        <v>193068875.66140735</v>
      </c>
    </row>
    <row r="12073" spans="1:2" x14ac:dyDescent="0.25">
      <c r="A12073">
        <f ca="1">32246.2512553051*((RANDBETWEEN(2979,3282)))</f>
        <v>98318820.077425182</v>
      </c>
      <c r="B12073">
        <v>170936589.08666188</v>
      </c>
    </row>
    <row r="12074" spans="1:2" x14ac:dyDescent="0.25">
      <c r="A12074">
        <f ca="1">27994.0509964958*((RANDBETWEEN(2979,3282)))</f>
        <v>85885748.45724903</v>
      </c>
      <c r="B12074">
        <v>161489352.9261409</v>
      </c>
    </row>
    <row r="12075" spans="1:2" x14ac:dyDescent="0.25">
      <c r="A12075">
        <f ca="1">28916.0218905269*((RANDBETWEEN(2979,3282)))</f>
        <v>86516737.496456489</v>
      </c>
      <c r="B12075">
        <v>149052282.52943921</v>
      </c>
    </row>
    <row r="12076" spans="1:2" x14ac:dyDescent="0.25">
      <c r="A12076">
        <f ca="1">27383.2862847989*((RANDBETWEEN(2979,3282)))</f>
        <v>87653899.397641271</v>
      </c>
      <c r="B12076">
        <v>168045338.22021714</v>
      </c>
    </row>
    <row r="12077" spans="1:2" x14ac:dyDescent="0.25">
      <c r="A12077">
        <f ca="1">25547.1307131623*((RANDBETWEEN(2979,3282)))</f>
        <v>76385920.832355335</v>
      </c>
      <c r="B12077">
        <v>144768853.22193134</v>
      </c>
    </row>
    <row r="12078" spans="1:2" x14ac:dyDescent="0.25">
      <c r="A12078">
        <f ca="1">26211.8431526239*((RANDBETWEEN(2979,3282)))</f>
        <v>83117754.636970416</v>
      </c>
      <c r="B12078">
        <v>183786396.64460045</v>
      </c>
    </row>
    <row r="12079" spans="1:2" x14ac:dyDescent="0.25">
      <c r="A12079">
        <f ca="1">25341.6473799179*((RANDBETWEEN(2979,3282)))</f>
        <v>78280348.756566525</v>
      </c>
      <c r="B12079">
        <v>149992935.35401708</v>
      </c>
    </row>
    <row r="12080" spans="1:2" x14ac:dyDescent="0.25">
      <c r="A12080">
        <f ca="1">27858.5877803549*((RANDBETWEEN(2979,3282)))</f>
        <v>87364531.279192924</v>
      </c>
      <c r="B12080">
        <v>169658242.21275315</v>
      </c>
    </row>
    <row r="12081" spans="1:2" x14ac:dyDescent="0.25">
      <c r="A12081">
        <f ca="1">27123.4278529307*((RANDBETWEEN(2979,3282)))</f>
        <v>82455220.672909394</v>
      </c>
      <c r="B12081">
        <v>197127743.96451044</v>
      </c>
    </row>
    <row r="12082" spans="1:2" x14ac:dyDescent="0.25">
      <c r="A12082">
        <f ca="1">27399.7869854941*((RANDBETWEEN(2979,3282)))</f>
        <v>85405136.033785239</v>
      </c>
      <c r="B12082">
        <v>161082282.71613881</v>
      </c>
    </row>
    <row r="12083" spans="1:2" x14ac:dyDescent="0.25">
      <c r="A12083">
        <f ca="1">28090.0820804577*((RANDBETWEEN(2979,3282)))</f>
        <v>86517452.80780983</v>
      </c>
      <c r="B12083">
        <v>176497548.86087623</v>
      </c>
    </row>
    <row r="12084" spans="1:2" x14ac:dyDescent="0.25">
      <c r="A12084">
        <f ca="1">31621.1634710088*((RANDBETWEEN(2979,3282)))</f>
        <v>98436681.885250449</v>
      </c>
      <c r="B12084">
        <v>188720682.56953424</v>
      </c>
    </row>
    <row r="12085" spans="1:2" x14ac:dyDescent="0.25">
      <c r="A12085">
        <f ca="1">28820.0359900694*((RANDBETWEEN(2979,3282)))</f>
        <v>90725473.296738327</v>
      </c>
      <c r="B12085">
        <v>159602667.39270633</v>
      </c>
    </row>
    <row r="12086" spans="1:2" x14ac:dyDescent="0.25">
      <c r="A12086">
        <f ca="1">27339.3828198097*((RANDBETWEEN(2979,3282)))</f>
        <v>82209524.139167741</v>
      </c>
      <c r="B12086">
        <v>193424414.7359187</v>
      </c>
    </row>
    <row r="12087" spans="1:2" x14ac:dyDescent="0.25">
      <c r="A12087">
        <f ca="1">27475.9101856631*((RANDBETWEEN(2979,3282)))</f>
        <v>89214280.372848064</v>
      </c>
      <c r="B12087">
        <v>173754748.59127924</v>
      </c>
    </row>
    <row r="12088" spans="1:2" x14ac:dyDescent="0.25">
      <c r="A12088">
        <f ca="1">31218.0272968682*((RANDBETWEEN(2979,3282)))</f>
        <v>102020513.20616531</v>
      </c>
      <c r="B12088">
        <v>199610401.36306345</v>
      </c>
    </row>
    <row r="12089" spans="1:2" x14ac:dyDescent="0.25">
      <c r="A12089">
        <f ca="1">31166.7445244555*((RANDBETWEEN(2979,3282)))</f>
        <v>97022075.704630092</v>
      </c>
      <c r="B12089">
        <v>187286188.83511439</v>
      </c>
    </row>
    <row r="12090" spans="1:2" x14ac:dyDescent="0.25">
      <c r="A12090">
        <f ca="1">31626.207232369*((RANDBETWEEN(2979,3282)))</f>
        <v>98578887.943294123</v>
      </c>
      <c r="B12090">
        <v>155273095.94768715</v>
      </c>
    </row>
    <row r="12091" spans="1:2" x14ac:dyDescent="0.25">
      <c r="A12091">
        <f ca="1">29666.1320116606*((RANDBETWEEN(2979,3282)))</f>
        <v>93329651.308684349</v>
      </c>
      <c r="B12091">
        <v>152071664.43738073</v>
      </c>
    </row>
    <row r="12092" spans="1:2" x14ac:dyDescent="0.25">
      <c r="A12092">
        <f ca="1">26810.2921206123*((RANDBETWEEN(2979,3282)))</f>
        <v>85363970.112029672</v>
      </c>
      <c r="B12092">
        <v>151579453.29022995</v>
      </c>
    </row>
    <row r="12093" spans="1:2" x14ac:dyDescent="0.25">
      <c r="A12093">
        <f ca="1">27494.1240462029*((RANDBETWEEN(2979,3282)))</f>
        <v>88531079.428773284</v>
      </c>
      <c r="B12093">
        <v>186393410.96926665</v>
      </c>
    </row>
    <row r="12094" spans="1:2" x14ac:dyDescent="0.25">
      <c r="A12094">
        <f ca="1">27905.6014869818*((RANDBETWEEN(2979,3282)))</f>
        <v>83158692.431205884</v>
      </c>
      <c r="B12094">
        <v>202258474.48730949</v>
      </c>
    </row>
    <row r="12095" spans="1:2" x14ac:dyDescent="0.25">
      <c r="A12095">
        <f ca="1">27626.2691712256*((RANDBETWEEN(2979,3282)))</f>
        <v>82630171.091135696</v>
      </c>
      <c r="B12095">
        <v>165428489.39446267</v>
      </c>
    </row>
    <row r="12096" spans="1:2" x14ac:dyDescent="0.25">
      <c r="A12096">
        <f ca="1">28273.5351754*((RANDBETWEEN(2979,3282)))</f>
        <v>84650964.315147638</v>
      </c>
      <c r="B12096">
        <v>192322083.06502366</v>
      </c>
    </row>
    <row r="12097" spans="1:2" x14ac:dyDescent="0.25">
      <c r="A12097">
        <f ca="1">32546.6549662777*((RANDBETWEEN(2979,3282)))</f>
        <v>104897868.95631297</v>
      </c>
      <c r="B12097">
        <v>160986506.12430021</v>
      </c>
    </row>
    <row r="12098" spans="1:2" x14ac:dyDescent="0.25">
      <c r="A12098">
        <f ca="1">34033.9039659864*((RANDBETWEEN(2979,3282)))</f>
        <v>106934526.26112929</v>
      </c>
      <c r="B12098">
        <v>183873513.56985494</v>
      </c>
    </row>
    <row r="12099" spans="1:2" x14ac:dyDescent="0.25">
      <c r="A12099">
        <f ca="1">26437.3923172835*((RANDBETWEEN(2979,3282)))</f>
        <v>85974399.815806046</v>
      </c>
      <c r="B12099">
        <v>182460201.4763349</v>
      </c>
    </row>
    <row r="12100" spans="1:2" x14ac:dyDescent="0.25">
      <c r="A12100">
        <f ca="1">26225.1841532004*((RANDBETWEEN(2979,3282)))</f>
        <v>78203499.144843623</v>
      </c>
      <c r="B12100">
        <v>166303404.05304074</v>
      </c>
    </row>
    <row r="12101" spans="1:2" x14ac:dyDescent="0.25">
      <c r="A12101">
        <f ca="1">27183.0898075348*((RANDBETWEEN(2979,3282)))</f>
        <v>81630818.692027032</v>
      </c>
      <c r="B12101">
        <v>156169843.67191449</v>
      </c>
    </row>
    <row r="12102" spans="1:2" x14ac:dyDescent="0.25">
      <c r="A12102">
        <f ca="1">30340.4700528845*((RANDBETWEEN(2979,3282)))</f>
        <v>91840602.850081459</v>
      </c>
      <c r="B12102">
        <v>193707317.10169691</v>
      </c>
    </row>
    <row r="12103" spans="1:2" x14ac:dyDescent="0.25">
      <c r="A12103">
        <f ca="1">27247.9648936109*((RANDBETWEEN(2979,3282)))</f>
        <v>82970053.101045161</v>
      </c>
      <c r="B12103">
        <v>183476301.34068274</v>
      </c>
    </row>
    <row r="12104" spans="1:2" x14ac:dyDescent="0.25">
      <c r="A12104">
        <f ca="1">26031.6843883402*((RANDBETWEEN(2979,3282)))</f>
        <v>81505203.819893047</v>
      </c>
      <c r="B12104">
        <v>144840825.73887941</v>
      </c>
    </row>
    <row r="12105" spans="1:2" x14ac:dyDescent="0.25">
      <c r="A12105">
        <f ca="1">26344.6712863729*((RANDBETWEEN(2979,3282)))</f>
        <v>83512607.977802232</v>
      </c>
      <c r="B12105">
        <v>143606431.55819422</v>
      </c>
    </row>
    <row r="12106" spans="1:2" x14ac:dyDescent="0.25">
      <c r="A12106">
        <f ca="1">27631.970848686*((RANDBETWEEN(2979,3282)))</f>
        <v>85935429.339413658</v>
      </c>
      <c r="B12106">
        <v>163044706.2997613</v>
      </c>
    </row>
    <row r="12107" spans="1:2" x14ac:dyDescent="0.25">
      <c r="A12107">
        <f ca="1">25536.5459975298*((RANDBETWEEN(2979,3282)))</f>
        <v>83198066.859952062</v>
      </c>
      <c r="B12107">
        <v>177683016.61680931</v>
      </c>
    </row>
    <row r="12108" spans="1:2" x14ac:dyDescent="0.25">
      <c r="A12108">
        <f ca="1">29481.2166180281*((RANDBETWEEN(2979,3282)))</f>
        <v>88826905.67011857</v>
      </c>
      <c r="B12108">
        <v>149881052.60983717</v>
      </c>
    </row>
    <row r="12109" spans="1:2" x14ac:dyDescent="0.25">
      <c r="A12109">
        <f ca="1">26401.3203074338*((RANDBETWEEN(2979,3282)))</f>
        <v>85249863.272703707</v>
      </c>
      <c r="B12109">
        <v>147244066.24535975</v>
      </c>
    </row>
    <row r="12110" spans="1:2" x14ac:dyDescent="0.25">
      <c r="A12110">
        <f ca="1">27492.6733227857*((RANDBETWEEN(2979,3282)))</f>
        <v>84457492.447597757</v>
      </c>
      <c r="B12110">
        <v>161831960.50846034</v>
      </c>
    </row>
    <row r="12111" spans="1:2" x14ac:dyDescent="0.25">
      <c r="A12111">
        <f ca="1">26174.6483840331*((RANDBETWEEN(2979,3282)))</f>
        <v>83497128.345065534</v>
      </c>
      <c r="B12111">
        <v>151120704.89217937</v>
      </c>
    </row>
    <row r="12112" spans="1:2" x14ac:dyDescent="0.25">
      <c r="A12112">
        <f ca="1">26671.8411525215*((RANDBETWEEN(2979,3282)))</f>
        <v>83829596.742374912</v>
      </c>
      <c r="B12112">
        <v>161239486.23925358</v>
      </c>
    </row>
    <row r="12113" spans="1:2" x14ac:dyDescent="0.25">
      <c r="A12113">
        <f ca="1">31765.4169633638*((RANDBETWEEN(2979,3282)))</f>
        <v>102665827.62559165</v>
      </c>
      <c r="B12113">
        <v>167486008.02340174</v>
      </c>
    </row>
    <row r="12114" spans="1:2" x14ac:dyDescent="0.25">
      <c r="A12114">
        <f ca="1">26524.4723910888*((RANDBETWEEN(2979,3282)))</f>
        <v>82438060.191504076</v>
      </c>
      <c r="B12114">
        <v>200308690.73167098</v>
      </c>
    </row>
    <row r="12115" spans="1:2" x14ac:dyDescent="0.25">
      <c r="A12115">
        <f ca="1">27003.2105284933*((RANDBETWEEN(2979,3282)))</f>
        <v>84979103.533168361</v>
      </c>
      <c r="B12115">
        <v>179228916.40521407</v>
      </c>
    </row>
    <row r="12116" spans="1:2" x14ac:dyDescent="0.25">
      <c r="A12116">
        <f ca="1">29255.3651782648*((RANDBETWEEN(2979,3282)))</f>
        <v>95782065.593638852</v>
      </c>
      <c r="B12116">
        <v>150023601.41191936</v>
      </c>
    </row>
    <row r="12117" spans="1:2" x14ac:dyDescent="0.25">
      <c r="A12117">
        <f ca="1">28323.4004743717*((RANDBETWEEN(2979,3282)))</f>
        <v>90011766.707553416</v>
      </c>
      <c r="B12117">
        <v>154096537.85266846</v>
      </c>
    </row>
    <row r="12118" spans="1:2" x14ac:dyDescent="0.25">
      <c r="A12118">
        <f ca="1">27434.7119257184*((RANDBETWEEN(2979,3282)))</f>
        <v>87379557.483413145</v>
      </c>
      <c r="B12118">
        <v>171659013.34576216</v>
      </c>
    </row>
    <row r="12119" spans="1:2" x14ac:dyDescent="0.25">
      <c r="A12119">
        <f ca="1">27074.783796628*((RANDBETWEEN(2979,3282)))</f>
        <v>87153729.041345522</v>
      </c>
      <c r="B12119">
        <v>157569365.20716906</v>
      </c>
    </row>
    <row r="12120" spans="1:2" x14ac:dyDescent="0.25">
      <c r="A12120">
        <f ca="1">27534.3246030953*((RANDBETWEEN(2979,3282)))</f>
        <v>87614220.887049213</v>
      </c>
      <c r="B12120">
        <v>192255664.50085127</v>
      </c>
    </row>
    <row r="12121" spans="1:2" x14ac:dyDescent="0.25">
      <c r="A12121">
        <f ca="1">27880.975278118*((RANDBETWEEN(2979,3282)))</f>
        <v>90362240.876380488</v>
      </c>
      <c r="B12121">
        <v>158674396.80736044</v>
      </c>
    </row>
    <row r="12122" spans="1:2" x14ac:dyDescent="0.25">
      <c r="A12122">
        <f ca="1">26076.3475248959*((RANDBETWEEN(2979,3282)))</f>
        <v>79897928.816280931</v>
      </c>
      <c r="B12122">
        <v>201631496.90458634</v>
      </c>
    </row>
    <row r="12123" spans="1:2" x14ac:dyDescent="0.25">
      <c r="A12123">
        <f ca="1">26105.1378318814*((RANDBETWEEN(2979,3282)))</f>
        <v>82596656.100072637</v>
      </c>
      <c r="B12123">
        <v>143153844.11925226</v>
      </c>
    </row>
    <row r="12124" spans="1:2" x14ac:dyDescent="0.25">
      <c r="A12124">
        <f ca="1">30343.1555305125*((RANDBETWEEN(2979,3282)))</f>
        <v>95338194.676870167</v>
      </c>
      <c r="B12124">
        <v>193737622.61312163</v>
      </c>
    </row>
    <row r="12125" spans="1:2" x14ac:dyDescent="0.25">
      <c r="A12125">
        <f ca="1">26141.3291931759*((RANDBETWEEN(2979,3282)))</f>
        <v>82554317.592049569</v>
      </c>
      <c r="B12125">
        <v>144209548.35515904</v>
      </c>
    </row>
    <row r="12126" spans="1:2" x14ac:dyDescent="0.25">
      <c r="A12126">
        <f ca="1">31912.6227146482*((RANDBETWEEN(2979,3282)))</f>
        <v>98003664.35668461</v>
      </c>
      <c r="B12126">
        <v>200390414.0817934</v>
      </c>
    </row>
    <row r="12127" spans="1:2" x14ac:dyDescent="0.25">
      <c r="A12127">
        <f ca="1">26261.8125961983*((RANDBETWEEN(2979,3282)))</f>
        <v>85718556.313991278</v>
      </c>
      <c r="B12127">
        <v>151685543.94055122</v>
      </c>
    </row>
    <row r="12128" spans="1:2" x14ac:dyDescent="0.25">
      <c r="A12128">
        <f ca="1">26363.0756698982*((RANDBETWEEN(2979,3282)))</f>
        <v>80196476.187830359</v>
      </c>
      <c r="B12128">
        <v>162377004.44295469</v>
      </c>
    </row>
    <row r="12129" spans="1:2" x14ac:dyDescent="0.25">
      <c r="A12129">
        <f ca="1">25979.5284045338*((RANDBETWEEN(2979,3282)))</f>
        <v>84485426.371543929</v>
      </c>
      <c r="B12129">
        <v>186703000.87822297</v>
      </c>
    </row>
    <row r="12130" spans="1:2" x14ac:dyDescent="0.25">
      <c r="A12130">
        <f ca="1">28186.0995509006*((RANDBETWEEN(2979,3282)))</f>
        <v>90674682.255247161</v>
      </c>
      <c r="B12130">
        <v>171129322.49901989</v>
      </c>
    </row>
    <row r="12131" spans="1:2" x14ac:dyDescent="0.25">
      <c r="A12131">
        <f ca="1">28196.4065519401*((RANDBETWEEN(2979,3282)))</f>
        <v>91158982.382422507</v>
      </c>
      <c r="B12131">
        <v>165686396.08651239</v>
      </c>
    </row>
    <row r="12132" spans="1:2" x14ac:dyDescent="0.25">
      <c r="A12132">
        <f ca="1">26206.7706747548*((RANDBETWEEN(2979,3282)))</f>
        <v>83599598.452467889</v>
      </c>
      <c r="B12132">
        <v>144836556.44565332</v>
      </c>
    </row>
    <row r="12133" spans="1:2" x14ac:dyDescent="0.25">
      <c r="A12133">
        <f ca="1">26339.1095728177*((RANDBETWEEN(2979,3282)))</f>
        <v>83521316.455404833</v>
      </c>
      <c r="B12133">
        <v>160024506.73813048</v>
      </c>
    </row>
    <row r="12134" spans="1:2" x14ac:dyDescent="0.25">
      <c r="A12134">
        <f ca="1">28289.9699531673*((RANDBETWEEN(2979,3282)))</f>
        <v>90329874.060463309</v>
      </c>
      <c r="B12134">
        <v>167908652.56821322</v>
      </c>
    </row>
    <row r="12135" spans="1:2" x14ac:dyDescent="0.25">
      <c r="A12135">
        <f ca="1">26261.7771353952*((RANDBETWEEN(2979,3282)))</f>
        <v>80177205.594361529</v>
      </c>
      <c r="B12135">
        <v>158617984.86474416</v>
      </c>
    </row>
    <row r="12136" spans="1:2" x14ac:dyDescent="0.25">
      <c r="A12136">
        <f ca="1">26015.1666337896*((RANDBETWEEN(2979,3282)))</f>
        <v>81609577.730198115</v>
      </c>
      <c r="B12136">
        <v>145540137.02358189</v>
      </c>
    </row>
    <row r="12137" spans="1:2" x14ac:dyDescent="0.25">
      <c r="A12137">
        <f ca="1">28525.8641577647*((RANDBETWEEN(2979,3282)))</f>
        <v>90198782.466851845</v>
      </c>
      <c r="B12137">
        <v>160322470.40533137</v>
      </c>
    </row>
    <row r="12138" spans="1:2" x14ac:dyDescent="0.25">
      <c r="A12138">
        <f ca="1">26882.438346212*((RANDBETWEEN(2979,3282)))</f>
        <v>82260261.339408621</v>
      </c>
      <c r="B12138">
        <v>143917267.41078791</v>
      </c>
    </row>
    <row r="12139" spans="1:2" x14ac:dyDescent="0.25">
      <c r="A12139">
        <f ca="1">27752.8770316387*((RANDBETWEEN(2979,3282)))</f>
        <v>84507510.56133984</v>
      </c>
      <c r="B12139">
        <v>161814367.75886902</v>
      </c>
    </row>
    <row r="12140" spans="1:2" x14ac:dyDescent="0.25">
      <c r="A12140">
        <f ca="1">27309.0042929623*((RANDBETWEEN(2979,3282)))</f>
        <v>84193660.235202864</v>
      </c>
      <c r="B12140">
        <v>189533781.19445831</v>
      </c>
    </row>
    <row r="12141" spans="1:2" x14ac:dyDescent="0.25">
      <c r="A12141">
        <f ca="1">27095.3106806351*((RANDBETWEEN(2979,3282)))</f>
        <v>85025084.915832892</v>
      </c>
      <c r="B12141">
        <v>156155841.67746425</v>
      </c>
    </row>
    <row r="12142" spans="1:2" x14ac:dyDescent="0.25">
      <c r="A12142">
        <f ca="1">32436.5269375564*((RANDBETWEEN(2979,3282)))</f>
        <v>106326935.30130973</v>
      </c>
      <c r="B12142">
        <v>197551460.60974318</v>
      </c>
    </row>
    <row r="12143" spans="1:2" x14ac:dyDescent="0.25">
      <c r="A12143">
        <f ca="1">29025.2885807639*((RANDBETWEEN(2979,3282)))</f>
        <v>87366118.628099278</v>
      </c>
      <c r="B12143">
        <v>183800881.50371093</v>
      </c>
    </row>
    <row r="12144" spans="1:2" x14ac:dyDescent="0.25">
      <c r="A12144">
        <f ca="1">28441.3263354249*((RANDBETWEEN(2979,3282)))</f>
        <v>91126009.578701288</v>
      </c>
      <c r="B12144">
        <v>163546220.86902392</v>
      </c>
    </row>
    <row r="12145" spans="1:2" x14ac:dyDescent="0.25">
      <c r="A12145">
        <f ca="1">27254.8635933378*((RANDBETWEEN(2979,3282)))</f>
        <v>83154588.823273644</v>
      </c>
      <c r="B12145">
        <v>143213575.69409645</v>
      </c>
    </row>
    <row r="12146" spans="1:2" x14ac:dyDescent="0.25">
      <c r="A12146">
        <f ca="1">24827.2636452728*((RANDBETWEEN(2979,3282)))</f>
        <v>79347934.610291764</v>
      </c>
      <c r="B12146">
        <v>151219348.11275518</v>
      </c>
    </row>
    <row r="12147" spans="1:2" x14ac:dyDescent="0.25">
      <c r="A12147">
        <f ca="1">27573.1737885694*((RANDBETWEEN(2979,3282)))</f>
        <v>83050399.451171055</v>
      </c>
      <c r="B12147">
        <v>155735381.63373002</v>
      </c>
    </row>
    <row r="12148" spans="1:2" x14ac:dyDescent="0.25">
      <c r="A12148">
        <f ca="1">25267.2815441127*((RANDBETWEEN(2979,3282)))</f>
        <v>78707582.00991106</v>
      </c>
      <c r="B12148">
        <v>149175310.66904631</v>
      </c>
    </row>
    <row r="12149" spans="1:2" x14ac:dyDescent="0.25">
      <c r="A12149">
        <f ca="1">28296.8992791388*((RANDBETWEEN(2979,3282)))</f>
        <v>86701699.391281337</v>
      </c>
      <c r="B12149">
        <v>196578080.57976544</v>
      </c>
    </row>
    <row r="12150" spans="1:2" x14ac:dyDescent="0.25">
      <c r="A12150">
        <f ca="1">31835.3077475072*((RANDBETWEEN(2979,3282)))</f>
        <v>97511547.630614489</v>
      </c>
      <c r="B12150">
        <v>158041434.42978805</v>
      </c>
    </row>
    <row r="12151" spans="1:2" x14ac:dyDescent="0.25">
      <c r="A12151">
        <f ca="1">27027.1279472452*((RANDBETWEEN(2979,3282)))</f>
        <v>84216530.683616087</v>
      </c>
      <c r="B12151">
        <v>159695376.65526068</v>
      </c>
    </row>
    <row r="12152" spans="1:2" x14ac:dyDescent="0.25">
      <c r="A12152">
        <f ca="1">25746.9540181584*((RANDBETWEEN(2979,3282)))</f>
        <v>82235771.133997872</v>
      </c>
      <c r="B12152">
        <v>166646993.31179762</v>
      </c>
    </row>
    <row r="12153" spans="1:2" x14ac:dyDescent="0.25">
      <c r="A12153">
        <f ca="1">29604.2594333997*((RANDBETWEEN(2979,3282)))</f>
        <v>96865136.866083845</v>
      </c>
      <c r="B12153">
        <v>175620608.04991734</v>
      </c>
    </row>
    <row r="12154" spans="1:2" x14ac:dyDescent="0.25">
      <c r="A12154">
        <f ca="1">30036.152668992*((RANDBETWEEN(2979,3282)))</f>
        <v>90739217.213024706</v>
      </c>
      <c r="B12154">
        <v>174696086.96247861</v>
      </c>
    </row>
    <row r="12155" spans="1:2" x14ac:dyDescent="0.25">
      <c r="A12155">
        <f ca="1">27436.2788949538*((RANDBETWEEN(2979,3282)))</f>
        <v>82308836.684861526</v>
      </c>
      <c r="B12155">
        <v>166198412.04706168</v>
      </c>
    </row>
    <row r="12156" spans="1:2" x14ac:dyDescent="0.25">
      <c r="A12156">
        <f ca="1">29877.9731342414*((RANDBETWEEN(2979,3282)))</f>
        <v>95609514.029572472</v>
      </c>
      <c r="B12156">
        <v>157161326.7923702</v>
      </c>
    </row>
    <row r="12157" spans="1:2" x14ac:dyDescent="0.25">
      <c r="A12157">
        <f ca="1">26161.5733846051*((RANDBETWEEN(2979,3282)))</f>
        <v>78746335.887661234</v>
      </c>
      <c r="B12157">
        <v>143345636.81173116</v>
      </c>
    </row>
    <row r="12158" spans="1:2" x14ac:dyDescent="0.25">
      <c r="A12158">
        <f ca="1">26851.9792553034*((RANDBETWEEN(2979,3282)))</f>
        <v>85980037.575481579</v>
      </c>
      <c r="B12158">
        <v>177802501.65708452</v>
      </c>
    </row>
    <row r="12159" spans="1:2" x14ac:dyDescent="0.25">
      <c r="A12159">
        <f ca="1">25961.6485101868*((RANDBETWEEN(2979,3282)))</f>
        <v>77962830.476090983</v>
      </c>
      <c r="B12159">
        <v>150832999.87684277</v>
      </c>
    </row>
    <row r="12160" spans="1:2" x14ac:dyDescent="0.25">
      <c r="A12160">
        <f ca="1">32731.6459128823*((RANDBETWEEN(2979,3282)))</f>
        <v>105526826.4231326</v>
      </c>
      <c r="B12160">
        <v>186279327.23412257</v>
      </c>
    </row>
    <row r="12161" spans="1:2" x14ac:dyDescent="0.25">
      <c r="A12161">
        <f ca="1">26908.4020794778*((RANDBETWEEN(2979,3282)))</f>
        <v>81155740.671705097</v>
      </c>
      <c r="B12161">
        <v>193830007.06631637</v>
      </c>
    </row>
    <row r="12162" spans="1:2" x14ac:dyDescent="0.25">
      <c r="A12162">
        <f ca="1">30847.4596261704*((RANDBETWEEN(2979,3282)))</f>
        <v>94023056.940567344</v>
      </c>
      <c r="B12162">
        <v>144840801.01904124</v>
      </c>
    </row>
    <row r="12163" spans="1:2" x14ac:dyDescent="0.25">
      <c r="A12163">
        <f ca="1">26254.2104128817*((RANDBETWEEN(2979,3282)))</f>
        <v>83278355.429660603</v>
      </c>
      <c r="B12163">
        <v>183927646.54393893</v>
      </c>
    </row>
    <row r="12164" spans="1:2" x14ac:dyDescent="0.25">
      <c r="A12164">
        <f ca="1">27123.4349639241*((RANDBETWEEN(2979,3282)))</f>
        <v>83675796.86370571</v>
      </c>
      <c r="B12164">
        <v>167448434.3404555</v>
      </c>
    </row>
    <row r="12165" spans="1:2" x14ac:dyDescent="0.25">
      <c r="A12165">
        <f ca="1">27274.4814803177*((RANDBETWEEN(2979,3282)))</f>
        <v>86378282.848166138</v>
      </c>
      <c r="B12165">
        <v>194384416.7955268</v>
      </c>
    </row>
    <row r="12166" spans="1:2" x14ac:dyDescent="0.25">
      <c r="A12166">
        <f ca="1">28412.7163628926*((RANDBETWEEN(2979,3282)))</f>
        <v>92653868.059392765</v>
      </c>
      <c r="B12166">
        <v>195109733.19191822</v>
      </c>
    </row>
    <row r="12167" spans="1:2" x14ac:dyDescent="0.25">
      <c r="A12167">
        <f ca="1">27191.6701893856*((RANDBETWEEN(2979,3282)))</f>
        <v>81928502.280618861</v>
      </c>
      <c r="B12167">
        <v>181847401.62662777</v>
      </c>
    </row>
    <row r="12168" spans="1:2" x14ac:dyDescent="0.25">
      <c r="A12168">
        <f ca="1">30695.6846770626*((RANDBETWEEN(2979,3282)))</f>
        <v>93898099.427134529</v>
      </c>
      <c r="B12168">
        <v>185880225.45384914</v>
      </c>
    </row>
    <row r="12169" spans="1:2" x14ac:dyDescent="0.25">
      <c r="A12169">
        <f ca="1">26683.90961234*((RANDBETWEEN(2979,3282)))</f>
        <v>83387217.538562506</v>
      </c>
      <c r="B12169">
        <v>172256497.39468372</v>
      </c>
    </row>
    <row r="12170" spans="1:2" x14ac:dyDescent="0.25">
      <c r="A12170">
        <f ca="1">27471.8488064768*((RANDBETWEEN(2979,3282)))</f>
        <v>84530878.777529225</v>
      </c>
      <c r="B12170">
        <v>166318990.14360288</v>
      </c>
    </row>
    <row r="12171" spans="1:2" x14ac:dyDescent="0.25">
      <c r="A12171">
        <f ca="1">27698.3895177117*((RANDBETWEEN(2979,3282)))</f>
        <v>83039771.774099663</v>
      </c>
      <c r="B12171">
        <v>177247169.90640965</v>
      </c>
    </row>
    <row r="12172" spans="1:2" x14ac:dyDescent="0.25">
      <c r="A12172">
        <f ca="1">28280.6765621385*((RANDBETWEEN(2979,3282)))</f>
        <v>89282095.90667139</v>
      </c>
      <c r="B12172">
        <v>143979294.52140975</v>
      </c>
    </row>
    <row r="12173" spans="1:2" x14ac:dyDescent="0.25">
      <c r="A12173">
        <f ca="1">25965.6108620252*((RANDBETWEEN(2979,3282)))</f>
        <v>82596608.152102232</v>
      </c>
      <c r="B12173">
        <v>145739222.45189285</v>
      </c>
    </row>
    <row r="12174" spans="1:2" x14ac:dyDescent="0.25">
      <c r="A12174">
        <f ca="1">26069.4741303232*((RANDBETWEEN(2979,3282)))</f>
        <v>80450397.166177511</v>
      </c>
      <c r="B12174">
        <v>161472342.89435118</v>
      </c>
    </row>
    <row r="12175" spans="1:2" x14ac:dyDescent="0.25">
      <c r="A12175">
        <f ca="1">28901.6102290657*((RANDBETWEEN(2979,3282)))</f>
        <v>92831972.055759162</v>
      </c>
      <c r="B12175">
        <v>202490138.90597659</v>
      </c>
    </row>
    <row r="12176" spans="1:2" x14ac:dyDescent="0.25">
      <c r="A12176">
        <f ca="1">30958.4381818535*((RANDBETWEEN(2979,3282)))</f>
        <v>99159877.496476829</v>
      </c>
      <c r="B12176">
        <v>189771387.38625717</v>
      </c>
    </row>
    <row r="12177" spans="1:2" x14ac:dyDescent="0.25">
      <c r="A12177">
        <f ca="1">29316.0946372185*((RANDBETWEEN(2979,3282)))</f>
        <v>87831019.533106491</v>
      </c>
      <c r="B12177">
        <v>169300436.83890313</v>
      </c>
    </row>
    <row r="12178" spans="1:2" x14ac:dyDescent="0.25">
      <c r="A12178">
        <f ca="1">27694.6407719505*((RANDBETWEEN(2979,3282)))</f>
        <v>88235125.499434426</v>
      </c>
      <c r="B12178">
        <v>152457545.35226256</v>
      </c>
    </row>
    <row r="12179" spans="1:2" x14ac:dyDescent="0.25">
      <c r="A12179">
        <f ca="1">29059.3888725894*((RANDBETWEEN(2979,3282)))</f>
        <v>90723412.060224041</v>
      </c>
      <c r="B12179">
        <v>190959680.51366261</v>
      </c>
    </row>
    <row r="12180" spans="1:2" x14ac:dyDescent="0.25">
      <c r="A12180">
        <f ca="1">30614.4618840041*((RANDBETWEEN(2979,3282)))</f>
        <v>97476446.638669059</v>
      </c>
      <c r="B12180">
        <v>149514567.61926511</v>
      </c>
    </row>
    <row r="12181" spans="1:2" x14ac:dyDescent="0.25">
      <c r="A12181">
        <f ca="1">25874.1571399471*((RANDBETWEEN(2979,3282)))</f>
        <v>78605689.391159236</v>
      </c>
      <c r="B12181">
        <v>171548812.99096838</v>
      </c>
    </row>
    <row r="12182" spans="1:2" x14ac:dyDescent="0.25">
      <c r="A12182">
        <f ca="1">25829.2913487958*((RANDBETWEEN(2979,3282)))</f>
        <v>78056118.456061125</v>
      </c>
      <c r="B12182">
        <v>149577144.08550733</v>
      </c>
    </row>
    <row r="12183" spans="1:2" x14ac:dyDescent="0.25">
      <c r="A12183">
        <f ca="1">27329.6231646701*((RANDBETWEEN(2979,3282)))</f>
        <v>85432402.012758851</v>
      </c>
      <c r="B12183">
        <v>151673355.07312375</v>
      </c>
    </row>
    <row r="12184" spans="1:2" x14ac:dyDescent="0.25">
      <c r="A12184">
        <f ca="1">26442.0641815054*((RANDBETWEEN(2979,3282)))</f>
        <v>86756412.579519197</v>
      </c>
      <c r="B12184">
        <v>173823282.63616228</v>
      </c>
    </row>
    <row r="12185" spans="1:2" x14ac:dyDescent="0.25">
      <c r="A12185">
        <f ca="1">29321.6608448854*((RANDBETWEEN(2979,3282)))</f>
        <v>90046820.45464322</v>
      </c>
      <c r="B12185">
        <v>159421637.73745078</v>
      </c>
    </row>
    <row r="12186" spans="1:2" x14ac:dyDescent="0.25">
      <c r="A12186">
        <f ca="1">26622.1214993091*((RANDBETWEEN(2979,3282)))</f>
        <v>84605102.124804378</v>
      </c>
      <c r="B12186">
        <v>181303537.87959138</v>
      </c>
    </row>
    <row r="12187" spans="1:2" x14ac:dyDescent="0.25">
      <c r="A12187">
        <f ca="1">26100.7164118322*((RANDBETWEEN(2979,3282)))</f>
        <v>84279213.293806091</v>
      </c>
      <c r="B12187">
        <v>145836947.56406942</v>
      </c>
    </row>
    <row r="12188" spans="1:2" x14ac:dyDescent="0.25">
      <c r="A12188">
        <f ca="1">28820.4739148696*((RANDBETWEEN(2979,3282)))</f>
        <v>94444693.019027531</v>
      </c>
      <c r="B12188">
        <v>191043976.16202158</v>
      </c>
    </row>
    <row r="12189" spans="1:2" x14ac:dyDescent="0.25">
      <c r="A12189">
        <f ca="1">27482.7927961396*((RANDBETWEEN(2979,3282)))</f>
        <v>84014897.577798814</v>
      </c>
      <c r="B12189">
        <v>159534427.21550485</v>
      </c>
    </row>
    <row r="12190" spans="1:2" x14ac:dyDescent="0.25">
      <c r="A12190">
        <f ca="1">29506.8247632552*((RANDBETWEEN(2979,3282)))</f>
        <v>94362825.592890173</v>
      </c>
      <c r="B12190">
        <v>180290041.28737479</v>
      </c>
    </row>
    <row r="12191" spans="1:2" x14ac:dyDescent="0.25">
      <c r="A12191">
        <f ca="1">25697.3864558188*((RANDBETWEEN(2979,3282)))</f>
        <v>77734594.028851733</v>
      </c>
      <c r="B12191">
        <v>182023161.67935386</v>
      </c>
    </row>
    <row r="12192" spans="1:2" x14ac:dyDescent="0.25">
      <c r="A12192">
        <f ca="1">27965.6198334659*((RANDBETWEEN(2979,3282)))</f>
        <v>89098464.789422244</v>
      </c>
      <c r="B12192">
        <v>181244941.07885411</v>
      </c>
    </row>
    <row r="12193" spans="1:2" x14ac:dyDescent="0.25">
      <c r="A12193">
        <f ca="1">26675.278597325*((RANDBETWEEN(2979,3282)))</f>
        <v>86294526.262346298</v>
      </c>
      <c r="B12193">
        <v>171801415.9937284</v>
      </c>
    </row>
    <row r="12194" spans="1:2" x14ac:dyDescent="0.25">
      <c r="A12194">
        <f ca="1">28903.5540958105*((RANDBETWEEN(2979,3282)))</f>
        <v>93387383.283563659</v>
      </c>
      <c r="B12194">
        <v>161621120.78244904</v>
      </c>
    </row>
    <row r="12195" spans="1:2" x14ac:dyDescent="0.25">
      <c r="A12195">
        <f ca="1">26669.8779526427*((RANDBETWEEN(2979,3282)))</f>
        <v>85370279.326409191</v>
      </c>
      <c r="B12195">
        <v>196805304.85130119</v>
      </c>
    </row>
    <row r="12196" spans="1:2" x14ac:dyDescent="0.25">
      <c r="A12196">
        <f ca="1">29388.7491684957*((RANDBETWEEN(2979,3282)))</f>
        <v>92280672.389076591</v>
      </c>
      <c r="B12196">
        <v>164619478.03996041</v>
      </c>
    </row>
    <row r="12197" spans="1:2" x14ac:dyDescent="0.25">
      <c r="A12197">
        <f ca="1">26772.7209999422*((RANDBETWEEN(2979,3282)))</f>
        <v>81335526.397824451</v>
      </c>
      <c r="B12197">
        <v>165273633.30211192</v>
      </c>
    </row>
    <row r="12198" spans="1:2" x14ac:dyDescent="0.25">
      <c r="A12198">
        <f ca="1">26027.3988560791*((RANDBETWEEN(2979,3282)))</f>
        <v>81752059.806944534</v>
      </c>
      <c r="B12198">
        <v>152773149.00737566</v>
      </c>
    </row>
    <row r="12199" spans="1:2" x14ac:dyDescent="0.25">
      <c r="A12199">
        <f ca="1">27348.1159458107*((RANDBETWEEN(2979,3282)))</f>
        <v>83138272.475264415</v>
      </c>
      <c r="B12199">
        <v>149758581.19039875</v>
      </c>
    </row>
    <row r="12200" spans="1:2" x14ac:dyDescent="0.25">
      <c r="A12200">
        <f ca="1">26133.2754468591*((RANDBETWEEN(2979,3282)))</f>
        <v>82267551.106712356</v>
      </c>
      <c r="B12200">
        <v>159432796.04715094</v>
      </c>
    </row>
    <row r="12201" spans="1:2" x14ac:dyDescent="0.25">
      <c r="A12201">
        <f ca="1">30242.1681043637*((RANDBETWEEN(2979,3282)))</f>
        <v>97561234.304677248</v>
      </c>
      <c r="B12201">
        <v>192409873.27491778</v>
      </c>
    </row>
    <row r="12202" spans="1:2" x14ac:dyDescent="0.25">
      <c r="A12202">
        <f ca="1">27205.5151797428*((RANDBETWEEN(2979,3282)))</f>
        <v>84799590.815258309</v>
      </c>
      <c r="B12202">
        <v>147374340.00391918</v>
      </c>
    </row>
    <row r="12203" spans="1:2" x14ac:dyDescent="0.25">
      <c r="A12203">
        <f ca="1">27698.6049104695*((RANDBETWEEN(2979,3282)))</f>
        <v>84757731.026036814</v>
      </c>
      <c r="B12203">
        <v>200105230.42067075</v>
      </c>
    </row>
    <row r="12204" spans="1:2" x14ac:dyDescent="0.25">
      <c r="A12204">
        <f ca="1">30497.9054033781*((RANDBETWEEN(2979,3282)))</f>
        <v>91249732.966907278</v>
      </c>
      <c r="B12204">
        <v>190146931.57726991</v>
      </c>
    </row>
    <row r="12205" spans="1:2" x14ac:dyDescent="0.25">
      <c r="A12205">
        <f ca="1">27700.8353869984*((RANDBETWEEN(2979,3282)))</f>
        <v>89861509.99542293</v>
      </c>
      <c r="B12205">
        <v>161574783.2577095</v>
      </c>
    </row>
    <row r="12206" spans="1:2" x14ac:dyDescent="0.25">
      <c r="A12206">
        <f ca="1">27288.8432859628*((RANDBETWEEN(2979,3282)))</f>
        <v>81429908.365312889</v>
      </c>
      <c r="B12206">
        <v>172952581.06736219</v>
      </c>
    </row>
    <row r="12207" spans="1:2" x14ac:dyDescent="0.25">
      <c r="A12207">
        <f ca="1">24792.3136811326*((RANDBETWEEN(2979,3282)))</f>
        <v>78666011.310233846</v>
      </c>
      <c r="B12207">
        <v>162104915.34673244</v>
      </c>
    </row>
    <row r="12208" spans="1:2" x14ac:dyDescent="0.25">
      <c r="A12208">
        <f ca="1">26464.4015871348*((RANDBETWEEN(2979,3282)))</f>
        <v>82145502.526466325</v>
      </c>
      <c r="B12208">
        <v>146083486.01509595</v>
      </c>
    </row>
    <row r="12209" spans="1:2" x14ac:dyDescent="0.25">
      <c r="A12209">
        <f ca="1">32035.3145370021*((RANDBETWEEN(2979,3282)))</f>
        <v>100526817.01711252</v>
      </c>
      <c r="B12209">
        <v>160927331.63801539</v>
      </c>
    </row>
    <row r="12210" spans="1:2" x14ac:dyDescent="0.25">
      <c r="A12210">
        <f ca="1">26777.3174430619*((RANDBETWEEN(2979,3282)))</f>
        <v>84348549.94564499</v>
      </c>
      <c r="B12210">
        <v>171795492.3525604</v>
      </c>
    </row>
    <row r="12211" spans="1:2" x14ac:dyDescent="0.25">
      <c r="A12211">
        <f ca="1">31999.3102115996*((RANDBETWEEN(2979,3282)))</f>
        <v>105021736.11447005</v>
      </c>
      <c r="B12211">
        <v>181235837.97824493</v>
      </c>
    </row>
    <row r="12212" spans="1:2" x14ac:dyDescent="0.25">
      <c r="A12212">
        <f ca="1">29796.2501866429*((RANDBETWEEN(2979,3282)))</f>
        <v>94305131.84072493</v>
      </c>
      <c r="B12212">
        <v>158248681.55488771</v>
      </c>
    </row>
    <row r="12213" spans="1:2" x14ac:dyDescent="0.25">
      <c r="A12213">
        <f ca="1">26146.0303370267*((RANDBETWEEN(2979,3282)))</f>
        <v>80738941.680738419</v>
      </c>
      <c r="B12213">
        <v>191867864.70516253</v>
      </c>
    </row>
    <row r="12214" spans="1:2" x14ac:dyDescent="0.25">
      <c r="A12214">
        <f ca="1">25972.9195041549*((RANDBETWEEN(2979,3282)))</f>
        <v>77814866.834447935</v>
      </c>
      <c r="B12214">
        <v>160916407.24181134</v>
      </c>
    </row>
    <row r="12215" spans="1:2" x14ac:dyDescent="0.25">
      <c r="A12215">
        <f ca="1">30330.0599123109*((RANDBETWEEN(2979,3282)))</f>
        <v>97693122.977553546</v>
      </c>
      <c r="B12215">
        <v>197464094.2123028</v>
      </c>
    </row>
    <row r="12216" spans="1:2" x14ac:dyDescent="0.25">
      <c r="A12216">
        <f ca="1">25867.7808392302*((RANDBETWEEN(2979,3282)))</f>
        <v>77603342.517690539</v>
      </c>
      <c r="B12216">
        <v>149628013.85467115</v>
      </c>
    </row>
    <row r="12217" spans="1:2" x14ac:dyDescent="0.25">
      <c r="A12217">
        <f ca="1">27996.1928355169*((RANDBETWEEN(2979,3282)))</f>
        <v>84856460.484451786</v>
      </c>
      <c r="B12217">
        <v>157625166.40569043</v>
      </c>
    </row>
    <row r="12218" spans="1:2" x14ac:dyDescent="0.25">
      <c r="A12218">
        <f ca="1">31924.1425885766*((RANDBETWEEN(2979,3282)))</f>
        <v>98773297.169055909</v>
      </c>
      <c r="B12218">
        <v>189060007.66346586</v>
      </c>
    </row>
    <row r="12219" spans="1:2" x14ac:dyDescent="0.25">
      <c r="A12219">
        <f ca="1">27440.2827914163*((RANDBETWEEN(2979,3282)))</f>
        <v>81799483.001211926</v>
      </c>
      <c r="B12219">
        <v>163465157.02288991</v>
      </c>
    </row>
    <row r="12220" spans="1:2" x14ac:dyDescent="0.25">
      <c r="A12220">
        <f ca="1">27571.2312759518*((RANDBETWEEN(2979,3282)))</f>
        <v>89716786.571947172</v>
      </c>
      <c r="B12220">
        <v>186862906.45571524</v>
      </c>
    </row>
    <row r="12221" spans="1:2" x14ac:dyDescent="0.25">
      <c r="A12221">
        <f ca="1">28207.6187269552*((RANDBETWEEN(2979,3282)))</f>
        <v>87217957.103745416</v>
      </c>
      <c r="B12221">
        <v>163113893.05464256</v>
      </c>
    </row>
    <row r="12222" spans="1:2" x14ac:dyDescent="0.25">
      <c r="A12222">
        <f ca="1">26976.9221002885*((RANDBETWEEN(2979,3282)))</f>
        <v>83142873.913089067</v>
      </c>
      <c r="B12222">
        <v>147302772.66504797</v>
      </c>
    </row>
    <row r="12223" spans="1:2" x14ac:dyDescent="0.25">
      <c r="A12223">
        <f ca="1">26955.276131813*((RANDBETWEEN(2979,3282)))</f>
        <v>88413305.712346777</v>
      </c>
      <c r="B12223">
        <v>163747834.68714049</v>
      </c>
    </row>
    <row r="12224" spans="1:2" x14ac:dyDescent="0.25">
      <c r="A12224">
        <f ca="1">25894.8172227909*((RANDBETWEEN(2979,3282)))</f>
        <v>78668454.722838655</v>
      </c>
      <c r="B12224">
        <v>145978865.09506857</v>
      </c>
    </row>
    <row r="12225" spans="1:2" x14ac:dyDescent="0.25">
      <c r="A12225">
        <f ca="1">26179.8511170551*((RANDBETWEEN(2979,3282)))</f>
        <v>81471696.676275462</v>
      </c>
      <c r="B12225">
        <v>146457983.31629813</v>
      </c>
    </row>
    <row r="12226" spans="1:2" x14ac:dyDescent="0.25">
      <c r="A12226">
        <f ca="1">25843.3761348147*((RANDBETWEEN(2979,3282)))</f>
        <v>82026875.851901889</v>
      </c>
      <c r="B12226">
        <v>151440662.21821725</v>
      </c>
    </row>
    <row r="12227" spans="1:2" x14ac:dyDescent="0.25">
      <c r="A12227">
        <f ca="1">25536.6974075298*((RANDBETWEEN(2979,3282)))</f>
        <v>78729638.107414454</v>
      </c>
      <c r="B12227">
        <v>154520185.82230306</v>
      </c>
    </row>
    <row r="12228" spans="1:2" x14ac:dyDescent="0.25">
      <c r="A12228">
        <f ca="1">26693.4473127926*((RANDBETWEEN(2979,3282)))</f>
        <v>80213809.174941823</v>
      </c>
      <c r="B12228">
        <v>145426155.23273155</v>
      </c>
    </row>
    <row r="12229" spans="1:2" x14ac:dyDescent="0.25">
      <c r="A12229">
        <f ca="1">28111.6751016936*((RANDBETWEEN(2979,3282)))</f>
        <v>85009705.50752154</v>
      </c>
      <c r="B12229">
        <v>165871299.93640208</v>
      </c>
    </row>
    <row r="12230" spans="1:2" x14ac:dyDescent="0.25">
      <c r="A12230">
        <f ca="1">27321.1731529144*((RANDBETWEEN(2979,3282)))</f>
        <v>82182088.843966395</v>
      </c>
      <c r="B12230">
        <v>157586918.29235211</v>
      </c>
    </row>
    <row r="12231" spans="1:2" x14ac:dyDescent="0.25">
      <c r="A12231">
        <f ca="1">32299.6426376017*((RANDBETWEEN(2979,3282)))</f>
        <v>102971260.7286742</v>
      </c>
      <c r="B12231">
        <v>185114396.44162261</v>
      </c>
    </row>
    <row r="12232" spans="1:2" x14ac:dyDescent="0.25">
      <c r="A12232">
        <f ca="1">28275.3898373433*((RANDBETWEEN(2979,3282)))</f>
        <v>85024097.240891233</v>
      </c>
      <c r="B12232">
        <v>178756080.11725882</v>
      </c>
    </row>
    <row r="12233" spans="1:2" x14ac:dyDescent="0.25">
      <c r="A12233">
        <f ca="1">26013.4186638346*((RANDBETWEEN(2979,3282)))</f>
        <v>80823691.788534194</v>
      </c>
      <c r="B12233">
        <v>163213371.67456254</v>
      </c>
    </row>
    <row r="12234" spans="1:2" x14ac:dyDescent="0.25">
      <c r="A12234">
        <f ca="1">30173.2176410804*((RANDBETWEEN(2979,3282)))</f>
        <v>92299872.764065012</v>
      </c>
      <c r="B12234">
        <v>201828656.58758441</v>
      </c>
    </row>
    <row r="12235" spans="1:2" x14ac:dyDescent="0.25">
      <c r="A12235">
        <f ca="1">29494.3674986022*((RANDBETWEEN(2979,3282)))</f>
        <v>95709222.532964066</v>
      </c>
      <c r="B12235">
        <v>186739015.96025851</v>
      </c>
    </row>
    <row r="12236" spans="1:2" x14ac:dyDescent="0.25">
      <c r="A12236">
        <f ca="1">25907.0842410465*((RANDBETWEEN(2979,3282)))</f>
        <v>80208332.810279816</v>
      </c>
      <c r="B12236">
        <v>144860560.02443352</v>
      </c>
    </row>
    <row r="12237" spans="1:2" x14ac:dyDescent="0.25">
      <c r="A12237">
        <f ca="1">29678.9239580632*((RANDBETWEEN(2979,3282)))</f>
        <v>96189392.548082843</v>
      </c>
      <c r="B12237">
        <v>147084234.80373237</v>
      </c>
    </row>
    <row r="12238" spans="1:2" x14ac:dyDescent="0.25">
      <c r="A12238">
        <f ca="1">33613.7361574817*((RANDBETWEEN(2979,3282)))</f>
        <v>109042960.09487092</v>
      </c>
      <c r="B12238">
        <v>178345699.98358855</v>
      </c>
    </row>
    <row r="12239" spans="1:2" x14ac:dyDescent="0.25">
      <c r="A12239">
        <f ca="1">27720.5023040522*((RANDBETWEEN(2979,3282)))</f>
        <v>87707669.290021151</v>
      </c>
      <c r="B12239">
        <v>143068802.12015688</v>
      </c>
    </row>
    <row r="12240" spans="1:2" x14ac:dyDescent="0.25">
      <c r="A12240">
        <f ca="1">31023.7251129572*((RANDBETWEEN(2979,3282)))</f>
        <v>98593398.408977836</v>
      </c>
      <c r="B12240">
        <v>189408492.22537804</v>
      </c>
    </row>
    <row r="12241" spans="1:2" x14ac:dyDescent="0.25">
      <c r="A12241">
        <f ca="1">29040.6518496101*((RANDBETWEEN(2979,3282)))</f>
        <v>89270963.785701483</v>
      </c>
      <c r="B12241">
        <v>172818974.51860303</v>
      </c>
    </row>
    <row r="12242" spans="1:2" x14ac:dyDescent="0.25">
      <c r="A12242">
        <f ca="1">26801.5757386885*((RANDBETWEEN(2979,3282)))</f>
        <v>85041399.818858743</v>
      </c>
      <c r="B12242">
        <v>160256959.20489332</v>
      </c>
    </row>
    <row r="12243" spans="1:2" x14ac:dyDescent="0.25">
      <c r="A12243">
        <f ca="1">30401.5027060426*((RANDBETWEEN(2979,3282)))</f>
        <v>90566076.561300904</v>
      </c>
      <c r="B12243">
        <v>198590352.88875431</v>
      </c>
    </row>
    <row r="12244" spans="1:2" x14ac:dyDescent="0.25">
      <c r="A12244">
        <f ca="1">27911.0876075863*((RANDBETWEEN(2979,3282)))</f>
        <v>83649529.559936196</v>
      </c>
      <c r="B12244">
        <v>151372017.15246204</v>
      </c>
    </row>
    <row r="12245" spans="1:2" x14ac:dyDescent="0.25">
      <c r="A12245">
        <f ca="1">25930.0013437701*((RANDBETWEEN(2979,3282)))</f>
        <v>84376224.372627839</v>
      </c>
      <c r="B12245">
        <v>153303207.48050165</v>
      </c>
    </row>
    <row r="12246" spans="1:2" x14ac:dyDescent="0.25">
      <c r="A12246">
        <f ca="1">30112.8749475309*((RANDBETWEEN(2979,3282)))</f>
        <v>96662328.581574261</v>
      </c>
      <c r="B12246">
        <v>161634696.96332711</v>
      </c>
    </row>
    <row r="12247" spans="1:2" x14ac:dyDescent="0.25">
      <c r="A12247">
        <f ca="1">27146.5609790491*((RANDBETWEEN(2979,3282)))</f>
        <v>83041330.0349112</v>
      </c>
      <c r="B12247">
        <v>166681066.4750143</v>
      </c>
    </row>
    <row r="12248" spans="1:2" x14ac:dyDescent="0.25">
      <c r="A12248">
        <f ca="1">28578.2528413538*((RANDBETWEEN(2979,3282)))</f>
        <v>87906705.74000439</v>
      </c>
      <c r="B12248">
        <v>198881352.49790177</v>
      </c>
    </row>
    <row r="12249" spans="1:2" x14ac:dyDescent="0.25">
      <c r="A12249">
        <f ca="1">29538.389917581*((RANDBETWEEN(2979,3282)))</f>
        <v>92809621.121039584</v>
      </c>
      <c r="B12249">
        <v>143203122.20811927</v>
      </c>
    </row>
    <row r="12250" spans="1:2" x14ac:dyDescent="0.25">
      <c r="A12250">
        <f ca="1">28230.4206730491*((RANDBETWEEN(2979,3282)))</f>
        <v>91720636.766736463</v>
      </c>
      <c r="B12250">
        <v>171861251.38764954</v>
      </c>
    </row>
    <row r="12251" spans="1:2" x14ac:dyDescent="0.25">
      <c r="A12251">
        <f ca="1">32020.2999847814*((RANDBETWEEN(2979,3282)))</f>
        <v>97918077.353461415</v>
      </c>
      <c r="B12251">
        <v>196149304.7623882</v>
      </c>
    </row>
    <row r="12252" spans="1:2" x14ac:dyDescent="0.25">
      <c r="A12252">
        <f ca="1">30868.4129216062*((RANDBETWEEN(2979,3282)))</f>
        <v>92450896.70021069</v>
      </c>
      <c r="B12252">
        <v>158997012.65655628</v>
      </c>
    </row>
    <row r="12253" spans="1:2" x14ac:dyDescent="0.25">
      <c r="A12253">
        <f ca="1">26646.7788763146*((RANDBETWEEN(2979,3282)))</f>
        <v>85029871.394319981</v>
      </c>
      <c r="B12253">
        <v>190585760.43344757</v>
      </c>
    </row>
    <row r="12254" spans="1:2" x14ac:dyDescent="0.25">
      <c r="A12254">
        <f ca="1">30575.2225873521*((RANDBETWEEN(2979,3282)))</f>
        <v>97412659.163303912</v>
      </c>
      <c r="B12254">
        <v>183005116.28341419</v>
      </c>
    </row>
    <row r="12255" spans="1:2" x14ac:dyDescent="0.25">
      <c r="A12255">
        <f ca="1">33093.5347359392*((RANDBETWEEN(2979,3282)))</f>
        <v>107752549.100218</v>
      </c>
      <c r="B12255">
        <v>171421145.71878263</v>
      </c>
    </row>
    <row r="12256" spans="1:2" x14ac:dyDescent="0.25">
      <c r="A12256">
        <f ca="1">27238.5508501324*((RANDBETWEEN(2979,3282)))</f>
        <v>83486158.355655879</v>
      </c>
      <c r="B12256">
        <v>191418003.27143231</v>
      </c>
    </row>
    <row r="12257" spans="1:2" x14ac:dyDescent="0.25">
      <c r="A12257">
        <f ca="1">31465.8468592705*((RANDBETWEEN(2979,3282)))</f>
        <v>94995391.668137759</v>
      </c>
      <c r="B12257">
        <v>183228936.34131655</v>
      </c>
    </row>
    <row r="12258" spans="1:2" x14ac:dyDescent="0.25">
      <c r="A12258">
        <f ca="1">33428.1269976566*((RANDBETWEEN(2979,3282)))</f>
        <v>108607984.61538644</v>
      </c>
      <c r="B12258">
        <v>195643534.46370459</v>
      </c>
    </row>
    <row r="12259" spans="1:2" x14ac:dyDescent="0.25">
      <c r="A12259">
        <f ca="1">27388.731969972*((RANDBETWEEN(2979,3282)))</f>
        <v>89122933.830289021</v>
      </c>
      <c r="B12259">
        <v>170417410.0340302</v>
      </c>
    </row>
    <row r="12260" spans="1:2" x14ac:dyDescent="0.25">
      <c r="A12260">
        <f ca="1">28584.1572448558*((RANDBETWEEN(2979,3282)))</f>
        <v>86381323.193954289</v>
      </c>
      <c r="B12260">
        <v>171200217.04927847</v>
      </c>
    </row>
    <row r="12261" spans="1:2" x14ac:dyDescent="0.25">
      <c r="A12261">
        <f ca="1">28935.9095173427*((RANDBETWEEN(2979,3282)))</f>
        <v>91090243.160594657</v>
      </c>
      <c r="B12261">
        <v>159587054.42792425</v>
      </c>
    </row>
    <row r="12262" spans="1:2" x14ac:dyDescent="0.25">
      <c r="A12262">
        <f ca="1">26969.1763362252*((RANDBETWEEN(2979,3282)))</f>
        <v>85492288.985833839</v>
      </c>
      <c r="B12262">
        <v>144489450.50933763</v>
      </c>
    </row>
    <row r="12263" spans="1:2" x14ac:dyDescent="0.25">
      <c r="A12263">
        <f ca="1">27547.1577428996*((RANDBETWEEN(2979,3282)))</f>
        <v>87655055.937906653</v>
      </c>
      <c r="B12263">
        <v>148703671.02162224</v>
      </c>
    </row>
    <row r="12264" spans="1:2" x14ac:dyDescent="0.25">
      <c r="A12264">
        <f ca="1">27672.6130795335*((RANDBETWEEN(2979,3282)))</f>
        <v>89935992.508484021</v>
      </c>
      <c r="B12264">
        <v>200607641.98639685</v>
      </c>
    </row>
    <row r="12265" spans="1:2" x14ac:dyDescent="0.25">
      <c r="A12265">
        <f ca="1">30758.8268686409*((RANDBETWEEN(2979,3282)))</f>
        <v>95967539.830159619</v>
      </c>
      <c r="B12265">
        <v>167099957.28023201</v>
      </c>
    </row>
    <row r="12266" spans="1:2" x14ac:dyDescent="0.25">
      <c r="A12266">
        <f ca="1">26682.0780708547*((RANDBETWEEN(2979,3282)))</f>
        <v>84555505.406538427</v>
      </c>
      <c r="B12266">
        <v>147138731.37090153</v>
      </c>
    </row>
    <row r="12267" spans="1:2" x14ac:dyDescent="0.25">
      <c r="A12267">
        <f ca="1">31075.4039719514*((RANDBETWEEN(2979,3282)))</f>
        <v>100373554.82940303</v>
      </c>
      <c r="B12267">
        <v>146792934.74690068</v>
      </c>
    </row>
    <row r="12268" spans="1:2" x14ac:dyDescent="0.25">
      <c r="A12268">
        <f ca="1">27546.0660664852*((RANDBETWEEN(2979,3282)))</f>
        <v>85144890.211505845</v>
      </c>
      <c r="B12268">
        <v>146627169.44816539</v>
      </c>
    </row>
    <row r="12269" spans="1:2" x14ac:dyDescent="0.25">
      <c r="A12269">
        <f ca="1">26006.3010798005*((RANDBETWEEN(2979,3282)))</f>
        <v>84650510.01475054</v>
      </c>
      <c r="B12269">
        <v>153912580.28995103</v>
      </c>
    </row>
    <row r="12270" spans="1:2" x14ac:dyDescent="0.25">
      <c r="A12270">
        <f ca="1">30051.7331129117*((RANDBETWEEN(2979,3282)))</f>
        <v>95354149.167268842</v>
      </c>
      <c r="B12270">
        <v>154507041.32128322</v>
      </c>
    </row>
    <row r="12271" spans="1:2" x14ac:dyDescent="0.25">
      <c r="A12271">
        <f ca="1">26889.6944049414*((RANDBETWEEN(2979,3282)))</f>
        <v>87176389.260819972</v>
      </c>
      <c r="B12271">
        <v>144553746.40508994</v>
      </c>
    </row>
    <row r="12272" spans="1:2" x14ac:dyDescent="0.25">
      <c r="A12272">
        <f ca="1">28582.9033873445*((RANDBETWEEN(2979,3282)))</f>
        <v>85863041.775582924</v>
      </c>
      <c r="B12272">
        <v>165707691.01462016</v>
      </c>
    </row>
    <row r="12273" spans="1:2" x14ac:dyDescent="0.25">
      <c r="A12273">
        <f ca="1">26853.8529297644*((RANDBETWEEN(2979,3282)))</f>
        <v>87543560.551032051</v>
      </c>
      <c r="B12273">
        <v>153151953.48306215</v>
      </c>
    </row>
    <row r="12274" spans="1:2" x14ac:dyDescent="0.25">
      <c r="A12274">
        <f ca="1">26861.9740568168*((RANDBETWEEN(2979,3282)))</f>
        <v>85743421.189359367</v>
      </c>
      <c r="B12274">
        <v>161902237.81101322</v>
      </c>
    </row>
    <row r="12275" spans="1:2" x14ac:dyDescent="0.25">
      <c r="A12275">
        <f ca="1">27906.9577884196*((RANDBETWEEN(2979,3282)))</f>
        <v>90948775.432459399</v>
      </c>
      <c r="B12275">
        <v>158324570.970824</v>
      </c>
    </row>
    <row r="12276" spans="1:2" x14ac:dyDescent="0.25">
      <c r="A12276">
        <f ca="1">25168.9102350321*((RANDBETWEEN(2979,3282)))</f>
        <v>79407911.791526258</v>
      </c>
      <c r="B12276">
        <v>143830574.2313416</v>
      </c>
    </row>
    <row r="12277" spans="1:2" x14ac:dyDescent="0.25">
      <c r="A12277">
        <f ca="1">27471.609990583*((RANDBETWEEN(2979,3282)))</f>
        <v>86288326.9804212</v>
      </c>
      <c r="B12277">
        <v>199299076.36612767</v>
      </c>
    </row>
    <row r="12278" spans="1:2" x14ac:dyDescent="0.25">
      <c r="A12278">
        <f ca="1">28178.2512997377*((RANDBETWEEN(2979,3282)))</f>
        <v>85041962.422608301</v>
      </c>
      <c r="B12278">
        <v>157859415.10385752</v>
      </c>
    </row>
    <row r="12279" spans="1:2" x14ac:dyDescent="0.25">
      <c r="A12279">
        <f ca="1">28140.8441539755*((RANDBETWEEN(2979,3282)))</f>
        <v>91514025.188728407</v>
      </c>
      <c r="B12279">
        <v>192883105.92150396</v>
      </c>
    </row>
    <row r="12280" spans="1:2" x14ac:dyDescent="0.25">
      <c r="A12280">
        <f ca="1">26751.3136364765*((RANDBETWEEN(2979,3282)))</f>
        <v>84881918.168540001</v>
      </c>
      <c r="B12280">
        <v>176101581.2872996</v>
      </c>
    </row>
    <row r="12281" spans="1:2" x14ac:dyDescent="0.25">
      <c r="A12281">
        <f ca="1">26102.5527557697*((RANDBETWEEN(2979,3282)))</f>
        <v>82640682.024766743</v>
      </c>
      <c r="B12281">
        <v>163174531.53063282</v>
      </c>
    </row>
    <row r="12282" spans="1:2" x14ac:dyDescent="0.25">
      <c r="A12282">
        <f ca="1">28381.1047832513*((RANDBETWEEN(2979,3282)))</f>
        <v>91557444.030768707</v>
      </c>
      <c r="B12282">
        <v>174682576.30443239</v>
      </c>
    </row>
    <row r="12283" spans="1:2" x14ac:dyDescent="0.25">
      <c r="A12283">
        <f ca="1">26897.2149527179*((RANDBETWEEN(2979,3282)))</f>
        <v>85102788.110399291</v>
      </c>
      <c r="B12283">
        <v>163310738.44526219</v>
      </c>
    </row>
    <row r="12284" spans="1:2" x14ac:dyDescent="0.25">
      <c r="A12284">
        <f ca="1">30708.5303091494*((RANDBETWEEN(2979,3282)))</f>
        <v>100232642.9290638</v>
      </c>
      <c r="B12284">
        <v>199012503.72430056</v>
      </c>
    </row>
    <row r="12285" spans="1:2" x14ac:dyDescent="0.25">
      <c r="A12285">
        <f ca="1">26121.9789041222*((RANDBETWEEN(2979,3282)))</f>
        <v>83929918.218944773</v>
      </c>
      <c r="B12285">
        <v>145790184.78867638</v>
      </c>
    </row>
    <row r="12286" spans="1:2" x14ac:dyDescent="0.25">
      <c r="A12286">
        <f ca="1">29643.3036784627*((RANDBETWEEN(2979,3282)))</f>
        <v>91686738.277485147</v>
      </c>
      <c r="B12286">
        <v>182611856.0039275</v>
      </c>
    </row>
    <row r="12287" spans="1:2" x14ac:dyDescent="0.25">
      <c r="A12287">
        <f ca="1">26640.9896536305*((RANDBETWEEN(2979,3282)))</f>
        <v>81654633.288377464</v>
      </c>
      <c r="B12287">
        <v>174670878.30501613</v>
      </c>
    </row>
    <row r="12288" spans="1:2" x14ac:dyDescent="0.25">
      <c r="A12288">
        <f ca="1">32737.3830281789*((RANDBETWEEN(2979,3282)))</f>
        <v>99816280.852917477</v>
      </c>
      <c r="B12288">
        <v>154209547.03986651</v>
      </c>
    </row>
    <row r="12289" spans="1:2" x14ac:dyDescent="0.25">
      <c r="A12289">
        <f ca="1">27523.6030706307*((RANDBETWEEN(2979,3282)))</f>
        <v>90002182.040962443</v>
      </c>
      <c r="B12289">
        <v>174709307.37345144</v>
      </c>
    </row>
    <row r="12290" spans="1:2" x14ac:dyDescent="0.25">
      <c r="A12290">
        <f ca="1">27531.6642979013*((RANDBETWEEN(2979,3282)))</f>
        <v>84852589.366131708</v>
      </c>
      <c r="B12290">
        <v>163113192.9479374</v>
      </c>
    </row>
    <row r="12291" spans="1:2" x14ac:dyDescent="0.25">
      <c r="A12291">
        <f ca="1">32490.7580839171*((RANDBETWEEN(2979,3282)))</f>
        <v>106537195.75716427</v>
      </c>
      <c r="B12291">
        <v>194947444.72548974</v>
      </c>
    </row>
    <row r="12292" spans="1:2" x14ac:dyDescent="0.25">
      <c r="A12292">
        <f ca="1">31183.2870014255*((RANDBETWEEN(2979,3282)))</f>
        <v>100722017.01460433</v>
      </c>
      <c r="B12292">
        <v>183812916.52672127</v>
      </c>
    </row>
    <row r="12293" spans="1:2" x14ac:dyDescent="0.25">
      <c r="A12293">
        <f ca="1">28946.5862990086*((RANDBETWEEN(2979,3282)))</f>
        <v>86289773.757344529</v>
      </c>
      <c r="B12293">
        <v>171138604.61880755</v>
      </c>
    </row>
    <row r="12294" spans="1:2" x14ac:dyDescent="0.25">
      <c r="A12294">
        <f ca="1">31244.0351089899*((RANDBETWEEN(2979,3282)))</f>
        <v>101949286.56063412</v>
      </c>
      <c r="B12294">
        <v>146290721.9047046</v>
      </c>
    </row>
    <row r="12295" spans="1:2" x14ac:dyDescent="0.25">
      <c r="A12295">
        <f ca="1">26402.7235041982*((RANDBETWEEN(2979,3282)))</f>
        <v>86099281.34719032</v>
      </c>
      <c r="B12295">
        <v>148636125.22966662</v>
      </c>
    </row>
    <row r="12296" spans="1:2" x14ac:dyDescent="0.25">
      <c r="A12296">
        <f ca="1">28350.3073019518*((RANDBETWEEN(2979,3282)))</f>
        <v>90153977.220206708</v>
      </c>
      <c r="B12296">
        <v>195182849.94060373</v>
      </c>
    </row>
    <row r="12297" spans="1:2" x14ac:dyDescent="0.25">
      <c r="A12297">
        <f ca="1">27523.7208364028*((RANDBETWEEN(2979,3282)))</f>
        <v>83094113.205100074</v>
      </c>
      <c r="B12297">
        <v>201319042.99151188</v>
      </c>
    </row>
    <row r="12298" spans="1:2" x14ac:dyDescent="0.25">
      <c r="A12298">
        <f ca="1">26279.7106244017*((RANDBETWEEN(2979,3282)))</f>
        <v>79942879.719429821</v>
      </c>
      <c r="B12298">
        <v>174332516.22279635</v>
      </c>
    </row>
    <row r="12299" spans="1:2" x14ac:dyDescent="0.25">
      <c r="A12299">
        <f ca="1">29188.57216377*((RANDBETWEEN(2979,3282)))</f>
        <v>89725670.831428945</v>
      </c>
      <c r="B12299">
        <v>194341112.12951964</v>
      </c>
    </row>
    <row r="12300" spans="1:2" x14ac:dyDescent="0.25">
      <c r="A12300">
        <f ca="1">32025.6709405401*((RANDBETWEEN(2979,3282)))</f>
        <v>104916098.0012092</v>
      </c>
      <c r="B12300">
        <v>199115756.80868566</v>
      </c>
    </row>
    <row r="12301" spans="1:2" x14ac:dyDescent="0.25">
      <c r="A12301">
        <f ca="1">28983.2960212241*((RANDBETWEEN(2979,3282)))</f>
        <v>94804361.285424128</v>
      </c>
      <c r="B12301">
        <v>169328670.35141641</v>
      </c>
    </row>
    <row r="12302" spans="1:2" x14ac:dyDescent="0.25">
      <c r="A12302">
        <f ca="1">25808.2553752891*((RANDBETWEEN(2979,3282)))</f>
        <v>77063450.550613284</v>
      </c>
      <c r="B12302">
        <v>144235751.26931226</v>
      </c>
    </row>
    <row r="12303" spans="1:2" x14ac:dyDescent="0.25">
      <c r="A12303">
        <f ca="1">28995.2429704286*((RANDBETWEEN(2979,3282)))</f>
        <v>94959420.728153795</v>
      </c>
      <c r="B12303">
        <v>182020268.94730744</v>
      </c>
    </row>
    <row r="12304" spans="1:2" x14ac:dyDescent="0.25">
      <c r="A12304">
        <f ca="1">26695.1389472187*((RANDBETWEEN(2979,3282)))</f>
        <v>83662565.460583344</v>
      </c>
      <c r="B12304">
        <v>155751198.2664659</v>
      </c>
    </row>
    <row r="12305" spans="1:2" x14ac:dyDescent="0.25">
      <c r="A12305">
        <f ca="1">27929.2133402973*((RANDBETWEEN(2979,3282)))</f>
        <v>88842827.63548556</v>
      </c>
      <c r="B12305">
        <v>185738525.81640092</v>
      </c>
    </row>
    <row r="12306" spans="1:2" x14ac:dyDescent="0.25">
      <c r="A12306">
        <f ca="1">26542.5614322942*((RANDBETWEEN(2979,3282)))</f>
        <v>80981354.92992951</v>
      </c>
      <c r="B12306">
        <v>190017314.17091277</v>
      </c>
    </row>
    <row r="12307" spans="1:2" x14ac:dyDescent="0.25">
      <c r="A12307">
        <f ca="1">26166.8925470121*((RANDBETWEEN(2979,3282)))</f>
        <v>79390351.987634763</v>
      </c>
      <c r="B12307">
        <v>151228615.77885219</v>
      </c>
    </row>
    <row r="12308" spans="1:2" x14ac:dyDescent="0.25">
      <c r="A12308">
        <f ca="1">28166.0639089602*((RANDBETWEEN(2979,3282)))</f>
        <v>91455209.512393728</v>
      </c>
      <c r="B12308">
        <v>179446756.58741403</v>
      </c>
    </row>
    <row r="12309" spans="1:2" x14ac:dyDescent="0.25">
      <c r="A12309">
        <f ca="1">25929.6581408247*((RANDBETWEEN(2979,3282)))</f>
        <v>81496915.536611959</v>
      </c>
      <c r="B12309">
        <v>150731350.94829661</v>
      </c>
    </row>
    <row r="12310" spans="1:2" x14ac:dyDescent="0.25">
      <c r="A12310">
        <f ca="1">28736.4433449701*((RANDBETWEEN(2979,3282)))</f>
        <v>88881819.265992492</v>
      </c>
      <c r="B12310">
        <v>163245665.21867782</v>
      </c>
    </row>
    <row r="12311" spans="1:2" x14ac:dyDescent="0.25">
      <c r="A12311">
        <f ca="1">29685.5843157181*((RANDBETWEEN(2979,3282)))</f>
        <v>89709835.802100137</v>
      </c>
      <c r="B12311">
        <v>177591386.7854265</v>
      </c>
    </row>
    <row r="12312" spans="1:2" x14ac:dyDescent="0.25">
      <c r="A12312">
        <f ca="1">29002.9889230708*((RANDBETWEEN(2979,3282)))</f>
        <v>89039175.993827313</v>
      </c>
      <c r="B12312">
        <v>150784739.26943934</v>
      </c>
    </row>
    <row r="12313" spans="1:2" x14ac:dyDescent="0.25">
      <c r="A12313">
        <f ca="1">26652.38986986*((RANDBETWEEN(2979,3282)))</f>
        <v>84088290.039408192</v>
      </c>
      <c r="B12313">
        <v>155419360.82380736</v>
      </c>
    </row>
    <row r="12314" spans="1:2" x14ac:dyDescent="0.25">
      <c r="A12314">
        <f ca="1">25921.4090553909*((RANDBETWEEN(2979,3282)))</f>
        <v>83233644.476860225</v>
      </c>
      <c r="B12314">
        <v>145487875.66460139</v>
      </c>
    </row>
    <row r="12315" spans="1:2" x14ac:dyDescent="0.25">
      <c r="A12315">
        <f ca="1">26235.0894213922*((RANDBETWEEN(2979,3282)))</f>
        <v>81302542.116894275</v>
      </c>
      <c r="B12315">
        <v>144370910.11465606</v>
      </c>
    </row>
    <row r="12316" spans="1:2" x14ac:dyDescent="0.25">
      <c r="A12316">
        <f ca="1">29240.566730209*((RANDBETWEEN(2979,3282)))</f>
        <v>93335889.002827138</v>
      </c>
      <c r="B12316">
        <v>176618677.39881656</v>
      </c>
    </row>
    <row r="12317" spans="1:2" x14ac:dyDescent="0.25">
      <c r="A12317">
        <f ca="1">27485.828250114*((RANDBETWEEN(2979,3282)))</f>
        <v>88779225.247868091</v>
      </c>
      <c r="B12317">
        <v>155884769.16015172</v>
      </c>
    </row>
    <row r="12318" spans="1:2" x14ac:dyDescent="0.25">
      <c r="A12318">
        <f ca="1">28778.9703714618*((RANDBETWEEN(2979,3282)))</f>
        <v>87229059.195900723</v>
      </c>
      <c r="B12318">
        <v>166709152.11051592</v>
      </c>
    </row>
    <row r="12319" spans="1:2" x14ac:dyDescent="0.25">
      <c r="A12319">
        <f ca="1">30756.7029051073*((RANDBETWEEN(2979,3282)))</f>
        <v>96699073.933657348</v>
      </c>
      <c r="B12319">
        <v>154372882.31969109</v>
      </c>
    </row>
    <row r="12320" spans="1:2" x14ac:dyDescent="0.25">
      <c r="A12320">
        <f ca="1">26621.9134189124*((RANDBETWEEN(2979,3282)))</f>
        <v>85269988.680776417</v>
      </c>
      <c r="B12320">
        <v>181705604.38814938</v>
      </c>
    </row>
    <row r="12321" spans="1:2" x14ac:dyDescent="0.25">
      <c r="A12321">
        <f ca="1">25846.991703956*((RANDBETWEEN(2979,3282)))</f>
        <v>82581138.494139537</v>
      </c>
      <c r="B12321">
        <v>189696159.95689344</v>
      </c>
    </row>
    <row r="12322" spans="1:2" x14ac:dyDescent="0.25">
      <c r="A12322">
        <f ca="1">26324.8009026727*((RANDBETWEEN(2979,3282)))</f>
        <v>84844833.309314027</v>
      </c>
      <c r="B12322">
        <v>157527456.12011689</v>
      </c>
    </row>
    <row r="12323" spans="1:2" x14ac:dyDescent="0.25">
      <c r="A12323">
        <f ca="1">26300.598755049*((RANDBETWEEN(2979,3282)))</f>
        <v>85503246.552664369</v>
      </c>
      <c r="B12323">
        <v>145020697.92026755</v>
      </c>
    </row>
    <row r="12324" spans="1:2" x14ac:dyDescent="0.25">
      <c r="A12324">
        <f ca="1">27612.4614574713*((RANDBETWEEN(2979,3282)))</f>
        <v>85460568.210873753</v>
      </c>
      <c r="B12324">
        <v>143119396.53206244</v>
      </c>
    </row>
    <row r="12325" spans="1:2" x14ac:dyDescent="0.25">
      <c r="A12325">
        <f ca="1">25491.6776596976*((RANDBETWEEN(2979,3282)))</f>
        <v>75990691.10355863</v>
      </c>
      <c r="B12325">
        <v>165913880.18236914</v>
      </c>
    </row>
    <row r="12326" spans="1:2" x14ac:dyDescent="0.25">
      <c r="A12326">
        <f ca="1">32188.4714536227*((RANDBETWEEN(2979,3282)))</f>
        <v>100943046.4785607</v>
      </c>
      <c r="B12326">
        <v>150417453.79389575</v>
      </c>
    </row>
    <row r="12327" spans="1:2" x14ac:dyDescent="0.25">
      <c r="A12327">
        <f ca="1">31040.5639326922*((RANDBETWEEN(2979,3282)))</f>
        <v>94828922.814374551</v>
      </c>
      <c r="B12327">
        <v>178585557.94778022</v>
      </c>
    </row>
    <row r="12328" spans="1:2" x14ac:dyDescent="0.25">
      <c r="A12328">
        <f ca="1">30508.1912684496*((RANDBETWEEN(2979,3282)))</f>
        <v>93568622.620334968</v>
      </c>
      <c r="B12328">
        <v>162571209.85581776</v>
      </c>
    </row>
    <row r="12329" spans="1:2" x14ac:dyDescent="0.25">
      <c r="A12329">
        <f ca="1">26422.5648423239*((RANDBETWEEN(2979,3282)))</f>
        <v>86401787.034399167</v>
      </c>
      <c r="B12329">
        <v>156888917.37909925</v>
      </c>
    </row>
    <row r="12330" spans="1:2" x14ac:dyDescent="0.25">
      <c r="A12330">
        <f ca="1">26108.8940696646*((RANDBETWEEN(2979,3282)))</f>
        <v>82530214.154209673</v>
      </c>
      <c r="B12330">
        <v>199094929.10768121</v>
      </c>
    </row>
    <row r="12331" spans="1:2" x14ac:dyDescent="0.25">
      <c r="A12331">
        <f ca="1">26788.7055761973*((RANDBETWEEN(2979,3282)))</f>
        <v>85777435.254983723</v>
      </c>
      <c r="B12331">
        <v>160760634.17536169</v>
      </c>
    </row>
    <row r="12332" spans="1:2" x14ac:dyDescent="0.25">
      <c r="A12332">
        <f ca="1">30568.8511901799*((RANDBETWEEN(2979,3282)))</f>
        <v>99379335.219274908</v>
      </c>
      <c r="B12332">
        <v>156819583.35720903</v>
      </c>
    </row>
    <row r="12333" spans="1:2" x14ac:dyDescent="0.25">
      <c r="A12333">
        <f ca="1">25200.5178080341*((RANDBETWEEN(2979,3282)))</f>
        <v>81775680.287070677</v>
      </c>
      <c r="B12333">
        <v>166530549.8341617</v>
      </c>
    </row>
    <row r="12334" spans="1:2" x14ac:dyDescent="0.25">
      <c r="A12334">
        <f ca="1">27186.5962973563*((RANDBETWEEN(2979,3282)))</f>
        <v>83789089.788452119</v>
      </c>
      <c r="B12334">
        <v>173425375.45366371</v>
      </c>
    </row>
    <row r="12335" spans="1:2" x14ac:dyDescent="0.25">
      <c r="A12335">
        <f ca="1">27170.9666335559*((RANDBETWEEN(2979,3282)))</f>
        <v>83713748.197985634</v>
      </c>
      <c r="B12335">
        <v>192902389.29262972</v>
      </c>
    </row>
    <row r="12336" spans="1:2" x14ac:dyDescent="0.25">
      <c r="A12336">
        <f ca="1">27659.0490932217*((RANDBETWEEN(2979,3282)))</f>
        <v>83143101.574224472</v>
      </c>
      <c r="B12336">
        <v>173367415.86697233</v>
      </c>
    </row>
    <row r="12337" spans="1:2" x14ac:dyDescent="0.25">
      <c r="A12337">
        <f ca="1">26824.1750262234*((RANDBETWEEN(2979,3282)))</f>
        <v>82028327.230191201</v>
      </c>
      <c r="B12337">
        <v>159663612.16157597</v>
      </c>
    </row>
    <row r="12338" spans="1:2" x14ac:dyDescent="0.25">
      <c r="A12338">
        <f ca="1">27504.6354441409*((RANDBETWEEN(2979,3282)))</f>
        <v>86832134.097152755</v>
      </c>
      <c r="B12338">
        <v>158952236.59315711</v>
      </c>
    </row>
    <row r="12339" spans="1:2" x14ac:dyDescent="0.25">
      <c r="A12339">
        <f ca="1">26658.0414072862*((RANDBETWEEN(2979,3282)))</f>
        <v>84452675.178282544</v>
      </c>
      <c r="B12339">
        <v>162883661.95233536</v>
      </c>
    </row>
    <row r="12340" spans="1:2" x14ac:dyDescent="0.25">
      <c r="A12340">
        <f ca="1">31470.7885187851*((RANDBETWEEN(2979,3282)))</f>
        <v>96804145.483782917</v>
      </c>
      <c r="B12340">
        <v>144441190.08971584</v>
      </c>
    </row>
    <row r="12341" spans="1:2" x14ac:dyDescent="0.25">
      <c r="A12341">
        <f ca="1">28858.8460388672*((RANDBETWEEN(2979,3282)))</f>
        <v>94483861.931251168</v>
      </c>
      <c r="B12341">
        <v>188327990.24028665</v>
      </c>
    </row>
    <row r="12342" spans="1:2" x14ac:dyDescent="0.25">
      <c r="A12342">
        <f ca="1">26418.5723316741*((RANDBETWEEN(2979,3282)))</f>
        <v>84195990.021045208</v>
      </c>
      <c r="B12342">
        <v>175900176.3380295</v>
      </c>
    </row>
    <row r="12343" spans="1:2" x14ac:dyDescent="0.25">
      <c r="A12343">
        <f ca="1">27100.6482502843*((RANDBETWEEN(2979,3282)))</f>
        <v>87372489.958916724</v>
      </c>
      <c r="B12343">
        <v>152549217.11329526</v>
      </c>
    </row>
    <row r="12344" spans="1:2" x14ac:dyDescent="0.25">
      <c r="A12344">
        <f ca="1">25646.434200083*((RANDBETWEEN(2979,3282)))</f>
        <v>81812125.098264903</v>
      </c>
      <c r="B12344">
        <v>145632467.30699098</v>
      </c>
    </row>
    <row r="12345" spans="1:2" x14ac:dyDescent="0.25">
      <c r="A12345">
        <f ca="1">27241.4942008739*((RANDBETWEEN(2979,3282)))</f>
        <v>81860690.073625967</v>
      </c>
      <c r="B12345">
        <v>152850312.93507361</v>
      </c>
    </row>
    <row r="12346" spans="1:2" x14ac:dyDescent="0.25">
      <c r="A12346">
        <f ca="1">29533.9664462588*((RANDBETWEEN(2979,3282)))</f>
        <v>96457934.41348125</v>
      </c>
      <c r="B12346">
        <v>146145147.31376502</v>
      </c>
    </row>
    <row r="12347" spans="1:2" x14ac:dyDescent="0.25">
      <c r="A12347">
        <f ca="1">31480.261961701*((RANDBETWEEN(2979,3282)))</f>
        <v>100862759.32528989</v>
      </c>
      <c r="B12347">
        <v>188438383.97484672</v>
      </c>
    </row>
    <row r="12348" spans="1:2" x14ac:dyDescent="0.25">
      <c r="A12348">
        <f ca="1">27007.3814342925*((RANDBETWEEN(2979,3282)))</f>
        <v>86045517.249655887</v>
      </c>
      <c r="B12348">
        <v>152526013.21433502</v>
      </c>
    </row>
    <row r="12349" spans="1:2" x14ac:dyDescent="0.25">
      <c r="A12349">
        <f ca="1">25707.541539094*((RANDBETWEEN(2979,3282)))</f>
        <v>77019794.451125517</v>
      </c>
      <c r="B12349">
        <v>142953141.20147568</v>
      </c>
    </row>
    <row r="12350" spans="1:2" x14ac:dyDescent="0.25">
      <c r="A12350">
        <f ca="1">29203.9786417903*((RANDBETWEEN(2979,3282)))</f>
        <v>88984522.92153509</v>
      </c>
      <c r="B12350">
        <v>143000590.59580249</v>
      </c>
    </row>
    <row r="12351" spans="1:2" x14ac:dyDescent="0.25">
      <c r="A12351">
        <f ca="1">26053.3865204703*((RANDBETWEEN(2979,3282)))</f>
        <v>80114163.550446153</v>
      </c>
      <c r="B12351">
        <v>147203847.18146485</v>
      </c>
    </row>
    <row r="12352" spans="1:2" x14ac:dyDescent="0.25">
      <c r="A12352">
        <f ca="1">27689.6911681097*((RANDBETWEEN(2979,3282)))</f>
        <v>85284248.797777951</v>
      </c>
      <c r="B12352">
        <v>198325643.71035534</v>
      </c>
    </row>
    <row r="12353" spans="1:2" x14ac:dyDescent="0.25">
      <c r="A12353">
        <f ca="1">27575.2100811446*((RANDBETWEEN(2979,3282)))</f>
        <v>89040353.352015987</v>
      </c>
      <c r="B12353">
        <v>192349829.8681528</v>
      </c>
    </row>
    <row r="12354" spans="1:2" x14ac:dyDescent="0.25">
      <c r="A12354">
        <f ca="1">27267.5020575302*((RANDBETWEEN(2979,3282)))</f>
        <v>86247109.007968098</v>
      </c>
      <c r="B12354">
        <v>189922690.84380603</v>
      </c>
    </row>
    <row r="12355" spans="1:2" x14ac:dyDescent="0.25">
      <c r="A12355">
        <f ca="1">28660.8549567981*((RANDBETWEEN(2979,3282)))</f>
        <v>89565171.739994213</v>
      </c>
      <c r="B12355">
        <v>175041218.78398225</v>
      </c>
    </row>
    <row r="12356" spans="1:2" x14ac:dyDescent="0.25">
      <c r="A12356">
        <f ca="1">25503.1598972664*((RANDBETWEEN(2979,3282)))</f>
        <v>80666494.755053505</v>
      </c>
      <c r="B12356">
        <v>146156291.50786343</v>
      </c>
    </row>
    <row r="12357" spans="1:2" x14ac:dyDescent="0.25">
      <c r="A12357">
        <f ca="1">27161.7623140009*((RANDBETWEEN(2979,3282)))</f>
        <v>81458125.179688647</v>
      </c>
      <c r="B12357">
        <v>165226613.03755668</v>
      </c>
    </row>
    <row r="12358" spans="1:2" x14ac:dyDescent="0.25">
      <c r="A12358">
        <f ca="1">30947.3709298186*((RANDBETWEEN(2979,3282)))</f>
        <v>101105060.82771736</v>
      </c>
      <c r="B12358">
        <v>164192647.3899878</v>
      </c>
    </row>
    <row r="12359" spans="1:2" x14ac:dyDescent="0.25">
      <c r="A12359">
        <f ca="1">31374.1271751182*((RANDBETWEEN(2979,3282)))</f>
        <v>94467496.924280792</v>
      </c>
      <c r="B12359">
        <v>190015094.07062963</v>
      </c>
    </row>
    <row r="12360" spans="1:2" x14ac:dyDescent="0.25">
      <c r="A12360">
        <f ca="1">26789.5000883465*((RANDBETWEEN(2979,3282)))</f>
        <v>86530085.285359278</v>
      </c>
      <c r="B12360">
        <v>156532342.54631674</v>
      </c>
    </row>
    <row r="12361" spans="1:2" x14ac:dyDescent="0.25">
      <c r="A12361">
        <f ca="1">26536.2228810132*((RANDBETWEEN(2979,3282)))</f>
        <v>80457827.775232151</v>
      </c>
      <c r="B12361">
        <v>162754239.40736496</v>
      </c>
    </row>
    <row r="12362" spans="1:2" x14ac:dyDescent="0.25">
      <c r="A12362">
        <f ca="1">25915.097168494*((RANDBETWEEN(2979,3282)))</f>
        <v>82358178.80147396</v>
      </c>
      <c r="B12362">
        <v>161196673.90756029</v>
      </c>
    </row>
    <row r="12363" spans="1:2" x14ac:dyDescent="0.25">
      <c r="A12363">
        <f ca="1">27073.7441563303*((RANDBETWEEN(2979,3282)))</f>
        <v>85796695.231410876</v>
      </c>
      <c r="B12363">
        <v>185461561.11109895</v>
      </c>
    </row>
    <row r="12364" spans="1:2" x14ac:dyDescent="0.25">
      <c r="A12364">
        <f ca="1">32974.3048744272*((RANDBETWEEN(2979,3282)))</f>
        <v>98593171.574537396</v>
      </c>
      <c r="B12364">
        <v>178577963.96328503</v>
      </c>
    </row>
    <row r="12365" spans="1:2" x14ac:dyDescent="0.25">
      <c r="A12365">
        <f ca="1">28177.0009881639*((RANDBETWEEN(2979,3282)))</f>
        <v>87095110.054414585</v>
      </c>
      <c r="B12365">
        <v>195416547.13281661</v>
      </c>
    </row>
    <row r="12366" spans="1:2" x14ac:dyDescent="0.25">
      <c r="A12366">
        <f ca="1">26903.2884968639*((RANDBETWEEN(2979,3282)))</f>
        <v>81059608.241050974</v>
      </c>
      <c r="B12366">
        <v>156352684.88933155</v>
      </c>
    </row>
    <row r="12367" spans="1:2" x14ac:dyDescent="0.25">
      <c r="A12367">
        <f ca="1">27033.7186648553*((RANDBETWEEN(2979,3282)))</f>
        <v>81452594.337209076</v>
      </c>
      <c r="B12367">
        <v>166154479.51668024</v>
      </c>
    </row>
    <row r="12368" spans="1:2" x14ac:dyDescent="0.25">
      <c r="A12368">
        <f ca="1">27145.2238014883*((RANDBETWEEN(2979,3282)))</f>
        <v>80947057.37603797</v>
      </c>
      <c r="B12368">
        <v>167437186.65009755</v>
      </c>
    </row>
    <row r="12369" spans="1:2" x14ac:dyDescent="0.25">
      <c r="A12369">
        <f ca="1">26337.5081768838*((RANDBETWEEN(2979,3282)))</f>
        <v>84359038.690558732</v>
      </c>
      <c r="B12369">
        <v>175783387.48868018</v>
      </c>
    </row>
    <row r="12370" spans="1:2" x14ac:dyDescent="0.25">
      <c r="A12370">
        <f ca="1">26220.4364572292*((RANDBETWEEN(2979,3282)))</f>
        <v>86003031.579711899</v>
      </c>
      <c r="B12370">
        <v>160853546.24010867</v>
      </c>
    </row>
    <row r="12371" spans="1:2" x14ac:dyDescent="0.25">
      <c r="A12371">
        <f ca="1">30324.7410861972*((RANDBETWEEN(2979,3282)))</f>
        <v>96584300.359538093</v>
      </c>
      <c r="B12371">
        <v>180846556.1994001</v>
      </c>
    </row>
    <row r="12372" spans="1:2" x14ac:dyDescent="0.25">
      <c r="A12372">
        <f ca="1">27669.9302079187*((RANDBETWEEN(2979,3282)))</f>
        <v>82567071.740429386</v>
      </c>
      <c r="B12372">
        <v>153388278.19332036</v>
      </c>
    </row>
    <row r="12373" spans="1:2" x14ac:dyDescent="0.25">
      <c r="A12373">
        <f ca="1">26684.5185332295*((RANDBETWEEN(2979,3282)))</f>
        <v>82428477.74914594</v>
      </c>
      <c r="B12373">
        <v>152767301.75731802</v>
      </c>
    </row>
    <row r="12374" spans="1:2" x14ac:dyDescent="0.25">
      <c r="A12374">
        <f ca="1">31712.9401026474*((RANDBETWEEN(2979,3282)))</f>
        <v>98183262.557796374</v>
      </c>
      <c r="B12374">
        <v>180136108.49508169</v>
      </c>
    </row>
    <row r="12375" spans="1:2" x14ac:dyDescent="0.25">
      <c r="A12375">
        <f ca="1">26271.6581923235*((RANDBETWEEN(2979,3282)))</f>
        <v>78368356.38770096</v>
      </c>
      <c r="B12375">
        <v>156670323.55092743</v>
      </c>
    </row>
    <row r="12376" spans="1:2" x14ac:dyDescent="0.25">
      <c r="A12376">
        <f ca="1">26899.0296897941*((RANDBETWEEN(2979,3282)))</f>
        <v>80428098.772484347</v>
      </c>
      <c r="B12376">
        <v>179214307.87013203</v>
      </c>
    </row>
    <row r="12377" spans="1:2" x14ac:dyDescent="0.25">
      <c r="A12377">
        <f ca="1">28388.964802082*((RANDBETWEEN(2979,3282)))</f>
        <v>92178968.712360218</v>
      </c>
      <c r="B12377">
        <v>164494104.37814355</v>
      </c>
    </row>
    <row r="12378" spans="1:2" x14ac:dyDescent="0.25">
      <c r="A12378">
        <f ca="1">25573.3175817825*((RANDBETWEEN(2979,3282)))</f>
        <v>81630029.721049666</v>
      </c>
      <c r="B12378">
        <v>146894914.89701408</v>
      </c>
    </row>
    <row r="12379" spans="1:2" x14ac:dyDescent="0.25">
      <c r="A12379">
        <f ca="1">24253.8271272527*((RANDBETWEEN(2979,3282)))</f>
        <v>76496570.759354874</v>
      </c>
      <c r="B12379">
        <v>164042265.49599767</v>
      </c>
    </row>
    <row r="12380" spans="1:2" x14ac:dyDescent="0.25">
      <c r="A12380">
        <f ca="1">25026.9868037933*((RANDBETWEEN(2979,3282)))</f>
        <v>77808901.972993508</v>
      </c>
      <c r="B12380">
        <v>154129442.08512402</v>
      </c>
    </row>
    <row r="12381" spans="1:2" x14ac:dyDescent="0.25">
      <c r="A12381">
        <f ca="1">26853.8509035763*((RANDBETWEEN(2979,3282)))</f>
        <v>82280199.168557629</v>
      </c>
      <c r="B12381">
        <v>160147128.02278206</v>
      </c>
    </row>
    <row r="12382" spans="1:2" x14ac:dyDescent="0.25">
      <c r="A12382">
        <f ca="1">25611.72950237*((RANDBETWEEN(2979,3282)))</f>
        <v>83443014.71872133</v>
      </c>
      <c r="B12382">
        <v>188997412.83803904</v>
      </c>
    </row>
    <row r="12383" spans="1:2" x14ac:dyDescent="0.25">
      <c r="A12383">
        <f ca="1">31802.2299000899*((RANDBETWEEN(2979,3282)))</f>
        <v>99699990.736781865</v>
      </c>
      <c r="B12383">
        <v>192626506.82774872</v>
      </c>
    </row>
    <row r="12384" spans="1:2" x14ac:dyDescent="0.25">
      <c r="A12384">
        <f ca="1">27792.2010750241*((RANDBETWEEN(2979,3282)))</f>
        <v>85488810.506774068</v>
      </c>
      <c r="B12384">
        <v>142923255.22151786</v>
      </c>
    </row>
    <row r="12385" spans="1:2" x14ac:dyDescent="0.25">
      <c r="A12385">
        <f ca="1">27405.0460734317*((RANDBETWEEN(2979,3282)))</f>
        <v>81804062.529193625</v>
      </c>
      <c r="B12385">
        <v>177999714.93954408</v>
      </c>
    </row>
    <row r="12386" spans="1:2" x14ac:dyDescent="0.25">
      <c r="A12386">
        <f ca="1">31180.8705596311*((RANDBETWEEN(2979,3282)))</f>
        <v>100683031.03704874</v>
      </c>
      <c r="B12386">
        <v>175076891.70283473</v>
      </c>
    </row>
    <row r="12387" spans="1:2" x14ac:dyDescent="0.25">
      <c r="A12387">
        <f ca="1">27790.467737685*((RANDBETWEEN(2979,3282)))</f>
        <v>86039288.115872726</v>
      </c>
      <c r="B12387">
        <v>164414624.81114689</v>
      </c>
    </row>
    <row r="12388" spans="1:2" x14ac:dyDescent="0.25">
      <c r="A12388">
        <f ca="1">28332.4574360086*((RANDBETWEEN(2979,3282)))</f>
        <v>89077246.178810954</v>
      </c>
      <c r="B12388">
        <v>163708201.65077353</v>
      </c>
    </row>
    <row r="12389" spans="1:2" x14ac:dyDescent="0.25">
      <c r="A12389">
        <f ca="1">26419.2316656116*((RANDBETWEEN(2979,3282)))</f>
        <v>82956387.430020317</v>
      </c>
      <c r="B12389">
        <v>144414888.51466861</v>
      </c>
    </row>
    <row r="12390" spans="1:2" x14ac:dyDescent="0.25">
      <c r="A12390">
        <f ca="1">26507.2603141305*((RANDBETWEEN(2979,3282)))</f>
        <v>82729159.440401375</v>
      </c>
      <c r="B12390">
        <v>170941960.47483623</v>
      </c>
    </row>
    <row r="12391" spans="1:2" x14ac:dyDescent="0.25">
      <c r="A12391">
        <f ca="1">26357.8625914625*((RANDBETWEEN(2979,3282)))</f>
        <v>79179019.22475338</v>
      </c>
      <c r="B12391">
        <v>159938518.85052407</v>
      </c>
    </row>
    <row r="12392" spans="1:2" x14ac:dyDescent="0.25">
      <c r="A12392">
        <f ca="1">26990.558375206*((RANDBETWEEN(2979,3282)))</f>
        <v>87314456.343791261</v>
      </c>
      <c r="B12392">
        <v>176553242.93495268</v>
      </c>
    </row>
    <row r="12393" spans="1:2" x14ac:dyDescent="0.25">
      <c r="A12393">
        <f ca="1">31659.0901042042*((RANDBETWEEN(2979,3282)))</f>
        <v>100264338.36001459</v>
      </c>
      <c r="B12393">
        <v>197188617.03659868</v>
      </c>
    </row>
    <row r="12394" spans="1:2" x14ac:dyDescent="0.25">
      <c r="A12394">
        <f ca="1">29406.0668296273*((RANDBETWEEN(2979,3282)))</f>
        <v>88012358.021074384</v>
      </c>
      <c r="B12394">
        <v>148299077.60212794</v>
      </c>
    </row>
    <row r="12395" spans="1:2" x14ac:dyDescent="0.25">
      <c r="A12395">
        <f ca="1">30552.2434660765*((RANDBETWEEN(2979,3282)))</f>
        <v>98958716.586621836</v>
      </c>
      <c r="B12395">
        <v>144608439.35256249</v>
      </c>
    </row>
    <row r="12396" spans="1:2" x14ac:dyDescent="0.25">
      <c r="A12396">
        <f ca="1">26239.8034291014*((RANDBETWEEN(2979,3282)))</f>
        <v>84964483.503430411</v>
      </c>
      <c r="B12396">
        <v>153582603.63745672</v>
      </c>
    </row>
    <row r="12397" spans="1:2" x14ac:dyDescent="0.25">
      <c r="A12397">
        <f ca="1">26808.6139845022*((RANDBETWEEN(2979,3282)))</f>
        <v>83321172.263832852</v>
      </c>
      <c r="B12397">
        <v>143353328.68803683</v>
      </c>
    </row>
    <row r="12398" spans="1:2" x14ac:dyDescent="0.25">
      <c r="A12398">
        <f ca="1">27343.7745646839*((RANDBETWEEN(2979,3282)))</f>
        <v>84218825.659226373</v>
      </c>
      <c r="B12398">
        <v>181642257.31056535</v>
      </c>
    </row>
    <row r="12399" spans="1:2" x14ac:dyDescent="0.25">
      <c r="A12399">
        <f ca="1">30245.2008369528*((RANDBETWEEN(2979,3282)))</f>
        <v>96905623.481596872</v>
      </c>
      <c r="B12399">
        <v>152448181.85065088</v>
      </c>
    </row>
    <row r="12400" spans="1:2" x14ac:dyDescent="0.25">
      <c r="A12400">
        <f ca="1">28433.2390683945*((RANDBETWEEN(2979,3282)))</f>
        <v>87091011.266492307</v>
      </c>
      <c r="B12400">
        <v>157907836.04200822</v>
      </c>
    </row>
    <row r="12401" spans="1:2" x14ac:dyDescent="0.25">
      <c r="A12401">
        <f ca="1">28788.4747518971*((RANDBETWEEN(2979,3282)))</f>
        <v>92727677.175860688</v>
      </c>
      <c r="B12401">
        <v>157971990.35777542</v>
      </c>
    </row>
    <row r="12402" spans="1:2" x14ac:dyDescent="0.25">
      <c r="A12402">
        <f ca="1">32164.5277913078*((RANDBETWEEN(2979,3282)))</f>
        <v>103248134.21009792</v>
      </c>
      <c r="B12402">
        <v>201171477.56240976</v>
      </c>
    </row>
    <row r="12403" spans="1:2" x14ac:dyDescent="0.25">
      <c r="A12403">
        <f ca="1">29714.3094699007*((RANDBETWEEN(2979,3282)))</f>
        <v>97373792.13286452</v>
      </c>
      <c r="B12403">
        <v>174692714.43740684</v>
      </c>
    </row>
    <row r="12404" spans="1:2" x14ac:dyDescent="0.25">
      <c r="A12404">
        <f ca="1">32550.5156770237*((RANDBETWEEN(2979,3282)))</f>
        <v>99279072.814922139</v>
      </c>
      <c r="B12404">
        <v>153325324.64608166</v>
      </c>
    </row>
    <row r="12405" spans="1:2" x14ac:dyDescent="0.25">
      <c r="A12405">
        <f ca="1">26866.5899814742*((RANDBETWEEN(2979,3282)))</f>
        <v>88176148.319198191</v>
      </c>
      <c r="B12405">
        <v>167107814.3171221</v>
      </c>
    </row>
    <row r="12406" spans="1:2" x14ac:dyDescent="0.25">
      <c r="A12406">
        <f ca="1">32003.0085134913*((RANDBETWEEN(2979,3282)))</f>
        <v>97001118.804392055</v>
      </c>
      <c r="B12406">
        <v>202676164.3364183</v>
      </c>
    </row>
    <row r="12407" spans="1:2" x14ac:dyDescent="0.25">
      <c r="A12407">
        <f ca="1">28313.9331249869*((RANDBETWEEN(2979,3282)))</f>
        <v>89188889.343708843</v>
      </c>
      <c r="B12407">
        <v>178212707.6301308</v>
      </c>
    </row>
    <row r="12408" spans="1:2" x14ac:dyDescent="0.25">
      <c r="A12408">
        <f ca="1">31191.7347306971*((RANDBETWEEN(2979,3282)))</f>
        <v>96070542.970547125</v>
      </c>
      <c r="B12408">
        <v>203604213.39378375</v>
      </c>
    </row>
    <row r="12409" spans="1:2" x14ac:dyDescent="0.25">
      <c r="A12409">
        <f ca="1">31141.5853463487*((RANDBETWEEN(2979,3282)))</f>
        <v>96538914.573681116</v>
      </c>
      <c r="B12409">
        <v>162504061.53400382</v>
      </c>
    </row>
    <row r="12410" spans="1:2" x14ac:dyDescent="0.25">
      <c r="A12410">
        <f ca="1">29990.9603186661*((RANDBETWEEN(2979,3282)))</f>
        <v>95251289.972083583</v>
      </c>
      <c r="B12410">
        <v>155430664.89802852</v>
      </c>
    </row>
    <row r="12411" spans="1:2" x14ac:dyDescent="0.25">
      <c r="A12411">
        <f ca="1">26990.7660507537*((RANDBETWEEN(2979,3282)))</f>
        <v>83050587.138169244</v>
      </c>
      <c r="B12411">
        <v>187015112.56799245</v>
      </c>
    </row>
    <row r="12412" spans="1:2" x14ac:dyDescent="0.25">
      <c r="A12412">
        <f ca="1">25511.0003492101*((RANDBETWEEN(2979,3282)))</f>
        <v>76405446.045884207</v>
      </c>
      <c r="B12412">
        <v>145811215.76203725</v>
      </c>
    </row>
    <row r="12413" spans="1:2" x14ac:dyDescent="0.25">
      <c r="A12413">
        <f ca="1">27254.0395409031*((RANDBETWEEN(2979,3282)))</f>
        <v>85904732.632926598</v>
      </c>
      <c r="B12413">
        <v>161137485.44372123</v>
      </c>
    </row>
    <row r="12414" spans="1:2" x14ac:dyDescent="0.25">
      <c r="A12414">
        <f ca="1">27508.228428542*((RANDBETWEEN(2979,3282)))</f>
        <v>86458361.950907543</v>
      </c>
      <c r="B12414">
        <v>154453976.84156954</v>
      </c>
    </row>
    <row r="12415" spans="1:2" x14ac:dyDescent="0.25">
      <c r="A12415">
        <f ca="1">29423.9554582271*((RANDBETWEEN(2979,3282)))</f>
        <v>88595529.884721711</v>
      </c>
      <c r="B12415">
        <v>188942923.07062703</v>
      </c>
    </row>
    <row r="12416" spans="1:2" x14ac:dyDescent="0.25">
      <c r="A12416">
        <f ca="1">24986.6448329242*((RANDBETWEEN(2979,3282)))</f>
        <v>80257103.203352481</v>
      </c>
      <c r="B12416">
        <v>184637856.33923057</v>
      </c>
    </row>
    <row r="12417" spans="1:2" x14ac:dyDescent="0.25">
      <c r="A12417">
        <f ca="1">30698.9144075989*((RANDBETWEEN(2979,3282)))</f>
        <v>97346257.586496189</v>
      </c>
      <c r="B12417">
        <v>197304676.26430184</v>
      </c>
    </row>
    <row r="12418" spans="1:2" x14ac:dyDescent="0.25">
      <c r="A12418">
        <f ca="1">27036.5606981109*((RANDBETWEEN(2979,3282)))</f>
        <v>84975910.274162471</v>
      </c>
      <c r="B12418">
        <v>155911245.99045932</v>
      </c>
    </row>
    <row r="12419" spans="1:2" x14ac:dyDescent="0.25">
      <c r="A12419">
        <f ca="1">27482.8968043375*((RANDBETWEEN(2979,3282)))</f>
        <v>82421207.516208068</v>
      </c>
      <c r="B12419">
        <v>143665529.05814099</v>
      </c>
    </row>
    <row r="12420" spans="1:2" x14ac:dyDescent="0.25">
      <c r="A12420">
        <f ca="1">25893.1938329386*((RANDBETWEEN(2979,3282)))</f>
        <v>80864444.340267211</v>
      </c>
      <c r="B12420">
        <v>143133544.46265179</v>
      </c>
    </row>
    <row r="12421" spans="1:2" x14ac:dyDescent="0.25">
      <c r="A12421">
        <f ca="1">28491.0524160437*((RANDBETWEEN(2979,3282)))</f>
        <v>87837914.59866263</v>
      </c>
      <c r="B12421">
        <v>174128927.478562</v>
      </c>
    </row>
    <row r="12422" spans="1:2" x14ac:dyDescent="0.25">
      <c r="A12422">
        <f ca="1">27060.5347374319*((RANDBETWEEN(2979,3282)))</f>
        <v>82480509.87969254</v>
      </c>
      <c r="B12422">
        <v>144726863.3854827</v>
      </c>
    </row>
    <row r="12423" spans="1:2" x14ac:dyDescent="0.25">
      <c r="A12423">
        <f ca="1">26529.1747883427*((RANDBETWEEN(2979,3282)))</f>
        <v>79720170.238969848</v>
      </c>
      <c r="B12423">
        <v>183907952.49312961</v>
      </c>
    </row>
    <row r="12424" spans="1:2" x14ac:dyDescent="0.25">
      <c r="A12424">
        <f ca="1">29451.7012058672*((RANDBETWEEN(2979,3282)))</f>
        <v>89268106.354983628</v>
      </c>
      <c r="B12424">
        <v>156848498.62185046</v>
      </c>
    </row>
    <row r="12425" spans="1:2" x14ac:dyDescent="0.25">
      <c r="A12425">
        <f ca="1">27264.6569713975*((RANDBETWEEN(2979,3282)))</f>
        <v>82475587.338477328</v>
      </c>
      <c r="B12425">
        <v>166681957.55356109</v>
      </c>
    </row>
    <row r="12426" spans="1:2" x14ac:dyDescent="0.25">
      <c r="A12426">
        <f ca="1">26954.3577723372*((RANDBETWEEN(2979,3282)))</f>
        <v>80701347.170377508</v>
      </c>
      <c r="B12426">
        <v>179408757.81701753</v>
      </c>
    </row>
    <row r="12427" spans="1:2" x14ac:dyDescent="0.25">
      <c r="A12427">
        <f ca="1">30919.7169180248*((RANDBETWEEN(2979,3282)))</f>
        <v>93593983.110861152</v>
      </c>
      <c r="B12427">
        <v>159998286.86238506</v>
      </c>
    </row>
    <row r="12428" spans="1:2" x14ac:dyDescent="0.25">
      <c r="A12428">
        <f ca="1">27719.7057017313*((RANDBETWEEN(2979,3282)))</f>
        <v>89451490.299486786</v>
      </c>
      <c r="B12428">
        <v>167626344.16944367</v>
      </c>
    </row>
    <row r="12429" spans="1:2" x14ac:dyDescent="0.25">
      <c r="A12429">
        <f ca="1">26996.5067485324*((RANDBETWEEN(2979,3282)))</f>
        <v>82474328.116766572</v>
      </c>
      <c r="B12429">
        <v>169384239.30288637</v>
      </c>
    </row>
    <row r="12430" spans="1:2" x14ac:dyDescent="0.25">
      <c r="A12430">
        <f ca="1">26955.9041734781*((RANDBETWEEN(2979,3282)))</f>
        <v>86959746.863640249</v>
      </c>
      <c r="B12430">
        <v>196146893.70426902</v>
      </c>
    </row>
    <row r="12431" spans="1:2" x14ac:dyDescent="0.25">
      <c r="A12431">
        <f ca="1">26904.8712358399*((RANDBETWEEN(2979,3282)))</f>
        <v>88194167.911083207</v>
      </c>
      <c r="B12431">
        <v>162619929.70983762</v>
      </c>
    </row>
    <row r="12432" spans="1:2" x14ac:dyDescent="0.25">
      <c r="A12432">
        <f ca="1">26258.2864626637*((RANDBETWEEN(2979,3282)))</f>
        <v>84472907.550389081</v>
      </c>
      <c r="B12432">
        <v>198924485.77646878</v>
      </c>
    </row>
    <row r="12433" spans="1:2" x14ac:dyDescent="0.25">
      <c r="A12433">
        <f ca="1">29323.4065377067*((RANDBETWEEN(2979,3282)))</f>
        <v>87647662.14120543</v>
      </c>
      <c r="B12433">
        <v>172372815.68830627</v>
      </c>
    </row>
    <row r="12434" spans="1:2" x14ac:dyDescent="0.25">
      <c r="A12434">
        <f ca="1">31543.038694896*((RANDBETWEEN(2979,3282)))</f>
        <v>95070718.626416445</v>
      </c>
      <c r="B12434">
        <v>147300163.64895457</v>
      </c>
    </row>
    <row r="12435" spans="1:2" x14ac:dyDescent="0.25">
      <c r="A12435">
        <f ca="1">26426.4024465004*((RANDBETWEEN(2979,3282)))</f>
        <v>86150071.975591317</v>
      </c>
      <c r="B12435">
        <v>147756431.8850033</v>
      </c>
    </row>
    <row r="12436" spans="1:2" x14ac:dyDescent="0.25">
      <c r="A12436">
        <f ca="1">31403.3931516133*((RANDBETWEEN(2979,3282)))</f>
        <v>96000172.864481851</v>
      </c>
      <c r="B12436">
        <v>160854851.40667561</v>
      </c>
    </row>
    <row r="12437" spans="1:2" x14ac:dyDescent="0.25">
      <c r="A12437">
        <f ca="1">26123.9182421596*((RANDBETWEEN(2979,3282)))</f>
        <v>82029103.280381233</v>
      </c>
      <c r="B12437">
        <v>169086461.28217101</v>
      </c>
    </row>
    <row r="12438" spans="1:2" x14ac:dyDescent="0.25">
      <c r="A12438">
        <f ca="1">26790.9797853503*((RANDBETWEEN(2979,3282)))</f>
        <v>84793451.020633817</v>
      </c>
      <c r="B12438">
        <v>145371031.43408972</v>
      </c>
    </row>
    <row r="12439" spans="1:2" x14ac:dyDescent="0.25">
      <c r="A12439">
        <f ca="1">31502.8365897107*((RANDBETWEEN(2979,3282)))</f>
        <v>97438273.571975067</v>
      </c>
      <c r="B12439">
        <v>166478635.76868176</v>
      </c>
    </row>
    <row r="12440" spans="1:2" x14ac:dyDescent="0.25">
      <c r="A12440">
        <f ca="1">29794.324770459*((RANDBETWEEN(2979,3282)))</f>
        <v>92958293.283832192</v>
      </c>
      <c r="B12440">
        <v>178557338.30246425</v>
      </c>
    </row>
    <row r="12441" spans="1:2" x14ac:dyDescent="0.25">
      <c r="A12441">
        <f ca="1">25599.4845059298*((RANDBETWEEN(2979,3282)))</f>
        <v>81406360.728856787</v>
      </c>
      <c r="B12441">
        <v>151124791.48262799</v>
      </c>
    </row>
    <row r="12442" spans="1:2" x14ac:dyDescent="0.25">
      <c r="A12442">
        <f ca="1">27083.1503266128*((RANDBETWEEN(2979,3282)))</f>
        <v>82820273.698781982</v>
      </c>
      <c r="B12442">
        <v>192016724.98699027</v>
      </c>
    </row>
    <row r="12443" spans="1:2" x14ac:dyDescent="0.25">
      <c r="A12443">
        <f ca="1">26913.4805295952*((RANDBETWEEN(2979,3282)))</f>
        <v>85288819.798287243</v>
      </c>
      <c r="B12443">
        <v>182738701.2075519</v>
      </c>
    </row>
    <row r="12444" spans="1:2" x14ac:dyDescent="0.25">
      <c r="A12444">
        <f ca="1">26159.8006293828*((RANDBETWEEN(2979,3282)))</f>
        <v>83397444.406472519</v>
      </c>
      <c r="B12444">
        <v>156206735.02728635</v>
      </c>
    </row>
    <row r="12445" spans="1:2" x14ac:dyDescent="0.25">
      <c r="A12445">
        <f ca="1">33482.177980703*((RANDBETWEEN(2979,3282)))</f>
        <v>104330466.58787042</v>
      </c>
      <c r="B12445">
        <v>173660305.42495316</v>
      </c>
    </row>
    <row r="12446" spans="1:2" x14ac:dyDescent="0.25">
      <c r="A12446">
        <f ca="1">27569.3422778835*((RANDBETWEEN(2979,3282)))</f>
        <v>88525158.054283932</v>
      </c>
      <c r="B12446">
        <v>162811396.45002794</v>
      </c>
    </row>
    <row r="12447" spans="1:2" x14ac:dyDescent="0.25">
      <c r="A12447">
        <f ca="1">25654.3987902384*((RANDBETWEEN(2979,3282)))</f>
        <v>83966847.240450248</v>
      </c>
      <c r="B12447">
        <v>145062241.94312975</v>
      </c>
    </row>
    <row r="12448" spans="1:2" x14ac:dyDescent="0.25">
      <c r="A12448">
        <f ca="1">29912.8003532353*((RANDBETWEEN(2979,3282)))</f>
        <v>95840612.331765994</v>
      </c>
      <c r="B12448">
        <v>188457714.75438488</v>
      </c>
    </row>
    <row r="12449" spans="1:2" x14ac:dyDescent="0.25">
      <c r="A12449">
        <f ca="1">30067.304022079*((RANDBETWEEN(2979,3282)))</f>
        <v>97748805.375778973</v>
      </c>
      <c r="B12449">
        <v>190816029.15726221</v>
      </c>
    </row>
    <row r="12450" spans="1:2" x14ac:dyDescent="0.25">
      <c r="A12450">
        <f ca="1">25577.2980645227*((RANDBETWEEN(2979,3282)))</f>
        <v>80159252.134214178</v>
      </c>
      <c r="B12450">
        <v>190203620.28278232</v>
      </c>
    </row>
    <row r="12451" spans="1:2" x14ac:dyDescent="0.25">
      <c r="A12451">
        <f ca="1">29514.456244127*((RANDBETWEEN(2979,3282)))</f>
        <v>89694432.525901899</v>
      </c>
      <c r="B12451">
        <v>178224739.1768018</v>
      </c>
    </row>
    <row r="12452" spans="1:2" x14ac:dyDescent="0.25">
      <c r="A12452">
        <f ca="1">28572.5503676062*((RANDBETWEEN(2979,3282)))</f>
        <v>88489188.488476351</v>
      </c>
      <c r="B12452">
        <v>150875900.05158502</v>
      </c>
    </row>
    <row r="12453" spans="1:2" x14ac:dyDescent="0.25">
      <c r="A12453">
        <f ca="1">26813.3415053611*((RANDBETWEEN(2979,3282)))</f>
        <v>82290145.079953268</v>
      </c>
      <c r="B12453">
        <v>175989720.91283381</v>
      </c>
    </row>
    <row r="12454" spans="1:2" x14ac:dyDescent="0.25">
      <c r="A12454">
        <f ca="1">29391.8840565292*((RANDBETWEEN(2979,3282)))</f>
        <v>90350651.589770764</v>
      </c>
      <c r="B12454">
        <v>148142409.92000335</v>
      </c>
    </row>
    <row r="12455" spans="1:2" x14ac:dyDescent="0.25">
      <c r="A12455">
        <f ca="1">31556.8090276917*((RANDBETWEEN(2979,3282)))</f>
        <v>95080665.600435078</v>
      </c>
      <c r="B12455">
        <v>156004259.01747185</v>
      </c>
    </row>
    <row r="12456" spans="1:2" x14ac:dyDescent="0.25">
      <c r="A12456">
        <f ca="1">28440.6598387738*((RANDBETWEEN(2979,3282)))</f>
        <v>85464182.815515131</v>
      </c>
      <c r="B12456">
        <v>161277229.56071308</v>
      </c>
    </row>
    <row r="12457" spans="1:2" x14ac:dyDescent="0.25">
      <c r="A12457">
        <f ca="1">28633.0530246229*((RANDBETWEEN(2979,3282)))</f>
        <v>89993685.656389803</v>
      </c>
      <c r="B12457">
        <v>179689029.16178542</v>
      </c>
    </row>
    <row r="12458" spans="1:2" x14ac:dyDescent="0.25">
      <c r="A12458">
        <f ca="1">26812.5344744279*((RANDBETWEEN(2979,3282)))</f>
        <v>86229110.869760036</v>
      </c>
      <c r="B12458">
        <v>149834587.67501986</v>
      </c>
    </row>
    <row r="12459" spans="1:2" x14ac:dyDescent="0.25">
      <c r="A12459">
        <f ca="1">31256.5506395846*((RANDBETWEEN(2979,3282)))</f>
        <v>93488342.962997541</v>
      </c>
      <c r="B12459">
        <v>179289558.62871334</v>
      </c>
    </row>
    <row r="12460" spans="1:2" x14ac:dyDescent="0.25">
      <c r="A12460">
        <f ca="1">29894.4493113809*((RANDBETWEEN(2979,3282)))</f>
        <v>91387331.544891462</v>
      </c>
      <c r="B12460">
        <v>198244265.3763614</v>
      </c>
    </row>
    <row r="12461" spans="1:2" x14ac:dyDescent="0.25">
      <c r="A12461">
        <f ca="1">27485.5114665991*((RANDBETWEEN(2979,3282)))</f>
        <v>82291621.330997586</v>
      </c>
      <c r="B12461">
        <v>158813317.14346468</v>
      </c>
    </row>
    <row r="12462" spans="1:2" x14ac:dyDescent="0.25">
      <c r="A12462">
        <f ca="1">25796.0962223557*((RANDBETWEEN(2979,3282)))</f>
        <v>77491473.051956624</v>
      </c>
      <c r="B12462">
        <v>147541173.44671762</v>
      </c>
    </row>
    <row r="12463" spans="1:2" x14ac:dyDescent="0.25">
      <c r="A12463">
        <f ca="1">29984.8456437162*((RANDBETWEEN(2979,3282)))</f>
        <v>93252869.951957494</v>
      </c>
      <c r="B12463">
        <v>174156427.57265571</v>
      </c>
    </row>
    <row r="12464" spans="1:2" x14ac:dyDescent="0.25">
      <c r="A12464">
        <f ca="1">34290.5066026945*((RANDBETWEEN(2979,3282)))</f>
        <v>106917799.58720137</v>
      </c>
      <c r="B12464">
        <v>179587912.37869158</v>
      </c>
    </row>
    <row r="12465" spans="1:2" x14ac:dyDescent="0.25">
      <c r="A12465">
        <f ca="1">26790.1870375477*((RANDBETWEEN(2979,3282)))</f>
        <v>86398353.196091354</v>
      </c>
      <c r="B12465">
        <v>178582283.15531409</v>
      </c>
    </row>
    <row r="12466" spans="1:2" x14ac:dyDescent="0.25">
      <c r="A12466">
        <f ca="1">26647.1329945137*((RANDBETWEEN(2979,3282)))</f>
        <v>85377414.114421949</v>
      </c>
      <c r="B12466">
        <v>149515363.75533974</v>
      </c>
    </row>
    <row r="12467" spans="1:2" x14ac:dyDescent="0.25">
      <c r="A12467">
        <f ca="1">25947.818736325*((RANDBETWEEN(2979,3282)))</f>
        <v>84719628.174101084</v>
      </c>
      <c r="B12467">
        <v>170525191.33172193</v>
      </c>
    </row>
    <row r="12468" spans="1:2" x14ac:dyDescent="0.25">
      <c r="A12468">
        <f ca="1">28796.5610281362*((RANDBETWEEN(2979,3282)))</f>
        <v>91198708.776107475</v>
      </c>
      <c r="B12468">
        <v>145822156.5594433</v>
      </c>
    </row>
    <row r="12469" spans="1:2" x14ac:dyDescent="0.25">
      <c r="A12469">
        <f ca="1">32143.9771208001*((RANDBETWEEN(2979,3282)))</f>
        <v>102925014.74080196</v>
      </c>
      <c r="B12469">
        <v>168450721.88478994</v>
      </c>
    </row>
    <row r="12470" spans="1:2" x14ac:dyDescent="0.25">
      <c r="A12470">
        <f ca="1">29570.1769473431*((RANDBETWEEN(2979,3282)))</f>
        <v>90780443.228343159</v>
      </c>
      <c r="B12470">
        <v>166479994.98321867</v>
      </c>
    </row>
    <row r="12471" spans="1:2" x14ac:dyDescent="0.25">
      <c r="A12471">
        <f ca="1">26006.7101820978*((RANDBETWEEN(2979,3282)))</f>
        <v>82701338.379070923</v>
      </c>
      <c r="B12471">
        <v>156759625.07422975</v>
      </c>
    </row>
    <row r="12472" spans="1:2" x14ac:dyDescent="0.25">
      <c r="A12472">
        <f ca="1">25593.4296127269*((RANDBETWEEN(2979,3282)))</f>
        <v>82820338.226784289</v>
      </c>
      <c r="B12472">
        <v>199802937.10568064</v>
      </c>
    </row>
    <row r="12473" spans="1:2" x14ac:dyDescent="0.25">
      <c r="A12473">
        <f ca="1">28126.1445437354*((RANDBETWEEN(2979,3282)))</f>
        <v>86544146.761073783</v>
      </c>
      <c r="B12473">
        <v>198718056.61145756</v>
      </c>
    </row>
    <row r="12474" spans="1:2" x14ac:dyDescent="0.25">
      <c r="A12474">
        <f ca="1">25614.3133665046*((RANDBETWEEN(2979,3282)))</f>
        <v>82273174.533212766</v>
      </c>
      <c r="B12474">
        <v>179025488.31185859</v>
      </c>
    </row>
    <row r="12475" spans="1:2" x14ac:dyDescent="0.25">
      <c r="A12475">
        <f ca="1">27427.4368368645*((RANDBETWEEN(2979,3282)))</f>
        <v>84723352.38907434</v>
      </c>
      <c r="B12475">
        <v>202689854.26764101</v>
      </c>
    </row>
    <row r="12476" spans="1:2" x14ac:dyDescent="0.25">
      <c r="A12476">
        <f ca="1">32480.0516861417*((RANDBETWEEN(2979,3282)))</f>
        <v>103838725.24059488</v>
      </c>
      <c r="B12476">
        <v>202270278.30174178</v>
      </c>
    </row>
    <row r="12477" spans="1:2" x14ac:dyDescent="0.25">
      <c r="A12477">
        <f ca="1">28155.0195744045*((RANDBETWEEN(2979,3282)))</f>
        <v>86801925.3478892</v>
      </c>
      <c r="B12477">
        <v>153854062.3755247</v>
      </c>
    </row>
    <row r="12478" spans="1:2" x14ac:dyDescent="0.25">
      <c r="A12478">
        <f ca="1">34215.8548607504*((RANDBETWEEN(2979,3282)))</f>
        <v>103605608.51835236</v>
      </c>
      <c r="B12478">
        <v>194272165.37424502</v>
      </c>
    </row>
    <row r="12479" spans="1:2" x14ac:dyDescent="0.25">
      <c r="A12479">
        <f ca="1">28192.1498261151*((RANDBETWEEN(2979,3282)))</f>
        <v>84520065.178693146</v>
      </c>
      <c r="B12479">
        <v>164230883.91561681</v>
      </c>
    </row>
    <row r="12480" spans="1:2" x14ac:dyDescent="0.25">
      <c r="A12480">
        <f ca="1">26278.1933949211*((RANDBETWEEN(2979,3282)))</f>
        <v>79990820.694139957</v>
      </c>
      <c r="B12480">
        <v>149036434.37616679</v>
      </c>
    </row>
    <row r="12481" spans="1:2" x14ac:dyDescent="0.25">
      <c r="A12481">
        <f ca="1">28819.4962500098*((RANDBETWEEN(2979,3282)))</f>
        <v>92049471.022531211</v>
      </c>
      <c r="B12481">
        <v>159955829.83239093</v>
      </c>
    </row>
    <row r="12482" spans="1:2" x14ac:dyDescent="0.25">
      <c r="A12482">
        <f ca="1">30319.2471750222*((RANDBETWEEN(2979,3282)))</f>
        <v>93140727.321668059</v>
      </c>
      <c r="B12482">
        <v>195944844.03978202</v>
      </c>
    </row>
    <row r="12483" spans="1:2" x14ac:dyDescent="0.25">
      <c r="A12483">
        <f ca="1">28087.0524275067*((RANDBETWEEN(2979,3282)))</f>
        <v>88670824.513638645</v>
      </c>
      <c r="B12483">
        <v>201063092.72921225</v>
      </c>
    </row>
    <row r="12484" spans="1:2" x14ac:dyDescent="0.25">
      <c r="A12484">
        <f ca="1">32909.1428285002*((RANDBETWEEN(2979,3282)))</f>
        <v>105111802.19422959</v>
      </c>
      <c r="B12484">
        <v>152229108.36116204</v>
      </c>
    </row>
    <row r="12485" spans="1:2" x14ac:dyDescent="0.25">
      <c r="A12485">
        <f ca="1">28235.6202625683*((RANDBETWEEN(2979,3282)))</f>
        <v>89930450.536279932</v>
      </c>
      <c r="B12485">
        <v>173981072.55957264</v>
      </c>
    </row>
    <row r="12486" spans="1:2" x14ac:dyDescent="0.25">
      <c r="A12486">
        <f ca="1">26527.3479397695*((RANDBETWEEN(2979,3282)))</f>
        <v>82102141.87358661</v>
      </c>
      <c r="B12486">
        <v>143620645.78078729</v>
      </c>
    </row>
    <row r="12487" spans="1:2" x14ac:dyDescent="0.25">
      <c r="A12487">
        <f ca="1">27311.0110548125*((RANDBETWEEN(2979,3282)))</f>
        <v>87641034.474893376</v>
      </c>
      <c r="B12487">
        <v>151780438.34238029</v>
      </c>
    </row>
    <row r="12488" spans="1:2" x14ac:dyDescent="0.25">
      <c r="A12488">
        <f ca="1">25158.9896023685*((RANDBETWEEN(2979,3282)))</f>
        <v>82320213.97894977</v>
      </c>
      <c r="B12488">
        <v>144712861.40673259</v>
      </c>
    </row>
    <row r="12489" spans="1:2" x14ac:dyDescent="0.25">
      <c r="A12489">
        <f ca="1">27593.4780836091*((RANDBETWEEN(2979,3282)))</f>
        <v>85319034.234519392</v>
      </c>
      <c r="B12489">
        <v>185125044.61048868</v>
      </c>
    </row>
    <row r="12490" spans="1:2" x14ac:dyDescent="0.25">
      <c r="A12490">
        <f ca="1">26520.3727293941*((RANDBETWEEN(2979,3282)))</f>
        <v>84202183.415826201</v>
      </c>
      <c r="B12490">
        <v>175702643.60130051</v>
      </c>
    </row>
    <row r="12491" spans="1:2" x14ac:dyDescent="0.25">
      <c r="A12491">
        <f ca="1">24980.2178501307*((RANDBETWEEN(2979,3282)))</f>
        <v>77463655.553255349</v>
      </c>
      <c r="B12491">
        <v>143787991.65274647</v>
      </c>
    </row>
    <row r="12492" spans="1:2" x14ac:dyDescent="0.25">
      <c r="A12492">
        <f ca="1">27428.0168246711*((RANDBETWEEN(2979,3282)))</f>
        <v>88949058.562408313</v>
      </c>
      <c r="B12492">
        <v>157455826.81312034</v>
      </c>
    </row>
    <row r="12493" spans="1:2" x14ac:dyDescent="0.25">
      <c r="A12493">
        <f ca="1">31158.7178220141*((RANDBETWEEN(2979,3282)))</f>
        <v>96342755.505667746</v>
      </c>
      <c r="B12493">
        <v>188718854.12249961</v>
      </c>
    </row>
    <row r="12494" spans="1:2" x14ac:dyDescent="0.25">
      <c r="A12494">
        <f ca="1">31687.7004301336*((RANDBETWEEN(2979,3282)))</f>
        <v>102668149.3936328</v>
      </c>
      <c r="B12494">
        <v>189596483.67294532</v>
      </c>
    </row>
    <row r="12495" spans="1:2" x14ac:dyDescent="0.25">
      <c r="A12495">
        <f ca="1">27813.0809021148*((RANDBETWEEN(2979,3282)))</f>
        <v>86665560.090989664</v>
      </c>
      <c r="B12495">
        <v>177865529.25127128</v>
      </c>
    </row>
    <row r="12496" spans="1:2" x14ac:dyDescent="0.25">
      <c r="A12496">
        <f ca="1">26245.8828208942*((RANDBETWEEN(2979,3282)))</f>
        <v>83015727.362488344</v>
      </c>
      <c r="B12496">
        <v>155630120.64063656</v>
      </c>
    </row>
    <row r="12497" spans="1:2" x14ac:dyDescent="0.25">
      <c r="A12497">
        <f ca="1">26224.3246489879*((RANDBETWEEN(2979,3282)))</f>
        <v>83917838.876761377</v>
      </c>
      <c r="B12497">
        <v>143696048.9640429</v>
      </c>
    </row>
    <row r="12498" spans="1:2" x14ac:dyDescent="0.25">
      <c r="A12498">
        <f ca="1">31095.0940635187*((RANDBETWEEN(2979,3282)))</f>
        <v>93254187.096492723</v>
      </c>
      <c r="B12498">
        <v>163657546.95737192</v>
      </c>
    </row>
    <row r="12499" spans="1:2" x14ac:dyDescent="0.25">
      <c r="A12499">
        <f ca="1">28420.9306153703*((RANDBETWEEN(2979,3282)))</f>
        <v>90321717.495646864</v>
      </c>
      <c r="B12499">
        <v>197917601.70635986</v>
      </c>
    </row>
    <row r="12500" spans="1:2" x14ac:dyDescent="0.25">
      <c r="A12500">
        <f ca="1">28702.2036274226*((RANDBETWEEN(2979,3282)))</f>
        <v>86393632.918541893</v>
      </c>
      <c r="B12500">
        <v>149785468.72121364</v>
      </c>
    </row>
    <row r="12501" spans="1:2" x14ac:dyDescent="0.25">
      <c r="A12501">
        <f ca="1">33288.5842327027*((RANDBETWEEN(2979,3282)))</f>
        <v>100198638.54043522</v>
      </c>
      <c r="B12501">
        <v>155072956.29952163</v>
      </c>
    </row>
    <row r="12502" spans="1:2" x14ac:dyDescent="0.25">
      <c r="A12502">
        <f ca="1">27532.2595587751*((RANDBETWEEN(2979,3282)))</f>
        <v>83725601.318235144</v>
      </c>
      <c r="B12502">
        <v>167523761.67232102</v>
      </c>
    </row>
    <row r="12503" spans="1:2" x14ac:dyDescent="0.25">
      <c r="A12503">
        <f ca="1">30631.6647851565*((RANDBETWEEN(2979,3282)))</f>
        <v>92446364.321602404</v>
      </c>
      <c r="B12503">
        <v>165083570.09930143</v>
      </c>
    </row>
    <row r="12504" spans="1:2" x14ac:dyDescent="0.25">
      <c r="A12504">
        <f ca="1">27960.2631629641*((RANDBETWEEN(2979,3282)))</f>
        <v>85418603.962855279</v>
      </c>
      <c r="B12504">
        <v>152604066.28334758</v>
      </c>
    </row>
    <row r="12505" spans="1:2" x14ac:dyDescent="0.25">
      <c r="A12505">
        <f ca="1">26759.3163710771*((RANDBETWEEN(2979,3282)))</f>
        <v>84612958.365345687</v>
      </c>
      <c r="B12505">
        <v>146132064.67988592</v>
      </c>
    </row>
    <row r="12506" spans="1:2" x14ac:dyDescent="0.25">
      <c r="A12506">
        <f ca="1">26607.3785549963*((RANDBETWEEN(2979,3282)))</f>
        <v>79955172.557763934</v>
      </c>
      <c r="B12506">
        <v>147621418.63101453</v>
      </c>
    </row>
    <row r="12507" spans="1:2" x14ac:dyDescent="0.25">
      <c r="A12507">
        <f ca="1">26171.5409068389*((RANDBETWEEN(2979,3282)))</f>
        <v>81890751.497498989</v>
      </c>
      <c r="B12507">
        <v>144993449.93514276</v>
      </c>
    </row>
    <row r="12508" spans="1:2" x14ac:dyDescent="0.25">
      <c r="A12508">
        <f ca="1">30729.5452252056*((RANDBETWEEN(2979,3282)))</f>
        <v>95538156.105164334</v>
      </c>
      <c r="B12508">
        <v>194001806.5297918</v>
      </c>
    </row>
    <row r="12509" spans="1:2" x14ac:dyDescent="0.25">
      <c r="A12509">
        <f ca="1">29520.3075374408*((RANDBETWEEN(2979,3282)))</f>
        <v>90922547.215317816</v>
      </c>
      <c r="B12509">
        <v>164491393.95757276</v>
      </c>
    </row>
    <row r="12510" spans="1:2" x14ac:dyDescent="0.25">
      <c r="A12510">
        <f ca="1">26479.7651147317*((RANDBETWEEN(2979,3282)))</f>
        <v>79200977.458162576</v>
      </c>
      <c r="B12510">
        <v>194213436.76281038</v>
      </c>
    </row>
    <row r="12511" spans="1:2" x14ac:dyDescent="0.25">
      <c r="A12511">
        <f ca="1">28701.711402521*((RANDBETWEEN(2979,3282)))</f>
        <v>90582601.186356381</v>
      </c>
      <c r="B12511">
        <v>155067777.26618439</v>
      </c>
    </row>
    <row r="12512" spans="1:2" x14ac:dyDescent="0.25">
      <c r="A12512">
        <f ca="1">29670.1408127756*((RANDBETWEEN(2979,3282)))</f>
        <v>91087332.295221105</v>
      </c>
      <c r="B12512">
        <v>167869286.35927412</v>
      </c>
    </row>
    <row r="12513" spans="1:2" x14ac:dyDescent="0.25">
      <c r="A12513">
        <f ca="1">31670.6219331802*((RANDBETWEEN(2979,3282)))</f>
        <v>97165468.090996787</v>
      </c>
      <c r="B12513">
        <v>196469580.17229494</v>
      </c>
    </row>
    <row r="12514" spans="1:2" x14ac:dyDescent="0.25">
      <c r="A12514">
        <f ca="1">27775.3109646239*((RANDBETWEEN(2979,3282)))</f>
        <v>86492318.34383893</v>
      </c>
      <c r="B12514">
        <v>163886538.18860644</v>
      </c>
    </row>
    <row r="12515" spans="1:2" x14ac:dyDescent="0.25">
      <c r="A12515">
        <f ca="1">27137.7792124441*((RANDBETWEEN(2979,3282)))</f>
        <v>82118919.896855861</v>
      </c>
      <c r="B12515">
        <v>170246376.12597328</v>
      </c>
    </row>
    <row r="12516" spans="1:2" x14ac:dyDescent="0.25">
      <c r="A12516">
        <f ca="1">25853.2370265345*((RANDBETWEEN(2979,3282)))</f>
        <v>77844096.686895356</v>
      </c>
      <c r="B12516">
        <v>146502748.51124552</v>
      </c>
    </row>
    <row r="12517" spans="1:2" x14ac:dyDescent="0.25">
      <c r="A12517">
        <f ca="1">27348.6637738881*((RANDBETWEEN(2979,3282)))</f>
        <v>88828459.937588468</v>
      </c>
      <c r="B12517">
        <v>150777109.70637193</v>
      </c>
    </row>
    <row r="12518" spans="1:2" x14ac:dyDescent="0.25">
      <c r="A12518">
        <f ca="1">30883.8999797161*((RANDBETWEEN(2979,3282)))</f>
        <v>97129865.436207086</v>
      </c>
      <c r="B12518">
        <v>195866162.97329804</v>
      </c>
    </row>
    <row r="12519" spans="1:2" x14ac:dyDescent="0.25">
      <c r="A12519">
        <f ca="1">28986.6910287231*((RANDBETWEEN(2979,3282)))</f>
        <v>91047196.521219239</v>
      </c>
      <c r="B12519">
        <v>192017026.38756704</v>
      </c>
    </row>
    <row r="12520" spans="1:2" x14ac:dyDescent="0.25">
      <c r="A12520">
        <f ca="1">27657.633318417*((RANDBETWEEN(2979,3282)))</f>
        <v>84825961.387584895</v>
      </c>
      <c r="B12520">
        <v>148726780.94958684</v>
      </c>
    </row>
    <row r="12521" spans="1:2" x14ac:dyDescent="0.25">
      <c r="A12521">
        <f ca="1">26417.9900100041*((RANDBETWEEN(2979,3282)))</f>
        <v>82239202.901142776</v>
      </c>
      <c r="B12521">
        <v>145323308.39680758</v>
      </c>
    </row>
    <row r="12522" spans="1:2" x14ac:dyDescent="0.25">
      <c r="A12522">
        <f ca="1">29907.6558690415*((RANDBETWEEN(2979,3282)))</f>
        <v>96840989.703956276</v>
      </c>
      <c r="B12522">
        <v>186758587.09114489</v>
      </c>
    </row>
    <row r="12523" spans="1:2" x14ac:dyDescent="0.25">
      <c r="A12523">
        <f ca="1">31989.3134056478*((RANDBETWEEN(2979,3282)))</f>
        <v>102685696.03212933</v>
      </c>
      <c r="B12523">
        <v>190306273.3040424</v>
      </c>
    </row>
    <row r="12524" spans="1:2" x14ac:dyDescent="0.25">
      <c r="A12524">
        <f ca="1">27218.3169647567*((RANDBETWEEN(2979,3282)))</f>
        <v>82906993.474648878</v>
      </c>
      <c r="B12524">
        <v>168098644.61918598</v>
      </c>
    </row>
    <row r="12525" spans="1:2" x14ac:dyDescent="0.25">
      <c r="A12525">
        <f ca="1">27613.2670380978*((RANDBETWEEN(2979,3282)))</f>
        <v>90488676.08384648</v>
      </c>
      <c r="B12525">
        <v>197377281.40874457</v>
      </c>
    </row>
    <row r="12526" spans="1:2" x14ac:dyDescent="0.25">
      <c r="A12526">
        <f ca="1">25803.1385451969*((RANDBETWEEN(2979,3282)))</f>
        <v>80015532.628655672</v>
      </c>
      <c r="B12526">
        <v>155315994.99438581</v>
      </c>
    </row>
    <row r="12527" spans="1:2" x14ac:dyDescent="0.25">
      <c r="A12527">
        <f ca="1">27139.0780498089*((RANDBETWEEN(2979,3282)))</f>
        <v>81634346.773825273</v>
      </c>
      <c r="B12527">
        <v>152285978.69598493</v>
      </c>
    </row>
    <row r="12528" spans="1:2" x14ac:dyDescent="0.25">
      <c r="A12528">
        <f ca="1">26959.1436766129*((RANDBETWEEN(2979,3282)))</f>
        <v>87401543.799578995</v>
      </c>
      <c r="B12528">
        <v>173155949.2680499</v>
      </c>
    </row>
    <row r="12529" spans="1:2" x14ac:dyDescent="0.25">
      <c r="A12529">
        <f ca="1">25600.1976428347*((RANDBETWEEN(2979,3282)))</f>
        <v>80896624.551357701</v>
      </c>
      <c r="B12529">
        <v>146838878.13735038</v>
      </c>
    </row>
    <row r="12530" spans="1:2" x14ac:dyDescent="0.25">
      <c r="A12530">
        <f ca="1">27357.1951907739*((RANDBETWEEN(2979,3282)))</f>
        <v>86968523.511470333</v>
      </c>
      <c r="B12530">
        <v>149393977.64912748</v>
      </c>
    </row>
    <row r="12531" spans="1:2" x14ac:dyDescent="0.25">
      <c r="A12531">
        <f ca="1">27705.208992157*((RANDBETWEEN(2979,3282)))</f>
        <v>82616933.21461232</v>
      </c>
      <c r="B12531">
        <v>158438251.52474204</v>
      </c>
    </row>
    <row r="12532" spans="1:2" x14ac:dyDescent="0.25">
      <c r="A12532">
        <f ca="1">25950.701340246*((RANDBETWEEN(2979,3282)))</f>
        <v>80758582.57084541</v>
      </c>
      <c r="B12532">
        <v>170205761.41436705</v>
      </c>
    </row>
    <row r="12533" spans="1:2" x14ac:dyDescent="0.25">
      <c r="A12533">
        <f ca="1">26932.5240619068*((RANDBETWEEN(2979,3282)))</f>
        <v>80231989.180420294</v>
      </c>
      <c r="B12533">
        <v>146089068.32856789</v>
      </c>
    </row>
    <row r="12534" spans="1:2" x14ac:dyDescent="0.25">
      <c r="A12534">
        <f ca="1">33163.862291556*((RANDBETWEEN(2979,3282)))</f>
        <v>99325767.563210294</v>
      </c>
      <c r="B12534">
        <v>146483759.54303741</v>
      </c>
    </row>
    <row r="12535" spans="1:2" x14ac:dyDescent="0.25">
      <c r="A12535">
        <f ca="1">27703.6025915477*((RANDBETWEEN(2979,3282)))</f>
        <v>89981301.217347056</v>
      </c>
      <c r="B12535">
        <v>181803528.692781</v>
      </c>
    </row>
    <row r="12536" spans="1:2" x14ac:dyDescent="0.25">
      <c r="A12536">
        <f ca="1">29508.4471625862*((RANDBETWEEN(2979,3282)))</f>
        <v>93305709.928097472</v>
      </c>
      <c r="B12536">
        <v>152761429.82811594</v>
      </c>
    </row>
    <row r="12537" spans="1:2" x14ac:dyDescent="0.25">
      <c r="A12537">
        <f ca="1">27103.0058419215*((RANDBETWEEN(2979,3282)))</f>
        <v>80821163.420609996</v>
      </c>
      <c r="B12537">
        <v>151751230.82404298</v>
      </c>
    </row>
    <row r="12538" spans="1:2" x14ac:dyDescent="0.25">
      <c r="A12538">
        <f ca="1">31189.7265601509*((RANDBETWEEN(2979,3282)))</f>
        <v>99775935.265922785</v>
      </c>
      <c r="B12538">
        <v>178075082.74064541</v>
      </c>
    </row>
    <row r="12539" spans="1:2" x14ac:dyDescent="0.25">
      <c r="A12539">
        <f ca="1">27560.9325444632*((RANDBETWEEN(2979,3282)))</f>
        <v>87588643.626303896</v>
      </c>
      <c r="B12539">
        <v>176236113.18335307</v>
      </c>
    </row>
    <row r="12540" spans="1:2" x14ac:dyDescent="0.25">
      <c r="A12540">
        <f ca="1">27720.6887388751*((RANDBETWEEN(2979,3282)))</f>
        <v>89648707.38152194</v>
      </c>
      <c r="B12540">
        <v>151360562.20254916</v>
      </c>
    </row>
    <row r="12541" spans="1:2" x14ac:dyDescent="0.25">
      <c r="A12541">
        <f ca="1">28197.142053438*((RANDBETWEEN(2979,3282)))</f>
        <v>92261048.798849002</v>
      </c>
      <c r="B12541">
        <v>157645357.4702332</v>
      </c>
    </row>
    <row r="12542" spans="1:2" x14ac:dyDescent="0.25">
      <c r="A12542">
        <f ca="1">27630.3818337416*((RANDBETWEEN(2979,3282)))</f>
        <v>88859307.977313131</v>
      </c>
      <c r="B12542">
        <v>155932078.18472487</v>
      </c>
    </row>
    <row r="12543" spans="1:2" x14ac:dyDescent="0.25">
      <c r="A12543">
        <f ca="1">27418.3552785938*((RANDBETWEEN(2979,3282)))</f>
        <v>88396777.418186381</v>
      </c>
      <c r="B12543">
        <v>153871263.36747319</v>
      </c>
    </row>
    <row r="12544" spans="1:2" x14ac:dyDescent="0.25">
      <c r="A12544">
        <f ca="1">27074.98798936*((RANDBETWEEN(2979,3282)))</f>
        <v>85204987.202515975</v>
      </c>
      <c r="B12544">
        <v>197685813.18051118</v>
      </c>
    </row>
    <row r="12545" spans="1:2" x14ac:dyDescent="0.25">
      <c r="A12545">
        <f ca="1">27121.8236558648*((RANDBETWEEN(2979,3282)))</f>
        <v>81284105.496626779</v>
      </c>
      <c r="B12545">
        <v>158068916.54563475</v>
      </c>
    </row>
    <row r="12546" spans="1:2" x14ac:dyDescent="0.25">
      <c r="A12546">
        <f ca="1">27292.8856123415*((RANDBETWEEN(2979,3282)))</f>
        <v>82943079.375905856</v>
      </c>
      <c r="B12546">
        <v>154943181.69327024</v>
      </c>
    </row>
    <row r="12547" spans="1:2" x14ac:dyDescent="0.25">
      <c r="A12547">
        <f ca="1">27352.1986125615*((RANDBETWEEN(2979,3282)))</f>
        <v>82330117.823810026</v>
      </c>
      <c r="B12547">
        <v>182762002.82638034</v>
      </c>
    </row>
    <row r="12548" spans="1:2" x14ac:dyDescent="0.25">
      <c r="A12548">
        <f ca="1">29487.1851792693*((RANDBETWEEN(2979,3282)))</f>
        <v>94919249.092067957</v>
      </c>
      <c r="B12548">
        <v>194290123.28918156</v>
      </c>
    </row>
    <row r="12549" spans="1:2" x14ac:dyDescent="0.25">
      <c r="A12549">
        <f ca="1">32959.4453348223*((RANDBETWEEN(2979,3282)))</f>
        <v>106491967.87681088</v>
      </c>
      <c r="B12549">
        <v>156318775.70485556</v>
      </c>
    </row>
    <row r="12550" spans="1:2" x14ac:dyDescent="0.25">
      <c r="A12550">
        <f ca="1">26325.8308967733*((RANDBETWEEN(2979,3282)))</f>
        <v>81452120.794616535</v>
      </c>
      <c r="B12550">
        <v>149979491.89791742</v>
      </c>
    </row>
    <row r="12551" spans="1:2" x14ac:dyDescent="0.25">
      <c r="A12551">
        <f ca="1">27518.6598464856*((RANDBETWEEN(2979,3282)))</f>
        <v>88032192.848907486</v>
      </c>
      <c r="B12551">
        <v>178152618.12114805</v>
      </c>
    </row>
    <row r="12552" spans="1:2" x14ac:dyDescent="0.25">
      <c r="A12552">
        <f ca="1">29590.150604866*((RANDBETWEEN(2979,3282)))</f>
        <v>92587581.242625803</v>
      </c>
      <c r="B12552">
        <v>157170551.04533744</v>
      </c>
    </row>
    <row r="12553" spans="1:2" x14ac:dyDescent="0.25">
      <c r="A12553">
        <f ca="1">31824.660377428*((RANDBETWEEN(2979,3282)))</f>
        <v>101616140.58512761</v>
      </c>
      <c r="B12553">
        <v>194875346.02004144</v>
      </c>
    </row>
    <row r="12554" spans="1:2" x14ac:dyDescent="0.25">
      <c r="A12554">
        <f ca="1">32168.1748203963*((RANDBETWEEN(2979,3282)))</f>
        <v>96408019.936727658</v>
      </c>
      <c r="B12554">
        <v>154802348.11741644</v>
      </c>
    </row>
    <row r="12555" spans="1:2" x14ac:dyDescent="0.25">
      <c r="A12555">
        <f ca="1">32179.3191195936*((RANDBETWEEN(2979,3282)))</f>
        <v>103520869.60773249</v>
      </c>
      <c r="B12555">
        <v>143041583.35292089</v>
      </c>
    </row>
    <row r="12556" spans="1:2" x14ac:dyDescent="0.25">
      <c r="A12556">
        <f ca="1">26780.7116801366*((RANDBETWEEN(2979,3282)))</f>
        <v>85350128.124595389</v>
      </c>
      <c r="B12556">
        <v>151877665.1997897</v>
      </c>
    </row>
    <row r="12557" spans="1:2" x14ac:dyDescent="0.25">
      <c r="A12557">
        <f ca="1">27132.4774332886*((RANDBETWEEN(2979,3282)))</f>
        <v>81180372.480399445</v>
      </c>
      <c r="B12557">
        <v>146009913.51786792</v>
      </c>
    </row>
    <row r="12558" spans="1:2" x14ac:dyDescent="0.25">
      <c r="A12558">
        <f ca="1">28342.7380250619*((RANDBETWEEN(2979,3282)))</f>
        <v>88769455.494493902</v>
      </c>
      <c r="B12558">
        <v>151310137.19533062</v>
      </c>
    </row>
    <row r="12559" spans="1:2" x14ac:dyDescent="0.25">
      <c r="A12559">
        <f ca="1">26908.5607488832*((RANDBETWEEN(2979,3282)))</f>
        <v>81990384.601846993</v>
      </c>
      <c r="B12559">
        <v>144456134.3947686</v>
      </c>
    </row>
    <row r="12560" spans="1:2" x14ac:dyDescent="0.25">
      <c r="A12560">
        <f ca="1">30704.4022481629*((RANDBETWEEN(2979,3282)))</f>
        <v>96319709.852487013</v>
      </c>
      <c r="B12560">
        <v>158489563.08562425</v>
      </c>
    </row>
    <row r="12561" spans="1:2" x14ac:dyDescent="0.25">
      <c r="A12561">
        <f ca="1">29409.7232361307*((RANDBETWEEN(2979,3282)))</f>
        <v>87876253.029558644</v>
      </c>
      <c r="B12561">
        <v>158292806.002323</v>
      </c>
    </row>
    <row r="12562" spans="1:2" x14ac:dyDescent="0.25">
      <c r="A12562">
        <f ca="1">28537.7204796499*((RANDBETWEEN(2979,3282)))</f>
        <v>93432496.850373775</v>
      </c>
      <c r="B12562">
        <v>155770258.82231858</v>
      </c>
    </row>
    <row r="12563" spans="1:2" x14ac:dyDescent="0.25">
      <c r="A12563">
        <f ca="1">27129.4754078615*((RANDBETWEEN(2979,3282)))</f>
        <v>87438299.239537507</v>
      </c>
      <c r="B12563">
        <v>194340009.06213641</v>
      </c>
    </row>
    <row r="12564" spans="1:2" x14ac:dyDescent="0.25">
      <c r="A12564">
        <f ca="1">29513.9220770851*((RANDBETWEEN(2979,3282)))</f>
        <v>90194545.867572114</v>
      </c>
      <c r="B12564">
        <v>147080610.63432604</v>
      </c>
    </row>
    <row r="12565" spans="1:2" x14ac:dyDescent="0.25">
      <c r="A12565">
        <f ca="1">26198.6235964058*((RANDBETWEEN(2979,3282)))</f>
        <v>79958199.216230407</v>
      </c>
      <c r="B12565">
        <v>146462957.31894732</v>
      </c>
    </row>
    <row r="12566" spans="1:2" x14ac:dyDescent="0.25">
      <c r="A12566">
        <f ca="1">30515.6669104441*((RANDBETWEEN(2979,3282)))</f>
        <v>92584533.406287417</v>
      </c>
      <c r="B12566">
        <v>158734554.34317058</v>
      </c>
    </row>
    <row r="12567" spans="1:2" x14ac:dyDescent="0.25">
      <c r="A12567">
        <f ca="1">27741.7885706801*((RANDBETWEEN(2979,3282)))</f>
        <v>86831798.226228729</v>
      </c>
      <c r="B12567">
        <v>153380697.73586828</v>
      </c>
    </row>
    <row r="12568" spans="1:2" x14ac:dyDescent="0.25">
      <c r="A12568">
        <f ca="1">27226.1382680272*((RANDBETWEEN(2979,3282)))</f>
        <v>85136134.364121124</v>
      </c>
      <c r="B12568">
        <v>195162174.05558771</v>
      </c>
    </row>
    <row r="12569" spans="1:2" x14ac:dyDescent="0.25">
      <c r="A12569">
        <f ca="1">29764.4252118348*((RANDBETWEEN(2979,3282)))</f>
        <v>95841449.182108164</v>
      </c>
      <c r="B12569">
        <v>145693878.26682329</v>
      </c>
    </row>
    <row r="12570" spans="1:2" x14ac:dyDescent="0.25">
      <c r="A12570">
        <f ca="1">31924.3082954752*((RANDBETWEEN(2979,3282)))</f>
        <v>101487376.07131556</v>
      </c>
      <c r="B12570">
        <v>189817210.2500039</v>
      </c>
    </row>
    <row r="12571" spans="1:2" x14ac:dyDescent="0.25">
      <c r="A12571">
        <f ca="1">29934.6372625231*((RANDBETWEEN(2979,3282)))</f>
        <v>94503649.837785557</v>
      </c>
      <c r="B12571">
        <v>191452774.08052984</v>
      </c>
    </row>
    <row r="12572" spans="1:2" x14ac:dyDescent="0.25">
      <c r="A12572">
        <f ca="1">27745.6117727719*((RANDBETWEEN(2979,3282)))</f>
        <v>88536247.166915119</v>
      </c>
      <c r="B12572">
        <v>156980480.87091744</v>
      </c>
    </row>
    <row r="12573" spans="1:2" x14ac:dyDescent="0.25">
      <c r="A12573">
        <f ca="1">30327.6314690209*((RANDBETWEEN(2979,3282)))</f>
        <v>94925486.498035327</v>
      </c>
      <c r="B12573">
        <v>173220301.77328062</v>
      </c>
    </row>
    <row r="12574" spans="1:2" x14ac:dyDescent="0.25">
      <c r="A12574">
        <f ca="1">24882.4296951784*((RANDBETWEEN(2979,3282)))</f>
        <v>80917661.368720084</v>
      </c>
      <c r="B12574">
        <v>184273844.99122748</v>
      </c>
    </row>
    <row r="12575" spans="1:2" x14ac:dyDescent="0.25">
      <c r="A12575">
        <f ca="1">27331.6030615855*((RANDBETWEEN(2979,3282)))</f>
        <v>84837295.903161243</v>
      </c>
      <c r="B12575">
        <v>158215298.62719339</v>
      </c>
    </row>
    <row r="12576" spans="1:2" x14ac:dyDescent="0.25">
      <c r="A12576">
        <f ca="1">29952.813758629*((RANDBETWEEN(2979,3282)))</f>
        <v>89439101.883266166</v>
      </c>
      <c r="B12576">
        <v>189946774.07554281</v>
      </c>
    </row>
    <row r="12577" spans="1:2" x14ac:dyDescent="0.25">
      <c r="A12577">
        <f ca="1">24995.9481622441*((RANDBETWEEN(2979,3282)))</f>
        <v>80536944.978750512</v>
      </c>
      <c r="B12577">
        <v>145161611.29354867</v>
      </c>
    </row>
    <row r="12578" spans="1:2" x14ac:dyDescent="0.25">
      <c r="A12578">
        <f ca="1">27918.8205188637*((RANDBETWEEN(2979,3282)))</f>
        <v>86073723.659656838</v>
      </c>
      <c r="B12578">
        <v>160729233.26681086</v>
      </c>
    </row>
    <row r="12579" spans="1:2" x14ac:dyDescent="0.25">
      <c r="A12579">
        <f ca="1">26859.962021795*((RANDBETWEEN(2979,3282)))</f>
        <v>85280379.419199139</v>
      </c>
      <c r="B12579">
        <v>198238883.29805356</v>
      </c>
    </row>
    <row r="12580" spans="1:2" x14ac:dyDescent="0.25">
      <c r="A12580">
        <f ca="1">26870.0318049639*((RANDBETWEEN(2979,3282)))</f>
        <v>87542563.620572403</v>
      </c>
      <c r="B12580">
        <v>162902228.69944233</v>
      </c>
    </row>
    <row r="12581" spans="1:2" x14ac:dyDescent="0.25">
      <c r="A12581">
        <f ca="1">26522.0775859058*((RANDBETWEEN(2979,3282)))</f>
        <v>86674149.550740108</v>
      </c>
      <c r="B12581">
        <v>157546688.82400197</v>
      </c>
    </row>
    <row r="12582" spans="1:2" x14ac:dyDescent="0.25">
      <c r="A12582">
        <f ca="1">26767.3414636974*((RANDBETWEEN(2979,3282)))</f>
        <v>83781778.781372845</v>
      </c>
      <c r="B12582">
        <v>166955733.02028632</v>
      </c>
    </row>
    <row r="12583" spans="1:2" x14ac:dyDescent="0.25">
      <c r="A12583">
        <f ca="1">26717.6050580607*((RANDBETWEEN(2979,3282)))</f>
        <v>79939074.333717629</v>
      </c>
      <c r="B12583">
        <v>192195347.05335104</v>
      </c>
    </row>
    <row r="12584" spans="1:2" x14ac:dyDescent="0.25">
      <c r="A12584">
        <f ca="1">25791.3181504372*((RANDBETWEEN(2979,3282)))</f>
        <v>84595523.533433869</v>
      </c>
      <c r="B12584">
        <v>171844249.22085685</v>
      </c>
    </row>
    <row r="12585" spans="1:2" x14ac:dyDescent="0.25">
      <c r="A12585">
        <f ca="1">25876.6096107824*((RANDBETWEEN(2979,3282)))</f>
        <v>84383623.940761387</v>
      </c>
      <c r="B12585">
        <v>148634108.89982277</v>
      </c>
    </row>
    <row r="12586" spans="1:2" x14ac:dyDescent="0.25">
      <c r="A12586">
        <f ca="1">27176.607891303*((RANDBETWEEN(2979,3282)))</f>
        <v>83241949.971061215</v>
      </c>
      <c r="B12586">
        <v>154255557.34577236</v>
      </c>
    </row>
    <row r="12587" spans="1:2" x14ac:dyDescent="0.25">
      <c r="A12587">
        <f ca="1">26722.670386713*((RANDBETWEEN(2979,3282)))</f>
        <v>87677081.53880541</v>
      </c>
      <c r="B12587">
        <v>156318816.11796978</v>
      </c>
    </row>
    <row r="12588" spans="1:2" x14ac:dyDescent="0.25">
      <c r="A12588">
        <f ca="1">27784.7102897011*((RANDBETWEEN(2979,3282)))</f>
        <v>87410698.571399793</v>
      </c>
      <c r="B12588">
        <v>156517879.42334157</v>
      </c>
    </row>
    <row r="12589" spans="1:2" x14ac:dyDescent="0.25">
      <c r="A12589">
        <f ca="1">27745.0553488101*((RANDBETWEEN(2979,3282)))</f>
        <v>86453592.466892332</v>
      </c>
      <c r="B12589">
        <v>196655165.06207848</v>
      </c>
    </row>
    <row r="12590" spans="1:2" x14ac:dyDescent="0.25">
      <c r="A12590">
        <f ca="1">26791.7697682778*((RANDBETWEEN(2979,3282)))</f>
        <v>87850213.070182845</v>
      </c>
      <c r="B12590">
        <v>156126105.64445403</v>
      </c>
    </row>
    <row r="12591" spans="1:2" x14ac:dyDescent="0.25">
      <c r="A12591">
        <f ca="1">26503.8732981539*((RANDBETWEEN(2979,3282)))</f>
        <v>79432108.274567157</v>
      </c>
      <c r="B12591">
        <v>153070153.70376331</v>
      </c>
    </row>
    <row r="12592" spans="1:2" x14ac:dyDescent="0.25">
      <c r="A12592">
        <f ca="1">31390.7332188389*((RANDBETWEEN(2979,3282)))</f>
        <v>101203723.89753665</v>
      </c>
      <c r="B12592">
        <v>181105960.83774036</v>
      </c>
    </row>
    <row r="12593" spans="1:2" x14ac:dyDescent="0.25">
      <c r="A12593">
        <f ca="1">28586.7711580616*((RANDBETWEEN(2979,3282)))</f>
        <v>90076915.91905199</v>
      </c>
      <c r="B12593">
        <v>143309849.05056059</v>
      </c>
    </row>
    <row r="12594" spans="1:2" x14ac:dyDescent="0.25">
      <c r="A12594">
        <f ca="1">33140.0836405308*((RANDBETWEEN(2979,3282)))</f>
        <v>106876769.74071176</v>
      </c>
      <c r="B12594">
        <v>167926967.79929829</v>
      </c>
    </row>
    <row r="12595" spans="1:2" x14ac:dyDescent="0.25">
      <c r="A12595">
        <f ca="1">28287.509384048*((RANDBETWEEN(2979,3282)))</f>
        <v>90095717.388192952</v>
      </c>
      <c r="B12595">
        <v>158068445.72029042</v>
      </c>
    </row>
    <row r="12596" spans="1:2" x14ac:dyDescent="0.25">
      <c r="A12596">
        <f ca="1">26724.5175085464*((RANDBETWEEN(2979,3282)))</f>
        <v>84235679.186938167</v>
      </c>
      <c r="B12596">
        <v>173104907.76007912</v>
      </c>
    </row>
    <row r="12597" spans="1:2" x14ac:dyDescent="0.25">
      <c r="A12597">
        <f ca="1">25752.3700134732*((RANDBETWEEN(2979,3282)))</f>
        <v>76742062.640150011</v>
      </c>
      <c r="B12597">
        <v>145221912.82669669</v>
      </c>
    </row>
    <row r="12598" spans="1:2" x14ac:dyDescent="0.25">
      <c r="A12598">
        <f ca="1">26051.9414999641*((RANDBETWEEN(2979,3282)))</f>
        <v>84694861.816383407</v>
      </c>
      <c r="B12598">
        <v>159815435.35533261</v>
      </c>
    </row>
    <row r="12599" spans="1:2" x14ac:dyDescent="0.25">
      <c r="A12599">
        <f ca="1">25550.3691123*((RANDBETWEEN(2979,3282)))</f>
        <v>79231694.617242217</v>
      </c>
      <c r="B12599">
        <v>143022041.38219267</v>
      </c>
    </row>
    <row r="12600" spans="1:2" x14ac:dyDescent="0.25">
      <c r="A12600">
        <f ca="1">26608.6289841248*((RANDBETWEEN(2979,3282)))</f>
        <v>84083267.589834362</v>
      </c>
      <c r="B12600">
        <v>154484120.3303082</v>
      </c>
    </row>
    <row r="12601" spans="1:2" x14ac:dyDescent="0.25">
      <c r="A12601">
        <f ca="1">26665.5511377266*((RANDBETWEEN(2979,3282)))</f>
        <v>86049733.521443874</v>
      </c>
      <c r="B12601">
        <v>150835905.61027479</v>
      </c>
    </row>
    <row r="12602" spans="1:2" x14ac:dyDescent="0.25">
      <c r="A12602">
        <f ca="1">28097.8946380517*((RANDBETWEEN(2979,3282)))</f>
        <v>86625809.169113278</v>
      </c>
      <c r="B12602">
        <v>159519362.23019621</v>
      </c>
    </row>
    <row r="12603" spans="1:2" x14ac:dyDescent="0.25">
      <c r="A12603">
        <f ca="1">27285.5231023448*((RANDBETWEEN(2979,3282)))</f>
        <v>86767963.465456426</v>
      </c>
      <c r="B12603">
        <v>143799110.58392853</v>
      </c>
    </row>
    <row r="12604" spans="1:2" x14ac:dyDescent="0.25">
      <c r="A12604">
        <f ca="1">26619.4382718694*((RANDBETWEEN(2979,3282)))</f>
        <v>81908011.562542081</v>
      </c>
      <c r="B12604">
        <v>153690061.54676199</v>
      </c>
    </row>
    <row r="12605" spans="1:2" x14ac:dyDescent="0.25">
      <c r="A12605">
        <f ca="1">30741.0150815407*((RANDBETWEEN(2979,3282)))</f>
        <v>99293478.713376567</v>
      </c>
      <c r="B12605">
        <v>147956064.00780758</v>
      </c>
    </row>
    <row r="12606" spans="1:2" x14ac:dyDescent="0.25">
      <c r="A12606">
        <f ca="1">26599.0648242437*((RANDBETWEEN(2979,3282)))</f>
        <v>81925119.658670545</v>
      </c>
      <c r="B12606">
        <v>181460038.53923756</v>
      </c>
    </row>
    <row r="12607" spans="1:2" x14ac:dyDescent="0.25">
      <c r="A12607">
        <f ca="1">27504.0328927915*((RANDBETWEEN(2979,3282)))</f>
        <v>86445175.382043585</v>
      </c>
      <c r="B12607">
        <v>188450653.71502054</v>
      </c>
    </row>
    <row r="12608" spans="1:2" x14ac:dyDescent="0.25">
      <c r="A12608">
        <f ca="1">26215.9542087214*((RANDBETWEEN(2979,3282)))</f>
        <v>79014885.985086218</v>
      </c>
      <c r="B12608">
        <v>178137621.76273969</v>
      </c>
    </row>
    <row r="12609" spans="1:2" x14ac:dyDescent="0.25">
      <c r="A12609">
        <f ca="1">27084.9193435547*((RANDBETWEEN(2979,3282)))</f>
        <v>82202730.2076886</v>
      </c>
      <c r="B12609">
        <v>179220341.39039326</v>
      </c>
    </row>
    <row r="12610" spans="1:2" x14ac:dyDescent="0.25">
      <c r="A12610">
        <f ca="1">31065.1954523905*((RANDBETWEEN(2979,3282)))</f>
        <v>100992950.4157214</v>
      </c>
      <c r="B12610">
        <v>203497367.32714483</v>
      </c>
    </row>
    <row r="12611" spans="1:2" x14ac:dyDescent="0.25">
      <c r="A12611">
        <f ca="1">28343.3970166395*((RANDBETWEEN(2979,3282)))</f>
        <v>91492485.569712281</v>
      </c>
      <c r="B12611">
        <v>172559329.76959249</v>
      </c>
    </row>
    <row r="12612" spans="1:2" x14ac:dyDescent="0.25">
      <c r="A12612">
        <f ca="1">26680.1402410731*((RANDBETWEEN(2979,3282)))</f>
        <v>86016772.137219712</v>
      </c>
      <c r="B12612">
        <v>154796778.38668454</v>
      </c>
    </row>
    <row r="12613" spans="1:2" x14ac:dyDescent="0.25">
      <c r="A12613">
        <f ca="1">26545.3030059408*((RANDBETWEEN(2979,3282)))</f>
        <v>79582818.411810428</v>
      </c>
      <c r="B12613">
        <v>169502815.82948959</v>
      </c>
    </row>
    <row r="12614" spans="1:2" x14ac:dyDescent="0.25">
      <c r="A12614">
        <f ca="1">25728.6600309229*((RANDBETWEEN(2979,3282)))</f>
        <v>81071007.757437959</v>
      </c>
      <c r="B12614">
        <v>156642942.09701306</v>
      </c>
    </row>
    <row r="12615" spans="1:2" x14ac:dyDescent="0.25">
      <c r="A12615">
        <f ca="1">26918.0994276733*((RANDBETWEEN(2979,3282)))</f>
        <v>80861970.680730671</v>
      </c>
      <c r="B12615">
        <v>201790766.51856029</v>
      </c>
    </row>
    <row r="12616" spans="1:2" x14ac:dyDescent="0.25">
      <c r="A12616">
        <f ca="1">27300.5251085368*((RANDBETWEEN(2979,3282)))</f>
        <v>83539606.83212252</v>
      </c>
      <c r="B12616">
        <v>191414460.44038248</v>
      </c>
    </row>
    <row r="12617" spans="1:2" x14ac:dyDescent="0.25">
      <c r="A12617">
        <f ca="1">28607.5235845031*((RANDBETWEEN(2979,3282)))</f>
        <v>90600027.192121327</v>
      </c>
      <c r="B12617">
        <v>147549237.35198149</v>
      </c>
    </row>
    <row r="12618" spans="1:2" x14ac:dyDescent="0.25">
      <c r="A12618">
        <f ca="1">27019.9848685689*((RANDBETWEEN(2979,3282)))</f>
        <v>86653091.473500475</v>
      </c>
      <c r="B12618">
        <v>158415383.91751224</v>
      </c>
    </row>
    <row r="12619" spans="1:2" x14ac:dyDescent="0.25">
      <c r="A12619">
        <f ca="1">28469.8042991481*((RANDBETWEEN(2979,3282)))</f>
        <v>86747493.699504346</v>
      </c>
      <c r="B12619">
        <v>181187821.51531857</v>
      </c>
    </row>
    <row r="12620" spans="1:2" x14ac:dyDescent="0.25">
      <c r="A12620">
        <f ca="1">27538.8335959663*((RANDBETWEEN(2979,3282)))</f>
        <v>82864350.29026264</v>
      </c>
      <c r="B12620">
        <v>154476388.64340118</v>
      </c>
    </row>
    <row r="12621" spans="1:2" x14ac:dyDescent="0.25">
      <c r="A12621">
        <f ca="1">26675.6982209627*((RANDBETWEEN(2979,3282)))</f>
        <v>85175504.419533834</v>
      </c>
      <c r="B12621">
        <v>160878204.8410579</v>
      </c>
    </row>
    <row r="12622" spans="1:2" x14ac:dyDescent="0.25">
      <c r="A12622">
        <f ca="1">25891.0556114367*((RANDBETWEEN(2979,3282)))</f>
        <v>77388365.222584218</v>
      </c>
      <c r="B12622">
        <v>144619321.27178454</v>
      </c>
    </row>
    <row r="12623" spans="1:2" x14ac:dyDescent="0.25">
      <c r="A12623">
        <f ca="1">33026.1719702701*((RANDBETWEEN(2979,3282)))</f>
        <v>100036274.89794818</v>
      </c>
      <c r="B12623">
        <v>158700005.82860079</v>
      </c>
    </row>
    <row r="12624" spans="1:2" x14ac:dyDescent="0.25">
      <c r="A12624">
        <f ca="1">26028.0376858968*((RANDBETWEEN(2979,3282)))</f>
        <v>81389673.843799353</v>
      </c>
      <c r="B12624">
        <v>194631335.74223164</v>
      </c>
    </row>
    <row r="12625" spans="1:2" x14ac:dyDescent="0.25">
      <c r="A12625">
        <f ca="1">26407.5061753344*((RANDBETWEEN(2979,3282)))</f>
        <v>81916084.155887365</v>
      </c>
      <c r="B12625">
        <v>143751625.80416009</v>
      </c>
    </row>
    <row r="12626" spans="1:2" x14ac:dyDescent="0.25">
      <c r="A12626">
        <f ca="1">27280.8351898106*((RANDBETWEEN(2979,3282)))</f>
        <v>82306279.767658576</v>
      </c>
      <c r="B12626">
        <v>168918344.15934172</v>
      </c>
    </row>
    <row r="12627" spans="1:2" x14ac:dyDescent="0.25">
      <c r="A12627">
        <f ca="1">27566.9644703852*((RANDBETWEEN(2979,3282)))</f>
        <v>86753237.188302353</v>
      </c>
      <c r="B12627">
        <v>189542094.64186993</v>
      </c>
    </row>
    <row r="12628" spans="1:2" x14ac:dyDescent="0.25">
      <c r="A12628">
        <f ca="1">31396.1845552087*((RANDBETWEEN(2979,3282)))</f>
        <v>98552623.318800241</v>
      </c>
      <c r="B12628">
        <v>172202193.49997991</v>
      </c>
    </row>
    <row r="12629" spans="1:2" x14ac:dyDescent="0.25">
      <c r="A12629">
        <f ca="1">26520.9959968264*((RANDBETWEEN(2979,3282)))</f>
        <v>80995121.774307802</v>
      </c>
      <c r="B12629">
        <v>166857584.3192718</v>
      </c>
    </row>
    <row r="12630" spans="1:2" x14ac:dyDescent="0.25">
      <c r="A12630">
        <f ca="1">26225.2353741053*((RANDBETWEEN(2979,3282)))</f>
        <v>79672265.066531822</v>
      </c>
      <c r="B12630">
        <v>150117769.52600065</v>
      </c>
    </row>
    <row r="12631" spans="1:2" x14ac:dyDescent="0.25">
      <c r="A12631">
        <f ca="1">27288.850988502*((RANDBETWEEN(2979,3282)))</f>
        <v>84458993.809413761</v>
      </c>
      <c r="B12631">
        <v>180002056.01155508</v>
      </c>
    </row>
    <row r="12632" spans="1:2" x14ac:dyDescent="0.25">
      <c r="A12632">
        <f ca="1">27962.8926643259*((RANDBETWEEN(2979,3282)))</f>
        <v>84979230.80688642</v>
      </c>
      <c r="B12632">
        <v>176884635.79041946</v>
      </c>
    </row>
    <row r="12633" spans="1:2" x14ac:dyDescent="0.25">
      <c r="A12633">
        <f ca="1">32711.7650991281*((RANDBETWEEN(2979,3282)))</f>
        <v>106345948.33726555</v>
      </c>
      <c r="B12633">
        <v>198125729.27540806</v>
      </c>
    </row>
    <row r="12634" spans="1:2" x14ac:dyDescent="0.25">
      <c r="A12634">
        <f ca="1">34401.2270325056*((RANDBETWEEN(2979,3282)))</f>
        <v>107882247.9739375</v>
      </c>
      <c r="B12634">
        <v>180705957.5828107</v>
      </c>
    </row>
    <row r="12635" spans="1:2" x14ac:dyDescent="0.25">
      <c r="A12635">
        <f ca="1">27311.5836339701*((RANDBETWEEN(2979,3282)))</f>
        <v>86140734.781541616</v>
      </c>
      <c r="B12635">
        <v>163952141.14768422</v>
      </c>
    </row>
    <row r="12636" spans="1:2" x14ac:dyDescent="0.25">
      <c r="A12636">
        <f ca="1">27078.5976099595*((RANDBETWEEN(2979,3282)))</f>
        <v>81154557.037048474</v>
      </c>
      <c r="B12636">
        <v>145012734.53743711</v>
      </c>
    </row>
    <row r="12637" spans="1:2" x14ac:dyDescent="0.25">
      <c r="A12637">
        <f ca="1">27308.7841080749*((RANDBETWEEN(2979,3282)))</f>
        <v>82772924.631575167</v>
      </c>
      <c r="B12637">
        <v>187485452.76858869</v>
      </c>
    </row>
    <row r="12638" spans="1:2" x14ac:dyDescent="0.25">
      <c r="A12638">
        <f ca="1">26686.9432781966*((RANDBETWEEN(2979,3282)))</f>
        <v>80087516.777868077</v>
      </c>
      <c r="B12638">
        <v>183619000.50356811</v>
      </c>
    </row>
    <row r="12639" spans="1:2" x14ac:dyDescent="0.25">
      <c r="A12639">
        <f ca="1">26037.2873826845*((RANDBETWEEN(2979,3282)))</f>
        <v>81158224.771827579</v>
      </c>
      <c r="B12639">
        <v>144077011.15373629</v>
      </c>
    </row>
    <row r="12640" spans="1:2" x14ac:dyDescent="0.25">
      <c r="A12640">
        <f ca="1">32518.6709215328*((RANDBETWEEN(2979,3282)))</f>
        <v>105262937.7730017</v>
      </c>
      <c r="B12640">
        <v>151721103.98561007</v>
      </c>
    </row>
    <row r="12641" spans="1:2" x14ac:dyDescent="0.25">
      <c r="A12641">
        <f ca="1">26977.3495565102*((RANDBETWEEN(2979,3282)))</f>
        <v>84843764.35522455</v>
      </c>
      <c r="B12641">
        <v>146184716.48060107</v>
      </c>
    </row>
    <row r="12642" spans="1:2" x14ac:dyDescent="0.25">
      <c r="A12642">
        <f ca="1">29824.1376851906*((RANDBETWEEN(2979,3282)))</f>
        <v>95854778.520202667</v>
      </c>
      <c r="B12642">
        <v>175467223.46445695</v>
      </c>
    </row>
    <row r="12643" spans="1:2" x14ac:dyDescent="0.25">
      <c r="A12643">
        <f ca="1">26739.7111572829*((RANDBETWEEN(2979,3282)))</f>
        <v>83828994.478081882</v>
      </c>
      <c r="B12643">
        <v>172572869.94612828</v>
      </c>
    </row>
    <row r="12644" spans="1:2" x14ac:dyDescent="0.25">
      <c r="A12644">
        <f ca="1">28558.6331381094*((RANDBETWEEN(2979,3282)))</f>
        <v>91673212.373331383</v>
      </c>
      <c r="B12644">
        <v>185497296.89347932</v>
      </c>
    </row>
    <row r="12645" spans="1:2" x14ac:dyDescent="0.25">
      <c r="A12645">
        <f ca="1">31357.2722819361*((RANDBETWEEN(2979,3282)))</f>
        <v>101127203.10924405</v>
      </c>
      <c r="B12645">
        <v>192945331.28883487</v>
      </c>
    </row>
    <row r="12646" spans="1:2" x14ac:dyDescent="0.25">
      <c r="A12646">
        <f ca="1">28007.0180313275*((RANDBETWEEN(2979,3282)))</f>
        <v>85673468.15783067</v>
      </c>
      <c r="B12646">
        <v>154124112.53975701</v>
      </c>
    </row>
    <row r="12647" spans="1:2" x14ac:dyDescent="0.25">
      <c r="A12647">
        <f ca="1">25957.0585046088*((RANDBETWEEN(2979,3282)))</f>
        <v>77767347.279807821</v>
      </c>
      <c r="B12647">
        <v>159545015.08999547</v>
      </c>
    </row>
    <row r="12648" spans="1:2" x14ac:dyDescent="0.25">
      <c r="A12648">
        <f ca="1">30206.2966417868*((RANDBETWEEN(2979,3282)))</f>
        <v>94787358.861927018</v>
      </c>
      <c r="B12648">
        <v>154476420.01380533</v>
      </c>
    </row>
    <row r="12649" spans="1:2" x14ac:dyDescent="0.25">
      <c r="A12649">
        <f ca="1">29113.4728153881*((RANDBETWEEN(2979,3282)))</f>
        <v>92318822.297595605</v>
      </c>
      <c r="B12649">
        <v>168957087.65747789</v>
      </c>
    </row>
    <row r="12650" spans="1:2" x14ac:dyDescent="0.25">
      <c r="A12650">
        <f ca="1">25307.2467542869*((RANDBETWEEN(2979,3282)))</f>
        <v>77212409.847329408</v>
      </c>
      <c r="B12650">
        <v>143569173.03460628</v>
      </c>
    </row>
    <row r="12651" spans="1:2" x14ac:dyDescent="0.25">
      <c r="A12651">
        <f ca="1">28622.5056050529*((RANDBETWEEN(2979,3282)))</f>
        <v>93423858.294892564</v>
      </c>
      <c r="B12651">
        <v>164959043.91220611</v>
      </c>
    </row>
    <row r="12652" spans="1:2" x14ac:dyDescent="0.25">
      <c r="A12652">
        <f ca="1">28332.2630841401*((RANDBETWEEN(2979,3282)))</f>
        <v>89558283.608966812</v>
      </c>
      <c r="B12652">
        <v>157952502.09435865</v>
      </c>
    </row>
    <row r="12653" spans="1:2" x14ac:dyDescent="0.25">
      <c r="A12653">
        <f ca="1">29944.9211490219*((RANDBETWEEN(2979,3282)))</f>
        <v>96512480.863297522</v>
      </c>
      <c r="B12653">
        <v>176914751.60262862</v>
      </c>
    </row>
    <row r="12654" spans="1:2" x14ac:dyDescent="0.25">
      <c r="A12654">
        <f ca="1">26946.0055892013*((RANDBETWEEN(2979,3282)))</f>
        <v>83074535.231507555</v>
      </c>
      <c r="B12654">
        <v>199892315.72990337</v>
      </c>
    </row>
    <row r="12655" spans="1:2" x14ac:dyDescent="0.25">
      <c r="A12655">
        <f ca="1">31084.3099907339*((RANDBETWEEN(2979,3282)))</f>
        <v>93936784.791997924</v>
      </c>
      <c r="B12655">
        <v>183369605.42020673</v>
      </c>
    </row>
    <row r="12656" spans="1:2" x14ac:dyDescent="0.25">
      <c r="A12656">
        <f ca="1">28974.2261092292*((RANDBETWEEN(2979,3282)))</f>
        <v>91993167.896802828</v>
      </c>
      <c r="B12656">
        <v>175919154.28662145</v>
      </c>
    </row>
    <row r="12657" spans="1:2" x14ac:dyDescent="0.25">
      <c r="A12657">
        <f ca="1">24783.9960842334*((RANDBETWEEN(2979,3282)))</f>
        <v>81118019.183696061</v>
      </c>
      <c r="B12657">
        <v>188154734.9033075</v>
      </c>
    </row>
    <row r="12658" spans="1:2" x14ac:dyDescent="0.25">
      <c r="A12658">
        <f ca="1">27030.8969268872*((RANDBETWEEN(2979,3282)))</f>
        <v>80876443.605246603</v>
      </c>
      <c r="B12658">
        <v>181873458.84483814</v>
      </c>
    </row>
    <row r="12659" spans="1:2" x14ac:dyDescent="0.25">
      <c r="A12659">
        <f ca="1">28684.2262566694*((RANDBETWEEN(2979,3282)))</f>
        <v>92277155.867705539</v>
      </c>
      <c r="B12659">
        <v>154939858.07919303</v>
      </c>
    </row>
    <row r="12660" spans="1:2" x14ac:dyDescent="0.25">
      <c r="A12660">
        <f ca="1">26471.5303901322*((RANDBETWEEN(2979,3282)))</f>
        <v>78911632.092984185</v>
      </c>
      <c r="B12660">
        <v>156689416.28600657</v>
      </c>
    </row>
    <row r="12661" spans="1:2" x14ac:dyDescent="0.25">
      <c r="A12661">
        <f ca="1">27379.8622716353*((RANDBETWEEN(2979,3282)))</f>
        <v>89176211.418716058</v>
      </c>
      <c r="B12661">
        <v>175001847.496279</v>
      </c>
    </row>
    <row r="12662" spans="1:2" x14ac:dyDescent="0.25">
      <c r="A12662">
        <f ca="1">26671.2754260265*((RANDBETWEEN(2979,3282)))</f>
        <v>83427749.532610789</v>
      </c>
      <c r="B12662">
        <v>164256091.45280683</v>
      </c>
    </row>
    <row r="12663" spans="1:2" x14ac:dyDescent="0.25">
      <c r="A12663">
        <f ca="1">27269.2270332297*((RANDBETWEEN(2979,3282)))</f>
        <v>83689257.76498197</v>
      </c>
      <c r="B12663">
        <v>192064888.42948627</v>
      </c>
    </row>
    <row r="12664" spans="1:2" x14ac:dyDescent="0.25">
      <c r="A12664">
        <f ca="1">27930.377933757*((RANDBETWEEN(2979,3282)))</f>
        <v>89516861.277691171</v>
      </c>
      <c r="B12664">
        <v>159740168.62085465</v>
      </c>
    </row>
    <row r="12665" spans="1:2" x14ac:dyDescent="0.25">
      <c r="A12665">
        <f ca="1">26473.91959549*((RANDBETWEEN(2979,3282)))</f>
        <v>80930772.203412905</v>
      </c>
      <c r="B12665">
        <v>147946507.73004633</v>
      </c>
    </row>
    <row r="12666" spans="1:2" x14ac:dyDescent="0.25">
      <c r="A12666">
        <f ca="1">31394.8636337525*((RANDBETWEEN(2979,3282)))</f>
        <v>99835666.355332896</v>
      </c>
      <c r="B12666">
        <v>187836050.77829018</v>
      </c>
    </row>
    <row r="12667" spans="1:2" x14ac:dyDescent="0.25">
      <c r="A12667">
        <f ca="1">29165.43638095*((RANDBETWEEN(2979,3282)))</f>
        <v>93679381.655611381</v>
      </c>
      <c r="B12667">
        <v>184168484.46014759</v>
      </c>
    </row>
    <row r="12668" spans="1:2" x14ac:dyDescent="0.25">
      <c r="A12668">
        <f ca="1">27183.5810698627*((RANDBETWEEN(2979,3282)))</f>
        <v>83942898.343735918</v>
      </c>
      <c r="B12668">
        <v>201084505.75394863</v>
      </c>
    </row>
    <row r="12669" spans="1:2" x14ac:dyDescent="0.25">
      <c r="A12669">
        <f ca="1">27831.1070373953*((RANDBETWEEN(2979,3282)))</f>
        <v>89421346.911151171</v>
      </c>
      <c r="B12669">
        <v>161921792.50974342</v>
      </c>
    </row>
    <row r="12670" spans="1:2" x14ac:dyDescent="0.25">
      <c r="A12670">
        <f ca="1">31416.2059992801*((RANDBETWEEN(2979,3282)))</f>
        <v>100751772.63969119</v>
      </c>
      <c r="B12670">
        <v>165810731.96753073</v>
      </c>
    </row>
    <row r="12671" spans="1:2" x14ac:dyDescent="0.25">
      <c r="A12671">
        <f ca="1">25422.9706543299*((RANDBETWEEN(2979,3282)))</f>
        <v>76370603.845607102</v>
      </c>
      <c r="B12671">
        <v>156462728.2611599</v>
      </c>
    </row>
    <row r="12672" spans="1:2" x14ac:dyDescent="0.25">
      <c r="A12672">
        <f ca="1">26415.9419009281*((RANDBETWEEN(2979,3282)))</f>
        <v>85402740.165700614</v>
      </c>
      <c r="B12672">
        <v>156449984.92672408</v>
      </c>
    </row>
    <row r="12673" spans="1:2" x14ac:dyDescent="0.25">
      <c r="A12673">
        <f ca="1">26635.9500223057*((RANDBETWEEN(2979,3282)))</f>
        <v>86087390.472092018</v>
      </c>
      <c r="B12673">
        <v>173788738.18782583</v>
      </c>
    </row>
    <row r="12674" spans="1:2" x14ac:dyDescent="0.25">
      <c r="A12674">
        <f ca="1">29225.9716869862*((RANDBETWEEN(2979,3282)))</f>
        <v>87268751.457340792</v>
      </c>
      <c r="B12674">
        <v>169896662.42349023</v>
      </c>
    </row>
    <row r="12675" spans="1:2" x14ac:dyDescent="0.25">
      <c r="A12675">
        <f ca="1">28141.3326974761*((RANDBETWEEN(2979,3282)))</f>
        <v>88617056.664352104</v>
      </c>
      <c r="B12675">
        <v>194286690.9173432</v>
      </c>
    </row>
    <row r="12676" spans="1:2" x14ac:dyDescent="0.25">
      <c r="A12676">
        <f ca="1">28973.5348100089*((RANDBETWEEN(2979,3282)))</f>
        <v>87268286.84774667</v>
      </c>
      <c r="B12676">
        <v>178023136.98963502</v>
      </c>
    </row>
    <row r="12677" spans="1:2" x14ac:dyDescent="0.25">
      <c r="A12677">
        <f ca="1">28062.6190627776*((RANDBETWEEN(2979,3282)))</f>
        <v>84412358.140835166</v>
      </c>
      <c r="B12677">
        <v>149515861.20624536</v>
      </c>
    </row>
    <row r="12678" spans="1:2" x14ac:dyDescent="0.25">
      <c r="A12678">
        <f ca="1">27855.742490067*((RANDBETWEEN(2979,3282)))</f>
        <v>89472644.878095061</v>
      </c>
      <c r="B12678">
        <v>154190889.60551533</v>
      </c>
    </row>
    <row r="12679" spans="1:2" x14ac:dyDescent="0.25">
      <c r="A12679">
        <f ca="1">27320.1632073904*((RANDBETWEEN(2979,3282)))</f>
        <v>84337343.821214318</v>
      </c>
      <c r="B12679">
        <v>149060948.98931283</v>
      </c>
    </row>
    <row r="12680" spans="1:2" x14ac:dyDescent="0.25">
      <c r="A12680">
        <f ca="1">30401.4304656208*((RANDBETWEEN(2979,3282)))</f>
        <v>94882864.483202428</v>
      </c>
      <c r="B12680">
        <v>190199658.93274191</v>
      </c>
    </row>
    <row r="12681" spans="1:2" x14ac:dyDescent="0.25">
      <c r="A12681">
        <f ca="1">26883.5183957469*((RANDBETWEEN(2979,3282)))</f>
        <v>82666819.066921636</v>
      </c>
      <c r="B12681">
        <v>158807647.6347523</v>
      </c>
    </row>
    <row r="12682" spans="1:2" x14ac:dyDescent="0.25">
      <c r="A12682">
        <f ca="1">26800.7820792174*((RANDBETWEEN(2979,3282)))</f>
        <v>81474377.520820886</v>
      </c>
      <c r="B12682">
        <v>166098793.60938287</v>
      </c>
    </row>
    <row r="12683" spans="1:2" x14ac:dyDescent="0.25">
      <c r="A12683">
        <f ca="1">27375.0653220312*((RANDBETWEEN(2979,3282)))</f>
        <v>82535821.945924148</v>
      </c>
      <c r="B12683">
        <v>152073620.20969984</v>
      </c>
    </row>
    <row r="12684" spans="1:2" x14ac:dyDescent="0.25">
      <c r="A12684">
        <f ca="1">28543.0772276416*((RANDBETWEEN(2979,3282)))</f>
        <v>85943205.532428771</v>
      </c>
      <c r="B12684">
        <v>158243713.31336418</v>
      </c>
    </row>
    <row r="12685" spans="1:2" x14ac:dyDescent="0.25">
      <c r="A12685">
        <f ca="1">26654.2352450367*((RANDBETWEEN(2979,3282)))</f>
        <v>81775193.731772691</v>
      </c>
      <c r="B12685">
        <v>144897707.64145735</v>
      </c>
    </row>
    <row r="12686" spans="1:2" x14ac:dyDescent="0.25">
      <c r="A12686">
        <f ca="1">29572.8483577884*((RANDBETWEEN(2979,3282)))</f>
        <v>94219094.867913887</v>
      </c>
      <c r="B12686">
        <v>196078491.86903134</v>
      </c>
    </row>
    <row r="12687" spans="1:2" x14ac:dyDescent="0.25">
      <c r="A12687">
        <f ca="1">27005.8129804829*((RANDBETWEEN(2979,3282)))</f>
        <v>84528194.628911495</v>
      </c>
      <c r="B12687">
        <v>161415181.39248663</v>
      </c>
    </row>
    <row r="12688" spans="1:2" x14ac:dyDescent="0.25">
      <c r="A12688">
        <f ca="1">28266.697438776*((RANDBETWEEN(2979,3282)))</f>
        <v>88785696.655195355</v>
      </c>
      <c r="B12688">
        <v>153290024.00438464</v>
      </c>
    </row>
    <row r="12689" spans="1:2" x14ac:dyDescent="0.25">
      <c r="A12689">
        <f ca="1">27326.4187925115*((RANDBETWEEN(2979,3282)))</f>
        <v>87553845.811206996</v>
      </c>
      <c r="B12689">
        <v>151570963.79111478</v>
      </c>
    </row>
    <row r="12690" spans="1:2" x14ac:dyDescent="0.25">
      <c r="A12690">
        <f ca="1">28341.1418426197*((RANDBETWEEN(2979,3282)))</f>
        <v>86695552.896573767</v>
      </c>
      <c r="B12690">
        <v>174429460.1591042</v>
      </c>
    </row>
    <row r="12691" spans="1:2" x14ac:dyDescent="0.25">
      <c r="A12691">
        <f ca="1">27881.5747791682*((RANDBETWEEN(2979,3282)))</f>
        <v>83533198.038387895</v>
      </c>
      <c r="B12691">
        <v>153804325.19522476</v>
      </c>
    </row>
    <row r="12692" spans="1:2" x14ac:dyDescent="0.25">
      <c r="A12692">
        <f ca="1">25424.3155369034*((RANDBETWEEN(2979,3282)))</f>
        <v>78306891.853662476</v>
      </c>
      <c r="B12692">
        <v>165050694.46418852</v>
      </c>
    </row>
    <row r="12693" spans="1:2" x14ac:dyDescent="0.25">
      <c r="A12693">
        <f ca="1">28697.7991914124*((RANDBETWEEN(2979,3282)))</f>
        <v>85576837.188791767</v>
      </c>
      <c r="B12693">
        <v>179421385.43839079</v>
      </c>
    </row>
    <row r="12694" spans="1:2" x14ac:dyDescent="0.25">
      <c r="A12694">
        <f ca="1">33387.9374525998*((RANDBETWEEN(2979,3282)))</f>
        <v>100864959.04430406</v>
      </c>
      <c r="B12694">
        <v>201323412.08708674</v>
      </c>
    </row>
    <row r="12695" spans="1:2" x14ac:dyDescent="0.25">
      <c r="A12695">
        <f ca="1">29547.5136593636*((RANDBETWEEN(2979,3282)))</f>
        <v>93163310.56797348</v>
      </c>
      <c r="B12695">
        <v>170437568.97217959</v>
      </c>
    </row>
    <row r="12696" spans="1:2" x14ac:dyDescent="0.25">
      <c r="A12696">
        <f ca="1">25883.3470177928*((RANDBETWEEN(2979,3282)))</f>
        <v>80212492.408139855</v>
      </c>
      <c r="B12696">
        <v>150987508.7864387</v>
      </c>
    </row>
    <row r="12697" spans="1:2" x14ac:dyDescent="0.25">
      <c r="A12697">
        <f ca="1">29987.8528753431*((RANDBETWEEN(2979,3282)))</f>
        <v>93712040.235447258</v>
      </c>
      <c r="B12697">
        <v>187008051.60326421</v>
      </c>
    </row>
    <row r="12698" spans="1:2" x14ac:dyDescent="0.25">
      <c r="A12698">
        <f ca="1">25741.1366433342*((RANDBETWEEN(2979,3282)))</f>
        <v>83375541.587759405</v>
      </c>
      <c r="B12698">
        <v>169349557.50765675</v>
      </c>
    </row>
    <row r="12699" spans="1:2" x14ac:dyDescent="0.25">
      <c r="A12699">
        <f ca="1">26357.7084694918*((RANDBETWEEN(2979,3282)))</f>
        <v>82657773.760326147</v>
      </c>
      <c r="B12699">
        <v>162185766.36862826</v>
      </c>
    </row>
    <row r="12700" spans="1:2" x14ac:dyDescent="0.25">
      <c r="A12700">
        <f ca="1">26561.3143176809*((RANDBETWEEN(2979,3282)))</f>
        <v>84597786.101813689</v>
      </c>
      <c r="B12700">
        <v>161277827.00670928</v>
      </c>
    </row>
    <row r="12701" spans="1:2" x14ac:dyDescent="0.25">
      <c r="A12701">
        <f ca="1">26932.4173686957*((RANDBETWEEN(2979,3282)))</f>
        <v>82520926.817683741</v>
      </c>
      <c r="B12701">
        <v>148861984.84392479</v>
      </c>
    </row>
    <row r="12702" spans="1:2" x14ac:dyDescent="0.25">
      <c r="A12702">
        <f ca="1">29617.8836925917*((RANDBETWEEN(2979,3282)))</f>
        <v>90926902.936256453</v>
      </c>
      <c r="B12702">
        <v>143660481.07634553</v>
      </c>
    </row>
    <row r="12703" spans="1:2" x14ac:dyDescent="0.25">
      <c r="A12703">
        <f ca="1">28293.1583280744*((RANDBETWEEN(2979,3282)))</f>
        <v>87227807.125453666</v>
      </c>
      <c r="B12703">
        <v>156757959.20403484</v>
      </c>
    </row>
    <row r="12704" spans="1:2" x14ac:dyDescent="0.25">
      <c r="A12704">
        <f ca="1">26853.3857635497*((RANDBETWEEN(2979,3282)))</f>
        <v>83567736.496166676</v>
      </c>
      <c r="B12704">
        <v>148863594.36508915</v>
      </c>
    </row>
    <row r="12705" spans="1:2" x14ac:dyDescent="0.25">
      <c r="A12705">
        <f ca="1">26297.8536973337*((RANDBETWEEN(2979,3282)))</f>
        <v>84626493.198019713</v>
      </c>
      <c r="B12705">
        <v>183124131.98263934</v>
      </c>
    </row>
    <row r="12706" spans="1:2" x14ac:dyDescent="0.25">
      <c r="A12706">
        <f ca="1">27093.0787940185*((RANDBETWEEN(2979,3282)))</f>
        <v>80791560.963763133</v>
      </c>
      <c r="B12706">
        <v>149915429.6992203</v>
      </c>
    </row>
    <row r="12707" spans="1:2" x14ac:dyDescent="0.25">
      <c r="A12707">
        <f ca="1">27754.7927970074*((RANDBETWEEN(2979,3282)))</f>
        <v>88121467.130498394</v>
      </c>
      <c r="B12707">
        <v>200834630.43370563</v>
      </c>
    </row>
    <row r="12708" spans="1:2" x14ac:dyDescent="0.25">
      <c r="A12708">
        <f ca="1">30775.3648804512*((RANDBETWEEN(2979,3282)))</f>
        <v>96142239.886529401</v>
      </c>
      <c r="B12708">
        <v>194978059.50348854</v>
      </c>
    </row>
    <row r="12709" spans="1:2" x14ac:dyDescent="0.25">
      <c r="A12709">
        <f ca="1">27409.4303189122*((RANDBETWEEN(2979,3282)))</f>
        <v>84749958.546076506</v>
      </c>
      <c r="B12709">
        <v>176648254.60899785</v>
      </c>
    </row>
    <row r="12710" spans="1:2" x14ac:dyDescent="0.25">
      <c r="A12710">
        <f ca="1">27748.5256297859*((RANDBETWEEN(2979,3282)))</f>
        <v>83606307.722544804</v>
      </c>
      <c r="B12710">
        <v>162559948.85298559</v>
      </c>
    </row>
    <row r="12711" spans="1:2" x14ac:dyDescent="0.25">
      <c r="A12711">
        <f ca="1">27886.2953322778*((RANDBETWEEN(2979,3282)))</f>
        <v>88734191.747308016</v>
      </c>
      <c r="B12711">
        <v>190247775.39129105</v>
      </c>
    </row>
    <row r="12712" spans="1:2" x14ac:dyDescent="0.25">
      <c r="A12712">
        <f ca="1">28304.9873565455*((RANDBETWEEN(2979,3282)))</f>
        <v>87547325.893795311</v>
      </c>
      <c r="B12712">
        <v>157442519.07089949</v>
      </c>
    </row>
    <row r="12713" spans="1:2" x14ac:dyDescent="0.25">
      <c r="A12713">
        <f ca="1">31982.3240169493*((RANDBETWEEN(2979,3282)))</f>
        <v>95627148.810678378</v>
      </c>
      <c r="B12713">
        <v>157618193.6442185</v>
      </c>
    </row>
    <row r="12714" spans="1:2" x14ac:dyDescent="0.25">
      <c r="A12714">
        <f ca="1">30241.7401717784*((RANDBETWEEN(2979,3282)))</f>
        <v>95715107.643678889</v>
      </c>
      <c r="B12714">
        <v>177057862.60921022</v>
      </c>
    </row>
    <row r="12715" spans="1:2" x14ac:dyDescent="0.25">
      <c r="A12715">
        <f ca="1">27291.8954826381*((RANDBETWEEN(2979,3282)))</f>
        <v>81821102.656948939</v>
      </c>
      <c r="B12715">
        <v>159176330.06721655</v>
      </c>
    </row>
    <row r="12716" spans="1:2" x14ac:dyDescent="0.25">
      <c r="A12716">
        <f ca="1">26785.5738454563*((RANDBETWEEN(2979,3282)))</f>
        <v>81856713.671714514</v>
      </c>
      <c r="B12716">
        <v>149161451.84661037</v>
      </c>
    </row>
    <row r="12717" spans="1:2" x14ac:dyDescent="0.25">
      <c r="A12717">
        <f ca="1">26867.5544081626*((RANDBETWEEN(2979,3282)))</f>
        <v>84202915.515181661</v>
      </c>
      <c r="B12717">
        <v>172270117.32890555</v>
      </c>
    </row>
    <row r="12718" spans="1:2" x14ac:dyDescent="0.25">
      <c r="A12718">
        <f ca="1">29203.6937186819*((RANDBETWEEN(2979,3282)))</f>
        <v>94211115.936467662</v>
      </c>
      <c r="B12718">
        <v>201423720.22363138</v>
      </c>
    </row>
    <row r="12719" spans="1:2" x14ac:dyDescent="0.25">
      <c r="A12719">
        <f ca="1">27206.8006605651*((RANDBETWEEN(2979,3282)))</f>
        <v>83878566.436522335</v>
      </c>
      <c r="B12719">
        <v>169605543.53849447</v>
      </c>
    </row>
    <row r="12720" spans="1:2" x14ac:dyDescent="0.25">
      <c r="A12720">
        <f ca="1">30084.8083270282*((RANDBETWEEN(2979,3282)))</f>
        <v>93503584.28040354</v>
      </c>
      <c r="B12720">
        <v>173649338.81106511</v>
      </c>
    </row>
    <row r="12721" spans="1:2" x14ac:dyDescent="0.25">
      <c r="A12721">
        <f ca="1">29450.3506436229*((RANDBETWEEN(2979,3282)))</f>
        <v>94034969.605087936</v>
      </c>
      <c r="B12721">
        <v>184037247.79752487</v>
      </c>
    </row>
    <row r="12722" spans="1:2" x14ac:dyDescent="0.25">
      <c r="A12722">
        <f ca="1">31882.9139062069*((RANDBETWEEN(2979,3282)))</f>
        <v>103332523.97001663</v>
      </c>
      <c r="B12722">
        <v>180571634.7761142</v>
      </c>
    </row>
    <row r="12723" spans="1:2" x14ac:dyDescent="0.25">
      <c r="A12723">
        <f ca="1">27437.8869248362*((RANDBETWEEN(2979,3282)))</f>
        <v>82450850.209132925</v>
      </c>
      <c r="B12723">
        <v>172920712.28062069</v>
      </c>
    </row>
    <row r="12724" spans="1:2" x14ac:dyDescent="0.25">
      <c r="A12724">
        <f ca="1">27641.9256328368*((RANDBETWEEN(2979,3282)))</f>
        <v>89117568.240265936</v>
      </c>
      <c r="B12724">
        <v>186431279.09914789</v>
      </c>
    </row>
    <row r="12725" spans="1:2" x14ac:dyDescent="0.25">
      <c r="A12725">
        <f ca="1">26600.8072714806*((RANDBETWEEN(2979,3282)))</f>
        <v>79563014.54899849</v>
      </c>
      <c r="B12725">
        <v>147190369.68413115</v>
      </c>
    </row>
    <row r="12726" spans="1:2" x14ac:dyDescent="0.25">
      <c r="A12726">
        <f ca="1">28617.127512819*((RANDBETWEEN(2979,3282)))</f>
        <v>92347470.483867064</v>
      </c>
      <c r="B12726">
        <v>143764030.25809398</v>
      </c>
    </row>
    <row r="12727" spans="1:2" x14ac:dyDescent="0.25">
      <c r="A12727">
        <f ca="1">28261.6925181188*((RANDBETWEEN(2979,3282)))</f>
        <v>88487359.274229839</v>
      </c>
      <c r="B12727">
        <v>149031706.98364937</v>
      </c>
    </row>
    <row r="12728" spans="1:2" x14ac:dyDescent="0.25">
      <c r="A12728">
        <f ca="1">27417.6897173438*((RANDBETWEEN(2979,3282)))</f>
        <v>83349776.740725189</v>
      </c>
      <c r="B12728">
        <v>146107577.0995231</v>
      </c>
    </row>
    <row r="12729" spans="1:2" x14ac:dyDescent="0.25">
      <c r="A12729">
        <f ca="1">30812.422222284*((RANDBETWEEN(2979,3282)))</f>
        <v>95302821.93352443</v>
      </c>
      <c r="B12729">
        <v>153510363.07184005</v>
      </c>
    </row>
    <row r="12730" spans="1:2" x14ac:dyDescent="0.25">
      <c r="A12730">
        <f ca="1">27095.511863477*((RANDBETWEEN(2979,3282)))</f>
        <v>84592188.037775263</v>
      </c>
      <c r="B12730">
        <v>156482865.64778602</v>
      </c>
    </row>
    <row r="12731" spans="1:2" x14ac:dyDescent="0.25">
      <c r="A12731">
        <f ca="1">29566.0907907982*((RANDBETWEEN(2979,3282)))</f>
        <v>90886163.090913534</v>
      </c>
      <c r="B12731">
        <v>188302638.27379787</v>
      </c>
    </row>
    <row r="12732" spans="1:2" x14ac:dyDescent="0.25">
      <c r="A12732">
        <f ca="1">25690.146043303*((RANDBETWEEN(2979,3282)))</f>
        <v>77815452.365164772</v>
      </c>
      <c r="B12732">
        <v>147654408.5453839</v>
      </c>
    </row>
    <row r="12733" spans="1:2" x14ac:dyDescent="0.25">
      <c r="A12733">
        <f ca="1">28665.7233776838*((RANDBETWEEN(2979,3282)))</f>
        <v>92934275.190450922</v>
      </c>
      <c r="B12733">
        <v>156714373.75347579</v>
      </c>
    </row>
    <row r="12734" spans="1:2" x14ac:dyDescent="0.25">
      <c r="A12734">
        <f ca="1">30730.4464374822*((RANDBETWEEN(2979,3282)))</f>
        <v>91545999.937259331</v>
      </c>
      <c r="B12734">
        <v>175649404.63808927</v>
      </c>
    </row>
    <row r="12735" spans="1:2" x14ac:dyDescent="0.25">
      <c r="A12735">
        <f ca="1">25685.9837143937*((RANDBETWEEN(2979,3282)))</f>
        <v>78470680.247472703</v>
      </c>
      <c r="B12735">
        <v>143909898.73131606</v>
      </c>
    </row>
    <row r="12736" spans="1:2" x14ac:dyDescent="0.25">
      <c r="A12736">
        <f ca="1">28682.1709465356*((RANDBETWEEN(2979,3282)))</f>
        <v>92500001.302577361</v>
      </c>
      <c r="B12736">
        <v>160551962.83173758</v>
      </c>
    </row>
    <row r="12737" spans="1:2" x14ac:dyDescent="0.25">
      <c r="A12737">
        <f ca="1">27642.4579411685*((RANDBETWEEN(2979,3282)))</f>
        <v>88815217.364974469</v>
      </c>
      <c r="B12737">
        <v>168555128.85650501</v>
      </c>
    </row>
    <row r="12738" spans="1:2" x14ac:dyDescent="0.25">
      <c r="A12738">
        <f ca="1">29910.2634291315*((RANDBETWEEN(2979,3282)))</f>
        <v>93828496.377185419</v>
      </c>
      <c r="B12738">
        <v>187968016.77148613</v>
      </c>
    </row>
    <row r="12739" spans="1:2" x14ac:dyDescent="0.25">
      <c r="A12739">
        <f ca="1">33070.1611029622*((RANDBETWEEN(2979,3282)))</f>
        <v>103013551.83572739</v>
      </c>
      <c r="B12739">
        <v>194145941.22803256</v>
      </c>
    </row>
    <row r="12740" spans="1:2" x14ac:dyDescent="0.25">
      <c r="A12740">
        <f ca="1">28073.2210940557*((RANDBETWEEN(2979,3282)))</f>
        <v>90227332.596295089</v>
      </c>
      <c r="B12740">
        <v>198518344.49261573</v>
      </c>
    </row>
    <row r="12741" spans="1:2" x14ac:dyDescent="0.25">
      <c r="A12741">
        <f ca="1">26004.6529106414*((RANDBETWEEN(2979,3282)))</f>
        <v>82278721.809269249</v>
      </c>
      <c r="B12741">
        <v>172018685.66585267</v>
      </c>
    </row>
    <row r="12742" spans="1:2" x14ac:dyDescent="0.25">
      <c r="A12742">
        <f ca="1">27123.8885923069*((RANDBETWEEN(2979,3282)))</f>
        <v>87908522.927666962</v>
      </c>
      <c r="B12742">
        <v>166755427.31626302</v>
      </c>
    </row>
    <row r="12743" spans="1:2" x14ac:dyDescent="0.25">
      <c r="A12743">
        <f ca="1">30181.3142837261*((RANDBETWEEN(2979,3282)))</f>
        <v>96640568.336491108</v>
      </c>
      <c r="B12743">
        <v>176168264.80621457</v>
      </c>
    </row>
    <row r="12744" spans="1:2" x14ac:dyDescent="0.25">
      <c r="A12744">
        <f ca="1">29060.2680616029*((RANDBETWEEN(2979,3282)))</f>
        <v>86832080.968069464</v>
      </c>
      <c r="B12744">
        <v>162863279.33428106</v>
      </c>
    </row>
    <row r="12745" spans="1:2" x14ac:dyDescent="0.25">
      <c r="A12745">
        <f ca="1">25598.104421243*((RANDBETWEEN(2979,3282)))</f>
        <v>82733073.489457473</v>
      </c>
      <c r="B12745">
        <v>149207564.5674352</v>
      </c>
    </row>
    <row r="12746" spans="1:2" x14ac:dyDescent="0.25">
      <c r="A12746">
        <f ca="1">30631.5583944526*((RANDBETWEEN(2979,3282)))</f>
        <v>95202883.489958584</v>
      </c>
      <c r="B12746">
        <v>153285320.01082554</v>
      </c>
    </row>
    <row r="12747" spans="1:2" x14ac:dyDescent="0.25">
      <c r="A12747">
        <f ca="1">27182.65770476*((RANDBETWEEN(2979,3282)))</f>
        <v>83967229.650003657</v>
      </c>
      <c r="B12747">
        <v>168162912.79386985</v>
      </c>
    </row>
    <row r="12748" spans="1:2" x14ac:dyDescent="0.25">
      <c r="A12748">
        <f ca="1">28257.2527322815*((RANDBETWEEN(2979,3282)))</f>
        <v>84997816.218702748</v>
      </c>
      <c r="B12748">
        <v>170675501.15940276</v>
      </c>
    </row>
    <row r="12749" spans="1:2" x14ac:dyDescent="0.25">
      <c r="A12749">
        <f ca="1">27046.7233091471*((RANDBETWEEN(2979,3282)))</f>
        <v>88632112.284075201</v>
      </c>
      <c r="B12749">
        <v>163899480.6783157</v>
      </c>
    </row>
    <row r="12750" spans="1:2" x14ac:dyDescent="0.25">
      <c r="A12750">
        <f ca="1">28341.0855345526*((RANDBETWEEN(2979,3282)))</f>
        <v>86582016.308058277</v>
      </c>
      <c r="B12750">
        <v>153736275.57038838</v>
      </c>
    </row>
    <row r="12751" spans="1:2" x14ac:dyDescent="0.25">
      <c r="A12751">
        <f ca="1">27736.6265236661*((RANDBETWEEN(2979,3282)))</f>
        <v>90227246.081485942</v>
      </c>
      <c r="B12751">
        <v>185828251.58161548</v>
      </c>
    </row>
    <row r="12752" spans="1:2" x14ac:dyDescent="0.25">
      <c r="A12752">
        <f ca="1">26203.7205661327*((RANDBETWEEN(2979,3282)))</f>
        <v>84847647.193137556</v>
      </c>
      <c r="B12752">
        <v>152233392.23133707</v>
      </c>
    </row>
    <row r="12753" spans="1:2" x14ac:dyDescent="0.25">
      <c r="A12753">
        <f ca="1">29172.1858452904*((RANDBETWEEN(2979,3282)))</f>
        <v>93438511.262465149</v>
      </c>
      <c r="B12753">
        <v>199274560.6209057</v>
      </c>
    </row>
    <row r="12754" spans="1:2" x14ac:dyDescent="0.25">
      <c r="A12754">
        <f ca="1">29031.3022384915*((RANDBETWEEN(2979,3282)))</f>
        <v>86513280.670704752</v>
      </c>
      <c r="B12754">
        <v>180993286.60053694</v>
      </c>
    </row>
    <row r="12755" spans="1:2" x14ac:dyDescent="0.25">
      <c r="A12755">
        <f ca="1">27289.3394597975*((RANDBETWEEN(2979,3282)))</f>
        <v>83778272.141578391</v>
      </c>
      <c r="B12755">
        <v>181681864.64979196</v>
      </c>
    </row>
    <row r="12756" spans="1:2" x14ac:dyDescent="0.25">
      <c r="A12756">
        <f ca="1">26972.1791322895*((RANDBETWEEN(2979,3282)))</f>
        <v>86796472.447707668</v>
      </c>
      <c r="B12756">
        <v>154252808.25204763</v>
      </c>
    </row>
    <row r="12757" spans="1:2" x14ac:dyDescent="0.25">
      <c r="A12757">
        <f ca="1">25120.10027151*((RANDBETWEEN(2979,3282)))</f>
        <v>82444169.091095775</v>
      </c>
      <c r="B12757">
        <v>154908405.10736066</v>
      </c>
    </row>
    <row r="12758" spans="1:2" x14ac:dyDescent="0.25">
      <c r="A12758">
        <f ca="1">27240.9454295545*((RANDBETWEEN(2979,3282)))</f>
        <v>83629702.468732432</v>
      </c>
      <c r="B12758">
        <v>166820908.07663468</v>
      </c>
    </row>
    <row r="12759" spans="1:2" x14ac:dyDescent="0.25">
      <c r="A12759">
        <f ca="1">26244.3649406948*((RANDBETWEEN(2979,3282)))</f>
        <v>78181963.1583298</v>
      </c>
      <c r="B12759">
        <v>174564249.82508972</v>
      </c>
    </row>
    <row r="12760" spans="1:2" x14ac:dyDescent="0.25">
      <c r="A12760">
        <f ca="1">31587.3087289662*((RANDBETWEEN(2979,3282)))</f>
        <v>99500022.496243402</v>
      </c>
      <c r="B12760">
        <v>155177164.37014204</v>
      </c>
    </row>
    <row r="12761" spans="1:2" x14ac:dyDescent="0.25">
      <c r="A12761">
        <f ca="1">31712.5010425691*((RANDBETWEEN(2979,3282)))</f>
        <v>98277040.730921641</v>
      </c>
      <c r="B12761">
        <v>178345970.60418496</v>
      </c>
    </row>
    <row r="12762" spans="1:2" x14ac:dyDescent="0.25">
      <c r="A12762">
        <f ca="1">27300.9487168694*((RANDBETWEEN(2979,3282)))</f>
        <v>82558068.919813007</v>
      </c>
      <c r="B12762">
        <v>145308319.472846</v>
      </c>
    </row>
    <row r="12763" spans="1:2" x14ac:dyDescent="0.25">
      <c r="A12763">
        <f ca="1">29899.6408113955*((RANDBETWEEN(2979,3282)))</f>
        <v>96755237.665675774</v>
      </c>
      <c r="B12763">
        <v>151815927.56423005</v>
      </c>
    </row>
    <row r="12764" spans="1:2" x14ac:dyDescent="0.25">
      <c r="A12764">
        <f ca="1">26632.2269722045*((RANDBETWEEN(2979,3282)))</f>
        <v>81547878.988890305</v>
      </c>
      <c r="B12764">
        <v>184524325.69093156</v>
      </c>
    </row>
    <row r="12765" spans="1:2" x14ac:dyDescent="0.25">
      <c r="A12765">
        <f ca="1">27129.6237633643*((RANDBETWEEN(2979,3282)))</f>
        <v>82718222.854497641</v>
      </c>
      <c r="B12765">
        <v>160852891.3756015</v>
      </c>
    </row>
    <row r="12766" spans="1:2" x14ac:dyDescent="0.25">
      <c r="A12766">
        <f ca="1">26775.4747960494*((RANDBETWEEN(2979,3282)))</f>
        <v>80005118.690595612</v>
      </c>
      <c r="B12766">
        <v>173202950.45068917</v>
      </c>
    </row>
    <row r="12767" spans="1:2" x14ac:dyDescent="0.25">
      <c r="A12767">
        <f ca="1">27169.2287905342*((RANDBETWEEN(2979,3282)))</f>
        <v>84659316.911304608</v>
      </c>
      <c r="B12767">
        <v>181087764.12160295</v>
      </c>
    </row>
    <row r="12768" spans="1:2" x14ac:dyDescent="0.25">
      <c r="A12768">
        <f ca="1">26042.9334940606*((RANDBETWEEN(2979,3282)))</f>
        <v>81097694.900504813</v>
      </c>
      <c r="B12768">
        <v>153056874.00505823</v>
      </c>
    </row>
    <row r="12769" spans="1:2" x14ac:dyDescent="0.25">
      <c r="A12769">
        <f ca="1">28923.8116110628*((RANDBETWEEN(2979,3282)))</f>
        <v>88449015.90662998</v>
      </c>
      <c r="B12769">
        <v>187764927.70679</v>
      </c>
    </row>
    <row r="12770" spans="1:2" x14ac:dyDescent="0.25">
      <c r="A12770">
        <f ca="1">26416.1286306882*((RANDBETWEEN(2979,3282)))</f>
        <v>82576818.099531397</v>
      </c>
      <c r="B12770">
        <v>147068689.30626869</v>
      </c>
    </row>
    <row r="12771" spans="1:2" x14ac:dyDescent="0.25">
      <c r="A12771">
        <f ca="1">28433.4856044647*((RANDBETWEEN(2979,3282)))</f>
        <v>90901853.477473497</v>
      </c>
      <c r="B12771">
        <v>161003577.02013782</v>
      </c>
    </row>
    <row r="12772" spans="1:2" x14ac:dyDescent="0.25">
      <c r="A12772">
        <f ca="1">30835.551327866*((RANDBETWEEN(2979,3282)))</f>
        <v>97008644.477466419</v>
      </c>
      <c r="B12772">
        <v>188956740.81603754</v>
      </c>
    </row>
    <row r="12773" spans="1:2" x14ac:dyDescent="0.25">
      <c r="A12773">
        <f ca="1">29234.3012600694*((RANDBETWEEN(2979,3282)))</f>
        <v>92029580.366698518</v>
      </c>
      <c r="B12773">
        <v>153267852.98445165</v>
      </c>
    </row>
    <row r="12774" spans="1:2" x14ac:dyDescent="0.25">
      <c r="A12774">
        <f ca="1">28529.7062607246*((RANDBETWEEN(2979,3282)))</f>
        <v>93434788.003873169</v>
      </c>
      <c r="B12774">
        <v>168877930.71936953</v>
      </c>
    </row>
    <row r="12775" spans="1:2" x14ac:dyDescent="0.25">
      <c r="A12775">
        <f ca="1">28312.045989478*((RANDBETWEEN(2979,3282)))</f>
        <v>91221412.178097978</v>
      </c>
      <c r="B12775">
        <v>149269553.48112255</v>
      </c>
    </row>
    <row r="12776" spans="1:2" x14ac:dyDescent="0.25">
      <c r="A12776">
        <f ca="1">28881.8211643905*((RANDBETWEEN(2979,3282)))</f>
        <v>92133009.514405802</v>
      </c>
      <c r="B12776">
        <v>180198949.38243368</v>
      </c>
    </row>
    <row r="12777" spans="1:2" x14ac:dyDescent="0.25">
      <c r="A12777">
        <f ca="1">32042.7126326547*((RANDBETWEEN(2979,3282)))</f>
        <v>103946559.78033176</v>
      </c>
      <c r="B12777">
        <v>187508349.26240584</v>
      </c>
    </row>
    <row r="12778" spans="1:2" x14ac:dyDescent="0.25">
      <c r="A12778">
        <f ca="1">26189.9851023025*((RANDBETWEEN(2979,3282)))</f>
        <v>82681782.96796903</v>
      </c>
      <c r="B12778">
        <v>156706233.66046351</v>
      </c>
    </row>
    <row r="12779" spans="1:2" x14ac:dyDescent="0.25">
      <c r="A12779">
        <f ca="1">32557.5940933876*((RANDBETWEEN(2979,3282)))</f>
        <v>101547135.97727606</v>
      </c>
      <c r="B12779">
        <v>148186506.95471838</v>
      </c>
    </row>
    <row r="12780" spans="1:2" x14ac:dyDescent="0.25">
      <c r="A12780">
        <f ca="1">26338.8775338902*((RANDBETWEEN(2979,3282)))</f>
        <v>80017509.947958544</v>
      </c>
      <c r="B12780">
        <v>143042379.78518334</v>
      </c>
    </row>
    <row r="12781" spans="1:2" x14ac:dyDescent="0.25">
      <c r="A12781">
        <f ca="1">26821.1724593085*((RANDBETWEEN(2979,3282)))</f>
        <v>86686029.388485223</v>
      </c>
      <c r="B12781">
        <v>184937120.43764192</v>
      </c>
    </row>
    <row r="12782" spans="1:2" x14ac:dyDescent="0.25">
      <c r="A12782">
        <f ca="1">26892.1089906226*((RANDBETWEEN(2979,3282)))</f>
        <v>82558774.601211354</v>
      </c>
      <c r="B12782">
        <v>171796037.90029639</v>
      </c>
    </row>
    <row r="12783" spans="1:2" x14ac:dyDescent="0.25">
      <c r="A12783">
        <f ca="1">26077.1728989116*((RANDBETWEEN(2979,3282)))</f>
        <v>80813158.813727126</v>
      </c>
      <c r="B12783">
        <v>146496156.24590042</v>
      </c>
    </row>
    <row r="12784" spans="1:2" x14ac:dyDescent="0.25">
      <c r="A12784">
        <f ca="1">27556.9525482176*((RANDBETWEEN(2979,3282)))</f>
        <v>88898728.920550078</v>
      </c>
      <c r="B12784">
        <v>151363433.32788265</v>
      </c>
    </row>
    <row r="12785" spans="1:2" x14ac:dyDescent="0.25">
      <c r="A12785">
        <f ca="1">30038.1459656495*((RANDBETWEEN(2979,3282)))</f>
        <v>90895429.69205533</v>
      </c>
      <c r="B12785">
        <v>184563576.51329166</v>
      </c>
    </row>
    <row r="12786" spans="1:2" x14ac:dyDescent="0.25">
      <c r="A12786">
        <f ca="1">27305.5332070772*((RANDBETWEEN(2979,3282)))</f>
        <v>88742982.923000783</v>
      </c>
      <c r="B12786">
        <v>155370384.38617179</v>
      </c>
    </row>
    <row r="12787" spans="1:2" x14ac:dyDescent="0.25">
      <c r="A12787">
        <f ca="1">31581.6650828231*((RANDBETWEEN(2979,3282)))</f>
        <v>96671476.81852144</v>
      </c>
      <c r="B12787">
        <v>196528282.65070182</v>
      </c>
    </row>
    <row r="12788" spans="1:2" x14ac:dyDescent="0.25">
      <c r="A12788">
        <f ca="1">27568.2486002684*((RANDBETWEEN(2979,3282)))</f>
        <v>86343754.616040483</v>
      </c>
      <c r="B12788">
        <v>156273016.36589479</v>
      </c>
    </row>
    <row r="12789" spans="1:2" x14ac:dyDescent="0.25">
      <c r="A12789">
        <f ca="1">28788.0202862148*((RANDBETWEEN(2979,3282)))</f>
        <v>87285277.507803202</v>
      </c>
      <c r="B12789">
        <v>191527214.25063136</v>
      </c>
    </row>
    <row r="12790" spans="1:2" x14ac:dyDescent="0.25">
      <c r="A12790">
        <f ca="1">30879.4384959841*((RANDBETWEEN(2979,3282)))</f>
        <v>99400912.518572941</v>
      </c>
      <c r="B12790">
        <v>158058837.80805063</v>
      </c>
    </row>
    <row r="12791" spans="1:2" x14ac:dyDescent="0.25">
      <c r="A12791">
        <f ca="1">31722.3399966867*((RANDBETWEEN(2979,3282)))</f>
        <v>100401206.08951356</v>
      </c>
      <c r="B12791">
        <v>153842463.51584914</v>
      </c>
    </row>
    <row r="12792" spans="1:2" x14ac:dyDescent="0.25">
      <c r="A12792">
        <f ca="1">29650.4352517216*((RANDBETWEEN(2979,3282)))</f>
        <v>93458171.913426399</v>
      </c>
      <c r="B12792">
        <v>171656586.25657558</v>
      </c>
    </row>
    <row r="12793" spans="1:2" x14ac:dyDescent="0.25">
      <c r="A12793">
        <f ca="1">26756.3107028624*((RANDBETWEEN(2979,3282)))</f>
        <v>81579991.333027408</v>
      </c>
      <c r="B12793">
        <v>154327383.91682073</v>
      </c>
    </row>
    <row r="12794" spans="1:2" x14ac:dyDescent="0.25">
      <c r="A12794">
        <f ca="1">28640.4910899562*((RANDBETWEEN(2979,3282)))</f>
        <v>90647154.299711257</v>
      </c>
      <c r="B12794">
        <v>174029867.32122472</v>
      </c>
    </row>
    <row r="12795" spans="1:2" x14ac:dyDescent="0.25">
      <c r="A12795">
        <f ca="1">30360.4092139611*((RANDBETWEEN(2979,3282)))</f>
        <v>93904745.698781639</v>
      </c>
      <c r="B12795">
        <v>201327471.87081987</v>
      </c>
    </row>
    <row r="12796" spans="1:2" x14ac:dyDescent="0.25">
      <c r="A12796">
        <f ca="1">28356.4249745224*((RANDBETWEEN(2979,3282)))</f>
        <v>87621353.171274364</v>
      </c>
      <c r="B12796">
        <v>182767368.39482009</v>
      </c>
    </row>
    <row r="12797" spans="1:2" x14ac:dyDescent="0.25">
      <c r="A12797">
        <f ca="1">30558.9089960967*((RANDBETWEEN(2979,3282)))</f>
        <v>91615609.170297787</v>
      </c>
      <c r="B12797">
        <v>152817441.16308507</v>
      </c>
    </row>
    <row r="12798" spans="1:2" x14ac:dyDescent="0.25">
      <c r="A12798">
        <f ca="1">27393.0212384901*((RANDBETWEEN(2979,3282)))</f>
        <v>88150742.34546122</v>
      </c>
      <c r="B12798">
        <v>187822093.42701852</v>
      </c>
    </row>
    <row r="12799" spans="1:2" x14ac:dyDescent="0.25">
      <c r="A12799">
        <f ca="1">31469.4164428056*((RANDBETWEEN(2979,3282)))</f>
        <v>101300051.5293913</v>
      </c>
      <c r="B12799">
        <v>163009434.1173932</v>
      </c>
    </row>
    <row r="12800" spans="1:2" x14ac:dyDescent="0.25">
      <c r="A12800">
        <f ca="1">25773.4901673195*((RANDBETWEEN(2979,3282)))</f>
        <v>79176161.794005379</v>
      </c>
      <c r="B12800">
        <v>151087883.34857142</v>
      </c>
    </row>
    <row r="12801" spans="1:2" x14ac:dyDescent="0.25">
      <c r="A12801">
        <f ca="1">28166.4729684875*((RANDBETWEEN(2979,3282)))</f>
        <v>89513051.093853384</v>
      </c>
      <c r="B12801">
        <v>195445839.52374804</v>
      </c>
    </row>
    <row r="12802" spans="1:2" x14ac:dyDescent="0.25">
      <c r="A12802">
        <f ca="1">28577.3530689958*((RANDBETWEEN(2979,3282)))</f>
        <v>89361383.046749964</v>
      </c>
      <c r="B12802">
        <v>185433133.57357001</v>
      </c>
    </row>
    <row r="12803" spans="1:2" x14ac:dyDescent="0.25">
      <c r="A12803">
        <f ca="1">26246.4949094802*((RANDBETWEEN(2979,3282)))</f>
        <v>79920576.999367222</v>
      </c>
      <c r="B12803">
        <v>183199090.06878376</v>
      </c>
    </row>
    <row r="12804" spans="1:2" x14ac:dyDescent="0.25">
      <c r="A12804">
        <f ca="1">28814.6512192354*((RANDBETWEEN(2979,3282)))</f>
        <v>94108650.882022709</v>
      </c>
      <c r="B12804">
        <v>156725330.8932668</v>
      </c>
    </row>
    <row r="12805" spans="1:2" x14ac:dyDescent="0.25">
      <c r="A12805">
        <f ca="1">25335.5487246055*((RANDBETWEEN(2979,3282)))</f>
        <v>80921742.626389951</v>
      </c>
      <c r="B12805">
        <v>159227717.95914954</v>
      </c>
    </row>
    <row r="12806" spans="1:2" x14ac:dyDescent="0.25">
      <c r="A12806">
        <f ca="1">28364.9316823041*((RANDBETWEEN(2979,3282)))</f>
        <v>87363989.581496537</v>
      </c>
      <c r="B12806">
        <v>170990920.42093673</v>
      </c>
    </row>
    <row r="12807" spans="1:2" x14ac:dyDescent="0.25">
      <c r="A12807">
        <f ca="1">25870.1404297806*((RANDBETWEEN(2979,3282)))</f>
        <v>79421331.119426548</v>
      </c>
      <c r="B12807">
        <v>160797861.39119112</v>
      </c>
    </row>
    <row r="12808" spans="1:2" x14ac:dyDescent="0.25">
      <c r="A12808">
        <f ca="1">28608.9218497*((RANDBETWEEN(2979,3282)))</f>
        <v>90604455.497999907</v>
      </c>
      <c r="B12808">
        <v>159670776.25626802</v>
      </c>
    </row>
    <row r="12809" spans="1:2" x14ac:dyDescent="0.25">
      <c r="A12809">
        <f ca="1">32139.318144606*((RANDBETWEEN(2979,3282)))</f>
        <v>102492285.56314853</v>
      </c>
      <c r="B12809">
        <v>168845506.34712899</v>
      </c>
    </row>
    <row r="12810" spans="1:2" x14ac:dyDescent="0.25">
      <c r="A12810">
        <f ca="1">25261.9721988471*((RANDBETWEEN(2979,3282)))</f>
        <v>79272068.759982303</v>
      </c>
      <c r="B12810">
        <v>172647589.66443586</v>
      </c>
    </row>
    <row r="12811" spans="1:2" x14ac:dyDescent="0.25">
      <c r="A12811">
        <f ca="1">27812.2878540203*((RANDBETWEEN(2979,3282)))</f>
        <v>87108085.558791533</v>
      </c>
      <c r="B12811">
        <v>167646100.79056233</v>
      </c>
    </row>
    <row r="12812" spans="1:2" x14ac:dyDescent="0.25">
      <c r="A12812">
        <f ca="1">28909.7838815813*((RANDBETWEEN(2979,3282)))</f>
        <v>89099953.92303364</v>
      </c>
      <c r="B12812">
        <v>189535445.04743743</v>
      </c>
    </row>
    <row r="12813" spans="1:2" x14ac:dyDescent="0.25">
      <c r="A12813">
        <f ca="1">27557.6287215255*((RANDBETWEEN(2979,3282)))</f>
        <v>82728001.422019541</v>
      </c>
      <c r="B12813">
        <v>171787540.27618802</v>
      </c>
    </row>
    <row r="12814" spans="1:2" x14ac:dyDescent="0.25">
      <c r="A12814">
        <f ca="1">28399.1505096022*((RANDBETWEEN(2979,3282)))</f>
        <v>87185392.064478815</v>
      </c>
      <c r="B12814">
        <v>185899083.19834062</v>
      </c>
    </row>
    <row r="12815" spans="1:2" x14ac:dyDescent="0.25">
      <c r="A12815">
        <f ca="1">25565.473725648*((RANDBETWEEN(2979,3282)))</f>
        <v>76185111.702431098</v>
      </c>
      <c r="B12815">
        <v>186162449.90340084</v>
      </c>
    </row>
    <row r="12816" spans="1:2" x14ac:dyDescent="0.25">
      <c r="A12816">
        <f ca="1">30811.537683685*((RANDBETWEEN(2979,3282)))</f>
        <v>98535297.512424484</v>
      </c>
      <c r="B12816">
        <v>200418332.17546099</v>
      </c>
    </row>
    <row r="12817" spans="1:2" x14ac:dyDescent="0.25">
      <c r="A12817">
        <f ca="1">31722.8370785985*((RANDBETWEEN(2979,3282)))</f>
        <v>96056750.67399615</v>
      </c>
      <c r="B12817">
        <v>191423995.75933158</v>
      </c>
    </row>
    <row r="12818" spans="1:2" x14ac:dyDescent="0.25">
      <c r="A12818">
        <f ca="1">26912.3978871126*((RANDBETWEEN(2979,3282)))</f>
        <v>82997835.083855242</v>
      </c>
      <c r="B12818">
        <v>149408968.23028827</v>
      </c>
    </row>
    <row r="12819" spans="1:2" x14ac:dyDescent="0.25">
      <c r="A12819">
        <f ca="1">32126.9932961935*((RANDBETWEEN(2979,3282)))</f>
        <v>100428981.04390076</v>
      </c>
      <c r="B12819">
        <v>199420107.62994552</v>
      </c>
    </row>
    <row r="12820" spans="1:2" x14ac:dyDescent="0.25">
      <c r="A12820">
        <f ca="1">33534.9822424549*((RANDBETWEEN(2979,3282)))</f>
        <v>103857840.00488272</v>
      </c>
      <c r="B12820">
        <v>195360379.27275199</v>
      </c>
    </row>
    <row r="12821" spans="1:2" x14ac:dyDescent="0.25">
      <c r="A12821">
        <f ca="1">26530.4545576655*((RANDBETWEEN(2979,3282)))</f>
        <v>82562774.583454996</v>
      </c>
      <c r="B12821">
        <v>155250157.13656074</v>
      </c>
    </row>
    <row r="12822" spans="1:2" x14ac:dyDescent="0.25">
      <c r="A12822">
        <f ca="1">26096.4869950272*((RANDBETWEEN(2979,3282)))</f>
        <v>82751960.261231318</v>
      </c>
      <c r="B12822">
        <v>148672417.00687835</v>
      </c>
    </row>
    <row r="12823" spans="1:2" x14ac:dyDescent="0.25">
      <c r="A12823">
        <f ca="1">26919.6771123923*((RANDBETWEEN(2979,3282)))</f>
        <v>86439083.207891539</v>
      </c>
      <c r="B12823">
        <v>173824601.99950069</v>
      </c>
    </row>
    <row r="12824" spans="1:2" x14ac:dyDescent="0.25">
      <c r="A12824">
        <f ca="1">27132.4135073338*((RANDBETWEEN(2979,3282)))</f>
        <v>87664828.042195618</v>
      </c>
      <c r="B12824">
        <v>178003014.87452129</v>
      </c>
    </row>
    <row r="12825" spans="1:2" x14ac:dyDescent="0.25">
      <c r="A12825">
        <f ca="1">28157.6640424078*((RANDBETWEEN(2979,3282)))</f>
        <v>84332203.807011351</v>
      </c>
      <c r="B12825">
        <v>187344108.78365472</v>
      </c>
    </row>
    <row r="12826" spans="1:2" x14ac:dyDescent="0.25">
      <c r="A12826">
        <f ca="1">27770.272947359*((RANDBETWEEN(2979,3282)))</f>
        <v>90919873.629653409</v>
      </c>
      <c r="B12826">
        <v>186129474.95384848</v>
      </c>
    </row>
    <row r="12827" spans="1:2" x14ac:dyDescent="0.25">
      <c r="A12827">
        <f ca="1">30143.1740562894*((RANDBETWEEN(2979,3282)))</f>
        <v>93172551.007990509</v>
      </c>
      <c r="B12827">
        <v>179352069.73735458</v>
      </c>
    </row>
    <row r="12828" spans="1:2" x14ac:dyDescent="0.25">
      <c r="A12828">
        <f ca="1">29099.2004642412*((RANDBETWEEN(2979,3282)))</f>
        <v>95416278.322246999</v>
      </c>
      <c r="B12828">
        <v>159878704.21932992</v>
      </c>
    </row>
    <row r="12829" spans="1:2" x14ac:dyDescent="0.25">
      <c r="A12829">
        <f ca="1">27735.906896057*((RANDBETWEEN(2979,3282)))</f>
        <v>87229427.188099355</v>
      </c>
      <c r="B12829">
        <v>187266494.53194565</v>
      </c>
    </row>
    <row r="12830" spans="1:2" x14ac:dyDescent="0.25">
      <c r="A12830">
        <f ca="1">31043.5040253709*((RANDBETWEEN(2979,3282)))</f>
        <v>98842516.81678085</v>
      </c>
      <c r="B12830">
        <v>171894437.7878314</v>
      </c>
    </row>
    <row r="12831" spans="1:2" x14ac:dyDescent="0.25">
      <c r="A12831">
        <f ca="1">27890.8152071082*((RANDBETWEEN(2979,3282)))</f>
        <v>89055372.956296384</v>
      </c>
      <c r="B12831">
        <v>190823294.44760033</v>
      </c>
    </row>
    <row r="12832" spans="1:2" x14ac:dyDescent="0.25">
      <c r="A12832">
        <f ca="1">27553.374519951*((RANDBETWEEN(2979,3282)))</f>
        <v>84809286.772409245</v>
      </c>
      <c r="B12832">
        <v>161916368.42308667</v>
      </c>
    </row>
    <row r="12833" spans="1:2" x14ac:dyDescent="0.25">
      <c r="A12833">
        <f ca="1">26737.967770134*((RANDBETWEEN(2979,3282)))</f>
        <v>82032085.118771121</v>
      </c>
      <c r="B12833">
        <v>154026263.16551876</v>
      </c>
    </row>
    <row r="12834" spans="1:2" x14ac:dyDescent="0.25">
      <c r="A12834">
        <f ca="1">26635.0591950583*((RANDBETWEEN(2979,3282)))</f>
        <v>80278068.413905606</v>
      </c>
      <c r="B12834">
        <v>162948817.70652628</v>
      </c>
    </row>
    <row r="12835" spans="1:2" x14ac:dyDescent="0.25">
      <c r="A12835">
        <f ca="1">26686.6328756687*((RANDBETWEEN(2979,3282)))</f>
        <v>81500976.802292079</v>
      </c>
      <c r="B12835">
        <v>182312435.32876804</v>
      </c>
    </row>
    <row r="12836" spans="1:2" x14ac:dyDescent="0.25">
      <c r="A12836">
        <f ca="1">27501.0715512581*((RANDBETWEEN(2979,3282)))</f>
        <v>85748341.096822843</v>
      </c>
      <c r="B12836">
        <v>168761505.74831823</v>
      </c>
    </row>
    <row r="12837" spans="1:2" x14ac:dyDescent="0.25">
      <c r="A12837">
        <f ca="1">27198.9468993313*((RANDBETWEEN(2979,3282)))</f>
        <v>85295897.476302922</v>
      </c>
      <c r="B12837">
        <v>159499466.49683338</v>
      </c>
    </row>
    <row r="12838" spans="1:2" x14ac:dyDescent="0.25">
      <c r="A12838">
        <f ca="1">26203.8813457323*((RANDBETWEEN(2979,3282)))</f>
        <v>83406954.323466033</v>
      </c>
      <c r="B12838">
        <v>155197073.07218552</v>
      </c>
    </row>
    <row r="12839" spans="1:2" x14ac:dyDescent="0.25">
      <c r="A12839">
        <f ca="1">26613.6280144722*((RANDBETWEEN(2979,3282)))</f>
        <v>82236110.564719006</v>
      </c>
      <c r="B12839">
        <v>186486257.62201473</v>
      </c>
    </row>
    <row r="12840" spans="1:2" x14ac:dyDescent="0.25">
      <c r="A12840">
        <f ca="1">26566.3611316754*((RANDBETWEEN(2979,3282)))</f>
        <v>84507594.759859398</v>
      </c>
      <c r="B12840">
        <v>147983895.79655448</v>
      </c>
    </row>
    <row r="12841" spans="1:2" x14ac:dyDescent="0.25">
      <c r="A12841">
        <f ca="1">25899.0595177912*((RANDBETWEEN(2979,3282)))</f>
        <v>78422352.219871894</v>
      </c>
      <c r="B12841">
        <v>196237019.07661217</v>
      </c>
    </row>
    <row r="12842" spans="1:2" x14ac:dyDescent="0.25">
      <c r="A12842">
        <f ca="1">27535.3709965098*((RANDBETWEEN(2979,3282)))</f>
        <v>88388540.898796469</v>
      </c>
      <c r="B12842">
        <v>164155398.40961567</v>
      </c>
    </row>
    <row r="12843" spans="1:2" x14ac:dyDescent="0.25">
      <c r="A12843">
        <f ca="1">26092.2988271382*((RANDBETWEEN(2979,3282)))</f>
        <v>84878248.084680513</v>
      </c>
      <c r="B12843">
        <v>166033279.86923468</v>
      </c>
    </row>
    <row r="12844" spans="1:2" x14ac:dyDescent="0.25">
      <c r="A12844">
        <f ca="1">26822.0081980962*((RANDBETWEEN(2979,3282)))</f>
        <v>85106232.012559205</v>
      </c>
      <c r="B12844">
        <v>159875046.1024223</v>
      </c>
    </row>
    <row r="12845" spans="1:2" x14ac:dyDescent="0.25">
      <c r="A12845">
        <f ca="1">29907.5002870572*((RANDBETWEEN(2979,3282)))</f>
        <v>89602870.860023484</v>
      </c>
      <c r="B12845">
        <v>182782033.42573369</v>
      </c>
    </row>
    <row r="12846" spans="1:2" x14ac:dyDescent="0.25">
      <c r="A12846">
        <f ca="1">30197.2703667233*((RANDBETWEEN(2979,3282)))</f>
        <v>98714876.82881856</v>
      </c>
      <c r="B12846">
        <v>148128148.07938704</v>
      </c>
    </row>
    <row r="12847" spans="1:2" x14ac:dyDescent="0.25">
      <c r="A12847">
        <f ca="1">26832.2422420944*((RANDBETWEEN(2979,3282)))</f>
        <v>84226408.397934228</v>
      </c>
      <c r="B12847">
        <v>163808697.08601868</v>
      </c>
    </row>
    <row r="12848" spans="1:2" x14ac:dyDescent="0.25">
      <c r="A12848">
        <f ca="1">26441.4453394987*((RANDBETWEEN(2979,3282)))</f>
        <v>85881814.462691709</v>
      </c>
      <c r="B12848">
        <v>161701548.65634757</v>
      </c>
    </row>
    <row r="12849" spans="1:2" x14ac:dyDescent="0.25">
      <c r="A12849">
        <f ca="1">28807.9465544631*((RANDBETWEEN(2979,3282)))</f>
        <v>92300660.760499924</v>
      </c>
      <c r="B12849">
        <v>193384564.25822771</v>
      </c>
    </row>
    <row r="12850" spans="1:2" x14ac:dyDescent="0.25">
      <c r="A12850">
        <f ca="1">27520.5018034267*((RANDBETWEEN(2979,3282)))</f>
        <v>82809189.926510841</v>
      </c>
      <c r="B12850">
        <v>184227978.89321899</v>
      </c>
    </row>
    <row r="12851" spans="1:2" x14ac:dyDescent="0.25">
      <c r="A12851">
        <f ca="1">30817.2603123665*((RANDBETWEEN(2979,3282)))</f>
        <v>93037308.883034334</v>
      </c>
      <c r="B12851">
        <v>194524775.07318044</v>
      </c>
    </row>
    <row r="12852" spans="1:2" x14ac:dyDescent="0.25">
      <c r="A12852">
        <f ca="1">28295.432909568*((RANDBETWEEN(2979,3282)))</f>
        <v>87574364.85511294</v>
      </c>
      <c r="B12852">
        <v>146477515.94451308</v>
      </c>
    </row>
    <row r="12853" spans="1:2" x14ac:dyDescent="0.25">
      <c r="A12853">
        <f ca="1">28361.3191812644*((RANDBETWEEN(2979,3282)))</f>
        <v>84686899.075255439</v>
      </c>
      <c r="B12853">
        <v>146375234.3061747</v>
      </c>
    </row>
    <row r="12854" spans="1:2" x14ac:dyDescent="0.25">
      <c r="A12854">
        <f ca="1">26346.9316562409*((RANDBETWEEN(2979,3282)))</f>
        <v>81280284.159503147</v>
      </c>
      <c r="B12854">
        <v>201751214.87587771</v>
      </c>
    </row>
    <row r="12855" spans="1:2" x14ac:dyDescent="0.25">
      <c r="A12855">
        <f ca="1">33914.5287880835*((RANDBETWEEN(2979,3282)))</f>
        <v>103134082.04456206</v>
      </c>
      <c r="B12855">
        <v>183908743.16843271</v>
      </c>
    </row>
    <row r="12856" spans="1:2" x14ac:dyDescent="0.25">
      <c r="A12856">
        <f ca="1">26453.0319290955*((RANDBETWEEN(2979,3282)))</f>
        <v>83829658.183303788</v>
      </c>
      <c r="B12856">
        <v>150526076.25147343</v>
      </c>
    </row>
    <row r="12857" spans="1:2" x14ac:dyDescent="0.25">
      <c r="A12857">
        <f ca="1">27158.6807876451*((RANDBETWEEN(2979,3282)))</f>
        <v>87966967.071182579</v>
      </c>
      <c r="B12857">
        <v>165117773.82859975</v>
      </c>
    </row>
    <row r="12858" spans="1:2" x14ac:dyDescent="0.25">
      <c r="A12858">
        <f ca="1">27635.0376397977*((RANDBETWEEN(2979,3282)))</f>
        <v>85917332.022131041</v>
      </c>
      <c r="B12858">
        <v>151136591.60119694</v>
      </c>
    </row>
    <row r="12859" spans="1:2" x14ac:dyDescent="0.25">
      <c r="A12859">
        <f ca="1">29534.392190805*((RANDBETWEEN(2979,3282)))</f>
        <v>89666414.691284031</v>
      </c>
      <c r="B12859">
        <v>182939658.47624731</v>
      </c>
    </row>
    <row r="12860" spans="1:2" x14ac:dyDescent="0.25">
      <c r="A12860">
        <f ca="1">28108.8717239847*((RANDBETWEEN(2979,3282)))</f>
        <v>88261857.213311985</v>
      </c>
      <c r="B12860">
        <v>145606054.432944</v>
      </c>
    </row>
    <row r="12861" spans="1:2" x14ac:dyDescent="0.25">
      <c r="A12861">
        <f ca="1">28589.9789626578*((RANDBETWEEN(2979,3282)))</f>
        <v>86884946.067517206</v>
      </c>
      <c r="B12861">
        <v>178495459.96155435</v>
      </c>
    </row>
    <row r="12862" spans="1:2" x14ac:dyDescent="0.25">
      <c r="A12862">
        <f ca="1">25029.2741459602*((RANDBETWEEN(2979,3282)))</f>
        <v>76239169.048594788</v>
      </c>
      <c r="B12862">
        <v>177606121.1686711</v>
      </c>
    </row>
    <row r="12863" spans="1:2" x14ac:dyDescent="0.25">
      <c r="A12863">
        <f ca="1">26538.5429327655*((RANDBETWEEN(2979,3282)))</f>
        <v>79960629.85642232</v>
      </c>
      <c r="B12863">
        <v>200569424.54017574</v>
      </c>
    </row>
    <row r="12864" spans="1:2" x14ac:dyDescent="0.25">
      <c r="A12864">
        <f ca="1">26749.7520757014*((RANDBETWEEN(2979,3282)))</f>
        <v>86134201.683758676</v>
      </c>
      <c r="B12864">
        <v>152347251.09817535</v>
      </c>
    </row>
    <row r="12865" spans="1:2" x14ac:dyDescent="0.25">
      <c r="A12865">
        <f ca="1">33944.6457809896*((RANDBETWEEN(2979,3282)))</f>
        <v>102139439.15499792</v>
      </c>
      <c r="B12865">
        <v>194482742.5122444</v>
      </c>
    </row>
    <row r="12866" spans="1:2" x14ac:dyDescent="0.25">
      <c r="A12866">
        <f ca="1">26247.625626775*((RANDBETWEEN(2979,3282)))</f>
        <v>83808668.626292691</v>
      </c>
      <c r="B12866">
        <v>153349591.7192508</v>
      </c>
    </row>
    <row r="12867" spans="1:2" x14ac:dyDescent="0.25">
      <c r="A12867">
        <f ca="1">28164.4797328476*((RANDBETWEEN(2979,3282)))</f>
        <v>84437110.239077225</v>
      </c>
      <c r="B12867">
        <v>153907394.96584439</v>
      </c>
    </row>
    <row r="12868" spans="1:2" x14ac:dyDescent="0.25">
      <c r="A12868">
        <f ca="1">26507.319663822*((RANDBETWEEN(2979,3282)))</f>
        <v>82225705.597175911</v>
      </c>
      <c r="B12868">
        <v>144386418.91332507</v>
      </c>
    </row>
    <row r="12869" spans="1:2" x14ac:dyDescent="0.25">
      <c r="A12869">
        <f ca="1">27330.1511539808*((RANDBETWEEN(2979,3282)))</f>
        <v>87019201.27427496</v>
      </c>
      <c r="B12869">
        <v>169236867.24182475</v>
      </c>
    </row>
    <row r="12870" spans="1:2" x14ac:dyDescent="0.25">
      <c r="A12870">
        <f ca="1">26888.680879258*((RANDBETWEEN(2979,3282)))</f>
        <v>81069372.850962803</v>
      </c>
      <c r="B12870">
        <v>172954567.9924387</v>
      </c>
    </row>
    <row r="12871" spans="1:2" x14ac:dyDescent="0.25">
      <c r="A12871">
        <f ca="1">26062.3241122451*((RANDBETWEEN(2979,3282)))</f>
        <v>79099153.68066375</v>
      </c>
      <c r="B12871">
        <v>160137950.84285015</v>
      </c>
    </row>
    <row r="12872" spans="1:2" x14ac:dyDescent="0.25">
      <c r="A12872">
        <f ca="1">28194.9723400647*((RANDBETWEEN(2979,3282)))</f>
        <v>87037879.613779724</v>
      </c>
      <c r="B12872">
        <v>172240170.57622758</v>
      </c>
    </row>
    <row r="12873" spans="1:2" x14ac:dyDescent="0.25">
      <c r="A12873">
        <f ca="1">27444.230542097*((RANDBETWEEN(2979,3282)))</f>
        <v>82854132.006590977</v>
      </c>
      <c r="B12873">
        <v>178613597.31412941</v>
      </c>
    </row>
    <row r="12874" spans="1:2" x14ac:dyDescent="0.25">
      <c r="A12874">
        <f ca="1">29158.9365013703*((RANDBETWEEN(2979,3282)))</f>
        <v>88643166.964165702</v>
      </c>
      <c r="B12874">
        <v>162608592.78592631</v>
      </c>
    </row>
    <row r="12875" spans="1:2" x14ac:dyDescent="0.25">
      <c r="A12875">
        <f ca="1">27864.8685002766*((RANDBETWEEN(2979,3282)))</f>
        <v>91424633.549407661</v>
      </c>
      <c r="B12875">
        <v>168212831.47978383</v>
      </c>
    </row>
    <row r="12876" spans="1:2" x14ac:dyDescent="0.25">
      <c r="A12876">
        <f ca="1">28553.7958877026*((RANDBETWEEN(2979,3282)))</f>
        <v>87888583.742348731</v>
      </c>
      <c r="B12876">
        <v>169455998.3248648</v>
      </c>
    </row>
    <row r="12877" spans="1:2" x14ac:dyDescent="0.25">
      <c r="A12877">
        <f ca="1">26228.4215384168*((RANDBETWEEN(2979,3282)))</f>
        <v>83799806.815241605</v>
      </c>
      <c r="B12877">
        <v>151448357.46006042</v>
      </c>
    </row>
    <row r="12878" spans="1:2" x14ac:dyDescent="0.25">
      <c r="A12878">
        <f ca="1">27523.5766715535*((RANDBETWEEN(2979,3282)))</f>
        <v>89148864.839161783</v>
      </c>
      <c r="B12878">
        <v>181746032.55254495</v>
      </c>
    </row>
    <row r="12879" spans="1:2" x14ac:dyDescent="0.25">
      <c r="A12879">
        <f ca="1">27046.5045711055*((RANDBETWEEN(2979,3282)))</f>
        <v>83032769.033293977</v>
      </c>
      <c r="B12879">
        <v>178461383.52886468</v>
      </c>
    </row>
    <row r="12880" spans="1:2" x14ac:dyDescent="0.25">
      <c r="A12880">
        <f ca="1">27743.9148590967*((RANDBETWEEN(2979,3282)))</f>
        <v>90278698.95150058</v>
      </c>
      <c r="B12880">
        <v>190633321.49019092</v>
      </c>
    </row>
    <row r="12881" spans="1:2" x14ac:dyDescent="0.25">
      <c r="A12881">
        <f ca="1">29447.7859548061*((RANDBETWEEN(2979,3282)))</f>
        <v>90846419.670576796</v>
      </c>
      <c r="B12881">
        <v>147338296.24992293</v>
      </c>
    </row>
    <row r="12882" spans="1:2" x14ac:dyDescent="0.25">
      <c r="A12882">
        <f ca="1">30431.1227571333*((RANDBETWEEN(2979,3282)))</f>
        <v>91567248.376214072</v>
      </c>
      <c r="B12882">
        <v>170655899.54240847</v>
      </c>
    </row>
    <row r="12883" spans="1:2" x14ac:dyDescent="0.25">
      <c r="A12883">
        <f ca="1">26405.9172785772*((RANDBETWEEN(2979,3282)))</f>
        <v>86400161.335504621</v>
      </c>
      <c r="B12883">
        <v>157956300.09330776</v>
      </c>
    </row>
    <row r="12884" spans="1:2" x14ac:dyDescent="0.25">
      <c r="A12884">
        <f ca="1">27781.1639515158*((RANDBETWEEN(2979,3282)))</f>
        <v>85482641.478814185</v>
      </c>
      <c r="B12884">
        <v>179690833.95584008</v>
      </c>
    </row>
    <row r="12885" spans="1:2" x14ac:dyDescent="0.25">
      <c r="A12885">
        <f ca="1">26603.7375002185*((RANDBETWEEN(2979,3282)))</f>
        <v>85610827.275703162</v>
      </c>
      <c r="B12885">
        <v>157670826.92593431</v>
      </c>
    </row>
    <row r="12886" spans="1:2" x14ac:dyDescent="0.25">
      <c r="A12886">
        <f ca="1">29153.2786542951*((RANDBETWEEN(2979,3282)))</f>
        <v>93582024.480287328</v>
      </c>
      <c r="B12886">
        <v>190491393.04133189</v>
      </c>
    </row>
    <row r="12887" spans="1:2" x14ac:dyDescent="0.25">
      <c r="A12887">
        <f ca="1">28996.4224348194*((RANDBETWEEN(2979,3282)))</f>
        <v>88091131.356981307</v>
      </c>
      <c r="B12887">
        <v>198981548.49940166</v>
      </c>
    </row>
    <row r="12888" spans="1:2" x14ac:dyDescent="0.25">
      <c r="A12888">
        <f ca="1">30197.703042959*((RANDBETWEEN(2979,3282)))</f>
        <v>98716291.247432902</v>
      </c>
      <c r="B12888">
        <v>190843280.38595659</v>
      </c>
    </row>
    <row r="12889" spans="1:2" x14ac:dyDescent="0.25">
      <c r="A12889">
        <f ca="1">28022.3315966207*((RANDBETWEEN(2979,3282)))</f>
        <v>83982927.795072138</v>
      </c>
      <c r="B12889">
        <v>172151800.04396117</v>
      </c>
    </row>
    <row r="12890" spans="1:2" x14ac:dyDescent="0.25">
      <c r="A12890">
        <f ca="1">28435.0436190258*((RANDBETWEEN(2979,3282)))</f>
        <v>93210072.98316665</v>
      </c>
      <c r="B12890">
        <v>198809651.16311106</v>
      </c>
    </row>
    <row r="12891" spans="1:2" x14ac:dyDescent="0.25">
      <c r="A12891">
        <f ca="1">25671.4749656486*((RANDBETWEEN(2979,3282)))</f>
        <v>82867521.189113721</v>
      </c>
      <c r="B12891">
        <v>181478682.75500369</v>
      </c>
    </row>
    <row r="12892" spans="1:2" x14ac:dyDescent="0.25">
      <c r="A12892">
        <f ca="1">33037.1281457266*((RANDBETWEEN(2979,3282)))</f>
        <v>99706052.743802845</v>
      </c>
      <c r="B12892">
        <v>192172258.77575377</v>
      </c>
    </row>
    <row r="12893" spans="1:2" x14ac:dyDescent="0.25">
      <c r="A12893">
        <f ca="1">32538.9293781992*((RANDBETWEEN(2979,3282)))</f>
        <v>99894513.191071466</v>
      </c>
      <c r="B12893">
        <v>185350025.37675986</v>
      </c>
    </row>
    <row r="12894" spans="1:2" x14ac:dyDescent="0.25">
      <c r="A12894">
        <f ca="1">28753.5556185655*((RANDBETWEEN(2979,3282)))</f>
        <v>92298913.535595402</v>
      </c>
      <c r="B12894">
        <v>167125896.44542742</v>
      </c>
    </row>
    <row r="12895" spans="1:2" x14ac:dyDescent="0.25">
      <c r="A12895">
        <f ca="1">25746.1399356539*((RANDBETWEEN(2979,3282)))</f>
        <v>83623462.511003956</v>
      </c>
      <c r="B12895">
        <v>145918202.07947764</v>
      </c>
    </row>
    <row r="12896" spans="1:2" x14ac:dyDescent="0.25">
      <c r="A12896">
        <f ca="1">27607.7702877482*((RANDBETWEEN(2979,3282)))</f>
        <v>86357105.460076332</v>
      </c>
      <c r="B12896">
        <v>160173667.02456814</v>
      </c>
    </row>
    <row r="12897" spans="1:2" x14ac:dyDescent="0.25">
      <c r="A12897">
        <f ca="1">26902.550860825*((RANDBETWEEN(2979,3282)))</f>
        <v>87783023.458871976</v>
      </c>
      <c r="B12897">
        <v>144625771.36748555</v>
      </c>
    </row>
    <row r="12898" spans="1:2" x14ac:dyDescent="0.25">
      <c r="A12898">
        <f ca="1">28139.815337738*((RANDBETWEEN(2979,3282)))</f>
        <v>84897822.873955444</v>
      </c>
      <c r="B12898">
        <v>184945820.64650086</v>
      </c>
    </row>
    <row r="12899" spans="1:2" x14ac:dyDescent="0.25">
      <c r="A12899">
        <f ca="1">31451.4318872365*((RANDBETWEEN(2979,3282)))</f>
        <v>97184924.531560928</v>
      </c>
      <c r="B12899">
        <v>169763950.18308052</v>
      </c>
    </row>
    <row r="12900" spans="1:2" x14ac:dyDescent="0.25">
      <c r="A12900">
        <f ca="1">26534.3028801844*((RANDBETWEEN(2979,3282)))</f>
        <v>83689191.284101471</v>
      </c>
      <c r="B12900">
        <v>149925872.48812073</v>
      </c>
    </row>
    <row r="12901" spans="1:2" x14ac:dyDescent="0.25">
      <c r="A12901">
        <f ca="1">33210.6689403561*((RANDBETWEEN(2979,3282)))</f>
        <v>108964204.7933085</v>
      </c>
      <c r="B12901">
        <v>202216718.52432141</v>
      </c>
    </row>
    <row r="12902" spans="1:2" x14ac:dyDescent="0.25">
      <c r="A12902">
        <f ca="1">27119.779245241*((RANDBETWEEN(2979,3282)))</f>
        <v>83149243.165908888</v>
      </c>
      <c r="B12902">
        <v>147689997.03490496</v>
      </c>
    </row>
    <row r="12903" spans="1:2" x14ac:dyDescent="0.25">
      <c r="A12903">
        <f ca="1">28443.9825114691*((RANDBETWEEN(2979,3282)))</f>
        <v>84905287.796735361</v>
      </c>
      <c r="B12903">
        <v>176082731.77861169</v>
      </c>
    </row>
    <row r="12904" spans="1:2" x14ac:dyDescent="0.25">
      <c r="A12904">
        <f ca="1">27139.9231011072*((RANDBETWEEN(2979,3282)))</f>
        <v>84730839.921656579</v>
      </c>
      <c r="B12904">
        <v>194787137.36125124</v>
      </c>
    </row>
    <row r="12905" spans="1:2" x14ac:dyDescent="0.25">
      <c r="A12905">
        <f ca="1">31834.128003069*((RANDBETWEEN(2979,3282)))</f>
        <v>96552910.233308196</v>
      </c>
      <c r="B12905">
        <v>196041736.97520977</v>
      </c>
    </row>
    <row r="12906" spans="1:2" x14ac:dyDescent="0.25">
      <c r="A12906">
        <f ca="1">25873.3707277222*((RANDBETWEEN(2979,3282)))</f>
        <v>78655047.012275606</v>
      </c>
      <c r="B12906">
        <v>164629003.29555348</v>
      </c>
    </row>
    <row r="12907" spans="1:2" x14ac:dyDescent="0.25">
      <c r="A12907">
        <f ca="1">27607.1533758059*((RANDBETWEEN(2979,3282)))</f>
        <v>87818354.888438538</v>
      </c>
      <c r="B12907">
        <v>151447486.5430454</v>
      </c>
    </row>
    <row r="12908" spans="1:2" x14ac:dyDescent="0.25">
      <c r="A12908">
        <f ca="1">27454.6579727286*((RANDBETWEEN(2979,3282)))</f>
        <v>87333267.01124981</v>
      </c>
      <c r="B12908">
        <v>185145392.38499185</v>
      </c>
    </row>
    <row r="12909" spans="1:2" x14ac:dyDescent="0.25">
      <c r="A12909">
        <f ca="1">28026.1892669479*((RANDBETWEEN(2979,3282)))</f>
        <v>89375517.572296992</v>
      </c>
      <c r="B12909">
        <v>151636570.29191515</v>
      </c>
    </row>
    <row r="12910" spans="1:2" x14ac:dyDescent="0.25">
      <c r="A12910">
        <f ca="1">30601.3489757753*((RANDBETWEEN(2979,3282)))</f>
        <v>96394249.27369225</v>
      </c>
      <c r="B12910">
        <v>202884679.03856757</v>
      </c>
    </row>
    <row r="12911" spans="1:2" x14ac:dyDescent="0.25">
      <c r="A12911">
        <f ca="1">33137.4890906445*((RANDBETWEEN(2979,3282)))</f>
        <v>108425864.30458869</v>
      </c>
      <c r="B12911">
        <v>176897788.86808825</v>
      </c>
    </row>
    <row r="12912" spans="1:2" x14ac:dyDescent="0.25">
      <c r="A12912">
        <f ca="1">27818.5432560041*((RANDBETWEEN(2979,3282)))</f>
        <v>85653294.685236603</v>
      </c>
      <c r="B12912">
        <v>157986241.09477556</v>
      </c>
    </row>
    <row r="12913" spans="1:2" x14ac:dyDescent="0.25">
      <c r="A12913">
        <f ca="1">29203.7329036655*((RANDBETWEEN(2979,3282)))</f>
        <v>90093516.007808119</v>
      </c>
      <c r="B12913">
        <v>184627456.11013132</v>
      </c>
    </row>
    <row r="12914" spans="1:2" x14ac:dyDescent="0.25">
      <c r="A12914">
        <f ca="1">33570.2734855193*((RANDBETWEEN(2979,3282)))</f>
        <v>106115634.48772639</v>
      </c>
      <c r="B12914">
        <v>185141195.38498172</v>
      </c>
    </row>
    <row r="12915" spans="1:2" x14ac:dyDescent="0.25">
      <c r="A12915">
        <f ca="1">28675.7820599823*((RANDBETWEEN(2979,3282)))</f>
        <v>89382412.680964962</v>
      </c>
      <c r="B12915">
        <v>155713469.44577616</v>
      </c>
    </row>
    <row r="12916" spans="1:2" x14ac:dyDescent="0.25">
      <c r="A12916">
        <f ca="1">30400.3880275247*((RANDBETWEEN(2979,3282)))</f>
        <v>97615645.956381842</v>
      </c>
      <c r="B12916">
        <v>175900186.91333967</v>
      </c>
    </row>
    <row r="12917" spans="1:2" x14ac:dyDescent="0.25">
      <c r="A12917">
        <f ca="1">26852.4447364669*((RANDBETWEEN(2979,3282)))</f>
        <v>84155561.804087326</v>
      </c>
      <c r="B12917">
        <v>190196637.20663494</v>
      </c>
    </row>
    <row r="12918" spans="1:2" x14ac:dyDescent="0.25">
      <c r="A12918">
        <f ca="1">27465.9603576442*((RANDBETWEEN(2979,3282)))</f>
        <v>86957230.492301553</v>
      </c>
      <c r="B12918">
        <v>192991481.78811315</v>
      </c>
    </row>
    <row r="12919" spans="1:2" x14ac:dyDescent="0.25">
      <c r="A12919">
        <f ca="1">26905.3459377687*((RANDBETWEEN(2979,3282)))</f>
        <v>83137518.947705403</v>
      </c>
      <c r="B12919">
        <v>160640081.10718572</v>
      </c>
    </row>
    <row r="12920" spans="1:2" x14ac:dyDescent="0.25">
      <c r="A12920">
        <f ca="1">31480.4921319071*((RANDBETWEEN(2979,3282)))</f>
        <v>101209782.2040814</v>
      </c>
      <c r="B12920">
        <v>187831755.01405543</v>
      </c>
    </row>
    <row r="12921" spans="1:2" x14ac:dyDescent="0.25">
      <c r="A12921">
        <f ca="1">26955.7046435221*((RANDBETWEEN(2979,3282)))</f>
        <v>88064287.070386544</v>
      </c>
      <c r="B12921">
        <v>176545455.70918533</v>
      </c>
    </row>
    <row r="12922" spans="1:2" x14ac:dyDescent="0.25">
      <c r="A12922">
        <f ca="1">26515.9048267581*((RANDBETWEEN(2979,3282)))</f>
        <v>83551616.109114915</v>
      </c>
      <c r="B12922">
        <v>144008653.57644686</v>
      </c>
    </row>
    <row r="12923" spans="1:2" x14ac:dyDescent="0.25">
      <c r="A12923">
        <f ca="1">27552.7942537006*((RANDBETWEEN(2979,3282)))</f>
        <v>86378009.98535125</v>
      </c>
      <c r="B12923">
        <v>154699290.24644002</v>
      </c>
    </row>
    <row r="12924" spans="1:2" x14ac:dyDescent="0.25">
      <c r="A12924">
        <f ca="1">26436.6159732656*((RANDBETWEEN(2979,3282)))</f>
        <v>82587988.300481826</v>
      </c>
      <c r="B12924">
        <v>164183996.29943246</v>
      </c>
    </row>
    <row r="12925" spans="1:2" x14ac:dyDescent="0.25">
      <c r="A12925">
        <f ca="1">29635.2707940892*((RANDBETWEEN(2979,3282)))</f>
        <v>96818429.684289411</v>
      </c>
      <c r="B12925">
        <v>200035921.56424829</v>
      </c>
    </row>
    <row r="12926" spans="1:2" x14ac:dyDescent="0.25">
      <c r="A12926">
        <f ca="1">26545.3169626244*((RANDBETWEEN(2979,3282)))</f>
        <v>79768677.472686201</v>
      </c>
      <c r="B12926">
        <v>158322504.22622189</v>
      </c>
    </row>
    <row r="12927" spans="1:2" x14ac:dyDescent="0.25">
      <c r="A12927">
        <f ca="1">34728.0984237493*((RANDBETWEEN(2979,3282)))</f>
        <v>110470081.08594662</v>
      </c>
      <c r="B12927">
        <v>146087217.88276398</v>
      </c>
    </row>
    <row r="12928" spans="1:2" x14ac:dyDescent="0.25">
      <c r="A12928">
        <f ca="1">31467.8613968437*((RANDBETWEEN(2979,3282)))</f>
        <v>97865048.944183812</v>
      </c>
      <c r="B12928">
        <v>183572024.0342297</v>
      </c>
    </row>
    <row r="12929" spans="1:2" x14ac:dyDescent="0.25">
      <c r="A12929">
        <f ca="1">30282.8305215141*((RANDBETWEEN(2979,3282)))</f>
        <v>94452148.396602392</v>
      </c>
      <c r="B12929">
        <v>151687909.68739522</v>
      </c>
    </row>
    <row r="12930" spans="1:2" x14ac:dyDescent="0.25">
      <c r="A12930">
        <f ca="1">29794.1312911271*((RANDBETWEEN(2979,3282)))</f>
        <v>89710129.317583576</v>
      </c>
      <c r="B12930">
        <v>178034217.70453089</v>
      </c>
    </row>
    <row r="12931" spans="1:2" x14ac:dyDescent="0.25">
      <c r="A12931">
        <f ca="1">27784.0977190138*((RANDBETWEEN(2979,3282)))</f>
        <v>83018883.984413132</v>
      </c>
      <c r="B12931">
        <v>190007184.6405715</v>
      </c>
    </row>
    <row r="12932" spans="1:2" x14ac:dyDescent="0.25">
      <c r="A12932">
        <f ca="1">27406.7229197265*((RANDBETWEEN(2979,3282)))</f>
        <v>82877930.109252974</v>
      </c>
      <c r="B12932">
        <v>150968976.20493907</v>
      </c>
    </row>
    <row r="12933" spans="1:2" x14ac:dyDescent="0.25">
      <c r="A12933">
        <f ca="1">24870.1423034179*((RANDBETWEEN(2979,3282)))</f>
        <v>80454910.351557031</v>
      </c>
      <c r="B12933">
        <v>150964153.59351355</v>
      </c>
    </row>
    <row r="12934" spans="1:2" x14ac:dyDescent="0.25">
      <c r="A12934">
        <f ca="1">28553.4132317308*((RANDBETWEEN(2979,3282)))</f>
        <v>85831560.174582928</v>
      </c>
      <c r="B12934">
        <v>197541458.93262911</v>
      </c>
    </row>
    <row r="12935" spans="1:2" x14ac:dyDescent="0.25">
      <c r="A12935">
        <f ca="1">30629.2659651409*((RANDBETWEEN(2979,3282)))</f>
        <v>99085675.397230774</v>
      </c>
      <c r="B12935">
        <v>174959259.11534703</v>
      </c>
    </row>
    <row r="12936" spans="1:2" x14ac:dyDescent="0.25">
      <c r="A12936">
        <f ca="1">26922.228300574*((RANDBETWEEN(2979,3282)))</f>
        <v>84293496.80909732</v>
      </c>
      <c r="B12936">
        <v>156116873.62944353</v>
      </c>
    </row>
    <row r="12937" spans="1:2" x14ac:dyDescent="0.25">
      <c r="A12937">
        <f ca="1">31128.6173488775*((RANDBETWEEN(2979,3282)))</f>
        <v>98771102.847988397</v>
      </c>
      <c r="B12937">
        <v>162542118.45127207</v>
      </c>
    </row>
    <row r="12938" spans="1:2" x14ac:dyDescent="0.25">
      <c r="A12938">
        <f ca="1">27473.5712977656*((RANDBETWEEN(2979,3282)))</f>
        <v>85003229.595286757</v>
      </c>
      <c r="B12938">
        <v>165998156.32844794</v>
      </c>
    </row>
    <row r="12939" spans="1:2" x14ac:dyDescent="0.25">
      <c r="A12939">
        <f ca="1">30124.4901552828*((RANDBETWEEN(2979,3282)))</f>
        <v>95976625.63473098</v>
      </c>
      <c r="B12939">
        <v>148356993.7195527</v>
      </c>
    </row>
    <row r="12940" spans="1:2" x14ac:dyDescent="0.25">
      <c r="A12940">
        <f ca="1">27186.3224566352*((RANDBETWEEN(2979,3282)))</f>
        <v>86071896.897706926</v>
      </c>
      <c r="B12940">
        <v>157038726.60705885</v>
      </c>
    </row>
    <row r="12941" spans="1:2" x14ac:dyDescent="0.25">
      <c r="A12941">
        <f ca="1">26047.4154170709*((RANDBETWEEN(2979,3282)))</f>
        <v>80694892.962085664</v>
      </c>
      <c r="B12941">
        <v>160666850.43546662</v>
      </c>
    </row>
    <row r="12942" spans="1:2" x14ac:dyDescent="0.25">
      <c r="A12942">
        <f ca="1">28688.8951405686*((RANDBETWEEN(2979,3282)))</f>
        <v>92120042.296365917</v>
      </c>
      <c r="B12942">
        <v>171941924.86880714</v>
      </c>
    </row>
    <row r="12943" spans="1:2" x14ac:dyDescent="0.25">
      <c r="A12943">
        <f ca="1">26798.6582602261*((RANDBETWEEN(2979,3282)))</f>
        <v>84120988.278849781</v>
      </c>
      <c r="B12943">
        <v>167122523.33318147</v>
      </c>
    </row>
    <row r="12944" spans="1:2" x14ac:dyDescent="0.25">
      <c r="A12944">
        <f ca="1">31019.2627506323*((RANDBETWEEN(2979,3282)))</f>
        <v>95880541.162204504</v>
      </c>
      <c r="B12944">
        <v>200691917.56302518</v>
      </c>
    </row>
    <row r="12945" spans="1:2" x14ac:dyDescent="0.25">
      <c r="A12945">
        <f ca="1">28495.1721552343*((RANDBETWEEN(2979,3282)))</f>
        <v>92951251.570374191</v>
      </c>
      <c r="B12945">
        <v>189747053.61505288</v>
      </c>
    </row>
    <row r="12946" spans="1:2" x14ac:dyDescent="0.25">
      <c r="A12946">
        <f ca="1">27744.7232633184*((RANDBETWEEN(2979,3282)))</f>
        <v>89504477.247465283</v>
      </c>
      <c r="B12946">
        <v>166467249.18699658</v>
      </c>
    </row>
    <row r="12947" spans="1:2" x14ac:dyDescent="0.25">
      <c r="A12947">
        <f ca="1">33109.1876060426*((RANDBETWEEN(2979,3282)))</f>
        <v>101578987.57533859</v>
      </c>
      <c r="B12947">
        <v>160745069.46547434</v>
      </c>
    </row>
    <row r="12948" spans="1:2" x14ac:dyDescent="0.25">
      <c r="A12948">
        <f ca="1">28183.1644281243*((RANDBETWEEN(2979,3282)))</f>
        <v>84718592.27094169</v>
      </c>
      <c r="B12948">
        <v>155700968.67565233</v>
      </c>
    </row>
    <row r="12949" spans="1:2" x14ac:dyDescent="0.25">
      <c r="A12949">
        <f ca="1">31498.5934282367*((RANDBETWEEN(2979,3282)))</f>
        <v>100291521.47550556</v>
      </c>
      <c r="B12949">
        <v>164795518.94090462</v>
      </c>
    </row>
    <row r="12950" spans="1:2" x14ac:dyDescent="0.25">
      <c r="A12950">
        <f ca="1">25693.1216505736*((RANDBETWEEN(2979,3282)))</f>
        <v>82063830.551931992</v>
      </c>
      <c r="B12950">
        <v>145379271.65796489</v>
      </c>
    </row>
    <row r="12951" spans="1:2" x14ac:dyDescent="0.25">
      <c r="A12951">
        <f ca="1">30697.8685047624*((RANDBETWEEN(2979,3282)))</f>
        <v>94580132.863173082</v>
      </c>
      <c r="B12951">
        <v>199667368.34293535</v>
      </c>
    </row>
    <row r="12952" spans="1:2" x14ac:dyDescent="0.25">
      <c r="A12952">
        <f ca="1">28939.4894536853*((RANDBETWEEN(2979,3282)))</f>
        <v>91419847.184191868</v>
      </c>
      <c r="B12952">
        <v>172286118.32239816</v>
      </c>
    </row>
    <row r="12953" spans="1:2" x14ac:dyDescent="0.25">
      <c r="A12953">
        <f ca="1">30475.97016325*((RANDBETWEEN(2979,3282)))</f>
        <v>97553580.492563143</v>
      </c>
      <c r="B12953">
        <v>200587869.64238408</v>
      </c>
    </row>
    <row r="12954" spans="1:2" x14ac:dyDescent="0.25">
      <c r="A12954">
        <f ca="1">28054.4037892611*((RANDBETWEEN(2979,3282)))</f>
        <v>86239237.248188585</v>
      </c>
      <c r="B12954">
        <v>151647347.94250503</v>
      </c>
    </row>
    <row r="12955" spans="1:2" x14ac:dyDescent="0.25">
      <c r="A12955">
        <f ca="1">27209.075954596*((RANDBETWEEN(2979,3282)))</f>
        <v>84511389.914975122</v>
      </c>
      <c r="B12955">
        <v>151099231.25619924</v>
      </c>
    </row>
    <row r="12956" spans="1:2" x14ac:dyDescent="0.25">
      <c r="A12956">
        <f ca="1">26346.6038326952*((RANDBETWEEN(2979,3282)))</f>
        <v>85863581.890753686</v>
      </c>
      <c r="B12956">
        <v>144402466.16625798</v>
      </c>
    </row>
    <row r="12957" spans="1:2" x14ac:dyDescent="0.25">
      <c r="A12957">
        <f ca="1">27470.5693694029*((RANDBETWEEN(2979,3282)))</f>
        <v>84801647.643346861</v>
      </c>
      <c r="B12957">
        <v>143633427.4808076</v>
      </c>
    </row>
    <row r="12958" spans="1:2" x14ac:dyDescent="0.25">
      <c r="A12958">
        <f ca="1">28956.2282997727*((RANDBETWEEN(2979,3282)))</f>
        <v>91009425.546185628</v>
      </c>
      <c r="B12958">
        <v>181930573.95285898</v>
      </c>
    </row>
    <row r="12959" spans="1:2" x14ac:dyDescent="0.25">
      <c r="A12959">
        <f ca="1">28460.5967648694*((RANDBETWEEN(2979,3282)))</f>
        <v>90561618.905814394</v>
      </c>
      <c r="B12959">
        <v>148984463.53515553</v>
      </c>
    </row>
    <row r="12960" spans="1:2" x14ac:dyDescent="0.25">
      <c r="A12960">
        <f ca="1">27426.2956528032*((RANDBETWEEN(2979,3282)))</f>
        <v>84335859.132369816</v>
      </c>
      <c r="B12960">
        <v>192833711.2447691</v>
      </c>
    </row>
    <row r="12961" spans="1:2" x14ac:dyDescent="0.25">
      <c r="A12961">
        <f ca="1">30695.4733018974*((RANDBETWEEN(2979,3282)))</f>
        <v>100681152.43022345</v>
      </c>
      <c r="B12961">
        <v>163058346.93784878</v>
      </c>
    </row>
    <row r="12962" spans="1:2" x14ac:dyDescent="0.25">
      <c r="A12962">
        <f ca="1">26535.0163957356*((RANDBETWEEN(2979,3282)))</f>
        <v>81144080.138159379</v>
      </c>
      <c r="B12962">
        <v>150725325.15169743</v>
      </c>
    </row>
    <row r="12963" spans="1:2" x14ac:dyDescent="0.25">
      <c r="A12963">
        <f ca="1">28265.1127291867*((RANDBETWEEN(2979,3282)))</f>
        <v>90448360.733397335</v>
      </c>
      <c r="B12963">
        <v>168686704.62790662</v>
      </c>
    </row>
    <row r="12964" spans="1:2" x14ac:dyDescent="0.25">
      <c r="A12964">
        <f ca="1">27244.4171256211*((RANDBETWEEN(2979,3282)))</f>
        <v>85465736.523073286</v>
      </c>
      <c r="B12964">
        <v>165662529.48506367</v>
      </c>
    </row>
    <row r="12965" spans="1:2" x14ac:dyDescent="0.25">
      <c r="A12965">
        <f ca="1">26493.3253920089*((RANDBETWEEN(2979,3282)))</f>
        <v>84434228.024332345</v>
      </c>
      <c r="B12965">
        <v>152588959.1654495</v>
      </c>
    </row>
    <row r="12966" spans="1:2" x14ac:dyDescent="0.25">
      <c r="A12966">
        <f ca="1">26605.4393490936*((RANDBETWEEN(2979,3282)))</f>
        <v>83434657.798757404</v>
      </c>
      <c r="B12966">
        <v>150918403.85510597</v>
      </c>
    </row>
    <row r="12967" spans="1:2" x14ac:dyDescent="0.25">
      <c r="A12967">
        <f ca="1">27133.4891255022*((RANDBETWEEN(2979,3282)))</f>
        <v>87831104.299250573</v>
      </c>
      <c r="B12967">
        <v>159983962.78331861</v>
      </c>
    </row>
    <row r="12968" spans="1:2" x14ac:dyDescent="0.25">
      <c r="A12968">
        <f ca="1">28510.5015884315*((RANDBETWEEN(2979,3282)))</f>
        <v>91632752.105218917</v>
      </c>
      <c r="B12968">
        <v>174557545.31078249</v>
      </c>
    </row>
    <row r="12969" spans="1:2" x14ac:dyDescent="0.25">
      <c r="A12969">
        <f ca="1">26016.1227027679*((RANDBETWEEN(2979,3282)))</f>
        <v>79427222.611550301</v>
      </c>
      <c r="B12969">
        <v>145128718.00612378</v>
      </c>
    </row>
    <row r="12970" spans="1:2" x14ac:dyDescent="0.25">
      <c r="A12970">
        <f ca="1">27588.7742507696*((RANDBETWEEN(2979,3282)))</f>
        <v>86490807.276162773</v>
      </c>
      <c r="B12970">
        <v>154478519.75374556</v>
      </c>
    </row>
    <row r="12971" spans="1:2" x14ac:dyDescent="0.25">
      <c r="A12971">
        <f ca="1">28834.5200064179*((RANDBETWEEN(2979,3282)))</f>
        <v>92472305.660582095</v>
      </c>
      <c r="B12971">
        <v>203470479.31398055</v>
      </c>
    </row>
    <row r="12972" spans="1:2" x14ac:dyDescent="0.25">
      <c r="A12972">
        <f ca="1">28037.6757866962*((RANDBETWEEN(2979,3282)))</f>
        <v>84757893.903182536</v>
      </c>
      <c r="B12972">
        <v>191018801.62446123</v>
      </c>
    </row>
    <row r="12973" spans="1:2" x14ac:dyDescent="0.25">
      <c r="A12973">
        <f ca="1">27425.0382364396*((RANDBETWEEN(2979,3282)))</f>
        <v>86827671.056567848</v>
      </c>
      <c r="B12973">
        <v>151487070.29416162</v>
      </c>
    </row>
    <row r="12974" spans="1:2" x14ac:dyDescent="0.25">
      <c r="A12974">
        <f ca="1">26058.8603059385*((RANDBETWEEN(2979,3282)))</f>
        <v>80026759.9995372</v>
      </c>
      <c r="B12974">
        <v>194957772.77629334</v>
      </c>
    </row>
    <row r="12975" spans="1:2" x14ac:dyDescent="0.25">
      <c r="A12975">
        <f ca="1">28001.9501397542*((RANDBETWEEN(2979,3282)))</f>
        <v>91342361.355878159</v>
      </c>
      <c r="B12975">
        <v>189445712.85756022</v>
      </c>
    </row>
    <row r="12976" spans="1:2" x14ac:dyDescent="0.25">
      <c r="A12976">
        <f ca="1">26508.8641455984*((RANDBETWEEN(2979,3282)))</f>
        <v>84351205.711294204</v>
      </c>
      <c r="B12976">
        <v>165700289.04304543</v>
      </c>
    </row>
    <row r="12977" spans="1:2" x14ac:dyDescent="0.25">
      <c r="A12977">
        <f ca="1">25966.0911673202*((RANDBETWEEN(2979,3282)))</f>
        <v>83974338.835113496</v>
      </c>
      <c r="B12977">
        <v>151824317.15924722</v>
      </c>
    </row>
    <row r="12978" spans="1:2" x14ac:dyDescent="0.25">
      <c r="A12978">
        <f ca="1">30361.1181661215*((RANDBETWEEN(2979,3282)))</f>
        <v>92844299.351999551</v>
      </c>
      <c r="B12978">
        <v>163867956.76539916</v>
      </c>
    </row>
    <row r="12979" spans="1:2" x14ac:dyDescent="0.25">
      <c r="A12979">
        <f ca="1">28865.6159580757*((RANDBETWEEN(2979,3282)))</f>
        <v>87116428.961472496</v>
      </c>
      <c r="B12979">
        <v>172612561.4745892</v>
      </c>
    </row>
    <row r="12980" spans="1:2" x14ac:dyDescent="0.25">
      <c r="A12980">
        <f ca="1">31184.000658065*((RANDBETWEEN(2979,3282)))</f>
        <v>93614369.975511059</v>
      </c>
      <c r="B12980">
        <v>177001832.80085349</v>
      </c>
    </row>
    <row r="12981" spans="1:2" x14ac:dyDescent="0.25">
      <c r="A12981">
        <f ca="1">26510.7550816394*((RANDBETWEEN(2979,3282)))</f>
        <v>79240646.939020172</v>
      </c>
      <c r="B12981">
        <v>164667985.24042958</v>
      </c>
    </row>
    <row r="12982" spans="1:2" x14ac:dyDescent="0.25">
      <c r="A12982">
        <f ca="1">31578.7484333942*((RANDBETWEEN(2979,3282)))</f>
        <v>102978298.64129852</v>
      </c>
      <c r="B12982">
        <v>143180446.64140165</v>
      </c>
    </row>
    <row r="12983" spans="1:2" x14ac:dyDescent="0.25">
      <c r="A12983">
        <f ca="1">29154.4724548039*((RANDBETWEEN(2979,3282)))</f>
        <v>87959043.396143392</v>
      </c>
      <c r="B12983">
        <v>193054172.46467355</v>
      </c>
    </row>
    <row r="12984" spans="1:2" x14ac:dyDescent="0.25">
      <c r="A12984">
        <f ca="1">27710.9318256615*((RANDBETWEEN(2979,3282)))</f>
        <v>85848466.795899421</v>
      </c>
      <c r="B12984">
        <v>156051589.01390281</v>
      </c>
    </row>
    <row r="12985" spans="1:2" x14ac:dyDescent="0.25">
      <c r="A12985">
        <f ca="1">27587.4392710911*((RANDBETWEEN(2979,3282)))</f>
        <v>86155572.843617484</v>
      </c>
      <c r="B12985">
        <v>158705544.6688813</v>
      </c>
    </row>
    <row r="12986" spans="1:2" x14ac:dyDescent="0.25">
      <c r="A12986">
        <f ca="1">26225.1596494083*((RANDBETWEEN(2979,3282)))</f>
        <v>83658259.28161253</v>
      </c>
      <c r="B12986">
        <v>156858047.64853537</v>
      </c>
    </row>
    <row r="12987" spans="1:2" x14ac:dyDescent="0.25">
      <c r="A12987">
        <f ca="1">28695.7120198125*((RANDBETWEEN(2979,3282)))</f>
        <v>90592362.846548066</v>
      </c>
      <c r="B12987">
        <v>189637821.86524785</v>
      </c>
    </row>
    <row r="12988" spans="1:2" x14ac:dyDescent="0.25">
      <c r="A12988">
        <f ca="1">29394.6366235103*((RANDBETWEEN(2979,3282)))</f>
        <v>88889381.149495423</v>
      </c>
      <c r="B12988">
        <v>154104841.3435663</v>
      </c>
    </row>
    <row r="12989" spans="1:2" x14ac:dyDescent="0.25">
      <c r="A12989">
        <f ca="1">25120.7607647962*((RANDBETWEEN(2979,3282)))</f>
        <v>75211557.729799718</v>
      </c>
      <c r="B12989">
        <v>153837711.02270594</v>
      </c>
    </row>
    <row r="12990" spans="1:2" x14ac:dyDescent="0.25">
      <c r="A12990">
        <f ca="1">28061.3062640725*((RANDBETWEEN(2979,3282)))</f>
        <v>85643106.717949212</v>
      </c>
      <c r="B12990">
        <v>152428134.48523071</v>
      </c>
    </row>
    <row r="12991" spans="1:2" x14ac:dyDescent="0.25">
      <c r="A12991">
        <f ca="1">28052.6826964884*((RANDBETWEEN(2979,3282)))</f>
        <v>85560682.224289611</v>
      </c>
      <c r="B12991">
        <v>189089316.1935834</v>
      </c>
    </row>
    <row r="12992" spans="1:2" x14ac:dyDescent="0.25">
      <c r="A12992">
        <f ca="1">30339.3385394674*((RANDBETWEEN(2979,3282)))</f>
        <v>90896658.264244467</v>
      </c>
      <c r="B12992">
        <v>174113375.41380924</v>
      </c>
    </row>
    <row r="12993" spans="1:2" x14ac:dyDescent="0.25">
      <c r="A12993">
        <f ca="1">27828.6351109209*((RANDBETWEEN(2979,3282)))</f>
        <v>82929332.630544335</v>
      </c>
      <c r="B12993">
        <v>173888885.68177944</v>
      </c>
    </row>
    <row r="12994" spans="1:2" x14ac:dyDescent="0.25">
      <c r="A12994">
        <f ca="1">27484.7099133194*((RANDBETWEEN(2979,3282)))</f>
        <v>82701492.129177973</v>
      </c>
      <c r="B12994">
        <v>144715639.98707256</v>
      </c>
    </row>
    <row r="12995" spans="1:2" x14ac:dyDescent="0.25">
      <c r="A12995">
        <f ca="1">31713.598739818*((RANDBETWEEN(2979,3282)))</f>
        <v>95997063.385428965</v>
      </c>
      <c r="B12995">
        <v>179437518.5680128</v>
      </c>
    </row>
    <row r="12996" spans="1:2" x14ac:dyDescent="0.25">
      <c r="A12996">
        <f ca="1">28521.0816003471*((RANDBETWEEN(2979,3282)))</f>
        <v>90297744.346699029</v>
      </c>
      <c r="B12996">
        <v>192063059.66597986</v>
      </c>
    </row>
    <row r="12997" spans="1:2" x14ac:dyDescent="0.25">
      <c r="A12997">
        <f ca="1">26791.2950555903*((RANDBETWEEN(2979,3282)))</f>
        <v>84526535.900387496</v>
      </c>
      <c r="B12997">
        <v>151881712.7160131</v>
      </c>
    </row>
    <row r="12998" spans="1:2" x14ac:dyDescent="0.25">
      <c r="A12998">
        <f ca="1">27641.4602710125*((RANDBETWEEN(2979,3282)))</f>
        <v>87678711.979651779</v>
      </c>
      <c r="B12998">
        <v>182280118.51158088</v>
      </c>
    </row>
    <row r="12999" spans="1:2" x14ac:dyDescent="0.25">
      <c r="A12999">
        <f ca="1">26325.5173788237*((RANDBETWEEN(2979,3282)))</f>
        <v>81740731.461247519</v>
      </c>
      <c r="B12999">
        <v>167871327.45870855</v>
      </c>
    </row>
    <row r="13000" spans="1:2" x14ac:dyDescent="0.25">
      <c r="A13000">
        <f ca="1">26329.4699561381*((RANDBETWEEN(2979,3282)))</f>
        <v>83438090.291001722</v>
      </c>
      <c r="B13000">
        <v>150296598.06252214</v>
      </c>
    </row>
    <row r="13001" spans="1:2" x14ac:dyDescent="0.25">
      <c r="A13001">
        <f ca="1">29948.212620812*((RANDBETWEEN(2979,3282)))</f>
        <v>94456662.606041208</v>
      </c>
      <c r="B13001">
        <v>176809271.15033811</v>
      </c>
    </row>
    <row r="13002" spans="1:2" x14ac:dyDescent="0.25">
      <c r="A13002">
        <f ca="1">29712.273063829*((RANDBETWEEN(2979,3282)))</f>
        <v>95495245.627146453</v>
      </c>
      <c r="B13002">
        <v>165011694.52788761</v>
      </c>
    </row>
    <row r="13003" spans="1:2" x14ac:dyDescent="0.25">
      <c r="A13003">
        <f ca="1">26455.0645883745*((RANDBETWEEN(2979,3282)))</f>
        <v>84762026.941151842</v>
      </c>
      <c r="B13003">
        <v>174951344.88107771</v>
      </c>
    </row>
    <row r="13004" spans="1:2" x14ac:dyDescent="0.25">
      <c r="A13004">
        <f ca="1">27383.2634547725*((RANDBETWEEN(2979,3282)))</f>
        <v>85545315.032709345</v>
      </c>
      <c r="B13004">
        <v>166239397.68500435</v>
      </c>
    </row>
    <row r="13005" spans="1:2" x14ac:dyDescent="0.25">
      <c r="A13005">
        <f ca="1">27029.0743545031*((RANDBETWEEN(2979,3282)))</f>
        <v>87168764.793272436</v>
      </c>
      <c r="B13005">
        <v>154976277.68575957</v>
      </c>
    </row>
    <row r="13006" spans="1:2" x14ac:dyDescent="0.25">
      <c r="A13006">
        <f ca="1">28149.94680694*((RANDBETWEEN(2979,3282)))</f>
        <v>91149527.760871559</v>
      </c>
      <c r="B13006">
        <v>149060803.29193819</v>
      </c>
    </row>
    <row r="13007" spans="1:2" x14ac:dyDescent="0.25">
      <c r="A13007">
        <f ca="1">25235.8450612254*((RANDBETWEEN(2979,3282)))</f>
        <v>76212252.084900826</v>
      </c>
      <c r="B13007">
        <v>175419679.8173303</v>
      </c>
    </row>
    <row r="13008" spans="1:2" x14ac:dyDescent="0.25">
      <c r="A13008">
        <f ca="1">26783.5132112428*((RANDBETWEEN(2979,3282)))</f>
        <v>87287469.555440411</v>
      </c>
      <c r="B13008">
        <v>199907233.96173811</v>
      </c>
    </row>
    <row r="13009" spans="1:2" x14ac:dyDescent="0.25">
      <c r="A13009">
        <f ca="1">27385.6423488102*((RANDBETWEEN(2979,3282)))</f>
        <v>86757714.961030617</v>
      </c>
      <c r="B13009">
        <v>162965091.62048927</v>
      </c>
    </row>
    <row r="13010" spans="1:2" x14ac:dyDescent="0.25">
      <c r="A13010">
        <f ca="1">28262.7526893174*((RANDBETWEEN(2979,3282)))</f>
        <v>91147377.42304875</v>
      </c>
      <c r="B13010">
        <v>145919645.98261625</v>
      </c>
    </row>
    <row r="13011" spans="1:2" x14ac:dyDescent="0.25">
      <c r="A13011">
        <f ca="1">26293.1671378519*((RANDBETWEEN(2979,3282)))</f>
        <v>78721742.410728544</v>
      </c>
      <c r="B13011">
        <v>191342607.11226913</v>
      </c>
    </row>
    <row r="13012" spans="1:2" x14ac:dyDescent="0.25">
      <c r="A13012">
        <f ca="1">28162.5813387997*((RANDBETWEEN(2979,3282)))</f>
        <v>88008066.68374908</v>
      </c>
      <c r="B13012">
        <v>162284952.82839933</v>
      </c>
    </row>
    <row r="13013" spans="1:2" x14ac:dyDescent="0.25">
      <c r="A13013">
        <f ca="1">33472.6712571484*((RANDBETWEEN(2979,3282)))</f>
        <v>102861518.77321711</v>
      </c>
      <c r="B13013">
        <v>171161942.32907504</v>
      </c>
    </row>
    <row r="13014" spans="1:2" x14ac:dyDescent="0.25">
      <c r="A13014">
        <f ca="1">28584.9934853152*((RANDBETWEEN(2979,3282)))</f>
        <v>89699709.556918964</v>
      </c>
      <c r="B13014">
        <v>160243820.69138181</v>
      </c>
    </row>
    <row r="13015" spans="1:2" x14ac:dyDescent="0.25">
      <c r="A13015">
        <f ca="1">26584.4062047163*((RANDBETWEEN(2979,3282)))</f>
        <v>83395282.26419498</v>
      </c>
      <c r="B13015">
        <v>172978930.3928414</v>
      </c>
    </row>
    <row r="13016" spans="1:2" x14ac:dyDescent="0.25">
      <c r="A13016">
        <f ca="1">28400.7677506939*((RANDBETWEEN(2979,3282)))</f>
        <v>84719490.200319961</v>
      </c>
      <c r="B13016">
        <v>159121900.94489941</v>
      </c>
    </row>
    <row r="13017" spans="1:2" x14ac:dyDescent="0.25">
      <c r="A13017">
        <f ca="1">26739.0886822176*((RANDBETWEEN(2979,3282)))</f>
        <v>80163787.869288296</v>
      </c>
      <c r="B13017">
        <v>159832086.84860656</v>
      </c>
    </row>
    <row r="13018" spans="1:2" x14ac:dyDescent="0.25">
      <c r="A13018">
        <f ca="1">33079.5502005046*((RANDBETWEEN(2979,3282)))</f>
        <v>106846947.14762974</v>
      </c>
      <c r="B13018">
        <v>200954957.29727623</v>
      </c>
    </row>
    <row r="13019" spans="1:2" x14ac:dyDescent="0.25">
      <c r="A13019">
        <f ca="1">26811.2567895801*((RANDBETWEEN(2979,3282)))</f>
        <v>81854766.978588</v>
      </c>
      <c r="B13019">
        <v>182923793.81094822</v>
      </c>
    </row>
    <row r="13020" spans="1:2" x14ac:dyDescent="0.25">
      <c r="A13020">
        <f ca="1">27787.4288360644*((RANDBETWEEN(2979,3282)))</f>
        <v>88753047.702389583</v>
      </c>
      <c r="B13020">
        <v>147103225.69506121</v>
      </c>
    </row>
    <row r="13021" spans="1:2" x14ac:dyDescent="0.25">
      <c r="A13021">
        <f ca="1">25598.7118857833*((RANDBETWEEN(2979,3282)))</f>
        <v>77640893.149580702</v>
      </c>
      <c r="B13021">
        <v>192472655.35371625</v>
      </c>
    </row>
    <row r="13022" spans="1:2" x14ac:dyDescent="0.25">
      <c r="A13022">
        <f ca="1">26269.9716038087*((RANDBETWEEN(2979,3282)))</f>
        <v>78941264.669445112</v>
      </c>
      <c r="B13022">
        <v>175575725.01863125</v>
      </c>
    </row>
    <row r="13023" spans="1:2" x14ac:dyDescent="0.25">
      <c r="A13023">
        <f ca="1">28729.1566645324*((RANDBETWEEN(2979,3282)))</f>
        <v>88571989.99675338</v>
      </c>
      <c r="B13023">
        <v>185386311.67218032</v>
      </c>
    </row>
    <row r="13024" spans="1:2" x14ac:dyDescent="0.25">
      <c r="A13024">
        <f ca="1">27723.560167624*((RANDBETWEEN(2979,3282)))</f>
        <v>84307346.469744653</v>
      </c>
      <c r="B13024">
        <v>147608675.99371856</v>
      </c>
    </row>
    <row r="13025" spans="1:2" x14ac:dyDescent="0.25">
      <c r="A13025">
        <f ca="1">28263.8103683974*((RANDBETWEEN(2979,3282)))</f>
        <v>86487259.72729595</v>
      </c>
      <c r="B13025">
        <v>158459505.32433939</v>
      </c>
    </row>
    <row r="13026" spans="1:2" x14ac:dyDescent="0.25">
      <c r="A13026">
        <f ca="1">25713.8222892959*((RANDBETWEEN(2979,3282)))</f>
        <v>79404283.229345694</v>
      </c>
      <c r="B13026">
        <v>152314100.31735522</v>
      </c>
    </row>
    <row r="13027" spans="1:2" x14ac:dyDescent="0.25">
      <c r="A13027">
        <f ca="1">25312.7837734833*((RANDBETWEEN(2979,3282)))</f>
        <v>82595613.452876136</v>
      </c>
      <c r="B13027">
        <v>151120717.69968146</v>
      </c>
    </row>
    <row r="13028" spans="1:2" x14ac:dyDescent="0.25">
      <c r="A13028">
        <f ca="1">27910.3894045076*((RANDBETWEEN(2979,3282)))</f>
        <v>84680121.453275949</v>
      </c>
      <c r="B13028">
        <v>161116536.09743139</v>
      </c>
    </row>
    <row r="13029" spans="1:2" x14ac:dyDescent="0.25">
      <c r="A13029">
        <f ca="1">26688.3147871541*((RANDBETWEEN(2979,3282)))</f>
        <v>80545334.027631134</v>
      </c>
      <c r="B13029">
        <v>143936078.93473408</v>
      </c>
    </row>
    <row r="13030" spans="1:2" x14ac:dyDescent="0.25">
      <c r="A13030">
        <f ca="1">26839.0980848202*((RANDBETWEEN(2979,3282)))</f>
        <v>80034190.488933966</v>
      </c>
      <c r="B13030">
        <v>172509456.32711792</v>
      </c>
    </row>
    <row r="13031" spans="1:2" x14ac:dyDescent="0.25">
      <c r="A13031">
        <f ca="1">28727.4047378114*((RANDBETWEEN(2979,3282)))</f>
        <v>85751303.14236705</v>
      </c>
      <c r="B13031">
        <v>176592654.99417716</v>
      </c>
    </row>
    <row r="13032" spans="1:2" x14ac:dyDescent="0.25">
      <c r="A13032">
        <f ca="1">33689.0453127723*((RANDBETWEEN(2979,3282)))</f>
        <v>109927354.85557604</v>
      </c>
      <c r="B13032">
        <v>170852015.25725022</v>
      </c>
    </row>
    <row r="13033" spans="1:2" x14ac:dyDescent="0.25">
      <c r="A13033">
        <f ca="1">26938.6440529166*((RANDBETWEEN(2979,3282)))</f>
        <v>86203660.969333217</v>
      </c>
      <c r="B13033">
        <v>150721054.86877239</v>
      </c>
    </row>
    <row r="13034" spans="1:2" x14ac:dyDescent="0.25">
      <c r="A13034">
        <f ca="1">26355.5458637037*((RANDBETWEEN(2979,3282)))</f>
        <v>81649481.085754097</v>
      </c>
      <c r="B13034">
        <v>148076922.35010704</v>
      </c>
    </row>
    <row r="13035" spans="1:2" x14ac:dyDescent="0.25">
      <c r="A13035">
        <f ca="1">31063.774278238*((RANDBETWEEN(2979,3282)))</f>
        <v>92849621.317653418</v>
      </c>
      <c r="B13035">
        <v>144206048.79422462</v>
      </c>
    </row>
    <row r="13036" spans="1:2" x14ac:dyDescent="0.25">
      <c r="A13036">
        <f ca="1">27050.648451437*((RANDBETWEEN(2979,3282)))</f>
        <v>82315123.23772265</v>
      </c>
      <c r="B13036">
        <v>175387802.93855992</v>
      </c>
    </row>
    <row r="13037" spans="1:2" x14ac:dyDescent="0.25">
      <c r="A13037">
        <f ca="1">26576.7421989181*((RANDBETWEEN(2979,3282)))</f>
        <v>84460886.708161756</v>
      </c>
      <c r="B13037">
        <v>143851627.19332463</v>
      </c>
    </row>
    <row r="13038" spans="1:2" x14ac:dyDescent="0.25">
      <c r="A13038">
        <f ca="1">27224.2717273904*((RANDBETWEEN(2979,3282)))</f>
        <v>85865353.028189451</v>
      </c>
      <c r="B13038">
        <v>162559015.45222676</v>
      </c>
    </row>
    <row r="13039" spans="1:2" x14ac:dyDescent="0.25">
      <c r="A13039">
        <f ca="1">26252.3750690885*((RANDBETWEEN(2979,3282)))</f>
        <v>82196186.341316208</v>
      </c>
      <c r="B13039">
        <v>193797192.78944883</v>
      </c>
    </row>
    <row r="13040" spans="1:2" x14ac:dyDescent="0.25">
      <c r="A13040">
        <f ca="1">30275.6911440456*((RANDBETWEEN(2979,3282)))</f>
        <v>96155595.073488876</v>
      </c>
      <c r="B13040">
        <v>192017640.23260799</v>
      </c>
    </row>
    <row r="13041" spans="1:2" x14ac:dyDescent="0.25">
      <c r="A13041">
        <f ca="1">27906.433588382*((RANDBETWEEN(2979,3282)))</f>
        <v>87598295.033931091</v>
      </c>
      <c r="B13041">
        <v>176689380.31749755</v>
      </c>
    </row>
    <row r="13042" spans="1:2" x14ac:dyDescent="0.25">
      <c r="A13042">
        <f ca="1">31755.3079417173*((RANDBETWEEN(2979,3282)))</f>
        <v>96282093.679286987</v>
      </c>
      <c r="B13042">
        <v>184395742.56017509</v>
      </c>
    </row>
    <row r="13043" spans="1:2" x14ac:dyDescent="0.25">
      <c r="A13043">
        <f ca="1">27281.117854868*((RANDBETWEEN(2979,3282)))</f>
        <v>88800038.617595434</v>
      </c>
      <c r="B13043">
        <v>179261287.57303157</v>
      </c>
    </row>
    <row r="13044" spans="1:2" x14ac:dyDescent="0.25">
      <c r="A13044">
        <f ca="1">29663.3057769082*((RANDBETWEEN(2979,3282)))</f>
        <v>93528403.114591554</v>
      </c>
      <c r="B13044">
        <v>185119211.27534634</v>
      </c>
    </row>
    <row r="13045" spans="1:2" x14ac:dyDescent="0.25">
      <c r="A13045">
        <f ca="1">27550.6493725296*((RANDBETWEEN(2979,3282)))</f>
        <v>83753974.092489898</v>
      </c>
      <c r="B13045">
        <v>169795672.36923796</v>
      </c>
    </row>
    <row r="13046" spans="1:2" x14ac:dyDescent="0.25">
      <c r="A13046">
        <f ca="1">25806.3700046769*((RANDBETWEEN(2979,3282)))</f>
        <v>79999747.014498278</v>
      </c>
      <c r="B13046">
        <v>150104943.87551588</v>
      </c>
    </row>
    <row r="13047" spans="1:2" x14ac:dyDescent="0.25">
      <c r="A13047">
        <f ca="1">30556.999622647*((RANDBETWEEN(2979,3282)))</f>
        <v>96101763.813224688</v>
      </c>
      <c r="B13047">
        <v>198342374.90486035</v>
      </c>
    </row>
    <row r="13048" spans="1:2" x14ac:dyDescent="0.25">
      <c r="A13048">
        <f ca="1">28062.8518921917*((RANDBETWEEN(2979,3282)))</f>
        <v>89660811.795552343</v>
      </c>
      <c r="B13048">
        <v>176738023.73517877</v>
      </c>
    </row>
    <row r="13049" spans="1:2" x14ac:dyDescent="0.25">
      <c r="A13049">
        <f ca="1">23902.0827332523*((RANDBETWEEN(2979,3282)))</f>
        <v>72638429.426353663</v>
      </c>
      <c r="B13049">
        <v>144679737.81997043</v>
      </c>
    </row>
    <row r="13050" spans="1:2" x14ac:dyDescent="0.25">
      <c r="A13050">
        <f ca="1">27184.8256298849*((RANDBETWEEN(2979,3282)))</f>
        <v>86094342.769845352</v>
      </c>
      <c r="B13050">
        <v>196830406.65209579</v>
      </c>
    </row>
    <row r="13051" spans="1:2" x14ac:dyDescent="0.25">
      <c r="A13051">
        <f ca="1">25432.1374062316*((RANDBETWEEN(2979,3282)))</f>
        <v>81738889.623628289</v>
      </c>
      <c r="B13051">
        <v>142918787.02598935</v>
      </c>
    </row>
    <row r="13052" spans="1:2" x14ac:dyDescent="0.25">
      <c r="A13052">
        <f ca="1">27031.0997177672*((RANDBETWEEN(2979,3282)))</f>
        <v>87094203.290645942</v>
      </c>
      <c r="B13052">
        <v>157433707.83646685</v>
      </c>
    </row>
    <row r="13053" spans="1:2" x14ac:dyDescent="0.25">
      <c r="A13053">
        <f ca="1">25573.7447211107*((RANDBETWEEN(2979,3282)))</f>
        <v>82014999.320602164</v>
      </c>
      <c r="B13053">
        <v>143684710.60390925</v>
      </c>
    </row>
    <row r="13054" spans="1:2" x14ac:dyDescent="0.25">
      <c r="A13054">
        <f ca="1">28196.7450382823*((RANDBETWEEN(2979,3282)))</f>
        <v>88847943.615627661</v>
      </c>
      <c r="B13054">
        <v>176827679.98963293</v>
      </c>
    </row>
    <row r="13055" spans="1:2" x14ac:dyDescent="0.25">
      <c r="A13055">
        <f ca="1">26527.7419581046*((RANDBETWEEN(2979,3282)))</f>
        <v>86639605.235169664</v>
      </c>
      <c r="B13055">
        <v>143077126.87695909</v>
      </c>
    </row>
    <row r="13056" spans="1:2" x14ac:dyDescent="0.25">
      <c r="A13056">
        <f ca="1">32167.8034664624*((RANDBETWEEN(2979,3282)))</f>
        <v>100202707.79803024</v>
      </c>
      <c r="B13056">
        <v>201203688.01760575</v>
      </c>
    </row>
    <row r="13057" spans="1:2" x14ac:dyDescent="0.25">
      <c r="A13057">
        <f ca="1">28132.8834199404*((RANDBETWEEN(2979,3282)))</f>
        <v>89462569.275410563</v>
      </c>
      <c r="B13057">
        <v>170176361.09494615</v>
      </c>
    </row>
    <row r="13058" spans="1:2" x14ac:dyDescent="0.25">
      <c r="A13058">
        <f ca="1">25291.059910957*((RANDBETWEEN(2979,3282)))</f>
        <v>82979967.56784983</v>
      </c>
      <c r="B13058">
        <v>202187168.66048998</v>
      </c>
    </row>
    <row r="13059" spans="1:2" x14ac:dyDescent="0.25">
      <c r="A13059">
        <f ca="1">32049.7840088004*((RANDBETWEEN(2979,3282)))</f>
        <v>98969733.019175619</v>
      </c>
      <c r="B13059">
        <v>182271260.46822152</v>
      </c>
    </row>
    <row r="13060" spans="1:2" x14ac:dyDescent="0.25">
      <c r="A13060">
        <f ca="1">29004.9064013966*((RANDBETWEEN(2979,3282)))</f>
        <v>88813023.401076421</v>
      </c>
      <c r="B13060">
        <v>189576618.83068049</v>
      </c>
    </row>
    <row r="13061" spans="1:2" x14ac:dyDescent="0.25">
      <c r="A13061">
        <f ca="1">30586.094580489*((RANDBETWEEN(2979,3282)))</f>
        <v>100077701.46735989</v>
      </c>
      <c r="B13061">
        <v>149464716.47613904</v>
      </c>
    </row>
    <row r="13062" spans="1:2" x14ac:dyDescent="0.25">
      <c r="A13062">
        <f ca="1">27949.008864069*((RANDBETWEEN(2979,3282)))</f>
        <v>85244477.035410568</v>
      </c>
      <c r="B13062">
        <v>179512390.77326521</v>
      </c>
    </row>
    <row r="13063" spans="1:2" x14ac:dyDescent="0.25">
      <c r="A13063">
        <f ca="1">27961.1730961528*((RANDBETWEEN(2979,3282)))</f>
        <v>86903325.982842982</v>
      </c>
      <c r="B13063">
        <v>157965489.03970066</v>
      </c>
    </row>
    <row r="13064" spans="1:2" x14ac:dyDescent="0.25">
      <c r="A13064">
        <f ca="1">28199.1547309258*((RANDBETWEEN(2979,3282)))</f>
        <v>90124498.520038962</v>
      </c>
      <c r="B13064">
        <v>177804553.2652007</v>
      </c>
    </row>
    <row r="13065" spans="1:2" x14ac:dyDescent="0.25">
      <c r="A13065">
        <f ca="1">30204.2214388776*((RANDBETWEEN(2979,3282)))</f>
        <v>91065727.63821581</v>
      </c>
      <c r="B13065">
        <v>173130392.64378685</v>
      </c>
    </row>
    <row r="13066" spans="1:2" x14ac:dyDescent="0.25">
      <c r="A13066">
        <f ca="1">27570.3424658748*((RANDBETWEEN(2979,3282)))</f>
        <v>83427856.30173707</v>
      </c>
      <c r="B13066">
        <v>179635149.02533019</v>
      </c>
    </row>
    <row r="13067" spans="1:2" x14ac:dyDescent="0.25">
      <c r="A13067">
        <f ca="1">30591.7331763152*((RANDBETWEEN(2979,3282)))</f>
        <v>94681414.180695459</v>
      </c>
      <c r="B13067">
        <v>172084092.16567153</v>
      </c>
    </row>
    <row r="13068" spans="1:2" x14ac:dyDescent="0.25">
      <c r="A13068">
        <f ca="1">26044.1369005303*((RANDBETWEEN(2979,3282)))</f>
        <v>78158454.83849144</v>
      </c>
      <c r="B13068">
        <v>155436451.8164393</v>
      </c>
    </row>
    <row r="13069" spans="1:2" x14ac:dyDescent="0.25">
      <c r="A13069">
        <f ca="1">26584.8431452807*((RANDBETWEEN(2979,3282)))</f>
        <v>86001967.574982971</v>
      </c>
      <c r="B13069">
        <v>179256440.43231073</v>
      </c>
    </row>
    <row r="13070" spans="1:2" x14ac:dyDescent="0.25">
      <c r="A13070">
        <f ca="1">27949.093287902*((RANDBETWEEN(2979,3282)))</f>
        <v>84350363.542888254</v>
      </c>
      <c r="B13070">
        <v>167000259.16570741</v>
      </c>
    </row>
    <row r="13071" spans="1:2" x14ac:dyDescent="0.25">
      <c r="A13071">
        <f ca="1">26795.2424866143*((RANDBETWEEN(2979,3282)))</f>
        <v>84056675.680509135</v>
      </c>
      <c r="B13071">
        <v>161104928.61664745</v>
      </c>
    </row>
    <row r="13072" spans="1:2" x14ac:dyDescent="0.25">
      <c r="A13072">
        <f ca="1">31004.4828162117*((RANDBETWEEN(2979,3282)))</f>
        <v>94346641.209732234</v>
      </c>
      <c r="B13072">
        <v>165814349.3608582</v>
      </c>
    </row>
    <row r="13073" spans="1:2" x14ac:dyDescent="0.25">
      <c r="A13073">
        <f ca="1">29658.9620226323*((RANDBETWEEN(2979,3282)))</f>
        <v>91705510.573979199</v>
      </c>
      <c r="B13073">
        <v>164998576.93301895</v>
      </c>
    </row>
    <row r="13074" spans="1:2" x14ac:dyDescent="0.25">
      <c r="A13074">
        <f ca="1">26957.2627018711*((RANDBETWEEN(2979,3282)))</f>
        <v>84780591.197384566</v>
      </c>
      <c r="B13074">
        <v>162188843.60079816</v>
      </c>
    </row>
    <row r="13075" spans="1:2" x14ac:dyDescent="0.25">
      <c r="A13075">
        <f ca="1">25305.9137343222*((RANDBETWEEN(2979,3282)))</f>
        <v>80700558.89875336</v>
      </c>
      <c r="B13075">
        <v>146831623.04184854</v>
      </c>
    </row>
    <row r="13076" spans="1:2" x14ac:dyDescent="0.25">
      <c r="A13076">
        <f ca="1">26825.777783228*((RANDBETWEEN(2979,3282)))</f>
        <v>85601056.906280622</v>
      </c>
      <c r="B13076">
        <v>176216221.47362113</v>
      </c>
    </row>
    <row r="13077" spans="1:2" x14ac:dyDescent="0.25">
      <c r="A13077">
        <f ca="1">30230.373073332*((RANDBETWEEN(2979,3282)))</f>
        <v>98853319.949795559</v>
      </c>
      <c r="B13077">
        <v>170117524.97183123</v>
      </c>
    </row>
    <row r="13078" spans="1:2" x14ac:dyDescent="0.25">
      <c r="A13078">
        <f ca="1">27155.9370010253*((RANDBETWEEN(2979,3282)))</f>
        <v>84210560.640179411</v>
      </c>
      <c r="B13078">
        <v>189554804.23490205</v>
      </c>
    </row>
    <row r="13079" spans="1:2" x14ac:dyDescent="0.25">
      <c r="A13079">
        <f ca="1">25178.7078453881*((RANDBETWEEN(2979,3282)))</f>
        <v>79892039.993416429</v>
      </c>
      <c r="B13079">
        <v>144969897.7363162</v>
      </c>
    </row>
    <row r="13080" spans="1:2" x14ac:dyDescent="0.25">
      <c r="A13080">
        <f ca="1">27856.6735086395*((RANDBETWEEN(2979,3282)))</f>
        <v>85798554.406609684</v>
      </c>
      <c r="B13080">
        <v>143628361.88493791</v>
      </c>
    </row>
    <row r="13081" spans="1:2" x14ac:dyDescent="0.25">
      <c r="A13081">
        <f ca="1">27715.7820810444*((RANDBETWEEN(2979,3282)))</f>
        <v>87332429.337371007</v>
      </c>
      <c r="B13081">
        <v>156464487.81444579</v>
      </c>
    </row>
    <row r="13082" spans="1:2" x14ac:dyDescent="0.25">
      <c r="A13082">
        <f ca="1">26658.3615038872*((RANDBETWEEN(2979,3282)))</f>
        <v>81254685.863848135</v>
      </c>
      <c r="B13082">
        <v>158504420.0299364</v>
      </c>
    </row>
    <row r="13083" spans="1:2" x14ac:dyDescent="0.25">
      <c r="A13083">
        <f ca="1">29937.540565609*((RANDBETWEEN(2979,3282)))</f>
        <v>93973939.835446626</v>
      </c>
      <c r="B13083">
        <v>175158492.50501752</v>
      </c>
    </row>
    <row r="13084" spans="1:2" x14ac:dyDescent="0.25">
      <c r="A13084">
        <f ca="1">26829.0102551691*((RANDBETWEEN(2979,3282)))</f>
        <v>80326056.703976408</v>
      </c>
      <c r="B13084">
        <v>145531598.9194504</v>
      </c>
    </row>
    <row r="13085" spans="1:2" x14ac:dyDescent="0.25">
      <c r="A13085">
        <f ca="1">28330.5439795359*((RANDBETWEEN(2979,3282)))</f>
        <v>90346104.750740081</v>
      </c>
      <c r="B13085">
        <v>157190788.66377664</v>
      </c>
    </row>
    <row r="13086" spans="1:2" x14ac:dyDescent="0.25">
      <c r="A13086">
        <f ca="1">27151.6387125892*((RANDBETWEEN(2979,3282)))</f>
        <v>84414444.757439911</v>
      </c>
      <c r="B13086">
        <v>147065383.31765729</v>
      </c>
    </row>
    <row r="13087" spans="1:2" x14ac:dyDescent="0.25">
      <c r="A13087">
        <f ca="1">31117.3112526184*((RANDBETWEEN(2979,3282)))</f>
        <v>97552770.776958764</v>
      </c>
      <c r="B13087">
        <v>184735348.5206193</v>
      </c>
    </row>
    <row r="13088" spans="1:2" x14ac:dyDescent="0.25">
      <c r="A13088">
        <f ca="1">26843.0694974154*((RANDBETWEEN(2979,3282)))</f>
        <v>83616161.48444894</v>
      </c>
      <c r="B13088">
        <v>170493521.14186603</v>
      </c>
    </row>
    <row r="13089" spans="1:2" x14ac:dyDescent="0.25">
      <c r="A13089">
        <f ca="1">28220.0929255083*((RANDBETWEEN(2979,3282)))</f>
        <v>90614718.383807197</v>
      </c>
      <c r="B13089">
        <v>174955769.32192457</v>
      </c>
    </row>
    <row r="13090" spans="1:2" x14ac:dyDescent="0.25">
      <c r="A13090">
        <f ca="1">26312.5850137894*((RANDBETWEEN(2979,3282)))</f>
        <v>84963337.009525925</v>
      </c>
      <c r="B13090">
        <v>152078935.42091066</v>
      </c>
    </row>
    <row r="13091" spans="1:2" x14ac:dyDescent="0.25">
      <c r="A13091">
        <f ca="1">27366.2990750056*((RANDBETWEEN(2979,3282)))</f>
        <v>83877706.664892286</v>
      </c>
      <c r="B13091">
        <v>148388423.60523841</v>
      </c>
    </row>
    <row r="13092" spans="1:2" x14ac:dyDescent="0.25">
      <c r="A13092">
        <f ca="1">27850.1876764927*((RANDBETWEEN(2979,3282)))</f>
        <v>90540960.136277631</v>
      </c>
      <c r="B13092">
        <v>144699707.55380765</v>
      </c>
    </row>
    <row r="13093" spans="1:2" x14ac:dyDescent="0.25">
      <c r="A13093">
        <f ca="1">27364.436275784*((RANDBETWEEN(2979,3282)))</f>
        <v>87538831.646232948</v>
      </c>
      <c r="B13093">
        <v>158139063.65429321</v>
      </c>
    </row>
    <row r="13094" spans="1:2" x14ac:dyDescent="0.25">
      <c r="A13094">
        <f ca="1">30389.2219775078*((RANDBETWEEN(2979,3282)))</f>
        <v>95847606.117059454</v>
      </c>
      <c r="B13094">
        <v>201399934.12471557</v>
      </c>
    </row>
    <row r="13095" spans="1:2" x14ac:dyDescent="0.25">
      <c r="A13095">
        <f ca="1">27786.6780411373*((RANDBETWEEN(2979,3282)))</f>
        <v>86360995.351854816</v>
      </c>
      <c r="B13095">
        <v>189051816.47764358</v>
      </c>
    </row>
    <row r="13096" spans="1:2" x14ac:dyDescent="0.25">
      <c r="A13096">
        <f ca="1">26914.6337497425*((RANDBETWEEN(2979,3282)))</f>
        <v>86880437.744168729</v>
      </c>
      <c r="B13096">
        <v>158679816.97117478</v>
      </c>
    </row>
    <row r="13097" spans="1:2" x14ac:dyDescent="0.25">
      <c r="A13097">
        <f ca="1">28569.5721860896*((RANDBETWEEN(2979,3282)))</f>
        <v>88365686.771575227</v>
      </c>
      <c r="B13097">
        <v>151683996.4613325</v>
      </c>
    </row>
    <row r="13098" spans="1:2" x14ac:dyDescent="0.25">
      <c r="A13098">
        <f ca="1">27332.35566311*((RANDBETWEEN(2979,3282)))</f>
        <v>85932926.204817906</v>
      </c>
      <c r="B13098">
        <v>165500364.67351475</v>
      </c>
    </row>
    <row r="13099" spans="1:2" x14ac:dyDescent="0.25">
      <c r="A13099">
        <f ca="1">25838.8610984492*((RANDBETWEEN(2979,3282)))</f>
        <v>83898781.986664608</v>
      </c>
      <c r="B13099">
        <v>147176303.11218551</v>
      </c>
    </row>
    <row r="13100" spans="1:2" x14ac:dyDescent="0.25">
      <c r="A13100">
        <f ca="1">24714.9815268495*((RANDBETWEEN(2979,3282)))</f>
        <v>76542297.788652763</v>
      </c>
      <c r="B13100">
        <v>156765047.0057348</v>
      </c>
    </row>
    <row r="13101" spans="1:2" x14ac:dyDescent="0.25">
      <c r="A13101">
        <f ca="1">25947.6362671879*((RANDBETWEEN(2979,3282)))</f>
        <v>84796875.321170181</v>
      </c>
      <c r="B13101">
        <v>145601793.45723459</v>
      </c>
    </row>
    <row r="13102" spans="1:2" x14ac:dyDescent="0.25">
      <c r="A13102">
        <f ca="1">26032.6233990524*((RANDBETWEEN(2979,3282)))</f>
        <v>78228033.314152479</v>
      </c>
      <c r="B13102">
        <v>143931014.50366634</v>
      </c>
    </row>
    <row r="13103" spans="1:2" x14ac:dyDescent="0.25">
      <c r="A13103">
        <f ca="1">28497.3244250826*((RANDBETWEEN(2979,3282)))</f>
        <v>87885748.526954696</v>
      </c>
      <c r="B13103">
        <v>187014642.54709828</v>
      </c>
    </row>
    <row r="13104" spans="1:2" x14ac:dyDescent="0.25">
      <c r="A13104">
        <f ca="1">27007.3864369355*((RANDBETWEEN(2979,3282)))</f>
        <v>84938230.344162256</v>
      </c>
      <c r="B13104">
        <v>162245610.66170597</v>
      </c>
    </row>
    <row r="13105" spans="1:2" x14ac:dyDescent="0.25">
      <c r="A13105">
        <f ca="1">28688.3611529814*((RANDBETWEEN(2979,3282)))</f>
        <v>92491276.357212067</v>
      </c>
      <c r="B13105">
        <v>143609881.8939274</v>
      </c>
    </row>
    <row r="13106" spans="1:2" x14ac:dyDescent="0.25">
      <c r="A13106">
        <f ca="1">27764.3068057194*((RANDBETWEEN(2979,3282)))</f>
        <v>90289525.732199505</v>
      </c>
      <c r="B13106">
        <v>175104557.56557736</v>
      </c>
    </row>
    <row r="13107" spans="1:2" x14ac:dyDescent="0.25">
      <c r="A13107">
        <f ca="1">26809.5637753234*((RANDBETWEEN(2979,3282)))</f>
        <v>86112318.846338823</v>
      </c>
      <c r="B13107">
        <v>169974860.89437786</v>
      </c>
    </row>
    <row r="13108" spans="1:2" x14ac:dyDescent="0.25">
      <c r="A13108">
        <f ca="1">30715.940367317*((RANDBETWEEN(2979,3282)))</f>
        <v>100011101.83598429</v>
      </c>
      <c r="B13108">
        <v>182782535.97977093</v>
      </c>
    </row>
    <row r="13109" spans="1:2" x14ac:dyDescent="0.25">
      <c r="A13109">
        <f ca="1">28417.5472465078*((RANDBETWEEN(2979,3282)))</f>
        <v>93152719.874052703</v>
      </c>
      <c r="B13109">
        <v>167315535.92587489</v>
      </c>
    </row>
    <row r="13110" spans="1:2" x14ac:dyDescent="0.25">
      <c r="A13110">
        <f ca="1">27059.2033500846*((RANDBETWEEN(2979,3282)))</f>
        <v>87752996.464324519</v>
      </c>
      <c r="B13110">
        <v>194777313.21460649</v>
      </c>
    </row>
    <row r="13111" spans="1:2" x14ac:dyDescent="0.25">
      <c r="A13111">
        <f ca="1">29150.9381445558*((RANDBETWEEN(2979,3282)))</f>
        <v>88269040.701715067</v>
      </c>
      <c r="B13111">
        <v>192852787.50699034</v>
      </c>
    </row>
    <row r="13112" spans="1:2" x14ac:dyDescent="0.25">
      <c r="A13112">
        <f ca="1">32293.2774537468*((RANDBETWEEN(2979,3282)))</f>
        <v>99495587.834993958</v>
      </c>
      <c r="B13112">
        <v>153897291.19108385</v>
      </c>
    </row>
    <row r="13113" spans="1:2" x14ac:dyDescent="0.25">
      <c r="A13113">
        <f ca="1">26997.6877957231*((RANDBETWEEN(2979,3282)))</f>
        <v>84529760.488409162</v>
      </c>
      <c r="B13113">
        <v>152250713.56755355</v>
      </c>
    </row>
    <row r="13114" spans="1:2" x14ac:dyDescent="0.25">
      <c r="A13114">
        <f ca="1">26551.3451383714*((RANDBETWEEN(2979,3282)))</f>
        <v>84167764.088637486</v>
      </c>
      <c r="B13114">
        <v>192162560.28453016</v>
      </c>
    </row>
    <row r="13115" spans="1:2" x14ac:dyDescent="0.25">
      <c r="A13115">
        <f ca="1">29623.23252958*((RANDBETWEEN(2979,3282)))</f>
        <v>94379618.839241758</v>
      </c>
      <c r="B13115">
        <v>164621887.65210772</v>
      </c>
    </row>
    <row r="13116" spans="1:2" x14ac:dyDescent="0.25">
      <c r="A13116">
        <f ca="1">27624.3743479493*((RANDBETWEEN(2979,3282)))</f>
        <v>84806829.248204336</v>
      </c>
      <c r="B13116">
        <v>152192147.52546299</v>
      </c>
    </row>
    <row r="13117" spans="1:2" x14ac:dyDescent="0.25">
      <c r="A13117">
        <f ca="1">26547.7490011503*((RANDBETWEEN(2979,3282)))</f>
        <v>84873153.556677386</v>
      </c>
      <c r="B13117">
        <v>157589937.18245867</v>
      </c>
    </row>
    <row r="13118" spans="1:2" x14ac:dyDescent="0.25">
      <c r="A13118">
        <f ca="1">29361.889014875*((RANDBETWEEN(2979,3282)))</f>
        <v>90375894.387785181</v>
      </c>
      <c r="B13118">
        <v>168917715.84915775</v>
      </c>
    </row>
    <row r="13119" spans="1:2" x14ac:dyDescent="0.25">
      <c r="A13119">
        <f ca="1">32142.8565743485*((RANDBETWEEN(2979,3282)))</f>
        <v>99835712.519926473</v>
      </c>
      <c r="B13119">
        <v>168783339.31937504</v>
      </c>
    </row>
    <row r="13120" spans="1:2" x14ac:dyDescent="0.25">
      <c r="A13120">
        <f ca="1">26275.4099131072*((RANDBETWEEN(2979,3282)))</f>
        <v>78484649.410451069</v>
      </c>
      <c r="B13120">
        <v>188238929.88628072</v>
      </c>
    </row>
    <row r="13121" spans="1:2" x14ac:dyDescent="0.25">
      <c r="A13121">
        <f ca="1">25997.7404980623*((RANDBETWEEN(2979,3282)))</f>
        <v>84674640.802188829</v>
      </c>
      <c r="B13121">
        <v>161153697.28492415</v>
      </c>
    </row>
    <row r="13122" spans="1:2" x14ac:dyDescent="0.25">
      <c r="A13122">
        <f ca="1">26730.7678179631*((RANDBETWEEN(2979,3282)))</f>
        <v>87703649.210736901</v>
      </c>
      <c r="B13122">
        <v>157460610.18955934</v>
      </c>
    </row>
    <row r="13123" spans="1:2" x14ac:dyDescent="0.25">
      <c r="A13123">
        <f ca="1">30519.9286185845*((RANDBETWEEN(2979,3282)))</f>
        <v>94031900.073858887</v>
      </c>
      <c r="B13123">
        <v>177947696.59638536</v>
      </c>
    </row>
    <row r="13124" spans="1:2" x14ac:dyDescent="0.25">
      <c r="A13124">
        <f ca="1">28885.767121026*((RANDBETWEEN(2979,3282)))</f>
        <v>88765962.362913013</v>
      </c>
      <c r="B13124">
        <v>172485933.27861491</v>
      </c>
    </row>
    <row r="13125" spans="1:2" x14ac:dyDescent="0.25">
      <c r="A13125">
        <f ca="1">27300.8472568625*((RANDBETWEEN(2979,3282)))</f>
        <v>87963329.861611098</v>
      </c>
      <c r="B13125">
        <v>186727787.51347753</v>
      </c>
    </row>
    <row r="13126" spans="1:2" x14ac:dyDescent="0.25">
      <c r="A13126">
        <f ca="1">26536.0672138418*((RANDBETWEEN(2979,3282)))</f>
        <v>84384693.740016773</v>
      </c>
      <c r="B13126">
        <v>157765490.50080276</v>
      </c>
    </row>
    <row r="13127" spans="1:2" x14ac:dyDescent="0.25">
      <c r="A13127">
        <f ca="1">26339.7286998747*((RANDBETWEEN(2979,3282)))</f>
        <v>85367060.716293782</v>
      </c>
      <c r="B13127">
        <v>158736339.85990739</v>
      </c>
    </row>
    <row r="13128" spans="1:2" x14ac:dyDescent="0.25">
      <c r="A13128">
        <f ca="1">26061.6862302517*((RANDBETWEEN(2979,3282)))</f>
        <v>82563421.977437288</v>
      </c>
      <c r="B13128">
        <v>163503522.08789891</v>
      </c>
    </row>
    <row r="13129" spans="1:2" x14ac:dyDescent="0.25">
      <c r="A13129">
        <f ca="1">27438.8468776612*((RANDBETWEEN(2979,3282)))</f>
        <v>85252497.248893216</v>
      </c>
      <c r="B13129">
        <v>181142687.35476601</v>
      </c>
    </row>
    <row r="13130" spans="1:2" x14ac:dyDescent="0.25">
      <c r="A13130">
        <f ca="1">29398.0070482914*((RANDBETWEEN(2979,3282)))</f>
        <v>89399339.433854297</v>
      </c>
      <c r="B13130">
        <v>188427693.47346866</v>
      </c>
    </row>
    <row r="13131" spans="1:2" x14ac:dyDescent="0.25">
      <c r="A13131">
        <f ca="1">27035.4765454154*((RANDBETWEEN(2979,3282)))</f>
        <v>87676050.436782256</v>
      </c>
      <c r="B13131">
        <v>196841798.59826383</v>
      </c>
    </row>
    <row r="13132" spans="1:2" x14ac:dyDescent="0.25">
      <c r="A13132">
        <f ca="1">31037.7495031599*((RANDBETWEEN(2979,3282)))</f>
        <v>95999759.213273451</v>
      </c>
      <c r="B13132">
        <v>182101855.09235203</v>
      </c>
    </row>
    <row r="13133" spans="1:2" x14ac:dyDescent="0.25">
      <c r="A13133">
        <f ca="1">25576.1741782751*((RANDBETWEEN(2979,3282)))</f>
        <v>80795134.229171038</v>
      </c>
      <c r="B13133">
        <v>150769813.70730698</v>
      </c>
    </row>
    <row r="13134" spans="1:2" x14ac:dyDescent="0.25">
      <c r="A13134">
        <f ca="1">26749.1120190159*((RANDBETWEEN(2979,3282)))</f>
        <v>84981928.884413421</v>
      </c>
      <c r="B13134">
        <v>151523590.19496548</v>
      </c>
    </row>
    <row r="13135" spans="1:2" x14ac:dyDescent="0.25">
      <c r="A13135">
        <f ca="1">25733.3947694114*((RANDBETWEEN(2979,3282)))</f>
        <v>84199667.685513988</v>
      </c>
      <c r="B13135">
        <v>153144252.53184327</v>
      </c>
    </row>
    <row r="13136" spans="1:2" x14ac:dyDescent="0.25">
      <c r="A13136">
        <f ca="1">27056.8549464563*((RANDBETWEEN(2979,3282)))</f>
        <v>88124176.560608089</v>
      </c>
      <c r="B13136">
        <v>153594021.962607</v>
      </c>
    </row>
    <row r="13137" spans="1:2" x14ac:dyDescent="0.25">
      <c r="A13137">
        <f ca="1">26796.416959179*((RANDBETWEEN(2979,3282)))</f>
        <v>83658413.746556893</v>
      </c>
      <c r="B13137">
        <v>145249652.74470907</v>
      </c>
    </row>
    <row r="13138" spans="1:2" x14ac:dyDescent="0.25">
      <c r="A13138">
        <f ca="1">30036.8515008114*((RANDBETWEEN(2979,3282)))</f>
        <v>91221918.007964343</v>
      </c>
      <c r="B13138">
        <v>185962687.84174645</v>
      </c>
    </row>
    <row r="13139" spans="1:2" x14ac:dyDescent="0.25">
      <c r="A13139">
        <f ca="1">26453.0417959253*((RANDBETWEEN(2979,3282)))</f>
        <v>83115457.322797149</v>
      </c>
      <c r="B13139">
        <v>158989578.19525722</v>
      </c>
    </row>
    <row r="13140" spans="1:2" x14ac:dyDescent="0.25">
      <c r="A13140">
        <f ca="1">30262.7056092119*((RANDBETWEEN(2979,3282)))</f>
        <v>98656420.28603071</v>
      </c>
      <c r="B13140">
        <v>169911420.26724041</v>
      </c>
    </row>
    <row r="13141" spans="1:2" x14ac:dyDescent="0.25">
      <c r="A13141">
        <f ca="1">26416.0973586193*((RANDBETWEEN(2979,3282)))</f>
        <v>84108853.989843741</v>
      </c>
      <c r="B13141">
        <v>151109314.51233625</v>
      </c>
    </row>
    <row r="13142" spans="1:2" x14ac:dyDescent="0.25">
      <c r="A13142">
        <f ca="1">31979.6605325137*((RANDBETWEEN(2979,3282)))</f>
        <v>95683144.313281059</v>
      </c>
      <c r="B13142">
        <v>144671193.20509982</v>
      </c>
    </row>
    <row r="13143" spans="1:2" x14ac:dyDescent="0.25">
      <c r="A13143">
        <f ca="1">33883.8463719548*((RANDBETWEEN(2979,3282)))</f>
        <v>109478707.62778604</v>
      </c>
      <c r="B13143">
        <v>163644230.67742056</v>
      </c>
    </row>
    <row r="13144" spans="1:2" x14ac:dyDescent="0.25">
      <c r="A13144">
        <f ca="1">26805.5663134728*((RANDBETWEEN(2979,3282)))</f>
        <v>85348923.142097294</v>
      </c>
      <c r="B13144">
        <v>180893594.49501297</v>
      </c>
    </row>
    <row r="13145" spans="1:2" x14ac:dyDescent="0.25">
      <c r="A13145">
        <f ca="1">29178.6499619926*((RANDBETWEEN(2979,3282)))</f>
        <v>94422111.277007952</v>
      </c>
      <c r="B13145">
        <v>200325726.67379051</v>
      </c>
    </row>
    <row r="13146" spans="1:2" x14ac:dyDescent="0.25">
      <c r="A13146">
        <f ca="1">31480.3954194345*((RANDBETWEEN(2979,3282)))</f>
        <v>94913392.189594999</v>
      </c>
      <c r="B13146">
        <v>197148432.19351959</v>
      </c>
    </row>
    <row r="13147" spans="1:2" x14ac:dyDescent="0.25">
      <c r="A13147">
        <f ca="1">28803.2022261119*((RANDBETWEEN(2979,3282)))</f>
        <v>92573491.954723686</v>
      </c>
      <c r="B13147">
        <v>159834235.08509272</v>
      </c>
    </row>
    <row r="13148" spans="1:2" x14ac:dyDescent="0.25">
      <c r="A13148">
        <f ca="1">25053.8948738635*((RANDBETWEEN(2979,3282)))</f>
        <v>77491696.84485966</v>
      </c>
      <c r="B13148">
        <v>171574644.79159614</v>
      </c>
    </row>
    <row r="13149" spans="1:2" x14ac:dyDescent="0.25">
      <c r="A13149">
        <f ca="1">28167.5311867636*((RANDBETWEEN(2979,3282)))</f>
        <v>84981441.590465754</v>
      </c>
      <c r="B13149">
        <v>160930848.08945736</v>
      </c>
    </row>
    <row r="13150" spans="1:2" x14ac:dyDescent="0.25">
      <c r="A13150">
        <f ca="1">27313.5210325584*((RANDBETWEEN(2979,3282)))</f>
        <v>86611175.19424282</v>
      </c>
      <c r="B13150">
        <v>184971104.93052337</v>
      </c>
    </row>
    <row r="13151" spans="1:2" x14ac:dyDescent="0.25">
      <c r="A13151">
        <f ca="1">32831.6881707756*((RANDBETWEEN(2979,3282)))</f>
        <v>103485481.11428466</v>
      </c>
      <c r="B13151">
        <v>177274372.63769418</v>
      </c>
    </row>
    <row r="13152" spans="1:2" x14ac:dyDescent="0.25">
      <c r="A13152">
        <f ca="1">26966.1634735121*((RANDBETWEEN(2979,3282)))</f>
        <v>82004103.122950435</v>
      </c>
      <c r="B13152">
        <v>165551177.66529924</v>
      </c>
    </row>
    <row r="13153" spans="1:2" x14ac:dyDescent="0.25">
      <c r="A13153">
        <f ca="1">25298.8403365043*((RANDBETWEEN(2979,3282)))</f>
        <v>77212060.707011014</v>
      </c>
      <c r="B13153">
        <v>154394017.81594196</v>
      </c>
    </row>
    <row r="13154" spans="1:2" x14ac:dyDescent="0.25">
      <c r="A13154">
        <f ca="1">27296.8292171494*((RANDBETWEEN(2979,3282)))</f>
        <v>84620170.573163241</v>
      </c>
      <c r="B13154">
        <v>162999212.26052374</v>
      </c>
    </row>
    <row r="13155" spans="1:2" x14ac:dyDescent="0.25">
      <c r="A13155">
        <f ca="1">26885.0832989435*((RANDBETWEEN(2979,3282)))</f>
        <v>84392276.475383773</v>
      </c>
      <c r="B13155">
        <v>184556767.7594282</v>
      </c>
    </row>
    <row r="13156" spans="1:2" x14ac:dyDescent="0.25">
      <c r="A13156">
        <f ca="1">26728.3756910275*((RANDBETWEEN(2979,3282)))</f>
        <v>81895743.117308289</v>
      </c>
      <c r="B13156">
        <v>163588787.60375544</v>
      </c>
    </row>
    <row r="13157" spans="1:2" x14ac:dyDescent="0.25">
      <c r="A13157">
        <f ca="1">26660.0762619517*((RANDBETWEEN(2979,3282)))</f>
        <v>82912837.174669787</v>
      </c>
      <c r="B13157">
        <v>166646316.79205412</v>
      </c>
    </row>
    <row r="13158" spans="1:2" x14ac:dyDescent="0.25">
      <c r="A13158">
        <f ca="1">27758.8175811414*((RANDBETWEEN(2979,3282)))</f>
        <v>87662345.921244457</v>
      </c>
      <c r="B13158">
        <v>147539093.39494893</v>
      </c>
    </row>
    <row r="13159" spans="1:2" x14ac:dyDescent="0.25">
      <c r="A13159">
        <f ca="1">30208.5392728223*((RANDBETWEEN(2979,3282)))</f>
        <v>97120453.76212354</v>
      </c>
      <c r="B13159">
        <v>157081383.27892128</v>
      </c>
    </row>
    <row r="13160" spans="1:2" x14ac:dyDescent="0.25">
      <c r="A13160">
        <f ca="1">32602.5943419744*((RANDBETWEEN(2979,3282)))</f>
        <v>102795979.96024519</v>
      </c>
      <c r="B13160">
        <v>175217717.67063057</v>
      </c>
    </row>
    <row r="13161" spans="1:2" x14ac:dyDescent="0.25">
      <c r="A13161">
        <f ca="1">27515.4319848413*((RANDBETWEEN(2979,3282)))</f>
        <v>87306465.687901348</v>
      </c>
      <c r="B13161">
        <v>169405648.42380944</v>
      </c>
    </row>
    <row r="13162" spans="1:2" x14ac:dyDescent="0.25">
      <c r="A13162">
        <f ca="1">29562.38086922*((RANDBETWEEN(2979,3282)))</f>
        <v>94215307.830204025</v>
      </c>
      <c r="B13162">
        <v>180443030.98198146</v>
      </c>
    </row>
    <row r="13163" spans="1:2" x14ac:dyDescent="0.25">
      <c r="A13163">
        <f ca="1">28741.8187382825*((RANDBETWEEN(2979,3282)))</f>
        <v>94100714.549136773</v>
      </c>
      <c r="B13163">
        <v>178187627.27395386</v>
      </c>
    </row>
    <row r="13164" spans="1:2" x14ac:dyDescent="0.25">
      <c r="A13164">
        <f ca="1">28772.9275269132*((RANDBETWEEN(2979,3282)))</f>
        <v>90979996.840099618</v>
      </c>
      <c r="B13164">
        <v>195216522.07004926</v>
      </c>
    </row>
    <row r="13165" spans="1:2" x14ac:dyDescent="0.25">
      <c r="A13165">
        <f ca="1">26582.4557415964*((RANDBETWEEN(2979,3282)))</f>
        <v>86844882.907795325</v>
      </c>
      <c r="B13165">
        <v>155337777.3282688</v>
      </c>
    </row>
    <row r="13166" spans="1:2" x14ac:dyDescent="0.25">
      <c r="A13166">
        <f ca="1">29150.4934204555*((RANDBETWEEN(2979,3282)))</f>
        <v>87334878.28768456</v>
      </c>
      <c r="B13166">
        <v>189243339.43406618</v>
      </c>
    </row>
    <row r="13167" spans="1:2" x14ac:dyDescent="0.25">
      <c r="A13167">
        <f ca="1">25987.0022638003*((RANDBETWEEN(2979,3282)))</f>
        <v>84821575.389044121</v>
      </c>
      <c r="B13167">
        <v>202477651.76685089</v>
      </c>
    </row>
    <row r="13168" spans="1:2" x14ac:dyDescent="0.25">
      <c r="A13168">
        <f ca="1">26412.660925957*((RANDBETWEEN(2979,3282)))</f>
        <v>81826423.548614785</v>
      </c>
      <c r="B13168">
        <v>152496393.41458151</v>
      </c>
    </row>
    <row r="13169" spans="1:2" x14ac:dyDescent="0.25">
      <c r="A13169">
        <f ca="1">26724.2573310343*((RANDBETWEEN(2979,3282)))</f>
        <v>84929689.798026919</v>
      </c>
      <c r="B13169">
        <v>155047148.39760193</v>
      </c>
    </row>
    <row r="13170" spans="1:2" x14ac:dyDescent="0.25">
      <c r="A13170">
        <f ca="1">29460.0200918324*((RANDBETWEEN(2979,3282)))</f>
        <v>91031462.083762109</v>
      </c>
      <c r="B13170">
        <v>147727081.97331828</v>
      </c>
    </row>
    <row r="13171" spans="1:2" x14ac:dyDescent="0.25">
      <c r="A13171">
        <f ca="1">28204.3763405535*((RANDBETWEEN(2979,3282)))</f>
        <v>86051552.215028688</v>
      </c>
      <c r="B13171">
        <v>186687132.58581048</v>
      </c>
    </row>
    <row r="13172" spans="1:2" x14ac:dyDescent="0.25">
      <c r="A13172">
        <f ca="1">31018.0699259888*((RANDBETWEEN(2979,3282)))</f>
        <v>92899119.428336546</v>
      </c>
      <c r="B13172">
        <v>197122056.11052752</v>
      </c>
    </row>
    <row r="13173" spans="1:2" x14ac:dyDescent="0.25">
      <c r="A13173">
        <f ca="1">30209.5580543498*((RANDBETWEEN(2979,3282)))</f>
        <v>90386997.698614553</v>
      </c>
      <c r="B13173">
        <v>195979562.4829627</v>
      </c>
    </row>
    <row r="13174" spans="1:2" x14ac:dyDescent="0.25">
      <c r="A13174">
        <f ca="1">28490.8034113392*((RANDBETWEEN(2979,3282)))</f>
        <v>93107945.548256606</v>
      </c>
      <c r="B13174">
        <v>174598287.07340404</v>
      </c>
    </row>
    <row r="13175" spans="1:2" x14ac:dyDescent="0.25">
      <c r="A13175">
        <f ca="1">27309.7651542708*((RANDBETWEEN(2979,3282)))</f>
        <v>88292470.743757501</v>
      </c>
      <c r="B13175">
        <v>150060636.79167399</v>
      </c>
    </row>
    <row r="13176" spans="1:2" x14ac:dyDescent="0.25">
      <c r="A13176">
        <f ca="1">26553.0008870509*((RANDBETWEEN(2979,3282)))</f>
        <v>85739639.864287496</v>
      </c>
      <c r="B13176">
        <v>149652350.65297413</v>
      </c>
    </row>
    <row r="13177" spans="1:2" x14ac:dyDescent="0.25">
      <c r="A13177">
        <f ca="1">29195.7837355782*((RANDBETWEEN(2979,3282)))</f>
        <v>92054306.118278027</v>
      </c>
      <c r="B13177">
        <v>162839362.50169119</v>
      </c>
    </row>
    <row r="13178" spans="1:2" x14ac:dyDescent="0.25">
      <c r="A13178">
        <f ca="1">32234.397231162*((RANDBETWEEN(2979,3282)))</f>
        <v>97702458.007652134</v>
      </c>
      <c r="B13178">
        <v>200718657.5019643</v>
      </c>
    </row>
    <row r="13179" spans="1:2" x14ac:dyDescent="0.25">
      <c r="A13179">
        <f ca="1">27507.0231744639*((RANDBETWEEN(2979,3282)))</f>
        <v>86096982.536072046</v>
      </c>
      <c r="B13179">
        <v>173098202.83292782</v>
      </c>
    </row>
    <row r="13180" spans="1:2" x14ac:dyDescent="0.25">
      <c r="A13180">
        <f ca="1">28709.1355208957*((RANDBETWEEN(2979,3282)))</f>
        <v>85754187.80091548</v>
      </c>
      <c r="B13180">
        <v>147011315.84779745</v>
      </c>
    </row>
    <row r="13181" spans="1:2" x14ac:dyDescent="0.25">
      <c r="A13181">
        <f ca="1">29864.6044766019*((RANDBETWEEN(2979,3282)))</f>
        <v>96253620.228087962</v>
      </c>
      <c r="B13181">
        <v>158269853.19149214</v>
      </c>
    </row>
    <row r="13182" spans="1:2" x14ac:dyDescent="0.25">
      <c r="A13182">
        <f ca="1">27652.7387528642*((RANDBETWEEN(2979,3282)))</f>
        <v>83096479.95235686</v>
      </c>
      <c r="B13182">
        <v>203230379.07884648</v>
      </c>
    </row>
    <row r="13183" spans="1:2" x14ac:dyDescent="0.25">
      <c r="A13183">
        <f ca="1">27642.3927709182*((RANDBETWEEN(2979,3282)))</f>
        <v>87184106.799476072</v>
      </c>
      <c r="B13183">
        <v>185785131.99709466</v>
      </c>
    </row>
    <row r="13184" spans="1:2" x14ac:dyDescent="0.25">
      <c r="A13184">
        <f ca="1">31770.6476497207*((RANDBETWEEN(2979,3282)))</f>
        <v>96042667.845105901</v>
      </c>
      <c r="B13184">
        <v>153220684.15658662</v>
      </c>
    </row>
    <row r="13185" spans="1:2" x14ac:dyDescent="0.25">
      <c r="A13185">
        <f ca="1">28083.2885034788*((RANDBETWEEN(2979,3282)))</f>
        <v>88293859.054937392</v>
      </c>
      <c r="B13185">
        <v>155141461.04365152</v>
      </c>
    </row>
    <row r="13186" spans="1:2" x14ac:dyDescent="0.25">
      <c r="A13186">
        <f ca="1">28375.9127228871*((RANDBETWEEN(2979,3282)))</f>
        <v>86347902.415745333</v>
      </c>
      <c r="B13186">
        <v>178401009.61962557</v>
      </c>
    </row>
    <row r="13187" spans="1:2" x14ac:dyDescent="0.25">
      <c r="A13187">
        <f ca="1">26329.5569646575*((RANDBETWEEN(2979,3282)))</f>
        <v>81016046.780251041</v>
      </c>
      <c r="B13187">
        <v>191541824.56594807</v>
      </c>
    </row>
    <row r="13188" spans="1:2" x14ac:dyDescent="0.25">
      <c r="A13188">
        <f ca="1">27659.9428135416*((RANDBETWEEN(2979,3282)))</f>
        <v>88345857.346451879</v>
      </c>
      <c r="B13188">
        <v>150607839.34749225</v>
      </c>
    </row>
    <row r="13189" spans="1:2" x14ac:dyDescent="0.25">
      <c r="A13189">
        <f ca="1">28027.1132580815*((RANDBETWEEN(2979,3282)))</f>
        <v>88257379.649698719</v>
      </c>
      <c r="B13189">
        <v>155340704.1924597</v>
      </c>
    </row>
    <row r="13190" spans="1:2" x14ac:dyDescent="0.25">
      <c r="A13190">
        <f ca="1">30261.2840750391*((RANDBETWEEN(2979,3282)))</f>
        <v>92690313.121844783</v>
      </c>
      <c r="B13190">
        <v>182524159.14046159</v>
      </c>
    </row>
    <row r="13191" spans="1:2" x14ac:dyDescent="0.25">
      <c r="A13191">
        <f ca="1">27310.4175246938*((RANDBETWEEN(2979,3282)))</f>
        <v>86027815.202785611</v>
      </c>
      <c r="B13191">
        <v>155251574.96875504</v>
      </c>
    </row>
    <row r="13192" spans="1:2" x14ac:dyDescent="0.25">
      <c r="A13192">
        <f ca="1">26079.0340635648*((RANDBETWEEN(2979,3282)))</f>
        <v>77871995.713804573</v>
      </c>
      <c r="B13192">
        <v>147332130.43919107</v>
      </c>
    </row>
    <row r="13193" spans="1:2" x14ac:dyDescent="0.25">
      <c r="A13193">
        <f ca="1">26797.8573358737*((RANDBETWEEN(2979,3282)))</f>
        <v>85967526.333482757</v>
      </c>
      <c r="B13193">
        <v>170910111.34447324</v>
      </c>
    </row>
    <row r="13194" spans="1:2" x14ac:dyDescent="0.25">
      <c r="A13194">
        <f ca="1">27594.0671442814*((RANDBETWEEN(2979,3282)))</f>
        <v>84161904.79005833</v>
      </c>
      <c r="B13194">
        <v>171500831.82977515</v>
      </c>
    </row>
    <row r="13195" spans="1:2" x14ac:dyDescent="0.25">
      <c r="A13195">
        <f ca="1">26209.4984161225*((RANDBETWEEN(2979,3282)))</f>
        <v>78156724.276877433</v>
      </c>
      <c r="B13195">
        <v>158030240.78987545</v>
      </c>
    </row>
    <row r="13196" spans="1:2" x14ac:dyDescent="0.25">
      <c r="A13196">
        <f ca="1">27306.6596475786*((RANDBETWEEN(2979,3282)))</f>
        <v>82903018.690048546</v>
      </c>
      <c r="B13196">
        <v>145461586.5930694</v>
      </c>
    </row>
    <row r="13197" spans="1:2" x14ac:dyDescent="0.25">
      <c r="A13197">
        <f ca="1">27233.6303640205*((RANDBETWEEN(2979,3282)))</f>
        <v>81128984.854416996</v>
      </c>
      <c r="B13197">
        <v>186155728.47285315</v>
      </c>
    </row>
    <row r="13198" spans="1:2" x14ac:dyDescent="0.25">
      <c r="A13198">
        <f ca="1">27577.5007627133*((RANDBETWEEN(2979,3282)))</f>
        <v>87282789.913987696</v>
      </c>
      <c r="B13198">
        <v>160378585.68908778</v>
      </c>
    </row>
    <row r="13199" spans="1:2" x14ac:dyDescent="0.25">
      <c r="A13199">
        <f ca="1">30294.6369195388*((RANDBETWEEN(2979,3282)))</f>
        <v>93186303.16450128</v>
      </c>
      <c r="B13199">
        <v>203657360.03942421</v>
      </c>
    </row>
    <row r="13200" spans="1:2" x14ac:dyDescent="0.25">
      <c r="A13200">
        <f ca="1">25568.8591425468*((RANDBETWEEN(2979,3282)))</f>
        <v>82050468.98843272</v>
      </c>
      <c r="B13200">
        <v>145392204.35633957</v>
      </c>
    </row>
    <row r="13201" spans="1:2" x14ac:dyDescent="0.25">
      <c r="A13201">
        <f ca="1">26968.4918166749*((RANDBETWEEN(2979,3282)))</f>
        <v>81903309.647241548</v>
      </c>
      <c r="B13201">
        <v>172620491.68850762</v>
      </c>
    </row>
    <row r="13202" spans="1:2" x14ac:dyDescent="0.25">
      <c r="A13202">
        <f ca="1">28716.3259725872*((RANDBETWEEN(2979,3282)))</f>
        <v>88848312.559184819</v>
      </c>
      <c r="B13202">
        <v>171974256.72523841</v>
      </c>
    </row>
    <row r="13203" spans="1:2" x14ac:dyDescent="0.25">
      <c r="A13203">
        <f ca="1">26671.7710659893*((RANDBETWEEN(2979,3282)))</f>
        <v>84816231.989846081</v>
      </c>
      <c r="B13203">
        <v>188873779.30421719</v>
      </c>
    </row>
    <row r="13204" spans="1:2" x14ac:dyDescent="0.25">
      <c r="A13204">
        <f ca="1">25579.9708915399*((RANDBETWEEN(2979,3282)))</f>
        <v>79323489.73466529</v>
      </c>
      <c r="B13204">
        <v>164773239.96044895</v>
      </c>
    </row>
    <row r="13205" spans="1:2" x14ac:dyDescent="0.25">
      <c r="A13205">
        <f ca="1">26056.1222465991*((RANDBETWEEN(2979,3282)))</f>
        <v>78246535.106537119</v>
      </c>
      <c r="B13205">
        <v>155843982.11569598</v>
      </c>
    </row>
    <row r="13206" spans="1:2" x14ac:dyDescent="0.25">
      <c r="A13206">
        <f ca="1">27909.1380709923*((RANDBETWEEN(2979,3282)))</f>
        <v>89392969.241388276</v>
      </c>
      <c r="B13206">
        <v>156081144.5910604</v>
      </c>
    </row>
    <row r="13207" spans="1:2" x14ac:dyDescent="0.25">
      <c r="A13207">
        <f ca="1">25629.64825674*((RANDBETWEEN(2979,3282)))</f>
        <v>77170870.901044264</v>
      </c>
      <c r="B13207">
        <v>170610650.18807647</v>
      </c>
    </row>
    <row r="13208" spans="1:2" x14ac:dyDescent="0.25">
      <c r="A13208">
        <f ca="1">26692.1897139796*((RANDBETWEEN(2979,3282)))</f>
        <v>85148085.18759501</v>
      </c>
      <c r="B13208">
        <v>183253647.05399355</v>
      </c>
    </row>
    <row r="13209" spans="1:2" x14ac:dyDescent="0.25">
      <c r="A13209">
        <f ca="1">27841.4432676948*((RANDBETWEEN(2979,3282)))</f>
        <v>91069360.928629786</v>
      </c>
      <c r="B13209">
        <v>163192310.87754154</v>
      </c>
    </row>
    <row r="13210" spans="1:2" x14ac:dyDescent="0.25">
      <c r="A13210">
        <f ca="1">26788.5843764729*((RANDBETWEEN(2979,3282)))</f>
        <v>82883880.060807243</v>
      </c>
      <c r="B13210">
        <v>164995897.74349087</v>
      </c>
    </row>
    <row r="13211" spans="1:2" x14ac:dyDescent="0.25">
      <c r="A13211">
        <f ca="1">27692.7760253513*((RANDBETWEEN(2979,3282)))</f>
        <v>85986069.558715731</v>
      </c>
      <c r="B13211">
        <v>146371389.07118919</v>
      </c>
    </row>
    <row r="13212" spans="1:2" x14ac:dyDescent="0.25">
      <c r="A13212">
        <f ca="1">28860.8070916177*((RANDBETWEEN(2979,3282)))</f>
        <v>93422432.555566475</v>
      </c>
      <c r="B13212">
        <v>155417308.03151587</v>
      </c>
    </row>
    <row r="13213" spans="1:2" x14ac:dyDescent="0.25">
      <c r="A13213">
        <f ca="1">28380.3162370701*((RANDBETWEEN(2979,3282)))</f>
        <v>92491450.616611376</v>
      </c>
      <c r="B13213">
        <v>176360734.88056198</v>
      </c>
    </row>
    <row r="13214" spans="1:2" x14ac:dyDescent="0.25">
      <c r="A13214">
        <f ca="1">27589.2324155842*((RANDBETWEEN(2979,3282)))</f>
        <v>85526620.488310888</v>
      </c>
      <c r="B13214">
        <v>148337898.63646382</v>
      </c>
    </row>
    <row r="13215" spans="1:2" x14ac:dyDescent="0.25">
      <c r="A13215">
        <f ca="1">26137.8481509305*((RANDBETWEEN(2979,3282)))</f>
        <v>80034091.038149327</v>
      </c>
      <c r="B13215">
        <v>163847613.17407084</v>
      </c>
    </row>
    <row r="13216" spans="1:2" x14ac:dyDescent="0.25">
      <c r="A13216">
        <f ca="1">26836.8063852306*((RANDBETWEEN(2979,3282)))</f>
        <v>80564092.768462166</v>
      </c>
      <c r="B13216">
        <v>145936131.85298583</v>
      </c>
    </row>
    <row r="13217" spans="1:2" x14ac:dyDescent="0.25">
      <c r="A13217">
        <f ca="1">26210.7410689354*((RANDBETWEEN(2979,3282)))</f>
        <v>83690896.23311089</v>
      </c>
      <c r="B13217">
        <v>166403817.7324878</v>
      </c>
    </row>
    <row r="13218" spans="1:2" x14ac:dyDescent="0.25">
      <c r="A13218">
        <f ca="1">26448.1059274959*((RANDBETWEEN(2979,3282)))</f>
        <v>81407270.044832274</v>
      </c>
      <c r="B13218">
        <v>171194038.24997854</v>
      </c>
    </row>
    <row r="13219" spans="1:2" x14ac:dyDescent="0.25">
      <c r="A13219">
        <f ca="1">28681.1447940166*((RANDBETWEEN(2979,3282)))</f>
        <v>90230881.521976203</v>
      </c>
      <c r="B13219">
        <v>153159397.62291375</v>
      </c>
    </row>
    <row r="13220" spans="1:2" x14ac:dyDescent="0.25">
      <c r="A13220">
        <f ca="1">27647.6903584785*((RANDBETWEEN(2979,3282)))</f>
        <v>88970267.573583901</v>
      </c>
      <c r="B13220">
        <v>144538335.82361227</v>
      </c>
    </row>
    <row r="13221" spans="1:2" x14ac:dyDescent="0.25">
      <c r="A13221">
        <f ca="1">29808.948220731*((RANDBETWEEN(2979,3282)))</f>
        <v>95478061.151001453</v>
      </c>
      <c r="B13221">
        <v>192415956.91704977</v>
      </c>
    </row>
    <row r="13222" spans="1:2" x14ac:dyDescent="0.25">
      <c r="A13222">
        <f ca="1">29765.2390541661*((RANDBETWEEN(2979,3282)))</f>
        <v>91647171.047777429</v>
      </c>
      <c r="B13222">
        <v>157647998.77472618</v>
      </c>
    </row>
    <row r="13223" spans="1:2" x14ac:dyDescent="0.25">
      <c r="A13223">
        <f ca="1">26179.9467137907*((RANDBETWEEN(2979,3282)))</f>
        <v>83985269.057840526</v>
      </c>
      <c r="B13223">
        <v>172867718.1711238</v>
      </c>
    </row>
    <row r="13224" spans="1:2" x14ac:dyDescent="0.25">
      <c r="A13224">
        <f ca="1">34848.6577884477*((RANDBETWEEN(2979,3282)))</f>
        <v>114059656.94158916</v>
      </c>
      <c r="B13224">
        <v>169363123.3709853</v>
      </c>
    </row>
    <row r="13225" spans="1:2" x14ac:dyDescent="0.25">
      <c r="A13225">
        <f ca="1">28267.8861380017*((RANDBETWEEN(2979,3282)))</f>
        <v>86245320.607043326</v>
      </c>
      <c r="B13225">
        <v>185925194.17300928</v>
      </c>
    </row>
    <row r="13226" spans="1:2" x14ac:dyDescent="0.25">
      <c r="A13226">
        <f ca="1">26181.6434186997*((RANDBETWEEN(2979,3282)))</f>
        <v>80194373.791477248</v>
      </c>
      <c r="B13226">
        <v>151488407.18041629</v>
      </c>
    </row>
    <row r="13227" spans="1:2" x14ac:dyDescent="0.25">
      <c r="A13227">
        <f ca="1">26976.8345298147*((RANDBETWEEN(2979,3282)))</f>
        <v>84815167.761737362</v>
      </c>
      <c r="B13227">
        <v>179609848.88145497</v>
      </c>
    </row>
    <row r="13228" spans="1:2" x14ac:dyDescent="0.25">
      <c r="A13228">
        <f ca="1">28509.8125304033*((RANDBETWEEN(2979,3282)))</f>
        <v>85843045.529044285</v>
      </c>
      <c r="B13228">
        <v>152036003.89433265</v>
      </c>
    </row>
    <row r="13229" spans="1:2" x14ac:dyDescent="0.25">
      <c r="A13229">
        <f ca="1">30974.2955328379*((RANDBETWEEN(2979,3282)))</f>
        <v>98436311.203358889</v>
      </c>
      <c r="B13229">
        <v>169555506.04149508</v>
      </c>
    </row>
    <row r="13230" spans="1:2" x14ac:dyDescent="0.25">
      <c r="A13230">
        <f ca="1">27815.7228821067*((RANDBETWEEN(2979,3282)))</f>
        <v>83057748.525970623</v>
      </c>
      <c r="B13230">
        <v>167886499.41977814</v>
      </c>
    </row>
    <row r="13231" spans="1:2" x14ac:dyDescent="0.25">
      <c r="A13231">
        <f ca="1">31689.2064396427*((RANDBETWEEN(2979,3282)))</f>
        <v>99504108.220478073</v>
      </c>
      <c r="B13231">
        <v>164206217.5075568</v>
      </c>
    </row>
    <row r="13232" spans="1:2" x14ac:dyDescent="0.25">
      <c r="A13232">
        <f ca="1">27547.2434018971*((RANDBETWEEN(2979,3282)))</f>
        <v>85809663.196909338</v>
      </c>
      <c r="B13232">
        <v>145273420.17784467</v>
      </c>
    </row>
    <row r="13233" spans="1:2" x14ac:dyDescent="0.25">
      <c r="A13233">
        <f ca="1">28849.4992559837*((RANDBETWEEN(2979,3282)))</f>
        <v>94539809.061858594</v>
      </c>
      <c r="B13233">
        <v>181524340.45101807</v>
      </c>
    </row>
    <row r="13234" spans="1:2" x14ac:dyDescent="0.25">
      <c r="A13234">
        <f ca="1">27003.0932666922*((RANDBETWEEN(2979,3282)))</f>
        <v>87517025.277349561</v>
      </c>
      <c r="B13234">
        <v>148961104.5026373</v>
      </c>
    </row>
    <row r="13235" spans="1:2" x14ac:dyDescent="0.25">
      <c r="A13235">
        <f ca="1">27555.6832798616*((RANDBETWEEN(2979,3282)))</f>
        <v>84761281.76885438</v>
      </c>
      <c r="B13235">
        <v>156431084.64868319</v>
      </c>
    </row>
    <row r="13236" spans="1:2" x14ac:dyDescent="0.25">
      <c r="A13236">
        <f ca="1">33653.3205985374*((RANDBETWEEN(2979,3282)))</f>
        <v>103483960.84050255</v>
      </c>
      <c r="B13236">
        <v>155673771.30010355</v>
      </c>
    </row>
    <row r="13237" spans="1:2" x14ac:dyDescent="0.25">
      <c r="A13237">
        <f ca="1">25426.1380650583*((RANDBETWEEN(2979,3282)))</f>
        <v>79558386.005567446</v>
      </c>
      <c r="B13237">
        <v>161449482.91105995</v>
      </c>
    </row>
    <row r="13238" spans="1:2" x14ac:dyDescent="0.25">
      <c r="A13238">
        <f ca="1">27168.3223426913*((RANDBETWEEN(2979,3282)))</f>
        <v>83488254.559090286</v>
      </c>
      <c r="B13238">
        <v>186517082.23600888</v>
      </c>
    </row>
    <row r="13239" spans="1:2" x14ac:dyDescent="0.25">
      <c r="A13239">
        <f ca="1">31340.233446585*((RANDBETWEEN(2979,3282)))</f>
        <v>97844208.820238382</v>
      </c>
      <c r="B13239">
        <v>159411230.05504626</v>
      </c>
    </row>
    <row r="13240" spans="1:2" x14ac:dyDescent="0.25">
      <c r="A13240">
        <f ca="1">28592.6624552266*((RANDBETWEEN(2979,3282)))</f>
        <v>86149691.977597639</v>
      </c>
      <c r="B13240">
        <v>184260570.8217321</v>
      </c>
    </row>
    <row r="13241" spans="1:2" x14ac:dyDescent="0.25">
      <c r="A13241">
        <f ca="1">26694.1165835191*((RANDBETWEEN(2979,3282)))</f>
        <v>82057714.37773782</v>
      </c>
      <c r="B13241">
        <v>159329865.81437305</v>
      </c>
    </row>
    <row r="13242" spans="1:2" x14ac:dyDescent="0.25">
      <c r="A13242">
        <f ca="1">26555.794775968*((RANDBETWEEN(2979,3282)))</f>
        <v>86279777.227120176</v>
      </c>
      <c r="B13242">
        <v>195887122.70326883</v>
      </c>
    </row>
    <row r="13243" spans="1:2" x14ac:dyDescent="0.25">
      <c r="A13243">
        <f ca="1">28453.2662466364*((RANDBETWEEN(2979,3282)))</f>
        <v>93326713.288967237</v>
      </c>
      <c r="B13243">
        <v>165408522.49021357</v>
      </c>
    </row>
    <row r="13244" spans="1:2" x14ac:dyDescent="0.25">
      <c r="A13244">
        <f ca="1">25828.1611776476*((RANDBETWEEN(2979,3282)))</f>
        <v>80687175.518971205</v>
      </c>
      <c r="B13244">
        <v>182907591.03058425</v>
      </c>
    </row>
    <row r="13245" spans="1:2" x14ac:dyDescent="0.25">
      <c r="A13245">
        <f ca="1">26107.3919990958*((RANDBETWEEN(2979,3282)))</f>
        <v>81768351.741168126</v>
      </c>
      <c r="B13245">
        <v>165697988.83982319</v>
      </c>
    </row>
    <row r="13246" spans="1:2" x14ac:dyDescent="0.25">
      <c r="A13246">
        <f ca="1">26771.5545966697*((RANDBETWEEN(2979,3282)))</f>
        <v>85320944.499586314</v>
      </c>
      <c r="B13246">
        <v>170314617.66807729</v>
      </c>
    </row>
    <row r="13247" spans="1:2" x14ac:dyDescent="0.25">
      <c r="A13247">
        <f ca="1">26414.5725324532*((RANDBETWEEN(2979,3282)))</f>
        <v>81594614.552747905</v>
      </c>
      <c r="B13247">
        <v>152675471.66770071</v>
      </c>
    </row>
    <row r="13248" spans="1:2" x14ac:dyDescent="0.25">
      <c r="A13248">
        <f ca="1">26838.3457318446*((RANDBETWEEN(2979,3282)))</f>
        <v>83413578.534573138</v>
      </c>
      <c r="B13248">
        <v>191643145.66984951</v>
      </c>
    </row>
    <row r="13249" spans="1:2" x14ac:dyDescent="0.25">
      <c r="A13249">
        <f ca="1">29491.6705040949*((RANDBETWEEN(2979,3282)))</f>
        <v>89802136.684968904</v>
      </c>
      <c r="B13249">
        <v>149426917.10330144</v>
      </c>
    </row>
    <row r="13250" spans="1:2" x14ac:dyDescent="0.25">
      <c r="A13250">
        <f ca="1">27729.8117122991*((RANDBETWEEN(2979,3282)))</f>
        <v>83854950.617992446</v>
      </c>
      <c r="B13250">
        <v>156308448.71285263</v>
      </c>
    </row>
    <row r="13251" spans="1:2" x14ac:dyDescent="0.25">
      <c r="A13251">
        <f ca="1">27107.6222607083*((RANDBETWEEN(2979,3282)))</f>
        <v>85334794.876709804</v>
      </c>
      <c r="B13251">
        <v>143075363.70693332</v>
      </c>
    </row>
    <row r="13252" spans="1:2" x14ac:dyDescent="0.25">
      <c r="A13252">
        <f ca="1">30668.7337662861*((RANDBETWEEN(2979,3282)))</f>
        <v>91975532.565091863</v>
      </c>
      <c r="B13252">
        <v>188383730.78025606</v>
      </c>
    </row>
    <row r="13253" spans="1:2" x14ac:dyDescent="0.25">
      <c r="A13253">
        <f ca="1">27102.2349410193*((RANDBETWEEN(2979,3282)))</f>
        <v>83122554.564106271</v>
      </c>
      <c r="B13253">
        <v>185236210.70768753</v>
      </c>
    </row>
    <row r="13254" spans="1:2" x14ac:dyDescent="0.25">
      <c r="A13254">
        <f ca="1">30239.241652521*((RANDBETWEEN(2979,3282)))</f>
        <v>90233897.091122523</v>
      </c>
      <c r="B13254">
        <v>184493513.41125679</v>
      </c>
    </row>
    <row r="13255" spans="1:2" x14ac:dyDescent="0.25">
      <c r="A13255">
        <f ca="1">25808.0531670684*((RANDBETWEEN(2979,3282)))</f>
        <v>78327441.362052679</v>
      </c>
      <c r="B13255">
        <v>144288398.2510992</v>
      </c>
    </row>
    <row r="13256" spans="1:2" x14ac:dyDescent="0.25">
      <c r="A13256">
        <f ca="1">31257.7307572573*((RANDBETWEEN(2979,3282)))</f>
        <v>95773687.040236443</v>
      </c>
      <c r="B13256">
        <v>195405525.45640892</v>
      </c>
    </row>
    <row r="13257" spans="1:2" x14ac:dyDescent="0.25">
      <c r="A13257">
        <f ca="1">31221.1148540968*((RANDBETWEEN(2979,3282)))</f>
        <v>94818525.811891973</v>
      </c>
      <c r="B13257">
        <v>191349182.75765732</v>
      </c>
    </row>
    <row r="13258" spans="1:2" x14ac:dyDescent="0.25">
      <c r="A13258">
        <f ca="1">26026.3312304456*((RANDBETWEEN(2979,3282)))</f>
        <v>83544523.249730483</v>
      </c>
      <c r="B13258">
        <v>156457874.16740018</v>
      </c>
    </row>
    <row r="13259" spans="1:2" x14ac:dyDescent="0.25">
      <c r="A13259">
        <f ca="1">26373.748629219*((RANDBETWEEN(2979,3282)))</f>
        <v>81046529.537590027</v>
      </c>
      <c r="B13259">
        <v>151640494.60804197</v>
      </c>
    </row>
    <row r="13260" spans="1:2" x14ac:dyDescent="0.25">
      <c r="A13260">
        <f ca="1">28582.1991990695*((RANDBETWEEN(2979,3282)))</f>
        <v>93663866.775350615</v>
      </c>
      <c r="B13260">
        <v>199340019.52285713</v>
      </c>
    </row>
    <row r="13261" spans="1:2" x14ac:dyDescent="0.25">
      <c r="A13261">
        <f ca="1">27343.595070957*((RANDBETWEEN(2979,3282)))</f>
        <v>83097185.420638338</v>
      </c>
      <c r="B13261">
        <v>187169515.71292055</v>
      </c>
    </row>
    <row r="13262" spans="1:2" x14ac:dyDescent="0.25">
      <c r="A13262">
        <f ca="1">29116.8411832302*((RANDBETWEEN(2979,3282)))</f>
        <v>94513266.480765358</v>
      </c>
      <c r="B13262">
        <v>159210370.61581886</v>
      </c>
    </row>
    <row r="13263" spans="1:2" x14ac:dyDescent="0.25">
      <c r="A13263">
        <f ca="1">28612.3174310391*((RANDBETWEEN(2979,3282)))</f>
        <v>87982876.100445196</v>
      </c>
      <c r="B13263">
        <v>195096329.18165451</v>
      </c>
    </row>
    <row r="13264" spans="1:2" x14ac:dyDescent="0.25">
      <c r="A13264">
        <f ca="1">27385.2495293126*((RANDBETWEEN(2979,3282)))</f>
        <v>87851880.490034729</v>
      </c>
      <c r="B13264">
        <v>144608973.218945</v>
      </c>
    </row>
    <row r="13265" spans="1:2" x14ac:dyDescent="0.25">
      <c r="A13265">
        <f ca="1">31984.0628729427*((RANDBETWEEN(2979,3282)))</f>
        <v>100589877.73540469</v>
      </c>
      <c r="B13265">
        <v>199188789.83213934</v>
      </c>
    </row>
    <row r="13266" spans="1:2" x14ac:dyDescent="0.25">
      <c r="A13266">
        <f ca="1">28297.5862001173*((RANDBETWEEN(2979,3282)))</f>
        <v>88995908.599368975</v>
      </c>
      <c r="B13266">
        <v>175124833.84694058</v>
      </c>
    </row>
    <row r="13267" spans="1:2" x14ac:dyDescent="0.25">
      <c r="A13267">
        <f ca="1">26333.0256769012*((RANDBETWEEN(2979,3282)))</f>
        <v>83317693.241715416</v>
      </c>
      <c r="B13267">
        <v>159819933.05856314</v>
      </c>
    </row>
    <row r="13268" spans="1:2" x14ac:dyDescent="0.25">
      <c r="A13268">
        <f ca="1">27962.7720073188*((RANDBETWEEN(2979,3282)))</f>
        <v>88837726.667251855</v>
      </c>
      <c r="B13268">
        <v>144564589.09054464</v>
      </c>
    </row>
    <row r="13269" spans="1:2" x14ac:dyDescent="0.25">
      <c r="A13269">
        <f ca="1">29888.4110468733*((RANDBETWEEN(2979,3282)))</f>
        <v>97436220.012807101</v>
      </c>
      <c r="B13269">
        <v>163257258.45751071</v>
      </c>
    </row>
    <row r="13270" spans="1:2" x14ac:dyDescent="0.25">
      <c r="A13270">
        <f ca="1">25644.3472250003*((RANDBETWEEN(2979,3282)))</f>
        <v>83754438.036850989</v>
      </c>
      <c r="B13270">
        <v>179974829.21929541</v>
      </c>
    </row>
    <row r="13271" spans="1:2" x14ac:dyDescent="0.25">
      <c r="A13271">
        <f ca="1">26733.6193478631*((RANDBETWEEN(2979,3282)))</f>
        <v>80601862.333807275</v>
      </c>
      <c r="B13271">
        <v>187122515.97321644</v>
      </c>
    </row>
    <row r="13272" spans="1:2" x14ac:dyDescent="0.25">
      <c r="A13272">
        <f ca="1">26126.6635114107*((RANDBETWEEN(2979,3282)))</f>
        <v>79503437.0652228</v>
      </c>
      <c r="B13272">
        <v>143674352.57475528</v>
      </c>
    </row>
    <row r="13273" spans="1:2" x14ac:dyDescent="0.25">
      <c r="A13273">
        <f ca="1">28813.4069995067*((RANDBETWEEN(2979,3282)))</f>
        <v>89523255.54746747</v>
      </c>
      <c r="B13273">
        <v>149775530.46122989</v>
      </c>
    </row>
    <row r="13274" spans="1:2" x14ac:dyDescent="0.25">
      <c r="A13274">
        <f ca="1">28487.0246811982*((RANDBETWEEN(2979,3282)))</f>
        <v>87711548.993409202</v>
      </c>
      <c r="B13274">
        <v>164213246.45363414</v>
      </c>
    </row>
    <row r="13275" spans="1:2" x14ac:dyDescent="0.25">
      <c r="A13275">
        <f ca="1">28359.0875132687*((RANDBETWEEN(2979,3282)))</f>
        <v>90295334.642247632</v>
      </c>
      <c r="B13275">
        <v>144920162.64462343</v>
      </c>
    </row>
    <row r="13276" spans="1:2" x14ac:dyDescent="0.25">
      <c r="A13276">
        <f ca="1">28699.722615215*((RANDBETWEEN(2979,3282)))</f>
        <v>91925211.536533549</v>
      </c>
      <c r="B13276">
        <v>167403371.03559124</v>
      </c>
    </row>
    <row r="13277" spans="1:2" x14ac:dyDescent="0.25">
      <c r="A13277">
        <f ca="1">31693.7684149829*((RANDBETWEEN(2979,3282)))</f>
        <v>94700980.023968831</v>
      </c>
      <c r="B13277">
        <v>151900262.15539843</v>
      </c>
    </row>
    <row r="13278" spans="1:2" x14ac:dyDescent="0.25">
      <c r="A13278">
        <f ca="1">27313.4278991307*((RANDBETWEEN(2979,3282)))</f>
        <v>88741327.244275674</v>
      </c>
      <c r="B13278">
        <v>174980702.76359361</v>
      </c>
    </row>
    <row r="13279" spans="1:2" x14ac:dyDescent="0.25">
      <c r="A13279">
        <f ca="1">29837.9482000882*((RANDBETWEEN(2979,3282)))</f>
        <v>94496781.949679404</v>
      </c>
      <c r="B13279">
        <v>143131667.01888487</v>
      </c>
    </row>
    <row r="13280" spans="1:2" x14ac:dyDescent="0.25">
      <c r="A13280">
        <f ca="1">29847.1670434543*((RANDBETWEEN(2979,3282)))</f>
        <v>90556304.809840217</v>
      </c>
      <c r="B13280">
        <v>176704964.20173317</v>
      </c>
    </row>
    <row r="13281" spans="1:2" x14ac:dyDescent="0.25">
      <c r="A13281">
        <f ca="1">27665.5431589982*((RANDBETWEEN(2979,3282)))</f>
        <v>90327998.414129168</v>
      </c>
      <c r="B13281">
        <v>167739209.91742143</v>
      </c>
    </row>
    <row r="13282" spans="1:2" x14ac:dyDescent="0.25">
      <c r="A13282">
        <f ca="1">31333.7527100945*((RANDBETWEEN(2979,3282)))</f>
        <v>97353969.670263723</v>
      </c>
      <c r="B13282">
        <v>154462600.29805124</v>
      </c>
    </row>
    <row r="13283" spans="1:2" x14ac:dyDescent="0.25">
      <c r="A13283">
        <f ca="1">28365.1945896477*((RANDBETWEEN(2979,3282)))</f>
        <v>86428747.91465646</v>
      </c>
      <c r="B13283">
        <v>148963379.56174585</v>
      </c>
    </row>
    <row r="13284" spans="1:2" x14ac:dyDescent="0.25">
      <c r="A13284">
        <f ca="1">26612.472455023*((RANDBETWEEN(2979,3282)))</f>
        <v>83190588.894402012</v>
      </c>
      <c r="B13284">
        <v>172173239.41845205</v>
      </c>
    </row>
    <row r="13285" spans="1:2" x14ac:dyDescent="0.25">
      <c r="A13285">
        <f ca="1">27257.267666004*((RANDBETWEEN(2979,3282)))</f>
        <v>84470272.496946454</v>
      </c>
      <c r="B13285">
        <v>172856458.26627883</v>
      </c>
    </row>
    <row r="13286" spans="1:2" x14ac:dyDescent="0.25">
      <c r="A13286">
        <f ca="1">29547.1998883678*((RANDBETWEEN(2979,3282)))</f>
        <v>92896396.449028477</v>
      </c>
      <c r="B13286">
        <v>150990666.5748561</v>
      </c>
    </row>
    <row r="13287" spans="1:2" x14ac:dyDescent="0.25">
      <c r="A13287">
        <f ca="1">29135.5840127671*((RANDBETWEEN(2979,3282)))</f>
        <v>91398327.048050404</v>
      </c>
      <c r="B13287">
        <v>161805298.20685184</v>
      </c>
    </row>
    <row r="13288" spans="1:2" x14ac:dyDescent="0.25">
      <c r="A13288">
        <f ca="1">28513.7254605936*((RANDBETWEEN(2979,3282)))</f>
        <v>88734713.633367151</v>
      </c>
      <c r="B13288">
        <v>156916486.05707112</v>
      </c>
    </row>
    <row r="13289" spans="1:2" x14ac:dyDescent="0.25">
      <c r="A13289">
        <f ca="1">26512.9997550829*((RANDBETWEEN(2979,3282)))</f>
        <v>84974164.215040803</v>
      </c>
      <c r="B13289">
        <v>177656480.29905501</v>
      </c>
    </row>
    <row r="13290" spans="1:2" x14ac:dyDescent="0.25">
      <c r="A13290">
        <f ca="1">26213.9063725864*((RANDBETWEEN(2979,3282)))</f>
        <v>84644703.677081525</v>
      </c>
      <c r="B13290">
        <v>148321093.66117677</v>
      </c>
    </row>
    <row r="13291" spans="1:2" x14ac:dyDescent="0.25">
      <c r="A13291">
        <f ca="1">28377.0711201496*((RANDBETWEEN(2979,3282)))</f>
        <v>88082428.756944478</v>
      </c>
      <c r="B13291">
        <v>160540659.79003823</v>
      </c>
    </row>
    <row r="13292" spans="1:2" x14ac:dyDescent="0.25">
      <c r="A13292">
        <f ca="1">25896.9661611672*((RANDBETWEEN(2979,3282)))</f>
        <v>78597292.299142569</v>
      </c>
      <c r="B13292">
        <v>149706793.96978053</v>
      </c>
    </row>
    <row r="13293" spans="1:2" x14ac:dyDescent="0.25">
      <c r="A13293">
        <f ca="1">26141.3544978313*((RANDBETWEEN(2979,3282)))</f>
        <v>84122878.774021223</v>
      </c>
      <c r="B13293">
        <v>154809747.31089419</v>
      </c>
    </row>
    <row r="13294" spans="1:2" x14ac:dyDescent="0.25">
      <c r="A13294">
        <f ca="1">28280.3071190462*((RANDBETWEEN(2979,3282)))</f>
        <v>88291118.8256623</v>
      </c>
      <c r="B13294">
        <v>169498606.77052051</v>
      </c>
    </row>
    <row r="13295" spans="1:2" x14ac:dyDescent="0.25">
      <c r="A13295">
        <f ca="1">27140.1110548267*((RANDBETWEEN(2979,3282)))</f>
        <v>85871311.37747182</v>
      </c>
      <c r="B13295">
        <v>167584228.58101523</v>
      </c>
    </row>
    <row r="13296" spans="1:2" x14ac:dyDescent="0.25">
      <c r="A13296">
        <f ca="1">26363.8724765236*((RANDBETWEEN(2979,3282)))</f>
        <v>84944397.119358987</v>
      </c>
      <c r="B13296">
        <v>151907660.18054047</v>
      </c>
    </row>
    <row r="13297" spans="1:2" x14ac:dyDescent="0.25">
      <c r="A13297">
        <f ca="1">30345.8544303972*((RANDBETWEEN(2979,3282)))</f>
        <v>95771516.58233352</v>
      </c>
      <c r="B13297">
        <v>190444858.8784529</v>
      </c>
    </row>
    <row r="13298" spans="1:2" x14ac:dyDescent="0.25">
      <c r="A13298">
        <f ca="1">27654.5357823919*((RANDBETWEEN(2979,3282)))</f>
        <v>82438171.167310387</v>
      </c>
      <c r="B13298">
        <v>153838561.26501903</v>
      </c>
    </row>
    <row r="13299" spans="1:2" x14ac:dyDescent="0.25">
      <c r="A13299">
        <f ca="1">28931.0301156803*((RANDBETWEEN(2979,3282)))</f>
        <v>91971744.737747535</v>
      </c>
      <c r="B13299">
        <v>161759504.59854019</v>
      </c>
    </row>
    <row r="13300" spans="1:2" x14ac:dyDescent="0.25">
      <c r="A13300">
        <f ca="1">28600.9859984821*((RANDBETWEEN(2979,3282)))</f>
        <v>87833628.001338497</v>
      </c>
      <c r="B13300">
        <v>189644927.68108034</v>
      </c>
    </row>
    <row r="13301" spans="1:2" x14ac:dyDescent="0.25">
      <c r="A13301">
        <f ca="1">28657.813305488*((RANDBETWEEN(2979,3282)))</f>
        <v>91475740.071117744</v>
      </c>
      <c r="B13301">
        <v>152649248.85475957</v>
      </c>
    </row>
    <row r="13302" spans="1:2" x14ac:dyDescent="0.25">
      <c r="A13302">
        <f ca="1">32005.7157542423*((RANDBETWEEN(2979,3282)))</f>
        <v>98737633.101837635</v>
      </c>
      <c r="B13302">
        <v>190657637.0881229</v>
      </c>
    </row>
    <row r="13303" spans="1:2" x14ac:dyDescent="0.25">
      <c r="A13303">
        <f ca="1">26311.4856244788*((RANDBETWEEN(2979,3282)))</f>
        <v>80697326.410276622</v>
      </c>
      <c r="B13303">
        <v>153349949.64860338</v>
      </c>
    </row>
    <row r="13304" spans="1:2" x14ac:dyDescent="0.25">
      <c r="A13304">
        <f ca="1">25346.0287905926*((RANDBETWEEN(2979,3282)))</f>
        <v>76722429.149123922</v>
      </c>
      <c r="B13304">
        <v>155449244.67808849</v>
      </c>
    </row>
    <row r="13305" spans="1:2" x14ac:dyDescent="0.25">
      <c r="A13305">
        <f ca="1">27463.9756727082*((RANDBETWEEN(2979,3282)))</f>
        <v>83984837.607141793</v>
      </c>
      <c r="B13305">
        <v>174338056.1109319</v>
      </c>
    </row>
    <row r="13306" spans="1:2" x14ac:dyDescent="0.25">
      <c r="A13306">
        <f ca="1">31945.8506455*((RANDBETWEEN(2979,3282)))</f>
        <v>101076671.44236189</v>
      </c>
      <c r="B13306">
        <v>167713385.61231411</v>
      </c>
    </row>
    <row r="13307" spans="1:2" x14ac:dyDescent="0.25">
      <c r="A13307">
        <f ca="1">27318.8032981215*((RANDBETWEEN(2979,3282)))</f>
        <v>87365532.947392434</v>
      </c>
      <c r="B13307">
        <v>161647456.01578993</v>
      </c>
    </row>
    <row r="13308" spans="1:2" x14ac:dyDescent="0.25">
      <c r="A13308">
        <f ca="1">28271.3329851838*((RANDBETWEEN(2979,3282)))</f>
        <v>86877806.263469741</v>
      </c>
      <c r="B13308">
        <v>181340561.69585651</v>
      </c>
    </row>
    <row r="13309" spans="1:2" x14ac:dyDescent="0.25">
      <c r="A13309">
        <f ca="1">26766.5719189441*((RANDBETWEEN(2979,3282)))</f>
        <v>83029906.092564672</v>
      </c>
      <c r="B13309">
        <v>155214628.3547208</v>
      </c>
    </row>
    <row r="13310" spans="1:2" x14ac:dyDescent="0.25">
      <c r="A13310">
        <f ca="1">31781.0946701069*((RANDBETWEEN(2979,3282)))</f>
        <v>103924179.57124954</v>
      </c>
      <c r="B13310">
        <v>172549543.36935532</v>
      </c>
    </row>
    <row r="13311" spans="1:2" x14ac:dyDescent="0.25">
      <c r="A13311">
        <f ca="1">27713.0605513015*((RANDBETWEEN(2979,3282)))</f>
        <v>86104479.132893816</v>
      </c>
      <c r="B13311">
        <v>165325890.95231536</v>
      </c>
    </row>
    <row r="13312" spans="1:2" x14ac:dyDescent="0.25">
      <c r="A13312">
        <f ca="1">30304.6405254264*((RANDBETWEEN(2979,3282)))</f>
        <v>97490028.57029663</v>
      </c>
      <c r="B13312">
        <v>188603562.94031999</v>
      </c>
    </row>
    <row r="13313" spans="1:2" x14ac:dyDescent="0.25">
      <c r="A13313">
        <f ca="1">27301.3487476207*((RANDBETWEEN(2979,3282)))</f>
        <v>88456369.942290977</v>
      </c>
      <c r="B13313">
        <v>155113519.94616449</v>
      </c>
    </row>
    <row r="13314" spans="1:2" x14ac:dyDescent="0.25">
      <c r="A13314">
        <f ca="1">26924.7926101329*((RANDBETWEEN(2979,3282)))</f>
        <v>84113052.114055112</v>
      </c>
      <c r="B13314">
        <v>182813400.8127729</v>
      </c>
    </row>
    <row r="13315" spans="1:2" x14ac:dyDescent="0.25">
      <c r="A13315">
        <f ca="1">29056.9334906391*((RANDBETWEEN(2979,3282)))</f>
        <v>92168593.032307133</v>
      </c>
      <c r="B13315">
        <v>183402762.45872265</v>
      </c>
    </row>
    <row r="13316" spans="1:2" x14ac:dyDescent="0.25">
      <c r="A13316">
        <f ca="1">28018.8195282213*((RANDBETWEEN(2979,3282)))</f>
        <v>89071827.280215502</v>
      </c>
      <c r="B13316">
        <v>198242507.73038423</v>
      </c>
    </row>
    <row r="13317" spans="1:2" x14ac:dyDescent="0.25">
      <c r="A13317">
        <f ca="1">28436.8144311384*((RANDBETWEEN(2979,3282)))</f>
        <v>92988383.189822584</v>
      </c>
      <c r="B13317">
        <v>146631723.88767219</v>
      </c>
    </row>
    <row r="13318" spans="1:2" x14ac:dyDescent="0.25">
      <c r="A13318">
        <f ca="1">28765.1089868196*((RANDBETWEEN(2979,3282)))</f>
        <v>94061906.386899948</v>
      </c>
      <c r="B13318">
        <v>143660673.56792361</v>
      </c>
    </row>
    <row r="13319" spans="1:2" x14ac:dyDescent="0.25">
      <c r="A13319">
        <f ca="1">26983.4727542*((RANDBETWEEN(2979,3282)))</f>
        <v>83945583.738316253</v>
      </c>
      <c r="B13319">
        <v>184497218.49843469</v>
      </c>
    </row>
    <row r="13320" spans="1:2" x14ac:dyDescent="0.25">
      <c r="A13320">
        <f ca="1">27728.109892844*((RANDBETWEEN(2979,3282)))</f>
        <v>90698647.459492832</v>
      </c>
      <c r="B13320">
        <v>149224884.16273955</v>
      </c>
    </row>
    <row r="13321" spans="1:2" x14ac:dyDescent="0.25">
      <c r="A13321">
        <f ca="1">31654.9719828022*((RANDBETWEEN(2979,3282)))</f>
        <v>97718898.510910496</v>
      </c>
      <c r="B13321">
        <v>193563743.07773155</v>
      </c>
    </row>
    <row r="13322" spans="1:2" x14ac:dyDescent="0.25">
      <c r="A13322">
        <f ca="1">26813.1297472848*((RANDBETWEEN(2979,3282)))</f>
        <v>86096959.618531331</v>
      </c>
      <c r="B13322">
        <v>171803084.92793956</v>
      </c>
    </row>
    <row r="13323" spans="1:2" x14ac:dyDescent="0.25">
      <c r="A13323">
        <f ca="1">30778.921431084*((RANDBETWEEN(2979,3282)))</f>
        <v>94091162.814823806</v>
      </c>
      <c r="B13323">
        <v>153731040.96615952</v>
      </c>
    </row>
    <row r="13324" spans="1:2" x14ac:dyDescent="0.25">
      <c r="A13324">
        <f ca="1">28842.6938896372*((RANDBETWEEN(2979,3282)))</f>
        <v>94459822.488561898</v>
      </c>
      <c r="B13324">
        <v>162020875.82353342</v>
      </c>
    </row>
    <row r="13325" spans="1:2" x14ac:dyDescent="0.25">
      <c r="A13325">
        <f ca="1">25974.2063824769*((RANDBETWEEN(2979,3282)))</f>
        <v>84494093.362197399</v>
      </c>
      <c r="B13325">
        <v>147158359.71108121</v>
      </c>
    </row>
    <row r="13326" spans="1:2" x14ac:dyDescent="0.25">
      <c r="A13326">
        <f ca="1">26809.273664484*((RANDBETWEEN(2979,3282)))</f>
        <v>83966645.117163748</v>
      </c>
      <c r="B13326">
        <v>157223453.76936322</v>
      </c>
    </row>
    <row r="13327" spans="1:2" x14ac:dyDescent="0.25">
      <c r="A13327">
        <f ca="1">26588.7517573567*((RANDBETWEEN(2979,3282)))</f>
        <v>87024984.501828343</v>
      </c>
      <c r="B13327">
        <v>161358421.32560113</v>
      </c>
    </row>
    <row r="13328" spans="1:2" x14ac:dyDescent="0.25">
      <c r="A13328">
        <f ca="1">26740.8085898999*((RANDBETWEEN(2979,3282)))</f>
        <v>85704291.530629069</v>
      </c>
      <c r="B13328">
        <v>181748535.09821832</v>
      </c>
    </row>
    <row r="13329" spans="1:2" x14ac:dyDescent="0.25">
      <c r="A13329">
        <f ca="1">30081.4677232101*((RANDBETWEEN(2979,3282)))</f>
        <v>92530594.716594249</v>
      </c>
      <c r="B13329">
        <v>200913601.37782687</v>
      </c>
    </row>
    <row r="13330" spans="1:2" x14ac:dyDescent="0.25">
      <c r="A13330">
        <f ca="1">29690.0963327928*((RANDBETWEEN(2979,3282)))</f>
        <v>93286282.677635267</v>
      </c>
      <c r="B13330">
        <v>185251835.96735093</v>
      </c>
    </row>
    <row r="13331" spans="1:2" x14ac:dyDescent="0.25">
      <c r="A13331">
        <f ca="1">24874.9803574472*((RANDBETWEEN(2979,3282)))</f>
        <v>76689564.442009777</v>
      </c>
      <c r="B13331">
        <v>165735963.05110416</v>
      </c>
    </row>
    <row r="13332" spans="1:2" x14ac:dyDescent="0.25">
      <c r="A13332">
        <f ca="1">26788.1331689103*((RANDBETWEEN(2979,3282)))</f>
        <v>85159475.343965948</v>
      </c>
      <c r="B13332">
        <v>147847539.58284721</v>
      </c>
    </row>
    <row r="13333" spans="1:2" x14ac:dyDescent="0.25">
      <c r="A13333">
        <f ca="1">25917.6362103282*((RANDBETWEEN(2979,3282)))</f>
        <v>79307966.803604439</v>
      </c>
      <c r="B13333">
        <v>173498601.80791208</v>
      </c>
    </row>
    <row r="13334" spans="1:2" x14ac:dyDescent="0.25">
      <c r="A13334">
        <f ca="1">28891.9207600137*((RANDBETWEEN(2979,3282)))</f>
        <v>90085008.929722786</v>
      </c>
      <c r="B13334">
        <v>147541166.86223921</v>
      </c>
    </row>
    <row r="13335" spans="1:2" x14ac:dyDescent="0.25">
      <c r="A13335">
        <f ca="1">25995.3940715975*((RANDBETWEEN(2979,3282)))</f>
        <v>79727873.617589638</v>
      </c>
      <c r="B13335">
        <v>152697240.53977272</v>
      </c>
    </row>
    <row r="13336" spans="1:2" x14ac:dyDescent="0.25">
      <c r="A13336">
        <f ca="1">26882.2507780113*((RANDBETWEEN(2979,3282)))</f>
        <v>84383385.192177445</v>
      </c>
      <c r="B13336">
        <v>153816225.36668551</v>
      </c>
    </row>
    <row r="13337" spans="1:2" x14ac:dyDescent="0.25">
      <c r="A13337">
        <f ca="1">27431.051708906*((RANDBETWEEN(2979,3282)))</f>
        <v>83006362.471149638</v>
      </c>
      <c r="B13337">
        <v>153267887.66966864</v>
      </c>
    </row>
    <row r="13338" spans="1:2" x14ac:dyDescent="0.25">
      <c r="A13338">
        <f ca="1">29463.767090677*((RANDBETWEEN(2979,3282)))</f>
        <v>93547460.512899578</v>
      </c>
      <c r="B13338">
        <v>150622619.33771163</v>
      </c>
    </row>
    <row r="13339" spans="1:2" x14ac:dyDescent="0.25">
      <c r="A13339">
        <f ca="1">25806.5404490569*((RANDBETWEEN(2979,3282)))</f>
        <v>80258340.796567038</v>
      </c>
      <c r="B13339">
        <v>143909813.09614992</v>
      </c>
    </row>
    <row r="13340" spans="1:2" x14ac:dyDescent="0.25">
      <c r="A13340">
        <f ca="1">27429.6388891829*((RANDBETWEEN(2979,3282)))</f>
        <v>88817170.723174289</v>
      </c>
      <c r="B13340">
        <v>155040054.16819334</v>
      </c>
    </row>
    <row r="13341" spans="1:2" x14ac:dyDescent="0.25">
      <c r="A13341">
        <f ca="1">26320.7623539631*((RANDBETWEEN(2979,3282)))</f>
        <v>80278325.179587364</v>
      </c>
      <c r="B13341">
        <v>163259912.07697502</v>
      </c>
    </row>
    <row r="13342" spans="1:2" x14ac:dyDescent="0.25">
      <c r="A13342">
        <f ca="1">30281.1174705204*((RANDBETWEEN(2979,3282)))</f>
        <v>96051704.616490692</v>
      </c>
      <c r="B13342">
        <v>199771230.47577608</v>
      </c>
    </row>
    <row r="13343" spans="1:2" x14ac:dyDescent="0.25">
      <c r="A13343">
        <f ca="1">27237.0898642285*((RANDBETWEEN(2979,3282)))</f>
        <v>87730666.452680141</v>
      </c>
      <c r="B13343">
        <v>145977656.96815884</v>
      </c>
    </row>
    <row r="13344" spans="1:2" x14ac:dyDescent="0.25">
      <c r="A13344">
        <f ca="1">27527.18526599*((RANDBETWEEN(2979,3282)))</f>
        <v>86517943.29100664</v>
      </c>
      <c r="B13344">
        <v>155397215.95526671</v>
      </c>
    </row>
    <row r="13345" spans="1:2" x14ac:dyDescent="0.25">
      <c r="A13345">
        <f ca="1">29673.3991954854*((RANDBETWEEN(2979,3282)))</f>
        <v>91512763.118876874</v>
      </c>
      <c r="B13345">
        <v>202112916.26367387</v>
      </c>
    </row>
    <row r="13346" spans="1:2" x14ac:dyDescent="0.25">
      <c r="A13346">
        <f ca="1">27162.5908901522*((RANDBETWEEN(2979,3282)))</f>
        <v>87409217.484509885</v>
      </c>
      <c r="B13346">
        <v>203189447.10626313</v>
      </c>
    </row>
    <row r="13347" spans="1:2" x14ac:dyDescent="0.25">
      <c r="A13347">
        <f ca="1">26170.7411663028*((RANDBETWEEN(2979,3282)))</f>
        <v>83772542.473335207</v>
      </c>
      <c r="B13347">
        <v>146414793.0281437</v>
      </c>
    </row>
    <row r="13348" spans="1:2" x14ac:dyDescent="0.25">
      <c r="A13348">
        <f ca="1">30785.5698521962*((RANDBETWEEN(2979,3282)))</f>
        <v>97220829.593235746</v>
      </c>
      <c r="B13348">
        <v>189724059.68147069</v>
      </c>
    </row>
    <row r="13349" spans="1:2" x14ac:dyDescent="0.25">
      <c r="A13349">
        <f ca="1">28423.4379077129*((RANDBETWEEN(2979,3282)))</f>
        <v>86549368.428985745</v>
      </c>
      <c r="B13349">
        <v>187318264.76629987</v>
      </c>
    </row>
    <row r="13350" spans="1:2" x14ac:dyDescent="0.25">
      <c r="A13350">
        <f ca="1">27785.5249152496*((RANDBETWEEN(2979,3282)))</f>
        <v>86607481.160832942</v>
      </c>
      <c r="B13350">
        <v>179618420.54829559</v>
      </c>
    </row>
    <row r="13351" spans="1:2" x14ac:dyDescent="0.25">
      <c r="A13351">
        <f ca="1">26411.9631310921*((RANDBETWEEN(2979,3282)))</f>
        <v>82141205.337696388</v>
      </c>
      <c r="B13351">
        <v>151958977.06612012</v>
      </c>
    </row>
    <row r="13352" spans="1:2" x14ac:dyDescent="0.25">
      <c r="A13352">
        <f ca="1">34025.3196403269*((RANDBETWEEN(2979,3282)))</f>
        <v>108642845.61156373</v>
      </c>
      <c r="B13352">
        <v>203445036.67825884</v>
      </c>
    </row>
    <row r="13353" spans="1:2" x14ac:dyDescent="0.25">
      <c r="A13353">
        <f ca="1">27829.4925210949*((RANDBETWEEN(2979,3282)))</f>
        <v>84935611.174381524</v>
      </c>
      <c r="B13353">
        <v>145318024.29931605</v>
      </c>
    </row>
    <row r="13354" spans="1:2" x14ac:dyDescent="0.25">
      <c r="A13354">
        <f ca="1">29529.5642713132*((RANDBETWEEN(2979,3282)))</f>
        <v>93106716.147450432</v>
      </c>
      <c r="B13354">
        <v>152396402.50464115</v>
      </c>
    </row>
    <row r="13355" spans="1:2" x14ac:dyDescent="0.25">
      <c r="A13355">
        <f ca="1">31572.4723599772*((RANDBETWEEN(2979,3282)))</f>
        <v>99516432.878648266</v>
      </c>
      <c r="B13355">
        <v>166360810.33508605</v>
      </c>
    </row>
    <row r="13356" spans="1:2" x14ac:dyDescent="0.25">
      <c r="A13356">
        <f ca="1">32369.666206816*((RANDBETWEEN(2979,3282)))</f>
        <v>96461605.296311602</v>
      </c>
      <c r="B13356">
        <v>156610472.78015879</v>
      </c>
    </row>
    <row r="13357" spans="1:2" x14ac:dyDescent="0.25">
      <c r="A13357">
        <f ca="1">28353.3094683882*((RANDBETWEEN(2979,3282)))</f>
        <v>90532117.132563546</v>
      </c>
      <c r="B13357">
        <v>203221132.42762101</v>
      </c>
    </row>
    <row r="13358" spans="1:2" x14ac:dyDescent="0.25">
      <c r="A13358">
        <f ca="1">25378.9898189116*((RANDBETWEEN(2979,3282)))</f>
        <v>79461617.12301226</v>
      </c>
      <c r="B13358">
        <v>153905561.53612822</v>
      </c>
    </row>
    <row r="13359" spans="1:2" x14ac:dyDescent="0.25">
      <c r="A13359">
        <f ca="1">27471.0430092186*((RANDBETWEEN(2979,3282)))</f>
        <v>87275503.640287638</v>
      </c>
      <c r="B13359">
        <v>179347788.66867822</v>
      </c>
    </row>
    <row r="13360" spans="1:2" x14ac:dyDescent="0.25">
      <c r="A13360">
        <f ca="1">26124.6701368375*((RANDBETWEEN(2979,3282)))</f>
        <v>79288373.865301773</v>
      </c>
      <c r="B13360">
        <v>156416329.65180001</v>
      </c>
    </row>
    <row r="13361" spans="1:2" x14ac:dyDescent="0.25">
      <c r="A13361">
        <f ca="1">29819.5453574353*((RANDBETWEEN(2979,3282)))</f>
        <v>96525868.322017923</v>
      </c>
      <c r="B13361">
        <v>185897949.91676116</v>
      </c>
    </row>
    <row r="13362" spans="1:2" x14ac:dyDescent="0.25">
      <c r="A13362">
        <f ca="1">27852.5668403154*((RANDBETWEEN(2979,3282)))</f>
        <v>84031194.157231614</v>
      </c>
      <c r="B13362">
        <v>146020889.12674028</v>
      </c>
    </row>
    <row r="13363" spans="1:2" x14ac:dyDescent="0.25">
      <c r="A13363">
        <f ca="1">29769.8144395186*((RANDBETWEEN(2979,3282)))</f>
        <v>96722127.113995805</v>
      </c>
      <c r="B13363">
        <v>148619902.69642407</v>
      </c>
    </row>
    <row r="13364" spans="1:2" x14ac:dyDescent="0.25">
      <c r="A13364">
        <f ca="1">29689.1665999235*((RANDBETWEEN(2979,3282)))</f>
        <v>89987863.964368209</v>
      </c>
      <c r="B13364">
        <v>203366185.28311637</v>
      </c>
    </row>
    <row r="13365" spans="1:2" x14ac:dyDescent="0.25">
      <c r="A13365">
        <f ca="1">27408.5468642104*((RANDBETWEEN(2979,3282)))</f>
        <v>85048720.919644833</v>
      </c>
      <c r="B13365">
        <v>149550729.59573287</v>
      </c>
    </row>
    <row r="13366" spans="1:2" x14ac:dyDescent="0.25">
      <c r="A13366">
        <f ca="1">32311.4320466517*((RANDBETWEEN(2979,3282)))</f>
        <v>104721351.2631982</v>
      </c>
      <c r="B13366">
        <v>155582455.39619011</v>
      </c>
    </row>
    <row r="13367" spans="1:2" x14ac:dyDescent="0.25">
      <c r="A13367">
        <f ca="1">27192.9062477138*((RANDBETWEEN(2979,3282)))</f>
        <v>82639242.086802363</v>
      </c>
      <c r="B13367">
        <v>143602561.3334834</v>
      </c>
    </row>
    <row r="13368" spans="1:2" x14ac:dyDescent="0.25">
      <c r="A13368">
        <f ca="1">28291.2149148333*((RANDBETWEEN(2979,3282)))</f>
        <v>89881189.784425527</v>
      </c>
      <c r="B13368">
        <v>155724968.07857597</v>
      </c>
    </row>
    <row r="13369" spans="1:2" x14ac:dyDescent="0.25">
      <c r="A13369">
        <f ca="1">28810.2804813302*((RANDBETWEEN(2979,3282)))</f>
        <v>91904794.735443294</v>
      </c>
      <c r="B13369">
        <v>152460558.27974778</v>
      </c>
    </row>
    <row r="13370" spans="1:2" x14ac:dyDescent="0.25">
      <c r="A13370">
        <f ca="1">28796.0763906848*((RANDBETWEEN(2979,3282)))</f>
        <v>94508722.714227438</v>
      </c>
      <c r="B13370">
        <v>174537497.78597707</v>
      </c>
    </row>
    <row r="13371" spans="1:2" x14ac:dyDescent="0.25">
      <c r="A13371">
        <f ca="1">26723.0290772657*((RANDBETWEEN(2979,3282)))</f>
        <v>80917332.045960575</v>
      </c>
      <c r="B13371">
        <v>149218611.20565739</v>
      </c>
    </row>
    <row r="13372" spans="1:2" x14ac:dyDescent="0.25">
      <c r="A13372">
        <f ca="1">29290.1024707659*((RANDBETWEEN(2979,3282)))</f>
        <v>89129781.818540499</v>
      </c>
      <c r="B13372">
        <v>153723997.97423357</v>
      </c>
    </row>
    <row r="13373" spans="1:2" x14ac:dyDescent="0.25">
      <c r="A13373">
        <f ca="1">31152.124920708*((RANDBETWEEN(2979,3282)))</f>
        <v>101992056.99039812</v>
      </c>
      <c r="B13373">
        <v>145905270.12267527</v>
      </c>
    </row>
    <row r="13374" spans="1:2" x14ac:dyDescent="0.25">
      <c r="A13374">
        <f ca="1">25808.3111248201*((RANDBETWEEN(2979,3282)))</f>
        <v>79412173.331071451</v>
      </c>
      <c r="B13374">
        <v>181700216.52881768</v>
      </c>
    </row>
    <row r="13375" spans="1:2" x14ac:dyDescent="0.25">
      <c r="A13375">
        <f ca="1">31220.0028999984*((RANDBETWEEN(2979,3282)))</f>
        <v>101589889.43659467</v>
      </c>
      <c r="B13375">
        <v>198785628.77450711</v>
      </c>
    </row>
    <row r="13376" spans="1:2" x14ac:dyDescent="0.25">
      <c r="A13376">
        <f ca="1">27213.099791289*((RANDBETWEEN(2979,3282)))</f>
        <v>87707820.627324492</v>
      </c>
      <c r="B13376">
        <v>183266719.4418737</v>
      </c>
    </row>
    <row r="13377" spans="1:2" x14ac:dyDescent="0.25">
      <c r="A13377">
        <f ca="1">27333.9903191647*((RANDBETWEEN(2979,3282)))</f>
        <v>86949423.205262855</v>
      </c>
      <c r="B13377">
        <v>180569124.96193692</v>
      </c>
    </row>
    <row r="13378" spans="1:2" x14ac:dyDescent="0.25">
      <c r="A13378">
        <f ca="1">31461.010865776*((RANDBETWEEN(2979,3282)))</f>
        <v>95578551.010227501</v>
      </c>
      <c r="B13378">
        <v>192211775.4667021</v>
      </c>
    </row>
    <row r="13379" spans="1:2" x14ac:dyDescent="0.25">
      <c r="A13379">
        <f ca="1">25716.2015122119*((RANDBETWEEN(2979,3282)))</f>
        <v>81391777.786150739</v>
      </c>
      <c r="B13379">
        <v>155257102.23070025</v>
      </c>
    </row>
    <row r="13380" spans="1:2" x14ac:dyDescent="0.25">
      <c r="A13380">
        <f ca="1">30692.6147567791*((RANDBETWEEN(2979,3282)))</f>
        <v>93551089.778662637</v>
      </c>
      <c r="B13380">
        <v>177641905.26205254</v>
      </c>
    </row>
    <row r="13381" spans="1:2" x14ac:dyDescent="0.25">
      <c r="A13381">
        <f ca="1">25787.3126440608*((RANDBETWEEN(2979,3282)))</f>
        <v>81694206.456384718</v>
      </c>
      <c r="B13381">
        <v>144360038.33732569</v>
      </c>
    </row>
    <row r="13382" spans="1:2" x14ac:dyDescent="0.25">
      <c r="A13382">
        <f ca="1">28875.0624111548*((RANDBETWEEN(2979,3282)))</f>
        <v>93353076.775263399</v>
      </c>
      <c r="B13382">
        <v>160599387.4699415</v>
      </c>
    </row>
    <row r="13383" spans="1:2" x14ac:dyDescent="0.25">
      <c r="A13383">
        <f ca="1">26817.7926762788*((RANDBETWEEN(2979,3282)))</f>
        <v>84529682.515630916</v>
      </c>
      <c r="B13383">
        <v>181333341.10367203</v>
      </c>
    </row>
    <row r="13384" spans="1:2" x14ac:dyDescent="0.25">
      <c r="A13384">
        <f ca="1">27705.9951682615*((RANDBETWEEN(2979,3282)))</f>
        <v>90875664.151897639</v>
      </c>
      <c r="B13384">
        <v>146628487.04352343</v>
      </c>
    </row>
    <row r="13385" spans="1:2" x14ac:dyDescent="0.25">
      <c r="A13385">
        <f ca="1">26960.4726436561*((RANDBETWEEN(2979,3282)))</f>
        <v>82364243.926369518</v>
      </c>
      <c r="B13385">
        <v>162124152.54806003</v>
      </c>
    </row>
    <row r="13386" spans="1:2" x14ac:dyDescent="0.25">
      <c r="A13386">
        <f ca="1">27931.9368392306*((RANDBETWEEN(2979,3282)))</f>
        <v>83656150.833495572</v>
      </c>
      <c r="B13386">
        <v>170601432.98902136</v>
      </c>
    </row>
    <row r="13387" spans="1:2" x14ac:dyDescent="0.25">
      <c r="A13387">
        <f ca="1">29441.0026151166*((RANDBETWEEN(2979,3282)))</f>
        <v>90737170.059789225</v>
      </c>
      <c r="B13387">
        <v>178718490.05887055</v>
      </c>
    </row>
    <row r="13388" spans="1:2" x14ac:dyDescent="0.25">
      <c r="A13388">
        <f ca="1">32566.266748325*((RANDBETWEEN(2979,3282)))</f>
        <v>99685342.516622856</v>
      </c>
      <c r="B13388">
        <v>156269938.05735928</v>
      </c>
    </row>
    <row r="13389" spans="1:2" x14ac:dyDescent="0.25">
      <c r="A13389">
        <f ca="1">29996.7073199102*((RANDBETWEEN(2979,3282)))</f>
        <v>97789265.86290729</v>
      </c>
      <c r="B13389">
        <v>167667658.73698395</v>
      </c>
    </row>
    <row r="13390" spans="1:2" x14ac:dyDescent="0.25">
      <c r="A13390">
        <f ca="1">27621.2392688804*((RANDBETWEEN(2979,3282)))</f>
        <v>85708705.451335907</v>
      </c>
      <c r="B13390">
        <v>150944549.1070385</v>
      </c>
    </row>
    <row r="13391" spans="1:2" x14ac:dyDescent="0.25">
      <c r="A13391">
        <f ca="1">28176.3876303474*((RANDBETWEEN(2979,3282)))</f>
        <v>84670044.829193845</v>
      </c>
      <c r="B13391">
        <v>165078871.38372034</v>
      </c>
    </row>
    <row r="13392" spans="1:2" x14ac:dyDescent="0.25">
      <c r="A13392">
        <f ca="1">29055.6896403177*((RANDBETWEEN(2979,3282)))</f>
        <v>87254235.989874184</v>
      </c>
      <c r="B13392">
        <v>191297342.00073025</v>
      </c>
    </row>
    <row r="13393" spans="1:2" x14ac:dyDescent="0.25">
      <c r="A13393">
        <f ca="1">27355.3723198753*((RANDBETWEEN(2979,3282)))</f>
        <v>88850249.294955015</v>
      </c>
      <c r="B13393">
        <v>174035830.77524981</v>
      </c>
    </row>
    <row r="13394" spans="1:2" x14ac:dyDescent="0.25">
      <c r="A13394">
        <f ca="1">24715.806252264*((RANDBETWEEN(2979,3282)))</f>
        <v>75556219.713170916</v>
      </c>
      <c r="B13394">
        <v>146844847.30547586</v>
      </c>
    </row>
    <row r="13395" spans="1:2" x14ac:dyDescent="0.25">
      <c r="A13395">
        <f ca="1">30071.8370170682*((RANDBETWEEN(2979,3282)))</f>
        <v>92049893.109245747</v>
      </c>
      <c r="B13395">
        <v>157727290.38348418</v>
      </c>
    </row>
    <row r="13396" spans="1:2" x14ac:dyDescent="0.25">
      <c r="A13396">
        <f ca="1">27701.5373775584*((RANDBETWEEN(2979,3282)))</f>
        <v>89808384.178044438</v>
      </c>
      <c r="B13396">
        <v>166249198.03185287</v>
      </c>
    </row>
    <row r="13397" spans="1:2" x14ac:dyDescent="0.25">
      <c r="A13397">
        <f ca="1">26908.131968632*((RANDBETWEEN(2979,3282)))</f>
        <v>84599166.909378916</v>
      </c>
      <c r="B13397">
        <v>149598082.37872469</v>
      </c>
    </row>
    <row r="13398" spans="1:2" x14ac:dyDescent="0.25">
      <c r="A13398">
        <f ca="1">29123.3493621205*((RANDBETWEEN(2979,3282)))</f>
        <v>91563810.394506991</v>
      </c>
      <c r="B13398">
        <v>170102363.95819855</v>
      </c>
    </row>
    <row r="13399" spans="1:2" x14ac:dyDescent="0.25">
      <c r="A13399">
        <f ca="1">27049.9379817587*((RANDBETWEEN(2979,3282)))</f>
        <v>80987514.317385554</v>
      </c>
      <c r="B13399">
        <v>149991065.06646374</v>
      </c>
    </row>
    <row r="13400" spans="1:2" x14ac:dyDescent="0.25">
      <c r="A13400">
        <f ca="1">29980.0054676157*((RANDBETWEEN(2979,3282)))</f>
        <v>91708836.725436568</v>
      </c>
      <c r="B13400">
        <v>186552379.54303947</v>
      </c>
    </row>
    <row r="13401" spans="1:2" x14ac:dyDescent="0.25">
      <c r="A13401">
        <f ca="1">26856.7711636892*((RANDBETWEEN(2979,3282)))</f>
        <v>83578271.861400768</v>
      </c>
      <c r="B13401">
        <v>156410848.86026698</v>
      </c>
    </row>
    <row r="13402" spans="1:2" x14ac:dyDescent="0.25">
      <c r="A13402">
        <f ca="1">27724.8729683225*((RANDBETWEEN(2979,3282)))</f>
        <v>85475783.361338124</v>
      </c>
      <c r="B13402">
        <v>191641991.9634333</v>
      </c>
    </row>
    <row r="13403" spans="1:2" x14ac:dyDescent="0.25">
      <c r="A13403">
        <f ca="1">30459.4251976*((RANDBETWEEN(2979,3282)))</f>
        <v>93144922.254260778</v>
      </c>
      <c r="B13403">
        <v>201906740.5246793</v>
      </c>
    </row>
    <row r="13404" spans="1:2" x14ac:dyDescent="0.25">
      <c r="A13404">
        <f ca="1">28404.7906117443*((RANDBETWEEN(2979,3282)))</f>
        <v>84759895.185444936</v>
      </c>
      <c r="B13404">
        <v>158476391.65357572</v>
      </c>
    </row>
    <row r="13405" spans="1:2" x14ac:dyDescent="0.25">
      <c r="A13405">
        <f ca="1">26544.3203822972*((RANDBETWEEN(2979,3282)))</f>
        <v>82924456.874296367</v>
      </c>
      <c r="B13405">
        <v>156839732.51172644</v>
      </c>
    </row>
    <row r="13406" spans="1:2" x14ac:dyDescent="0.25">
      <c r="A13406">
        <f ca="1">30557.7798915515*((RANDBETWEEN(2979,3282)))</f>
        <v>91917801.913786963</v>
      </c>
      <c r="B13406">
        <v>154500930.63310918</v>
      </c>
    </row>
    <row r="13407" spans="1:2" x14ac:dyDescent="0.25">
      <c r="A13407">
        <f ca="1">27289.5874860438*((RANDBETWEEN(2979,3282)))</f>
        <v>87954340.467519239</v>
      </c>
      <c r="B13407">
        <v>159424768.64766479</v>
      </c>
    </row>
    <row r="13408" spans="1:2" x14ac:dyDescent="0.25">
      <c r="A13408">
        <f ca="1">26141.0010691089*((RANDBETWEEN(2979,3282)))</f>
        <v>82291871.365554735</v>
      </c>
      <c r="B13408">
        <v>154478909.0497421</v>
      </c>
    </row>
    <row r="13409" spans="1:2" x14ac:dyDescent="0.25">
      <c r="A13409">
        <f ca="1">26548.9536384394*((RANDBETWEEN(2979,3282)))</f>
        <v>81186700.226347774</v>
      </c>
      <c r="B13409">
        <v>198520563.80949545</v>
      </c>
    </row>
    <row r="13410" spans="1:2" x14ac:dyDescent="0.25">
      <c r="A13410">
        <f ca="1">26743.6271882898*((RANDBETWEEN(2979,3282)))</f>
        <v>86060992.291916534</v>
      </c>
      <c r="B13410">
        <v>172738257.34053969</v>
      </c>
    </row>
    <row r="13411" spans="1:2" x14ac:dyDescent="0.25">
      <c r="A13411">
        <f ca="1">26903.5838122536*((RANDBETWEEN(2979,3282)))</f>
        <v>84288928.083790392</v>
      </c>
      <c r="B13411">
        <v>163431836.80110425</v>
      </c>
    </row>
    <row r="13412" spans="1:2" x14ac:dyDescent="0.25">
      <c r="A13412">
        <f ca="1">26367.3289127999*((RANDBETWEEN(2979,3282)))</f>
        <v>80393985.855126739</v>
      </c>
      <c r="B13412">
        <v>154676715.98590034</v>
      </c>
    </row>
    <row r="13413" spans="1:2" x14ac:dyDescent="0.25">
      <c r="A13413">
        <f ca="1">27036.6148539456*((RANDBETWEEN(2979,3282)))</f>
        <v>82380565.459972218</v>
      </c>
      <c r="B13413">
        <v>157533985.79621768</v>
      </c>
    </row>
    <row r="13414" spans="1:2" x14ac:dyDescent="0.25">
      <c r="A13414">
        <f ca="1">25231.4202785274*((RANDBETWEEN(2979,3282)))</f>
        <v>82809521.35412699</v>
      </c>
      <c r="B13414">
        <v>157431775.87278748</v>
      </c>
    </row>
    <row r="13415" spans="1:2" x14ac:dyDescent="0.25">
      <c r="A13415">
        <f ca="1">29262.7600773298*((RANDBETWEEN(2979,3282)))</f>
        <v>94928393.690857992</v>
      </c>
      <c r="B13415">
        <v>189666737.27588612</v>
      </c>
    </row>
    <row r="13416" spans="1:2" x14ac:dyDescent="0.25">
      <c r="A13416">
        <f ca="1">25517.8814290435*((RANDBETWEEN(2979,3282)))</f>
        <v>82039988.794374749</v>
      </c>
      <c r="B13416">
        <v>159715708.51626578</v>
      </c>
    </row>
    <row r="13417" spans="1:2" x14ac:dyDescent="0.25">
      <c r="A13417">
        <f ca="1">27995.9125519281*((RANDBETWEEN(2979,3282)))</f>
        <v>84855610.944894195</v>
      </c>
      <c r="B13417">
        <v>189214399.18609309</v>
      </c>
    </row>
    <row r="13418" spans="1:2" x14ac:dyDescent="0.25">
      <c r="A13418">
        <f ca="1">27701.4452900314*((RANDBETWEEN(2979,3282)))</f>
        <v>89281758.169771343</v>
      </c>
      <c r="B13418">
        <v>161636891.80925491</v>
      </c>
    </row>
    <row r="13419" spans="1:2" x14ac:dyDescent="0.25">
      <c r="A13419">
        <f ca="1">27621.7928856431*((RANDBETWEEN(2979,3282)))</f>
        <v>85102743.880666241</v>
      </c>
      <c r="B13419">
        <v>185660412.89515665</v>
      </c>
    </row>
    <row r="13420" spans="1:2" x14ac:dyDescent="0.25">
      <c r="A13420">
        <f ca="1">30427.7244250346*((RANDBETWEEN(2979,3282)))</f>
        <v>93321830.811581239</v>
      </c>
      <c r="B13420">
        <v>159531257.02977896</v>
      </c>
    </row>
    <row r="13421" spans="1:2" x14ac:dyDescent="0.25">
      <c r="A13421">
        <f ca="1">29731.0833258929*((RANDBETWEEN(2979,3282)))</f>
        <v>93206946.226674303</v>
      </c>
      <c r="B13421">
        <v>159868676.22000778</v>
      </c>
    </row>
    <row r="13422" spans="1:2" x14ac:dyDescent="0.25">
      <c r="A13422">
        <f ca="1">26319.2974876393*((RANDBETWEEN(2979,3282)))</f>
        <v>79510597.710158348</v>
      </c>
      <c r="B13422">
        <v>150739644.51379552</v>
      </c>
    </row>
    <row r="13423" spans="1:2" x14ac:dyDescent="0.25">
      <c r="A13423">
        <f ca="1">25783.7425779969*((RANDBETWEEN(2979,3282)))</f>
        <v>78253658.724220619</v>
      </c>
      <c r="B13423">
        <v>154599041.28232172</v>
      </c>
    </row>
    <row r="13424" spans="1:2" x14ac:dyDescent="0.25">
      <c r="A13424">
        <f ca="1">27724.4289770562*((RANDBETWEEN(2979,3282)))</f>
        <v>88690448.297602773</v>
      </c>
      <c r="B13424">
        <v>173704984.55575433</v>
      </c>
    </row>
    <row r="13425" spans="1:2" x14ac:dyDescent="0.25">
      <c r="A13425">
        <f ca="1">26098.2844268074*((RANDBETWEEN(2979,3282)))</f>
        <v>80591502.309981301</v>
      </c>
      <c r="B13425">
        <v>169513872.02045682</v>
      </c>
    </row>
    <row r="13426" spans="1:2" x14ac:dyDescent="0.25">
      <c r="A13426">
        <f ca="1">27195.0168128976*((RANDBETWEEN(2979,3282)))</f>
        <v>82754436.161647543</v>
      </c>
      <c r="B13426">
        <v>156809372.03733298</v>
      </c>
    </row>
    <row r="13427" spans="1:2" x14ac:dyDescent="0.25">
      <c r="A13427">
        <f ca="1">26770.4136882384*((RANDBETWEEN(2979,3282)))</f>
        <v>85531471.733921662</v>
      </c>
      <c r="B13427">
        <v>170637213.11875951</v>
      </c>
    </row>
    <row r="13428" spans="1:2" x14ac:dyDescent="0.25">
      <c r="A13428">
        <f ca="1">27905.2230405147*((RANDBETWEEN(2979,3282)))</f>
        <v>91445415.903766736</v>
      </c>
      <c r="B13428">
        <v>187037628.01719576</v>
      </c>
    </row>
    <row r="13429" spans="1:2" x14ac:dyDescent="0.25">
      <c r="A13429">
        <f ca="1">30415.0889026715*((RANDBETWEEN(2979,3282)))</f>
        <v>97206624.132938147</v>
      </c>
      <c r="B13429">
        <v>152849476.75457206</v>
      </c>
    </row>
    <row r="13430" spans="1:2" x14ac:dyDescent="0.25">
      <c r="A13430">
        <f ca="1">25372.6376840147*((RANDBETWEEN(2979,3282)))</f>
        <v>77538780.762349024</v>
      </c>
      <c r="B13430">
        <v>162930947.38117686</v>
      </c>
    </row>
    <row r="13431" spans="1:2" x14ac:dyDescent="0.25">
      <c r="A13431">
        <f ca="1">27483.8418299907*((RANDBETWEEN(2979,3282)))</f>
        <v>89734743.574919552</v>
      </c>
      <c r="B13431">
        <v>165220707.00034755</v>
      </c>
    </row>
    <row r="13432" spans="1:2" x14ac:dyDescent="0.25">
      <c r="A13432">
        <f ca="1">26854.6531530708*((RANDBETWEEN(2979,3282)))</f>
        <v>84108773.675417781</v>
      </c>
      <c r="B13432">
        <v>154482382.07780519</v>
      </c>
    </row>
    <row r="13433" spans="1:2" x14ac:dyDescent="0.25">
      <c r="A13433">
        <f ca="1">33802.7509588361*((RANDBETWEEN(2979,3282)))</f>
        <v>109960348.86909389</v>
      </c>
      <c r="B13433">
        <v>201135490.3651616</v>
      </c>
    </row>
    <row r="13434" spans="1:2" x14ac:dyDescent="0.25">
      <c r="A13434">
        <f ca="1">26800.8112374635*((RANDBETWEEN(2979,3282)))</f>
        <v>82814506.723762169</v>
      </c>
      <c r="B13434">
        <v>148470241.83667102</v>
      </c>
    </row>
    <row r="13435" spans="1:2" x14ac:dyDescent="0.25">
      <c r="A13435">
        <f ca="1">26634.7409453044*((RANDBETWEEN(2979,3282)))</f>
        <v>84485398.278505415</v>
      </c>
      <c r="B13435">
        <v>176574645.55295712</v>
      </c>
    </row>
    <row r="13436" spans="1:2" x14ac:dyDescent="0.25">
      <c r="A13436">
        <f ca="1">28474.5658522324*((RANDBETWEEN(2979,3282)))</f>
        <v>86306409.098116547</v>
      </c>
      <c r="B13436">
        <v>198114424.37026933</v>
      </c>
    </row>
    <row r="13437" spans="1:2" x14ac:dyDescent="0.25">
      <c r="A13437">
        <f ca="1">27406.1559698773*((RANDBETWEEN(2979,3282)))</f>
        <v>89672942.333438441</v>
      </c>
      <c r="B13437">
        <v>203307724.59306186</v>
      </c>
    </row>
    <row r="13438" spans="1:2" x14ac:dyDescent="0.25">
      <c r="A13438">
        <f ca="1">27971.1504636066*((RANDBETWEEN(2979,3282)))</f>
        <v>86654624.136253148</v>
      </c>
      <c r="B13438">
        <v>179801284.25315028</v>
      </c>
    </row>
    <row r="13439" spans="1:2" x14ac:dyDescent="0.25">
      <c r="A13439">
        <f ca="1">28187.2315796063*((RANDBETWEEN(2979,3282)))</f>
        <v>85548247.844105065</v>
      </c>
      <c r="B13439">
        <v>172928494.63626021</v>
      </c>
    </row>
    <row r="13440" spans="1:2" x14ac:dyDescent="0.25">
      <c r="A13440">
        <f ca="1">31330.9669893621*((RANDBETWEEN(2979,3282)))</f>
        <v>97595962.17186299</v>
      </c>
      <c r="B13440">
        <v>188091972.18780887</v>
      </c>
    </row>
    <row r="13441" spans="1:2" x14ac:dyDescent="0.25">
      <c r="A13441">
        <f ca="1">27746.4000560835*((RANDBETWEEN(2979,3282)))</f>
        <v>85542151.372905582</v>
      </c>
      <c r="B13441">
        <v>150119136.87838611</v>
      </c>
    </row>
    <row r="13442" spans="1:2" x14ac:dyDescent="0.25">
      <c r="A13442">
        <f ca="1">31263.1379117838*((RANDBETWEEN(2979,3282)))</f>
        <v>96321727.906205982</v>
      </c>
      <c r="B13442">
        <v>145000320.70198122</v>
      </c>
    </row>
    <row r="13443" spans="1:2" x14ac:dyDescent="0.25">
      <c r="A13443">
        <f ca="1">29281.2374349609*((RANDBETWEEN(2979,3282)))</f>
        <v>95046896.713883132</v>
      </c>
      <c r="B13443">
        <v>170873636.86488208</v>
      </c>
    </row>
    <row r="13444" spans="1:2" x14ac:dyDescent="0.25">
      <c r="A13444">
        <f ca="1">27192.4916819056*((RANDBETWEEN(2979,3282)))</f>
        <v>83290602.021676958</v>
      </c>
      <c r="B13444">
        <v>156806232.75542286</v>
      </c>
    </row>
    <row r="13445" spans="1:2" x14ac:dyDescent="0.25">
      <c r="A13445">
        <f ca="1">31464.0895346722*((RANDBETWEEN(2979,3282)))</f>
        <v>100716550.60048562</v>
      </c>
      <c r="B13445">
        <v>193661957.14268672</v>
      </c>
    </row>
    <row r="13446" spans="1:2" x14ac:dyDescent="0.25">
      <c r="A13446">
        <f ca="1">27001.1553516607*((RANDBETWEEN(2979,3282)))</f>
        <v>83055553.861708194</v>
      </c>
      <c r="B13446">
        <v>171407397.98591852</v>
      </c>
    </row>
    <row r="13447" spans="1:2" x14ac:dyDescent="0.25">
      <c r="A13447">
        <f ca="1">28616.3920710712*((RANDBETWEEN(2979,3282)))</f>
        <v>91629687.411569968</v>
      </c>
      <c r="B13447">
        <v>193407309.45327151</v>
      </c>
    </row>
    <row r="13448" spans="1:2" x14ac:dyDescent="0.25">
      <c r="A13448">
        <f ca="1">30624.9252114318*((RANDBETWEEN(2979,3282)))</f>
        <v>91629776.232603833</v>
      </c>
      <c r="B13448">
        <v>162337058.41388166</v>
      </c>
    </row>
    <row r="13449" spans="1:2" x14ac:dyDescent="0.25">
      <c r="A13449">
        <f ca="1">27399.1861821255*((RANDBETWEEN(2979,3282)))</f>
        <v>88691165.671540335</v>
      </c>
      <c r="B13449">
        <v>186331240.46826676</v>
      </c>
    </row>
    <row r="13450" spans="1:2" x14ac:dyDescent="0.25">
      <c r="A13450">
        <f ca="1">25347.6440748945*((RANDBETWEEN(2979,3282)))</f>
        <v>82050323.870433629</v>
      </c>
      <c r="B13450">
        <v>143490004.54051644</v>
      </c>
    </row>
    <row r="13451" spans="1:2" x14ac:dyDescent="0.25">
      <c r="A13451">
        <f ca="1">32081.3623028744*((RANDBETWEEN(2979,3282)))</f>
        <v>105002298.81730784</v>
      </c>
      <c r="B13451">
        <v>168100484.19438618</v>
      </c>
    </row>
    <row r="13452" spans="1:2" x14ac:dyDescent="0.25">
      <c r="A13452">
        <f ca="1">27517.7193511718*((RANDBETWEEN(2979,3282)))</f>
        <v>83956561.74042502</v>
      </c>
      <c r="B13452">
        <v>193401314.68442166</v>
      </c>
    </row>
    <row r="13453" spans="1:2" x14ac:dyDescent="0.25">
      <c r="A13453">
        <f ca="1">26788.9154217129*((RANDBETWEEN(2979,3282)))</f>
        <v>83608205.031166077</v>
      </c>
      <c r="B13453">
        <v>171724831.88771206</v>
      </c>
    </row>
    <row r="13454" spans="1:2" x14ac:dyDescent="0.25">
      <c r="A13454">
        <f ca="1">26295.5081196693*((RANDBETWEEN(2979,3282)))</f>
        <v>78728751.3102898</v>
      </c>
      <c r="B13454">
        <v>198915740.84074426</v>
      </c>
    </row>
    <row r="13455" spans="1:2" x14ac:dyDescent="0.25">
      <c r="A13455">
        <f ca="1">27267.0871881898*((RANDBETWEEN(2979,3282)))</f>
        <v>88808902.971934035</v>
      </c>
      <c r="B13455">
        <v>152867383.22142237</v>
      </c>
    </row>
    <row r="13456" spans="1:2" x14ac:dyDescent="0.25">
      <c r="A13456">
        <f ca="1">30263.5280808003*((RANDBETWEEN(2979,3282)))</f>
        <v>92061652.4217944</v>
      </c>
      <c r="B13456">
        <v>196349070.33361486</v>
      </c>
    </row>
    <row r="13457" spans="1:2" x14ac:dyDescent="0.25">
      <c r="A13457">
        <f ca="1">26510.3562405963*((RANDBETWEEN(2979,3282)))</f>
        <v>80273358.696525753</v>
      </c>
      <c r="B13457">
        <v>168906169.21955055</v>
      </c>
    </row>
    <row r="13458" spans="1:2" x14ac:dyDescent="0.25">
      <c r="A13458">
        <f ca="1">26350.9612203279*((RANDBETWEEN(2979,3282)))</f>
        <v>85772378.772167414</v>
      </c>
      <c r="B13458">
        <v>172988331.90611017</v>
      </c>
    </row>
    <row r="13459" spans="1:2" x14ac:dyDescent="0.25">
      <c r="A13459">
        <f ca="1">27288.5411874788*((RANDBETWEEN(2979,3282)))</f>
        <v>89260818.224243298</v>
      </c>
      <c r="B13459">
        <v>183908167.36727124</v>
      </c>
    </row>
    <row r="13460" spans="1:2" x14ac:dyDescent="0.25">
      <c r="A13460">
        <f ca="1">29419.8662484781*((RANDBETWEEN(2979,3282)))</f>
        <v>91819402.561500117</v>
      </c>
      <c r="B13460">
        <v>187945285.50520945</v>
      </c>
    </row>
    <row r="13461" spans="1:2" x14ac:dyDescent="0.25">
      <c r="A13461">
        <f ca="1">27848.320685722*((RANDBETWEEN(2979,3282)))</f>
        <v>88334873.215110049</v>
      </c>
      <c r="B13461">
        <v>162381052.09018874</v>
      </c>
    </row>
    <row r="13462" spans="1:2" x14ac:dyDescent="0.25">
      <c r="A13462">
        <f ca="1">28994.492553244*((RANDBETWEEN(2979,3282)))</f>
        <v>87505378.525690302</v>
      </c>
      <c r="B13462">
        <v>186343396.84225622</v>
      </c>
    </row>
    <row r="13463" spans="1:2" x14ac:dyDescent="0.25">
      <c r="A13463">
        <f ca="1">27415.9383426449*((RANDBETWEEN(2979,3282)))</f>
        <v>83865355.390150815</v>
      </c>
      <c r="B13463">
        <v>147000142.70572653</v>
      </c>
    </row>
    <row r="13464" spans="1:2" x14ac:dyDescent="0.25">
      <c r="A13464">
        <f ca="1">33905.4751356529*((RANDBETWEEN(2979,3282)))</f>
        <v>106361475.50054304</v>
      </c>
      <c r="B13464">
        <v>149592910.48301512</v>
      </c>
    </row>
    <row r="13465" spans="1:2" x14ac:dyDescent="0.25">
      <c r="A13465">
        <f ca="1">29070.1121345861*((RANDBETWEEN(2979,3282)))</f>
        <v>88721982.234756857</v>
      </c>
      <c r="B13465">
        <v>158567377.09488535</v>
      </c>
    </row>
    <row r="13466" spans="1:2" x14ac:dyDescent="0.25">
      <c r="A13466">
        <f ca="1">26170.6030884459*((RANDBETWEEN(2979,3282)))</f>
        <v>85865748.733191073</v>
      </c>
      <c r="B13466">
        <v>148253610.00240657</v>
      </c>
    </row>
    <row r="13467" spans="1:2" x14ac:dyDescent="0.25">
      <c r="A13467">
        <f ca="1">27808.0003557978*((RANDBETWEEN(2979,3282)))</f>
        <v>84035777.075220823</v>
      </c>
      <c r="B13467">
        <v>160465469.62688357</v>
      </c>
    </row>
    <row r="13468" spans="1:2" x14ac:dyDescent="0.25">
      <c r="A13468">
        <f ca="1">26272.0933525828*((RANDBETWEEN(2979,3282)))</f>
        <v>80234973.09878774</v>
      </c>
      <c r="B13468">
        <v>174037574.70459202</v>
      </c>
    </row>
    <row r="13469" spans="1:2" x14ac:dyDescent="0.25">
      <c r="A13469">
        <f ca="1">29162.5609908104*((RANDBETWEEN(2979,3282)))</f>
        <v>94078421.756354421</v>
      </c>
      <c r="B13469">
        <v>164735817.3271628</v>
      </c>
    </row>
    <row r="13470" spans="1:2" x14ac:dyDescent="0.25">
      <c r="A13470">
        <f ca="1">26866.9858165088*((RANDBETWEEN(2979,3282)))</f>
        <v>80466622.520443872</v>
      </c>
      <c r="B13470">
        <v>149881576.12552571</v>
      </c>
    </row>
    <row r="13471" spans="1:2" x14ac:dyDescent="0.25">
      <c r="A13471">
        <f ca="1">29211.176845866*((RANDBETWEEN(2979,3282)))</f>
        <v>87662741.714443982</v>
      </c>
      <c r="B13471">
        <v>191529883.77106076</v>
      </c>
    </row>
    <row r="13472" spans="1:2" x14ac:dyDescent="0.25">
      <c r="A13472">
        <f ca="1">26441.9301059213*((RANDBETWEEN(2979,3282)))</f>
        <v>86755972.677527696</v>
      </c>
      <c r="B13472">
        <v>170963098.36103678</v>
      </c>
    </row>
    <row r="13473" spans="1:2" x14ac:dyDescent="0.25">
      <c r="A13473">
        <f ca="1">28301.911379684*((RANDBETWEEN(2979,3282)))</f>
        <v>85273658.986987904</v>
      </c>
      <c r="B13473">
        <v>170819037.08985206</v>
      </c>
    </row>
    <row r="13474" spans="1:2" x14ac:dyDescent="0.25">
      <c r="A13474">
        <f ca="1">29455.7263238499*((RANDBETWEEN(2979,3282)))</f>
        <v>95819477.731483683</v>
      </c>
      <c r="B13474">
        <v>168222261.78289789</v>
      </c>
    </row>
    <row r="13475" spans="1:2" x14ac:dyDescent="0.25">
      <c r="A13475">
        <f ca="1">25582.322260753*((RANDBETWEEN(2979,3282)))</f>
        <v>81044796.922065645</v>
      </c>
      <c r="B13475">
        <v>190506561.82493353</v>
      </c>
    </row>
    <row r="13476" spans="1:2" x14ac:dyDescent="0.25">
      <c r="A13476">
        <f ca="1">26935.0974604324*((RANDBETWEEN(2979,3282)))</f>
        <v>82583008.813685611</v>
      </c>
      <c r="B13476">
        <v>184091191.65362158</v>
      </c>
    </row>
    <row r="13477" spans="1:2" x14ac:dyDescent="0.25">
      <c r="A13477">
        <f ca="1">28975.4071480441*((RANDBETWEEN(2979,3282)))</f>
        <v>89939663.787528783</v>
      </c>
      <c r="B13477">
        <v>154378659.34351927</v>
      </c>
    </row>
    <row r="13478" spans="1:2" x14ac:dyDescent="0.25">
      <c r="A13478">
        <f ca="1">27136.0782299651*((RANDBETWEEN(2979,3282)))</f>
        <v>81272554.298745602</v>
      </c>
      <c r="B13478">
        <v>177126346.46517864</v>
      </c>
    </row>
    <row r="13479" spans="1:2" x14ac:dyDescent="0.25">
      <c r="A13479">
        <f ca="1">29816.5314546586*((RANDBETWEEN(2979,3282)))</f>
        <v>89837209.272886261</v>
      </c>
      <c r="B13479">
        <v>200571821.48353729</v>
      </c>
    </row>
    <row r="13480" spans="1:2" x14ac:dyDescent="0.25">
      <c r="A13480">
        <f ca="1">31484.7040421509*((RANDBETWEEN(2979,3282)))</f>
        <v>100625114.11871435</v>
      </c>
      <c r="B13480">
        <v>174737932.21980029</v>
      </c>
    </row>
    <row r="13481" spans="1:2" x14ac:dyDescent="0.25">
      <c r="A13481">
        <f ca="1">24441.6232661423*((RANDBETWEEN(2979,3282)))</f>
        <v>74229209.859274223</v>
      </c>
      <c r="B13481">
        <v>143460473.65088686</v>
      </c>
    </row>
    <row r="13482" spans="1:2" x14ac:dyDescent="0.25">
      <c r="A13482">
        <f ca="1">26130.6028457529*((RANDBETWEEN(2979,3282)))</f>
        <v>82677227.403962329</v>
      </c>
      <c r="B13482">
        <v>166153814.18117991</v>
      </c>
    </row>
    <row r="13483" spans="1:2" x14ac:dyDescent="0.25">
      <c r="A13483">
        <f ca="1">32009.1164389627*((RANDBETWEEN(2979,3282)))</f>
        <v>99612370.358051986</v>
      </c>
      <c r="B13483">
        <v>199855499.2882072</v>
      </c>
    </row>
    <row r="13484" spans="1:2" x14ac:dyDescent="0.25">
      <c r="A13484">
        <f ca="1">28131.9926655491*((RANDBETWEEN(2979,3282)))</f>
        <v>87209177.263202205</v>
      </c>
      <c r="B13484">
        <v>166176227.06826976</v>
      </c>
    </row>
    <row r="13485" spans="1:2" x14ac:dyDescent="0.25">
      <c r="A13485">
        <f ca="1">24266.0306710439*((RANDBETWEEN(2979,3282)))</f>
        <v>77408637.84062992</v>
      </c>
      <c r="B13485">
        <v>201620151.03364038</v>
      </c>
    </row>
    <row r="13486" spans="1:2" x14ac:dyDescent="0.25">
      <c r="A13486">
        <f ca="1">27234.7349097542*((RANDBETWEEN(2979,3282)))</f>
        <v>87804785.349047527</v>
      </c>
      <c r="B13486">
        <v>171662211.22374305</v>
      </c>
    </row>
    <row r="13487" spans="1:2" x14ac:dyDescent="0.25">
      <c r="A13487">
        <f ca="1">26443.3246950944*((RANDBETWEEN(2979,3282)))</f>
        <v>80070387.176745847</v>
      </c>
      <c r="B13487">
        <v>154960490.67907703</v>
      </c>
    </row>
    <row r="13488" spans="1:2" x14ac:dyDescent="0.25">
      <c r="A13488">
        <f ca="1">26077.6694020916*((RANDBETWEEN(2979,3282)))</f>
        <v>80684309.130071372</v>
      </c>
      <c r="B13488">
        <v>161133329.14717489</v>
      </c>
    </row>
    <row r="13489" spans="1:2" x14ac:dyDescent="0.25">
      <c r="A13489">
        <f ca="1">31486.302643139*((RANDBETWEEN(2979,3282)))</f>
        <v>96222140.877432749</v>
      </c>
      <c r="B13489">
        <v>190561881.00266677</v>
      </c>
    </row>
    <row r="13490" spans="1:2" x14ac:dyDescent="0.25">
      <c r="A13490">
        <f ca="1">27330.4943072956*((RANDBETWEEN(2979,3282)))</f>
        <v>83603982.086017326</v>
      </c>
      <c r="B13490">
        <v>157762119.58163792</v>
      </c>
    </row>
    <row r="13491" spans="1:2" x14ac:dyDescent="0.25">
      <c r="A13491">
        <f ca="1">26890.1928629486*((RANDBETWEEN(2979,3282)))</f>
        <v>88065381.626156539</v>
      </c>
      <c r="B13491">
        <v>155070288.33960032</v>
      </c>
    </row>
    <row r="13492" spans="1:2" x14ac:dyDescent="0.25">
      <c r="A13492">
        <f ca="1">25782.2649875386*((RANDBETWEEN(2979,3282)))</f>
        <v>81832909.070447579</v>
      </c>
      <c r="B13492">
        <v>154856363.10733554</v>
      </c>
    </row>
    <row r="13493" spans="1:2" x14ac:dyDescent="0.25">
      <c r="A13493">
        <f ca="1">28699.0366057294*((RANDBETWEEN(2979,3282)))</f>
        <v>89569693.246481374</v>
      </c>
      <c r="B13493">
        <v>157660301.15750062</v>
      </c>
    </row>
    <row r="13494" spans="1:2" x14ac:dyDescent="0.25">
      <c r="A13494">
        <f ca="1">30385.5386394541*((RANDBETWEEN(2979,3282)))</f>
        <v>94255940.859586507</v>
      </c>
      <c r="B13494">
        <v>148360169.65159646</v>
      </c>
    </row>
    <row r="13495" spans="1:2" x14ac:dyDescent="0.25">
      <c r="A13495">
        <f ca="1">33607.4486932535*((RANDBETWEEN(2979,3282)))</f>
        <v>103578156.87260742</v>
      </c>
      <c r="B13495">
        <v>181202359.52480972</v>
      </c>
    </row>
    <row r="13496" spans="1:2" x14ac:dyDescent="0.25">
      <c r="A13496">
        <f ca="1">28765.575024956*((RANDBETWEEN(2979,3282)))</f>
        <v>89230813.727413431</v>
      </c>
      <c r="B13496">
        <v>176753741.08241034</v>
      </c>
    </row>
    <row r="13497" spans="1:2" x14ac:dyDescent="0.25">
      <c r="A13497">
        <f ca="1">28713.4172956137*((RANDBETWEEN(2979,3282)))</f>
        <v>85996684.800363019</v>
      </c>
      <c r="B13497">
        <v>154910227.00513935</v>
      </c>
    </row>
    <row r="13498" spans="1:2" x14ac:dyDescent="0.25">
      <c r="A13498">
        <f ca="1">29561.7356117746*((RANDBETWEEN(2979,3282)))</f>
        <v>94745362.635737449</v>
      </c>
      <c r="B13498">
        <v>184970186.3446281</v>
      </c>
    </row>
    <row r="13499" spans="1:2" x14ac:dyDescent="0.25">
      <c r="A13499">
        <f ca="1">29509.6222632554*((RANDBETWEEN(2979,3282)))</f>
        <v>88204260.944870397</v>
      </c>
      <c r="B13499">
        <v>156715050.48484594</v>
      </c>
    </row>
    <row r="13500" spans="1:2" x14ac:dyDescent="0.25">
      <c r="A13500">
        <f ca="1">28526.0376637308*((RANDBETWEEN(2979,3282)))</f>
        <v>86747680.535405368</v>
      </c>
      <c r="B13500">
        <v>155221437.16499782</v>
      </c>
    </row>
    <row r="13501" spans="1:2" x14ac:dyDescent="0.25">
      <c r="A13501">
        <f ca="1">26368.5725914985*((RANDBETWEEN(2979,3282)))</f>
        <v>81452520.735138774</v>
      </c>
      <c r="B13501">
        <v>174636474.81313589</v>
      </c>
    </row>
    <row r="13502" spans="1:2" x14ac:dyDescent="0.25">
      <c r="A13502">
        <f ca="1">29585.0582602639*((RANDBETWEEN(2979,3282)))</f>
        <v>89258120.771216258</v>
      </c>
      <c r="B13502">
        <v>156171357.32706895</v>
      </c>
    </row>
    <row r="13503" spans="1:2" x14ac:dyDescent="0.25">
      <c r="A13503">
        <f ca="1">26085.7521067184*((RANDBETWEEN(2979,3282)))</f>
        <v>79848487.198665142</v>
      </c>
      <c r="B13503">
        <v>159944979.55959296</v>
      </c>
    </row>
    <row r="13504" spans="1:2" x14ac:dyDescent="0.25">
      <c r="A13504">
        <f ca="1">26562.1695618798*((RANDBETWEEN(2979,3282)))</f>
        <v>87150478.332527742</v>
      </c>
      <c r="B13504">
        <v>164511457.72421005</v>
      </c>
    </row>
    <row r="13505" spans="1:2" x14ac:dyDescent="0.25">
      <c r="A13505">
        <f ca="1">26620.3036533146*((RANDBETWEEN(2979,3282)))</f>
        <v>86436125.962312579</v>
      </c>
      <c r="B13505">
        <v>161051858.09526369</v>
      </c>
    </row>
    <row r="13506" spans="1:2" x14ac:dyDescent="0.25">
      <c r="A13506">
        <f ca="1">30011.3324250023*((RANDBETWEEN(2979,3282)))</f>
        <v>90964348.580182046</v>
      </c>
      <c r="B13506">
        <v>195028701.75711113</v>
      </c>
    </row>
    <row r="13507" spans="1:2" x14ac:dyDescent="0.25">
      <c r="A13507">
        <f ca="1">25778.0972133192*((RANDBETWEEN(2979,3282)))</f>
        <v>77592072.612090692</v>
      </c>
      <c r="B13507">
        <v>161615860.29380861</v>
      </c>
    </row>
    <row r="13508" spans="1:2" x14ac:dyDescent="0.25">
      <c r="A13508">
        <f ca="1">27684.770881933*((RANDBETWEEN(2979,3282)))</f>
        <v>88342103.884248093</v>
      </c>
      <c r="B13508">
        <v>181165324.16905522</v>
      </c>
    </row>
    <row r="13509" spans="1:2" x14ac:dyDescent="0.25">
      <c r="A13509">
        <f ca="1">26540.226444171*((RANDBETWEEN(2979,3282)))</f>
        <v>84291759.186686963</v>
      </c>
      <c r="B13509">
        <v>201926134.57103902</v>
      </c>
    </row>
    <row r="13510" spans="1:2" x14ac:dyDescent="0.25">
      <c r="A13510">
        <f ca="1">26435.5102563122*((RANDBETWEEN(2979,3282)))</f>
        <v>84329277.717635915</v>
      </c>
      <c r="B13510">
        <v>148976781.88043797</v>
      </c>
    </row>
    <row r="13511" spans="1:2" x14ac:dyDescent="0.25">
      <c r="A13511">
        <f ca="1">28085.3268485566*((RANDBETWEEN(2979,3282)))</f>
        <v>87457707.806405321</v>
      </c>
      <c r="B13511">
        <v>186137172.13536584</v>
      </c>
    </row>
    <row r="13512" spans="1:2" x14ac:dyDescent="0.25">
      <c r="A13512">
        <f ca="1">28264.0711550869*((RANDBETWEEN(2979,3282)))</f>
        <v>84339988.326779172</v>
      </c>
      <c r="B13512">
        <v>184164969.36144304</v>
      </c>
    </row>
    <row r="13513" spans="1:2" x14ac:dyDescent="0.25">
      <c r="A13513">
        <f ca="1">27442.0238628681*((RANDBETWEEN(2979,3282)))</f>
        <v>88747505.172515452</v>
      </c>
      <c r="B13513">
        <v>187919516.68259791</v>
      </c>
    </row>
    <row r="13514" spans="1:2" x14ac:dyDescent="0.25">
      <c r="A13514">
        <f ca="1">30398.3861788509*((RANDBETWEEN(2979,3282)))</f>
        <v>99706706.666631073</v>
      </c>
      <c r="B13514">
        <v>190963860.09355548</v>
      </c>
    </row>
    <row r="13515" spans="1:2" x14ac:dyDescent="0.25">
      <c r="A13515">
        <f ca="1">25746.2814891523*((RANDBETWEEN(2979,3282)))</f>
        <v>77238844.467456773</v>
      </c>
      <c r="B13515">
        <v>178191518.43564358</v>
      </c>
    </row>
    <row r="13516" spans="1:2" x14ac:dyDescent="0.25">
      <c r="A13516">
        <f ca="1">27084.2035613957*((RANDBETWEEN(2979,3282)))</f>
        <v>85856925.289624229</v>
      </c>
      <c r="B13516">
        <v>167320605.33994651</v>
      </c>
    </row>
    <row r="13517" spans="1:2" x14ac:dyDescent="0.25">
      <c r="A13517">
        <f ca="1">27028.5843692558*((RANDBETWEEN(2979,3282)))</f>
        <v>85572498.113063768</v>
      </c>
      <c r="B13517">
        <v>161333681.52431583</v>
      </c>
    </row>
    <row r="13518" spans="1:2" x14ac:dyDescent="0.25">
      <c r="A13518">
        <f ca="1">27134.436795028*((RANDBETWEEN(2979,3282)))</f>
        <v>85473475.90433833</v>
      </c>
      <c r="B13518">
        <v>158577510.94809562</v>
      </c>
    </row>
    <row r="13519" spans="1:2" x14ac:dyDescent="0.25">
      <c r="A13519">
        <f ca="1">28713.1316760902*((RANDBETWEEN(2979,3282)))</f>
        <v>86282960.686650947</v>
      </c>
      <c r="B13519">
        <v>164861883.85819376</v>
      </c>
    </row>
    <row r="13520" spans="1:2" x14ac:dyDescent="0.25">
      <c r="A13520">
        <f ca="1">32497.4692564876*((RANDBETWEEN(2979,3282)))</f>
        <v>106559201.69202287</v>
      </c>
      <c r="B13520">
        <v>142908222.50180095</v>
      </c>
    </row>
    <row r="13521" spans="1:2" x14ac:dyDescent="0.25">
      <c r="A13521">
        <f ca="1">27284.5779781198*((RANDBETWEEN(2979,3282)))</f>
        <v>85864566.897142872</v>
      </c>
      <c r="B13521">
        <v>154085194.07214379</v>
      </c>
    </row>
    <row r="13522" spans="1:2" x14ac:dyDescent="0.25">
      <c r="A13522">
        <f ca="1">26925.9018704934*((RANDBETWEEN(2979,3282)))</f>
        <v>88290032.233347967</v>
      </c>
      <c r="B13522">
        <v>153180013.39306697</v>
      </c>
    </row>
    <row r="13523" spans="1:2" x14ac:dyDescent="0.25">
      <c r="A13523">
        <f ca="1">29624.9966315215*((RANDBETWEEN(2979,3282)))</f>
        <v>94799989.220868871</v>
      </c>
      <c r="B13523">
        <v>154894224.17762172</v>
      </c>
    </row>
    <row r="13524" spans="1:2" x14ac:dyDescent="0.25">
      <c r="A13524">
        <f ca="1">25946.4186736252*((RANDBETWEEN(2979,3282)))</f>
        <v>83780985.897135675</v>
      </c>
      <c r="B13524">
        <v>151989171.03643608</v>
      </c>
    </row>
    <row r="13525" spans="1:2" x14ac:dyDescent="0.25">
      <c r="A13525">
        <f ca="1">32107.3533825475*((RANDBETWEEN(2979,3282)))</f>
        <v>101170270.50840703</v>
      </c>
      <c r="B13525">
        <v>158703443.02365717</v>
      </c>
    </row>
    <row r="13526" spans="1:2" x14ac:dyDescent="0.25">
      <c r="A13526">
        <f ca="1">27049.7842304654*((RANDBETWEEN(2979,3282)))</f>
        <v>81419850.533700719</v>
      </c>
      <c r="B13526">
        <v>163885212.0461044</v>
      </c>
    </row>
    <row r="13527" spans="1:2" x14ac:dyDescent="0.25">
      <c r="A13527">
        <f ca="1">25491.095944997*((RANDBETWEEN(2979,3282)))</f>
        <v>80271461.130795449</v>
      </c>
      <c r="B13527">
        <v>167237891.8780022</v>
      </c>
    </row>
    <row r="13528" spans="1:2" x14ac:dyDescent="0.25">
      <c r="A13528">
        <f ca="1">25573.3941640957*((RANDBETWEEN(2979,3282)))</f>
        <v>78919494.390399441</v>
      </c>
      <c r="B13528">
        <v>172908652.09694546</v>
      </c>
    </row>
    <row r="13529" spans="1:2" x14ac:dyDescent="0.25">
      <c r="A13529">
        <f ca="1">27352.5163736724*((RANDBETWEEN(2979,3282)))</f>
        <v>84984268.373000026</v>
      </c>
      <c r="B13529">
        <v>149348031.34722617</v>
      </c>
    </row>
    <row r="13530" spans="1:2" x14ac:dyDescent="0.25">
      <c r="A13530">
        <f ca="1">26281.6798196414*((RANDBETWEEN(2979,3282)))</f>
        <v>85757121.251489937</v>
      </c>
      <c r="B13530">
        <v>145083696.19945621</v>
      </c>
    </row>
    <row r="13531" spans="1:2" x14ac:dyDescent="0.25">
      <c r="A13531">
        <f ca="1">26010.8198344985*((RANDBETWEEN(2979,3282)))</f>
        <v>83260634.290229589</v>
      </c>
      <c r="B13531">
        <v>155633094.15809309</v>
      </c>
    </row>
    <row r="13532" spans="1:2" x14ac:dyDescent="0.25">
      <c r="A13532">
        <f ca="1">28113.695745126*((RANDBETWEEN(2979,3282)))</f>
        <v>84790906.367300093</v>
      </c>
      <c r="B13532">
        <v>149807906.62729266</v>
      </c>
    </row>
    <row r="13533" spans="1:2" x14ac:dyDescent="0.25">
      <c r="A13533">
        <f ca="1">26938.6086431019*((RANDBETWEEN(2979,3282)))</f>
        <v>84263967.835622817</v>
      </c>
      <c r="B13533">
        <v>148092968.299335</v>
      </c>
    </row>
    <row r="13534" spans="1:2" x14ac:dyDescent="0.25">
      <c r="A13534">
        <f ca="1">29367.5826261796*((RANDBETWEEN(2979,3282)))</f>
        <v>92684090.768222749</v>
      </c>
      <c r="B13534">
        <v>192176025.64744881</v>
      </c>
    </row>
    <row r="13535" spans="1:2" x14ac:dyDescent="0.25">
      <c r="A13535">
        <f ca="1">26642.9070221609*((RANDBETWEEN(2979,3282)))</f>
        <v>80941151.533324689</v>
      </c>
      <c r="B13535">
        <v>161215447.1199789</v>
      </c>
    </row>
    <row r="13536" spans="1:2" x14ac:dyDescent="0.25">
      <c r="A13536">
        <f ca="1">27135.1216007538*((RANDBETWEEN(2979,3282)))</f>
        <v>84525903.786348164</v>
      </c>
      <c r="B13536">
        <v>143334707.88680053</v>
      </c>
    </row>
    <row r="13537" spans="1:2" x14ac:dyDescent="0.25">
      <c r="A13537">
        <f ca="1">26166.8952678185*((RANDBETWEEN(2979,3282)))</f>
        <v>83210726.951662719</v>
      </c>
      <c r="B13537">
        <v>143750852.89190707</v>
      </c>
    </row>
    <row r="13538" spans="1:2" x14ac:dyDescent="0.25">
      <c r="A13538">
        <f ca="1">29723.1324495232*((RANDBETWEEN(2979,3282)))</f>
        <v>89228843.613468751</v>
      </c>
      <c r="B13538">
        <v>146352721.28288445</v>
      </c>
    </row>
    <row r="13539" spans="1:2" x14ac:dyDescent="0.25">
      <c r="A13539">
        <f ca="1">26945.0022567413*((RANDBETWEEN(2979,3282)))</f>
        <v>82316981.894344538</v>
      </c>
      <c r="B13539">
        <v>157384382.71970204</v>
      </c>
    </row>
    <row r="13540" spans="1:2" x14ac:dyDescent="0.25">
      <c r="A13540">
        <f ca="1">30888.9755255394*((RANDBETWEEN(2979,3282)))</f>
        <v>100512726.3601052</v>
      </c>
      <c r="B13540">
        <v>193674684.38988337</v>
      </c>
    </row>
    <row r="13541" spans="1:2" x14ac:dyDescent="0.25">
      <c r="A13541">
        <f ca="1">28065.1006393354*((RANDBETWEEN(2979,3282)))</f>
        <v>84868864.333350137</v>
      </c>
      <c r="B13541">
        <v>144765187.09902745</v>
      </c>
    </row>
    <row r="13542" spans="1:2" x14ac:dyDescent="0.25">
      <c r="A13542">
        <f ca="1">34925.3236192377*((RANDBETWEEN(2979,3282)))</f>
        <v>113018347.23185311</v>
      </c>
      <c r="B13542">
        <v>196634188.59123778</v>
      </c>
    </row>
    <row r="13543" spans="1:2" x14ac:dyDescent="0.25">
      <c r="A13543">
        <f ca="1">29629.9687206919*((RANDBETWEEN(2979,3282)))</f>
        <v>96771477.841779828</v>
      </c>
      <c r="B13543">
        <v>192761944.25118339</v>
      </c>
    </row>
    <row r="13544" spans="1:2" x14ac:dyDescent="0.25">
      <c r="A13544">
        <f ca="1">27967.2451756619*((RANDBETWEEN(2979,3282)))</f>
        <v>88152756.793686226</v>
      </c>
      <c r="B13544">
        <v>149867761.54306585</v>
      </c>
    </row>
    <row r="13545" spans="1:2" x14ac:dyDescent="0.25">
      <c r="A13545">
        <f ca="1">28387.0969042821*((RANDBETWEEN(2979,3282)))</f>
        <v>85246452.003559142</v>
      </c>
      <c r="B13545">
        <v>176018249.48308769</v>
      </c>
    </row>
    <row r="13546" spans="1:2" x14ac:dyDescent="0.25">
      <c r="A13546">
        <f ca="1">26018.3454230605*((RANDBETWEEN(2979,3282)))</f>
        <v>80292613.975564748</v>
      </c>
      <c r="B13546">
        <v>154623160.62884462</v>
      </c>
    </row>
    <row r="13547" spans="1:2" x14ac:dyDescent="0.25">
      <c r="A13547">
        <f ca="1">29524.5420992037*((RANDBETWEEN(2979,3282)))</f>
        <v>91909899.554821044</v>
      </c>
      <c r="B13547">
        <v>157923243.77763125</v>
      </c>
    </row>
    <row r="13548" spans="1:2" x14ac:dyDescent="0.25">
      <c r="A13548">
        <f ca="1">26952.531930355*((RANDBETWEEN(2979,3282)))</f>
        <v>87973064.220678568</v>
      </c>
      <c r="B13548">
        <v>149977983.72978777</v>
      </c>
    </row>
    <row r="13549" spans="1:2" x14ac:dyDescent="0.25">
      <c r="A13549">
        <f ca="1">28110.2031971809*((RANDBETWEEN(2979,3282)))</f>
        <v>91864144.048387066</v>
      </c>
      <c r="B13549">
        <v>178207994.55413526</v>
      </c>
    </row>
    <row r="13550" spans="1:2" x14ac:dyDescent="0.25">
      <c r="A13550">
        <f ca="1">30261.0804956054*((RANDBETWEEN(2979,3282)))</f>
        <v>97682767.839814141</v>
      </c>
      <c r="B13550">
        <v>179518092.12623635</v>
      </c>
    </row>
    <row r="13551" spans="1:2" x14ac:dyDescent="0.25">
      <c r="A13551">
        <f ca="1">27122.7625895013*((RANDBETWEEN(2979,3282)))</f>
        <v>82697303.135389417</v>
      </c>
      <c r="B13551">
        <v>199566737.72975415</v>
      </c>
    </row>
    <row r="13552" spans="1:2" x14ac:dyDescent="0.25">
      <c r="A13552">
        <f ca="1">26470.5945237787*((RANDBETWEEN(2979,3282)))</f>
        <v>78908842.275384218</v>
      </c>
      <c r="B13552">
        <v>160523068.0217973</v>
      </c>
    </row>
    <row r="13553" spans="1:2" x14ac:dyDescent="0.25">
      <c r="A13553">
        <f ca="1">27711.4697364593*((RANDBETWEEN(2979,3282)))</f>
        <v>89923719.29481028</v>
      </c>
      <c r="B13553">
        <v>144845024.03674826</v>
      </c>
    </row>
    <row r="13554" spans="1:2" x14ac:dyDescent="0.25">
      <c r="A13554">
        <f ca="1">26886.9867601606*((RANDBETWEEN(2979,3282)))</f>
        <v>81709552.764128059</v>
      </c>
      <c r="B13554">
        <v>155380886.36276877</v>
      </c>
    </row>
    <row r="13555" spans="1:2" x14ac:dyDescent="0.25">
      <c r="A13555">
        <f ca="1">26861.1968452109*((RANDBETWEEN(2979,3282)))</f>
        <v>83350293.810689464</v>
      </c>
      <c r="B13555">
        <v>177603712.4622106</v>
      </c>
    </row>
    <row r="13556" spans="1:2" x14ac:dyDescent="0.25">
      <c r="A13556">
        <f ca="1">26460.4701913246*((RANDBETWEEN(2979,3282)))</f>
        <v>85176253.545874044</v>
      </c>
      <c r="B13556">
        <v>157843430.12487233</v>
      </c>
    </row>
    <row r="13557" spans="1:2" x14ac:dyDescent="0.25">
      <c r="A13557">
        <f ca="1">28252.5605858362*((RANDBETWEEN(2979,3282)))</f>
        <v>88091483.906637207</v>
      </c>
      <c r="B13557">
        <v>152720681.72789562</v>
      </c>
    </row>
    <row r="13558" spans="1:2" x14ac:dyDescent="0.25">
      <c r="A13558">
        <f ca="1">27155.9605657744*((RANDBETWEEN(2979,3282)))</f>
        <v>83776138.345414028</v>
      </c>
      <c r="B13558">
        <v>146187824.60612187</v>
      </c>
    </row>
    <row r="13559" spans="1:2" x14ac:dyDescent="0.25">
      <c r="A13559">
        <f ca="1">27772.5133850652*((RANDBETWEEN(2979,3282)))</f>
        <v>85206071.065380096</v>
      </c>
      <c r="B13559">
        <v>163993453.80254516</v>
      </c>
    </row>
    <row r="13560" spans="1:2" x14ac:dyDescent="0.25">
      <c r="A13560">
        <f ca="1">27707.8825348879*((RANDBETWEEN(2979,3282)))</f>
        <v>84315086.55366385</v>
      </c>
      <c r="B13560">
        <v>143285339.41144976</v>
      </c>
    </row>
    <row r="13561" spans="1:2" x14ac:dyDescent="0.25">
      <c r="A13561">
        <f ca="1">26746.0078764906*((RANDBETWEEN(2979,3282)))</f>
        <v>84276670.818821967</v>
      </c>
      <c r="B13561">
        <v>192725636.93942019</v>
      </c>
    </row>
    <row r="13562" spans="1:2" x14ac:dyDescent="0.25">
      <c r="A13562">
        <f ca="1">30011.2540043758*((RANDBETWEEN(2979,3282)))</f>
        <v>94145303.811726883</v>
      </c>
      <c r="B13562">
        <v>200782897.94421327</v>
      </c>
    </row>
    <row r="13563" spans="1:2" x14ac:dyDescent="0.25">
      <c r="A13563">
        <f ca="1">29108.760826481*((RANDBETWEEN(2979,3282)))</f>
        <v>93963079.947880581</v>
      </c>
      <c r="B13563">
        <v>196599822.8791934</v>
      </c>
    </row>
    <row r="13564" spans="1:2" x14ac:dyDescent="0.25">
      <c r="A13564">
        <f ca="1">26064.3186189562*((RANDBETWEEN(2979,3282)))</f>
        <v>84917550.060559452</v>
      </c>
      <c r="B13564">
        <v>144718809.87104523</v>
      </c>
    </row>
    <row r="13565" spans="1:2" x14ac:dyDescent="0.25">
      <c r="A13565">
        <f ca="1">30866.193466559*((RANDBETWEEN(2979,3282)))</f>
        <v>101241114.57031344</v>
      </c>
      <c r="B13565">
        <v>183672722.60973173</v>
      </c>
    </row>
    <row r="13566" spans="1:2" x14ac:dyDescent="0.25">
      <c r="A13566">
        <f ca="1">26544.1485711107*((RANDBETWEEN(2979,3282)))</f>
        <v>85286349.358978719</v>
      </c>
      <c r="B13566">
        <v>169983465.45175353</v>
      </c>
    </row>
    <row r="13567" spans="1:2" x14ac:dyDescent="0.25">
      <c r="A13567">
        <f ca="1">26178.8365037015*((RANDBETWEEN(2979,3282)))</f>
        <v>83562846.119815186</v>
      </c>
      <c r="B13567">
        <v>148360945.63486856</v>
      </c>
    </row>
    <row r="13568" spans="1:2" x14ac:dyDescent="0.25">
      <c r="A13568">
        <f ca="1">24677.2019773496*((RANDBETWEEN(2979,3282)))</f>
        <v>75314820.434871003</v>
      </c>
      <c r="B13568">
        <v>156108211.10786039</v>
      </c>
    </row>
    <row r="13569" spans="1:2" x14ac:dyDescent="0.25">
      <c r="A13569">
        <f ca="1">24750.5653959021*((RANDBETWEEN(2979,3282)))</f>
        <v>76949507.815859482</v>
      </c>
      <c r="B13569">
        <v>153006802.53049421</v>
      </c>
    </row>
    <row r="13570" spans="1:2" x14ac:dyDescent="0.25">
      <c r="A13570">
        <f ca="1">30442.0318885049*((RANDBETWEEN(2979,3282)))</f>
        <v>95374885.906685978</v>
      </c>
      <c r="B13570">
        <v>146051123.6125235</v>
      </c>
    </row>
    <row r="13571" spans="1:2" x14ac:dyDescent="0.25">
      <c r="A13571">
        <f ca="1">28158.6072628574*((RANDBETWEEN(2979,3282)))</f>
        <v>91318363.353446499</v>
      </c>
      <c r="B13571">
        <v>161195661.33683094</v>
      </c>
    </row>
    <row r="13572" spans="1:2" x14ac:dyDescent="0.25">
      <c r="A13572">
        <f ca="1">26951.1580203339*((RANDBETWEEN(2979,3282)))</f>
        <v>81850666.907754198</v>
      </c>
      <c r="B13572">
        <v>172624849.26033267</v>
      </c>
    </row>
    <row r="13573" spans="1:2" x14ac:dyDescent="0.25">
      <c r="A13573">
        <f ca="1">27998.8316184184*((RANDBETWEEN(2979,3282)))</f>
        <v>84864458.635426119</v>
      </c>
      <c r="B13573">
        <v>176291097.41763109</v>
      </c>
    </row>
    <row r="13574" spans="1:2" x14ac:dyDescent="0.25">
      <c r="A13574">
        <f ca="1">25082.4718737516*((RANDBETWEEN(2979,3282)))</f>
        <v>81593281.005313888</v>
      </c>
      <c r="B13574">
        <v>147849891.74305099</v>
      </c>
    </row>
    <row r="13575" spans="1:2" x14ac:dyDescent="0.25">
      <c r="A13575">
        <f ca="1">27920.437442825*((RANDBETWEEN(2979,3282)))</f>
        <v>86357913.010657638</v>
      </c>
      <c r="B13575">
        <v>148213233.31745908</v>
      </c>
    </row>
    <row r="13576" spans="1:2" x14ac:dyDescent="0.25">
      <c r="A13576">
        <f ca="1">27731.9976433396*((RANDBETWEEN(2979,3282)))</f>
        <v>88381876.489323199</v>
      </c>
      <c r="B13576">
        <v>148091509.26310888</v>
      </c>
    </row>
    <row r="13577" spans="1:2" x14ac:dyDescent="0.25">
      <c r="A13577">
        <f ca="1">32721.6810020837*((RANDBETWEEN(2979,3282)))</f>
        <v>105789194.67973669</v>
      </c>
      <c r="B13577">
        <v>172927953.51339108</v>
      </c>
    </row>
    <row r="13578" spans="1:2" x14ac:dyDescent="0.25">
      <c r="A13578">
        <f ca="1">25679.9492313972*((RANDBETWEEN(2979,3282)))</f>
        <v>82715116.474330395</v>
      </c>
      <c r="B13578">
        <v>144933409.10856599</v>
      </c>
    </row>
    <row r="13579" spans="1:2" x14ac:dyDescent="0.25">
      <c r="A13579">
        <f ca="1">29283.3753959671*((RANDBETWEEN(2979,3282)))</f>
        <v>96020187.923376024</v>
      </c>
      <c r="B13579">
        <v>165460005.533032</v>
      </c>
    </row>
    <row r="13580" spans="1:2" x14ac:dyDescent="0.25">
      <c r="A13580">
        <f ca="1">31455.5951892855*((RANDBETWEEN(2979,3282)))</f>
        <v>100311893.05863154</v>
      </c>
      <c r="B13580">
        <v>191747749.66925785</v>
      </c>
    </row>
    <row r="13581" spans="1:2" x14ac:dyDescent="0.25">
      <c r="A13581">
        <f ca="1">28970.6983129942*((RANDBETWEEN(2979,3282)))</f>
        <v>90852109.909549862</v>
      </c>
      <c r="B13581">
        <v>191551129.23845071</v>
      </c>
    </row>
    <row r="13582" spans="1:2" x14ac:dyDescent="0.25">
      <c r="A13582">
        <f ca="1">26062.6912263296*((RANDBETWEEN(2979,3282)))</f>
        <v>78109885.60530974</v>
      </c>
      <c r="B13582">
        <v>155777283.50580311</v>
      </c>
    </row>
    <row r="13583" spans="1:2" x14ac:dyDescent="0.25">
      <c r="A13583">
        <f ca="1">27312.2718563082*((RANDBETWEEN(2979,3282)))</f>
        <v>82483061.00605087</v>
      </c>
      <c r="B13583">
        <v>152798467.40241545</v>
      </c>
    </row>
    <row r="13584" spans="1:2" x14ac:dyDescent="0.25">
      <c r="A13584">
        <f ca="1">29278.1484751218*((RANDBETWEEN(2979,3282)))</f>
        <v>91786995.469506919</v>
      </c>
      <c r="B13584">
        <v>169548649.17103353</v>
      </c>
    </row>
    <row r="13585" spans="1:2" x14ac:dyDescent="0.25">
      <c r="A13585">
        <f ca="1">26024.1718752983*((RANDBETWEEN(2979,3282)))</f>
        <v>78176612.313396037</v>
      </c>
      <c r="B13585">
        <v>155376620.88362235</v>
      </c>
    </row>
    <row r="13586" spans="1:2" x14ac:dyDescent="0.25">
      <c r="A13586">
        <f ca="1">26386.9872011692*((RANDBETWEEN(2979,3282)))</f>
        <v>84200876.158930853</v>
      </c>
      <c r="B13586">
        <v>187729502.94435671</v>
      </c>
    </row>
    <row r="13587" spans="1:2" x14ac:dyDescent="0.25">
      <c r="A13587">
        <f ca="1">29790.6943548191*((RANDBETWEEN(2979,3282)))</f>
        <v>89491245.841876686</v>
      </c>
      <c r="B13587">
        <v>179863700.01167646</v>
      </c>
    </row>
    <row r="13588" spans="1:2" x14ac:dyDescent="0.25">
      <c r="A13588">
        <f ca="1">26385.2417322378*((RANDBETWEEN(2979,3282)))</f>
        <v>83482904.840800524</v>
      </c>
      <c r="B13588">
        <v>159016704.96188468</v>
      </c>
    </row>
    <row r="13589" spans="1:2" x14ac:dyDescent="0.25">
      <c r="A13589">
        <f ca="1">27032.7157636339*((RANDBETWEEN(2979,3282)))</f>
        <v>82990437.394355968</v>
      </c>
      <c r="B13589">
        <v>174390375.18764725</v>
      </c>
    </row>
    <row r="13590" spans="1:2" x14ac:dyDescent="0.25">
      <c r="A13590">
        <f ca="1">27135.283865728*((RANDBETWEEN(2979,3282)))</f>
        <v>82328451.248618662</v>
      </c>
      <c r="B13590">
        <v>190023760.5827494</v>
      </c>
    </row>
    <row r="13591" spans="1:2" x14ac:dyDescent="0.25">
      <c r="A13591">
        <f ca="1">31306.6920687349*((RANDBETWEEN(2979,3282)))</f>
        <v>100494481.54063915</v>
      </c>
      <c r="B13591">
        <v>174058986.95605752</v>
      </c>
    </row>
    <row r="13592" spans="1:2" x14ac:dyDescent="0.25">
      <c r="A13592">
        <f ca="1">29829.5522730361*((RANDBETWEEN(2979,3282)))</f>
        <v>90234395.625934154</v>
      </c>
      <c r="B13592">
        <v>184424821.71170771</v>
      </c>
    </row>
    <row r="13593" spans="1:2" x14ac:dyDescent="0.25">
      <c r="A13593">
        <f ca="1">32540.878474769*((RANDBETWEEN(2979,3282)))</f>
        <v>103837943.212988</v>
      </c>
      <c r="B13593">
        <v>158232599.74870068</v>
      </c>
    </row>
    <row r="13594" spans="1:2" x14ac:dyDescent="0.25">
      <c r="A13594">
        <f ca="1">32062.7883603446*((RANDBETWEEN(2979,3282)))</f>
        <v>98913702.091662943</v>
      </c>
      <c r="B13594">
        <v>151741315.19986296</v>
      </c>
    </row>
    <row r="13595" spans="1:2" x14ac:dyDescent="0.25">
      <c r="A13595">
        <f ca="1">25976.1928685561*((RANDBETWEEN(2979,3282)))</f>
        <v>83591388.651013508</v>
      </c>
      <c r="B13595">
        <v>172289873.23492801</v>
      </c>
    </row>
    <row r="13596" spans="1:2" x14ac:dyDescent="0.25">
      <c r="A13596">
        <f ca="1">27870.1606825912*((RANDBETWEEN(2979,3282)))</f>
        <v>84195755.422108039</v>
      </c>
      <c r="B13596">
        <v>181049984.5618706</v>
      </c>
    </row>
    <row r="13597" spans="1:2" x14ac:dyDescent="0.25">
      <c r="A13597">
        <f ca="1">26985.761545996*((RANDBETWEEN(2979,3282)))</f>
        <v>83898732.646501511</v>
      </c>
      <c r="B13597">
        <v>183617139.67153442</v>
      </c>
    </row>
    <row r="13598" spans="1:2" x14ac:dyDescent="0.25">
      <c r="A13598">
        <f ca="1">28713.5908316246*((RANDBETWEEN(2979,3282)))</f>
        <v>88667568.488056824</v>
      </c>
      <c r="B13598">
        <v>160995885.36498296</v>
      </c>
    </row>
    <row r="13599" spans="1:2" x14ac:dyDescent="0.25">
      <c r="A13599">
        <f ca="1">25890.663687387*((RANDBETWEEN(2979,3282)))</f>
        <v>83937531.67450878</v>
      </c>
      <c r="B13599">
        <v>146507722.72576743</v>
      </c>
    </row>
    <row r="13600" spans="1:2" x14ac:dyDescent="0.25">
      <c r="A13600">
        <f ca="1">25569.3136913034*((RANDBETWEEN(2979,3282)))</f>
        <v>80185367.735927597</v>
      </c>
      <c r="B13600">
        <v>146874334.95859337</v>
      </c>
    </row>
    <row r="13601" spans="1:2" x14ac:dyDescent="0.25">
      <c r="A13601">
        <f ca="1">27258.2128479475*((RANDBETWEEN(2979,3282)))</f>
        <v>81638347.479602888</v>
      </c>
      <c r="B13601">
        <v>167610846.1118896</v>
      </c>
    </row>
    <row r="13602" spans="1:2" x14ac:dyDescent="0.25">
      <c r="A13602">
        <f ca="1">27759.9823827045*((RANDBETWEEN(2979,3282)))</f>
        <v>84307066.496273503</v>
      </c>
      <c r="B13602">
        <v>164361063.49375215</v>
      </c>
    </row>
    <row r="13603" spans="1:2" x14ac:dyDescent="0.25">
      <c r="A13603">
        <f ca="1">26750.1586151226*((RANDBETWEEN(2979,3282)))</f>
        <v>80384226.63844344</v>
      </c>
      <c r="B13603">
        <v>148271006.18720424</v>
      </c>
    </row>
    <row r="13604" spans="1:2" x14ac:dyDescent="0.25">
      <c r="A13604">
        <f ca="1">28287.1022023814*((RANDBETWEEN(2979,3282)))</f>
        <v>84917880.811548948</v>
      </c>
      <c r="B13604">
        <v>176430639.41172802</v>
      </c>
    </row>
    <row r="13605" spans="1:2" x14ac:dyDescent="0.25">
      <c r="A13605">
        <f ca="1">29926.7777991921*((RANDBETWEEN(2979,3282)))</f>
        <v>96304370.95780021</v>
      </c>
      <c r="B13605">
        <v>201069834.67977393</v>
      </c>
    </row>
    <row r="13606" spans="1:2" x14ac:dyDescent="0.25">
      <c r="A13606">
        <f ca="1">28008.3168252972*((RANDBETWEEN(2979,3282)))</f>
        <v>87133873.643499732</v>
      </c>
      <c r="B13606">
        <v>197978686.60689506</v>
      </c>
    </row>
    <row r="13607" spans="1:2" x14ac:dyDescent="0.25">
      <c r="A13607">
        <f ca="1">26848.5481416752*((RANDBETWEEN(2979,3282)))</f>
        <v>81780677.639542773</v>
      </c>
      <c r="B13607">
        <v>143017847.73859629</v>
      </c>
    </row>
    <row r="13608" spans="1:2" x14ac:dyDescent="0.25">
      <c r="A13608">
        <f ca="1">27122.9070216175*((RANDBETWEEN(2979,3282)))</f>
        <v>81151737.808679506</v>
      </c>
      <c r="B13608">
        <v>143790294.51095009</v>
      </c>
    </row>
    <row r="13609" spans="1:2" x14ac:dyDescent="0.25">
      <c r="A13609">
        <f ca="1">26088.7243583223*((RANDBETWEEN(2979,3282)))</f>
        <v>82727344.940239981</v>
      </c>
      <c r="B13609">
        <v>145695133.91336519</v>
      </c>
    </row>
    <row r="13610" spans="1:2" x14ac:dyDescent="0.25">
      <c r="A13610">
        <f ca="1">27553.2327558176*((RANDBETWEEN(2979,3282)))</f>
        <v>87398854.301453322</v>
      </c>
      <c r="B13610">
        <v>186069213.25524735</v>
      </c>
    </row>
    <row r="13611" spans="1:2" x14ac:dyDescent="0.25">
      <c r="A13611">
        <f ca="1">28581.8951333757*((RANDBETWEEN(2979,3282)))</f>
        <v>90004387.7750002</v>
      </c>
      <c r="B13611">
        <v>142979609.25468442</v>
      </c>
    </row>
    <row r="13612" spans="1:2" x14ac:dyDescent="0.25">
      <c r="A13612">
        <f ca="1">27517.5919156542*((RANDBETWEEN(2979,3282)))</f>
        <v>88551610.78457512</v>
      </c>
      <c r="B13612">
        <v>150158794.74330783</v>
      </c>
    </row>
    <row r="13613" spans="1:2" x14ac:dyDescent="0.25">
      <c r="A13613">
        <f ca="1">27389.7221276077*((RANDBETWEEN(2979,3282)))</f>
        <v>89673950.24578765</v>
      </c>
      <c r="B13613">
        <v>157943269.80529702</v>
      </c>
    </row>
    <row r="13614" spans="1:2" x14ac:dyDescent="0.25">
      <c r="A13614">
        <f ca="1">28076.7900196069*((RANDBETWEEN(2979,3282)))</f>
        <v>84398830.798938379</v>
      </c>
      <c r="B13614">
        <v>159315144.69410026</v>
      </c>
    </row>
    <row r="13615" spans="1:2" x14ac:dyDescent="0.25">
      <c r="A13615">
        <f ca="1">30895.2252913816*((RANDBETWEEN(2979,3282)))</f>
        <v>92191352.269482568</v>
      </c>
      <c r="B13615">
        <v>157617707.45308203</v>
      </c>
    </row>
    <row r="13616" spans="1:2" x14ac:dyDescent="0.25">
      <c r="A13616">
        <f ca="1">28191.8515909308*((RANDBETWEEN(2979,3282)))</f>
        <v>90411268.052115098</v>
      </c>
      <c r="B13616">
        <v>155275110.86754727</v>
      </c>
    </row>
    <row r="13617" spans="1:2" x14ac:dyDescent="0.25">
      <c r="A13617">
        <f ca="1">26014.0853134556*((RANDBETWEEN(2979,3282)))</f>
        <v>79290932.035412654</v>
      </c>
      <c r="B13617">
        <v>161566119.05280709</v>
      </c>
    </row>
    <row r="13618" spans="1:2" x14ac:dyDescent="0.25">
      <c r="A13618">
        <f ca="1">29421.9531901334*((RANDBETWEEN(2979,3282)))</f>
        <v>94238516.067997336</v>
      </c>
      <c r="B13618">
        <v>166229423.95670617</v>
      </c>
    </row>
    <row r="13619" spans="1:2" x14ac:dyDescent="0.25">
      <c r="A13619">
        <f ca="1">31346.0501218255*((RANDBETWEEN(2979,3282)))</f>
        <v>97580254.029242769</v>
      </c>
      <c r="B13619">
        <v>187442946.81160587</v>
      </c>
    </row>
    <row r="13620" spans="1:2" x14ac:dyDescent="0.25">
      <c r="A13620">
        <f ca="1">25946.2168664827*((RANDBETWEEN(2979,3282)))</f>
        <v>81886260.430619478</v>
      </c>
      <c r="B13620">
        <v>162930119.35332242</v>
      </c>
    </row>
    <row r="13621" spans="1:2" x14ac:dyDescent="0.25">
      <c r="A13621">
        <f ca="1">29000.9776562991*((RANDBETWEEN(2979,3282)))</f>
        <v>94572188.137191385</v>
      </c>
      <c r="B13621">
        <v>190779933.29926631</v>
      </c>
    </row>
    <row r="13622" spans="1:2" x14ac:dyDescent="0.25">
      <c r="A13622">
        <f ca="1">29588.3232491029*((RANDBETWEEN(2979,3282)))</f>
        <v>92641040.092941284</v>
      </c>
      <c r="B13622">
        <v>173032487.73953998</v>
      </c>
    </row>
    <row r="13623" spans="1:2" x14ac:dyDescent="0.25">
      <c r="A13623">
        <f ca="1">27209.0118177316*((RANDBETWEEN(2979,3282)))</f>
        <v>84293518.611332446</v>
      </c>
      <c r="B13623">
        <v>159578860.48787615</v>
      </c>
    </row>
    <row r="13624" spans="1:2" x14ac:dyDescent="0.25">
      <c r="A13624">
        <f ca="1">26205.9538969896*((RANDBETWEEN(2979,3282)))</f>
        <v>85536233.519774199</v>
      </c>
      <c r="B13624">
        <v>150008580.11716777</v>
      </c>
    </row>
    <row r="13625" spans="1:2" x14ac:dyDescent="0.25">
      <c r="A13625">
        <f ca="1">29286.354152221*((RANDBETWEEN(2979,3282)))</f>
        <v>94594923.911673963</v>
      </c>
      <c r="B13625">
        <v>143823193.28217369</v>
      </c>
    </row>
    <row r="13626" spans="1:2" x14ac:dyDescent="0.25">
      <c r="A13626">
        <f ca="1">27176.3932092333*((RANDBETWEEN(2979,3282)))</f>
        <v>85388227.463411063</v>
      </c>
      <c r="B13626">
        <v>167087838.77555624</v>
      </c>
    </row>
    <row r="13627" spans="1:2" x14ac:dyDescent="0.25">
      <c r="A13627">
        <f ca="1">27570.1178540413*((RANDBETWEEN(2979,3282)))</f>
        <v>89520172.672071949</v>
      </c>
      <c r="B13627">
        <v>155002680.9192456</v>
      </c>
    </row>
    <row r="13628" spans="1:2" x14ac:dyDescent="0.25">
      <c r="A13628">
        <f ca="1">24800.892678479*((RANDBETWEEN(2979,3282)))</f>
        <v>74377877.142758593</v>
      </c>
      <c r="B13628">
        <v>143631443.37090176</v>
      </c>
    </row>
    <row r="13629" spans="1:2" x14ac:dyDescent="0.25">
      <c r="A13629">
        <f ca="1">28975.9648661549*((RANDBETWEEN(2979,3282)))</f>
        <v>91853808.625710934</v>
      </c>
      <c r="B13629">
        <v>196611112.17763132</v>
      </c>
    </row>
    <row r="13630" spans="1:2" x14ac:dyDescent="0.25">
      <c r="A13630">
        <f ca="1">29453.4018602974*((RANDBETWEEN(2979,3282)))</f>
        <v>92984389.672958896</v>
      </c>
      <c r="B13630">
        <v>199689560.95331594</v>
      </c>
    </row>
    <row r="13631" spans="1:2" x14ac:dyDescent="0.25">
      <c r="A13631">
        <f ca="1">33446.5168936785*((RANDBETWEEN(2979,3282)))</f>
        <v>109604235.8605846</v>
      </c>
      <c r="B13631">
        <v>166333681.68120712</v>
      </c>
    </row>
    <row r="13632" spans="1:2" x14ac:dyDescent="0.25">
      <c r="A13632">
        <f ca="1">26714.6683243357*((RANDBETWEEN(2979,3282)))</f>
        <v>84632069.251495451</v>
      </c>
      <c r="B13632">
        <v>150863093.37684569</v>
      </c>
    </row>
    <row r="13633" spans="1:2" x14ac:dyDescent="0.25">
      <c r="A13633">
        <f ca="1">27897.4558539404*((RANDBETWEEN(2979,3282)))</f>
        <v>90806218.804576159</v>
      </c>
      <c r="B13633">
        <v>174690819.79925302</v>
      </c>
    </row>
    <row r="13634" spans="1:2" x14ac:dyDescent="0.25">
      <c r="A13634">
        <f ca="1">26234.2745247705*((RANDBETWEEN(2979,3282)))</f>
        <v>84684238.16595903</v>
      </c>
      <c r="B13634">
        <v>153880681.65926272</v>
      </c>
    </row>
    <row r="13635" spans="1:2" x14ac:dyDescent="0.25">
      <c r="A13635">
        <f ca="1">27263.4962794916*((RANDBETWEEN(2979,3282)))</f>
        <v>85661905.310162514</v>
      </c>
      <c r="B13635">
        <v>158891672.88371441</v>
      </c>
    </row>
    <row r="13636" spans="1:2" x14ac:dyDescent="0.25">
      <c r="A13636">
        <f ca="1">26262.5130732629*((RANDBETWEEN(2979,3282)))</f>
        <v>82385503.510825574</v>
      </c>
      <c r="B13636">
        <v>185418739.6834673</v>
      </c>
    </row>
    <row r="13637" spans="1:2" x14ac:dyDescent="0.25">
      <c r="A13637">
        <f ca="1">25593.1892568292*((RANDBETWEEN(2979,3282)))</f>
        <v>76600415.445689678</v>
      </c>
      <c r="B13637">
        <v>146298265.88053021</v>
      </c>
    </row>
    <row r="13638" spans="1:2" x14ac:dyDescent="0.25">
      <c r="A13638">
        <f ca="1">30752.8965001185*((RANDBETWEEN(2979,3282)))</f>
        <v>97609693.491375983</v>
      </c>
      <c r="B13638">
        <v>146127780.04118538</v>
      </c>
    </row>
    <row r="13639" spans="1:2" x14ac:dyDescent="0.25">
      <c r="A13639">
        <f ca="1">26036.4369352784*((RANDBETWEEN(2979,3282)))</f>
        <v>85373476.710777938</v>
      </c>
      <c r="B13639">
        <v>157442530.60390931</v>
      </c>
    </row>
    <row r="13640" spans="1:2" x14ac:dyDescent="0.25">
      <c r="A13640">
        <f ca="1">26871.8496794002*((RANDBETWEEN(2979,3282)))</f>
        <v>85694328.627607346</v>
      </c>
      <c r="B13640">
        <v>152930607.22718289</v>
      </c>
    </row>
    <row r="13641" spans="1:2" x14ac:dyDescent="0.25">
      <c r="A13641">
        <f ca="1">31228.7901046164*((RANDBETWEEN(2979,3282)))</f>
        <v>100837763.24780649</v>
      </c>
      <c r="B13641">
        <v>196443495.86936229</v>
      </c>
    </row>
    <row r="13642" spans="1:2" x14ac:dyDescent="0.25">
      <c r="A13642">
        <f ca="1">30229.882050387*((RANDBETWEEN(2979,3282)))</f>
        <v>97763438.550951466</v>
      </c>
      <c r="B13642">
        <v>177705025.58439973</v>
      </c>
    </row>
    <row r="13643" spans="1:2" x14ac:dyDescent="0.25">
      <c r="A13643">
        <f ca="1">31132.4235742401*((RANDBETWEEN(2979,3282)))</f>
        <v>93864257.076333895</v>
      </c>
      <c r="B13643">
        <v>179804502.75201699</v>
      </c>
    </row>
    <row r="13644" spans="1:2" x14ac:dyDescent="0.25">
      <c r="A13644">
        <f ca="1">26405.0917221026*((RANDBETWEEN(2979,3282)))</f>
        <v>84628318.969338953</v>
      </c>
      <c r="B13644">
        <v>169037431.3654995</v>
      </c>
    </row>
    <row r="13645" spans="1:2" x14ac:dyDescent="0.25">
      <c r="A13645">
        <f ca="1">25836.585800416*((RANDBETWEEN(2979,3282)))</f>
        <v>79344154.993077442</v>
      </c>
      <c r="B13645">
        <v>153249071.43865159</v>
      </c>
    </row>
    <row r="13646" spans="1:2" x14ac:dyDescent="0.25">
      <c r="A13646">
        <f ca="1">25418.3585569581*((RANDBETWEEN(2979,3282)))</f>
        <v>76026310.443861678</v>
      </c>
      <c r="B13646">
        <v>170295155.20490551</v>
      </c>
    </row>
    <row r="13647" spans="1:2" x14ac:dyDescent="0.25">
      <c r="A13647">
        <f ca="1">30203.6534901603*((RANDBETWEEN(2979,3282)))</f>
        <v>96379858.287101433</v>
      </c>
      <c r="B13647">
        <v>161711782.54764676</v>
      </c>
    </row>
    <row r="13648" spans="1:2" x14ac:dyDescent="0.25">
      <c r="A13648">
        <f ca="1">27380.4781166415*((RANDBETWEEN(2979,3282)))</f>
        <v>89506782.963300958</v>
      </c>
      <c r="B13648">
        <v>152781393.07730559</v>
      </c>
    </row>
    <row r="13649" spans="1:2" x14ac:dyDescent="0.25">
      <c r="A13649">
        <f ca="1">26036.8425848981*((RANDBETWEEN(2979,3282)))</f>
        <v>80427806.744750142</v>
      </c>
      <c r="B13649">
        <v>189127059.71332848</v>
      </c>
    </row>
    <row r="13650" spans="1:2" x14ac:dyDescent="0.25">
      <c r="A13650">
        <f ca="1">27399.6910066176*((RANDBETWEEN(2979,3282)))</f>
        <v>84719844.592461586</v>
      </c>
      <c r="B13650">
        <v>154896381.63549763</v>
      </c>
    </row>
    <row r="13651" spans="1:2" x14ac:dyDescent="0.25">
      <c r="A13651">
        <f ca="1">26708.3133145254*((RANDBETWEEN(2979,3282)))</f>
        <v>81300105.729415372</v>
      </c>
      <c r="B13651">
        <v>179026119.84884614</v>
      </c>
    </row>
    <row r="13652" spans="1:2" x14ac:dyDescent="0.25">
      <c r="A13652">
        <f ca="1">28772.2870867704*((RANDBETWEEN(2979,3282)))</f>
        <v>92272724.687272564</v>
      </c>
      <c r="B13652">
        <v>151238052.0948666</v>
      </c>
    </row>
    <row r="13653" spans="1:2" x14ac:dyDescent="0.25">
      <c r="A13653">
        <f ca="1">26436.160735126*((RANDBETWEEN(2979,3282)))</f>
        <v>81211885.778307185</v>
      </c>
      <c r="B13653">
        <v>152868912.99483961</v>
      </c>
    </row>
    <row r="13654" spans="1:2" x14ac:dyDescent="0.25">
      <c r="A13654">
        <f ca="1">31404.1355649282*((RANDBETWEEN(2979,3282)))</f>
        <v>101717995.09480238</v>
      </c>
      <c r="B13654">
        <v>175917008.26484102</v>
      </c>
    </row>
    <row r="13655" spans="1:2" x14ac:dyDescent="0.25">
      <c r="A13655">
        <f ca="1">28915.2358346686*((RANDBETWEEN(2979,3282)))</f>
        <v>92268517.548427373</v>
      </c>
      <c r="B13655">
        <v>156427525.60785082</v>
      </c>
    </row>
    <row r="13656" spans="1:2" x14ac:dyDescent="0.25">
      <c r="A13656">
        <f ca="1">27037.5008248521*((RANDBETWEEN(2979,3282)))</f>
        <v>87222977.660972923</v>
      </c>
      <c r="B13656">
        <v>153075036.79039669</v>
      </c>
    </row>
    <row r="13657" spans="1:2" x14ac:dyDescent="0.25">
      <c r="A13657">
        <f ca="1">28213.3214781213*((RANDBETWEEN(2979,3282)))</f>
        <v>90846895.159550712</v>
      </c>
      <c r="B13657">
        <v>172190526.11956286</v>
      </c>
    </row>
    <row r="13658" spans="1:2" x14ac:dyDescent="0.25">
      <c r="A13658">
        <f ca="1">28502.5305127804*((RANDBETWEEN(2979,3282)))</f>
        <v>87787793.979363725</v>
      </c>
      <c r="B13658">
        <v>182481490.92040783</v>
      </c>
    </row>
    <row r="13659" spans="1:2" x14ac:dyDescent="0.25">
      <c r="A13659">
        <f ca="1">26656.3796483086*((RANDBETWEEN(2979,3282)))</f>
        <v>84154190.54971011</v>
      </c>
      <c r="B13659">
        <v>148975023.42650154</v>
      </c>
    </row>
    <row r="13660" spans="1:2" x14ac:dyDescent="0.25">
      <c r="A13660">
        <f ca="1">32522.5285563583*((RANDBETWEEN(2979,3282)))</f>
        <v>106641371.13629875</v>
      </c>
      <c r="B13660">
        <v>144486479.81304383</v>
      </c>
    </row>
    <row r="13661" spans="1:2" x14ac:dyDescent="0.25">
      <c r="A13661">
        <f ca="1">27264.8444048834*((RANDBETWEEN(2979,3282)))</f>
        <v>88147241.960988</v>
      </c>
      <c r="B13661">
        <v>182280898.67844778</v>
      </c>
    </row>
    <row r="13662" spans="1:2" x14ac:dyDescent="0.25">
      <c r="A13662">
        <f ca="1">27215.973177407*((RANDBETWEEN(2979,3282)))</f>
        <v>85185996.045283809</v>
      </c>
      <c r="B13662">
        <v>160351343.55210668</v>
      </c>
    </row>
    <row r="13663" spans="1:2" x14ac:dyDescent="0.25">
      <c r="A13663">
        <f ca="1">27237.1193597974*((RANDBETWEEN(2979,3282)))</f>
        <v>88656823.516140595</v>
      </c>
      <c r="B13663">
        <v>168883525.71147329</v>
      </c>
    </row>
    <row r="13664" spans="1:2" x14ac:dyDescent="0.25">
      <c r="A13664">
        <f ca="1">27489.2113234367*((RANDBETWEEN(2979,3282)))</f>
        <v>84336900.340303674</v>
      </c>
      <c r="B13664">
        <v>193477775.06752372</v>
      </c>
    </row>
    <row r="13665" spans="1:2" x14ac:dyDescent="0.25">
      <c r="A13665">
        <f ca="1">30197.5708263959*((RANDBETWEEN(2979,3282)))</f>
        <v>93431284.136868909</v>
      </c>
      <c r="B13665">
        <v>154974084.73722085</v>
      </c>
    </row>
    <row r="13666" spans="1:2" x14ac:dyDescent="0.25">
      <c r="A13666">
        <f ca="1">32415.1521617934*((RANDBETWEEN(2979,3282)))</f>
        <v>98931044.397793546</v>
      </c>
      <c r="B13666">
        <v>190162519.65872717</v>
      </c>
    </row>
    <row r="13667" spans="1:2" x14ac:dyDescent="0.25">
      <c r="A13667">
        <f ca="1">30964.7762283391*((RANDBETWEEN(2979,3282)))</f>
        <v>99923332.888850152</v>
      </c>
      <c r="B13667">
        <v>146748925.19406587</v>
      </c>
    </row>
    <row r="13668" spans="1:2" x14ac:dyDescent="0.25">
      <c r="A13668">
        <f ca="1">28330.824449466*((RANDBETWEEN(2979,3282)))</f>
        <v>91055269.78058365</v>
      </c>
      <c r="B13668">
        <v>144593194.17131343</v>
      </c>
    </row>
    <row r="13669" spans="1:2" x14ac:dyDescent="0.25">
      <c r="A13669">
        <f ca="1">26829.5594888383*((RANDBETWEEN(2979,3282)))</f>
        <v>80005746.395715833</v>
      </c>
      <c r="B13669">
        <v>177266782.05265594</v>
      </c>
    </row>
    <row r="13670" spans="1:2" x14ac:dyDescent="0.25">
      <c r="A13670">
        <f ca="1">26895.3030857564*((RANDBETWEEN(2979,3282)))</f>
        <v>87436630.331794128</v>
      </c>
      <c r="B13670">
        <v>153626954.95191532</v>
      </c>
    </row>
    <row r="13671" spans="1:2" x14ac:dyDescent="0.25">
      <c r="A13671">
        <f ca="1">27031.4032725661*((RANDBETWEEN(2979,3282)))</f>
        <v>83175627.869685754</v>
      </c>
      <c r="B13671">
        <v>155660523.29049629</v>
      </c>
    </row>
    <row r="13672" spans="1:2" x14ac:dyDescent="0.25">
      <c r="A13672">
        <f ca="1">26555.3441666159*((RANDBETWEEN(2979,3282)))</f>
        <v>85375431.495669976</v>
      </c>
      <c r="B13672">
        <v>173101879.09218311</v>
      </c>
    </row>
    <row r="13673" spans="1:2" x14ac:dyDescent="0.25">
      <c r="A13673">
        <f ca="1">28164.4928244444*((RANDBETWEEN(2979,3282)))</f>
        <v>87112776.306006491</v>
      </c>
      <c r="B13673">
        <v>159415885.35993898</v>
      </c>
    </row>
    <row r="13674" spans="1:2" x14ac:dyDescent="0.25">
      <c r="A13674">
        <f ca="1">28716.0267373556*((RANDBETWEEN(2979,3282)))</f>
        <v>85975784.051642612</v>
      </c>
      <c r="B13674">
        <v>172102544.90628532</v>
      </c>
    </row>
    <row r="13675" spans="1:2" x14ac:dyDescent="0.25">
      <c r="A13675">
        <f ca="1">28960.7516821242*((RANDBETWEEN(2979,3282)))</f>
        <v>88098606.61702168</v>
      </c>
      <c r="B13675">
        <v>172334027.87383908</v>
      </c>
    </row>
    <row r="13676" spans="1:2" x14ac:dyDescent="0.25">
      <c r="A13676">
        <f ca="1">27650.086891874*((RANDBETWEEN(2979,3282)))</f>
        <v>89143880.139401615</v>
      </c>
      <c r="B13676">
        <v>164618429.24279472</v>
      </c>
    </row>
    <row r="13677" spans="1:2" x14ac:dyDescent="0.25">
      <c r="A13677">
        <f ca="1">27077.8906272757*((RANDBETWEEN(2979,3282)))</f>
        <v>86784639.460418746</v>
      </c>
      <c r="B13677">
        <v>166477537.00932395</v>
      </c>
    </row>
    <row r="13678" spans="1:2" x14ac:dyDescent="0.25">
      <c r="A13678">
        <f ca="1">26276.1371331772*((RANDBETWEEN(2979,3282)))</f>
        <v>84740542.254496366</v>
      </c>
      <c r="B13678">
        <v>144273889.59007084</v>
      </c>
    </row>
    <row r="13679" spans="1:2" x14ac:dyDescent="0.25">
      <c r="A13679">
        <f ca="1">28705.5640050528*((RANDBETWEEN(2979,3282)))</f>
        <v>89417831.875739381</v>
      </c>
      <c r="B13679">
        <v>181805348.29592532</v>
      </c>
    </row>
    <row r="13680" spans="1:2" x14ac:dyDescent="0.25">
      <c r="A13680">
        <f ca="1">26483.8280580045*((RANDBETWEEN(2979,3282)))</f>
        <v>85092539.550368369</v>
      </c>
      <c r="B13680">
        <v>149047605.55928558</v>
      </c>
    </row>
    <row r="13681" spans="1:2" x14ac:dyDescent="0.25">
      <c r="A13681">
        <f ca="1">26815.9423300336*((RANDBETWEEN(2979,3282)))</f>
        <v>83638924.127374783</v>
      </c>
      <c r="B13681">
        <v>157285353.11809078</v>
      </c>
    </row>
    <row r="13682" spans="1:2" x14ac:dyDescent="0.25">
      <c r="A13682">
        <f ca="1">26348.6599106365*((RANDBETWEEN(2979,3282)))</f>
        <v>82998278.718504831</v>
      </c>
      <c r="B13682">
        <v>179839876.68836784</v>
      </c>
    </row>
    <row r="13683" spans="1:2" x14ac:dyDescent="0.25">
      <c r="A13683">
        <f ca="1">27996.3758168395*((RANDBETWEEN(2979,3282)))</f>
        <v>87320696.172722518</v>
      </c>
      <c r="B13683">
        <v>161465299.26058653</v>
      </c>
    </row>
    <row r="13684" spans="1:2" x14ac:dyDescent="0.25">
      <c r="A13684">
        <f ca="1">28172.0242745575*((RANDBETWEEN(2979,3282)))</f>
        <v>84093492.459554255</v>
      </c>
      <c r="B13684">
        <v>150887715.60281467</v>
      </c>
    </row>
    <row r="13685" spans="1:2" x14ac:dyDescent="0.25">
      <c r="A13685">
        <f ca="1">26456.3025896763*((RANDBETWEEN(2979,3282)))</f>
        <v>79289538.861260012</v>
      </c>
      <c r="B13685">
        <v>174221994.8363474</v>
      </c>
    </row>
    <row r="13686" spans="1:2" x14ac:dyDescent="0.25">
      <c r="A13686">
        <f ca="1">26305.0176186374*((RANDBETWEEN(2979,3282)))</f>
        <v>81150979.353496417</v>
      </c>
      <c r="B13686">
        <v>145861730.43086767</v>
      </c>
    </row>
    <row r="13687" spans="1:2" x14ac:dyDescent="0.25">
      <c r="A13687">
        <f ca="1">27177.5292218676*((RANDBETWEEN(2979,3282)))</f>
        <v>83543724.828021109</v>
      </c>
      <c r="B13687">
        <v>162531298.87658101</v>
      </c>
    </row>
    <row r="13688" spans="1:2" x14ac:dyDescent="0.25">
      <c r="A13688">
        <f ca="1">27029.9157931633*((RANDBETWEEN(2979,3282)))</f>
        <v>81630345.695353061</v>
      </c>
      <c r="B13688">
        <v>154834927.41671896</v>
      </c>
    </row>
    <row r="13689" spans="1:2" x14ac:dyDescent="0.25">
      <c r="A13689">
        <f ca="1">26364.8734537077*((RANDBETWEEN(2979,3282)))</f>
        <v>79068255.487669334</v>
      </c>
      <c r="B13689">
        <v>144444139.28135616</v>
      </c>
    </row>
    <row r="13690" spans="1:2" x14ac:dyDescent="0.25">
      <c r="A13690">
        <f ca="1">26503.3822161294*((RANDBETWEEN(2979,3282)))</f>
        <v>83512157.363023877</v>
      </c>
      <c r="B13690">
        <v>152829294.06112048</v>
      </c>
    </row>
    <row r="13691" spans="1:2" x14ac:dyDescent="0.25">
      <c r="A13691">
        <f ca="1">28903.2659178809*((RANDBETWEEN(2979,3282)))</f>
        <v>87923734.922193721</v>
      </c>
      <c r="B13691">
        <v>190287608.35213584</v>
      </c>
    </row>
    <row r="13692" spans="1:2" x14ac:dyDescent="0.25">
      <c r="A13692">
        <f ca="1">26450.8226860653*((RANDBETWEEN(2979,3282)))</f>
        <v>82262058.553663105</v>
      </c>
      <c r="B13692">
        <v>146775401.715817</v>
      </c>
    </row>
    <row r="13693" spans="1:2" x14ac:dyDescent="0.25">
      <c r="A13693">
        <f ca="1">27072.8977534607*((RANDBETWEEN(2979,3282)))</f>
        <v>86145960.651511863</v>
      </c>
      <c r="B13693">
        <v>202775424.61040601</v>
      </c>
    </row>
    <row r="13694" spans="1:2" x14ac:dyDescent="0.25">
      <c r="A13694">
        <f ca="1">34304.0470908679*((RANDBETWEEN(2979,3282)))</f>
        <v>111488153.0453206</v>
      </c>
      <c r="B13694">
        <v>181869570.13722974</v>
      </c>
    </row>
    <row r="13695" spans="1:2" x14ac:dyDescent="0.25">
      <c r="A13695">
        <f ca="1">31661.4227201672*((RANDBETWEEN(2979,3282)))</f>
        <v>103406206.60406622</v>
      </c>
      <c r="B13695">
        <v>188265294.38291401</v>
      </c>
    </row>
    <row r="13696" spans="1:2" x14ac:dyDescent="0.25">
      <c r="A13696">
        <f ca="1">27199.1885304335*((RANDBETWEEN(2979,3282)))</f>
        <v>82413541.247213468</v>
      </c>
      <c r="B13696">
        <v>147146375.23149335</v>
      </c>
    </row>
    <row r="13697" spans="1:2" x14ac:dyDescent="0.25">
      <c r="A13697">
        <f ca="1">27898.4318674824*((RANDBETWEEN(2979,3282)))</f>
        <v>85118115.627688661</v>
      </c>
      <c r="B13697">
        <v>155985671.67702037</v>
      </c>
    </row>
    <row r="13698" spans="1:2" x14ac:dyDescent="0.25">
      <c r="A13698">
        <f ca="1">26753.3110198619*((RANDBETWEEN(2979,3282)))</f>
        <v>82426951.252194613</v>
      </c>
      <c r="B13698">
        <v>170295580.31833255</v>
      </c>
    </row>
    <row r="13699" spans="1:2" x14ac:dyDescent="0.25">
      <c r="A13699">
        <f ca="1">28294.3233971648*((RANDBETWEEN(2979,3282)))</f>
        <v>84684909.927714348</v>
      </c>
      <c r="B13699">
        <v>187610216.51985604</v>
      </c>
    </row>
    <row r="13700" spans="1:2" x14ac:dyDescent="0.25">
      <c r="A13700">
        <f ca="1">27491.31392652*((RANDBETWEEN(2979,3282)))</f>
        <v>82116554.698515147</v>
      </c>
      <c r="B13700">
        <v>185869050.74544752</v>
      </c>
    </row>
    <row r="13701" spans="1:2" x14ac:dyDescent="0.25">
      <c r="A13701">
        <f ca="1">27452.4652547664*((RANDBETWEEN(2979,3282)))</f>
        <v>85075189.824520946</v>
      </c>
      <c r="B13701">
        <v>148277739.6003657</v>
      </c>
    </row>
    <row r="13702" spans="1:2" x14ac:dyDescent="0.25">
      <c r="A13702">
        <f ca="1">26450.7295927002*((RANDBETWEEN(2979,3282)))</f>
        <v>83134643.109856755</v>
      </c>
      <c r="B13702">
        <v>144874787.00966334</v>
      </c>
    </row>
    <row r="13703" spans="1:2" x14ac:dyDescent="0.25">
      <c r="A13703">
        <f ca="1">27660.7866676021*((RANDBETWEEN(2979,3282)))</f>
        <v>85056919.00287649</v>
      </c>
      <c r="B13703">
        <v>201342067.40653402</v>
      </c>
    </row>
    <row r="13704" spans="1:2" x14ac:dyDescent="0.25">
      <c r="A13704">
        <f ca="1">28148.5981187404*((RANDBETWEEN(2979,3282)))</f>
        <v>86191007.439582959</v>
      </c>
      <c r="B13704">
        <v>161500924.52891067</v>
      </c>
    </row>
    <row r="13705" spans="1:2" x14ac:dyDescent="0.25">
      <c r="A13705">
        <f ca="1">27815.4998162638*((RANDBETWEEN(2979,3282)))</f>
        <v>83335237.449526384</v>
      </c>
      <c r="B13705">
        <v>157831591.07922614</v>
      </c>
    </row>
    <row r="13706" spans="1:2" x14ac:dyDescent="0.25">
      <c r="A13706">
        <f ca="1">27509.611166838*((RANDBETWEEN(2979,3282)))</f>
        <v>84619563.949193582</v>
      </c>
      <c r="B13706">
        <v>151812341.40150613</v>
      </c>
    </row>
    <row r="13707" spans="1:2" x14ac:dyDescent="0.25">
      <c r="A13707">
        <f ca="1">26339.2496612552*((RANDBETWEEN(2979,3282)))</f>
        <v>83126671.930921406</v>
      </c>
      <c r="B13707">
        <v>153969253.38437486</v>
      </c>
    </row>
    <row r="13708" spans="1:2" x14ac:dyDescent="0.25">
      <c r="A13708">
        <f ca="1">25618.1587228648*((RANDBETWEEN(2979,3282)))</f>
        <v>83130925.055696219</v>
      </c>
      <c r="B13708">
        <v>169612809.30335525</v>
      </c>
    </row>
    <row r="13709" spans="1:2" x14ac:dyDescent="0.25">
      <c r="A13709">
        <f ca="1">27701.7066879175*((RANDBETWEEN(2979,3282)))</f>
        <v>85044239.531906679</v>
      </c>
      <c r="B13709">
        <v>189465248.06797889</v>
      </c>
    </row>
    <row r="13710" spans="1:2" x14ac:dyDescent="0.25">
      <c r="A13710">
        <f ca="1">28071.7544129216*((RANDBETWEEN(2979,3282)))</f>
        <v>84018760.957874283</v>
      </c>
      <c r="B13710">
        <v>152002127.82670116</v>
      </c>
    </row>
    <row r="13711" spans="1:2" x14ac:dyDescent="0.25">
      <c r="A13711">
        <f ca="1">28502.0899206452*((RANDBETWEEN(2979,3282)))</f>
        <v>89553566.530667171</v>
      </c>
      <c r="B13711">
        <v>203269457.42128223</v>
      </c>
    </row>
    <row r="13712" spans="1:2" x14ac:dyDescent="0.25">
      <c r="A13712">
        <f ca="1">28434.5626616356*((RANDBETWEEN(2979,3282)))</f>
        <v>90734689.453279272</v>
      </c>
      <c r="B13712">
        <v>158442465.23643997</v>
      </c>
    </row>
    <row r="13713" spans="1:2" x14ac:dyDescent="0.25">
      <c r="A13713">
        <f ca="1">26816.8028684825*((RANDBETWEEN(2979,3282)))</f>
        <v>87047342.111094207</v>
      </c>
      <c r="B13713">
        <v>202864536.63722047</v>
      </c>
    </row>
    <row r="13714" spans="1:2" x14ac:dyDescent="0.25">
      <c r="A13714">
        <f ca="1">26811.2482107241*((RANDBETWEEN(2979,3282)))</f>
        <v>87029311.692010492</v>
      </c>
      <c r="B13714">
        <v>147719531.00635707</v>
      </c>
    </row>
    <row r="13715" spans="1:2" x14ac:dyDescent="0.25">
      <c r="A13715">
        <f ca="1">27660.2498313862*((RANDBETWEEN(2979,3282)))</f>
        <v>87682991.965494215</v>
      </c>
      <c r="B13715">
        <v>162006718.10641953</v>
      </c>
    </row>
    <row r="13716" spans="1:2" x14ac:dyDescent="0.25">
      <c r="A13716">
        <f ca="1">25221.5978653177*((RANDBETWEEN(2979,3282)))</f>
        <v>82625954.606780812</v>
      </c>
      <c r="B13716">
        <v>157538738.67871636</v>
      </c>
    </row>
    <row r="13717" spans="1:2" x14ac:dyDescent="0.25">
      <c r="A13717">
        <f ca="1">26680.7040798188*((RANDBETWEEN(2979,3282)))</f>
        <v>87459347.973646</v>
      </c>
      <c r="B13717">
        <v>166796970.36607426</v>
      </c>
    </row>
    <row r="13718" spans="1:2" x14ac:dyDescent="0.25">
      <c r="A13718">
        <f ca="1">33737.4947871496*((RANDBETWEEN(2979,3282)))</f>
        <v>106138158.60037254</v>
      </c>
      <c r="B13718">
        <v>191294339.55042005</v>
      </c>
    </row>
    <row r="13719" spans="1:2" x14ac:dyDescent="0.25">
      <c r="A13719">
        <f ca="1">27758.2599378151*((RANDBETWEEN(2979,3282)))</f>
        <v>83580120.672761321</v>
      </c>
      <c r="B13719">
        <v>146102642.89063397</v>
      </c>
    </row>
    <row r="13720" spans="1:2" x14ac:dyDescent="0.25">
      <c r="A13720">
        <f ca="1">27640.5927855398*((RANDBETWEEN(2979,3282)))</f>
        <v>89997770.109717607</v>
      </c>
      <c r="B13720">
        <v>145607187.02214104</v>
      </c>
    </row>
    <row r="13721" spans="1:2" x14ac:dyDescent="0.25">
      <c r="A13721">
        <f ca="1">27650.5681971864*((RANDBETWEEN(2979,3282)))</f>
        <v>90638562.550377026</v>
      </c>
      <c r="B13721">
        <v>175298900.31677067</v>
      </c>
    </row>
    <row r="13722" spans="1:2" x14ac:dyDescent="0.25">
      <c r="A13722">
        <f ca="1">25552.6490331197*((RANDBETWEEN(2979,3282)))</f>
        <v>76402420.609027773</v>
      </c>
      <c r="B13722">
        <v>166005245.08762372</v>
      </c>
    </row>
    <row r="13723" spans="1:2" x14ac:dyDescent="0.25">
      <c r="A13723">
        <f ca="1">27158.5069672915*((RANDBETWEEN(2979,3282)))</f>
        <v>85848040.523608297</v>
      </c>
      <c r="B13723">
        <v>171849945.7568562</v>
      </c>
    </row>
    <row r="13724" spans="1:2" x14ac:dyDescent="0.25">
      <c r="A13724">
        <f ca="1">26312.5257780822*((RANDBETWEEN(2979,3282)))</f>
        <v>81779330.118279442</v>
      </c>
      <c r="B13724">
        <v>195375991.81935352</v>
      </c>
    </row>
    <row r="13725" spans="1:2" x14ac:dyDescent="0.25">
      <c r="A13725">
        <f ca="1">26652.3726585871*((RANDBETWEEN(2979,3282)))</f>
        <v>84114888.110501036</v>
      </c>
      <c r="B13725">
        <v>144460846.0279071</v>
      </c>
    </row>
    <row r="13726" spans="1:2" x14ac:dyDescent="0.25">
      <c r="A13726">
        <f ca="1">28853.6172864029*((RANDBETWEEN(2979,3282)))</f>
        <v>90513797.427445978</v>
      </c>
      <c r="B13726">
        <v>164570078.22693145</v>
      </c>
    </row>
    <row r="13727" spans="1:2" x14ac:dyDescent="0.25">
      <c r="A13727">
        <f ca="1">28296.7674408909*((RANDBETWEEN(2979,3282)))</f>
        <v>86757888.973771572</v>
      </c>
      <c r="B13727">
        <v>149971137.19812623</v>
      </c>
    </row>
    <row r="13728" spans="1:2" x14ac:dyDescent="0.25">
      <c r="A13728">
        <f ca="1">29588.3791700265*((RANDBETWEEN(2979,3282)))</f>
        <v>88913079.405929729</v>
      </c>
      <c r="B13728">
        <v>200741020.7292186</v>
      </c>
    </row>
    <row r="13729" spans="1:2" x14ac:dyDescent="0.25">
      <c r="A13729">
        <f ca="1">30198.1405001416*((RANDBETWEEN(2979,3282)))</f>
        <v>96573653.319452867</v>
      </c>
      <c r="B13729">
        <v>165255938.33142433</v>
      </c>
    </row>
    <row r="13730" spans="1:2" x14ac:dyDescent="0.25">
      <c r="A13730">
        <f ca="1">26142.2063636149*((RANDBETWEEN(2979,3282)))</f>
        <v>82713940.934477642</v>
      </c>
      <c r="B13730">
        <v>148026613.90386543</v>
      </c>
    </row>
    <row r="13731" spans="1:2" x14ac:dyDescent="0.25">
      <c r="A13731">
        <f ca="1">26057.299454345*((RANDBETWEEN(2979,3282)))</f>
        <v>84139019.938079908</v>
      </c>
      <c r="B13731">
        <v>154642800.87236917</v>
      </c>
    </row>
    <row r="13732" spans="1:2" x14ac:dyDescent="0.25">
      <c r="A13732">
        <f ca="1">31713.9858427474*((RANDBETWEEN(2979,3282)))</f>
        <v>102753314.1305016</v>
      </c>
      <c r="B13732">
        <v>176952464.01949269</v>
      </c>
    </row>
    <row r="13733" spans="1:2" x14ac:dyDescent="0.25">
      <c r="A13733">
        <f ca="1">27417.6981020467*((RANDBETWEEN(2979,3282)))</f>
        <v>84940028.720140621</v>
      </c>
      <c r="B13733">
        <v>184007745.05383396</v>
      </c>
    </row>
    <row r="13734" spans="1:2" x14ac:dyDescent="0.25">
      <c r="A13734">
        <f ca="1">27814.3917801718*((RANDBETWEEN(2979,3282)))</f>
        <v>85751769.858269736</v>
      </c>
      <c r="B13734">
        <v>170973209.38940889</v>
      </c>
    </row>
    <row r="13735" spans="1:2" x14ac:dyDescent="0.25">
      <c r="A13735">
        <f ca="1">27360.1694997229*((RANDBETWEEN(2979,3282)))</f>
        <v>83202275.448657379</v>
      </c>
      <c r="B13735">
        <v>143254772.09086248</v>
      </c>
    </row>
    <row r="13736" spans="1:2" x14ac:dyDescent="0.25">
      <c r="A13736">
        <f ca="1">26823.6565132442*((RANDBETWEEN(2979,3282)))</f>
        <v>86264879.34659338</v>
      </c>
      <c r="B13736">
        <v>191316363.97579938</v>
      </c>
    </row>
    <row r="13737" spans="1:2" x14ac:dyDescent="0.25">
      <c r="A13737">
        <f ca="1">29072.1618781113*((RANDBETWEEN(2979,3282)))</f>
        <v>89135248.31828925</v>
      </c>
      <c r="B13737">
        <v>178626549.66969013</v>
      </c>
    </row>
    <row r="13738" spans="1:2" x14ac:dyDescent="0.25">
      <c r="A13738">
        <f ca="1">32857.3891653766*((RANDBETWEEN(2979,3282)))</f>
        <v>100149322.17606792</v>
      </c>
      <c r="B13738">
        <v>147071335.23207098</v>
      </c>
    </row>
    <row r="13739" spans="1:2" x14ac:dyDescent="0.25">
      <c r="A13739">
        <f ca="1">27490.1550099796*((RANDBETWEEN(2979,3282)))</f>
        <v>83954933.400477827</v>
      </c>
      <c r="B13739">
        <v>161313494.66640484</v>
      </c>
    </row>
    <row r="13740" spans="1:2" x14ac:dyDescent="0.25">
      <c r="A13740">
        <f ca="1">27422.6775908569*((RANDBETWEEN(2979,3282)))</f>
        <v>81801847.253526106</v>
      </c>
      <c r="B13740">
        <v>158875409.12823397</v>
      </c>
    </row>
    <row r="13741" spans="1:2" x14ac:dyDescent="0.25">
      <c r="A13741">
        <f ca="1">26449.5110165099*((RANDBETWEEN(2979,3282)))</f>
        <v>85193874.984178409</v>
      </c>
      <c r="B13741">
        <v>148585890.27881694</v>
      </c>
    </row>
    <row r="13742" spans="1:2" x14ac:dyDescent="0.25">
      <c r="A13742">
        <f ca="1">27507.5506850996*((RANDBETWEEN(2979,3282)))</f>
        <v>83815506.937498376</v>
      </c>
      <c r="B13742">
        <v>185181078.76700103</v>
      </c>
    </row>
    <row r="13743" spans="1:2" x14ac:dyDescent="0.25">
      <c r="A13743">
        <f ca="1">27005.8001885753*((RANDBETWEEN(2979,3282)))</f>
        <v>83771992.184960455</v>
      </c>
      <c r="B13743">
        <v>182861504.86392316</v>
      </c>
    </row>
    <row r="13744" spans="1:2" x14ac:dyDescent="0.25">
      <c r="A13744">
        <f ca="1">27204.0515396363*((RANDBETWEEN(2979,3282)))</f>
        <v>82210643.752780944</v>
      </c>
      <c r="B13744">
        <v>154845345.27457011</v>
      </c>
    </row>
    <row r="13745" spans="1:2" x14ac:dyDescent="0.25">
      <c r="A13745">
        <f ca="1">29639.6963848111*((RANDBETWEEN(2979,3282)))</f>
        <v>89126567.029127106</v>
      </c>
      <c r="B13745">
        <v>183589764.91792962</v>
      </c>
    </row>
    <row r="13746" spans="1:2" x14ac:dyDescent="0.25">
      <c r="A13746">
        <f ca="1">26049.3405686026*((RANDBETWEEN(2979,3282)))</f>
        <v>83748629.928057432</v>
      </c>
      <c r="B13746">
        <v>145774799.63964337</v>
      </c>
    </row>
    <row r="13747" spans="1:2" x14ac:dyDescent="0.25">
      <c r="A13747">
        <f ca="1">26269.5223538846*((RANDBETWEEN(2979,3282)))</f>
        <v>83169307.77239871</v>
      </c>
      <c r="B13747">
        <v>143423482.37165332</v>
      </c>
    </row>
    <row r="13748" spans="1:2" x14ac:dyDescent="0.25">
      <c r="A13748">
        <f ca="1">25313.5118377692*((RANDBETWEEN(2979,3282)))</f>
        <v>80699475.738808081</v>
      </c>
      <c r="B13748">
        <v>147039665.37461361</v>
      </c>
    </row>
    <row r="13749" spans="1:2" x14ac:dyDescent="0.25">
      <c r="A13749">
        <f ca="1">25969.9184417248*((RANDBETWEEN(2979,3282)))</f>
        <v>84558054.446255982</v>
      </c>
      <c r="B13749">
        <v>152666908.25478515</v>
      </c>
    </row>
    <row r="13750" spans="1:2" x14ac:dyDescent="0.25">
      <c r="A13750">
        <f ca="1">31057.982347923*((RANDBETWEEN(2979,3282)))</f>
        <v>92863367.220289707</v>
      </c>
      <c r="B13750">
        <v>186869548.69784057</v>
      </c>
    </row>
    <row r="13751" spans="1:2" x14ac:dyDescent="0.25">
      <c r="A13751">
        <f ca="1">29357.1440453982*((RANDBETWEEN(2979,3282)))</f>
        <v>89363146.474192038</v>
      </c>
      <c r="B13751">
        <v>146598915.31237388</v>
      </c>
    </row>
    <row r="13752" spans="1:2" x14ac:dyDescent="0.25">
      <c r="A13752">
        <f ca="1">30686.9751607866*((RANDBETWEEN(2979,3282)))</f>
        <v>91723368.755591273</v>
      </c>
      <c r="B13752">
        <v>194454800.17299259</v>
      </c>
    </row>
    <row r="13753" spans="1:2" x14ac:dyDescent="0.25">
      <c r="A13753">
        <f ca="1">27108.7274047722*((RANDBETWEEN(2979,3282)))</f>
        <v>82003900.399435863</v>
      </c>
      <c r="B13753">
        <v>200867753.70340174</v>
      </c>
    </row>
    <row r="13754" spans="1:2" x14ac:dyDescent="0.25">
      <c r="A13754">
        <f ca="1">30122.5604800035*((RANDBETWEEN(2979,3282)))</f>
        <v>93861898.455690876</v>
      </c>
      <c r="B13754">
        <v>185218909.88699347</v>
      </c>
    </row>
    <row r="13755" spans="1:2" x14ac:dyDescent="0.25">
      <c r="A13755">
        <f ca="1">30494.5747767823*((RANDBETWEEN(2979,3282)))</f>
        <v>91727680.928561136</v>
      </c>
      <c r="B13755">
        <v>160662165.07829544</v>
      </c>
    </row>
    <row r="13756" spans="1:2" x14ac:dyDescent="0.25">
      <c r="A13756">
        <f ca="1">25232.1274320879*((RANDBETWEEN(2979,3282)))</f>
        <v>78270059.294336766</v>
      </c>
      <c r="B13756">
        <v>159677298.77430815</v>
      </c>
    </row>
    <row r="13757" spans="1:2" x14ac:dyDescent="0.25">
      <c r="A13757">
        <f ca="1">30979.7989494434*((RANDBETWEEN(2979,3282)))</f>
        <v>96130316.14012301</v>
      </c>
      <c r="B13757">
        <v>178129257.57114431</v>
      </c>
    </row>
    <row r="13758" spans="1:2" x14ac:dyDescent="0.25">
      <c r="A13758">
        <f ca="1">26460.7128327343*((RANDBETWEEN(2979,3282)))</f>
        <v>84330291.797924072</v>
      </c>
      <c r="B13758">
        <v>161974983.95822239</v>
      </c>
    </row>
    <row r="13759" spans="1:2" x14ac:dyDescent="0.25">
      <c r="A13759">
        <f ca="1">27489.3073299632*((RANDBETWEEN(2979,3282)))</f>
        <v>88488080.295151591</v>
      </c>
      <c r="B13759">
        <v>145028897.73386389</v>
      </c>
    </row>
    <row r="13760" spans="1:2" x14ac:dyDescent="0.25">
      <c r="A13760">
        <f ca="1">26338.866811558*((RANDBETWEEN(2979,3282)))</f>
        <v>80307204.908440411</v>
      </c>
      <c r="B13760">
        <v>146150855.5969705</v>
      </c>
    </row>
    <row r="13761" spans="1:2" x14ac:dyDescent="0.25">
      <c r="A13761">
        <f ca="1">33195.8051158298*((RANDBETWEEN(2979,3282)))</f>
        <v>102508646.19768257</v>
      </c>
      <c r="B13761">
        <v>182185216.98016772</v>
      </c>
    </row>
    <row r="13762" spans="1:2" x14ac:dyDescent="0.25">
      <c r="A13762">
        <f ca="1">28324.4912618064*((RANDBETWEEN(2979,3282)))</f>
        <v>87494353.507719964</v>
      </c>
      <c r="B13762">
        <v>153177724.69259399</v>
      </c>
    </row>
    <row r="13763" spans="1:2" x14ac:dyDescent="0.25">
      <c r="A13763">
        <f ca="1">30163.3709035025*((RANDBETWEEN(2979,3282)))</f>
        <v>96311643.294883579</v>
      </c>
      <c r="B13763">
        <v>203340826.83879632</v>
      </c>
    </row>
    <row r="13764" spans="1:2" x14ac:dyDescent="0.25">
      <c r="A13764">
        <f ca="1">27116.7105529451*((RANDBETWEEN(2979,3282)))</f>
        <v>82407683.370400175</v>
      </c>
      <c r="B13764">
        <v>153337426.19664058</v>
      </c>
    </row>
    <row r="13765" spans="1:2" x14ac:dyDescent="0.25">
      <c r="A13765">
        <f ca="1">32781.5980091903*((RANDBETWEEN(2979,3282)))</f>
        <v>103917665.68913317</v>
      </c>
      <c r="B13765">
        <v>179183668.84804937</v>
      </c>
    </row>
    <row r="13766" spans="1:2" x14ac:dyDescent="0.25">
      <c r="A13766">
        <f ca="1">30818.0952681421*((RANDBETWEEN(2979,3282)))</f>
        <v>92885739.138180345</v>
      </c>
      <c r="B13766">
        <v>174438800.80675223</v>
      </c>
    </row>
    <row r="13767" spans="1:2" x14ac:dyDescent="0.25">
      <c r="A13767">
        <f ca="1">25844.2549721155*((RANDBETWEEN(2979,3282)))</f>
        <v>83838763.129542843</v>
      </c>
      <c r="B13767">
        <v>160788847.79508317</v>
      </c>
    </row>
    <row r="13768" spans="1:2" x14ac:dyDescent="0.25">
      <c r="A13768">
        <f ca="1">29500.4796229576*((RANDBETWEEN(2979,3282)))</f>
        <v>89061947.981708944</v>
      </c>
      <c r="B13768">
        <v>143536483.50273913</v>
      </c>
    </row>
    <row r="13769" spans="1:2" x14ac:dyDescent="0.25">
      <c r="A13769">
        <f ca="1">30548.9517138348*((RANDBETWEEN(2979,3282)))</f>
        <v>91921795.706929028</v>
      </c>
      <c r="B13769">
        <v>195597752.87266049</v>
      </c>
    </row>
    <row r="13770" spans="1:2" x14ac:dyDescent="0.25">
      <c r="A13770">
        <f ca="1">28131.2710277166*((RANDBETWEEN(2979,3282)))</f>
        <v>85068963.587814853</v>
      </c>
      <c r="B13770">
        <v>154712859.92738482</v>
      </c>
    </row>
    <row r="13771" spans="1:2" x14ac:dyDescent="0.25">
      <c r="A13771">
        <f ca="1">29263.8387890912*((RANDBETWEEN(2979,3282)))</f>
        <v>92883424.316575572</v>
      </c>
      <c r="B13771">
        <v>149068081.56786197</v>
      </c>
    </row>
    <row r="13772" spans="1:2" x14ac:dyDescent="0.25">
      <c r="A13772">
        <f ca="1">28304.6101803*((RANDBETWEEN(2979,3282)))</f>
        <v>92301333.797958314</v>
      </c>
      <c r="B13772">
        <v>153996752.28927344</v>
      </c>
    </row>
    <row r="13773" spans="1:2" x14ac:dyDescent="0.25">
      <c r="A13773">
        <f ca="1">28746.2869907933*((RANDBETWEEN(2979,3282)))</f>
        <v>90062117.142155409</v>
      </c>
      <c r="B13773">
        <v>172394863.55556655</v>
      </c>
    </row>
    <row r="13774" spans="1:2" x14ac:dyDescent="0.25">
      <c r="A13774">
        <f ca="1">29848.5276525789*((RANDBETWEEN(2979,3282)))</f>
        <v>90082856.455483153</v>
      </c>
      <c r="B13774">
        <v>157166126.54084694</v>
      </c>
    </row>
    <row r="13775" spans="1:2" x14ac:dyDescent="0.25">
      <c r="A13775">
        <f ca="1">27353.5623841642*((RANDBETWEEN(2979,3282)))</f>
        <v>86628732.070648015</v>
      </c>
      <c r="B13775">
        <v>153124487.04167858</v>
      </c>
    </row>
    <row r="13776" spans="1:2" x14ac:dyDescent="0.25">
      <c r="A13776">
        <f ca="1">28041.3263363033*((RANDBETWEEN(2979,3282)))</f>
        <v>84572640.2302908</v>
      </c>
      <c r="B13776">
        <v>198478404.80859083</v>
      </c>
    </row>
    <row r="13777" spans="1:2" x14ac:dyDescent="0.25">
      <c r="A13777">
        <f ca="1">28349.1935297564*((RANDBETWEEN(2979,3282)))</f>
        <v>85104278.976328701</v>
      </c>
      <c r="B13777">
        <v>161004817.45749953</v>
      </c>
    </row>
    <row r="13778" spans="1:2" x14ac:dyDescent="0.25">
      <c r="A13778">
        <f ca="1">28972.3064972582*((RANDBETWEEN(2979,3282)))</f>
        <v>93290826.921171457</v>
      </c>
      <c r="B13778">
        <v>203401930.48586804</v>
      </c>
    </row>
    <row r="13779" spans="1:2" x14ac:dyDescent="0.25">
      <c r="A13779">
        <f ca="1">29879.2372313637*((RANDBETWEEN(2979,3282)))</f>
        <v>92057929.909831494</v>
      </c>
      <c r="B13779">
        <v>187661314.42062476</v>
      </c>
    </row>
    <row r="13780" spans="1:2" x14ac:dyDescent="0.25">
      <c r="A13780">
        <f ca="1">26665.4240662849*((RANDBETWEEN(2979,3282)))</f>
        <v>81009558.31337364</v>
      </c>
      <c r="B13780">
        <v>152153286.8436861</v>
      </c>
    </row>
    <row r="13781" spans="1:2" x14ac:dyDescent="0.25">
      <c r="A13781">
        <f ca="1">26002.0870157765*((RANDBETWEEN(2979,3282)))</f>
        <v>81828567.838648543</v>
      </c>
      <c r="B13781">
        <v>144428518.39070395</v>
      </c>
    </row>
    <row r="13782" spans="1:2" x14ac:dyDescent="0.25">
      <c r="A13782">
        <f ca="1">26202.3313560692*((RANDBETWEEN(2979,3282)))</f>
        <v>82589748.43433021</v>
      </c>
      <c r="B13782">
        <v>152896317.48330927</v>
      </c>
    </row>
    <row r="13783" spans="1:2" x14ac:dyDescent="0.25">
      <c r="A13783">
        <f ca="1">28486.0888062775*((RANDBETWEEN(2979,3282)))</f>
        <v>85971016.017345622</v>
      </c>
      <c r="B13783">
        <v>185111488.41589549</v>
      </c>
    </row>
    <row r="13784" spans="1:2" x14ac:dyDescent="0.25">
      <c r="A13784">
        <f ca="1">28562.3089868332*((RANDBETWEEN(2979,3282)))</f>
        <v>86286735.449223131</v>
      </c>
      <c r="B13784">
        <v>171647268.54701388</v>
      </c>
    </row>
    <row r="13785" spans="1:2" x14ac:dyDescent="0.25">
      <c r="A13785">
        <f ca="1">26321.6595907773*((RANDBETWEEN(2979,3282)))</f>
        <v>79570376.942919731</v>
      </c>
      <c r="B13785">
        <v>159784165.20563382</v>
      </c>
    </row>
    <row r="13786" spans="1:2" x14ac:dyDescent="0.25">
      <c r="A13786">
        <f ca="1">27611.3656442346*((RANDBETWEEN(2979,3282)))</f>
        <v>89046654.202656552</v>
      </c>
      <c r="B13786">
        <v>173091824.01807225</v>
      </c>
    </row>
    <row r="13787" spans="1:2" x14ac:dyDescent="0.25">
      <c r="A13787">
        <f ca="1">26309.1599395692*((RANDBETWEEN(2979,3282)))</f>
        <v>84952277.444868833</v>
      </c>
      <c r="B13787">
        <v>145941906.57079917</v>
      </c>
    </row>
    <row r="13788" spans="1:2" x14ac:dyDescent="0.25">
      <c r="A13788">
        <f ca="1">33578.7540313867*((RANDBETWEEN(2979,3282)))</f>
        <v>109903261.94472872</v>
      </c>
      <c r="B13788">
        <v>171620149.28428578</v>
      </c>
    </row>
    <row r="13789" spans="1:2" x14ac:dyDescent="0.25">
      <c r="A13789">
        <f ca="1">26225.27832654*((RANDBETWEEN(2979,3282)))</f>
        <v>83947115.92325443</v>
      </c>
      <c r="B13789">
        <v>159509893.28506345</v>
      </c>
    </row>
    <row r="13790" spans="1:2" x14ac:dyDescent="0.25">
      <c r="A13790">
        <f ca="1">30092.4302738921*((RANDBETWEEN(2979,3282)))</f>
        <v>92594407.952766135</v>
      </c>
      <c r="B13790">
        <v>161901070.50306514</v>
      </c>
    </row>
    <row r="13791" spans="1:2" x14ac:dyDescent="0.25">
      <c r="A13791">
        <f ca="1">28564.7807610014*((RANDBETWEEN(2979,3282)))</f>
        <v>85979990.090614289</v>
      </c>
      <c r="B13791">
        <v>171550724.45663783</v>
      </c>
    </row>
    <row r="13792" spans="1:2" x14ac:dyDescent="0.25">
      <c r="A13792">
        <f ca="1">27291.8851267724*((RANDBETWEEN(2979,3282)))</f>
        <v>86597151.507248878</v>
      </c>
      <c r="B13792">
        <v>144767054.20725703</v>
      </c>
    </row>
    <row r="13793" spans="1:2" x14ac:dyDescent="0.25">
      <c r="A13793">
        <f ca="1">27543.7683610638*((RANDBETWEEN(2979,3282)))</f>
        <v>88828652.964430764</v>
      </c>
      <c r="B13793">
        <v>174057982.50738123</v>
      </c>
    </row>
    <row r="13794" spans="1:2" x14ac:dyDescent="0.25">
      <c r="A13794">
        <f ca="1">32409.7080869092*((RANDBETWEEN(2979,3282)))</f>
        <v>104975044.49349897</v>
      </c>
      <c r="B13794">
        <v>174741091.09290278</v>
      </c>
    </row>
    <row r="13795" spans="1:2" x14ac:dyDescent="0.25">
      <c r="A13795">
        <f ca="1">25501.805210742*((RANDBETWEEN(2979,3282)))</f>
        <v>80381690.024258688</v>
      </c>
      <c r="B13795">
        <v>167839113.08129507</v>
      </c>
    </row>
    <row r="13796" spans="1:2" x14ac:dyDescent="0.25">
      <c r="A13796">
        <f ca="1">27732.2830030339*((RANDBETWEEN(2979,3282)))</f>
        <v>86191935.573429257</v>
      </c>
      <c r="B13796">
        <v>196554656.35573912</v>
      </c>
    </row>
    <row r="13797" spans="1:2" x14ac:dyDescent="0.25">
      <c r="A13797">
        <f ca="1">30688.0268267753*((RANDBETWEEN(2979,3282)))</f>
        <v>93168849.446089745</v>
      </c>
      <c r="B13797">
        <v>151289337.03841099</v>
      </c>
    </row>
    <row r="13798" spans="1:2" x14ac:dyDescent="0.25">
      <c r="A13798">
        <f ca="1">30487.9496392898*((RANDBETWEEN(2979,3282)))</f>
        <v>91616288.666065812</v>
      </c>
      <c r="B13798">
        <v>174463855.43459973</v>
      </c>
    </row>
    <row r="13799" spans="1:2" x14ac:dyDescent="0.25">
      <c r="A13799">
        <f ca="1">29467.9133888855*((RANDBETWEEN(2979,3282)))</f>
        <v>94002643.71054478</v>
      </c>
      <c r="B13799">
        <v>167075047.39076197</v>
      </c>
    </row>
    <row r="13800" spans="1:2" x14ac:dyDescent="0.25">
      <c r="A13800">
        <f ca="1">26139.0405103547*((RANDBETWEEN(2979,3282)))</f>
        <v>81684501.594858497</v>
      </c>
      <c r="B13800">
        <v>178165371.5360623</v>
      </c>
    </row>
    <row r="13801" spans="1:2" x14ac:dyDescent="0.25">
      <c r="A13801">
        <f ca="1">27520.6551322854*((RANDBETWEEN(2979,3282)))</f>
        <v>86194691.87431775</v>
      </c>
      <c r="B13801">
        <v>171409316.12841743</v>
      </c>
    </row>
    <row r="13802" spans="1:2" x14ac:dyDescent="0.25">
      <c r="A13802">
        <f ca="1">27343.452345561*((RANDBETWEEN(2979,3282)))</f>
        <v>82495195.726557672</v>
      </c>
      <c r="B13802">
        <v>143878427.50713807</v>
      </c>
    </row>
    <row r="13803" spans="1:2" x14ac:dyDescent="0.25">
      <c r="A13803">
        <f ca="1">30057.158934307*((RANDBETWEEN(2979,3282)))</f>
        <v>96333194.384453803</v>
      </c>
      <c r="B13803">
        <v>194938550.18989947</v>
      </c>
    </row>
    <row r="13804" spans="1:2" x14ac:dyDescent="0.25">
      <c r="A13804">
        <f ca="1">26372.1456867513*((RANDBETWEEN(2979,3282)))</f>
        <v>83810678.992495686</v>
      </c>
      <c r="B13804">
        <v>144706815.53764445</v>
      </c>
    </row>
    <row r="13805" spans="1:2" x14ac:dyDescent="0.25">
      <c r="A13805">
        <f ca="1">29196.5263916193*((RANDBETWEEN(2979,3282)))</f>
        <v>89195388.126396909</v>
      </c>
      <c r="B13805">
        <v>168991581.76920828</v>
      </c>
    </row>
    <row r="13806" spans="1:2" x14ac:dyDescent="0.25">
      <c r="A13806">
        <f ca="1">30819.7681099097*((RANDBETWEEN(2979,3282)))</f>
        <v>97267188.154874876</v>
      </c>
      <c r="B13806">
        <v>199795892.13570344</v>
      </c>
    </row>
    <row r="13807" spans="1:2" x14ac:dyDescent="0.25">
      <c r="A13807">
        <f ca="1">31474.9688272269*((RANDBETWEEN(2979,3282)))</f>
        <v>96848479.081377015</v>
      </c>
      <c r="B13807">
        <v>183893041.76123768</v>
      </c>
    </row>
    <row r="13808" spans="1:2" x14ac:dyDescent="0.25">
      <c r="A13808">
        <f ca="1">27051.1196058985*((RANDBETWEEN(2979,3282)))</f>
        <v>81856687.927448869</v>
      </c>
      <c r="B13808">
        <v>162823983.66177404</v>
      </c>
    </row>
    <row r="13809" spans="1:2" x14ac:dyDescent="0.25">
      <c r="A13809">
        <f ca="1">26365.9268518468*((RANDBETWEEN(2979,3282)))</f>
        <v>85689262.268502071</v>
      </c>
      <c r="B13809">
        <v>151386730.78153917</v>
      </c>
    </row>
    <row r="13810" spans="1:2" x14ac:dyDescent="0.25">
      <c r="A13810">
        <f ca="1">30776.3920778599*((RANDBETWEEN(2979,3282)))</f>
        <v>94606629.247341201</v>
      </c>
      <c r="B13810">
        <v>170382368.15561116</v>
      </c>
    </row>
    <row r="13811" spans="1:2" x14ac:dyDescent="0.25">
      <c r="A13811">
        <f ca="1">29416.0008909446*((RANDBETWEEN(2979,3282)))</f>
        <v>92072082.788656726</v>
      </c>
      <c r="B13811">
        <v>151712321.05219552</v>
      </c>
    </row>
    <row r="13812" spans="1:2" x14ac:dyDescent="0.25">
      <c r="A13812">
        <f ca="1">27498.5909076954*((RANDBETWEEN(2979,3282)))</f>
        <v>82303282.586732328</v>
      </c>
      <c r="B13812">
        <v>151261272.98445579</v>
      </c>
    </row>
    <row r="13813" spans="1:2" x14ac:dyDescent="0.25">
      <c r="A13813">
        <f ca="1">26753.0199456521*((RANDBETWEEN(2979,3282)))</f>
        <v>83282151.090815097</v>
      </c>
      <c r="B13813">
        <v>166499074.30059621</v>
      </c>
    </row>
    <row r="13814" spans="1:2" x14ac:dyDescent="0.25">
      <c r="A13814">
        <f ca="1">28420.7040465221*((RANDBETWEEN(2979,3282)))</f>
        <v>90093631.827474967</v>
      </c>
      <c r="B13814">
        <v>172305334.83036563</v>
      </c>
    </row>
    <row r="13815" spans="1:2" x14ac:dyDescent="0.25">
      <c r="A13815">
        <f ca="1">26508.8225103549*((RANDBETWEEN(2979,3282)))</f>
        <v>85703023.175977543</v>
      </c>
      <c r="B13815">
        <v>168684146.2516028</v>
      </c>
    </row>
    <row r="13816" spans="1:2" x14ac:dyDescent="0.25">
      <c r="A13816">
        <f ca="1">27955.4761196989*((RANDBETWEEN(2979,3282)))</f>
        <v>85124424.784483284</v>
      </c>
      <c r="B13816">
        <v>164994127.03877985</v>
      </c>
    </row>
    <row r="13817" spans="1:2" x14ac:dyDescent="0.25">
      <c r="A13817">
        <f ca="1">30350.4158393847*((RANDBETWEEN(2979,3282)))</f>
        <v>98122894.408730626</v>
      </c>
      <c r="B13817">
        <v>185199179.91851854</v>
      </c>
    </row>
    <row r="13818" spans="1:2" x14ac:dyDescent="0.25">
      <c r="A13818">
        <f ca="1">24846.7700287172*((RANDBETWEEN(2979,3282)))</f>
        <v>81373171.844048753</v>
      </c>
      <c r="B13818">
        <v>152765900.18416083</v>
      </c>
    </row>
    <row r="13819" spans="1:2" x14ac:dyDescent="0.25">
      <c r="A13819">
        <f ca="1">28722.4705880026*((RANDBETWEEN(2979,3282)))</f>
        <v>88091817.293403953</v>
      </c>
      <c r="B13819">
        <v>145187085.26687819</v>
      </c>
    </row>
    <row r="13820" spans="1:2" x14ac:dyDescent="0.25">
      <c r="A13820">
        <f ca="1">25443.3335527092*((RANDBETWEEN(2979,3282)))</f>
        <v>82156524.041698143</v>
      </c>
      <c r="B13820">
        <v>152689803.19832778</v>
      </c>
    </row>
    <row r="13821" spans="1:2" x14ac:dyDescent="0.25">
      <c r="A13821">
        <f ca="1">25325.7677813546*((RANDBETWEEN(2979,3282)))</f>
        <v>77648804.017633319</v>
      </c>
      <c r="B13821">
        <v>160151797.5699524</v>
      </c>
    </row>
    <row r="13822" spans="1:2" x14ac:dyDescent="0.25">
      <c r="A13822">
        <f ca="1">32341.3965562509*((RANDBETWEEN(2979,3282)))</f>
        <v>99514477.203583971</v>
      </c>
      <c r="B13822">
        <v>181919711.33396658</v>
      </c>
    </row>
    <row r="13823" spans="1:2" x14ac:dyDescent="0.25">
      <c r="A13823">
        <f ca="1">26844.0123241446*((RANDBETWEEN(2979,3282)))</f>
        <v>84424418.759434789</v>
      </c>
      <c r="B13823">
        <v>158973543.4907665</v>
      </c>
    </row>
    <row r="13824" spans="1:2" x14ac:dyDescent="0.25">
      <c r="A13824">
        <f ca="1">27619.4728978666*((RANDBETWEEN(2979,3282)))</f>
        <v>85178454.417020664</v>
      </c>
      <c r="B13824">
        <v>190690875.83126503</v>
      </c>
    </row>
    <row r="13825" spans="1:2" x14ac:dyDescent="0.25">
      <c r="A13825">
        <f ca="1">29053.3815445376*((RANDBETWEEN(2979,3282)))</f>
        <v>87363518.304424614</v>
      </c>
      <c r="B13825">
        <v>156550326.54433346</v>
      </c>
    </row>
    <row r="13826" spans="1:2" x14ac:dyDescent="0.25">
      <c r="A13826">
        <f ca="1">26924.4683515304*((RANDBETWEEN(2979,3282)))</f>
        <v>85808280.636327282</v>
      </c>
      <c r="B13826">
        <v>178499494.83874109</v>
      </c>
    </row>
    <row r="13827" spans="1:2" x14ac:dyDescent="0.25">
      <c r="A13827">
        <f ca="1">29730.3905604787*((RANDBETWEEN(2979,3282)))</f>
        <v>91747985.269637361</v>
      </c>
      <c r="B13827">
        <v>185164537.78232777</v>
      </c>
    </row>
    <row r="13828" spans="1:2" x14ac:dyDescent="0.25">
      <c r="A13828">
        <f ca="1">27531.8275740178*((RANDBETWEEN(2979,3282)))</f>
        <v>84990751.720992938</v>
      </c>
      <c r="B13828">
        <v>154838768.79923826</v>
      </c>
    </row>
    <row r="13829" spans="1:2" x14ac:dyDescent="0.25">
      <c r="A13829">
        <f ca="1">28541.7213744741*((RANDBETWEEN(2979,3282)))</f>
        <v>90363089.871584892</v>
      </c>
      <c r="B13829">
        <v>160409768.13306278</v>
      </c>
    </row>
    <row r="13830" spans="1:2" x14ac:dyDescent="0.25">
      <c r="A13830">
        <f ca="1">27686.4788253885*((RANDBETWEEN(2979,3282)))</f>
        <v>89067402.381274909</v>
      </c>
      <c r="B13830">
        <v>156038383.06192431</v>
      </c>
    </row>
    <row r="13831" spans="1:2" x14ac:dyDescent="0.25">
      <c r="A13831">
        <f ca="1">30875.5682115782*((RANDBETWEEN(2979,3282)))</f>
        <v>96393523.956547141</v>
      </c>
      <c r="B13831">
        <v>151518326.97645921</v>
      </c>
    </row>
    <row r="13832" spans="1:2" x14ac:dyDescent="0.25">
      <c r="A13832">
        <f ca="1">29289.1836276132*((RANDBETWEEN(2979,3282)))</f>
        <v>90093528.838538215</v>
      </c>
      <c r="B13832">
        <v>179642873.95541158</v>
      </c>
    </row>
    <row r="13833" spans="1:2" x14ac:dyDescent="0.25">
      <c r="A13833">
        <f ca="1">26820.2957148484*((RANDBETWEEN(2979,3282)))</f>
        <v>84752134.458921015</v>
      </c>
      <c r="B13833">
        <v>148730716.26824683</v>
      </c>
    </row>
    <row r="13834" spans="1:2" x14ac:dyDescent="0.25">
      <c r="A13834">
        <f ca="1">25724.2933662566*((RANDBETWEEN(2979,3282)))</f>
        <v>82292014.478654891</v>
      </c>
      <c r="B13834">
        <v>170506043.03508663</v>
      </c>
    </row>
    <row r="13835" spans="1:2" x14ac:dyDescent="0.25">
      <c r="A13835">
        <f ca="1">32426.2432976426*((RANDBETWEEN(2979,3282)))</f>
        <v>98316369.678452268</v>
      </c>
      <c r="B13835">
        <v>159449316.80192691</v>
      </c>
    </row>
    <row r="13836" spans="1:2" x14ac:dyDescent="0.25">
      <c r="A13836">
        <f ca="1">25080.8602475929*((RANDBETWEEN(2979,3282)))</f>
        <v>79380922.683631614</v>
      </c>
      <c r="B13836">
        <v>155316341.47750968</v>
      </c>
    </row>
    <row r="13837" spans="1:2" x14ac:dyDescent="0.25">
      <c r="A13837">
        <f ca="1">28730.4566105547*((RANDBETWEEN(2979,3282)))</f>
        <v>90299825.126973465</v>
      </c>
      <c r="B13837">
        <v>154186051.68429399</v>
      </c>
    </row>
    <row r="13838" spans="1:2" x14ac:dyDescent="0.25">
      <c r="A13838">
        <f ca="1">26535.349645963*((RANDBETWEEN(2979,3282)))</f>
        <v>84010916.979118958</v>
      </c>
      <c r="B13838">
        <v>155624241.93874884</v>
      </c>
    </row>
    <row r="13839" spans="1:2" x14ac:dyDescent="0.25">
      <c r="A13839">
        <f ca="1">31265.7677712976*((RANDBETWEEN(2979,3282)))</f>
        <v>102614249.82539879</v>
      </c>
      <c r="B13839">
        <v>167961315.24414963</v>
      </c>
    </row>
    <row r="13840" spans="1:2" x14ac:dyDescent="0.25">
      <c r="A13840">
        <f ca="1">26367.3716664326*((RANDBETWEEN(2979,3282)))</f>
        <v>85773060.030905381</v>
      </c>
      <c r="B13840">
        <v>151538889.59551623</v>
      </c>
    </row>
    <row r="13841" spans="1:2" x14ac:dyDescent="0.25">
      <c r="A13841">
        <f ca="1">32426.4039576553*((RANDBETWEEN(2979,3282)))</f>
        <v>98122298.375864804</v>
      </c>
      <c r="B13841">
        <v>148756379.35983819</v>
      </c>
    </row>
    <row r="13842" spans="1:2" x14ac:dyDescent="0.25">
      <c r="A13842">
        <f ca="1">31757.6301127835*((RANDBETWEEN(2979,3282)))</f>
        <v>101243324.79955389</v>
      </c>
      <c r="B13842">
        <v>155558623.98622322</v>
      </c>
    </row>
    <row r="13843" spans="1:2" x14ac:dyDescent="0.25">
      <c r="A13843">
        <f ca="1">26259.3514363949*((RANDBETWEEN(2979,3282)))</f>
        <v>79644612.906585768</v>
      </c>
      <c r="B13843">
        <v>147905845.14773434</v>
      </c>
    </row>
    <row r="13844" spans="1:2" x14ac:dyDescent="0.25">
      <c r="A13844">
        <f ca="1">31365.8218801974*((RANDBETWEEN(2979,3282)))</f>
        <v>94348392.215633839</v>
      </c>
      <c r="B13844">
        <v>145865139.21423194</v>
      </c>
    </row>
    <row r="13845" spans="1:2" x14ac:dyDescent="0.25">
      <c r="A13845">
        <f ca="1">29647.0004171416*((RANDBETWEEN(2979,3282)))</f>
        <v>94069932.323590145</v>
      </c>
      <c r="B13845">
        <v>175629494.47718522</v>
      </c>
    </row>
    <row r="13846" spans="1:2" x14ac:dyDescent="0.25">
      <c r="A13846">
        <f ca="1">26752.1351102105*((RANDBETWEEN(2979,3282)))</f>
        <v>87238712.594396591</v>
      </c>
      <c r="B13846">
        <v>154714280.78499722</v>
      </c>
    </row>
    <row r="13847" spans="1:2" x14ac:dyDescent="0.25">
      <c r="A13847">
        <f ca="1">25881.885238418*((RANDBETWEEN(2979,3282)))</f>
        <v>80518544.976718262</v>
      </c>
      <c r="B13847">
        <v>155890870.51789704</v>
      </c>
    </row>
    <row r="13848" spans="1:2" x14ac:dyDescent="0.25">
      <c r="A13848">
        <f ca="1">29992.5085875152*((RANDBETWEEN(2979,3282)))</f>
        <v>92706844.044009402</v>
      </c>
      <c r="B13848">
        <v>154529879.44090214</v>
      </c>
    </row>
    <row r="13849" spans="1:2" x14ac:dyDescent="0.25">
      <c r="A13849">
        <f ca="1">28787.2806523571*((RANDBETWEEN(2979,3282)))</f>
        <v>90564784.932315364</v>
      </c>
      <c r="B13849">
        <v>153271499.12044549</v>
      </c>
    </row>
    <row r="13850" spans="1:2" x14ac:dyDescent="0.25">
      <c r="A13850">
        <f ca="1">26302.4836003157*((RANDBETWEEN(2979,3282)))</f>
        <v>81379884.259376794</v>
      </c>
      <c r="B13850">
        <v>143566476.957919</v>
      </c>
    </row>
    <row r="13851" spans="1:2" x14ac:dyDescent="0.25">
      <c r="A13851">
        <f ca="1">26394.4552883223*((RANDBETWEEN(2979,3282)))</f>
        <v>84356679.101478145</v>
      </c>
      <c r="B13851">
        <v>191601014.39257866</v>
      </c>
    </row>
    <row r="13852" spans="1:2" x14ac:dyDescent="0.25">
      <c r="A13852">
        <f ca="1">27333.4320675622*((RANDBETWEEN(2979,3282)))</f>
        <v>86728979.950374797</v>
      </c>
      <c r="B13852">
        <v>170155341.95454812</v>
      </c>
    </row>
    <row r="13853" spans="1:2" x14ac:dyDescent="0.25">
      <c r="A13853">
        <f ca="1">29444.0826574605*((RANDBETWEEN(2979,3282)))</f>
        <v>89510011.278679997</v>
      </c>
      <c r="B13853">
        <v>181281526.36244771</v>
      </c>
    </row>
    <row r="13854" spans="1:2" x14ac:dyDescent="0.25">
      <c r="A13854">
        <f ca="1">24989.1502483357*((RANDBETWEEN(2979,3282)))</f>
        <v>75392266.299228862</v>
      </c>
      <c r="B13854">
        <v>154010367.72922629</v>
      </c>
    </row>
    <row r="13855" spans="1:2" x14ac:dyDescent="0.25">
      <c r="A13855">
        <f ca="1">28176.3671938043*((RANDBETWEEN(2979,3282)))</f>
        <v>92305778.926902905</v>
      </c>
      <c r="B13855">
        <v>146125282.45857245</v>
      </c>
    </row>
    <row r="13856" spans="1:2" x14ac:dyDescent="0.25">
      <c r="A13856">
        <f ca="1">29263.5610514333*((RANDBETWEEN(2979,3282)))</f>
        <v>91741263.896243438</v>
      </c>
      <c r="B13856">
        <v>198029647.46497253</v>
      </c>
    </row>
    <row r="13857" spans="1:2" x14ac:dyDescent="0.25">
      <c r="A13857">
        <f ca="1">33835.0511413182*((RANDBETWEEN(2979,3282)))</f>
        <v>109321050.23759896</v>
      </c>
      <c r="B13857">
        <v>161674923.26371381</v>
      </c>
    </row>
    <row r="13858" spans="1:2" x14ac:dyDescent="0.25">
      <c r="A13858">
        <f ca="1">32533.8000064687*((RANDBETWEEN(2979,3282)))</f>
        <v>99163022.419716507</v>
      </c>
      <c r="B13858">
        <v>190340552.5895234</v>
      </c>
    </row>
    <row r="13859" spans="1:2" x14ac:dyDescent="0.25">
      <c r="A13859">
        <f ca="1">27988.2162512396*((RANDBETWEEN(2979,3282)))</f>
        <v>88610692.651424438</v>
      </c>
      <c r="B13859">
        <v>157057273.33730945</v>
      </c>
    </row>
    <row r="13860" spans="1:2" x14ac:dyDescent="0.25">
      <c r="A13860">
        <f ca="1">26302.5859609426*((RANDBETWEEN(2979,3282)))</f>
        <v>81748437.16660966</v>
      </c>
      <c r="B13860">
        <v>146702431.54937965</v>
      </c>
    </row>
    <row r="13861" spans="1:2" x14ac:dyDescent="0.25">
      <c r="A13861">
        <f ca="1">27230.8685057867*((RANDBETWEEN(2979,3282)))</f>
        <v>81229680.752761632</v>
      </c>
      <c r="B13861">
        <v>156658036.2137664</v>
      </c>
    </row>
    <row r="13862" spans="1:2" x14ac:dyDescent="0.25">
      <c r="A13862">
        <f ca="1">30999.0381828163*((RANDBETWEEN(2979,3282)))</f>
        <v>93896086.655750677</v>
      </c>
      <c r="B13862">
        <v>188438600.70510757</v>
      </c>
    </row>
    <row r="13863" spans="1:2" x14ac:dyDescent="0.25">
      <c r="A13863">
        <f ca="1">30786.3217513906*((RANDBETWEEN(2979,3282)))</f>
        <v>92666828.471685693</v>
      </c>
      <c r="B13863">
        <v>183019195.25690687</v>
      </c>
    </row>
    <row r="13864" spans="1:2" x14ac:dyDescent="0.25">
      <c r="A13864">
        <f ca="1">25852.7769896231*((RANDBETWEEN(2979,3282)))</f>
        <v>82987414.13669017</v>
      </c>
      <c r="B13864">
        <v>154702088.65640214</v>
      </c>
    </row>
    <row r="13865" spans="1:2" x14ac:dyDescent="0.25">
      <c r="A13865">
        <f ca="1">26626.3032185157*((RANDBETWEEN(2979,3282)))</f>
        <v>81716124.57762453</v>
      </c>
      <c r="B13865">
        <v>156161334.02692392</v>
      </c>
    </row>
    <row r="13866" spans="1:2" x14ac:dyDescent="0.25">
      <c r="A13866">
        <f ca="1">27887.6589677793*((RANDBETWEEN(2979,3282)))</f>
        <v>90328127.396637022</v>
      </c>
      <c r="B13866">
        <v>165003838.04456592</v>
      </c>
    </row>
    <row r="13867" spans="1:2" x14ac:dyDescent="0.25">
      <c r="A13867">
        <f ca="1">31209.7048250911*((RANDBETWEEN(2979,3282)))</f>
        <v>93004920.378771335</v>
      </c>
      <c r="B13867">
        <v>192432923.27579027</v>
      </c>
    </row>
    <row r="13868" spans="1:2" x14ac:dyDescent="0.25">
      <c r="A13868">
        <f ca="1">33688.5269700294*((RANDBETWEEN(2979,3282)))</f>
        <v>108308614.20864441</v>
      </c>
      <c r="B13868">
        <v>163130495.90655312</v>
      </c>
    </row>
    <row r="13869" spans="1:2" x14ac:dyDescent="0.25">
      <c r="A13869">
        <f ca="1">25793.4267808503*((RANDBETWEEN(2979,3282)))</f>
        <v>81300881.213239998</v>
      </c>
      <c r="B13869">
        <v>192035242.15268189</v>
      </c>
    </row>
    <row r="13870" spans="1:2" x14ac:dyDescent="0.25">
      <c r="A13870">
        <f ca="1">26844.7560520855*((RANDBETWEEN(2979,3282)))</f>
        <v>81608058.398339987</v>
      </c>
      <c r="B13870">
        <v>153366430.77281851</v>
      </c>
    </row>
    <row r="13871" spans="1:2" x14ac:dyDescent="0.25">
      <c r="A13871">
        <f ca="1">32346.4092274433*((RANDBETWEEN(2979,3282)))</f>
        <v>97621463.048423901</v>
      </c>
      <c r="B13871">
        <v>182357774.47157991</v>
      </c>
    </row>
    <row r="13872" spans="1:2" x14ac:dyDescent="0.25">
      <c r="A13872">
        <f ca="1">26793.875244442*((RANDBETWEEN(2979,3282)))</f>
        <v>80515595.109548151</v>
      </c>
      <c r="B13872">
        <v>152932563.90382037</v>
      </c>
    </row>
    <row r="13873" spans="1:2" x14ac:dyDescent="0.25">
      <c r="A13873">
        <f ca="1">25571.3741078594*((RANDBETWEEN(2979,3282)))</f>
        <v>78069405.151294857</v>
      </c>
      <c r="B13873">
        <v>181410938.3272219</v>
      </c>
    </row>
    <row r="13874" spans="1:2" x14ac:dyDescent="0.25">
      <c r="A13874">
        <f ca="1">26253.2403079477*((RANDBETWEEN(2979,3282)))</f>
        <v>85559310.163601711</v>
      </c>
      <c r="B13874">
        <v>147379033.47058493</v>
      </c>
    </row>
    <row r="13875" spans="1:2" x14ac:dyDescent="0.25">
      <c r="A13875">
        <f ca="1">27556.0473144493*((RANDBETWEEN(2979,3282)))</f>
        <v>85699307.147937417</v>
      </c>
      <c r="B13875">
        <v>148856159.88396177</v>
      </c>
    </row>
    <row r="13876" spans="1:2" x14ac:dyDescent="0.25">
      <c r="A13876">
        <f ca="1">27418.8733000849*((RANDBETWEEN(2979,3282)))</f>
        <v>82887253.986156598</v>
      </c>
      <c r="B13876">
        <v>155103315.46499109</v>
      </c>
    </row>
    <row r="13877" spans="1:2" x14ac:dyDescent="0.25">
      <c r="A13877">
        <f ca="1">31965.9454196803*((RANDBETWEEN(2979,3282)))</f>
        <v>97623997.311703563</v>
      </c>
      <c r="B13877">
        <v>189951775.86470982</v>
      </c>
    </row>
    <row r="13878" spans="1:2" x14ac:dyDescent="0.25">
      <c r="A13878">
        <f ca="1">30502.4821225611*((RANDBETWEEN(2979,3282)))</f>
        <v>91293928.992825434</v>
      </c>
      <c r="B13878">
        <v>176161638.49638364</v>
      </c>
    </row>
    <row r="13879" spans="1:2" x14ac:dyDescent="0.25">
      <c r="A13879">
        <f ca="1">26755.870836569*((RANDBETWEEN(2979,3282)))</f>
        <v>81311091.472333238</v>
      </c>
      <c r="B13879">
        <v>199101990.59310535</v>
      </c>
    </row>
    <row r="13880" spans="1:2" x14ac:dyDescent="0.25">
      <c r="A13880">
        <f ca="1">24998.7620324454*((RANDBETWEEN(2979,3282)))</f>
        <v>76671203.153510123</v>
      </c>
      <c r="B13880">
        <v>174157406.53240392</v>
      </c>
    </row>
    <row r="13881" spans="1:2" x14ac:dyDescent="0.25">
      <c r="A13881">
        <f ca="1">31877.9565427253*((RANDBETWEEN(2979,3282)))</f>
        <v>96526452.4113722</v>
      </c>
      <c r="B13881">
        <v>198726721.91315573</v>
      </c>
    </row>
    <row r="13882" spans="1:2" x14ac:dyDescent="0.25">
      <c r="A13882">
        <f ca="1">25739.0048522476*((RANDBETWEEN(2979,3282)))</f>
        <v>77680316.644083396</v>
      </c>
      <c r="B13882">
        <v>160410645.20354056</v>
      </c>
    </row>
    <row r="13883" spans="1:2" x14ac:dyDescent="0.25">
      <c r="A13883">
        <f ca="1">27048.607691543*((RANDBETWEEN(2979,3282)))</f>
        <v>88719433.228261054</v>
      </c>
      <c r="B13883">
        <v>168032241.74594525</v>
      </c>
    </row>
    <row r="13884" spans="1:2" x14ac:dyDescent="0.25">
      <c r="A13884">
        <f ca="1">28957.6591634823*((RANDBETWEEN(2979,3282)))</f>
        <v>93272620.165576637</v>
      </c>
      <c r="B13884">
        <v>171604031.45337948</v>
      </c>
    </row>
    <row r="13885" spans="1:2" x14ac:dyDescent="0.25">
      <c r="A13885">
        <f ca="1">27804.2821811677*((RANDBETWEEN(2979,3282)))</f>
        <v>83607476.51877135</v>
      </c>
      <c r="B13885">
        <v>159645056.94244653</v>
      </c>
    </row>
    <row r="13886" spans="1:2" x14ac:dyDescent="0.25">
      <c r="A13886">
        <f ca="1">30418.2175164317*((RANDBETWEEN(2979,3282)))</f>
        <v>92197617.29230459</v>
      </c>
      <c r="B13886">
        <v>171184035.1310614</v>
      </c>
    </row>
    <row r="13887" spans="1:2" x14ac:dyDescent="0.25">
      <c r="A13887">
        <f ca="1">28375.0226397348*((RANDBETWEEN(2979,3282)))</f>
        <v>91849948.284821436</v>
      </c>
      <c r="B13887">
        <v>144952604.31900597</v>
      </c>
    </row>
    <row r="13888" spans="1:2" x14ac:dyDescent="0.25">
      <c r="A13888">
        <f ca="1">29395.0143817055*((RANDBETWEEN(2979,3282)))</f>
        <v>93564330.776968554</v>
      </c>
      <c r="B13888">
        <v>170958850.99045298</v>
      </c>
    </row>
    <row r="13889" spans="1:2" x14ac:dyDescent="0.25">
      <c r="A13889">
        <f ca="1">26541.0634912991*((RANDBETWEEN(2979,3282)))</f>
        <v>80844079.394497037</v>
      </c>
      <c r="B13889">
        <v>143998478.16921043</v>
      </c>
    </row>
    <row r="13890" spans="1:2" x14ac:dyDescent="0.25">
      <c r="A13890">
        <f ca="1">27732.8673114945*((RANDBETWEEN(2979,3282)))</f>
        <v>82754876.057499453</v>
      </c>
      <c r="B13890">
        <v>156705624.15657377</v>
      </c>
    </row>
    <row r="13891" spans="1:2" x14ac:dyDescent="0.25">
      <c r="A13891">
        <f ca="1">28077.4222744718*((RANDBETWEEN(2979,3282)))</f>
        <v>88022718.830469072</v>
      </c>
      <c r="B13891">
        <v>179814210.47647047</v>
      </c>
    </row>
    <row r="13892" spans="1:2" x14ac:dyDescent="0.25">
      <c r="A13892">
        <f ca="1">27209.124961222*((RANDBETWEEN(2979,3282)))</f>
        <v>88756165.623506069</v>
      </c>
      <c r="B13892">
        <v>185121763.05218127</v>
      </c>
    </row>
    <row r="13893" spans="1:2" x14ac:dyDescent="0.25">
      <c r="A13893">
        <f ca="1">32264.9567807886*((RANDBETWEEN(2979,3282)))</f>
        <v>98279058.354282036</v>
      </c>
      <c r="B13893">
        <v>180339322.98751032</v>
      </c>
    </row>
    <row r="13894" spans="1:2" x14ac:dyDescent="0.25">
      <c r="A13894">
        <f ca="1">27841.1289961538*((RANDBETWEEN(2979,3282)))</f>
        <v>90260940.205530539</v>
      </c>
      <c r="B13894">
        <v>195909183.15237308</v>
      </c>
    </row>
    <row r="13895" spans="1:2" x14ac:dyDescent="0.25">
      <c r="A13895">
        <f ca="1">25155.9983091009*((RANDBETWEEN(2979,3282)))</f>
        <v>79845138.633086175</v>
      </c>
      <c r="B13895">
        <v>152504838.76727653</v>
      </c>
    </row>
    <row r="13896" spans="1:2" x14ac:dyDescent="0.25">
      <c r="A13896">
        <f ca="1">26604.1077363709*((RANDBETWEEN(2979,3282)))</f>
        <v>80291197.148367286</v>
      </c>
      <c r="B13896">
        <v>143282986.70408601</v>
      </c>
    </row>
    <row r="13897" spans="1:2" x14ac:dyDescent="0.25">
      <c r="A13897">
        <f ca="1">30933.5400268117*((RANDBETWEEN(2979,3282)))</f>
        <v>98832660.385663539</v>
      </c>
      <c r="B13897">
        <v>156894915.14225978</v>
      </c>
    </row>
    <row r="13898" spans="1:2" x14ac:dyDescent="0.25">
      <c r="A13898">
        <f ca="1">31443.9898245013*((RANDBETWEEN(2979,3282)))</f>
        <v>101029539.30612269</v>
      </c>
      <c r="B13898">
        <v>201769478.92221618</v>
      </c>
    </row>
    <row r="13899" spans="1:2" x14ac:dyDescent="0.25">
      <c r="A13899">
        <f ca="1">30461.0109479169*((RANDBETWEEN(2979,3282)))</f>
        <v>92875622.380198538</v>
      </c>
      <c r="B13899">
        <v>186080507.9294219</v>
      </c>
    </row>
    <row r="13900" spans="1:2" x14ac:dyDescent="0.25">
      <c r="A13900">
        <f ca="1">27850.4694406148*((RANDBETWEEN(2979,3282)))</f>
        <v>89929165.82374534</v>
      </c>
      <c r="B13900">
        <v>166200730.84935221</v>
      </c>
    </row>
    <row r="13901" spans="1:2" x14ac:dyDescent="0.25">
      <c r="A13901">
        <f ca="1">29705.297177141*((RANDBETWEEN(2979,3282)))</f>
        <v>94849013.886611134</v>
      </c>
      <c r="B13901">
        <v>203551904.22885337</v>
      </c>
    </row>
    <row r="13902" spans="1:2" x14ac:dyDescent="0.25">
      <c r="A13902">
        <f ca="1">29928.2112622547*((RANDBETWEEN(2979,3282)))</f>
        <v>95500922.137854844</v>
      </c>
      <c r="B13902">
        <v>143470826.44407508</v>
      </c>
    </row>
    <row r="13903" spans="1:2" x14ac:dyDescent="0.25">
      <c r="A13903">
        <f ca="1">28174.641498827*((RANDBETWEEN(2979,3282)))</f>
        <v>86129879.061914012</v>
      </c>
      <c r="B13903">
        <v>149069084.36602834</v>
      </c>
    </row>
    <row r="13904" spans="1:2" x14ac:dyDescent="0.25">
      <c r="A13904">
        <f ca="1">27852.9599987596*((RANDBETWEEN(2979,3282)))</f>
        <v>85174351.676206961</v>
      </c>
      <c r="B13904">
        <v>158980111.22002348</v>
      </c>
    </row>
    <row r="13905" spans="1:2" x14ac:dyDescent="0.25">
      <c r="A13905">
        <f ca="1">32605.5560338012*((RANDBETWEEN(2979,3282)))</f>
        <v>106554957.11846243</v>
      </c>
      <c r="B13905">
        <v>171182681.4363369</v>
      </c>
    </row>
    <row r="13906" spans="1:2" x14ac:dyDescent="0.25">
      <c r="A13906">
        <f ca="1">28435.0302175637*((RANDBETWEEN(2979,3282)))</f>
        <v>88063288.583794832</v>
      </c>
      <c r="B13906">
        <v>185942252.04468578</v>
      </c>
    </row>
    <row r="13907" spans="1:2" x14ac:dyDescent="0.25">
      <c r="A13907">
        <f ca="1">28002.7866128383*((RANDBETWEEN(2979,3282)))</f>
        <v>86500607.847057387</v>
      </c>
      <c r="B13907">
        <v>200200413.99020177</v>
      </c>
    </row>
    <row r="13908" spans="1:2" x14ac:dyDescent="0.25">
      <c r="A13908">
        <f ca="1">25729.3859698899*((RANDBETWEEN(2979,3282)))</f>
        <v>81819447.384249747</v>
      </c>
      <c r="B13908">
        <v>151893094.3158972</v>
      </c>
    </row>
    <row r="13909" spans="1:2" x14ac:dyDescent="0.25">
      <c r="A13909">
        <f ca="1">24645.0697706461*((RANDBETWEEN(2979,3282)))</f>
        <v>77360874.010057986</v>
      </c>
      <c r="B13909">
        <v>169137480.97189939</v>
      </c>
    </row>
    <row r="13910" spans="1:2" x14ac:dyDescent="0.25">
      <c r="A13910">
        <f ca="1">27488.7491574394*((RANDBETWEEN(2979,3282)))</f>
        <v>86012296.113628</v>
      </c>
      <c r="B13910">
        <v>178472922.43003857</v>
      </c>
    </row>
    <row r="13911" spans="1:2" x14ac:dyDescent="0.25">
      <c r="A13911">
        <f ca="1">27587.8049095566*((RANDBETWEEN(2979,3282)))</f>
        <v>86956761.074922472</v>
      </c>
      <c r="B13911">
        <v>151814540.44118986</v>
      </c>
    </row>
    <row r="13912" spans="1:2" x14ac:dyDescent="0.25">
      <c r="A13912">
        <f ca="1">26283.5098994166*((RANDBETWEEN(2979,3282)))</f>
        <v>82793056.183162227</v>
      </c>
      <c r="B13912">
        <v>152767192.88486847</v>
      </c>
    </row>
    <row r="13913" spans="1:2" x14ac:dyDescent="0.25">
      <c r="A13913">
        <f ca="1">29542.0162754083*((RANDBETWEEN(2979,3282)))</f>
        <v>96602393.220585108</v>
      </c>
      <c r="B13913">
        <v>148389862.74306628</v>
      </c>
    </row>
    <row r="13914" spans="1:2" x14ac:dyDescent="0.25">
      <c r="A13914">
        <f ca="1">30267.1376290655*((RANDBETWEEN(2979,3282)))</f>
        <v>93313585.310409054</v>
      </c>
      <c r="B13914">
        <v>164930956.18351436</v>
      </c>
    </row>
    <row r="13915" spans="1:2" x14ac:dyDescent="0.25">
      <c r="A13915">
        <f ca="1">27232.0043020395*((RANDBETWEEN(2979,3282)))</f>
        <v>83112077.129824445</v>
      </c>
      <c r="B13915">
        <v>144152306.16239139</v>
      </c>
    </row>
    <row r="13916" spans="1:2" x14ac:dyDescent="0.25">
      <c r="A13916">
        <f ca="1">33327.4454550451*((RANDBETWEEN(2979,3282)))</f>
        <v>100815522.50151151</v>
      </c>
      <c r="B13916">
        <v>168978836.94773948</v>
      </c>
    </row>
    <row r="13917" spans="1:2" x14ac:dyDescent="0.25">
      <c r="A13917">
        <f ca="1">25859.3773877877*((RANDBETWEEN(2979,3282)))</f>
        <v>83448210.830390915</v>
      </c>
      <c r="B13917">
        <v>152734282.98792538</v>
      </c>
    </row>
    <row r="13918" spans="1:2" x14ac:dyDescent="0.25">
      <c r="A13918">
        <f ca="1">27821.7722692971*((RANDBETWEEN(2979,3282)))</f>
        <v>90893730.003793672</v>
      </c>
      <c r="B13918">
        <v>179708800.2169078</v>
      </c>
    </row>
    <row r="13919" spans="1:2" x14ac:dyDescent="0.25">
      <c r="A13919">
        <f ca="1">25101.490485788*((RANDBETWEEN(2979,3282)))</f>
        <v>77312590.696227089</v>
      </c>
      <c r="B13919">
        <v>158260440.11536664</v>
      </c>
    </row>
    <row r="13920" spans="1:2" x14ac:dyDescent="0.25">
      <c r="A13920">
        <f ca="1">26288.6448258678*((RANDBETWEEN(2979,3282)))</f>
        <v>79365418.729294762</v>
      </c>
      <c r="B13920">
        <v>155799835.10873002</v>
      </c>
    </row>
    <row r="13921" spans="1:2" x14ac:dyDescent="0.25">
      <c r="A13921">
        <f ca="1">27783.0879351799*((RANDBETWEEN(2979,3282)))</f>
        <v>87933473.314844474</v>
      </c>
      <c r="B13921">
        <v>192317819.34731269</v>
      </c>
    </row>
    <row r="13922" spans="1:2" x14ac:dyDescent="0.25">
      <c r="A13922">
        <f ca="1">26689.3676150852*((RANDBETWEEN(2979,3282)))</f>
        <v>84872189.015971094</v>
      </c>
      <c r="B13922">
        <v>145405128.69728944</v>
      </c>
    </row>
    <row r="13923" spans="1:2" x14ac:dyDescent="0.25">
      <c r="A13923">
        <f ca="1">28267.4610554503*((RANDBETWEEN(2979,3282)))</f>
        <v>85537337.153792486</v>
      </c>
      <c r="B13923">
        <v>159736883.0862444</v>
      </c>
    </row>
    <row r="13924" spans="1:2" x14ac:dyDescent="0.25">
      <c r="A13924">
        <f ca="1">27427.1575271738*((RANDBETWEEN(2979,3282)))</f>
        <v>81760356.588505134</v>
      </c>
      <c r="B13924">
        <v>168505561.19211832</v>
      </c>
    </row>
    <row r="13925" spans="1:2" x14ac:dyDescent="0.25">
      <c r="A13925">
        <f ca="1">33124.4581149698*((RANDBETWEEN(2979,3282)))</f>
        <v>108482600.326526</v>
      </c>
      <c r="B13925">
        <v>164167701.64577538</v>
      </c>
    </row>
    <row r="13926" spans="1:2" x14ac:dyDescent="0.25">
      <c r="A13926">
        <f ca="1">32596.1292763806*((RANDBETWEEN(2979,3282)))</f>
        <v>106165593.0531715</v>
      </c>
      <c r="B13926">
        <v>180011447.31581753</v>
      </c>
    </row>
    <row r="13927" spans="1:2" x14ac:dyDescent="0.25">
      <c r="A13927">
        <f ca="1">31196.8110591904*((RANDBETWEEN(2979,3282)))</f>
        <v>97146869.638318822</v>
      </c>
      <c r="B13927">
        <v>167479076.18152937</v>
      </c>
    </row>
    <row r="13928" spans="1:2" x14ac:dyDescent="0.25">
      <c r="A13928">
        <f ca="1">27192.9583278796*((RANDBETWEEN(2979,3282)))</f>
        <v>83128873.608327791</v>
      </c>
      <c r="B13928">
        <v>175913873.5135985</v>
      </c>
    </row>
    <row r="13929" spans="1:2" x14ac:dyDescent="0.25">
      <c r="A13929">
        <f ca="1">32189.1477604641*((RANDBETWEEN(2979,3282)))</f>
        <v>103713434.08421543</v>
      </c>
      <c r="B13929">
        <v>192490985.72983319</v>
      </c>
    </row>
    <row r="13930" spans="1:2" x14ac:dyDescent="0.25">
      <c r="A13930">
        <f ca="1">26503.3812149983*((RANDBETWEEN(2979,3282)))</f>
        <v>84757813.12556453</v>
      </c>
      <c r="B13930">
        <v>161180008.68669859</v>
      </c>
    </row>
    <row r="13931" spans="1:2" x14ac:dyDescent="0.25">
      <c r="A13931">
        <f ca="1">28279.7095616462*((RANDBETWEEN(2979,3282)))</f>
        <v>90834427.112007722</v>
      </c>
      <c r="B13931">
        <v>196689788.61189064</v>
      </c>
    </row>
    <row r="13932" spans="1:2" x14ac:dyDescent="0.25">
      <c r="A13932">
        <f ca="1">26407.9601838265*((RANDBETWEEN(2979,3282)))</f>
        <v>84716736.269715443</v>
      </c>
      <c r="B13932">
        <v>162624677.25171205</v>
      </c>
    </row>
    <row r="13933" spans="1:2" x14ac:dyDescent="0.25">
      <c r="A13933">
        <f ca="1">27322.1492155616*((RANDBETWEEN(2979,3282)))</f>
        <v>88715018.502928525</v>
      </c>
      <c r="B13933">
        <v>149782103.32299793</v>
      </c>
    </row>
    <row r="13934" spans="1:2" x14ac:dyDescent="0.25">
      <c r="A13934">
        <f ca="1">31762.2250309743*((RANDBETWEEN(2979,3282)))</f>
        <v>100876826.69837429</v>
      </c>
      <c r="B13934">
        <v>177994156.34162298</v>
      </c>
    </row>
    <row r="13935" spans="1:2" x14ac:dyDescent="0.25">
      <c r="A13935">
        <f ca="1">30512.7232176205*((RANDBETWEEN(2979,3282)))</f>
        <v>94131751.12635909</v>
      </c>
      <c r="B13935">
        <v>147481031.06554937</v>
      </c>
    </row>
    <row r="13936" spans="1:2" x14ac:dyDescent="0.25">
      <c r="A13936">
        <f ca="1">28136.6475235557*((RANDBETWEEN(2979,3282)))</f>
        <v>87223607.323022768</v>
      </c>
      <c r="B13936">
        <v>146005576.61885706</v>
      </c>
    </row>
    <row r="13937" spans="1:2" x14ac:dyDescent="0.25">
      <c r="A13937">
        <f ca="1">28649.399512476*((RANDBETWEEN(2979,3282)))</f>
        <v>90675349.456986696</v>
      </c>
      <c r="B13937">
        <v>157214370.44896755</v>
      </c>
    </row>
    <row r="13938" spans="1:2" x14ac:dyDescent="0.25">
      <c r="A13938">
        <f ca="1">32508.6616264001*((RANDBETWEEN(2979,3282)))</f>
        <v>101914654.19876446</v>
      </c>
      <c r="B13938">
        <v>173388614.57618451</v>
      </c>
    </row>
    <row r="13939" spans="1:2" x14ac:dyDescent="0.25">
      <c r="A13939">
        <f ca="1">26390.480821689*((RANDBETWEEN(2979,3282)))</f>
        <v>80042328.332182616</v>
      </c>
      <c r="B13939">
        <v>171457071.09753907</v>
      </c>
    </row>
    <row r="13940" spans="1:2" x14ac:dyDescent="0.25">
      <c r="A13940">
        <f ca="1">28302.4956591153*((RANDBETWEEN(2979,3282)))</f>
        <v>91784993.422511086</v>
      </c>
      <c r="B13940">
        <v>175748711.10511598</v>
      </c>
    </row>
    <row r="13941" spans="1:2" x14ac:dyDescent="0.25">
      <c r="A13941">
        <f ca="1">27969.1404972803*((RANDBETWEEN(2979,3282)))</f>
        <v>85949168.748142228</v>
      </c>
      <c r="B13941">
        <v>183611201.31043893</v>
      </c>
    </row>
    <row r="13942" spans="1:2" x14ac:dyDescent="0.25">
      <c r="A13942">
        <f ca="1">31568.5012055587*((RANDBETWEEN(2979,3282)))</f>
        <v>94705503.616676062</v>
      </c>
      <c r="B13942">
        <v>157506571.85428011</v>
      </c>
    </row>
    <row r="13943" spans="1:2" x14ac:dyDescent="0.25">
      <c r="A13943">
        <f ca="1">28351.3939806429*((RANDBETWEEN(2979,3282)))</f>
        <v>86556805.82290265</v>
      </c>
      <c r="B13943">
        <v>169954234.69321537</v>
      </c>
    </row>
    <row r="13944" spans="1:2" x14ac:dyDescent="0.25">
      <c r="A13944">
        <f ca="1">33359.1499849183*((RANDBETWEEN(2979,3282)))</f>
        <v>104914526.70256808</v>
      </c>
      <c r="B13944">
        <v>152563447.08540225</v>
      </c>
    </row>
    <row r="13945" spans="1:2" x14ac:dyDescent="0.25">
      <c r="A13945">
        <f ca="1">26835.2520528964*((RANDBETWEEN(2979,3282)))</f>
        <v>83511304.388613671</v>
      </c>
      <c r="B13945">
        <v>144204040.98248327</v>
      </c>
    </row>
    <row r="13946" spans="1:2" x14ac:dyDescent="0.25">
      <c r="A13946">
        <f ca="1">32365.8824592855*((RANDBETWEEN(2979,3282)))</f>
        <v>96482695.611130029</v>
      </c>
      <c r="B13946">
        <v>143171570.82783255</v>
      </c>
    </row>
    <row r="13947" spans="1:2" x14ac:dyDescent="0.25">
      <c r="A13947">
        <f ca="1">26426.7578211186*((RANDBETWEEN(2979,3282)))</f>
        <v>82557191.433174476</v>
      </c>
      <c r="B13947">
        <v>158276370.17036569</v>
      </c>
    </row>
    <row r="13948" spans="1:2" x14ac:dyDescent="0.25">
      <c r="A13948">
        <f ca="1">26912.1091115211*((RANDBETWEEN(2979,3282)))</f>
        <v>81543690.607908875</v>
      </c>
      <c r="B13948">
        <v>143658856.96909609</v>
      </c>
    </row>
    <row r="13949" spans="1:2" x14ac:dyDescent="0.25">
      <c r="A13949">
        <f ca="1">29060.730885804*((RANDBETWEEN(2979,3282)))</f>
        <v>90175447.938649967</v>
      </c>
      <c r="B13949">
        <v>151152939.45246193</v>
      </c>
    </row>
    <row r="13950" spans="1:2" x14ac:dyDescent="0.25">
      <c r="A13950">
        <f ca="1">25126.5629914367*((RANDBETWEEN(2979,3282)))</f>
        <v>81987975.041057974</v>
      </c>
      <c r="B13950">
        <v>152071554.01750422</v>
      </c>
    </row>
    <row r="13951" spans="1:2" x14ac:dyDescent="0.25">
      <c r="A13951">
        <f ca="1">25687.1331592031*((RANDBETWEEN(2979,3282)))</f>
        <v>77266896.54288286</v>
      </c>
      <c r="B13951">
        <v>144570370.9453305</v>
      </c>
    </row>
    <row r="13952" spans="1:2" x14ac:dyDescent="0.25">
      <c r="A13952">
        <f ca="1">30354.5515366986*((RANDBETWEEN(2979,3282)))</f>
        <v>96132864.71672453</v>
      </c>
      <c r="B13952">
        <v>169757573.35355887</v>
      </c>
    </row>
    <row r="13953" spans="1:2" x14ac:dyDescent="0.25">
      <c r="A13953">
        <f ca="1">26172.5113827098*((RANDBETWEEN(2979,3282)))</f>
        <v>81789098.070968077</v>
      </c>
      <c r="B13953">
        <v>172991386.67981505</v>
      </c>
    </row>
    <row r="13954" spans="1:2" x14ac:dyDescent="0.25">
      <c r="A13954">
        <f ca="1">26139.584597777*((RANDBETWEEN(2979,3282)))</f>
        <v>83071599.851735294</v>
      </c>
      <c r="B13954">
        <v>143717640.67283124</v>
      </c>
    </row>
    <row r="13955" spans="1:2" x14ac:dyDescent="0.25">
      <c r="A13955">
        <f ca="1">28613.6477714636*((RANDBETWEEN(2979,3282)))</f>
        <v>89446262.933595166</v>
      </c>
      <c r="B13955">
        <v>170799128.20837849</v>
      </c>
    </row>
    <row r="13956" spans="1:2" x14ac:dyDescent="0.25">
      <c r="A13956">
        <f ca="1">26481.4382834551*((RANDBETWEEN(2979,3282)))</f>
        <v>83151716.210048929</v>
      </c>
      <c r="B13956">
        <v>176034318.77157921</v>
      </c>
    </row>
    <row r="13957" spans="1:2" x14ac:dyDescent="0.25">
      <c r="A13957">
        <f ca="1">26712.9180100249*((RANDBETWEEN(2979,3282)))</f>
        <v>85561476.386109769</v>
      </c>
      <c r="B13957">
        <v>190187326.50169498</v>
      </c>
    </row>
    <row r="13958" spans="1:2" x14ac:dyDescent="0.25">
      <c r="A13958">
        <f ca="1">25649.8068952001*((RANDBETWEEN(2979,3282)))</f>
        <v>81181638.8233082</v>
      </c>
      <c r="B13958">
        <v>146677188.47249144</v>
      </c>
    </row>
    <row r="13959" spans="1:2" x14ac:dyDescent="0.25">
      <c r="A13959">
        <f ca="1">34810.126683314*((RANDBETWEEN(2979,3282)))</f>
        <v>106727848.41104066</v>
      </c>
      <c r="B13959">
        <v>156319068.0690634</v>
      </c>
    </row>
    <row r="13960" spans="1:2" x14ac:dyDescent="0.25">
      <c r="A13960">
        <f ca="1">29448.9792520726*((RANDBETWEEN(2979,3282)))</f>
        <v>90614509.158627361</v>
      </c>
      <c r="B13960">
        <v>171026761.12765443</v>
      </c>
    </row>
    <row r="13961" spans="1:2" x14ac:dyDescent="0.25">
      <c r="A13961">
        <f ca="1">30458.9782880946*((RANDBETWEEN(2979,3282)))</f>
        <v>93539522.322738484</v>
      </c>
      <c r="B13961">
        <v>172252632.38085413</v>
      </c>
    </row>
    <row r="13962" spans="1:2" x14ac:dyDescent="0.25">
      <c r="A13962">
        <f ca="1">25453.8491506738*((RANDBETWEEN(2979,3282)))</f>
        <v>79925086.333115816</v>
      </c>
      <c r="B13962">
        <v>146344343.97446901</v>
      </c>
    </row>
    <row r="13963" spans="1:2" x14ac:dyDescent="0.25">
      <c r="A13963">
        <f ca="1">26939.8924727113*((RANDBETWEEN(2979,3282)))</f>
        <v>82328311.3966057</v>
      </c>
      <c r="B13963">
        <v>145107836.12928361</v>
      </c>
    </row>
    <row r="13964" spans="1:2" x14ac:dyDescent="0.25">
      <c r="A13964">
        <f ca="1">28771.8247768813*((RANDBETWEEN(2979,3282)))</f>
        <v>85941440.60854429</v>
      </c>
      <c r="B13964">
        <v>194933660.95277125</v>
      </c>
    </row>
    <row r="13965" spans="1:2" x14ac:dyDescent="0.25">
      <c r="A13965">
        <f ca="1">27465.9843236511*((RANDBETWEEN(2979,3282)))</f>
        <v>87369296.133534297</v>
      </c>
      <c r="B13965">
        <v>180524240.945705</v>
      </c>
    </row>
    <row r="13966" spans="1:2" x14ac:dyDescent="0.25">
      <c r="A13966">
        <f ca="1">28110.6930123662*((RANDBETWEEN(2979,3282)))</f>
        <v>83741754.483838871</v>
      </c>
      <c r="B13966">
        <v>164346202.32641882</v>
      </c>
    </row>
    <row r="13967" spans="1:2" x14ac:dyDescent="0.25">
      <c r="A13967">
        <f ca="1">29200.8269898341*((RANDBETWEEN(2979,3282)))</f>
        <v>93851457.945326686</v>
      </c>
      <c r="B13967">
        <v>186699387.29707152</v>
      </c>
    </row>
    <row r="13968" spans="1:2" x14ac:dyDescent="0.25">
      <c r="A13968">
        <f ca="1">27166.6173330177*((RANDBETWEEN(2979,3282)))</f>
        <v>82776683.013704807</v>
      </c>
      <c r="B13968">
        <v>195303476.97390357</v>
      </c>
    </row>
    <row r="13969" spans="1:2" x14ac:dyDescent="0.25">
      <c r="A13969">
        <f ca="1">29097.8003822758*((RANDBETWEEN(2979,3282)))</f>
        <v>92589200.81640166</v>
      </c>
      <c r="B13969">
        <v>145682754.19405228</v>
      </c>
    </row>
    <row r="13970" spans="1:2" x14ac:dyDescent="0.25">
      <c r="A13970">
        <f ca="1">33155.7540229393*((RANDBETWEEN(2979,3282)))</f>
        <v>105203207.51478636</v>
      </c>
      <c r="B13970">
        <v>152215648.06152022</v>
      </c>
    </row>
    <row r="13971" spans="1:2" x14ac:dyDescent="0.25">
      <c r="A13971">
        <f ca="1">26775.065741274*((RANDBETWEEN(2979,3282)))</f>
        <v>82868828.46924296</v>
      </c>
      <c r="B13971">
        <v>174968249.52580974</v>
      </c>
    </row>
    <row r="13972" spans="1:2" x14ac:dyDescent="0.25">
      <c r="A13972">
        <f ca="1">25641.5092608744*((RANDBETWEEN(2979,3282)))</f>
        <v>78463018.338275596</v>
      </c>
      <c r="B13972">
        <v>151516336.27625844</v>
      </c>
    </row>
    <row r="13973" spans="1:2" x14ac:dyDescent="0.25">
      <c r="A13973">
        <f ca="1">27385.5263059412*((RANDBETWEEN(2979,3282)))</f>
        <v>88318322.336660355</v>
      </c>
      <c r="B13973">
        <v>176479255.44980636</v>
      </c>
    </row>
    <row r="13974" spans="1:2" x14ac:dyDescent="0.25">
      <c r="A13974">
        <f ca="1">26806.9029922796*((RANDBETWEEN(2979,3282)))</f>
        <v>80742391.812746227</v>
      </c>
      <c r="B13974">
        <v>151836330.07422298</v>
      </c>
    </row>
    <row r="13975" spans="1:2" x14ac:dyDescent="0.25">
      <c r="A13975">
        <f ca="1">25173.6081264606*((RANDBETWEEN(2979,3282)))</f>
        <v>80127594.666524172</v>
      </c>
      <c r="B13975">
        <v>145190486.05959439</v>
      </c>
    </row>
    <row r="13976" spans="1:2" x14ac:dyDescent="0.25">
      <c r="A13976">
        <f ca="1">29323.0822710667*((RANDBETWEEN(2979,3282)))</f>
        <v>94273709.501479343</v>
      </c>
      <c r="B13976">
        <v>171407183.87917727</v>
      </c>
    </row>
    <row r="13977" spans="1:2" x14ac:dyDescent="0.25">
      <c r="A13977">
        <f ca="1">27991.6622153371*((RANDBETWEEN(2979,3282)))</f>
        <v>85234611.445701629</v>
      </c>
      <c r="B13977">
        <v>175736563.60657626</v>
      </c>
    </row>
    <row r="13978" spans="1:2" x14ac:dyDescent="0.25">
      <c r="A13978">
        <f ca="1">26228.7185203924*((RANDBETWEEN(2979,3282)))</f>
        <v>83486011.050409064</v>
      </c>
      <c r="B13978">
        <v>168201125.82257944</v>
      </c>
    </row>
    <row r="13979" spans="1:2" x14ac:dyDescent="0.25">
      <c r="A13979">
        <f ca="1">25633.6156304647*((RANDBETWEEN(2979,3282)))</f>
        <v>81796867.476812705</v>
      </c>
      <c r="B13979">
        <v>161962997.17225635</v>
      </c>
    </row>
    <row r="13980" spans="1:2" x14ac:dyDescent="0.25">
      <c r="A13980">
        <f ca="1">27130.7411777488*((RANDBETWEEN(2979,3282)))</f>
        <v>82613106.886245042</v>
      </c>
      <c r="B13980">
        <v>166644693.19322947</v>
      </c>
    </row>
    <row r="13981" spans="1:2" x14ac:dyDescent="0.25">
      <c r="A13981">
        <f ca="1">31545.2039618297*((RANDBETWEEN(2979,3282)))</f>
        <v>103499814.1987634</v>
      </c>
      <c r="B13981">
        <v>194349773.30388853</v>
      </c>
    </row>
    <row r="13982" spans="1:2" x14ac:dyDescent="0.25">
      <c r="A13982">
        <f ca="1">26008.0805639063*((RANDBETWEEN(2979,3282)))</f>
        <v>77582104.322132349</v>
      </c>
      <c r="B13982">
        <v>157080904.74415228</v>
      </c>
    </row>
    <row r="13983" spans="1:2" x14ac:dyDescent="0.25">
      <c r="A13983">
        <f ca="1">27104.5694942307*((RANDBETWEEN(2979,3282)))</f>
        <v>81747381.594599649</v>
      </c>
      <c r="B13983">
        <v>164674993.91028523</v>
      </c>
    </row>
    <row r="13984" spans="1:2" x14ac:dyDescent="0.25">
      <c r="A13984">
        <f ca="1">28514.4562111946*((RANDBETWEEN(2979,3282)))</f>
        <v>86341773.407497346</v>
      </c>
      <c r="B13984">
        <v>178565077.1053744</v>
      </c>
    </row>
    <row r="13985" spans="1:2" x14ac:dyDescent="0.25">
      <c r="A13985">
        <f ca="1">30238.5840168227*((RANDBETWEEN(2979,3282)))</f>
        <v>98124205.134589657</v>
      </c>
      <c r="B13985">
        <v>169313531.96001506</v>
      </c>
    </row>
    <row r="13986" spans="1:2" x14ac:dyDescent="0.25">
      <c r="A13986">
        <f ca="1">26799.8071084227*((RANDBETWEEN(2979,3282)))</f>
        <v>84070994.89912203</v>
      </c>
      <c r="B13986">
        <v>155741626.50489539</v>
      </c>
    </row>
    <row r="13987" spans="1:2" x14ac:dyDescent="0.25">
      <c r="A13987">
        <f ca="1">26486.5327607475*((RANDBETWEEN(2979,3282)))</f>
        <v>81790413.165188134</v>
      </c>
      <c r="B13987">
        <v>172572891.21520147</v>
      </c>
    </row>
    <row r="13988" spans="1:2" x14ac:dyDescent="0.25">
      <c r="A13988">
        <f ca="1">29046.6687113564*((RANDBETWEEN(2979,3282)))</f>
        <v>89202319.612575501</v>
      </c>
      <c r="B13988">
        <v>183599452.21197444</v>
      </c>
    </row>
    <row r="13989" spans="1:2" x14ac:dyDescent="0.25">
      <c r="A13989">
        <f ca="1">29615.3575993376*((RANDBETWEEN(2979,3282)))</f>
        <v>88253765.646025956</v>
      </c>
      <c r="B13989">
        <v>151414483.77631205</v>
      </c>
    </row>
    <row r="13990" spans="1:2" x14ac:dyDescent="0.25">
      <c r="A13990">
        <f ca="1">26088.4123352758*((RANDBETWEEN(2979,3282)))</f>
        <v>83822068.833241239</v>
      </c>
      <c r="B13990">
        <v>144626699.36169642</v>
      </c>
    </row>
    <row r="13991" spans="1:2" x14ac:dyDescent="0.25">
      <c r="A13991">
        <f ca="1">26745.0634909186*((RANDBETWEEN(2979,3282)))</f>
        <v>82214325.171083853</v>
      </c>
      <c r="B13991">
        <v>174159485.11118674</v>
      </c>
    </row>
    <row r="13992" spans="1:2" x14ac:dyDescent="0.25">
      <c r="A13992">
        <f ca="1">29996.2207176018*((RANDBETWEEN(2979,3282)))</f>
        <v>96587830.710677937</v>
      </c>
      <c r="B13992">
        <v>183275998.51576006</v>
      </c>
    </row>
    <row r="13993" spans="1:2" x14ac:dyDescent="0.25">
      <c r="A13993">
        <f ca="1">29055.2161298832*((RANDBETWEEN(2979,3282)))</f>
        <v>93615906.370483741</v>
      </c>
      <c r="B13993">
        <v>176141089.79489899</v>
      </c>
    </row>
    <row r="13994" spans="1:2" x14ac:dyDescent="0.25">
      <c r="A13994">
        <f ca="1">26284.4158947227*((RANDBETWEEN(2979,3282)))</f>
        <v>85529489.321427643</v>
      </c>
      <c r="B13994">
        <v>144080538.74971923</v>
      </c>
    </row>
    <row r="13995" spans="1:2" x14ac:dyDescent="0.25">
      <c r="A13995">
        <f ca="1">27029.8786827432*((RANDBETWEEN(2979,3282)))</f>
        <v>83441235.493628412</v>
      </c>
      <c r="B13995">
        <v>146344392.33944374</v>
      </c>
    </row>
    <row r="13996" spans="1:2" x14ac:dyDescent="0.25">
      <c r="A13996">
        <f ca="1">25187.8612744895*((RANDBETWEEN(2979,3282)))</f>
        <v>78384624.286211237</v>
      </c>
      <c r="B13996">
        <v>185087996.89733541</v>
      </c>
    </row>
    <row r="13997" spans="1:2" x14ac:dyDescent="0.25">
      <c r="A13997">
        <f ca="1">31747.3573212259*((RANDBETWEEN(2979,3282)))</f>
        <v>100099417.63382539</v>
      </c>
      <c r="B13997">
        <v>171758036.71384498</v>
      </c>
    </row>
    <row r="13998" spans="1:2" x14ac:dyDescent="0.25">
      <c r="A13998">
        <f ca="1">27512.2408682861*((RANDBETWEEN(2979,3282)))</f>
        <v>86525997.530759797</v>
      </c>
      <c r="B13998">
        <v>146958435.08056304</v>
      </c>
    </row>
    <row r="13999" spans="1:2" x14ac:dyDescent="0.25">
      <c r="A13999">
        <f ca="1">27047.4908905276*((RANDBETWEEN(2979,3282)))</f>
        <v>84712741.469132438</v>
      </c>
      <c r="B13999">
        <v>183125991.06655505</v>
      </c>
    </row>
    <row r="14000" spans="1:2" x14ac:dyDescent="0.25">
      <c r="A14000">
        <f ca="1">27564.142242284*((RANDBETWEEN(2979,3282)))</f>
        <v>86386021.787317961</v>
      </c>
      <c r="B14000">
        <v>201383368.51903307</v>
      </c>
    </row>
    <row r="14001" spans="1:2" x14ac:dyDescent="0.25">
      <c r="A14001">
        <f ca="1">27555.5738805369*((RANDBETWEEN(2979,3282)))</f>
        <v>85119167.716978356</v>
      </c>
      <c r="B14001">
        <v>168027453.04628545</v>
      </c>
    </row>
    <row r="14002" spans="1:2" x14ac:dyDescent="0.25">
      <c r="A14002">
        <f ca="1">28073.1687815433*((RANDBETWEEN(2979,3282)))</f>
        <v>88121676.805264682</v>
      </c>
      <c r="B14002">
        <v>200245727.4104321</v>
      </c>
    </row>
    <row r="14003" spans="1:2" x14ac:dyDescent="0.25">
      <c r="A14003">
        <f ca="1">26909.8169989555*((RANDBETWEEN(2979,3282)))</f>
        <v>85331029.703687772</v>
      </c>
      <c r="B14003">
        <v>148609377.39741969</v>
      </c>
    </row>
    <row r="14004" spans="1:2" x14ac:dyDescent="0.25">
      <c r="A14004">
        <f ca="1">25457.0184211692*((RANDBETWEEN(2979,3282)))</f>
        <v>81997056.334585965</v>
      </c>
      <c r="B14004">
        <v>155264106.77690709</v>
      </c>
    </row>
    <row r="14005" spans="1:2" x14ac:dyDescent="0.25">
      <c r="A14005">
        <f ca="1">28433.8654834016*((RANDBETWEEN(2979,3282)))</f>
        <v>89140168.290464088</v>
      </c>
      <c r="B14005">
        <v>175524285.5658024</v>
      </c>
    </row>
    <row r="14006" spans="1:2" x14ac:dyDescent="0.25">
      <c r="A14006">
        <f ca="1">29562.39249937*((RANDBETWEEN(2979,3282)))</f>
        <v>89544486.88059181</v>
      </c>
      <c r="B14006">
        <v>201990743.5287762</v>
      </c>
    </row>
    <row r="14007" spans="1:2" x14ac:dyDescent="0.25">
      <c r="A14007">
        <f ca="1">29631.9264512521*((RANDBETWEEN(2979,3282)))</f>
        <v>91621916.587271422</v>
      </c>
      <c r="B14007">
        <v>156196046.78175664</v>
      </c>
    </row>
    <row r="14008" spans="1:2" x14ac:dyDescent="0.25">
      <c r="A14008">
        <f ca="1">25785.3379367767*((RANDBETWEEN(2979,3282)))</f>
        <v>81739521.259582162</v>
      </c>
      <c r="B14008">
        <v>150386950.92354435</v>
      </c>
    </row>
    <row r="14009" spans="1:2" x14ac:dyDescent="0.25">
      <c r="A14009">
        <f ca="1">29352.6059652318*((RANDBETWEEN(2979,3282)))</f>
        <v>93018408.303819612</v>
      </c>
      <c r="B14009">
        <v>172269755.66482955</v>
      </c>
    </row>
    <row r="14010" spans="1:2" x14ac:dyDescent="0.25">
      <c r="A14010">
        <f ca="1">28084.3359472155*((RANDBETWEEN(2979,3282)))</f>
        <v>85516802.959271312</v>
      </c>
      <c r="B14010">
        <v>192304594.44010603</v>
      </c>
    </row>
    <row r="14011" spans="1:2" x14ac:dyDescent="0.25">
      <c r="A14011">
        <f ca="1">25545.168441008*((RANDBETWEEN(2979,3282)))</f>
        <v>79419928.683093861</v>
      </c>
      <c r="B14011">
        <v>154040947.29101503</v>
      </c>
    </row>
    <row r="14012" spans="1:2" x14ac:dyDescent="0.25">
      <c r="A14012">
        <f ca="1">26244.5687957863*((RANDBETWEEN(2979,3282)))</f>
        <v>83956375.577720314</v>
      </c>
      <c r="B14012">
        <v>196870687.47939205</v>
      </c>
    </row>
    <row r="14013" spans="1:2" x14ac:dyDescent="0.25">
      <c r="A14013">
        <f ca="1">26314.7564001864*((RANDBETWEEN(2979,3282)))</f>
        <v>84707200.852199927</v>
      </c>
      <c r="B14013">
        <v>202733712.58075705</v>
      </c>
    </row>
    <row r="14014" spans="1:2" x14ac:dyDescent="0.25">
      <c r="A14014">
        <f ca="1">30290.2631642861*((RANDBETWEEN(2979,3282)))</f>
        <v>92536753.966894016</v>
      </c>
      <c r="B14014">
        <v>163135473.22221214</v>
      </c>
    </row>
    <row r="14015" spans="1:2" x14ac:dyDescent="0.25">
      <c r="A14015">
        <f ca="1">26422.5627765945*((RANDBETWEEN(2979,3282)))</f>
        <v>85979019.2750386</v>
      </c>
      <c r="B14015">
        <v>170620625.34967011</v>
      </c>
    </row>
    <row r="14016" spans="1:2" x14ac:dyDescent="0.25">
      <c r="A14016">
        <f ca="1">26864.935919614*((RANDBETWEEN(2979,3282)))</f>
        <v>85188711.801096097</v>
      </c>
      <c r="B14016">
        <v>159919255.42815897</v>
      </c>
    </row>
    <row r="14017" spans="1:2" x14ac:dyDescent="0.25">
      <c r="A14017">
        <f ca="1">30483.7424329608*((RANDBETWEEN(2979,3282)))</f>
        <v>93950894.178385168</v>
      </c>
      <c r="B14017">
        <v>145949047.91695121</v>
      </c>
    </row>
    <row r="14018" spans="1:2" x14ac:dyDescent="0.25">
      <c r="A14018">
        <f ca="1">30083.6277297327*((RANDBETWEEN(2979,3282)))</f>
        <v>92356737.130279481</v>
      </c>
      <c r="B14018">
        <v>191601684.98067838</v>
      </c>
    </row>
    <row r="14019" spans="1:2" x14ac:dyDescent="0.25">
      <c r="A14019">
        <f ca="1">30744.1316660526*((RANDBETWEEN(2979,3282)))</f>
        <v>92908765.89481096</v>
      </c>
      <c r="B14019">
        <v>169552865.23761028</v>
      </c>
    </row>
    <row r="14020" spans="1:2" x14ac:dyDescent="0.25">
      <c r="A14020">
        <f ca="1">27083.8984461859*((RANDBETWEEN(2979,3282)))</f>
        <v>88049753.848550424</v>
      </c>
      <c r="B14020">
        <v>190767707.95707205</v>
      </c>
    </row>
    <row r="14021" spans="1:2" x14ac:dyDescent="0.25">
      <c r="A14021">
        <f ca="1">26368.4821652207*((RANDBETWEEN(2979,3282)))</f>
        <v>85170197.393662885</v>
      </c>
      <c r="B14021">
        <v>164780471.70907024</v>
      </c>
    </row>
    <row r="14022" spans="1:2" x14ac:dyDescent="0.25">
      <c r="A14022">
        <f ca="1">31176.7658545805*((RANDBETWEEN(2979,3282)))</f>
        <v>95681494.407707438</v>
      </c>
      <c r="B14022">
        <v>198695126.83706835</v>
      </c>
    </row>
    <row r="14023" spans="1:2" x14ac:dyDescent="0.25">
      <c r="A14023">
        <f ca="1">30790.2238229278*((RANDBETWEEN(2979,3282)))</f>
        <v>95973127.656065866</v>
      </c>
      <c r="B14023">
        <v>184285703.80637807</v>
      </c>
    </row>
    <row r="14024" spans="1:2" x14ac:dyDescent="0.25">
      <c r="A14024">
        <f ca="1">27324.9028877984*((RANDBETWEEN(2979,3282)))</f>
        <v>83258979.099121645</v>
      </c>
      <c r="B14024">
        <v>154115370.10718134</v>
      </c>
    </row>
    <row r="14025" spans="1:2" x14ac:dyDescent="0.25">
      <c r="A14025">
        <f ca="1">28212.1318655063*((RANDBETWEEN(2979,3282)))</f>
        <v>87909002.892917708</v>
      </c>
      <c r="B14025">
        <v>145414809.91103563</v>
      </c>
    </row>
    <row r="14026" spans="1:2" x14ac:dyDescent="0.25">
      <c r="A14026">
        <f ca="1">25335.8886831188*((RANDBETWEEN(2979,3282)))</f>
        <v>76919758.041948825</v>
      </c>
      <c r="B14026">
        <v>146533580.73952308</v>
      </c>
    </row>
    <row r="14027" spans="1:2" x14ac:dyDescent="0.25">
      <c r="A14027">
        <f ca="1">30274.0519249431*((RANDBETWEEN(2979,3282)))</f>
        <v>90337770.944030285</v>
      </c>
      <c r="B14027">
        <v>151388987.27279484</v>
      </c>
    </row>
    <row r="14028" spans="1:2" x14ac:dyDescent="0.25">
      <c r="A14028">
        <f ca="1">28487.5747403117*((RANDBETWEEN(2979,3282)))</f>
        <v>91388139.766919911</v>
      </c>
      <c r="B14028">
        <v>177436632.6244818</v>
      </c>
    </row>
    <row r="14029" spans="1:2" x14ac:dyDescent="0.25">
      <c r="A14029">
        <f ca="1">30455.0630175954*((RANDBETWEEN(2979,3282)))</f>
        <v>92400661.195384577</v>
      </c>
      <c r="B14029">
        <v>159214321.84304804</v>
      </c>
    </row>
    <row r="14030" spans="1:2" x14ac:dyDescent="0.25">
      <c r="A14030">
        <f ca="1">31628.5983089031*((RANDBETWEEN(2979,3282)))</f>
        <v>96214196.055683225</v>
      </c>
      <c r="B14030">
        <v>166562257.05224451</v>
      </c>
    </row>
    <row r="14031" spans="1:2" x14ac:dyDescent="0.25">
      <c r="A14031">
        <f ca="1">28771.6386866951*((RANDBETWEEN(2979,3282)))</f>
        <v>89335938.122188404</v>
      </c>
      <c r="B14031">
        <v>167441067.4089416</v>
      </c>
    </row>
    <row r="14032" spans="1:2" x14ac:dyDescent="0.25">
      <c r="A14032">
        <f ca="1">28057.3333996741*((RANDBETWEEN(2979,3282)))</f>
        <v>91971938.884131551</v>
      </c>
      <c r="B14032">
        <v>147350902.83629927</v>
      </c>
    </row>
    <row r="14033" spans="1:2" x14ac:dyDescent="0.25">
      <c r="A14033">
        <f ca="1">29767.4217518736*((RANDBETWEEN(2979,3282)))</f>
        <v>97577608.502641529</v>
      </c>
      <c r="B14033">
        <v>151635952.23894483</v>
      </c>
    </row>
    <row r="14034" spans="1:2" x14ac:dyDescent="0.25">
      <c r="A14034">
        <f ca="1">27800.2534579161*((RANDBETWEEN(2979,3282)))</f>
        <v>88849610.051499784</v>
      </c>
      <c r="B14034">
        <v>161649020.64275432</v>
      </c>
    </row>
    <row r="14035" spans="1:2" x14ac:dyDescent="0.25">
      <c r="A14035">
        <f ca="1">27134.4969010121*((RANDBETWEEN(2979,3282)))</f>
        <v>87590155.996466935</v>
      </c>
      <c r="B14035">
        <v>163395512.96309161</v>
      </c>
    </row>
    <row r="14036" spans="1:2" x14ac:dyDescent="0.25">
      <c r="A14036">
        <f ca="1">27796.4803444904*((RANDBETWEEN(2979,3282)))</f>
        <v>88476196.936512992</v>
      </c>
      <c r="B14036">
        <v>147099665.91223928</v>
      </c>
    </row>
    <row r="14037" spans="1:2" x14ac:dyDescent="0.25">
      <c r="A14037">
        <f ca="1">27042.8837423854*((RANDBETWEEN(2979,3282)))</f>
        <v>87970500.81397967</v>
      </c>
      <c r="B14037">
        <v>188375268.75043494</v>
      </c>
    </row>
    <row r="14038" spans="1:2" x14ac:dyDescent="0.25">
      <c r="A14038">
        <f ca="1">28923.3223625059*((RANDBETWEEN(2979,3282)))</f>
        <v>90674615.606456146</v>
      </c>
      <c r="B14038">
        <v>198864805.02210465</v>
      </c>
    </row>
    <row r="14039" spans="1:2" x14ac:dyDescent="0.25">
      <c r="A14039">
        <f ca="1">24030.2945497714*((RANDBETWEEN(2979,3282)))</f>
        <v>77738002.8685105</v>
      </c>
      <c r="B14039">
        <v>160468482.80862725</v>
      </c>
    </row>
    <row r="14040" spans="1:2" x14ac:dyDescent="0.25">
      <c r="A14040">
        <f ca="1">31354.8092812739*((RANDBETWEEN(2979,3282)))</f>
        <v>96855005.86985521</v>
      </c>
      <c r="B14040">
        <v>191935876.930237</v>
      </c>
    </row>
    <row r="14041" spans="1:2" x14ac:dyDescent="0.25">
      <c r="A14041">
        <f ca="1">27548.85031754*((RANDBETWEEN(2979,3282)))</f>
        <v>87632892.860094801</v>
      </c>
      <c r="B14041">
        <v>178751557.81292251</v>
      </c>
    </row>
    <row r="14042" spans="1:2" x14ac:dyDescent="0.25">
      <c r="A14042">
        <f ca="1">29982.916469394*((RANDBETWEEN(2979,3282)))</f>
        <v>94206323.546836093</v>
      </c>
      <c r="B14042">
        <v>183849110.3205044</v>
      </c>
    </row>
    <row r="14043" spans="1:2" x14ac:dyDescent="0.25">
      <c r="A14043">
        <f ca="1">30477.2758874294*((RANDBETWEEN(2979,3282)))</f>
        <v>97466328.287999332</v>
      </c>
      <c r="B14043">
        <v>190655126.19708288</v>
      </c>
    </row>
    <row r="14044" spans="1:2" x14ac:dyDescent="0.25">
      <c r="A14044">
        <f ca="1">27616.6489282797*((RANDBETWEEN(2979,3282)))</f>
        <v>84065079.337683529</v>
      </c>
      <c r="B14044">
        <v>148270825.87304693</v>
      </c>
    </row>
    <row r="14045" spans="1:2" x14ac:dyDescent="0.25">
      <c r="A14045">
        <f ca="1">27680.7638649835*((RANDBETWEEN(2979,3282)))</f>
        <v>87498894.577212945</v>
      </c>
      <c r="B14045">
        <v>167652712.01237369</v>
      </c>
    </row>
    <row r="14046" spans="1:2" x14ac:dyDescent="0.25">
      <c r="A14046">
        <f ca="1">26019.6885066263*((RANDBETWEEN(2979,3282)))</f>
        <v>80661034.370541647</v>
      </c>
      <c r="B14046">
        <v>160173463.10877755</v>
      </c>
    </row>
    <row r="14047" spans="1:2" x14ac:dyDescent="0.25">
      <c r="A14047">
        <f ca="1">27683.2439532561*((RANDBETWEEN(2979,3282)))</f>
        <v>86344037.89020592</v>
      </c>
      <c r="B14047">
        <v>151547052.51848063</v>
      </c>
    </row>
    <row r="14048" spans="1:2" x14ac:dyDescent="0.25">
      <c r="A14048">
        <f ca="1">25380.6735587147*((RANDBETWEEN(2979,3282)))</f>
        <v>80532877.201801673</v>
      </c>
      <c r="B14048">
        <v>155812962.88638747</v>
      </c>
    </row>
    <row r="14049" spans="1:2" x14ac:dyDescent="0.25">
      <c r="A14049">
        <f ca="1">27553.8694543206*((RANDBETWEEN(2979,3282)))</f>
        <v>82193192.582238227</v>
      </c>
      <c r="B14049">
        <v>164106657.66025805</v>
      </c>
    </row>
    <row r="14050" spans="1:2" x14ac:dyDescent="0.25">
      <c r="A14050">
        <f ca="1">31643.310500929*((RANDBETWEEN(2979,3282)))</f>
        <v>95594441.023306608</v>
      </c>
      <c r="B14050">
        <v>166875399.33556017</v>
      </c>
    </row>
    <row r="14051" spans="1:2" x14ac:dyDescent="0.25">
      <c r="A14051">
        <f ca="1">28503.1450064047*((RANDBETWEEN(2979,3282)))</f>
        <v>91352579.74552694</v>
      </c>
      <c r="B14051">
        <v>147325205.00967932</v>
      </c>
    </row>
    <row r="14052" spans="1:2" x14ac:dyDescent="0.25">
      <c r="A14052">
        <f ca="1">27120.7096349894*((RANDBETWEEN(2979,3282)))</f>
        <v>83097854.321607456</v>
      </c>
      <c r="B14052">
        <v>189786125.25704634</v>
      </c>
    </row>
    <row r="14053" spans="1:2" x14ac:dyDescent="0.25">
      <c r="A14053">
        <f ca="1">28246.8780692643*((RANDBETWEEN(2979,3282)))</f>
        <v>87989025.185758144</v>
      </c>
      <c r="B14053">
        <v>153498966.38454825</v>
      </c>
    </row>
    <row r="14054" spans="1:2" x14ac:dyDescent="0.25">
      <c r="A14054">
        <f ca="1">27001.3388658695*((RANDBETWEEN(2979,3282)))</f>
        <v>87673347.297478139</v>
      </c>
      <c r="B14054">
        <v>199643579.62173122</v>
      </c>
    </row>
    <row r="14055" spans="1:2" x14ac:dyDescent="0.25">
      <c r="A14055">
        <f ca="1">27386.9266446447*((RANDBETWEEN(2979,3282)))</f>
        <v>88268064.575689748</v>
      </c>
      <c r="B14055">
        <v>182721148.61866754</v>
      </c>
    </row>
    <row r="14056" spans="1:2" x14ac:dyDescent="0.25">
      <c r="A14056">
        <f ca="1">28439.2231228535*((RANDBETWEEN(2979,3282)))</f>
        <v>92910941.942362323</v>
      </c>
      <c r="B14056">
        <v>169560085.2038978</v>
      </c>
    </row>
    <row r="14057" spans="1:2" x14ac:dyDescent="0.25">
      <c r="A14057">
        <f ca="1">29713.1100726935*((RANDBETWEEN(2979,3282)))</f>
        <v>94012280.27000235</v>
      </c>
      <c r="B14057">
        <v>164287539.81183165</v>
      </c>
    </row>
    <row r="14058" spans="1:2" x14ac:dyDescent="0.25">
      <c r="A14058">
        <f ca="1">29227.9869495352*((RANDBETWEEN(2979,3282)))</f>
        <v>90431391.621861845</v>
      </c>
      <c r="B14058">
        <v>189079786.59034348</v>
      </c>
    </row>
    <row r="14059" spans="1:2" x14ac:dyDescent="0.25">
      <c r="A14059">
        <f ca="1">28920.1134644576*((RANDBETWEEN(2979,3282)))</f>
        <v>94771211.823027819</v>
      </c>
      <c r="B14059">
        <v>183050933.1054728</v>
      </c>
    </row>
    <row r="14060" spans="1:2" x14ac:dyDescent="0.25">
      <c r="A14060">
        <f ca="1">26375.6910455797*((RANDBETWEEN(2979,3282)))</f>
        <v>84375835.654809371</v>
      </c>
      <c r="B14060">
        <v>145349272.02859122</v>
      </c>
    </row>
    <row r="14061" spans="1:2" x14ac:dyDescent="0.25">
      <c r="A14061">
        <f ca="1">30959.7003968853*((RANDBETWEEN(2979,3282)))</f>
        <v>97492096.549791917</v>
      </c>
      <c r="B14061">
        <v>198491672.45254612</v>
      </c>
    </row>
    <row r="14062" spans="1:2" x14ac:dyDescent="0.25">
      <c r="A14062">
        <f ca="1">27930.5219372039*((RANDBETWEEN(2979,3282)))</f>
        <v>90522821.598477766</v>
      </c>
      <c r="B14062">
        <v>187061787.40758765</v>
      </c>
    </row>
    <row r="14063" spans="1:2" x14ac:dyDescent="0.25">
      <c r="A14063">
        <f ca="1">29338.3323195534*((RANDBETWEEN(2979,3282)))</f>
        <v>87926981.961701632</v>
      </c>
      <c r="B14063">
        <v>165914156.73142838</v>
      </c>
    </row>
    <row r="14064" spans="1:2" x14ac:dyDescent="0.25">
      <c r="A14064">
        <f ca="1">29595.0507743644*((RANDBETWEEN(2979,3282)))</f>
        <v>91271136.588139877</v>
      </c>
      <c r="B14064">
        <v>148741048.7734794</v>
      </c>
    </row>
    <row r="14065" spans="1:2" x14ac:dyDescent="0.25">
      <c r="A14065">
        <f ca="1">28518.9389732838*((RANDBETWEEN(2979,3282)))</f>
        <v>91802464.555000603</v>
      </c>
      <c r="B14065">
        <v>174525979.73605251</v>
      </c>
    </row>
    <row r="14066" spans="1:2" x14ac:dyDescent="0.25">
      <c r="A14066">
        <f ca="1">26690.1222156363*((RANDBETWEEN(2979,3282)))</f>
        <v>80230507.380202815</v>
      </c>
      <c r="B14066">
        <v>152525056.40276614</v>
      </c>
    </row>
    <row r="14067" spans="1:2" x14ac:dyDescent="0.25">
      <c r="A14067">
        <f ca="1">26132.1645553836*((RANDBETWEEN(2979,3282)))</f>
        <v>82995754.62789847</v>
      </c>
      <c r="B14067">
        <v>146758104.84077752</v>
      </c>
    </row>
    <row r="14068" spans="1:2" x14ac:dyDescent="0.25">
      <c r="A14068">
        <f ca="1">28427.6300245912*((RANDBETWEEN(2979,3282)))</f>
        <v>86590561.054904744</v>
      </c>
      <c r="B14068">
        <v>175652570.43599185</v>
      </c>
    </row>
    <row r="14069" spans="1:2" x14ac:dyDescent="0.25">
      <c r="A14069">
        <f ca="1">27950.9050887064*((RANDBETWEEN(2979,3282)))</f>
        <v>84495586.083159521</v>
      </c>
      <c r="B14069">
        <v>156231265.01790649</v>
      </c>
    </row>
    <row r="14070" spans="1:2" x14ac:dyDescent="0.25">
      <c r="A14070">
        <f ca="1">26387.7568502208*((RANDBETWEEN(2979,3282)))</f>
        <v>80271556.338371634</v>
      </c>
      <c r="B14070">
        <v>153043522.54028845</v>
      </c>
    </row>
    <row r="14071" spans="1:2" x14ac:dyDescent="0.25">
      <c r="A14071">
        <f ca="1">27839.4066035003*((RANDBETWEEN(2979,3282)))</f>
        <v>83156307.524655253</v>
      </c>
      <c r="B14071">
        <v>201740840.21270564</v>
      </c>
    </row>
    <row r="14072" spans="1:2" x14ac:dyDescent="0.25">
      <c r="A14072">
        <f ca="1">25664.1537703533*((RANDBETWEEN(2979,3282)))</f>
        <v>83023537.447092816</v>
      </c>
      <c r="B14072">
        <v>146677663.04644263</v>
      </c>
    </row>
    <row r="14073" spans="1:2" x14ac:dyDescent="0.25">
      <c r="A14073">
        <f ca="1">27554.7550644007*((RANDBETWEEN(2979,3282)))</f>
        <v>86659704.677540168</v>
      </c>
      <c r="B14073">
        <v>167302309.85559309</v>
      </c>
    </row>
    <row r="14074" spans="1:2" x14ac:dyDescent="0.25">
      <c r="A14074">
        <f ca="1">27838.8194117539*((RANDBETWEEN(2979,3282)))</f>
        <v>83015359.485850006</v>
      </c>
      <c r="B14074">
        <v>156261361.87064591</v>
      </c>
    </row>
    <row r="14075" spans="1:2" x14ac:dyDescent="0.25">
      <c r="A14075">
        <f ca="1">26471.8005708423*((RANDBETWEEN(2979,3282)))</f>
        <v>80765463.541639909</v>
      </c>
      <c r="B14075">
        <v>181623321.17917812</v>
      </c>
    </row>
    <row r="14076" spans="1:2" x14ac:dyDescent="0.25">
      <c r="A14076">
        <f ca="1">26561.7374120607*((RANDBETWEEN(2979,3282)))</f>
        <v>84970997.981182024</v>
      </c>
      <c r="B14076">
        <v>158362597.62514237</v>
      </c>
    </row>
    <row r="14077" spans="1:2" x14ac:dyDescent="0.25">
      <c r="A14077">
        <f ca="1">26844.2738856662*((RANDBETWEEN(2979,3282)))</f>
        <v>83432003.236650467</v>
      </c>
      <c r="B14077">
        <v>159515736.28238592</v>
      </c>
    </row>
    <row r="14078" spans="1:2" x14ac:dyDescent="0.25">
      <c r="A14078">
        <f ca="1">33634.8801902641*((RANDBETWEEN(2979,3282)))</f>
        <v>104604477.39172132</v>
      </c>
      <c r="B14078">
        <v>185983187.38220298</v>
      </c>
    </row>
    <row r="14079" spans="1:2" x14ac:dyDescent="0.25">
      <c r="A14079">
        <f ca="1">27689.2794006059*((RANDBETWEEN(2979,3282)))</f>
        <v>88218044.170330316</v>
      </c>
      <c r="B14079">
        <v>163019699.02366468</v>
      </c>
    </row>
    <row r="14080" spans="1:2" x14ac:dyDescent="0.25">
      <c r="A14080">
        <f ca="1">27042.6064880715*((RANDBETWEEN(2979,3282)))</f>
        <v>87455789.382423103</v>
      </c>
      <c r="B14080">
        <v>158986778.46784329</v>
      </c>
    </row>
    <row r="14081" spans="1:2" x14ac:dyDescent="0.25">
      <c r="A14081">
        <f ca="1">30659.1609694785*((RANDBETWEEN(2979,3282)))</f>
        <v>95595263.902833864</v>
      </c>
      <c r="B14081">
        <v>149143771.46941519</v>
      </c>
    </row>
    <row r="14082" spans="1:2" x14ac:dyDescent="0.25">
      <c r="A14082">
        <f ca="1">26849.543342659*((RANDBETWEEN(2979,3282)))</f>
        <v>84092769.749207988</v>
      </c>
      <c r="B14082">
        <v>148689307.98774847</v>
      </c>
    </row>
    <row r="14083" spans="1:2" x14ac:dyDescent="0.25">
      <c r="A14083">
        <f ca="1">28434.1780003495*((RANDBETWEEN(2979,3282)))</f>
        <v>91671789.873126954</v>
      </c>
      <c r="B14083">
        <v>201566004.40179992</v>
      </c>
    </row>
    <row r="14084" spans="1:2" x14ac:dyDescent="0.25">
      <c r="A14084">
        <f ca="1">26558.396145514*((RANDBETWEEN(2979,3282)))</f>
        <v>84455699.742734581</v>
      </c>
      <c r="B14084">
        <v>147225563.92344019</v>
      </c>
    </row>
    <row r="14085" spans="1:2" x14ac:dyDescent="0.25">
      <c r="A14085">
        <f ca="1">26978.172324269*((RANDBETWEEN(2979,3282)))</f>
        <v>82148534.727399051</v>
      </c>
      <c r="B14085">
        <v>149533793.04133016</v>
      </c>
    </row>
    <row r="14086" spans="1:2" x14ac:dyDescent="0.25">
      <c r="A14086">
        <f ca="1">33635.3482521181*((RANDBETWEEN(2979,3282)))</f>
        <v>102621447.51721227</v>
      </c>
      <c r="B14086">
        <v>155823657.79171896</v>
      </c>
    </row>
    <row r="14087" spans="1:2" x14ac:dyDescent="0.25">
      <c r="A14087">
        <f ca="1">29864.2968830353*((RANDBETWEEN(2979,3282)))</f>
        <v>89413704.867807746</v>
      </c>
      <c r="B14087">
        <v>201195029.96213052</v>
      </c>
    </row>
    <row r="14088" spans="1:2" x14ac:dyDescent="0.25">
      <c r="A14088">
        <f ca="1">31323.8770535392*((RANDBETWEEN(2979,3282)))</f>
        <v>93846335.65240331</v>
      </c>
      <c r="B14088">
        <v>143941810.17648882</v>
      </c>
    </row>
    <row r="14089" spans="1:2" x14ac:dyDescent="0.25">
      <c r="A14089">
        <f ca="1">29461.0714707122*((RANDBETWEEN(2979,3282)))</f>
        <v>94275428.706279039</v>
      </c>
      <c r="B14089">
        <v>175665025.5030058</v>
      </c>
    </row>
    <row r="14090" spans="1:2" x14ac:dyDescent="0.25">
      <c r="A14090">
        <f ca="1">25927.5773933629*((RANDBETWEEN(2979,3282)))</f>
        <v>81153317.241225764</v>
      </c>
      <c r="B14090">
        <v>145129209.74623871</v>
      </c>
    </row>
    <row r="14091" spans="1:2" x14ac:dyDescent="0.25">
      <c r="A14091">
        <f ca="1">26647.3867157751*((RANDBETWEEN(2979,3282)))</f>
        <v>82873372.686060593</v>
      </c>
      <c r="B14091">
        <v>173465886.91438231</v>
      </c>
    </row>
    <row r="14092" spans="1:2" x14ac:dyDescent="0.25">
      <c r="A14092">
        <f ca="1">29111.9247259361*((RANDBETWEEN(2979,3282)))</f>
        <v>87364886.102534264</v>
      </c>
      <c r="B14092">
        <v>144700514.35328615</v>
      </c>
    </row>
    <row r="14093" spans="1:2" x14ac:dyDescent="0.25">
      <c r="A14093">
        <f ca="1">28550.8281721864*((RANDBETWEEN(2979,3282)))</f>
        <v>85110018.781287655</v>
      </c>
      <c r="B14093">
        <v>177806339.33312139</v>
      </c>
    </row>
    <row r="14094" spans="1:2" x14ac:dyDescent="0.25">
      <c r="A14094">
        <f ca="1">26269.0171092751*((RANDBETWEEN(2979,3282)))</f>
        <v>81933064.363829091</v>
      </c>
      <c r="B14094">
        <v>154157879.11001202</v>
      </c>
    </row>
    <row r="14095" spans="1:2" x14ac:dyDescent="0.25">
      <c r="A14095">
        <f ca="1">28415.7233278361*((RANDBETWEEN(2979,3282)))</f>
        <v>92209022.198828131</v>
      </c>
      <c r="B14095">
        <v>199100621.11338639</v>
      </c>
    </row>
    <row r="14096" spans="1:2" x14ac:dyDescent="0.25">
      <c r="A14096">
        <f ca="1">28145.5246038544*((RANDBETWEEN(2979,3282)))</f>
        <v>91979574.405396253</v>
      </c>
      <c r="B14096">
        <v>193475405.61690289</v>
      </c>
    </row>
    <row r="14097" spans="1:2" x14ac:dyDescent="0.25">
      <c r="A14097">
        <f ca="1">29910.9781430955*((RANDBETWEEN(2979,3282)))</f>
        <v>97778987.549779147</v>
      </c>
      <c r="B14097">
        <v>190528688.09449747</v>
      </c>
    </row>
    <row r="14098" spans="1:2" x14ac:dyDescent="0.25">
      <c r="A14098">
        <f ca="1">25426.0878332597*((RANDBETWEEN(2979,3282)))</f>
        <v>77727550.506275013</v>
      </c>
      <c r="B14098">
        <v>159095675.79844695</v>
      </c>
    </row>
    <row r="14099" spans="1:2" x14ac:dyDescent="0.25">
      <c r="A14099">
        <f ca="1">26084.4412185512*((RANDBETWEEN(2979,3282)))</f>
        <v>78279408.096872211</v>
      </c>
      <c r="B14099">
        <v>203086792.24751493</v>
      </c>
    </row>
    <row r="14100" spans="1:2" x14ac:dyDescent="0.25">
      <c r="A14100">
        <f ca="1">28683.1165281028*((RANDBETWEEN(2979,3282)))</f>
        <v>88659513.188365713</v>
      </c>
      <c r="B14100">
        <v>149848592.01015505</v>
      </c>
    </row>
    <row r="14101" spans="1:2" x14ac:dyDescent="0.25">
      <c r="A14101">
        <f ca="1">30294.2901111721*((RANDBETWEEN(2979,3282)))</f>
        <v>98759385.762420952</v>
      </c>
      <c r="B14101">
        <v>144460501.68940908</v>
      </c>
    </row>
    <row r="14102" spans="1:2" x14ac:dyDescent="0.25">
      <c r="A14102">
        <f ca="1">25516.7407535669*((RANDBETWEEN(2979,3282)))</f>
        <v>81781154.115181834</v>
      </c>
      <c r="B14102">
        <v>157601638.9687387</v>
      </c>
    </row>
    <row r="14103" spans="1:2" x14ac:dyDescent="0.25">
      <c r="A14103">
        <f ca="1">29306.619038011*((RANDBETWEEN(2979,3282)))</f>
        <v>90586759.446492106</v>
      </c>
      <c r="B14103">
        <v>153736994.07875594</v>
      </c>
    </row>
    <row r="14104" spans="1:2" x14ac:dyDescent="0.25">
      <c r="A14104">
        <f ca="1">27032.7973747719*((RANDBETWEEN(2979,3282)))</f>
        <v>82206736.816681281</v>
      </c>
      <c r="B14104">
        <v>166772716.35276479</v>
      </c>
    </row>
    <row r="14105" spans="1:2" x14ac:dyDescent="0.25">
      <c r="A14105">
        <f ca="1">28562.7367558707*((RANDBETWEEN(2979,3282)))</f>
        <v>86088088.582194135</v>
      </c>
      <c r="B14105">
        <v>160611572.72842726</v>
      </c>
    </row>
    <row r="14106" spans="1:2" x14ac:dyDescent="0.25">
      <c r="A14106">
        <f ca="1">29634.9193252951*((RANDBETWEEN(2979,3282)))</f>
        <v>93942694.261185423</v>
      </c>
      <c r="B14106">
        <v>147121748.20583153</v>
      </c>
    </row>
    <row r="14107" spans="1:2" x14ac:dyDescent="0.25">
      <c r="A14107">
        <f ca="1">27365.3244934586*((RANDBETWEEN(2979,3282)))</f>
        <v>82013877.506895363</v>
      </c>
      <c r="B14107">
        <v>168642259.14700603</v>
      </c>
    </row>
    <row r="14108" spans="1:2" x14ac:dyDescent="0.25">
      <c r="A14108">
        <f ca="1">31069.8512306467*((RANDBETWEEN(2979,3282)))</f>
        <v>97590402.715461358</v>
      </c>
      <c r="B14108">
        <v>174161703.25653583</v>
      </c>
    </row>
    <row r="14109" spans="1:2" x14ac:dyDescent="0.25">
      <c r="A14109">
        <f ca="1">26836.6495609591*((RANDBETWEEN(2979,3282)))</f>
        <v>86440848.235849112</v>
      </c>
      <c r="B14109">
        <v>169939333.21304882</v>
      </c>
    </row>
    <row r="14110" spans="1:2" x14ac:dyDescent="0.25">
      <c r="A14110">
        <f ca="1">25998.0251323108*((RANDBETWEEN(2979,3282)))</f>
        <v>79371970.728944957</v>
      </c>
      <c r="B14110">
        <v>150335782.38206273</v>
      </c>
    </row>
    <row r="14111" spans="1:2" x14ac:dyDescent="0.25">
      <c r="A14111">
        <f ca="1">26107.086815293*((RANDBETWEEN(2979,3282)))</f>
        <v>84874139.236517459</v>
      </c>
      <c r="B14111">
        <v>154662243.61986041</v>
      </c>
    </row>
    <row r="14112" spans="1:2" x14ac:dyDescent="0.25">
      <c r="A14112">
        <f ca="1">28096.3032924905*((RANDBETWEEN(2979,3282)))</f>
        <v>83923657.934669062</v>
      </c>
      <c r="B14112">
        <v>190195639.45956421</v>
      </c>
    </row>
    <row r="14113" spans="1:2" x14ac:dyDescent="0.25">
      <c r="A14113">
        <f ca="1">27278.468654473*((RANDBETWEEN(2979,3282)))</f>
        <v>87209264.288350075</v>
      </c>
      <c r="B14113">
        <v>198516353.08319449</v>
      </c>
    </row>
    <row r="14114" spans="1:2" x14ac:dyDescent="0.25">
      <c r="A14114">
        <f ca="1">27856.7934315931*((RANDBETWEEN(2979,3282)))</f>
        <v>91398139.249056995</v>
      </c>
      <c r="B14114">
        <v>188492385.22748882</v>
      </c>
    </row>
    <row r="14115" spans="1:2" x14ac:dyDescent="0.25">
      <c r="A14115">
        <f ca="1">28439.450638711*((RANDBETWEEN(2979,3282)))</f>
        <v>92627290.730281696</v>
      </c>
      <c r="B14115">
        <v>196209264.74187642</v>
      </c>
    </row>
    <row r="14116" spans="1:2" x14ac:dyDescent="0.25">
      <c r="A14116">
        <f ca="1">26942.7030006161*((RANDBETWEEN(2979,3282)))</f>
        <v>85570024.729956865</v>
      </c>
      <c r="B14116">
        <v>174808999.90354884</v>
      </c>
    </row>
    <row r="14117" spans="1:2" x14ac:dyDescent="0.25">
      <c r="A14117">
        <f ca="1">25629.4744326522*((RANDBETWEEN(2979,3282)))</f>
        <v>77272865.414446339</v>
      </c>
      <c r="B14117">
        <v>150880746.69286361</v>
      </c>
    </row>
    <row r="14118" spans="1:2" x14ac:dyDescent="0.25">
      <c r="A14118">
        <f ca="1">33923.796171794*((RANDBETWEEN(2979,3282)))</f>
        <v>102551635.82733317</v>
      </c>
      <c r="B14118">
        <v>192673727.93256617</v>
      </c>
    </row>
    <row r="14119" spans="1:2" x14ac:dyDescent="0.25">
      <c r="A14119">
        <f ca="1">26356.9482745214*((RANDBETWEEN(2979,3282)))</f>
        <v>78754561.44426994</v>
      </c>
      <c r="B14119">
        <v>156023620.17533875</v>
      </c>
    </row>
    <row r="14120" spans="1:2" x14ac:dyDescent="0.25">
      <c r="A14120">
        <f ca="1">27680.0785842874*((RANDBETWEEN(2979,3282)))</f>
        <v>86444885.418729633</v>
      </c>
      <c r="B14120">
        <v>181672624.20753691</v>
      </c>
    </row>
    <row r="14121" spans="1:2" x14ac:dyDescent="0.25">
      <c r="A14121">
        <f ca="1">26840.2243448695*((RANDBETWEEN(2979,3282)))</f>
        <v>84573546.910683736</v>
      </c>
      <c r="B14121">
        <v>164856143.59224391</v>
      </c>
    </row>
    <row r="14122" spans="1:2" x14ac:dyDescent="0.25">
      <c r="A14122">
        <f ca="1">26304.8589908814*((RANDBETWEEN(2979,3282)))</f>
        <v>79177625.562552974</v>
      </c>
      <c r="B14122">
        <v>145268448.50045407</v>
      </c>
    </row>
    <row r="14123" spans="1:2" x14ac:dyDescent="0.25">
      <c r="A14123">
        <f ca="1">31825.2450715919*((RANDBETWEEN(2979,3282)))</f>
        <v>101140628.83751921</v>
      </c>
      <c r="B14123">
        <v>168974509.48653647</v>
      </c>
    </row>
    <row r="14124" spans="1:2" x14ac:dyDescent="0.25">
      <c r="A14124">
        <f ca="1">31376.7947999147*((RANDBETWEEN(2979,3282)))</f>
        <v>95291325.80734092</v>
      </c>
      <c r="B14124">
        <v>143509666.17045948</v>
      </c>
    </row>
    <row r="14125" spans="1:2" x14ac:dyDescent="0.25">
      <c r="A14125">
        <f ca="1">33864.2412133393*((RANDBETWEEN(2979,3282)))</f>
        <v>109957191.21971269</v>
      </c>
      <c r="B14125">
        <v>195817365.14370549</v>
      </c>
    </row>
    <row r="14126" spans="1:2" x14ac:dyDescent="0.25">
      <c r="A14126">
        <f ca="1">27261.4319253298*((RANDBETWEEN(2979,3282)))</f>
        <v>81320851.433258742</v>
      </c>
      <c r="B14126">
        <v>164933037.41097277</v>
      </c>
    </row>
    <row r="14127" spans="1:2" x14ac:dyDescent="0.25">
      <c r="A14127">
        <f ca="1">27077.3048569429*((RANDBETWEEN(2979,3282)))</f>
        <v>87920008.870493814</v>
      </c>
      <c r="B14127">
        <v>155036847.2940768</v>
      </c>
    </row>
    <row r="14128" spans="1:2" x14ac:dyDescent="0.25">
      <c r="A14128">
        <f ca="1">27429.3734232521*((RANDBETWEEN(2979,3282)))</f>
        <v>88651734.903950676</v>
      </c>
      <c r="B14128">
        <v>160809306.74593368</v>
      </c>
    </row>
    <row r="14129" spans="1:2" x14ac:dyDescent="0.25">
      <c r="A14129">
        <f ca="1">25423.2846694399*((RANDBETWEEN(2979,3282)))</f>
        <v>77566441.52646108</v>
      </c>
      <c r="B14129">
        <v>168657628.82620019</v>
      </c>
    </row>
    <row r="14130" spans="1:2" x14ac:dyDescent="0.25">
      <c r="A14130">
        <f ca="1">32970.4141375945*((RANDBETWEEN(2979,3282)))</f>
        <v>107747313.40165889</v>
      </c>
      <c r="B14130">
        <v>163156848.21587321</v>
      </c>
    </row>
    <row r="14131" spans="1:2" x14ac:dyDescent="0.25">
      <c r="A14131">
        <f ca="1">31013.699152867*((RANDBETWEEN(2979,3282)))</f>
        <v>96235508.471346349</v>
      </c>
      <c r="B14131">
        <v>183732609.00343537</v>
      </c>
    </row>
    <row r="14132" spans="1:2" x14ac:dyDescent="0.25">
      <c r="A14132">
        <f ca="1">25855.6499896365*((RANDBETWEEN(2979,3282)))</f>
        <v>77644516.918878406</v>
      </c>
      <c r="B14132">
        <v>163118203.50923118</v>
      </c>
    </row>
    <row r="14133" spans="1:2" x14ac:dyDescent="0.25">
      <c r="A14133">
        <f ca="1">25795.5854766935*((RANDBETWEEN(2979,3282)))</f>
        <v>79347220.926309347</v>
      </c>
      <c r="B14133">
        <v>144649247.23551515</v>
      </c>
    </row>
    <row r="14134" spans="1:2" x14ac:dyDescent="0.25">
      <c r="A14134">
        <f ca="1">33266.8909131387*((RANDBETWEEN(2979,3282)))</f>
        <v>99201868.702979609</v>
      </c>
      <c r="B14134">
        <v>190446538.68346906</v>
      </c>
    </row>
    <row r="14135" spans="1:2" x14ac:dyDescent="0.25">
      <c r="A14135">
        <f ca="1">30589.4534536043*((RANDBETWEEN(2979,3282)))</f>
        <v>95224968.601070285</v>
      </c>
      <c r="B14135">
        <v>169427930.66876268</v>
      </c>
    </row>
    <row r="14136" spans="1:2" x14ac:dyDescent="0.25">
      <c r="A14136">
        <f ca="1">27392.8974003006*((RANDBETWEEN(2979,3282)))</f>
        <v>85575411.478539094</v>
      </c>
      <c r="B14136">
        <v>145124985.59813827</v>
      </c>
    </row>
    <row r="14137" spans="1:2" x14ac:dyDescent="0.25">
      <c r="A14137">
        <f ca="1">28711.9466343516*((RANDBETWEEN(2979,3282)))</f>
        <v>88633779.260243297</v>
      </c>
      <c r="B14137">
        <v>172690038.14023253</v>
      </c>
    </row>
    <row r="14138" spans="1:2" x14ac:dyDescent="0.25">
      <c r="A14138">
        <f ca="1">26312.6239433421*((RANDBETWEEN(2979,3282)))</f>
        <v>80174565.155363396</v>
      </c>
      <c r="B14138">
        <v>159268799.78572255</v>
      </c>
    </row>
    <row r="14139" spans="1:2" x14ac:dyDescent="0.25">
      <c r="A14139">
        <f ca="1">32457.7877772705*((RANDBETWEEN(2979,3282)))</f>
        <v>97827772.360693157</v>
      </c>
      <c r="B14139">
        <v>161055388.69019365</v>
      </c>
    </row>
    <row r="14140" spans="1:2" x14ac:dyDescent="0.25">
      <c r="A14140">
        <f ca="1">25086.3874276376*((RANDBETWEEN(2979,3282)))</f>
        <v>78144096.837091208</v>
      </c>
      <c r="B14140">
        <v>144192548.82901931</v>
      </c>
    </row>
    <row r="14141" spans="1:2" x14ac:dyDescent="0.25">
      <c r="A14141">
        <f ca="1">28637.8220984328*((RANDBETWEEN(2979,3282)))</f>
        <v>87144892.645530894</v>
      </c>
      <c r="B14141">
        <v>179031251.68675885</v>
      </c>
    </row>
    <row r="14142" spans="1:2" x14ac:dyDescent="0.25">
      <c r="A14142">
        <f ca="1">25831.4438097798*((RANDBETWEEN(2979,3282)))</f>
        <v>82428137.197007269</v>
      </c>
      <c r="B14142">
        <v>155569870.28442761</v>
      </c>
    </row>
    <row r="14143" spans="1:2" x14ac:dyDescent="0.25">
      <c r="A14143">
        <f ca="1">26113.4723994928*((RANDBETWEEN(2979,3282)))</f>
        <v>83040842.230387166</v>
      </c>
      <c r="B14143">
        <v>170150734.6626108</v>
      </c>
    </row>
    <row r="14144" spans="1:2" x14ac:dyDescent="0.25">
      <c r="A14144">
        <f ca="1">25380.8481672118*((RANDBETWEEN(2979,3282)))</f>
        <v>77995346.417841822</v>
      </c>
      <c r="B14144">
        <v>151065769.5630472</v>
      </c>
    </row>
    <row r="14145" spans="1:2" x14ac:dyDescent="0.25">
      <c r="A14145">
        <f ca="1">29322.2891448988*((RANDBETWEEN(2979,3282)))</f>
        <v>91808087.312678173</v>
      </c>
      <c r="B14145">
        <v>146009546.38510162</v>
      </c>
    </row>
    <row r="14146" spans="1:2" x14ac:dyDescent="0.25">
      <c r="A14146">
        <f ca="1">29036.8086966795*((RANDBETWEEN(2979,3282)))</f>
        <v>92017646.759777322</v>
      </c>
      <c r="B14146">
        <v>180511215.14343169</v>
      </c>
    </row>
    <row r="14147" spans="1:2" x14ac:dyDescent="0.25">
      <c r="A14147">
        <f ca="1">27198.909890428*((RANDBETWEEN(2979,3282)))</f>
        <v>84643007.579011917</v>
      </c>
      <c r="B14147">
        <v>156928803.77351621</v>
      </c>
    </row>
    <row r="14148" spans="1:2" x14ac:dyDescent="0.25">
      <c r="A14148">
        <f ca="1">30083.3353600542*((RANDBETWEEN(2979,3282)))</f>
        <v>94160839.676969588</v>
      </c>
      <c r="B14148">
        <v>176783947.34619927</v>
      </c>
    </row>
    <row r="14149" spans="1:2" x14ac:dyDescent="0.25">
      <c r="A14149">
        <f ca="1">31424.1601048291*((RANDBETWEEN(2979,3282)))</f>
        <v>101594309.6189125</v>
      </c>
      <c r="B14149">
        <v>180408644.60075057</v>
      </c>
    </row>
    <row r="14150" spans="1:2" x14ac:dyDescent="0.25">
      <c r="A14150">
        <f ca="1">30528.8450021649*((RANDBETWEEN(2979,3282)))</f>
        <v>98455525.131981775</v>
      </c>
      <c r="B14150">
        <v>158669286.40842932</v>
      </c>
    </row>
    <row r="14151" spans="1:2" x14ac:dyDescent="0.25">
      <c r="A14151">
        <f ca="1">26402.0798349433*((RANDBETWEEN(2979,3282)))</f>
        <v>78757404.147635743</v>
      </c>
      <c r="B14151">
        <v>165143582.54923695</v>
      </c>
    </row>
    <row r="14152" spans="1:2" x14ac:dyDescent="0.25">
      <c r="A14152">
        <f ca="1">28300.2491416394*((RANDBETWEEN(2979,3282)))</f>
        <v>87730772.339082092</v>
      </c>
      <c r="B14152">
        <v>190547668.22914484</v>
      </c>
    </row>
    <row r="14153" spans="1:2" x14ac:dyDescent="0.25">
      <c r="A14153">
        <f ca="1">28509.9115549645*((RANDBETWEEN(2979,3282)))</f>
        <v>87839037.500845686</v>
      </c>
      <c r="B14153">
        <v>166201159.97674826</v>
      </c>
    </row>
    <row r="14154" spans="1:2" x14ac:dyDescent="0.25">
      <c r="A14154">
        <f ca="1">31278.8124568863*((RANDBETWEEN(2979,3282)))</f>
        <v>99216393.113243416</v>
      </c>
      <c r="B14154">
        <v>187526710.0351131</v>
      </c>
    </row>
    <row r="14155" spans="1:2" x14ac:dyDescent="0.25">
      <c r="A14155">
        <f ca="1">32169.8748090164*((RANDBETWEEN(2979,3282)))</f>
        <v>99308403.535433531</v>
      </c>
      <c r="B14155">
        <v>148811595.07718366</v>
      </c>
    </row>
    <row r="14156" spans="1:2" x14ac:dyDescent="0.25">
      <c r="A14156">
        <f ca="1">27111.5002237632*((RANDBETWEEN(2979,3282)))</f>
        <v>83476309.188966826</v>
      </c>
      <c r="B14156">
        <v>157133564.39815274</v>
      </c>
    </row>
    <row r="14157" spans="1:2" x14ac:dyDescent="0.25">
      <c r="A14157">
        <f ca="1">30823.1448197493*((RANDBETWEEN(2979,3282)))</f>
        <v>94195530.569154009</v>
      </c>
      <c r="B14157">
        <v>178496595.95325407</v>
      </c>
    </row>
    <row r="14158" spans="1:2" x14ac:dyDescent="0.25">
      <c r="A14158">
        <f ca="1">28658.3519264241*((RANDBETWEEN(2979,3282)))</f>
        <v>92193918.147306368</v>
      </c>
      <c r="B14158">
        <v>163387644.49659896</v>
      </c>
    </row>
    <row r="14159" spans="1:2" x14ac:dyDescent="0.25">
      <c r="A14159">
        <f ca="1">26353.0379080787*((RANDBETWEEN(2979,3282)))</f>
        <v>80034176.126835108</v>
      </c>
      <c r="B14159">
        <v>174264272.75660139</v>
      </c>
    </row>
    <row r="14160" spans="1:2" x14ac:dyDescent="0.25">
      <c r="A14160">
        <f ca="1">31022.6842449725*((RANDBETWEEN(2979,3282)))</f>
        <v>96542593.370354444</v>
      </c>
      <c r="B14160">
        <v>188929098.57544434</v>
      </c>
    </row>
    <row r="14161" spans="1:2" x14ac:dyDescent="0.25">
      <c r="A14161">
        <f ca="1">31089.6274131755*((RANDBETWEEN(2979,3282)))</f>
        <v>98274312.25304769</v>
      </c>
      <c r="B14161">
        <v>170156447.23745686</v>
      </c>
    </row>
    <row r="14162" spans="1:2" x14ac:dyDescent="0.25">
      <c r="A14162">
        <f ca="1">31699.8416438775*((RANDBETWEEN(2979,3282)))</f>
        <v>102136889.77657323</v>
      </c>
      <c r="B14162">
        <v>197263349.48982269</v>
      </c>
    </row>
    <row r="14163" spans="1:2" x14ac:dyDescent="0.25">
      <c r="A14163">
        <f ca="1">28864.3932926286*((RANDBETWEEN(2979,3282)))</f>
        <v>93636091.841287196</v>
      </c>
      <c r="B14163">
        <v>169655275.58491462</v>
      </c>
    </row>
    <row r="14164" spans="1:2" x14ac:dyDescent="0.25">
      <c r="A14164">
        <f ca="1">26254.4712393664*((RANDBETWEEN(2979,3282)))</f>
        <v>81940204.738062546</v>
      </c>
      <c r="B14164">
        <v>165896379.55774319</v>
      </c>
    </row>
    <row r="14165" spans="1:2" x14ac:dyDescent="0.25">
      <c r="A14165">
        <f ca="1">28175.1157242371*((RANDBETWEEN(2979,3282)))</f>
        <v>84694397.867056623</v>
      </c>
      <c r="B14165">
        <v>203136667.42604816</v>
      </c>
    </row>
    <row r="14166" spans="1:2" x14ac:dyDescent="0.25">
      <c r="A14166">
        <f ca="1">28804.5267350239*((RANDBETWEEN(2979,3282)))</f>
        <v>89265228.351839125</v>
      </c>
      <c r="B14166">
        <v>163079533.52503231</v>
      </c>
    </row>
    <row r="14167" spans="1:2" x14ac:dyDescent="0.25">
      <c r="A14167">
        <f ca="1">28041.7299663496*((RANDBETWEEN(2979,3282)))</f>
        <v>86817195.975818276</v>
      </c>
      <c r="B14167">
        <v>185005722.43896237</v>
      </c>
    </row>
    <row r="14168" spans="1:2" x14ac:dyDescent="0.25">
      <c r="A14168">
        <f ca="1">29263.9857215748*((RANDBETWEEN(2979,3282)))</f>
        <v>90367187.908222914</v>
      </c>
      <c r="B14168">
        <v>177200762.43088135</v>
      </c>
    </row>
    <row r="14169" spans="1:2" x14ac:dyDescent="0.25">
      <c r="A14169">
        <f ca="1">26153.1343546633*((RANDBETWEEN(2979,3282)))</f>
        <v>80891644.558973551</v>
      </c>
      <c r="B14169">
        <v>171248587.04090261</v>
      </c>
    </row>
    <row r="14170" spans="1:2" x14ac:dyDescent="0.25">
      <c r="A14170">
        <f ca="1">27084.4202721078*((RANDBETWEEN(2979,3282)))</f>
        <v>88376463.347887799</v>
      </c>
      <c r="B14170">
        <v>159993955.97659913</v>
      </c>
    </row>
    <row r="14171" spans="1:2" x14ac:dyDescent="0.25">
      <c r="A14171">
        <f ca="1">30623.090168594*((RANDBETWEEN(2979,3282)))</f>
        <v>99616912.318436325</v>
      </c>
      <c r="B14171">
        <v>185097688.67298216</v>
      </c>
    </row>
    <row r="14172" spans="1:2" x14ac:dyDescent="0.25">
      <c r="A14172">
        <f ca="1">25783.8227042751*((RANDBETWEEN(2979,3282)))</f>
        <v>80832284.177902371</v>
      </c>
      <c r="B14172">
        <v>143466141.68868151</v>
      </c>
    </row>
    <row r="14173" spans="1:2" x14ac:dyDescent="0.25">
      <c r="A14173">
        <f ca="1">25779.2911143995*((RANDBETWEEN(2979,3282)))</f>
        <v>83808475.412912846</v>
      </c>
      <c r="B14173">
        <v>203289856.07981619</v>
      </c>
    </row>
    <row r="14174" spans="1:2" x14ac:dyDescent="0.25">
      <c r="A14174">
        <f ca="1">26583.6811265616*((RANDBETWEEN(2979,3282)))</f>
        <v>85094363.286123738</v>
      </c>
      <c r="B14174">
        <v>149669024.30125058</v>
      </c>
    </row>
    <row r="14175" spans="1:2" x14ac:dyDescent="0.25">
      <c r="A14175">
        <f ca="1">27274.6421206259*((RANDBETWEEN(2979,3282)))</f>
        <v>87633425.133570895</v>
      </c>
      <c r="B14175">
        <v>143278203.23129234</v>
      </c>
    </row>
    <row r="14176" spans="1:2" x14ac:dyDescent="0.25">
      <c r="A14176">
        <f ca="1">27169.708823393*((RANDBETWEEN(2979,3282)))</f>
        <v>85014018.908396617</v>
      </c>
      <c r="B14176">
        <v>184233428.94810164</v>
      </c>
    </row>
    <row r="14177" spans="1:2" x14ac:dyDescent="0.25">
      <c r="A14177">
        <f ca="1">25725.7622321961*((RANDBETWEEN(2979,3282)))</f>
        <v>78206317.185876057</v>
      </c>
      <c r="B14177">
        <v>143341490.18942285</v>
      </c>
    </row>
    <row r="14178" spans="1:2" x14ac:dyDescent="0.25">
      <c r="A14178">
        <f ca="1">29731.9288073698*((RANDBETWEEN(2979,3282)))</f>
        <v>89671497.283027366</v>
      </c>
      <c r="B14178">
        <v>193392465.6679264</v>
      </c>
    </row>
    <row r="14179" spans="1:2" x14ac:dyDescent="0.25">
      <c r="A14179">
        <f ca="1">30487.8158263178*((RANDBETWEEN(2979,3282)))</f>
        <v>95518326.983853802</v>
      </c>
      <c r="B14179">
        <v>161524431.16946301</v>
      </c>
    </row>
    <row r="14180" spans="1:2" x14ac:dyDescent="0.25">
      <c r="A14180">
        <f ca="1">29760.3652167045*((RANDBETWEEN(2979,3282)))</f>
        <v>95828375.997788355</v>
      </c>
      <c r="B14180">
        <v>196206973.10504961</v>
      </c>
    </row>
    <row r="14181" spans="1:2" x14ac:dyDescent="0.25">
      <c r="A14181">
        <f ca="1">26566.7772977069*((RANDBETWEEN(2979,3282)))</f>
        <v>79859732.556906879</v>
      </c>
      <c r="B14181">
        <v>157317283.41814789</v>
      </c>
    </row>
    <row r="14182" spans="1:2" x14ac:dyDescent="0.25">
      <c r="A14182">
        <f ca="1">28411.4723397954*((RANDBETWEEN(2979,3282)))</f>
        <v>91570175.351160541</v>
      </c>
      <c r="B14182">
        <v>163156947.34230793</v>
      </c>
    </row>
    <row r="14183" spans="1:2" x14ac:dyDescent="0.25">
      <c r="A14183">
        <f ca="1">32678.3885248929*((RANDBETWEEN(2979,3282)))</f>
        <v>100910863.76486939</v>
      </c>
      <c r="B14183">
        <v>156315434.45741647</v>
      </c>
    </row>
    <row r="14184" spans="1:2" x14ac:dyDescent="0.25">
      <c r="A14184">
        <f ca="1">27884.9128880826*((RANDBETWEEN(2979,3282)))</f>
        <v>90904816.01514937</v>
      </c>
      <c r="B14184">
        <v>174665032.63160777</v>
      </c>
    </row>
    <row r="14185" spans="1:2" x14ac:dyDescent="0.25">
      <c r="A14185">
        <f ca="1">25530.4218885327*((RANDBETWEEN(2979,3282)))</f>
        <v>79501733.760890886</v>
      </c>
      <c r="B14185">
        <v>144855351.19251335</v>
      </c>
    </row>
    <row r="14186" spans="1:2" x14ac:dyDescent="0.25">
      <c r="A14186">
        <f ca="1">25715.925901531*((RANDBETWEEN(2979,3282)))</f>
        <v>77250641.408199266</v>
      </c>
      <c r="B14186">
        <v>157308789.76505643</v>
      </c>
    </row>
    <row r="14187" spans="1:2" x14ac:dyDescent="0.25">
      <c r="A14187">
        <f ca="1">27294.8777223707*((RANDBETWEEN(2979,3282)))</f>
        <v>84668710.694794059</v>
      </c>
      <c r="B14187">
        <v>158254659.41394657</v>
      </c>
    </row>
    <row r="14188" spans="1:2" x14ac:dyDescent="0.25">
      <c r="A14188">
        <f ca="1">26768.757131425*((RANDBETWEEN(2979,3282)))</f>
        <v>82233621.907737523</v>
      </c>
      <c r="B14188">
        <v>184642658.76481658</v>
      </c>
    </row>
    <row r="14189" spans="1:2" x14ac:dyDescent="0.25">
      <c r="A14189">
        <f ca="1">26530.1725112984*((RANDBETWEEN(2979,3282)))</f>
        <v>81580280.472242683</v>
      </c>
      <c r="B14189">
        <v>193075882.7076228</v>
      </c>
    </row>
    <row r="14190" spans="1:2" x14ac:dyDescent="0.25">
      <c r="A14190">
        <f ca="1">27524.0251900388*((RANDBETWEEN(2979,3282)))</f>
        <v>83012459.973157018</v>
      </c>
      <c r="B14190">
        <v>153912241.37216797</v>
      </c>
    </row>
    <row r="14191" spans="1:2" x14ac:dyDescent="0.25">
      <c r="A14191">
        <f ca="1">25852.4851752759*((RANDBETWEEN(2979,3282)))</f>
        <v>82572837.64983128</v>
      </c>
      <c r="B14191">
        <v>163352052.23512506</v>
      </c>
    </row>
    <row r="14192" spans="1:2" x14ac:dyDescent="0.25">
      <c r="A14192">
        <f ca="1">30963.3236014085*((RANDBETWEEN(2979,3282)))</f>
        <v>92704190.862616897</v>
      </c>
      <c r="B14192">
        <v>201642136.22048539</v>
      </c>
    </row>
    <row r="14193" spans="1:2" x14ac:dyDescent="0.25">
      <c r="A14193">
        <f ca="1">25712.0945480903*((RANDBETWEEN(2979,3282)))</f>
        <v>78730433.506252483</v>
      </c>
      <c r="B14193">
        <v>143970572.30715492</v>
      </c>
    </row>
    <row r="14194" spans="1:2" x14ac:dyDescent="0.25">
      <c r="A14194">
        <f ca="1">25622.703788543*((RANDBETWEEN(2979,3282)))</f>
        <v>76663129.735320747</v>
      </c>
      <c r="B14194">
        <v>155119347.46093881</v>
      </c>
    </row>
    <row r="14195" spans="1:2" x14ac:dyDescent="0.25">
      <c r="A14195">
        <f ca="1">25659.8180394168*((RANDBETWEEN(2979,3282)))</f>
        <v>81572561.547306105</v>
      </c>
      <c r="B14195">
        <v>150228986.26022577</v>
      </c>
    </row>
    <row r="14196" spans="1:2" x14ac:dyDescent="0.25">
      <c r="A14196">
        <f ca="1">27210.9764023309*((RANDBETWEEN(2979,3282)))</f>
        <v>82884634.121499836</v>
      </c>
      <c r="B14196">
        <v>153771233.89567146</v>
      </c>
    </row>
    <row r="14197" spans="1:2" x14ac:dyDescent="0.25">
      <c r="A14197">
        <f ca="1">27101.6009093022*((RANDBETWEEN(2979,3282)))</f>
        <v>83364524.397013545</v>
      </c>
      <c r="B14197">
        <v>146950976.75536805</v>
      </c>
    </row>
    <row r="14198" spans="1:2" x14ac:dyDescent="0.25">
      <c r="A14198">
        <f ca="1">30502.8187177565*((RANDBETWEEN(2979,3282)))</f>
        <v>98219076.271175981</v>
      </c>
      <c r="B14198">
        <v>169582300.03588158</v>
      </c>
    </row>
    <row r="14199" spans="1:2" x14ac:dyDescent="0.25">
      <c r="A14199">
        <f ca="1">25885.8580914403*((RANDBETWEEN(2979,3282)))</f>
        <v>82524115.595511705</v>
      </c>
      <c r="B14199">
        <v>152040190.11518997</v>
      </c>
    </row>
    <row r="14200" spans="1:2" x14ac:dyDescent="0.25">
      <c r="A14200">
        <f ca="1">28686.4838791628*((RANDBETWEEN(2979,3282)))</f>
        <v>88038819.025150597</v>
      </c>
      <c r="B14200">
        <v>170400664.04772812</v>
      </c>
    </row>
    <row r="14201" spans="1:2" x14ac:dyDescent="0.25">
      <c r="A14201">
        <f ca="1">28578.0956445444*((RANDBETWEEN(2979,3282)))</f>
        <v>85305615.498965144</v>
      </c>
      <c r="B14201">
        <v>145010461.349044</v>
      </c>
    </row>
    <row r="14202" spans="1:2" x14ac:dyDescent="0.25">
      <c r="A14202">
        <f ca="1">28016.6287444507*((RANDBETWEEN(2979,3282)))</f>
        <v>87243781.910219342</v>
      </c>
      <c r="B14202">
        <v>199681385.81979507</v>
      </c>
    </row>
    <row r="14203" spans="1:2" x14ac:dyDescent="0.25">
      <c r="A14203">
        <f ca="1">26120.2322421863*((RANDBETWEEN(2979,3282)))</f>
        <v>80842118.789566666</v>
      </c>
      <c r="B14203">
        <v>167949696.33311582</v>
      </c>
    </row>
    <row r="14204" spans="1:2" x14ac:dyDescent="0.25">
      <c r="A14204">
        <f ca="1">26366.8094804319*((RANDBETWEEN(2979,3282)))</f>
        <v>84268323.099460304</v>
      </c>
      <c r="B14204">
        <v>189779966.06871682</v>
      </c>
    </row>
    <row r="14205" spans="1:2" x14ac:dyDescent="0.25">
      <c r="A14205">
        <f ca="1">27292.9975441339*((RANDBETWEEN(2979,3282)))</f>
        <v>86655267.202625155</v>
      </c>
      <c r="B14205">
        <v>186714187.15991107</v>
      </c>
    </row>
    <row r="14206" spans="1:2" x14ac:dyDescent="0.25">
      <c r="A14206">
        <f ca="1">31727.9718426883*((RANDBETWEEN(2979,3282)))</f>
        <v>101053590.31896238</v>
      </c>
      <c r="B14206">
        <v>187015326.08962509</v>
      </c>
    </row>
    <row r="14207" spans="1:2" x14ac:dyDescent="0.25">
      <c r="A14207">
        <f ca="1">26289.1360526207*((RANDBETWEEN(2979,3282)))</f>
        <v>85203089.946543589</v>
      </c>
      <c r="B14207">
        <v>152054326.17213517</v>
      </c>
    </row>
    <row r="14208" spans="1:2" x14ac:dyDescent="0.25">
      <c r="A14208">
        <f ca="1">25373.2855281901*((RANDBETWEEN(2979,3282)))</f>
        <v>78479572.138692096</v>
      </c>
      <c r="B14208">
        <v>145438074.12192273</v>
      </c>
    </row>
    <row r="14209" spans="1:2" x14ac:dyDescent="0.25">
      <c r="A14209">
        <f ca="1">27139.4875713606*((RANDBETWEEN(2979,3282)))</f>
        <v>87904800.243636847</v>
      </c>
      <c r="B14209">
        <v>148825234.94233525</v>
      </c>
    </row>
    <row r="14210" spans="1:2" x14ac:dyDescent="0.25">
      <c r="A14210">
        <f ca="1">29277.319359402*((RANDBETWEEN(2979,3282)))</f>
        <v>91901505.46916303</v>
      </c>
      <c r="B14210">
        <v>191444385.53963125</v>
      </c>
    </row>
    <row r="14211" spans="1:2" x14ac:dyDescent="0.25">
      <c r="A14211">
        <f ca="1">26721.2161975976*((RANDBETWEEN(2979,3282)))</f>
        <v>83904618.860456452</v>
      </c>
      <c r="B14211">
        <v>146606999.72124457</v>
      </c>
    </row>
    <row r="14212" spans="1:2" x14ac:dyDescent="0.25">
      <c r="A14212">
        <f ca="1">27334.3864219677*((RANDBETWEEN(2979,3282)))</f>
        <v>89137434.12203671</v>
      </c>
      <c r="B14212">
        <v>173723792.18881506</v>
      </c>
    </row>
    <row r="14213" spans="1:2" x14ac:dyDescent="0.25">
      <c r="A14213">
        <f ca="1">27402.6609783843*((RANDBETWEEN(2979,3282)))</f>
        <v>83961753.237769499</v>
      </c>
      <c r="B14213">
        <v>190238852.95186165</v>
      </c>
    </row>
    <row r="14214" spans="1:2" x14ac:dyDescent="0.25">
      <c r="A14214">
        <f ca="1">26664.9098504368*((RANDBETWEEN(2979,3282)))</f>
        <v>84074460.758427322</v>
      </c>
      <c r="B14214">
        <v>144836184.83051446</v>
      </c>
    </row>
    <row r="14215" spans="1:2" x14ac:dyDescent="0.25">
      <c r="A14215">
        <f ca="1">28232.3987006519*((RANDBETWEEN(2979,3282)))</f>
        <v>86447604.821395993</v>
      </c>
      <c r="B14215">
        <v>183279786.5772832</v>
      </c>
    </row>
    <row r="14216" spans="1:2" x14ac:dyDescent="0.25">
      <c r="A14216">
        <f ca="1">29201.5047118904*((RANDBETWEEN(2979,3282)))</f>
        <v>90320254.073877022</v>
      </c>
      <c r="B14216">
        <v>180694642.52508467</v>
      </c>
    </row>
    <row r="14217" spans="1:2" x14ac:dyDescent="0.25">
      <c r="A14217">
        <f ca="1">30819.0130937265*((RANDBETWEEN(2979,3282)))</f>
        <v>97388081.376175776</v>
      </c>
      <c r="B14217">
        <v>175412920.09840813</v>
      </c>
    </row>
    <row r="14218" spans="1:2" x14ac:dyDescent="0.25">
      <c r="A14218">
        <f ca="1">27265.8616562415*((RANDBETWEEN(2979,3282)))</f>
        <v>88123264.872972474</v>
      </c>
      <c r="B14218">
        <v>154023967.14359242</v>
      </c>
    </row>
    <row r="14219" spans="1:2" x14ac:dyDescent="0.25">
      <c r="A14219">
        <f ca="1">30169.9576941977*((RANDBETWEEN(2979,3282)))</f>
        <v>91475311.728807494</v>
      </c>
      <c r="B14219">
        <v>147064309.65743265</v>
      </c>
    </row>
    <row r="14220" spans="1:2" x14ac:dyDescent="0.25">
      <c r="A14220">
        <f ca="1">26209.8909149034*((RANDBETWEEN(2979,3282)))</f>
        <v>84369638.855073959</v>
      </c>
      <c r="B14220">
        <v>150680529.88993749</v>
      </c>
    </row>
    <row r="14221" spans="1:2" x14ac:dyDescent="0.25">
      <c r="A14221">
        <f ca="1">27528.828063027*((RANDBETWEEN(2979,3282)))</f>
        <v>82861772.469711348</v>
      </c>
      <c r="B14221">
        <v>192723095.46423298</v>
      </c>
    </row>
    <row r="14222" spans="1:2" x14ac:dyDescent="0.25">
      <c r="A14222">
        <f ca="1">27959.7685878457*((RANDBETWEEN(2979,3282)))</f>
        <v>86619363.08514607</v>
      </c>
      <c r="B14222">
        <v>145193400.32681906</v>
      </c>
    </row>
    <row r="14223" spans="1:2" x14ac:dyDescent="0.25">
      <c r="A14223">
        <f ca="1">28546.196034347*((RANDBETWEEN(2979,3282)))</f>
        <v>86837528.336483493</v>
      </c>
      <c r="B14223">
        <v>201939174.64876556</v>
      </c>
    </row>
    <row r="14224" spans="1:2" x14ac:dyDescent="0.25">
      <c r="A14224">
        <f ca="1">27359.5951495963*((RANDBETWEEN(2979,3282)))</f>
        <v>84267553.060756698</v>
      </c>
      <c r="B14224">
        <v>148012885.52453953</v>
      </c>
    </row>
    <row r="14225" spans="1:2" x14ac:dyDescent="0.25">
      <c r="A14225">
        <f ca="1">33655.5656338309*((RANDBETWEEN(2979,3282)))</f>
        <v>105745787.22149679</v>
      </c>
      <c r="B14225">
        <v>165982611.5667727</v>
      </c>
    </row>
    <row r="14226" spans="1:2" x14ac:dyDescent="0.25">
      <c r="A14226">
        <f ca="1">30501.5292953013*((RANDBETWEEN(2979,3282)))</f>
        <v>96994863.159058109</v>
      </c>
      <c r="B14226">
        <v>151396175.96416247</v>
      </c>
    </row>
    <row r="14227" spans="1:2" x14ac:dyDescent="0.25">
      <c r="A14227">
        <f ca="1">27513.2435054671*((RANDBETWEEN(2979,3282)))</f>
        <v>87629680.564912811</v>
      </c>
      <c r="B14227">
        <v>144377365.64704219</v>
      </c>
    </row>
    <row r="14228" spans="1:2" x14ac:dyDescent="0.25">
      <c r="A14228">
        <f ca="1">32539.5456721707*((RANDBETWEEN(2979,3282)))</f>
        <v>102890043.41540381</v>
      </c>
      <c r="B14228">
        <v>194024860.61197397</v>
      </c>
    </row>
    <row r="14229" spans="1:2" x14ac:dyDescent="0.25">
      <c r="A14229">
        <f ca="1">28483.9720992405*((RANDBETWEEN(2979,3282)))</f>
        <v>91177194.689668968</v>
      </c>
      <c r="B14229">
        <v>145967535.51573104</v>
      </c>
    </row>
    <row r="14230" spans="1:2" x14ac:dyDescent="0.25">
      <c r="A14230">
        <f ca="1">28133.9741815973*((RANDBETWEEN(2979,3282)))</f>
        <v>85977425.098961428</v>
      </c>
      <c r="B14230">
        <v>164082764.24152318</v>
      </c>
    </row>
    <row r="14231" spans="1:2" x14ac:dyDescent="0.25">
      <c r="A14231">
        <f ca="1">26988.3297068714*((RANDBETWEEN(2979,3282)))</f>
        <v>84716366.94986929</v>
      </c>
      <c r="B14231">
        <v>153828491.90937537</v>
      </c>
    </row>
    <row r="14232" spans="1:2" x14ac:dyDescent="0.25">
      <c r="A14232">
        <f ca="1">29540.7435341931*((RANDBETWEEN(2979,3282)))</f>
        <v>88326823.167237341</v>
      </c>
      <c r="B14232">
        <v>203015447.05400884</v>
      </c>
    </row>
    <row r="14233" spans="1:2" x14ac:dyDescent="0.25">
      <c r="A14233">
        <f ca="1">26926.1368411452*((RANDBETWEEN(2979,3282)))</f>
        <v>85032740.144336462</v>
      </c>
      <c r="B14233">
        <v>174701131.42225212</v>
      </c>
    </row>
    <row r="14234" spans="1:2" x14ac:dyDescent="0.25">
      <c r="A14234">
        <f ca="1">28140.514188891*((RANDBETWEEN(2979,3282)))</f>
        <v>90331050.546340063</v>
      </c>
      <c r="B14234">
        <v>173114031.26373327</v>
      </c>
    </row>
    <row r="14235" spans="1:2" x14ac:dyDescent="0.25">
      <c r="A14235">
        <f ca="1">27904.3104031938*((RANDBETWEEN(2979,3282)))</f>
        <v>90661104.49997665</v>
      </c>
      <c r="B14235">
        <v>145306795.86893457</v>
      </c>
    </row>
    <row r="14236" spans="1:2" x14ac:dyDescent="0.25">
      <c r="A14236">
        <f ca="1">30277.0078076984*((RANDBETWEEN(2979,3282)))</f>
        <v>97219472.070519686</v>
      </c>
      <c r="B14236">
        <v>158690688.12454367</v>
      </c>
    </row>
    <row r="14237" spans="1:2" x14ac:dyDescent="0.25">
      <c r="A14237">
        <f ca="1">30149.0370546661*((RANDBETWEEN(2979,3282)))</f>
        <v>97652731.0200634</v>
      </c>
      <c r="B14237">
        <v>162053252.11447978</v>
      </c>
    </row>
    <row r="14238" spans="1:2" x14ac:dyDescent="0.25">
      <c r="A14238">
        <f ca="1">28083.4454049263*((RANDBETWEEN(2979,3282)))</f>
        <v>87873100.672014356</v>
      </c>
      <c r="B14238">
        <v>157252290.80744082</v>
      </c>
    </row>
    <row r="14239" spans="1:2" x14ac:dyDescent="0.25">
      <c r="A14239">
        <f ca="1">27479.6386692023*((RANDBETWEEN(2979,3282)))</f>
        <v>83098427.335667893</v>
      </c>
      <c r="B14239">
        <v>159794166.25264892</v>
      </c>
    </row>
    <row r="14240" spans="1:2" x14ac:dyDescent="0.25">
      <c r="A14240">
        <f ca="1">30582.9597401047*((RANDBETWEEN(2979,3282)))</f>
        <v>91748879.220314115</v>
      </c>
      <c r="B14240">
        <v>185073541.42362729</v>
      </c>
    </row>
    <row r="14241" spans="1:2" x14ac:dyDescent="0.25">
      <c r="A14241">
        <f ca="1">28974.9447482065*((RANDBETWEEN(2979,3282)))</f>
        <v>91705700.128073439</v>
      </c>
      <c r="B14241">
        <v>185529450.52110493</v>
      </c>
    </row>
    <row r="14242" spans="1:2" x14ac:dyDescent="0.25">
      <c r="A14242">
        <f ca="1">29327.4796025919*((RANDBETWEEN(2979,3282)))</f>
        <v>90416619.614790872</v>
      </c>
      <c r="B14242">
        <v>187918711.68500239</v>
      </c>
    </row>
    <row r="14243" spans="1:2" x14ac:dyDescent="0.25">
      <c r="A14243">
        <f ca="1">26339.175096276*((RANDBETWEEN(2979,3282)))</f>
        <v>82020191.249803513</v>
      </c>
      <c r="B14243">
        <v>148910229.59932041</v>
      </c>
    </row>
    <row r="14244" spans="1:2" x14ac:dyDescent="0.25">
      <c r="A14244">
        <f ca="1">27107.5699897423*((RANDBETWEEN(2979,3282)))</f>
        <v>85578598.457616434</v>
      </c>
      <c r="B14244">
        <v>147884511.39674166</v>
      </c>
    </row>
    <row r="14245" spans="1:2" x14ac:dyDescent="0.25">
      <c r="A14245">
        <f ca="1">26700.1147502338*((RANDBETWEEN(2979,3282)))</f>
        <v>79993543.791700438</v>
      </c>
      <c r="B14245">
        <v>150011947.97364992</v>
      </c>
    </row>
    <row r="14246" spans="1:2" x14ac:dyDescent="0.25">
      <c r="A14246">
        <f ca="1">28547.8795327887*((RANDBETWEEN(2979,3282)))</f>
        <v>87699085.924726754</v>
      </c>
      <c r="B14246">
        <v>189607057.0862157</v>
      </c>
    </row>
    <row r="14247" spans="1:2" x14ac:dyDescent="0.25">
      <c r="A14247">
        <f ca="1">26494.9417706498*((RANDBETWEEN(2979,3282)))</f>
        <v>85817116.395134583</v>
      </c>
      <c r="B14247">
        <v>145388505.65020412</v>
      </c>
    </row>
    <row r="14248" spans="1:2" x14ac:dyDescent="0.25">
      <c r="A14248">
        <f ca="1">27518.4262850719*((RANDBETWEEN(2979,3282)))</f>
        <v>83325794.791197821</v>
      </c>
      <c r="B14248">
        <v>166644738.64084792</v>
      </c>
    </row>
    <row r="14249" spans="1:2" x14ac:dyDescent="0.25">
      <c r="A14249">
        <f ca="1">27214.676230356*((RANDBETWEEN(2979,3282)))</f>
        <v>87985048.252741009</v>
      </c>
      <c r="B14249">
        <v>155595829.62040949</v>
      </c>
    </row>
    <row r="14250" spans="1:2" x14ac:dyDescent="0.25">
      <c r="A14250">
        <f ca="1">26409.3326856729*((RANDBETWEEN(2979,3282)))</f>
        <v>79624138.047303766</v>
      </c>
      <c r="B14250">
        <v>173025505.60716832</v>
      </c>
    </row>
    <row r="14251" spans="1:2" x14ac:dyDescent="0.25">
      <c r="A14251">
        <f ca="1">28061.9485453978*((RANDBETWEEN(2979,3282)))</f>
        <v>89433430.014182776</v>
      </c>
      <c r="B14251">
        <v>194020188.63812163</v>
      </c>
    </row>
    <row r="14252" spans="1:2" x14ac:dyDescent="0.25">
      <c r="A14252">
        <f ca="1">26718.788410451*((RANDBETWEEN(2979,3282)))</f>
        <v>82641212.553524882</v>
      </c>
      <c r="B14252">
        <v>173894462.25125831</v>
      </c>
    </row>
    <row r="14253" spans="1:2" x14ac:dyDescent="0.25">
      <c r="A14253">
        <f ca="1">29433.6668838386*((RANDBETWEEN(2979,3282)))</f>
        <v>92568882.349672288</v>
      </c>
      <c r="B14253">
        <v>173143615.86963764</v>
      </c>
    </row>
    <row r="14254" spans="1:2" x14ac:dyDescent="0.25">
      <c r="A14254">
        <f ca="1">33027.5245280874*((RANDBETWEEN(2979,3282)))</f>
        <v>104400005.03328441</v>
      </c>
      <c r="B14254">
        <v>203204640.14245155</v>
      </c>
    </row>
    <row r="14255" spans="1:2" x14ac:dyDescent="0.25">
      <c r="A14255">
        <f ca="1">28224.890377979*((RANDBETWEEN(2979,3282)))</f>
        <v>85831891.639434248</v>
      </c>
      <c r="B14255">
        <v>158652642.64016923</v>
      </c>
    </row>
    <row r="14256" spans="1:2" x14ac:dyDescent="0.25">
      <c r="A14256">
        <f ca="1">25132.2431819387*((RANDBETWEEN(2979,3282)))</f>
        <v>80976087.532206595</v>
      </c>
      <c r="B14256">
        <v>187904117.54852808</v>
      </c>
    </row>
    <row r="14257" spans="1:2" x14ac:dyDescent="0.25">
      <c r="A14257">
        <f ca="1">30293.8869540566*((RANDBETWEEN(2979,3282)))</f>
        <v>93456641.253264546</v>
      </c>
      <c r="B14257">
        <v>163021690.08297285</v>
      </c>
    </row>
    <row r="14258" spans="1:2" x14ac:dyDescent="0.25">
      <c r="A14258">
        <f ca="1">26178.3285514934*((RANDBETWEEN(2979,3282)))</f>
        <v>84346574.592911839</v>
      </c>
      <c r="B14258">
        <v>172719361.25689065</v>
      </c>
    </row>
    <row r="14259" spans="1:2" x14ac:dyDescent="0.25">
      <c r="A14259">
        <f ca="1">33630.1877052593*((RANDBETWEEN(2979,3282)))</f>
        <v>101159604.61741994</v>
      </c>
      <c r="B14259">
        <v>178263327.17144746</v>
      </c>
    </row>
    <row r="14260" spans="1:2" x14ac:dyDescent="0.25">
      <c r="A14260">
        <f ca="1">25082.0458549977*((RANDBETWEEN(2979,3282)))</f>
        <v>80789269.698947653</v>
      </c>
      <c r="B14260">
        <v>174089457.97171596</v>
      </c>
    </row>
    <row r="14261" spans="1:2" x14ac:dyDescent="0.25">
      <c r="A14261">
        <f ca="1">26969.6529351745*((RANDBETWEEN(2979,3282)))</f>
        <v>81448351.864227086</v>
      </c>
      <c r="B14261">
        <v>144734564.7286163</v>
      </c>
    </row>
    <row r="14262" spans="1:2" x14ac:dyDescent="0.25">
      <c r="A14262">
        <f ca="1">27614.3195373303*((RANDBETWEEN(2979,3282)))</f>
        <v>82898187.251065597</v>
      </c>
      <c r="B14262">
        <v>148977935.51410365</v>
      </c>
    </row>
    <row r="14263" spans="1:2" x14ac:dyDescent="0.25">
      <c r="A14263">
        <f ca="1">29155.5315045012*((RANDBETWEEN(2979,3282)))</f>
        <v>91431746.798115686</v>
      </c>
      <c r="B14263">
        <v>199631067.65952408</v>
      </c>
    </row>
    <row r="14264" spans="1:2" x14ac:dyDescent="0.25">
      <c r="A14264">
        <f ca="1">26845.1435491525*((RANDBETWEEN(2979,3282)))</f>
        <v>85260175.912108317</v>
      </c>
      <c r="B14264">
        <v>180974478.07008225</v>
      </c>
    </row>
    <row r="14265" spans="1:2" x14ac:dyDescent="0.25">
      <c r="A14265">
        <f ca="1">29806.8905915832*((RANDBETWEEN(2979,3282)))</f>
        <v>91596574.787935138</v>
      </c>
      <c r="B14265">
        <v>189645072.4528555</v>
      </c>
    </row>
    <row r="14266" spans="1:2" x14ac:dyDescent="0.25">
      <c r="A14266">
        <f ca="1">27832.4689660075*((RANDBETWEEN(2979,3282)))</f>
        <v>88368088.967073947</v>
      </c>
      <c r="B14266">
        <v>203402069.10559669</v>
      </c>
    </row>
    <row r="14267" spans="1:2" x14ac:dyDescent="0.25">
      <c r="A14267">
        <f ca="1">28649.9722492869*((RANDBETWEEN(2979,3282)))</f>
        <v>92482110.420698166</v>
      </c>
      <c r="B14267">
        <v>152633251.73938072</v>
      </c>
    </row>
    <row r="14268" spans="1:2" x14ac:dyDescent="0.25">
      <c r="A14268">
        <f ca="1">28076.361129648*((RANDBETWEEN(2979,3282)))</f>
        <v>86110199.584630266</v>
      </c>
      <c r="B14268">
        <v>151266771.23969898</v>
      </c>
    </row>
    <row r="14269" spans="1:2" x14ac:dyDescent="0.25">
      <c r="A14269">
        <f ca="1">26054.3197211603*((RANDBETWEEN(2979,3282)))</f>
        <v>85353951.406521276</v>
      </c>
      <c r="B14269">
        <v>149111969.51721179</v>
      </c>
    </row>
    <row r="14270" spans="1:2" x14ac:dyDescent="0.25">
      <c r="A14270">
        <f ca="1">27858.375179182*((RANDBETWEEN(2979,3282)))</f>
        <v>83714417.413442016</v>
      </c>
      <c r="B14270">
        <v>145696698.12832093</v>
      </c>
    </row>
    <row r="14271" spans="1:2" x14ac:dyDescent="0.25">
      <c r="A14271">
        <f ca="1">25621.394483145*((RANDBETWEEN(2979,3282)))</f>
        <v>81476034.456401005</v>
      </c>
      <c r="B14271">
        <v>150392728.71297276</v>
      </c>
    </row>
    <row r="14272" spans="1:2" x14ac:dyDescent="0.25">
      <c r="A14272">
        <f ca="1">27290.3875832094*((RANDBETWEEN(2979,3282)))</f>
        <v>84081684.143868014</v>
      </c>
      <c r="B14272">
        <v>160925938.68142229</v>
      </c>
    </row>
    <row r="14273" spans="1:2" x14ac:dyDescent="0.25">
      <c r="A14273">
        <f ca="1">26617.1124101843*((RANDBETWEEN(2979,3282)))</f>
        <v>83497881.630748019</v>
      </c>
      <c r="B14273">
        <v>158628987.81879732</v>
      </c>
    </row>
    <row r="14274" spans="1:2" x14ac:dyDescent="0.25">
      <c r="A14274">
        <f ca="1">27577.2189324617*((RANDBETWEEN(2979,3282)))</f>
        <v>82235266.85660091</v>
      </c>
      <c r="B14274">
        <v>143412377.32937801</v>
      </c>
    </row>
    <row r="14275" spans="1:2" x14ac:dyDescent="0.25">
      <c r="A14275">
        <f ca="1">30572.5041223911*((RANDBETWEEN(2979,3282)))</f>
        <v>96884265.563857451</v>
      </c>
      <c r="B14275">
        <v>179453728.81301069</v>
      </c>
    </row>
    <row r="14276" spans="1:2" x14ac:dyDescent="0.25">
      <c r="A14276">
        <f ca="1">30618.0908130506*((RANDBETWEEN(2979,3282)))</f>
        <v>92129835.256469339</v>
      </c>
      <c r="B14276">
        <v>158054993.11362082</v>
      </c>
    </row>
    <row r="14277" spans="1:2" x14ac:dyDescent="0.25">
      <c r="A14277">
        <f ca="1">27257.0441726398*((RANDBETWEEN(2979,3282)))</f>
        <v>85941460.276333272</v>
      </c>
      <c r="B14277">
        <v>178520412.64968267</v>
      </c>
    </row>
    <row r="14278" spans="1:2" x14ac:dyDescent="0.25">
      <c r="A14278">
        <f ca="1">31522.6188593089*((RANDBETWEEN(2979,3282)))</f>
        <v>99674520.833134785</v>
      </c>
      <c r="B14278">
        <v>203295284.50480664</v>
      </c>
    </row>
    <row r="14279" spans="1:2" x14ac:dyDescent="0.25">
      <c r="A14279">
        <f ca="1">31150.905994068*((RANDBETWEEN(2979,3282)))</f>
        <v>95664432.307782918</v>
      </c>
      <c r="B14279">
        <v>166266272.80593836</v>
      </c>
    </row>
    <row r="14280" spans="1:2" x14ac:dyDescent="0.25">
      <c r="A14280">
        <f ca="1">27126.7158586061*((RANDBETWEEN(2979,3282)))</f>
        <v>87863432.666024998</v>
      </c>
      <c r="B14280">
        <v>177485843.81281218</v>
      </c>
    </row>
    <row r="14281" spans="1:2" x14ac:dyDescent="0.25">
      <c r="A14281">
        <f ca="1">31820.1008140543*((RANDBETWEEN(2979,3282)))</f>
        <v>102715285.42776728</v>
      </c>
      <c r="B14281">
        <v>177756441.46153921</v>
      </c>
    </row>
    <row r="14282" spans="1:2" x14ac:dyDescent="0.25">
      <c r="A14282">
        <f ca="1">27598.9716452516*((RANDBETWEEN(2979,3282)))</f>
        <v>83624884.085112274</v>
      </c>
      <c r="B14282">
        <v>179661905.00334266</v>
      </c>
    </row>
    <row r="14283" spans="1:2" x14ac:dyDescent="0.25">
      <c r="A14283">
        <f ca="1">30791.8850349563*((RANDBETWEEN(2979,3282)))</f>
        <v>99273037.35269922</v>
      </c>
      <c r="B14283">
        <v>187591208.91758174</v>
      </c>
    </row>
    <row r="14284" spans="1:2" x14ac:dyDescent="0.25">
      <c r="A14284">
        <f ca="1">26308.6799565012*((RANDBETWEEN(2979,3282)))</f>
        <v>79557448.188459501</v>
      </c>
      <c r="B14284">
        <v>175330776.93554336</v>
      </c>
    </row>
    <row r="14285" spans="1:2" x14ac:dyDescent="0.25">
      <c r="A14285">
        <f ca="1">25688.0946095797*((RANDBETWEEN(2979,3282)))</f>
        <v>78348688.559218153</v>
      </c>
      <c r="B14285">
        <v>154445387.09777835</v>
      </c>
    </row>
    <row r="14286" spans="1:2" x14ac:dyDescent="0.25">
      <c r="A14286">
        <f ca="1">31469.125608189*((RANDBETWEEN(2979,3282)))</f>
        <v>102872571.61316973</v>
      </c>
      <c r="B14286">
        <v>182068010.46648347</v>
      </c>
    </row>
    <row r="14287" spans="1:2" x14ac:dyDescent="0.25">
      <c r="A14287">
        <f ca="1">27002.4101855819*((RANDBETWEEN(2979,3282)))</f>
        <v>81520276.350271896</v>
      </c>
      <c r="B14287">
        <v>161883044.56168738</v>
      </c>
    </row>
    <row r="14288" spans="1:2" x14ac:dyDescent="0.25">
      <c r="A14288">
        <f ca="1">30006.5872279336*((RANDBETWEEN(2979,3282)))</f>
        <v>95450953.972056866</v>
      </c>
      <c r="B14288">
        <v>155587044.39296836</v>
      </c>
    </row>
    <row r="14289" spans="1:2" x14ac:dyDescent="0.25">
      <c r="A14289">
        <f ca="1">26959.9206148789*((RANDBETWEEN(2979,3282)))</f>
        <v>87377102.712822601</v>
      </c>
      <c r="B14289">
        <v>148965307.93173969</v>
      </c>
    </row>
    <row r="14290" spans="1:2" x14ac:dyDescent="0.25">
      <c r="A14290">
        <f ca="1">26293.816642346*((RANDBETWEEN(2979,3282)))</f>
        <v>80511666.558863446</v>
      </c>
      <c r="B14290">
        <v>199919928.31820598</v>
      </c>
    </row>
    <row r="14291" spans="1:2" x14ac:dyDescent="0.25">
      <c r="A14291">
        <f ca="1">29893.4511934404*((RANDBETWEEN(2979,3282)))</f>
        <v>90636944.018511176</v>
      </c>
      <c r="B14291">
        <v>195586716.51138556</v>
      </c>
    </row>
    <row r="14292" spans="1:2" x14ac:dyDescent="0.25">
      <c r="A14292">
        <f ca="1">25471.1516224465*((RANDBETWEEN(2979,3282)))</f>
        <v>78502089.300380245</v>
      </c>
      <c r="B14292">
        <v>158205539.09189725</v>
      </c>
    </row>
    <row r="14293" spans="1:2" x14ac:dyDescent="0.25">
      <c r="A14293">
        <f ca="1">28314.7936918993*((RANDBETWEEN(2979,3282)))</f>
        <v>86388435.553984866</v>
      </c>
      <c r="B14293">
        <v>184896535.8473658</v>
      </c>
    </row>
    <row r="14294" spans="1:2" x14ac:dyDescent="0.25">
      <c r="A14294">
        <f ca="1">33481.9296385973*((RANDBETWEEN(2979,3282)))</f>
        <v>108782789.39580256</v>
      </c>
      <c r="B14294">
        <v>174050293.29434726</v>
      </c>
    </row>
    <row r="14295" spans="1:2" x14ac:dyDescent="0.25">
      <c r="A14295">
        <f ca="1">26068.3103137873*((RANDBETWEEN(2979,3282)))</f>
        <v>78230999.251675695</v>
      </c>
      <c r="B14295">
        <v>160619501.43491656</v>
      </c>
    </row>
    <row r="14296" spans="1:2" x14ac:dyDescent="0.25">
      <c r="A14296">
        <f ca="1">27141.7618638229*((RANDBETWEEN(2979,3282)))</f>
        <v>87505040.248964876</v>
      </c>
      <c r="B14296">
        <v>147124535.56735593</v>
      </c>
    </row>
    <row r="14297" spans="1:2" x14ac:dyDescent="0.25">
      <c r="A14297">
        <f ca="1">25971.7736044885*((RANDBETWEEN(2979,3282)))</f>
        <v>79785288.512988821</v>
      </c>
      <c r="B14297">
        <v>185381586.92285386</v>
      </c>
    </row>
    <row r="14298" spans="1:2" x14ac:dyDescent="0.25">
      <c r="A14298">
        <f ca="1">27848.5558343613*((RANDBETWEEN(2979,3282)))</f>
        <v>84854549.627298802</v>
      </c>
      <c r="B14298">
        <v>174103401.90485084</v>
      </c>
    </row>
    <row r="14299" spans="1:2" x14ac:dyDescent="0.25">
      <c r="A14299">
        <f ca="1">26163.2101010816*((RANDBETWEEN(2979,3282)))</f>
        <v>83486803.43255128</v>
      </c>
      <c r="B14299">
        <v>143946320.67014936</v>
      </c>
    </row>
    <row r="14300" spans="1:2" x14ac:dyDescent="0.25">
      <c r="A14300">
        <f ca="1">27301.7252737993*((RANDBETWEEN(2979,3282)))</f>
        <v>89222038.194775969</v>
      </c>
      <c r="B14300">
        <v>200082062.44248396</v>
      </c>
    </row>
    <row r="14301" spans="1:2" x14ac:dyDescent="0.25">
      <c r="A14301">
        <f ca="1">27529.1169734735*((RANDBETWEEN(2979,3282)))</f>
        <v>88340936.367876604</v>
      </c>
      <c r="B14301">
        <v>156857706.24785697</v>
      </c>
    </row>
    <row r="14302" spans="1:2" x14ac:dyDescent="0.25">
      <c r="A14302">
        <f ca="1">29007.3253323738*((RANDBETWEEN(2979,3282)))</f>
        <v>88414327.613075405</v>
      </c>
      <c r="B14302">
        <v>193827281.1761938</v>
      </c>
    </row>
    <row r="14303" spans="1:2" x14ac:dyDescent="0.25">
      <c r="A14303">
        <f ca="1">27434.1603113158*((RANDBETWEEN(2979,3282)))</f>
        <v>85210501.926946774</v>
      </c>
      <c r="B14303">
        <v>163174587.07077819</v>
      </c>
    </row>
    <row r="14304" spans="1:2" x14ac:dyDescent="0.25">
      <c r="A14304">
        <f ca="1">27648.3404991342*((RANDBETWEEN(2979,3282)))</f>
        <v>88834118.023718059</v>
      </c>
      <c r="B14304">
        <v>145576808.37276992</v>
      </c>
    </row>
    <row r="14305" spans="1:2" x14ac:dyDescent="0.25">
      <c r="A14305">
        <f ca="1">32989.6443185227*((RANDBETWEEN(2979,3282)))</f>
        <v>103521503.87152421</v>
      </c>
      <c r="B14305">
        <v>147848855.96631315</v>
      </c>
    </row>
    <row r="14306" spans="1:2" x14ac:dyDescent="0.25">
      <c r="A14306">
        <f ca="1">27837.021084133*((RANDBETWEEN(2979,3282)))</f>
        <v>84986425.369858056</v>
      </c>
      <c r="B14306">
        <v>177407986.50979543</v>
      </c>
    </row>
    <row r="14307" spans="1:2" x14ac:dyDescent="0.25">
      <c r="A14307">
        <f ca="1">26240.9417353199*((RANDBETWEEN(2979,3282)))</f>
        <v>84390868.620788783</v>
      </c>
      <c r="B14307">
        <v>180714671.86444938</v>
      </c>
    </row>
    <row r="14308" spans="1:2" x14ac:dyDescent="0.25">
      <c r="A14308">
        <f ca="1">29081.8305289036*((RANDBETWEEN(2979,3282)))</f>
        <v>90677147.589121521</v>
      </c>
      <c r="B14308">
        <v>147480237.88104734</v>
      </c>
    </row>
    <row r="14309" spans="1:2" x14ac:dyDescent="0.25">
      <c r="A14309">
        <f ca="1">26014.0047661003*((RANDBETWEEN(2979,3282)))</f>
        <v>80565372.760612741</v>
      </c>
      <c r="B14309">
        <v>162826451.74112582</v>
      </c>
    </row>
    <row r="14310" spans="1:2" x14ac:dyDescent="0.25">
      <c r="A14310">
        <f ca="1">28046.7935192812*((RANDBETWEEN(2979,3282)))</f>
        <v>87197481.051445365</v>
      </c>
      <c r="B14310">
        <v>156143026.4385654</v>
      </c>
    </row>
    <row r="14311" spans="1:2" x14ac:dyDescent="0.25">
      <c r="A14311">
        <f ca="1">30412.4090112918*((RANDBETWEEN(2979,3282)))</f>
        <v>94339292.75302729</v>
      </c>
      <c r="B14311">
        <v>190241075.82079434</v>
      </c>
    </row>
    <row r="14312" spans="1:2" x14ac:dyDescent="0.25">
      <c r="A14312">
        <f ca="1">32153.9794491622*((RANDBETWEEN(2979,3282)))</f>
        <v>97201479.874817193</v>
      </c>
      <c r="B14312">
        <v>173025065.02673829</v>
      </c>
    </row>
    <row r="14313" spans="1:2" x14ac:dyDescent="0.25">
      <c r="A14313">
        <f ca="1">32769.3915202318*((RANDBETWEEN(2979,3282)))</f>
        <v>102142193.36856239</v>
      </c>
      <c r="B14313">
        <v>191164705.66509673</v>
      </c>
    </row>
    <row r="14314" spans="1:2" x14ac:dyDescent="0.25">
      <c r="A14314">
        <f ca="1">29758.5954534818*((RANDBETWEEN(2979,3282)))</f>
        <v>95644125.787490636</v>
      </c>
      <c r="B14314">
        <v>182242711.71233577</v>
      </c>
    </row>
    <row r="14315" spans="1:2" x14ac:dyDescent="0.25">
      <c r="A14315">
        <f ca="1">27651.2783731998*((RANDBETWEEN(2979,3282)))</f>
        <v>86880316.648593724</v>
      </c>
      <c r="B14315">
        <v>153754235.98599121</v>
      </c>
    </row>
    <row r="14316" spans="1:2" x14ac:dyDescent="0.25">
      <c r="A14316">
        <f ca="1">27478.51663839*((RANDBETWEEN(2979,3282)))</f>
        <v>89579964.241151452</v>
      </c>
      <c r="B14316">
        <v>171878760.86305264</v>
      </c>
    </row>
    <row r="14317" spans="1:2" x14ac:dyDescent="0.25">
      <c r="A14317">
        <f ca="1">27362.9984818529*((RANDBETWEEN(2979,3282)))</f>
        <v>87780499.129784077</v>
      </c>
      <c r="B14317">
        <v>185099045.9035911</v>
      </c>
    </row>
    <row r="14318" spans="1:2" x14ac:dyDescent="0.25">
      <c r="A14318">
        <f ca="1">27149.074171068*((RANDBETWEEN(2979,3282)))</f>
        <v>86089714.19645673</v>
      </c>
      <c r="B14318">
        <v>153883922.12499937</v>
      </c>
    </row>
    <row r="14319" spans="1:2" x14ac:dyDescent="0.25">
      <c r="A14319">
        <f ca="1">28149.8430840958*((RANDBETWEEN(2979,3282)))</f>
        <v>91036592.53396596</v>
      </c>
      <c r="B14319">
        <v>156556970.57661051</v>
      </c>
    </row>
    <row r="14320" spans="1:2" x14ac:dyDescent="0.25">
      <c r="A14320">
        <f ca="1">26464.337510679*((RANDBETWEEN(2979,3282)))</f>
        <v>84394772.321555197</v>
      </c>
      <c r="B14320">
        <v>160566259.90685338</v>
      </c>
    </row>
    <row r="14321" spans="1:2" x14ac:dyDescent="0.25">
      <c r="A14321">
        <f ca="1">34007.3460347418*((RANDBETWEEN(2979,3282)))</f>
        <v>105116706.59338704</v>
      </c>
      <c r="B14321">
        <v>170937646.06606272</v>
      </c>
    </row>
    <row r="14322" spans="1:2" x14ac:dyDescent="0.25">
      <c r="A14322">
        <f ca="1">26680.6633751079*((RANDBETWEEN(2979,3282)))</f>
        <v>86365307.345224306</v>
      </c>
      <c r="B14322">
        <v>157485369.53378975</v>
      </c>
    </row>
    <row r="14323" spans="1:2" x14ac:dyDescent="0.25">
      <c r="A14323">
        <f ca="1">29651.0734178272*((RANDBETWEEN(2979,3282)))</f>
        <v>96158431.094013721</v>
      </c>
      <c r="B14323">
        <v>159824306.34819937</v>
      </c>
    </row>
    <row r="14324" spans="1:2" x14ac:dyDescent="0.25">
      <c r="A14324">
        <f ca="1">26529.9900119269*((RANDBETWEEN(2979,3282)))</f>
        <v>82083789.096902058</v>
      </c>
      <c r="B14324">
        <v>160761402.14038134</v>
      </c>
    </row>
    <row r="14325" spans="1:2" x14ac:dyDescent="0.25">
      <c r="A14325">
        <f ca="1">25829.1776292938*((RANDBETWEEN(2979,3282)))</f>
        <v>84719702.624083638</v>
      </c>
      <c r="B14325">
        <v>158906138.99841046</v>
      </c>
    </row>
    <row r="14326" spans="1:2" x14ac:dyDescent="0.25">
      <c r="A14326">
        <f ca="1">27301.6401327647*((RANDBETWEEN(2979,3282)))</f>
        <v>83433812.245728984</v>
      </c>
      <c r="B14326">
        <v>163534187.68306169</v>
      </c>
    </row>
    <row r="14327" spans="1:2" x14ac:dyDescent="0.25">
      <c r="A14327">
        <f ca="1">26126.6859155695*((RANDBETWEEN(2979,3282)))</f>
        <v>80757586.165025249</v>
      </c>
      <c r="B14327">
        <v>155470619.9168154</v>
      </c>
    </row>
    <row r="14328" spans="1:2" x14ac:dyDescent="0.25">
      <c r="A14328">
        <f ca="1">26249.6260481975*((RANDBETWEEN(2979,3282)))</f>
        <v>79195121.787411943</v>
      </c>
      <c r="B14328">
        <v>173975400.12412903</v>
      </c>
    </row>
    <row r="14329" spans="1:2" x14ac:dyDescent="0.25">
      <c r="A14329">
        <f ca="1">27268.3008167914*((RANDBETWEEN(2979,3282)))</f>
        <v>81832170.751190946</v>
      </c>
      <c r="B14329">
        <v>148381263.81198007</v>
      </c>
    </row>
    <row r="14330" spans="1:2" x14ac:dyDescent="0.25">
      <c r="A14330">
        <f ca="1">26825.37502666*((RANDBETWEEN(2979,3282)))</f>
        <v>85385168.709858879</v>
      </c>
      <c r="B14330">
        <v>158270191.10930747</v>
      </c>
    </row>
    <row r="14331" spans="1:2" x14ac:dyDescent="0.25">
      <c r="A14331">
        <f ca="1">30680.2068152542*((RANDBETWEEN(2979,3282)))</f>
        <v>92623544.37525253</v>
      </c>
      <c r="B14331">
        <v>166516103.59486452</v>
      </c>
    </row>
    <row r="14332" spans="1:2" x14ac:dyDescent="0.25">
      <c r="A14332">
        <f ca="1">24871.5822536315*((RANDBETWEEN(2979,3282)))</f>
        <v>76405500.683156073</v>
      </c>
      <c r="B14332">
        <v>147268080.72839603</v>
      </c>
    </row>
    <row r="14333" spans="1:2" x14ac:dyDescent="0.25">
      <c r="A14333">
        <f ca="1">27689.8097568709*((RANDBETWEEN(2979,3282)))</f>
        <v>83097119.080369592</v>
      </c>
      <c r="B14333">
        <v>160536692.35175025</v>
      </c>
    </row>
    <row r="14334" spans="1:2" x14ac:dyDescent="0.25">
      <c r="A14334">
        <f ca="1">26184.431386306*((RANDBETWEEN(2979,3282)))</f>
        <v>85020848.711335555</v>
      </c>
      <c r="B14334">
        <v>150286325.57164448</v>
      </c>
    </row>
    <row r="14335" spans="1:2" x14ac:dyDescent="0.25">
      <c r="A14335">
        <f ca="1">26723.5913365156*((RANDBETWEEN(2979,3282)))</f>
        <v>85675833.824869066</v>
      </c>
      <c r="B14335">
        <v>177119999.38142499</v>
      </c>
    </row>
    <row r="14336" spans="1:2" x14ac:dyDescent="0.25">
      <c r="A14336">
        <f ca="1">27244.4236049207*((RANDBETWEEN(2979,3282)))</f>
        <v>87372866.500980735</v>
      </c>
      <c r="B14336">
        <v>151223123.36085832</v>
      </c>
    </row>
    <row r="14337" spans="1:2" x14ac:dyDescent="0.25">
      <c r="A14337">
        <f ca="1">31593.6702552647*((RANDBETWEEN(2979,3282)))</f>
        <v>103248114.3942052</v>
      </c>
      <c r="B14337">
        <v>151664465.68343878</v>
      </c>
    </row>
    <row r="14338" spans="1:2" x14ac:dyDescent="0.25">
      <c r="A14338">
        <f ca="1">27526.3867822302*((RANDBETWEEN(2979,3282)))</f>
        <v>83542583.884068519</v>
      </c>
      <c r="B14338">
        <v>176275527.31083685</v>
      </c>
    </row>
    <row r="14339" spans="1:2" x14ac:dyDescent="0.25">
      <c r="A14339">
        <f ca="1">30586.9559468439*((RANDBETWEEN(2979,3282)))</f>
        <v>91913802.620265901</v>
      </c>
      <c r="B14339">
        <v>186626738.56086639</v>
      </c>
    </row>
    <row r="14340" spans="1:2" x14ac:dyDescent="0.25">
      <c r="A14340">
        <f ca="1">26712.338738348*((RANDBETWEEN(2979,3282)))</f>
        <v>87376060.013136253</v>
      </c>
      <c r="B14340">
        <v>149859406.67515895</v>
      </c>
    </row>
    <row r="14341" spans="1:2" x14ac:dyDescent="0.25">
      <c r="A14341">
        <f ca="1">30682.717775306*((RANDBETWEEN(2979,3282)))</f>
        <v>92753855.834749952</v>
      </c>
      <c r="B14341">
        <v>196741153.01991412</v>
      </c>
    </row>
    <row r="14342" spans="1:2" x14ac:dyDescent="0.25">
      <c r="A14342">
        <f ca="1">29304.5912601343*((RANDBETWEEN(2979,3282)))</f>
        <v>90258141.081213623</v>
      </c>
      <c r="B14342">
        <v>156761790.13595495</v>
      </c>
    </row>
    <row r="14343" spans="1:2" x14ac:dyDescent="0.25">
      <c r="A14343">
        <f ca="1">32178.3736502284*((RANDBETWEEN(2979,3282)))</f>
        <v>102809903.81247967</v>
      </c>
      <c r="B14343">
        <v>200449999.06489787</v>
      </c>
    </row>
    <row r="14344" spans="1:2" x14ac:dyDescent="0.25">
      <c r="A14344">
        <f ca="1">30206.2298700251*((RANDBETWEEN(2979,3282)))</f>
        <v>92491475.862016886</v>
      </c>
      <c r="B14344">
        <v>192351541.11182654</v>
      </c>
    </row>
    <row r="14345" spans="1:2" x14ac:dyDescent="0.25">
      <c r="A14345">
        <f ca="1">25144.6680597104*((RANDBETWEEN(2979,3282)))</f>
        <v>81569303.185700431</v>
      </c>
      <c r="B14345">
        <v>182686454.99260062</v>
      </c>
    </row>
    <row r="14346" spans="1:2" x14ac:dyDescent="0.25">
      <c r="A14346">
        <f ca="1">28719.5452403667*((RANDBETWEEN(2979,3282)))</f>
        <v>92419496.583500087</v>
      </c>
      <c r="B14346">
        <v>147489255.0580911</v>
      </c>
    </row>
    <row r="14347" spans="1:2" x14ac:dyDescent="0.25">
      <c r="A14347">
        <f ca="1">28480.5473609255*((RANDBETWEEN(2979,3282)))</f>
        <v>91906726.333706588</v>
      </c>
      <c r="B14347">
        <v>168386445.21719262</v>
      </c>
    </row>
    <row r="14348" spans="1:2" x14ac:dyDescent="0.25">
      <c r="A14348">
        <f ca="1">28369.0391857962*((RANDBETWEEN(2979,3282)))</f>
        <v>92483067.745695725</v>
      </c>
      <c r="B14348">
        <v>166329066.84629384</v>
      </c>
    </row>
    <row r="14349" spans="1:2" x14ac:dyDescent="0.25">
      <c r="A14349">
        <f ca="1">32857.6334373364*((RANDBETWEEN(2979,3282)))</f>
        <v>100412927.78450009</v>
      </c>
      <c r="B14349">
        <v>158774889.39507771</v>
      </c>
    </row>
    <row r="14350" spans="1:2" x14ac:dyDescent="0.25">
      <c r="A14350">
        <f ca="1">26580.2720902729*((RANDBETWEEN(2979,3282)))</f>
        <v>79262371.373193681</v>
      </c>
      <c r="B14350">
        <v>171254907.67303404</v>
      </c>
    </row>
    <row r="14351" spans="1:2" x14ac:dyDescent="0.25">
      <c r="A14351">
        <f ca="1">26344.8387795497*((RANDBETWEEN(2979,3282)))</f>
        <v>84040035.7067637</v>
      </c>
      <c r="B14351">
        <v>169781689.2437225</v>
      </c>
    </row>
    <row r="14352" spans="1:2" x14ac:dyDescent="0.25">
      <c r="A14352">
        <f ca="1">29197.6880753797*((RANDBETWEEN(2979,3282)))</f>
        <v>88468994.86840038</v>
      </c>
      <c r="B14352">
        <v>161650951.14331153</v>
      </c>
    </row>
    <row r="14353" spans="1:2" x14ac:dyDescent="0.25">
      <c r="A14353">
        <f ca="1">27460.9074690916*((RANDBETWEEN(2979,3282)))</f>
        <v>85238656.784060419</v>
      </c>
      <c r="B14353">
        <v>193542188.0559316</v>
      </c>
    </row>
    <row r="14354" spans="1:2" x14ac:dyDescent="0.25">
      <c r="A14354">
        <f ca="1">26888.2273114605*((RANDBETWEEN(2979,3282)))</f>
        <v>82412416.709626436</v>
      </c>
      <c r="B14354">
        <v>174068069.03781289</v>
      </c>
    </row>
    <row r="14355" spans="1:2" x14ac:dyDescent="0.25">
      <c r="A14355">
        <f ca="1">26363.249359413*((RANDBETWEEN(2979,3282)))</f>
        <v>85548744.171295211</v>
      </c>
      <c r="B14355">
        <v>155174702.79823768</v>
      </c>
    </row>
    <row r="14356" spans="1:2" x14ac:dyDescent="0.25">
      <c r="A14356">
        <f ca="1">27787.4858958307*((RANDBETWEEN(2979,3282)))</f>
        <v>83279095.229804739</v>
      </c>
      <c r="B14356">
        <v>179441887.19238967</v>
      </c>
    </row>
    <row r="14357" spans="1:2" x14ac:dyDescent="0.25">
      <c r="A14357">
        <f ca="1">26626.3736705729*((RANDBETWEEN(2979,3282)))</f>
        <v>87361132.013149723</v>
      </c>
      <c r="B14357">
        <v>189751870.51450968</v>
      </c>
    </row>
    <row r="14358" spans="1:2" x14ac:dyDescent="0.25">
      <c r="A14358">
        <f ca="1">24805.18574491*((RANDBETWEEN(2979,3282)))</f>
        <v>76747244.694751486</v>
      </c>
      <c r="B14358">
        <v>167944454.04176289</v>
      </c>
    </row>
    <row r="14359" spans="1:2" x14ac:dyDescent="0.25">
      <c r="A14359">
        <f ca="1">26229.7676268123*((RANDBETWEEN(2979,3282)))</f>
        <v>79345047.071107224</v>
      </c>
      <c r="B14359">
        <v>151501694.05099776</v>
      </c>
    </row>
    <row r="14360" spans="1:2" x14ac:dyDescent="0.25">
      <c r="A14360">
        <f ca="1">26236.5677675543*((RANDBETWEEN(2979,3282)))</f>
        <v>80572499.614159331</v>
      </c>
      <c r="B14360">
        <v>164785235.27225307</v>
      </c>
    </row>
    <row r="14361" spans="1:2" x14ac:dyDescent="0.25">
      <c r="A14361">
        <f ca="1">26679.9719960602*((RANDBETWEEN(2979,3282)))</f>
        <v>87296868.371108964</v>
      </c>
      <c r="B14361">
        <v>150442283.69355255</v>
      </c>
    </row>
    <row r="14362" spans="1:2" x14ac:dyDescent="0.25">
      <c r="A14362">
        <f ca="1">27040.7830328765*((RANDBETWEEN(2979,3282)))</f>
        <v>85773363.780284256</v>
      </c>
      <c r="B14362">
        <v>170666531.81959209</v>
      </c>
    </row>
    <row r="14363" spans="1:2" x14ac:dyDescent="0.25">
      <c r="A14363">
        <f ca="1">29212.4228526831*((RANDBETWEEN(2979,3282)))</f>
        <v>89390013.929210201</v>
      </c>
      <c r="B14363">
        <v>161423187.28164381</v>
      </c>
    </row>
    <row r="14364" spans="1:2" x14ac:dyDescent="0.25">
      <c r="A14364">
        <f ca="1">26419.1975968165*((RANDBETWEEN(2979,3282)))</f>
        <v>84990558.668958813</v>
      </c>
      <c r="B14364">
        <v>154819276.11381054</v>
      </c>
    </row>
    <row r="14365" spans="1:2" x14ac:dyDescent="0.25">
      <c r="A14365">
        <f ca="1">27152.2120041092*((RANDBETWEEN(2979,3282)))</f>
        <v>82108289.100426108</v>
      </c>
      <c r="B14365">
        <v>149122440.22890723</v>
      </c>
    </row>
    <row r="14366" spans="1:2" x14ac:dyDescent="0.25">
      <c r="A14366">
        <f ca="1">29459.8044108841*((RANDBETWEEN(2979,3282)))</f>
        <v>94241914.310418084</v>
      </c>
      <c r="B14366">
        <v>180593401.39526573</v>
      </c>
    </row>
    <row r="14367" spans="1:2" x14ac:dyDescent="0.25">
      <c r="A14367">
        <f ca="1">31308.4397635737*((RANDBETWEEN(2979,3282)))</f>
        <v>101752429.23161468</v>
      </c>
      <c r="B14367">
        <v>168533820.19422355</v>
      </c>
    </row>
    <row r="14368" spans="1:2" x14ac:dyDescent="0.25">
      <c r="A14368">
        <f ca="1">26634.3044736951*((RANDBETWEEN(2979,3282)))</f>
        <v>81660777.516349196</v>
      </c>
      <c r="B14368">
        <v>158923142.86319742</v>
      </c>
    </row>
    <row r="14369" spans="1:2" x14ac:dyDescent="0.25">
      <c r="A14369">
        <f ca="1">28733.3624712242*((RANDBETWEEN(2979,3282)))</f>
        <v>91774359.733090028</v>
      </c>
      <c r="B14369">
        <v>162454028.09514856</v>
      </c>
    </row>
    <row r="14370" spans="1:2" x14ac:dyDescent="0.25">
      <c r="A14370">
        <f ca="1">29270.8055914185*((RANDBETWEEN(2979,3282)))</f>
        <v>94281264.809958965</v>
      </c>
      <c r="B14370">
        <v>151644694.40080717</v>
      </c>
    </row>
    <row r="14371" spans="1:2" x14ac:dyDescent="0.25">
      <c r="A14371">
        <f ca="1">33023.1630684373*((RANDBETWEEN(2979,3282)))</f>
        <v>103164361.42579804</v>
      </c>
      <c r="B14371">
        <v>145382196.91619113</v>
      </c>
    </row>
    <row r="14372" spans="1:2" x14ac:dyDescent="0.25">
      <c r="A14372">
        <f ca="1">29901.3393186516*((RANDBETWEEN(2979,3282)))</f>
        <v>92574546.530545443</v>
      </c>
      <c r="B14372">
        <v>166796013.40852809</v>
      </c>
    </row>
    <row r="14373" spans="1:2" x14ac:dyDescent="0.25">
      <c r="A14373">
        <f ca="1">25949.665339546*((RANDBETWEEN(2979,3282)))</f>
        <v>81378150.504816413</v>
      </c>
      <c r="B14373">
        <v>147953100.30825055</v>
      </c>
    </row>
    <row r="14374" spans="1:2" x14ac:dyDescent="0.25">
      <c r="A14374">
        <f ca="1">26703.6071862604*((RANDBETWEEN(2979,3282)))</f>
        <v>83341958.028318718</v>
      </c>
      <c r="B14374">
        <v>148727750.15486452</v>
      </c>
    </row>
    <row r="14375" spans="1:2" x14ac:dyDescent="0.25">
      <c r="A14375">
        <f ca="1">26386.6054745196*((RANDBETWEEN(2979,3282)))</f>
        <v>82853941.189991459</v>
      </c>
      <c r="B14375">
        <v>179007507.60797644</v>
      </c>
    </row>
    <row r="14376" spans="1:2" x14ac:dyDescent="0.25">
      <c r="A14376">
        <f ca="1">28231.3628289616*((RANDBETWEEN(2979,3282)))</f>
        <v>89662808.344782025</v>
      </c>
      <c r="B14376">
        <v>151173772.26432621</v>
      </c>
    </row>
    <row r="14377" spans="1:2" x14ac:dyDescent="0.25">
      <c r="A14377">
        <f ca="1">27007.6767245516*((RANDBETWEEN(2979,3282)))</f>
        <v>86937711.376331583</v>
      </c>
      <c r="B14377">
        <v>149603218.25177306</v>
      </c>
    </row>
    <row r="14378" spans="1:2" x14ac:dyDescent="0.25">
      <c r="A14378">
        <f ca="1">26102.8239158835*((RANDBETWEEN(2979,3282)))</f>
        <v>81884558.624126464</v>
      </c>
      <c r="B14378">
        <v>184254799.11809117</v>
      </c>
    </row>
    <row r="14379" spans="1:2" x14ac:dyDescent="0.25">
      <c r="A14379">
        <f ca="1">27613.2983834799*((RANDBETWEEN(2979,3282)))</f>
        <v>89991739.431760952</v>
      </c>
      <c r="B14379">
        <v>166317892.26807284</v>
      </c>
    </row>
    <row r="14380" spans="1:2" x14ac:dyDescent="0.25">
      <c r="A14380">
        <f ca="1">31297.1843574468*((RANDBETWEEN(2979,3282)))</f>
        <v>100276178.68125947</v>
      </c>
      <c r="B14380">
        <v>157665452.27258047</v>
      </c>
    </row>
    <row r="14381" spans="1:2" x14ac:dyDescent="0.25">
      <c r="A14381">
        <f ca="1">33772.77795691*((RANDBETWEEN(2979,3282)))</f>
        <v>104560520.55459328</v>
      </c>
      <c r="B14381">
        <v>185026095.67951548</v>
      </c>
    </row>
    <row r="14382" spans="1:2" x14ac:dyDescent="0.25">
      <c r="A14382">
        <f ca="1">29854.677825339*((RANDBETWEEN(2979,3282)))</f>
        <v>93445141.59331122</v>
      </c>
      <c r="B14382">
        <v>162122942.48146307</v>
      </c>
    </row>
    <row r="14383" spans="1:2" x14ac:dyDescent="0.25">
      <c r="A14383">
        <f ca="1">26974.8674559644*((RANDBETWEEN(2979,3282)))</f>
        <v>81976622.198675856</v>
      </c>
      <c r="B14383">
        <v>158520778.51102722</v>
      </c>
    </row>
    <row r="14384" spans="1:2" x14ac:dyDescent="0.25">
      <c r="A14384">
        <f ca="1">26848.8252921409*((RANDBETWEEN(2979,3282)))</f>
        <v>84144218.465569496</v>
      </c>
      <c r="B14384">
        <v>150530454.64409542</v>
      </c>
    </row>
    <row r="14385" spans="1:2" x14ac:dyDescent="0.25">
      <c r="A14385">
        <f ca="1">26661.1108878324*((RANDBETWEEN(2979,3282)))</f>
        <v>86808577.050782293</v>
      </c>
      <c r="B14385">
        <v>153001280.42130455</v>
      </c>
    </row>
    <row r="14386" spans="1:2" x14ac:dyDescent="0.25">
      <c r="A14386">
        <f ca="1">26883.0191339796*((RANDBETWEEN(2979,3282)))</f>
        <v>81455547.975958213</v>
      </c>
      <c r="B14386">
        <v>146306060.88451797</v>
      </c>
    </row>
    <row r="14387" spans="1:2" x14ac:dyDescent="0.25">
      <c r="A14387">
        <f ca="1">26821.3955049122*((RANDBETWEEN(2979,3282)))</f>
        <v>83173147.460732773</v>
      </c>
      <c r="B14387">
        <v>144299370.08619964</v>
      </c>
    </row>
    <row r="14388" spans="1:2" x14ac:dyDescent="0.25">
      <c r="A14388">
        <f ca="1">25684.9562378787*((RANDBETWEEN(2979,3282)))</f>
        <v>77054868.7136361</v>
      </c>
      <c r="B14388">
        <v>158653279.80558777</v>
      </c>
    </row>
    <row r="14389" spans="1:2" x14ac:dyDescent="0.25">
      <c r="A14389">
        <f ca="1">26807.4320216206*((RANDBETWEEN(2979,3282)))</f>
        <v>85864204.765250728</v>
      </c>
      <c r="B14389">
        <v>182687963.79183587</v>
      </c>
    </row>
    <row r="14390" spans="1:2" x14ac:dyDescent="0.25">
      <c r="A14390">
        <f ca="1">25449.1997909512*((RANDBETWEEN(2979,3282)))</f>
        <v>76983829.367627501</v>
      </c>
      <c r="B14390">
        <v>147997789.49743569</v>
      </c>
    </row>
    <row r="14391" spans="1:2" x14ac:dyDescent="0.25">
      <c r="A14391">
        <f ca="1">27123.2719579364*((RANDBETWEEN(2979,3282)))</f>
        <v>85953648.834700361</v>
      </c>
      <c r="B14391">
        <v>169760758.90898532</v>
      </c>
    </row>
    <row r="14392" spans="1:2" x14ac:dyDescent="0.25">
      <c r="A14392">
        <f ca="1">31650.0290598799*((RANDBETWEEN(2979,3282)))</f>
        <v>103274044.82238798</v>
      </c>
      <c r="B14392">
        <v>173226264.70255548</v>
      </c>
    </row>
    <row r="14393" spans="1:2" x14ac:dyDescent="0.25">
      <c r="A14393">
        <f ca="1">26400.2985299524*((RANDBETWEEN(2979,3282)))</f>
        <v>83820947.83259882</v>
      </c>
      <c r="B14393">
        <v>168786720.98442724</v>
      </c>
    </row>
    <row r="14394" spans="1:2" x14ac:dyDescent="0.25">
      <c r="A14394">
        <f ca="1">27376.9395589112*((RANDBETWEEN(2979,3282)))</f>
        <v>87277683.313808903</v>
      </c>
      <c r="B14394">
        <v>158860096.19989166</v>
      </c>
    </row>
    <row r="14395" spans="1:2" x14ac:dyDescent="0.25">
      <c r="A14395">
        <f ca="1">30212.269179679*((RANDBETWEEN(2979,3282)))</f>
        <v>94534190.263215572</v>
      </c>
      <c r="B14395">
        <v>163793506.81646422</v>
      </c>
    </row>
    <row r="14396" spans="1:2" x14ac:dyDescent="0.25">
      <c r="A14396">
        <f ca="1">28163.5048441932*((RANDBETWEEN(2979,3282)))</f>
        <v>85504400.706970468</v>
      </c>
      <c r="B14396">
        <v>169109082.7230756</v>
      </c>
    </row>
    <row r="14397" spans="1:2" x14ac:dyDescent="0.25">
      <c r="A14397">
        <f ca="1">29080.6963002375*((RANDBETWEEN(2979,3282)))</f>
        <v>93436277.212663218</v>
      </c>
      <c r="B14397">
        <v>150058794.07226077</v>
      </c>
    </row>
    <row r="14398" spans="1:2" x14ac:dyDescent="0.25">
      <c r="A14398">
        <f ca="1">29159.7714094529*((RANDBETWEEN(2979,3282)))</f>
        <v>87741752.171043739</v>
      </c>
      <c r="B14398">
        <v>142974883.69523549</v>
      </c>
    </row>
    <row r="14399" spans="1:2" x14ac:dyDescent="0.25">
      <c r="A14399">
        <f ca="1">27491.2883831969*((RANDBETWEEN(2979,3282)))</f>
        <v>82556339.014740229</v>
      </c>
      <c r="B14399">
        <v>193403114.69721597</v>
      </c>
    </row>
    <row r="14400" spans="1:2" x14ac:dyDescent="0.25">
      <c r="A14400">
        <f ca="1">25497.3125560771*((RANDBETWEEN(2979,3282)))</f>
        <v>77843295.23370339</v>
      </c>
      <c r="B14400">
        <v>146199059.88562521</v>
      </c>
    </row>
    <row r="14401" spans="1:2" x14ac:dyDescent="0.25">
      <c r="A14401">
        <f ca="1">28147.7096133591*((RANDBETWEEN(2979,3282)))</f>
        <v>87905297.122520566</v>
      </c>
      <c r="B14401">
        <v>151904055.27129114</v>
      </c>
    </row>
    <row r="14402" spans="1:2" x14ac:dyDescent="0.25">
      <c r="A14402">
        <f ca="1">27209.9011298678*((RANDBETWEEN(2979,3282)))</f>
        <v>83833705.381122664</v>
      </c>
      <c r="B14402">
        <v>179670873.30587435</v>
      </c>
    </row>
    <row r="14403" spans="1:2" x14ac:dyDescent="0.25">
      <c r="A14403">
        <f ca="1">27531.2786624817*((RANDBETWEEN(2979,3282)))</f>
        <v>86916246.737454832</v>
      </c>
      <c r="B14403">
        <v>175691111.19392854</v>
      </c>
    </row>
    <row r="14404" spans="1:2" x14ac:dyDescent="0.25">
      <c r="A14404">
        <f ca="1">27611.468693999*((RANDBETWEEN(2979,3282)))</f>
        <v>90593228.785010815</v>
      </c>
      <c r="B14404">
        <v>153115682.44017106</v>
      </c>
    </row>
    <row r="14405" spans="1:2" x14ac:dyDescent="0.25">
      <c r="A14405">
        <f ca="1">28125.5538458347*((RANDBETWEEN(2979,3282)))</f>
        <v>92195565.506646261</v>
      </c>
      <c r="B14405">
        <v>174129959.12321523</v>
      </c>
    </row>
    <row r="14406" spans="1:2" x14ac:dyDescent="0.25">
      <c r="A14406">
        <f ca="1">27041.7022877146*((RANDBETWEEN(2979,3282)))</f>
        <v>86884989.45042713</v>
      </c>
      <c r="B14406">
        <v>180791238.75006557</v>
      </c>
    </row>
    <row r="14407" spans="1:2" x14ac:dyDescent="0.25">
      <c r="A14407">
        <f ca="1">25948.8875611769*((RANDBETWEEN(2979,3282)))</f>
        <v>81297864.729167074</v>
      </c>
      <c r="B14407">
        <v>143487156.29486561</v>
      </c>
    </row>
    <row r="14408" spans="1:2" x14ac:dyDescent="0.25">
      <c r="A14408">
        <f ca="1">28093.1327328823*((RANDBETWEEN(2979,3282)))</f>
        <v>91667892.107395068</v>
      </c>
      <c r="B14408">
        <v>147127353.40325534</v>
      </c>
    </row>
    <row r="14409" spans="1:2" x14ac:dyDescent="0.25">
      <c r="A14409">
        <f ca="1">27311.9761443851*((RANDBETWEEN(2979,3282)))</f>
        <v>87589507.495043159</v>
      </c>
      <c r="B14409">
        <v>164713831.99776676</v>
      </c>
    </row>
    <row r="14410" spans="1:2" x14ac:dyDescent="0.25">
      <c r="A14410">
        <f ca="1">26762.7167204088*((RANDBETWEEN(2979,3282)))</f>
        <v>84168744.085685521</v>
      </c>
      <c r="B14410">
        <v>163104823.38772219</v>
      </c>
    </row>
    <row r="14411" spans="1:2" x14ac:dyDescent="0.25">
      <c r="A14411">
        <f ca="1">28085.5926875207*((RANDBETWEEN(2979,3282)))</f>
        <v>86138512.772625893</v>
      </c>
      <c r="B14411">
        <v>192798347.25430256</v>
      </c>
    </row>
    <row r="14412" spans="1:2" x14ac:dyDescent="0.25">
      <c r="A14412">
        <f ca="1">28379.4607880748*((RANDBETWEEN(2979,3282)))</f>
        <v>88231743.590124503</v>
      </c>
      <c r="B14412">
        <v>181297388.54149318</v>
      </c>
    </row>
    <row r="14413" spans="1:2" x14ac:dyDescent="0.25">
      <c r="A14413">
        <f ca="1">31269.617129805*((RANDBETWEEN(2979,3282)))</f>
        <v>101407368.35195753</v>
      </c>
      <c r="B14413">
        <v>178408942.48984522</v>
      </c>
    </row>
    <row r="14414" spans="1:2" x14ac:dyDescent="0.25">
      <c r="A14414">
        <f ca="1">32735.5296350896*((RANDBETWEEN(2979,3282)))</f>
        <v>102887769.64308667</v>
      </c>
      <c r="B14414">
        <v>165322471.53654179</v>
      </c>
    </row>
    <row r="14415" spans="1:2" x14ac:dyDescent="0.25">
      <c r="A14415">
        <f ca="1">26653.054036896*((RANDBETWEEN(2979,3282)))</f>
        <v>82864345.000709563</v>
      </c>
      <c r="B14415">
        <v>178548843.0539546</v>
      </c>
    </row>
    <row r="14416" spans="1:2" x14ac:dyDescent="0.25">
      <c r="A14416">
        <f ca="1">30612.9089425118*((RANDBETWEEN(2979,3282)))</f>
        <v>96951082.620934919</v>
      </c>
      <c r="B14416">
        <v>144011433.27304953</v>
      </c>
    </row>
    <row r="14417" spans="1:2" x14ac:dyDescent="0.25">
      <c r="A14417">
        <f ca="1">27894.8209358217*((RANDBETWEEN(2979,3282)))</f>
        <v>87673422.201287687</v>
      </c>
      <c r="B14417">
        <v>167978181.88672602</v>
      </c>
    </row>
    <row r="14418" spans="1:2" x14ac:dyDescent="0.25">
      <c r="A14418">
        <f ca="1">26787.4243819255*((RANDBETWEEN(2979,3282)))</f>
        <v>86737680.148674622</v>
      </c>
      <c r="B14418">
        <v>151961813.84430081</v>
      </c>
    </row>
    <row r="14419" spans="1:2" x14ac:dyDescent="0.25">
      <c r="A14419">
        <f ca="1">30558.2312827833*((RANDBETWEEN(2979,3282)))</f>
        <v>99680950.444439083</v>
      </c>
      <c r="B14419">
        <v>151192878.47322771</v>
      </c>
    </row>
    <row r="14420" spans="1:2" x14ac:dyDescent="0.25">
      <c r="A14420">
        <f ca="1">26757.2376345013*((RANDBETWEEN(2979,3282)))</f>
        <v>87603196.015357256</v>
      </c>
      <c r="B14420">
        <v>146358743.45211625</v>
      </c>
    </row>
    <row r="14421" spans="1:2" x14ac:dyDescent="0.25">
      <c r="A14421">
        <f ca="1">26913.0603124358*((RANDBETWEEN(2979,3282)))</f>
        <v>83134443.305114076</v>
      </c>
      <c r="B14421">
        <v>157263043.5098705</v>
      </c>
    </row>
    <row r="14422" spans="1:2" x14ac:dyDescent="0.25">
      <c r="A14422">
        <f ca="1">31474.604330003*((RANDBETWEEN(2979,3282)))</f>
        <v>101505598.96425977</v>
      </c>
      <c r="B14422">
        <v>190436368.4137615</v>
      </c>
    </row>
    <row r="14423" spans="1:2" x14ac:dyDescent="0.25">
      <c r="A14423">
        <f ca="1">31808.8616312309*((RANDBETWEEN(2979,3282)))</f>
        <v>102933476.23866314</v>
      </c>
      <c r="B14423">
        <v>202521125.05034211</v>
      </c>
    </row>
    <row r="14424" spans="1:2" x14ac:dyDescent="0.25">
      <c r="A14424">
        <f ca="1">25822.8904481933*((RANDBETWEEN(2979,3282)))</f>
        <v>78992221.881023258</v>
      </c>
      <c r="B14424">
        <v>145557974.06499583</v>
      </c>
    </row>
    <row r="14425" spans="1:2" x14ac:dyDescent="0.25">
      <c r="A14425">
        <f ca="1">27633.2816118401*((RANDBETWEEN(2979,3282)))</f>
        <v>86326371.755388319</v>
      </c>
      <c r="B14425">
        <v>153599124.36224931</v>
      </c>
    </row>
    <row r="14426" spans="1:2" x14ac:dyDescent="0.25">
      <c r="A14426">
        <f ca="1">26125.8079793965*((RANDBETWEEN(2979,3282)))</f>
        <v>80885501.50421159</v>
      </c>
      <c r="B14426">
        <v>176663943.1418497</v>
      </c>
    </row>
    <row r="14427" spans="1:2" x14ac:dyDescent="0.25">
      <c r="A14427">
        <f ca="1">27432.2399283231*((RANDBETWEEN(2979,3282)))</f>
        <v>84957647.058016494</v>
      </c>
      <c r="B14427">
        <v>150753627.5161173</v>
      </c>
    </row>
    <row r="14428" spans="1:2" x14ac:dyDescent="0.25">
      <c r="A14428">
        <f ca="1">32135.7903900359*((RANDBETWEEN(2979,3282)))</f>
        <v>99878036.532231554</v>
      </c>
      <c r="B14428">
        <v>182730052.5047051</v>
      </c>
    </row>
    <row r="14429" spans="1:2" x14ac:dyDescent="0.25">
      <c r="A14429">
        <f ca="1">30517.6429846206*((RANDBETWEEN(2979,3282)))</f>
        <v>97015587.048108965</v>
      </c>
      <c r="B14429">
        <v>155970663.11810452</v>
      </c>
    </row>
    <row r="14430" spans="1:2" x14ac:dyDescent="0.25">
      <c r="A14430">
        <f ca="1">26136.596296383*((RANDBETWEEN(2979,3282)))</f>
        <v>82983693.24101606</v>
      </c>
      <c r="B14430">
        <v>165061790.20230842</v>
      </c>
    </row>
    <row r="14431" spans="1:2" x14ac:dyDescent="0.25">
      <c r="A14431">
        <f ca="1">26146.463029165*((RANDBETWEEN(2979,3282)))</f>
        <v>80034323.332274124</v>
      </c>
      <c r="B14431">
        <v>198858749.7863079</v>
      </c>
    </row>
    <row r="14432" spans="1:2" x14ac:dyDescent="0.25">
      <c r="A14432">
        <f ca="1">28067.6179775904*((RANDBETWEEN(2979,3282)))</f>
        <v>85943046.247381762</v>
      </c>
      <c r="B14432">
        <v>161135921.46676755</v>
      </c>
    </row>
    <row r="14433" spans="1:2" x14ac:dyDescent="0.25">
      <c r="A14433">
        <f ca="1">29496.0953067979*((RANDBETWEEN(2979,3282)))</f>
        <v>93915567.45684436</v>
      </c>
      <c r="B14433">
        <v>146236903.48183468</v>
      </c>
    </row>
    <row r="14434" spans="1:2" x14ac:dyDescent="0.25">
      <c r="A14434">
        <f ca="1">27874.1382006858*((RANDBETWEEN(2979,3282)))</f>
        <v>85963842.210915148</v>
      </c>
      <c r="B14434">
        <v>177300010.85917929</v>
      </c>
    </row>
    <row r="14435" spans="1:2" x14ac:dyDescent="0.25">
      <c r="A14435">
        <f ca="1">26333.255575952*((RANDBETWEEN(2979,3282)))</f>
        <v>81053760.662780374</v>
      </c>
      <c r="B14435">
        <v>158569990.9373287</v>
      </c>
    </row>
    <row r="14436" spans="1:2" x14ac:dyDescent="0.25">
      <c r="A14436">
        <f ca="1">30129.1462033313*((RANDBETWEEN(2979,3282)))</f>
        <v>91924025.066363856</v>
      </c>
      <c r="B14436">
        <v>194845625.22650331</v>
      </c>
    </row>
    <row r="14437" spans="1:2" x14ac:dyDescent="0.25">
      <c r="A14437">
        <f ca="1">26446.9536304392*((RANDBETWEEN(2979,3282)))</f>
        <v>82435154.466079041</v>
      </c>
      <c r="B14437">
        <v>144060814.07775655</v>
      </c>
    </row>
    <row r="14438" spans="1:2" x14ac:dyDescent="0.25">
      <c r="A14438">
        <f ca="1">26886.4079302668*((RANDBETWEEN(2979,3282)))</f>
        <v>85364345.178597108</v>
      </c>
      <c r="B14438">
        <v>148648902.37290281</v>
      </c>
    </row>
    <row r="14439" spans="1:2" x14ac:dyDescent="0.25">
      <c r="A14439">
        <f ca="1">27986.5061370864*((RANDBETWEEN(2979,3282)))</f>
        <v>83623680.337614223</v>
      </c>
      <c r="B14439">
        <v>154574690.43393165</v>
      </c>
    </row>
    <row r="14440" spans="1:2" x14ac:dyDescent="0.25">
      <c r="A14440">
        <f ca="1">31161.1191501936*((RANDBETWEEN(2979,3282)))</f>
        <v>97534302.940106094</v>
      </c>
      <c r="B14440">
        <v>181767467.9891153</v>
      </c>
    </row>
    <row r="14441" spans="1:2" x14ac:dyDescent="0.25">
      <c r="A14441">
        <f ca="1">27497.4491533011*((RANDBETWEEN(2979,3282)))</f>
        <v>82712327.053129822</v>
      </c>
      <c r="B14441">
        <v>153286282.92554411</v>
      </c>
    </row>
    <row r="14442" spans="1:2" x14ac:dyDescent="0.25">
      <c r="A14442">
        <f ca="1">30698.3431395929*((RANDBETWEEN(2979,3282)))</f>
        <v>99431933.429141536</v>
      </c>
      <c r="B14442">
        <v>186082669.87906191</v>
      </c>
    </row>
    <row r="14443" spans="1:2" x14ac:dyDescent="0.25">
      <c r="A14443">
        <f ca="1">28136.5998080694*((RANDBETWEEN(2979,3282)))</f>
        <v>89446250.789852768</v>
      </c>
      <c r="B14443">
        <v>173087349.22561038</v>
      </c>
    </row>
    <row r="14444" spans="1:2" x14ac:dyDescent="0.25">
      <c r="A14444">
        <f ca="1">27375.6489445397*((RANDBETWEEN(2979,3282)))</f>
        <v>84371750.047071412</v>
      </c>
      <c r="B14444">
        <v>166167045.43419215</v>
      </c>
    </row>
    <row r="14445" spans="1:2" x14ac:dyDescent="0.25">
      <c r="A14445">
        <f ca="1">27629.7479588743*((RANDBETWEEN(2979,3282)))</f>
        <v>84685177.493949696</v>
      </c>
      <c r="B14445">
        <v>163260825.0363853</v>
      </c>
    </row>
    <row r="14446" spans="1:2" x14ac:dyDescent="0.25">
      <c r="A14446">
        <f ca="1">32056.9984892888*((RANDBETWEEN(2979,3282)))</f>
        <v>98735555.347009495</v>
      </c>
      <c r="B14446">
        <v>147070376.80524051</v>
      </c>
    </row>
    <row r="14447" spans="1:2" x14ac:dyDescent="0.25">
      <c r="A14447">
        <f ca="1">26432.5186636519*((RANDBETWEEN(2979,3282)))</f>
        <v>82971676.08520326</v>
      </c>
      <c r="B14447">
        <v>188649355.54358417</v>
      </c>
    </row>
    <row r="14448" spans="1:2" x14ac:dyDescent="0.25">
      <c r="A14448">
        <f ca="1">26215.1005843364*((RANDBETWEEN(2979,3282)))</f>
        <v>78435580.948334426</v>
      </c>
      <c r="B14448">
        <v>146150545.99524841</v>
      </c>
    </row>
    <row r="14449" spans="1:2" x14ac:dyDescent="0.25">
      <c r="A14449">
        <f ca="1">25963.0209947249*((RANDBETWEEN(2979,3282)))</f>
        <v>81108477.587520689</v>
      </c>
      <c r="B14449">
        <v>154242628.3180725</v>
      </c>
    </row>
    <row r="14450" spans="1:2" x14ac:dyDescent="0.25">
      <c r="A14450">
        <f ca="1">28740.0957007124*((RANDBETWEEN(2979,3282)))</f>
        <v>89008076.38510628</v>
      </c>
      <c r="B14450">
        <v>162963309.84515938</v>
      </c>
    </row>
    <row r="14451" spans="1:2" x14ac:dyDescent="0.25">
      <c r="A14451">
        <f ca="1">28589.3614065722*((RANDBETWEEN(2979,3282)))</f>
        <v>87283320.374264881</v>
      </c>
      <c r="B14451">
        <v>203573315.39819446</v>
      </c>
    </row>
    <row r="14452" spans="1:2" x14ac:dyDescent="0.25">
      <c r="A14452">
        <f ca="1">26181.0655919389*((RANDBETWEEN(2979,3282)))</f>
        <v>83308150.713549614</v>
      </c>
      <c r="B14452">
        <v>148347271.91254172</v>
      </c>
    </row>
    <row r="14453" spans="1:2" x14ac:dyDescent="0.25">
      <c r="A14453">
        <f ca="1">28873.1099103904*((RANDBETWEEN(2979,3282)))</f>
        <v>89246782.733016759</v>
      </c>
      <c r="B14453">
        <v>181518711.33334422</v>
      </c>
    </row>
    <row r="14454" spans="1:2" x14ac:dyDescent="0.25">
      <c r="A14454">
        <f ca="1">26805.0652477225*((RANDBETWEEN(2979,3282)))</f>
        <v>85588573.335978091</v>
      </c>
      <c r="B14454">
        <v>170983493.15140116</v>
      </c>
    </row>
    <row r="14455" spans="1:2" x14ac:dyDescent="0.25">
      <c r="A14455">
        <f ca="1">26057.344916854*((RANDBETWEEN(2979,3282)))</f>
        <v>80308737.033743963</v>
      </c>
      <c r="B14455">
        <v>173402160.57153752</v>
      </c>
    </row>
    <row r="14456" spans="1:2" x14ac:dyDescent="0.25">
      <c r="A14456">
        <f ca="1">26450.7116785207*((RANDBETWEEN(2979,3282)))</f>
        <v>79748895.71073997</v>
      </c>
      <c r="B14456">
        <v>145434491.02313319</v>
      </c>
    </row>
    <row r="14457" spans="1:2" x14ac:dyDescent="0.25">
      <c r="A14457">
        <f ca="1">27176.7994980568*((RANDBETWEEN(2979,3282)))</f>
        <v>87862592.777217582</v>
      </c>
      <c r="B14457">
        <v>153786981.49442589</v>
      </c>
    </row>
    <row r="14458" spans="1:2" x14ac:dyDescent="0.25">
      <c r="A14458">
        <f ca="1">27512.9911408446*((RANDBETWEEN(2979,3282)))</f>
        <v>88426753.526674524</v>
      </c>
      <c r="B14458">
        <v>155502846.82786715</v>
      </c>
    </row>
    <row r="14459" spans="1:2" x14ac:dyDescent="0.25">
      <c r="A14459">
        <f ca="1">30630.8313545465*((RANDBETWEEN(2979,3282)))</f>
        <v>96425857.104112536</v>
      </c>
      <c r="B14459">
        <v>195021095.19822988</v>
      </c>
    </row>
    <row r="14460" spans="1:2" x14ac:dyDescent="0.25">
      <c r="A14460">
        <f ca="1">27709.7318207221*((RANDBETWEEN(2979,3282)))</f>
        <v>82824388.412138373</v>
      </c>
      <c r="B14460">
        <v>164278681.24911192</v>
      </c>
    </row>
    <row r="14461" spans="1:2" x14ac:dyDescent="0.25">
      <c r="A14461">
        <f ca="1">29695.2821068463*((RANDBETWEEN(2979,3282)))</f>
        <v>93124404.687069848</v>
      </c>
      <c r="B14461">
        <v>143070348.52057809</v>
      </c>
    </row>
    <row r="14462" spans="1:2" x14ac:dyDescent="0.25">
      <c r="A14462">
        <f ca="1">27414.8723887914*((RANDBETWEEN(2979,3282)))</f>
        <v>83313797.189537153</v>
      </c>
      <c r="B14462">
        <v>181388642.83120382</v>
      </c>
    </row>
    <row r="14463" spans="1:2" x14ac:dyDescent="0.25">
      <c r="A14463">
        <f ca="1">29037.5049335968*((RANDBETWEEN(2979,3282)))</f>
        <v>95213978.677263781</v>
      </c>
      <c r="B14463">
        <v>166866192.81110662</v>
      </c>
    </row>
    <row r="14464" spans="1:2" x14ac:dyDescent="0.25">
      <c r="A14464">
        <f ca="1">27907.427309798*((RANDBETWEEN(2979,3282)))</f>
        <v>89052600.545565516</v>
      </c>
      <c r="B14464">
        <v>177423809.01194528</v>
      </c>
    </row>
    <row r="14465" spans="1:2" x14ac:dyDescent="0.25">
      <c r="A14465">
        <f ca="1">26751.9447553842*((RANDBETWEEN(2979,3282)))</f>
        <v>82074966.509518847</v>
      </c>
      <c r="B14465">
        <v>194333318.93282658</v>
      </c>
    </row>
    <row r="14466" spans="1:2" x14ac:dyDescent="0.25">
      <c r="A14466">
        <f ca="1">25819.1565334642*((RANDBETWEEN(2979,3282)))</f>
        <v>78593512.48786512</v>
      </c>
      <c r="B14466">
        <v>156127184.31413367</v>
      </c>
    </row>
    <row r="14467" spans="1:2" x14ac:dyDescent="0.25">
      <c r="A14467">
        <f ca="1">29759.9076496783*((RANDBETWEEN(2979,3282)))</f>
        <v>89279722.94903481</v>
      </c>
      <c r="B14467">
        <v>151537328.13880742</v>
      </c>
    </row>
    <row r="14468" spans="1:2" x14ac:dyDescent="0.25">
      <c r="A14468">
        <f ca="1">26895.288786668*((RANDBETWEEN(2979,3282)))</f>
        <v>86199400.561270863</v>
      </c>
      <c r="B14468">
        <v>187448744.86329687</v>
      </c>
    </row>
    <row r="14469" spans="1:2" x14ac:dyDescent="0.25">
      <c r="A14469">
        <f ca="1">25784.5257513908*((RANDBETWEEN(2979,3282)))</f>
        <v>81633808.528903157</v>
      </c>
      <c r="B14469">
        <v>154118373.91768879</v>
      </c>
    </row>
    <row r="14470" spans="1:2" x14ac:dyDescent="0.25">
      <c r="A14470">
        <f ca="1">25889.8154787773*((RANDBETWEEN(2979,3282)))</f>
        <v>79326394.626973569</v>
      </c>
      <c r="B14470">
        <v>153386498.37667468</v>
      </c>
    </row>
    <row r="14471" spans="1:2" x14ac:dyDescent="0.25">
      <c r="A14471">
        <f ca="1">30062.5193620025*((RANDBETWEEN(2979,3282)))</f>
        <v>95147873.780738056</v>
      </c>
      <c r="B14471">
        <v>169259779.02780753</v>
      </c>
    </row>
    <row r="14472" spans="1:2" x14ac:dyDescent="0.25">
      <c r="A14472">
        <f ca="1">27241.4290032196*((RANDBETWEEN(2979,3282)))</f>
        <v>87308779.955318674</v>
      </c>
      <c r="B14472">
        <v>153449817.37196422</v>
      </c>
    </row>
    <row r="14473" spans="1:2" x14ac:dyDescent="0.25">
      <c r="A14473">
        <f ca="1">29848.582380541*((RANDBETWEEN(2979,3282)))</f>
        <v>90530750.360180855</v>
      </c>
      <c r="B14473">
        <v>161632218.23701778</v>
      </c>
    </row>
    <row r="14474" spans="1:2" x14ac:dyDescent="0.25">
      <c r="A14474">
        <f ca="1">32763.9536817577*((RANDBETWEEN(2979,3282)))</f>
        <v>98947140.118908212</v>
      </c>
      <c r="B14474">
        <v>201831801.93729287</v>
      </c>
    </row>
    <row r="14475" spans="1:2" x14ac:dyDescent="0.25">
      <c r="A14475">
        <f ca="1">26880.2852952313*((RANDBETWEEN(2979,3282)))</f>
        <v>84538497.253502503</v>
      </c>
      <c r="B14475">
        <v>145861603.61562017</v>
      </c>
    </row>
    <row r="14476" spans="1:2" x14ac:dyDescent="0.25">
      <c r="A14476">
        <f ca="1">29046.1859095802*((RANDBETWEEN(2979,3282)))</f>
        <v>87167603.914650053</v>
      </c>
      <c r="B14476">
        <v>179164807.09859997</v>
      </c>
    </row>
    <row r="14477" spans="1:2" x14ac:dyDescent="0.25">
      <c r="A14477">
        <f ca="1">27957.2417501092*((RANDBETWEEN(2979,3282)))</f>
        <v>89575002.567349926</v>
      </c>
      <c r="B14477">
        <v>159764533.39506084</v>
      </c>
    </row>
    <row r="14478" spans="1:2" x14ac:dyDescent="0.25">
      <c r="A14478">
        <f ca="1">30604.8224081194*((RANDBETWEEN(2979,3282)))</f>
        <v>97323335.257819727</v>
      </c>
      <c r="B14478">
        <v>180302042.1791766</v>
      </c>
    </row>
    <row r="14479" spans="1:2" x14ac:dyDescent="0.25">
      <c r="A14479">
        <f ca="1">27659.3210043198*((RANDBETWEEN(2979,3282)))</f>
        <v>87292817.089633405</v>
      </c>
      <c r="B14479">
        <v>146518093.37243199</v>
      </c>
    </row>
    <row r="14480" spans="1:2" x14ac:dyDescent="0.25">
      <c r="A14480">
        <f ca="1">27026.9261653268*((RANDBETWEEN(2979,3282)))</f>
        <v>83837524.96484381</v>
      </c>
      <c r="B14480">
        <v>168774688.14551508</v>
      </c>
    </row>
    <row r="14481" spans="1:2" x14ac:dyDescent="0.25">
      <c r="A14481">
        <f ca="1">26248.8151728716*((RANDBETWEEN(2979,3282)))</f>
        <v>84862419.453893736</v>
      </c>
      <c r="B14481">
        <v>170710851.03504661</v>
      </c>
    </row>
    <row r="14482" spans="1:2" x14ac:dyDescent="0.25">
      <c r="A14482">
        <f ca="1">30537.897501339*((RANDBETWEEN(2979,3282)))</f>
        <v>94820171.741657585</v>
      </c>
      <c r="B14482">
        <v>192767689.62498146</v>
      </c>
    </row>
    <row r="14483" spans="1:2" x14ac:dyDescent="0.25">
      <c r="A14483">
        <f ca="1">25017.5764736324*((RANDBETWEEN(2979,3282)))</f>
        <v>80606631.398043588</v>
      </c>
      <c r="B14483">
        <v>161215223.3065317</v>
      </c>
    </row>
    <row r="14484" spans="1:2" x14ac:dyDescent="0.25">
      <c r="A14484">
        <f ca="1">29131.3327513452*((RANDBETWEEN(2979,3282)))</f>
        <v>88442726.233083963</v>
      </c>
      <c r="B14484">
        <v>161874746.46464345</v>
      </c>
    </row>
    <row r="14485" spans="1:2" x14ac:dyDescent="0.25">
      <c r="A14485">
        <f ca="1">31556.6459254815*((RANDBETWEEN(2979,3282)))</f>
        <v>94827721.006071851</v>
      </c>
      <c r="B14485">
        <v>203317239.50324416</v>
      </c>
    </row>
    <row r="14486" spans="1:2" x14ac:dyDescent="0.25">
      <c r="A14486">
        <f ca="1">26339.3820108688*((RANDBETWEEN(2979,3282)))</f>
        <v>80914581.5373891</v>
      </c>
      <c r="B14486">
        <v>164856834.18250063</v>
      </c>
    </row>
    <row r="14487" spans="1:2" x14ac:dyDescent="0.25">
      <c r="A14487">
        <f ca="1">25940.2791879682*((RANDBETWEEN(2979,3282)))</f>
        <v>80648327.995393157</v>
      </c>
      <c r="B14487">
        <v>170048366.13437569</v>
      </c>
    </row>
    <row r="14488" spans="1:2" x14ac:dyDescent="0.25">
      <c r="A14488">
        <f ca="1">27473.4592085199*((RANDBETWEEN(2979,3282)))</f>
        <v>84041311.718862295</v>
      </c>
      <c r="B14488">
        <v>176771723.28598613</v>
      </c>
    </row>
    <row r="14489" spans="1:2" x14ac:dyDescent="0.25">
      <c r="A14489">
        <f ca="1">27968.1738804988*((RANDBETWEEN(2979,3282)))</f>
        <v>84771535.031791762</v>
      </c>
      <c r="B14489">
        <v>162681752.35869014</v>
      </c>
    </row>
    <row r="14490" spans="1:2" x14ac:dyDescent="0.25">
      <c r="A14490">
        <f ca="1">33351.613748667*((RANDBETWEEN(2979,3282)))</f>
        <v>101455609.02344507</v>
      </c>
      <c r="B14490">
        <v>193834299.31366095</v>
      </c>
    </row>
    <row r="14491" spans="1:2" x14ac:dyDescent="0.25">
      <c r="A14491">
        <f ca="1">31812.084301243*((RANDBETWEEN(2979,3282)))</f>
        <v>99921756.790204376</v>
      </c>
      <c r="B14491">
        <v>191766155.95339003</v>
      </c>
    </row>
    <row r="14492" spans="1:2" x14ac:dyDescent="0.25">
      <c r="A14492">
        <f ca="1">31508.5235459358*((RANDBETWEEN(2979,3282)))</f>
        <v>102560244.1420209</v>
      </c>
      <c r="B14492">
        <v>195937587.6407426</v>
      </c>
    </row>
    <row r="14493" spans="1:2" x14ac:dyDescent="0.25">
      <c r="A14493">
        <f ca="1">35392.2248180161*((RANDBETWEEN(2979,3282)))</f>
        <v>109326582.46285188</v>
      </c>
      <c r="B14493">
        <v>164969181.03856966</v>
      </c>
    </row>
    <row r="14494" spans="1:2" x14ac:dyDescent="0.25">
      <c r="A14494">
        <f ca="1">27230.1761005152*((RANDBETWEEN(2979,3282)))</f>
        <v>81881139.534249172</v>
      </c>
      <c r="B14494">
        <v>151715000.11866626</v>
      </c>
    </row>
    <row r="14495" spans="1:2" x14ac:dyDescent="0.25">
      <c r="A14495">
        <f ca="1">25493.1111854544*((RANDBETWEEN(2979,3282)))</f>
        <v>76989195.780072376</v>
      </c>
      <c r="B14495">
        <v>150996084.85500032</v>
      </c>
    </row>
    <row r="14496" spans="1:2" x14ac:dyDescent="0.25">
      <c r="A14496">
        <f ca="1">24599.252932236*((RANDBETWEEN(2979,3282)))</f>
        <v>77536845.242407829</v>
      </c>
      <c r="B14496">
        <v>146375081.73203146</v>
      </c>
    </row>
    <row r="14497" spans="1:2" x14ac:dyDescent="0.25">
      <c r="A14497">
        <f ca="1">25871.5221248765*((RANDBETWEEN(2979,3282)))</f>
        <v>78985757.047247931</v>
      </c>
      <c r="B14497">
        <v>142988059.75903279</v>
      </c>
    </row>
    <row r="14498" spans="1:2" x14ac:dyDescent="0.25">
      <c r="A14498">
        <f ca="1">28867.7237435282*((RANDBETWEEN(2979,3282)))</f>
        <v>86285626.269405916</v>
      </c>
      <c r="B14498">
        <v>155298463.52770689</v>
      </c>
    </row>
    <row r="14499" spans="1:2" x14ac:dyDescent="0.25">
      <c r="A14499">
        <f ca="1">26528.3556415953*((RANDBETWEEN(2979,3282)))</f>
        <v>81309410.041489676</v>
      </c>
      <c r="B14499">
        <v>182861975.79469213</v>
      </c>
    </row>
    <row r="14500" spans="1:2" x14ac:dyDescent="0.25">
      <c r="A14500">
        <f ca="1">28896.9197408817*((RANDBETWEEN(2979,3282)))</f>
        <v>90996400.2640367</v>
      </c>
      <c r="B14500">
        <v>174755203.52341789</v>
      </c>
    </row>
    <row r="14501" spans="1:2" x14ac:dyDescent="0.25">
      <c r="A14501">
        <f ca="1">30073.0540184441*((RANDBETWEEN(2979,3282)))</f>
        <v>95361654.292486221</v>
      </c>
      <c r="B14501">
        <v>158574239.95862952</v>
      </c>
    </row>
    <row r="14502" spans="1:2" x14ac:dyDescent="0.25">
      <c r="A14502">
        <f ca="1">31637.3225173148*((RANDBETWEEN(2979,3282)))</f>
        <v>94563957.004253834</v>
      </c>
      <c r="B14502">
        <v>143025185.91118395</v>
      </c>
    </row>
    <row r="14503" spans="1:2" x14ac:dyDescent="0.25">
      <c r="A14503">
        <f ca="1">25659.0726430301*((RANDBETWEEN(2979,3282)))</f>
        <v>79183898.176390782</v>
      </c>
      <c r="B14503">
        <v>149485741.40758535</v>
      </c>
    </row>
    <row r="14504" spans="1:2" x14ac:dyDescent="0.25">
      <c r="A14504">
        <f ca="1">29132.7389065668*((RANDBETWEEN(2979,3282)))</f>
        <v>93574357.367892638</v>
      </c>
      <c r="B14504">
        <v>186555592.05234396</v>
      </c>
    </row>
    <row r="14505" spans="1:2" x14ac:dyDescent="0.25">
      <c r="A14505">
        <f ca="1">27515.9467922751*((RANDBETWEEN(2979,3282)))</f>
        <v>82080069.281356573</v>
      </c>
      <c r="B14505">
        <v>151841050.59690189</v>
      </c>
    </row>
    <row r="14506" spans="1:2" x14ac:dyDescent="0.25">
      <c r="A14506">
        <f ca="1">32100.974311176*((RANDBETWEEN(2979,3282)))</f>
        <v>101856391.48936132</v>
      </c>
      <c r="B14506">
        <v>192060750.72661567</v>
      </c>
    </row>
    <row r="14507" spans="1:2" x14ac:dyDescent="0.25">
      <c r="A14507">
        <f ca="1">29510.3440931086*((RANDBETWEEN(2979,3282)))</f>
        <v>95023307.979809701</v>
      </c>
      <c r="B14507">
        <v>187015060.90050715</v>
      </c>
    </row>
    <row r="14508" spans="1:2" x14ac:dyDescent="0.25">
      <c r="A14508">
        <f ca="1">30629.3210776713*((RANDBETWEEN(2979,3282)))</f>
        <v>98840819.117645323</v>
      </c>
      <c r="B14508">
        <v>161413617.81363785</v>
      </c>
    </row>
    <row r="14509" spans="1:2" x14ac:dyDescent="0.25">
      <c r="A14509">
        <f ca="1">25526.1183673865*((RANDBETWEEN(2979,3282)))</f>
        <v>80560429.567471877</v>
      </c>
      <c r="B14509">
        <v>156291066.91139901</v>
      </c>
    </row>
    <row r="14510" spans="1:2" x14ac:dyDescent="0.25">
      <c r="A14510">
        <f ca="1">27561.8674070022*((RANDBETWEEN(2979,3282)))</f>
        <v>89603630.940164015</v>
      </c>
      <c r="B14510">
        <v>201943775.46266091</v>
      </c>
    </row>
    <row r="14511" spans="1:2" x14ac:dyDescent="0.25">
      <c r="A14511">
        <f ca="1">28903.5703596877*((RANDBETWEEN(2979,3282)))</f>
        <v>93792085.81718646</v>
      </c>
      <c r="B14511">
        <v>202912347.54407027</v>
      </c>
    </row>
    <row r="14512" spans="1:2" x14ac:dyDescent="0.25">
      <c r="A14512">
        <f ca="1">27803.7766398076*((RANDBETWEEN(2979,3282)))</f>
        <v>83300114.812863424</v>
      </c>
      <c r="B14512">
        <v>183709650.56660461</v>
      </c>
    </row>
    <row r="14513" spans="1:2" x14ac:dyDescent="0.25">
      <c r="A14513">
        <f ca="1">28035.4213398344*((RANDBETWEEN(2979,3282)))</f>
        <v>84610901.603620335</v>
      </c>
      <c r="B14513">
        <v>200976589.44586575</v>
      </c>
    </row>
    <row r="14514" spans="1:2" x14ac:dyDescent="0.25">
      <c r="A14514">
        <f ca="1">30933.1452261488*((RANDBETWEEN(2979,3282)))</f>
        <v>96882610.848298177</v>
      </c>
      <c r="B14514">
        <v>200995004.903292</v>
      </c>
    </row>
    <row r="14515" spans="1:2" x14ac:dyDescent="0.25">
      <c r="A14515">
        <f ca="1">27763.6073414453*((RANDBETWEEN(2979,3282)))</f>
        <v>86511400.475943536</v>
      </c>
      <c r="B14515">
        <v>179715808.13442677</v>
      </c>
    </row>
    <row r="14516" spans="1:2" x14ac:dyDescent="0.25">
      <c r="A14516">
        <f ca="1">30312.8750908815*((RANDBETWEEN(2979,3282)))</f>
        <v>90726435.147008345</v>
      </c>
      <c r="B14516">
        <v>183850025.22956982</v>
      </c>
    </row>
    <row r="14517" spans="1:2" x14ac:dyDescent="0.25">
      <c r="A14517">
        <f ca="1">27375.5654941933*((RANDBETWEEN(2979,3282)))</f>
        <v>82728958.923452005</v>
      </c>
      <c r="B14517">
        <v>159183290.97701547</v>
      </c>
    </row>
    <row r="14518" spans="1:2" x14ac:dyDescent="0.25">
      <c r="A14518">
        <f ca="1">30388.5525772216*((RANDBETWEEN(2979,3282)))</f>
        <v>95541609.302784756</v>
      </c>
      <c r="B14518">
        <v>197769485.41036785</v>
      </c>
    </row>
    <row r="14519" spans="1:2" x14ac:dyDescent="0.25">
      <c r="A14519">
        <f ca="1">30754.6964612989*((RANDBETWEEN(2979,3282)))</f>
        <v>93894088.296345457</v>
      </c>
      <c r="B14519">
        <v>165229895.86494604</v>
      </c>
    </row>
    <row r="14520" spans="1:2" x14ac:dyDescent="0.25">
      <c r="A14520">
        <f ca="1">27144.3168888295*((RANDBETWEEN(2979,3282)))</f>
        <v>87404700.382030845</v>
      </c>
      <c r="B14520">
        <v>144670835.01088983</v>
      </c>
    </row>
    <row r="14521" spans="1:2" x14ac:dyDescent="0.25">
      <c r="A14521">
        <f ca="1">29950.653275859*((RANDBETWEEN(2979,3282)))</f>
        <v>97938636.212058783</v>
      </c>
      <c r="B14521">
        <v>198233751.35434452</v>
      </c>
    </row>
    <row r="14522" spans="1:2" x14ac:dyDescent="0.25">
      <c r="A14522">
        <f ca="1">27569.4548932661*((RANDBETWEEN(2979,3282)))</f>
        <v>86319963.270816237</v>
      </c>
      <c r="B14522">
        <v>144116807.8839753</v>
      </c>
    </row>
    <row r="14523" spans="1:2" x14ac:dyDescent="0.25">
      <c r="A14523">
        <f ca="1">26681.795042794*((RANDBETWEEN(2979,3282)))</f>
        <v>81379474.880521715</v>
      </c>
      <c r="B14523">
        <v>168126723.92349324</v>
      </c>
    </row>
    <row r="14524" spans="1:2" x14ac:dyDescent="0.25">
      <c r="A14524">
        <f ca="1">27045.3031091688*((RANDBETWEEN(2979,3282)))</f>
        <v>83948620.850859925</v>
      </c>
      <c r="B14524">
        <v>184644667.06293327</v>
      </c>
    </row>
    <row r="14525" spans="1:2" x14ac:dyDescent="0.25">
      <c r="A14525">
        <f ca="1">25297.6192600752*((RANDBETWEEN(2979,3282)))</f>
        <v>79055060.187734976</v>
      </c>
      <c r="B14525">
        <v>162041960.80815798</v>
      </c>
    </row>
    <row r="14526" spans="1:2" x14ac:dyDescent="0.25">
      <c r="A14526">
        <f ca="1">28123.9260199639*((RANDBETWEEN(2979,3282)))</f>
        <v>88927854.075125858</v>
      </c>
      <c r="B14526">
        <v>146768893.32370341</v>
      </c>
    </row>
    <row r="14527" spans="1:2" x14ac:dyDescent="0.25">
      <c r="A14527">
        <f ca="1">26914.4921657707*((RANDBETWEEN(2979,3282)))</f>
        <v>82143030.089932024</v>
      </c>
      <c r="B14527">
        <v>187532032.34796569</v>
      </c>
    </row>
    <row r="14528" spans="1:2" x14ac:dyDescent="0.25">
      <c r="A14528">
        <f ca="1">27889.9817578978*((RANDBETWEEN(2979,3282)))</f>
        <v>87546652.738041043</v>
      </c>
      <c r="B14528">
        <v>172196549.81388575</v>
      </c>
    </row>
    <row r="14529" spans="1:2" x14ac:dyDescent="0.25">
      <c r="A14529">
        <f ca="1">27878.4764178576*((RANDBETWEEN(2979,3282)))</f>
        <v>90995347.027887359</v>
      </c>
      <c r="B14529">
        <v>193220541.18962198</v>
      </c>
    </row>
    <row r="14530" spans="1:2" x14ac:dyDescent="0.25">
      <c r="A14530">
        <f ca="1">27376.174883149*((RANDBETWEEN(2979,3282)))</f>
        <v>84674508.913579807</v>
      </c>
      <c r="B14530">
        <v>161736524.46636161</v>
      </c>
    </row>
    <row r="14531" spans="1:2" x14ac:dyDescent="0.25">
      <c r="A14531">
        <f ca="1">26305.2311376951*((RANDBETWEEN(2979,3282)))</f>
        <v>78810472.488534451</v>
      </c>
      <c r="B14531">
        <v>157469771.89058813</v>
      </c>
    </row>
    <row r="14532" spans="1:2" x14ac:dyDescent="0.25">
      <c r="A14532">
        <f ca="1">26953.219084488*((RANDBETWEEN(2979,3282)))</f>
        <v>81641300.606914163</v>
      </c>
      <c r="B14532">
        <v>190018511.78435725</v>
      </c>
    </row>
    <row r="14533" spans="1:2" x14ac:dyDescent="0.25">
      <c r="A14533">
        <f ca="1">29240.1370252656*((RANDBETWEEN(2979,3282)))</f>
        <v>95147405.880214214</v>
      </c>
      <c r="B14533">
        <v>194196757.2668466</v>
      </c>
    </row>
    <row r="14534" spans="1:2" x14ac:dyDescent="0.25">
      <c r="A14534">
        <f ca="1">24817.9299252046*((RANDBETWEEN(2979,3282)))</f>
        <v>77109308.27761057</v>
      </c>
      <c r="B14534">
        <v>145669178.01500458</v>
      </c>
    </row>
    <row r="14535" spans="1:2" x14ac:dyDescent="0.25">
      <c r="A14535">
        <f ca="1">26245.7149995071*((RANDBETWEEN(2979,3282)))</f>
        <v>85403556.608396098</v>
      </c>
      <c r="B14535">
        <v>176353520.22975129</v>
      </c>
    </row>
    <row r="14536" spans="1:2" x14ac:dyDescent="0.25">
      <c r="A14536">
        <f ca="1">26058.3510513919*((RANDBETWEEN(2979,3282)))</f>
        <v>80859063.312468976</v>
      </c>
      <c r="B14536">
        <v>180034831.38748056</v>
      </c>
    </row>
    <row r="14537" spans="1:2" x14ac:dyDescent="0.25">
      <c r="A14537">
        <f ca="1">27401.8844814142*((RANDBETWEEN(2979,3282)))</f>
        <v>86288534.231973216</v>
      </c>
      <c r="B14537">
        <v>145043990.14176339</v>
      </c>
    </row>
    <row r="14538" spans="1:2" x14ac:dyDescent="0.25">
      <c r="A14538">
        <f ca="1">29013.9156427518*((RANDBETWEEN(2979,3282)))</f>
        <v>94875504.151798412</v>
      </c>
      <c r="B14538">
        <v>167991654.40954149</v>
      </c>
    </row>
    <row r="14539" spans="1:2" x14ac:dyDescent="0.25">
      <c r="A14539">
        <f ca="1">27041.5398772432*((RANDBETWEEN(2979,3282)))</f>
        <v>87154883.02435495</v>
      </c>
      <c r="B14539">
        <v>190434313.93464357</v>
      </c>
    </row>
    <row r="14540" spans="1:2" x14ac:dyDescent="0.25">
      <c r="A14540">
        <f ca="1">27854.4705092489*((RANDBETWEEN(2979,3282)))</f>
        <v>86432421.990199491</v>
      </c>
      <c r="B14540">
        <v>190284592.34079698</v>
      </c>
    </row>
    <row r="14541" spans="1:2" x14ac:dyDescent="0.25">
      <c r="A14541">
        <f ca="1">30450.0845331328*((RANDBETWEEN(2979,3282)))</f>
        <v>98932324.648148492</v>
      </c>
      <c r="B14541">
        <v>184154461.78097838</v>
      </c>
    </row>
    <row r="14542" spans="1:2" x14ac:dyDescent="0.25">
      <c r="A14542">
        <f ca="1">30645.8778099516*((RANDBETWEEN(2979,3282)))</f>
        <v>97086140.901926726</v>
      </c>
      <c r="B14542">
        <v>165292088.42026746</v>
      </c>
    </row>
    <row r="14543" spans="1:2" x14ac:dyDescent="0.25">
      <c r="A14543">
        <f ca="1">26880.6639661002*((RANDBETWEEN(2979,3282)))</f>
        <v>87362157.889825612</v>
      </c>
      <c r="B14543">
        <v>160133200.80826902</v>
      </c>
    </row>
    <row r="14544" spans="1:2" x14ac:dyDescent="0.25">
      <c r="A14544">
        <f ca="1">29425.8681728581*((RANDBETWEEN(2979,3282)))</f>
        <v>88866121.882031396</v>
      </c>
      <c r="B14544">
        <v>144234802.00979787</v>
      </c>
    </row>
    <row r="14545" spans="1:2" x14ac:dyDescent="0.25">
      <c r="A14545">
        <f ca="1">26157.1442660154*((RANDBETWEEN(2979,3282)))</f>
        <v>80197804.319603324</v>
      </c>
      <c r="B14545">
        <v>171148370.91126209</v>
      </c>
    </row>
    <row r="14546" spans="1:2" x14ac:dyDescent="0.25">
      <c r="A14546">
        <f ca="1">26336.2576310808*((RANDBETWEEN(2979,3282)))</f>
        <v>82774857.734487042</v>
      </c>
      <c r="B14546">
        <v>143477112.43257684</v>
      </c>
    </row>
    <row r="14547" spans="1:2" x14ac:dyDescent="0.25">
      <c r="A14547">
        <f ca="1">26630.8657209326*((RANDBETWEEN(2979,3282)))</f>
        <v>84579629.529681891</v>
      </c>
      <c r="B14547">
        <v>148486529.27076632</v>
      </c>
    </row>
    <row r="14548" spans="1:2" x14ac:dyDescent="0.25">
      <c r="A14548">
        <f ca="1">26321.5199392996*((RANDBETWEEN(2979,3282)))</f>
        <v>82675894.129339948</v>
      </c>
      <c r="B14548">
        <v>157603207.98933324</v>
      </c>
    </row>
    <row r="14549" spans="1:2" x14ac:dyDescent="0.25">
      <c r="A14549">
        <f ca="1">26559.4643125659*((RANDBETWEEN(2979,3282)))</f>
        <v>80103344.366698876</v>
      </c>
      <c r="B14549">
        <v>168834074.4049426</v>
      </c>
    </row>
    <row r="14550" spans="1:2" x14ac:dyDescent="0.25">
      <c r="A14550">
        <f ca="1">25679.8062802781*((RANDBETWEEN(2979,3282)))</f>
        <v>83151212.735540614</v>
      </c>
      <c r="B14550">
        <v>153745846.95414943</v>
      </c>
    </row>
    <row r="14551" spans="1:2" x14ac:dyDescent="0.25">
      <c r="A14551">
        <f ca="1">26255.5488118502*((RANDBETWEEN(2979,3282)))</f>
        <v>83466389.672871783</v>
      </c>
      <c r="B14551">
        <v>148182586.85208118</v>
      </c>
    </row>
    <row r="14552" spans="1:2" x14ac:dyDescent="0.25">
      <c r="A14552">
        <f ca="1">32412.9596774502*((RANDBETWEEN(2979,3282)))</f>
        <v>100609826.83880539</v>
      </c>
      <c r="B14552">
        <v>190303815.42973682</v>
      </c>
    </row>
    <row r="14553" spans="1:2" x14ac:dyDescent="0.25">
      <c r="A14553">
        <f ca="1">29179.5683607985*((RANDBETWEEN(2979,3282)))</f>
        <v>91156971.559134513</v>
      </c>
      <c r="B14553">
        <v>176496626.62526888</v>
      </c>
    </row>
    <row r="14554" spans="1:2" x14ac:dyDescent="0.25">
      <c r="A14554">
        <f ca="1">28012.2224218135*((RANDBETWEEN(2979,3282)))</f>
        <v>84456850.601767749</v>
      </c>
      <c r="B14554">
        <v>145331027.16377965</v>
      </c>
    </row>
    <row r="14555" spans="1:2" x14ac:dyDescent="0.25">
      <c r="A14555">
        <f ca="1">29546.1968108829*((RANDBETWEEN(2979,3282)))</f>
        <v>88520405.645405203</v>
      </c>
      <c r="B14555">
        <v>167682302.11830512</v>
      </c>
    </row>
    <row r="14556" spans="1:2" x14ac:dyDescent="0.25">
      <c r="A14556">
        <f ca="1">26805.7694049354*((RANDBETWEEN(2979,3282)))</f>
        <v>86502217.869726583</v>
      </c>
      <c r="B14556">
        <v>170538098.33081543</v>
      </c>
    </row>
    <row r="14557" spans="1:2" x14ac:dyDescent="0.25">
      <c r="A14557">
        <f ca="1">27351.4566368437*((RANDBETWEEN(2979,3282)))</f>
        <v>83613402.938831121</v>
      </c>
      <c r="B14557">
        <v>176995713.66142485</v>
      </c>
    </row>
    <row r="14558" spans="1:2" x14ac:dyDescent="0.25">
      <c r="A14558">
        <f ca="1">25720.3617764546*((RANDBETWEEN(2979,3282)))</f>
        <v>82330878.046431318</v>
      </c>
      <c r="B14558">
        <v>144571879.25063747</v>
      </c>
    </row>
    <row r="14559" spans="1:2" x14ac:dyDescent="0.25">
      <c r="A14559">
        <f ca="1">28386.7997803207*((RANDBETWEEN(2979,3282)))</f>
        <v>87743598.120971143</v>
      </c>
      <c r="B14559">
        <v>177619855.01300001</v>
      </c>
    </row>
    <row r="14560" spans="1:2" x14ac:dyDescent="0.25">
      <c r="A14560">
        <f ca="1">31066.5191266133*((RANDBETWEEN(2979,3282)))</f>
        <v>98853663.860883474</v>
      </c>
      <c r="B14560">
        <v>199137760.69408491</v>
      </c>
    </row>
    <row r="14561" spans="1:2" x14ac:dyDescent="0.25">
      <c r="A14561">
        <f ca="1">28005.8823361746*((RANDBETWEEN(2979,3282)))</f>
        <v>87994482.300260499</v>
      </c>
      <c r="B14561">
        <v>183079101.24344727</v>
      </c>
    </row>
    <row r="14562" spans="1:2" x14ac:dyDescent="0.25">
      <c r="A14562">
        <f ca="1">32696.8572240821*((RANDBETWEEN(2979,3282)))</f>
        <v>105905120.54880203</v>
      </c>
      <c r="B14562">
        <v>177206278.96057677</v>
      </c>
    </row>
    <row r="14563" spans="1:2" x14ac:dyDescent="0.25">
      <c r="A14563">
        <f ca="1">31841.0275749153*((RANDBETWEEN(2979,3282)))</f>
        <v>102623631.87395212</v>
      </c>
      <c r="B14563">
        <v>193677640.97662556</v>
      </c>
    </row>
    <row r="14564" spans="1:2" x14ac:dyDescent="0.25">
      <c r="A14564">
        <f ca="1">29867.6753896637*((RANDBETWEEN(2979,3282)))</f>
        <v>89423820.11665304</v>
      </c>
      <c r="B14564">
        <v>202764545.07121921</v>
      </c>
    </row>
    <row r="14565" spans="1:2" x14ac:dyDescent="0.25">
      <c r="A14565">
        <f ca="1">26658.8719535023*((RANDBETWEEN(2979,3282)))</f>
        <v>83735516.805950791</v>
      </c>
      <c r="B14565">
        <v>179166042.41190532</v>
      </c>
    </row>
    <row r="14566" spans="1:2" x14ac:dyDescent="0.25">
      <c r="A14566">
        <f ca="1">26055.949244368*((RANDBETWEEN(2979,3282)))</f>
        <v>82883974.546334758</v>
      </c>
      <c r="B14566">
        <v>166559341.16968817</v>
      </c>
    </row>
    <row r="14567" spans="1:2" x14ac:dyDescent="0.25">
      <c r="A14567">
        <f ca="1">29909.9356003664*((RANDBETWEEN(2979,3282)))</f>
        <v>90686924.740311012</v>
      </c>
      <c r="B14567">
        <v>171943093.81696081</v>
      </c>
    </row>
    <row r="14568" spans="1:2" x14ac:dyDescent="0.25">
      <c r="A14568">
        <f ca="1">29195.4103352277*((RANDBETWEEN(2979,3282)))</f>
        <v>88111748.391717076</v>
      </c>
      <c r="B14568">
        <v>194031390.89838821</v>
      </c>
    </row>
    <row r="14569" spans="1:2" x14ac:dyDescent="0.25">
      <c r="A14569">
        <f ca="1">30750.8486768155*((RANDBETWEEN(2979,3282)))</f>
        <v>100555275.17318682</v>
      </c>
      <c r="B14569">
        <v>199646648.07417792</v>
      </c>
    </row>
    <row r="14570" spans="1:2" x14ac:dyDescent="0.25">
      <c r="A14570">
        <f ca="1">26491.8091193729*((RANDBETWEEN(2979,3282)))</f>
        <v>82760411.688920915</v>
      </c>
      <c r="B14570">
        <v>189641666.90003538</v>
      </c>
    </row>
    <row r="14571" spans="1:2" x14ac:dyDescent="0.25">
      <c r="A14571">
        <f ca="1">28434.5639161815*((RANDBETWEEN(2979,3282)))</f>
        <v>86185163.229946181</v>
      </c>
      <c r="B14571">
        <v>159439315.14403984</v>
      </c>
    </row>
    <row r="14572" spans="1:2" x14ac:dyDescent="0.25">
      <c r="A14572">
        <f ca="1">25730.3398136013*((RANDBETWEEN(2979,3282)))</f>
        <v>81385064.830420896</v>
      </c>
      <c r="B14572">
        <v>185117663.78728893</v>
      </c>
    </row>
    <row r="14573" spans="1:2" x14ac:dyDescent="0.25">
      <c r="A14573">
        <f ca="1">30822.703618431*((RANDBETWEEN(2979,3282)))</f>
        <v>92498933.558911443</v>
      </c>
      <c r="B14573">
        <v>173157712.42386985</v>
      </c>
    </row>
    <row r="14574" spans="1:2" x14ac:dyDescent="0.25">
      <c r="A14574">
        <f ca="1">26871.0051721606*((RANDBETWEEN(2979,3282)))</f>
        <v>87841315.90779306</v>
      </c>
      <c r="B14574">
        <v>147991081.60527706</v>
      </c>
    </row>
    <row r="14575" spans="1:2" x14ac:dyDescent="0.25">
      <c r="A14575">
        <f ca="1">25844.7783756783*((RANDBETWEEN(2979,3282)))</f>
        <v>84305667.06146273</v>
      </c>
      <c r="B14575">
        <v>162005875.67367437</v>
      </c>
    </row>
    <row r="14576" spans="1:2" x14ac:dyDescent="0.25">
      <c r="A14576">
        <f ca="1">27058.8149563051*((RANDBETWEEN(2979,3282)))</f>
        <v>85668208.151661873</v>
      </c>
      <c r="B14576">
        <v>160258719.15349758</v>
      </c>
    </row>
    <row r="14577" spans="1:2" x14ac:dyDescent="0.25">
      <c r="A14577">
        <f ca="1">30081.4804620847*((RANDBETWEEN(2979,3282)))</f>
        <v>95779433.791277811</v>
      </c>
      <c r="B14577">
        <v>152639296.7044844</v>
      </c>
    </row>
    <row r="14578" spans="1:2" x14ac:dyDescent="0.25">
      <c r="A14578">
        <f ca="1">32182.6856660362*((RANDBETWEEN(2979,3282)))</f>
        <v>98639931.566401079</v>
      </c>
      <c r="B14578">
        <v>200217513.70821309</v>
      </c>
    </row>
    <row r="14579" spans="1:2" x14ac:dyDescent="0.25">
      <c r="A14579">
        <f ca="1">32805.3643477698*((RANDBETWEEN(2979,3282)))</f>
        <v>102123099.21460727</v>
      </c>
      <c r="B14579">
        <v>185066529.05768126</v>
      </c>
    </row>
    <row r="14580" spans="1:2" x14ac:dyDescent="0.25">
      <c r="A14580">
        <f ca="1">30967.7179172309*((RANDBETWEEN(2979,3282)))</f>
        <v>100552180.07724886</v>
      </c>
      <c r="B14580">
        <v>175542057.46432379</v>
      </c>
    </row>
    <row r="14581" spans="1:2" x14ac:dyDescent="0.25">
      <c r="A14581">
        <f ca="1">30345.2308259792*((RANDBETWEEN(2979,3282)))</f>
        <v>91066037.70876348</v>
      </c>
      <c r="B14581">
        <v>147583151.21976513</v>
      </c>
    </row>
    <row r="14582" spans="1:2" x14ac:dyDescent="0.25">
      <c r="A14582">
        <f ca="1">28841.1670053543*((RANDBETWEEN(2979,3282)))</f>
        <v>88109765.20135738</v>
      </c>
      <c r="B14582">
        <v>159150196.17616779</v>
      </c>
    </row>
    <row r="14583" spans="1:2" x14ac:dyDescent="0.25">
      <c r="A14583">
        <f ca="1">32902.7114704725*((RANDBETWEEN(2979,3282)))</f>
        <v>100353269.9849411</v>
      </c>
      <c r="B14583">
        <v>149461381.50999829</v>
      </c>
    </row>
    <row r="14584" spans="1:2" x14ac:dyDescent="0.25">
      <c r="A14584">
        <f ca="1">26653.8868542038*((RANDBETWEEN(2979,3282)))</f>
        <v>84919283.517493278</v>
      </c>
      <c r="B14584">
        <v>151681745.07618934</v>
      </c>
    </row>
    <row r="14585" spans="1:2" x14ac:dyDescent="0.25">
      <c r="A14585">
        <f ca="1">25630.2200421399*((RANDBETWEEN(2979,3282)))</f>
        <v>77813348.047936872</v>
      </c>
      <c r="B14585">
        <v>143423883.05429262</v>
      </c>
    </row>
    <row r="14586" spans="1:2" x14ac:dyDescent="0.25">
      <c r="A14586">
        <f ca="1">32603.4055992794*((RANDBETWEEN(2979,3282)))</f>
        <v>101950849.30894668</v>
      </c>
      <c r="B14586">
        <v>183516016.33827907</v>
      </c>
    </row>
    <row r="14587" spans="1:2" x14ac:dyDescent="0.25">
      <c r="A14587">
        <f ca="1">30117.2516531938*((RANDBETWEEN(2979,3282)))</f>
        <v>93574300.886473283</v>
      </c>
      <c r="B14587">
        <v>202853038.13158497</v>
      </c>
    </row>
    <row r="14588" spans="1:2" x14ac:dyDescent="0.25">
      <c r="A14588">
        <f ca="1">27731.0074596774*((RANDBETWEEN(2979,3282)))</f>
        <v>83193022.379032061</v>
      </c>
      <c r="B14588">
        <v>196105038.64246616</v>
      </c>
    </row>
    <row r="14589" spans="1:2" x14ac:dyDescent="0.25">
      <c r="A14589">
        <f ca="1">27982.71733537*((RANDBETWEEN(2979,3282)))</f>
        <v>84927547.112847969</v>
      </c>
      <c r="B14589">
        <v>195308012.10942045</v>
      </c>
    </row>
    <row r="14590" spans="1:2" x14ac:dyDescent="0.25">
      <c r="A14590">
        <f ca="1">27932.5323069881*((RANDBETWEEN(2979,3282)))</f>
        <v>90557269.739255428</v>
      </c>
      <c r="B14590">
        <v>184507648.5669632</v>
      </c>
    </row>
    <row r="14591" spans="1:2" x14ac:dyDescent="0.25">
      <c r="A14591">
        <f ca="1">27214.3250712893*((RANDBETWEEN(2979,3282)))</f>
        <v>85344123.423563316</v>
      </c>
      <c r="B14591">
        <v>173558741.20321867</v>
      </c>
    </row>
    <row r="14592" spans="1:2" x14ac:dyDescent="0.25">
      <c r="A14592">
        <f ca="1">28489.5603970311*((RANDBETWEEN(2979,3282)))</f>
        <v>85668108.113872528</v>
      </c>
      <c r="B14592">
        <v>182369762.21110097</v>
      </c>
    </row>
    <row r="14593" spans="1:2" x14ac:dyDescent="0.25">
      <c r="A14593">
        <f ca="1">29913.7387934319*((RANDBETWEEN(2979,3282)))</f>
        <v>90489059.850131616</v>
      </c>
      <c r="B14593">
        <v>194272488.88836688</v>
      </c>
    </row>
    <row r="14594" spans="1:2" x14ac:dyDescent="0.25">
      <c r="A14594">
        <f ca="1">30963.4000735691*((RANDBETWEEN(2979,3282)))</f>
        <v>97101222.630712628</v>
      </c>
      <c r="B14594">
        <v>164788493.02295065</v>
      </c>
    </row>
    <row r="14595" spans="1:2" x14ac:dyDescent="0.25">
      <c r="A14595">
        <f ca="1">28600.8453079409*((RANDBETWEEN(2979,3282)))</f>
        <v>89091633.134235933</v>
      </c>
      <c r="B14595">
        <v>145388540.14869946</v>
      </c>
    </row>
    <row r="14596" spans="1:2" x14ac:dyDescent="0.25">
      <c r="A14596">
        <f ca="1">25898.2865178456*((RANDBETWEEN(2979,3282)))</f>
        <v>77876147.559161842</v>
      </c>
      <c r="B14596">
        <v>149135624.54402274</v>
      </c>
    </row>
    <row r="14597" spans="1:2" x14ac:dyDescent="0.25">
      <c r="A14597">
        <f ca="1">26551.6141796736*((RANDBETWEEN(2979,3282)))</f>
        <v>81938281.358472601</v>
      </c>
      <c r="B14597">
        <v>145990093.28104293</v>
      </c>
    </row>
    <row r="14598" spans="1:2" x14ac:dyDescent="0.25">
      <c r="A14598">
        <f ca="1">31472.5748868068*((RANDBETWEEN(2979,3282)))</f>
        <v>94575087.534854531</v>
      </c>
      <c r="B14598">
        <v>174136975.49939856</v>
      </c>
    </row>
    <row r="14599" spans="1:2" x14ac:dyDescent="0.25">
      <c r="A14599">
        <f ca="1">27221.7841071049*((RANDBETWEEN(2979,3282)))</f>
        <v>85449180.312202364</v>
      </c>
      <c r="B14599">
        <v>173669714.29715022</v>
      </c>
    </row>
    <row r="14600" spans="1:2" x14ac:dyDescent="0.25">
      <c r="A14600">
        <f ca="1">27791.3338268051*((RANDBETWEEN(2979,3282)))</f>
        <v>90488582.940077528</v>
      </c>
      <c r="B14600">
        <v>146574356.5202949</v>
      </c>
    </row>
    <row r="14601" spans="1:2" x14ac:dyDescent="0.25">
      <c r="A14601">
        <f ca="1">28724.1088465257*((RANDBETWEEN(2979,3282)))</f>
        <v>93784215.383906364</v>
      </c>
      <c r="B14601">
        <v>154556440.79184353</v>
      </c>
    </row>
    <row r="14602" spans="1:2" x14ac:dyDescent="0.25">
      <c r="A14602">
        <f ca="1">27230.2639621575*((RANDBETWEEN(2979,3282)))</f>
        <v>85339647.257401735</v>
      </c>
      <c r="B14602">
        <v>180590137.25105217</v>
      </c>
    </row>
    <row r="14603" spans="1:2" x14ac:dyDescent="0.25">
      <c r="A14603">
        <f ca="1">27717.4750118097*((RANDBETWEEN(2979,3282)))</f>
        <v>85785585.161551148</v>
      </c>
      <c r="B14603">
        <v>157777080.14060092</v>
      </c>
    </row>
    <row r="14604" spans="1:2" x14ac:dyDescent="0.25">
      <c r="A14604">
        <f ca="1">29754.5068432072*((RANDBETWEEN(2979,3282)))</f>
        <v>89233766.022778496</v>
      </c>
      <c r="B14604">
        <v>195782656.17616355</v>
      </c>
    </row>
    <row r="14605" spans="1:2" x14ac:dyDescent="0.25">
      <c r="A14605">
        <f ca="1">27245.0908657468*((RANDBETWEEN(2979,3282)))</f>
        <v>85495095.136713609</v>
      </c>
      <c r="B14605">
        <v>154829626.74428207</v>
      </c>
    </row>
    <row r="14606" spans="1:2" x14ac:dyDescent="0.25">
      <c r="A14606">
        <f ca="1">28710.3333420405*((RANDBETWEEN(2979,3282)))</f>
        <v>92877928.361500904</v>
      </c>
      <c r="B14606">
        <v>183551983.78690127</v>
      </c>
    </row>
    <row r="14607" spans="1:2" x14ac:dyDescent="0.25">
      <c r="A14607">
        <f ca="1">28288.0221016578*((RANDBETWEEN(2979,3282)))</f>
        <v>89842758.194865212</v>
      </c>
      <c r="B14607">
        <v>188008298.69919324</v>
      </c>
    </row>
    <row r="14608" spans="1:2" x14ac:dyDescent="0.25">
      <c r="A14608">
        <f ca="1">30522.7614034618*((RANDBETWEEN(2979,3282)))</f>
        <v>95688856.999852881</v>
      </c>
      <c r="B14608">
        <v>190057696.62622255</v>
      </c>
    </row>
    <row r="14609" spans="1:2" x14ac:dyDescent="0.25">
      <c r="A14609">
        <f ca="1">27992.1751640142*((RANDBETWEEN(2979,3282)))</f>
        <v>86271883.855491862</v>
      </c>
      <c r="B14609">
        <v>183347431.13076016</v>
      </c>
    </row>
    <row r="14610" spans="1:2" x14ac:dyDescent="0.25">
      <c r="A14610">
        <f ca="1">29057.5191227783*((RANDBETWEEN(2979,3282)))</f>
        <v>93942959.323942363</v>
      </c>
      <c r="B14610">
        <v>157969488.19951594</v>
      </c>
    </row>
    <row r="14611" spans="1:2" x14ac:dyDescent="0.25">
      <c r="A14611">
        <f ca="1">25367.5544078146*((RANDBETWEEN(2979,3282)))</f>
        <v>78055964.912845552</v>
      </c>
      <c r="B14611">
        <v>157706730.17560232</v>
      </c>
    </row>
    <row r="14612" spans="1:2" x14ac:dyDescent="0.25">
      <c r="A14612">
        <f ca="1">26253.736495893*((RANDBETWEEN(2979,3282)))</f>
        <v>80100150.048969477</v>
      </c>
      <c r="B14612">
        <v>147325464.15544492</v>
      </c>
    </row>
    <row r="14613" spans="1:2" x14ac:dyDescent="0.25">
      <c r="A14613">
        <f ca="1">28266.6953275851*((RANDBETWEEN(2979,3282)))</f>
        <v>88531289.76599662</v>
      </c>
      <c r="B14613">
        <v>155138945.61079633</v>
      </c>
    </row>
    <row r="14614" spans="1:2" x14ac:dyDescent="0.25">
      <c r="A14614">
        <f ca="1">26931.8157258478*((RANDBETWEEN(2979,3282)))</f>
        <v>85750901.271099418</v>
      </c>
      <c r="B14614">
        <v>158728990.32138246</v>
      </c>
    </row>
    <row r="14615" spans="1:2" x14ac:dyDescent="0.25">
      <c r="A14615">
        <f ca="1">26497.7428566441*((RANDBETWEEN(2979,3282)))</f>
        <v>81851527.684173495</v>
      </c>
      <c r="B14615">
        <v>185312461.13557383</v>
      </c>
    </row>
    <row r="14616" spans="1:2" x14ac:dyDescent="0.25">
      <c r="A14616">
        <f ca="1">31102.0022393999*((RANDBETWEEN(2979,3282)))</f>
        <v>102045669.3474711</v>
      </c>
      <c r="B14616">
        <v>166496416.97579706</v>
      </c>
    </row>
    <row r="14617" spans="1:2" x14ac:dyDescent="0.25">
      <c r="A14617">
        <f ca="1">26847.3962932489*((RANDBETWEEN(2979,3282)))</f>
        <v>86421768.667968079</v>
      </c>
      <c r="B14617">
        <v>146034219.62442258</v>
      </c>
    </row>
    <row r="14618" spans="1:2" x14ac:dyDescent="0.25">
      <c r="A14618">
        <f ca="1">28341.9996717942*((RANDBETWEEN(2979,3282)))</f>
        <v>91402948.941536143</v>
      </c>
      <c r="B14618">
        <v>154153028.39409667</v>
      </c>
    </row>
    <row r="14619" spans="1:2" x14ac:dyDescent="0.25">
      <c r="A14619">
        <f ca="1">26804.4801418922*((RANDBETWEEN(2979,3282)))</f>
        <v>83120692.92000781</v>
      </c>
      <c r="B14619">
        <v>194417210.01625729</v>
      </c>
    </row>
    <row r="14620" spans="1:2" x14ac:dyDescent="0.25">
      <c r="A14620">
        <f ca="1">25578.6760834928*((RANDBETWEEN(2979,3282)))</f>
        <v>79984520.113081917</v>
      </c>
      <c r="B14620">
        <v>170051464.06867707</v>
      </c>
    </row>
    <row r="14621" spans="1:2" x14ac:dyDescent="0.25">
      <c r="A14621">
        <f ca="1">28394.5525994896*((RANDBETWEEN(2979,3282)))</f>
        <v>86035494.376453504</v>
      </c>
      <c r="B14621">
        <v>174881469.6968264</v>
      </c>
    </row>
    <row r="14622" spans="1:2" x14ac:dyDescent="0.25">
      <c r="A14622">
        <f ca="1">28582.5124724139*((RANDBETWEEN(2979,3282)))</f>
        <v>85804702.442186609</v>
      </c>
      <c r="B14622">
        <v>146824567.37571976</v>
      </c>
    </row>
    <row r="14623" spans="1:2" x14ac:dyDescent="0.25">
      <c r="A14623">
        <f ca="1">28522.6814274747*((RANDBETWEEN(2979,3282)))</f>
        <v>92670191.957865328</v>
      </c>
      <c r="B14623">
        <v>148097956.52833062</v>
      </c>
    </row>
    <row r="14624" spans="1:2" x14ac:dyDescent="0.25">
      <c r="A14624">
        <f ca="1">26320.1093259967*((RANDBETWEEN(2979,3282)))</f>
        <v>82118741.09710975</v>
      </c>
      <c r="B14624">
        <v>153018293.6615662</v>
      </c>
    </row>
    <row r="14625" spans="1:2" x14ac:dyDescent="0.25">
      <c r="A14625">
        <f ca="1">26242.0009826925*((RANDBETWEEN(2979,3282)))</f>
        <v>83764467.136754408</v>
      </c>
      <c r="B14625">
        <v>144510934.11951342</v>
      </c>
    </row>
    <row r="14626" spans="1:2" x14ac:dyDescent="0.25">
      <c r="A14626">
        <f ca="1">28216.8514352363*((RANDBETWEEN(2979,3282)))</f>
        <v>87133637.23200956</v>
      </c>
      <c r="B14626">
        <v>177891502.8072446</v>
      </c>
    </row>
    <row r="14627" spans="1:2" x14ac:dyDescent="0.25">
      <c r="A14627">
        <f ca="1">28352.0089999907*((RANDBETWEEN(2979,3282)))</f>
        <v>87097371.647971332</v>
      </c>
      <c r="B14627">
        <v>150949416.44401082</v>
      </c>
    </row>
    <row r="14628" spans="1:2" x14ac:dyDescent="0.25">
      <c r="A14628">
        <f ca="1">26802.785693255*((RANDBETWEEN(2979,3282)))</f>
        <v>82338157.649679318</v>
      </c>
      <c r="B14628">
        <v>172353997.3607595</v>
      </c>
    </row>
    <row r="14629" spans="1:2" x14ac:dyDescent="0.25">
      <c r="A14629">
        <f ca="1">26256.6310573957*((RANDBETWEEN(2979,3282)))</f>
        <v>82524591.413394734</v>
      </c>
      <c r="B14629">
        <v>200979228.88074359</v>
      </c>
    </row>
    <row r="14630" spans="1:2" x14ac:dyDescent="0.25">
      <c r="A14630">
        <f ca="1">26937.2180969073*((RANDBETWEEN(2979,3282)))</f>
        <v>83936371.589963272</v>
      </c>
      <c r="B14630">
        <v>163757633.00660658</v>
      </c>
    </row>
    <row r="14631" spans="1:2" x14ac:dyDescent="0.25">
      <c r="A14631">
        <f ca="1">30500.0743650696*((RANDBETWEEN(2979,3282)))</f>
        <v>99979243.768698066</v>
      </c>
      <c r="B14631">
        <v>151754440.82584476</v>
      </c>
    </row>
    <row r="14632" spans="1:2" x14ac:dyDescent="0.25">
      <c r="A14632">
        <f ca="1">28464.5578056126*((RANDBETWEEN(2979,3282)))</f>
        <v>92709064.772880271</v>
      </c>
      <c r="B14632">
        <v>169833508.79704797</v>
      </c>
    </row>
    <row r="14633" spans="1:2" x14ac:dyDescent="0.25">
      <c r="A14633">
        <f ca="1">28494.5544448947*((RANDBETWEEN(2979,3282)))</f>
        <v>89045482.640296087</v>
      </c>
      <c r="B14633">
        <v>173626136.82586417</v>
      </c>
    </row>
    <row r="14634" spans="1:2" x14ac:dyDescent="0.25">
      <c r="A14634">
        <f ca="1">31471.9795267194*((RANDBETWEEN(2979,3282)))</f>
        <v>94699186.395898625</v>
      </c>
      <c r="B14634">
        <v>146188166.23090112</v>
      </c>
    </row>
    <row r="14635" spans="1:2" x14ac:dyDescent="0.25">
      <c r="A14635">
        <f ca="1">26442.0502827226*((RANDBETWEEN(2979,3282)))</f>
        <v>79749223.65269123</v>
      </c>
      <c r="B14635">
        <v>147513844.78297502</v>
      </c>
    </row>
    <row r="14636" spans="1:2" x14ac:dyDescent="0.25">
      <c r="A14636">
        <f ca="1">26582.5903927652*((RANDBETWEEN(2979,3282)))</f>
        <v>81050318.107541233</v>
      </c>
      <c r="B14636">
        <v>161823564.4174732</v>
      </c>
    </row>
    <row r="14637" spans="1:2" x14ac:dyDescent="0.25">
      <c r="A14637">
        <f ca="1">25881.8405042438*((RANDBETWEEN(2979,3282)))</f>
        <v>81346624.70483841</v>
      </c>
      <c r="B14637">
        <v>151675332.76472291</v>
      </c>
    </row>
    <row r="14638" spans="1:2" x14ac:dyDescent="0.25">
      <c r="A14638">
        <f ca="1">28509.8839107541*((RANDBETWEEN(2979,3282)))</f>
        <v>90233782.577536568</v>
      </c>
      <c r="B14638">
        <v>180119844.18002549</v>
      </c>
    </row>
    <row r="14639" spans="1:2" x14ac:dyDescent="0.25">
      <c r="A14639">
        <f ca="1">32280.6092059186*((RANDBETWEEN(2979,3282)))</f>
        <v>104911979.91923557</v>
      </c>
      <c r="B14639">
        <v>194791915.02096903</v>
      </c>
    </row>
    <row r="14640" spans="1:2" x14ac:dyDescent="0.25">
      <c r="A14640">
        <f ca="1">27591.2782329636*((RANDBETWEEN(2979,3282)))</f>
        <v>86581431.0950398</v>
      </c>
      <c r="B14640">
        <v>143817541.47723269</v>
      </c>
    </row>
    <row r="14641" spans="1:2" x14ac:dyDescent="0.25">
      <c r="A14641">
        <f ca="1">28657.6669688487*((RANDBETWEEN(2979,3282)))</f>
        <v>86689442.580767289</v>
      </c>
      <c r="B14641">
        <v>177881651.89547133</v>
      </c>
    </row>
    <row r="14642" spans="1:2" x14ac:dyDescent="0.25">
      <c r="A14642">
        <f ca="1">28051.4948284838*((RANDBETWEEN(2979,3282)))</f>
        <v>83649557.578538746</v>
      </c>
      <c r="B14642">
        <v>170080412.87433705</v>
      </c>
    </row>
    <row r="14643" spans="1:2" x14ac:dyDescent="0.25">
      <c r="A14643">
        <f ca="1">27162.0648233647*((RANDBETWEEN(2979,3282)))</f>
        <v>86945769.499590531</v>
      </c>
      <c r="B14643">
        <v>161170006.50712314</v>
      </c>
    </row>
    <row r="14644" spans="1:2" x14ac:dyDescent="0.25">
      <c r="A14644">
        <f ca="1">30623.0956848001*((RANDBETWEEN(2979,3282)))</f>
        <v>99249453.114436984</v>
      </c>
      <c r="B14644">
        <v>166443744.31684363</v>
      </c>
    </row>
    <row r="14645" spans="1:2" x14ac:dyDescent="0.25">
      <c r="A14645">
        <f ca="1">27247.5467714924*((RANDBETWEEN(2979,3282)))</f>
        <v>86320228.172087938</v>
      </c>
      <c r="B14645">
        <v>144900245.96862301</v>
      </c>
    </row>
    <row r="14646" spans="1:2" x14ac:dyDescent="0.25">
      <c r="A14646">
        <f ca="1">30428.3837202692*((RANDBETWEEN(2979,3282)))</f>
        <v>92897855.497981876</v>
      </c>
      <c r="B14646">
        <v>189234254.3826285</v>
      </c>
    </row>
    <row r="14647" spans="1:2" x14ac:dyDescent="0.25">
      <c r="A14647">
        <f ca="1">30151.311725145*((RANDBETWEEN(2979,3282)))</f>
        <v>95278145.05145821</v>
      </c>
      <c r="B14647">
        <v>175785764.78679854</v>
      </c>
    </row>
    <row r="14648" spans="1:2" x14ac:dyDescent="0.25">
      <c r="A14648">
        <f ca="1">27462.8790730262*((RANDBETWEEN(2979,3282)))</f>
        <v>87771361.517391637</v>
      </c>
      <c r="B14648">
        <v>176336150.2933737</v>
      </c>
    </row>
    <row r="14649" spans="1:2" x14ac:dyDescent="0.25">
      <c r="A14649">
        <f ca="1">27250.3014289718*((RANDBETWEEN(2979,3282)))</f>
        <v>82432161.822639585</v>
      </c>
      <c r="B14649">
        <v>144825060.0285973</v>
      </c>
    </row>
    <row r="14650" spans="1:2" x14ac:dyDescent="0.25">
      <c r="A14650">
        <f ca="1">28429.2660213573*((RANDBETWEEN(2979,3282)))</f>
        <v>86481827.236968771</v>
      </c>
      <c r="B14650">
        <v>168910824.14257878</v>
      </c>
    </row>
    <row r="14651" spans="1:2" x14ac:dyDescent="0.25">
      <c r="A14651">
        <f ca="1">29207.0818900996*((RANDBETWEEN(2979,3282)))</f>
        <v>94572531.160142452</v>
      </c>
      <c r="B14651">
        <v>148001231.20676798</v>
      </c>
    </row>
    <row r="14652" spans="1:2" x14ac:dyDescent="0.25">
      <c r="A14652">
        <f ca="1">27939.69239488*((RANDBETWEEN(2979,3282)))</f>
        <v>84545509.186906934</v>
      </c>
      <c r="B14652">
        <v>195906527.88558227</v>
      </c>
    </row>
    <row r="14653" spans="1:2" x14ac:dyDescent="0.25">
      <c r="A14653">
        <f ca="1">26382.6382355799*((RANDBETWEEN(2979,3282)))</f>
        <v>85506130.52151446</v>
      </c>
      <c r="B14653">
        <v>153446748.41835678</v>
      </c>
    </row>
    <row r="14654" spans="1:2" x14ac:dyDescent="0.25">
      <c r="A14654">
        <f ca="1">29892.616220921*((RANDBETWEEN(2979,3282)))</f>
        <v>89737633.895204782</v>
      </c>
      <c r="B14654">
        <v>191912677.00687119</v>
      </c>
    </row>
    <row r="14655" spans="1:2" x14ac:dyDescent="0.25">
      <c r="A14655">
        <f ca="1">28360.5787180982*((RANDBETWEEN(2979,3282)))</f>
        <v>92455486.621000275</v>
      </c>
      <c r="B14655">
        <v>170251835.5130583</v>
      </c>
    </row>
    <row r="14656" spans="1:2" x14ac:dyDescent="0.25">
      <c r="A14656">
        <f ca="1">26620.0585379782*((RANDBETWEEN(2979,3282)))</f>
        <v>83374023.340947688</v>
      </c>
      <c r="B14656">
        <v>163481432.01092201</v>
      </c>
    </row>
    <row r="14657" spans="1:2" x14ac:dyDescent="0.25">
      <c r="A14657">
        <f ca="1">32410.8948637013*((RANDBETWEEN(2979,3282)))</f>
        <v>104914066.67380127</v>
      </c>
      <c r="B14657">
        <v>198283275.60066283</v>
      </c>
    </row>
    <row r="14658" spans="1:2" x14ac:dyDescent="0.25">
      <c r="A14658">
        <f ca="1">27177.2092706533*((RANDBETWEEN(2979,3282)))</f>
        <v>81939285.951019555</v>
      </c>
      <c r="B14658">
        <v>159594654.70324478</v>
      </c>
    </row>
    <row r="14659" spans="1:2" x14ac:dyDescent="0.25">
      <c r="A14659">
        <f ca="1">31038.0172746629*((RANDBETWEEN(2979,3282)))</f>
        <v>96124739.499630898</v>
      </c>
      <c r="B14659">
        <v>159121275.63365939</v>
      </c>
    </row>
    <row r="14660" spans="1:2" x14ac:dyDescent="0.25">
      <c r="A14660">
        <f ca="1">26657.9871572969*((RANDBETWEEN(2979,3282)))</f>
        <v>83546131.75096862</v>
      </c>
      <c r="B14660">
        <v>162065198.68549049</v>
      </c>
    </row>
    <row r="14661" spans="1:2" x14ac:dyDescent="0.25">
      <c r="A14661">
        <f ca="1">26598.0091797715*((RANDBETWEEN(2979,3282)))</f>
        <v>81921868.273696214</v>
      </c>
      <c r="B14661">
        <v>167338971.53463829</v>
      </c>
    </row>
    <row r="14662" spans="1:2" x14ac:dyDescent="0.25">
      <c r="A14662">
        <f ca="1">26308.4543778717*((RANDBETWEEN(2979,3282)))</f>
        <v>82424387.565872133</v>
      </c>
      <c r="B14662">
        <v>152089488.57629436</v>
      </c>
    </row>
    <row r="14663" spans="1:2" x14ac:dyDescent="0.25">
      <c r="A14663">
        <f ca="1">26883.6022528958*((RANDBETWEEN(2979,3282)))</f>
        <v>87129754.901635319</v>
      </c>
      <c r="B14663">
        <v>165395059.45814171</v>
      </c>
    </row>
    <row r="14664" spans="1:2" x14ac:dyDescent="0.25">
      <c r="A14664">
        <f ca="1">29602.8251717799*((RANDBETWEEN(2979,3282)))</f>
        <v>94166586.871431768</v>
      </c>
      <c r="B14664">
        <v>146837619.35976768</v>
      </c>
    </row>
    <row r="14665" spans="1:2" x14ac:dyDescent="0.25">
      <c r="A14665">
        <f ca="1">26081.6673928204*((RANDBETWEEN(2979,3282)))</f>
        <v>81974680.615634441</v>
      </c>
      <c r="B14665">
        <v>153789853.44272721</v>
      </c>
    </row>
    <row r="14666" spans="1:2" x14ac:dyDescent="0.25">
      <c r="A14666">
        <f ca="1">28124.2019398697*((RANDBETWEEN(2979,3282)))</f>
        <v>84878841.454526871</v>
      </c>
      <c r="B14666">
        <v>179588088.09414199</v>
      </c>
    </row>
    <row r="14667" spans="1:2" x14ac:dyDescent="0.25">
      <c r="A14667">
        <f ca="1">25668.6381944709*((RANDBETWEEN(2979,3282)))</f>
        <v>83756766.428558528</v>
      </c>
      <c r="B14667">
        <v>143021455.58602658</v>
      </c>
    </row>
    <row r="14668" spans="1:2" x14ac:dyDescent="0.25">
      <c r="A14668">
        <f ca="1">27073.3460676595*((RANDBETWEEN(2979,3282)))</f>
        <v>81301258.241181433</v>
      </c>
      <c r="B14668">
        <v>145591998.96490562</v>
      </c>
    </row>
    <row r="14669" spans="1:2" x14ac:dyDescent="0.25">
      <c r="A14669">
        <f ca="1">27359.8548481864*((RANDBETWEEN(2979,3282)))</f>
        <v>82626761.641522974</v>
      </c>
      <c r="B14669">
        <v>173361935.59499973</v>
      </c>
    </row>
    <row r="14670" spans="1:2" x14ac:dyDescent="0.25">
      <c r="A14670">
        <f ca="1">28776.1500149046*((RANDBETWEEN(2979,3282)))</f>
        <v>87278062.995205596</v>
      </c>
      <c r="B14670">
        <v>200804744.59219524</v>
      </c>
    </row>
    <row r="14671" spans="1:2" x14ac:dyDescent="0.25">
      <c r="A14671">
        <f ca="1">26386.3353021881*((RANDBETWEEN(2979,3282)))</f>
        <v>78657665.535822734</v>
      </c>
      <c r="B14671">
        <v>148997004.23180705</v>
      </c>
    </row>
    <row r="14672" spans="1:2" x14ac:dyDescent="0.25">
      <c r="A14672">
        <f ca="1">26850.5020946838*((RANDBETWEEN(2979,3282)))</f>
        <v>86888224.778396815</v>
      </c>
      <c r="B14672">
        <v>160291513.42164025</v>
      </c>
    </row>
    <row r="14673" spans="1:2" x14ac:dyDescent="0.25">
      <c r="A14673">
        <f ca="1">27466.6346226415*((RANDBETWEEN(2979,3282)))</f>
        <v>85476166.945660412</v>
      </c>
      <c r="B14673">
        <v>194532079.374354</v>
      </c>
    </row>
    <row r="14674" spans="1:2" x14ac:dyDescent="0.25">
      <c r="A14674">
        <f ca="1">27859.8194642843*((RANDBETWEEN(2979,3282)))</f>
        <v>84498832.435174331</v>
      </c>
      <c r="B14674">
        <v>162462334.85681257</v>
      </c>
    </row>
    <row r="14675" spans="1:2" x14ac:dyDescent="0.25">
      <c r="A14675">
        <f ca="1">28367.7127795811*((RANDBETWEEN(2979,3282)))</f>
        <v>92535479.086993411</v>
      </c>
      <c r="B14675">
        <v>159098997.14679813</v>
      </c>
    </row>
    <row r="14676" spans="1:2" x14ac:dyDescent="0.25">
      <c r="A14676">
        <f ca="1">26210.225883688*((RANDBETWEEN(2979,3282)))</f>
        <v>78761728.780482441</v>
      </c>
      <c r="B14676">
        <v>146065201.08213615</v>
      </c>
    </row>
    <row r="14677" spans="1:2" x14ac:dyDescent="0.25">
      <c r="A14677">
        <f ca="1">30706.1507074823*((RANDBETWEEN(2979,3282)))</f>
        <v>98351800.716065958</v>
      </c>
      <c r="B14677">
        <v>154065040.40720087</v>
      </c>
    </row>
    <row r="14678" spans="1:2" x14ac:dyDescent="0.25">
      <c r="A14678">
        <f ca="1">26444.7601812443*((RANDBETWEEN(2979,3282)))</f>
        <v>86209918.190856382</v>
      </c>
      <c r="B14678">
        <v>143482563.36043543</v>
      </c>
    </row>
    <row r="14679" spans="1:2" x14ac:dyDescent="0.25">
      <c r="A14679">
        <f ca="1">28003.1122301517*((RANDBETWEEN(2979,3282)))</f>
        <v>88657853.320660174</v>
      </c>
      <c r="B14679">
        <v>176203532.7117027</v>
      </c>
    </row>
    <row r="14680" spans="1:2" x14ac:dyDescent="0.25">
      <c r="A14680">
        <f ca="1">26949.675192708*((RANDBETWEEN(2979,3282)))</f>
        <v>83085848.619118795</v>
      </c>
      <c r="B14680">
        <v>176867081.97629631</v>
      </c>
    </row>
    <row r="14681" spans="1:2" x14ac:dyDescent="0.25">
      <c r="A14681">
        <f ca="1">32868.2596794944*((RANDBETWEEN(2979,3282)))</f>
        <v>101760131.96771482</v>
      </c>
      <c r="B14681">
        <v>142975346.85104385</v>
      </c>
    </row>
    <row r="14682" spans="1:2" x14ac:dyDescent="0.25">
      <c r="A14682">
        <f ca="1">26020.0011117848*((RANDBETWEEN(2979,3282)))</f>
        <v>83498183.567717418</v>
      </c>
      <c r="B14682">
        <v>185241659.66852897</v>
      </c>
    </row>
    <row r="14683" spans="1:2" x14ac:dyDescent="0.25">
      <c r="A14683">
        <f ca="1">28126.6259123358*((RANDBETWEEN(2979,3282)))</f>
        <v>85476816.147588477</v>
      </c>
      <c r="B14683">
        <v>153543083.89871714</v>
      </c>
    </row>
    <row r="14684" spans="1:2" x14ac:dyDescent="0.25">
      <c r="A14684">
        <f ca="1">32402.0164740662*((RANDBETWEEN(2979,3282)))</f>
        <v>104237286.99707103</v>
      </c>
      <c r="B14684">
        <v>163711831.04620957</v>
      </c>
    </row>
    <row r="14685" spans="1:2" x14ac:dyDescent="0.25">
      <c r="A14685">
        <f ca="1">27694.669233838*((RANDBETWEEN(2979,3282)))</f>
        <v>88096742.83283861</v>
      </c>
      <c r="B14685">
        <v>160927363.24698368</v>
      </c>
    </row>
    <row r="14686" spans="1:2" x14ac:dyDescent="0.25">
      <c r="A14686">
        <f ca="1">30433.4531534086*((RANDBETWEEN(2979,3282)))</f>
        <v>94130670.603492901</v>
      </c>
      <c r="B14686">
        <v>163057448.90800911</v>
      </c>
    </row>
    <row r="14687" spans="1:2" x14ac:dyDescent="0.25">
      <c r="A14687">
        <f ca="1">28096.0334061127*((RANDBETWEEN(2979,3282)))</f>
        <v>86563878.924233317</v>
      </c>
      <c r="B14687">
        <v>154832790.03851813</v>
      </c>
    </row>
    <row r="14688" spans="1:2" x14ac:dyDescent="0.25">
      <c r="A14688">
        <f ca="1">28429.8750264703*((RANDBETWEEN(2979,3282)))</f>
        <v>92311804.210949138</v>
      </c>
      <c r="B14688">
        <v>162843669.24988887</v>
      </c>
    </row>
    <row r="14689" spans="1:2" x14ac:dyDescent="0.25">
      <c r="A14689">
        <f ca="1">27089.8910481792*((RANDBETWEEN(2979,3282)))</f>
        <v>83545223.992584705</v>
      </c>
      <c r="B14689">
        <v>171008889.11758509</v>
      </c>
    </row>
    <row r="14690" spans="1:2" x14ac:dyDescent="0.25">
      <c r="A14690">
        <f ca="1">27411.0518604409*((RANDBETWEEN(2979,3282)))</f>
        <v>86701157.034574553</v>
      </c>
      <c r="B14690">
        <v>165562692.16344216</v>
      </c>
    </row>
    <row r="14691" spans="1:2" x14ac:dyDescent="0.25">
      <c r="A14691">
        <f ca="1">26438.2963710983*((RANDBETWEEN(2979,3282)))</f>
        <v>79024067.853212923</v>
      </c>
      <c r="B14691">
        <v>149446224.78122225</v>
      </c>
    </row>
    <row r="14692" spans="1:2" x14ac:dyDescent="0.25">
      <c r="A14692">
        <f ca="1">31550.909724854*((RANDBETWEEN(2979,3282)))</f>
        <v>96640436.487227827</v>
      </c>
      <c r="B14692">
        <v>175393904.97385171</v>
      </c>
    </row>
    <row r="14693" spans="1:2" x14ac:dyDescent="0.25">
      <c r="A14693">
        <f ca="1">26084.9982542563*((RANDBETWEEN(2979,3282)))</f>
        <v>77915889.785463437</v>
      </c>
      <c r="B14693">
        <v>179647229.41870725</v>
      </c>
    </row>
    <row r="14694" spans="1:2" x14ac:dyDescent="0.25">
      <c r="A14694">
        <f ca="1">26118.8900255846*((RANDBETWEEN(2979,3282)))</f>
        <v>84024469.212305695</v>
      </c>
      <c r="B14694">
        <v>155154403.83125535</v>
      </c>
    </row>
    <row r="14695" spans="1:2" x14ac:dyDescent="0.25">
      <c r="A14695">
        <f ca="1">30713.3002142799*((RANDBETWEEN(2979,3282)))</f>
        <v>97944714.383338466</v>
      </c>
      <c r="B14695">
        <v>177586922.50011584</v>
      </c>
    </row>
    <row r="14696" spans="1:2" x14ac:dyDescent="0.25">
      <c r="A14696">
        <f ca="1">28589.298339317*((RANDBETWEEN(2979,3282)))</f>
        <v>85939430.807986915</v>
      </c>
      <c r="B14696">
        <v>156873984.62427944</v>
      </c>
    </row>
    <row r="14697" spans="1:2" x14ac:dyDescent="0.25">
      <c r="A14697">
        <f ca="1">29261.8042519293*((RANDBETWEEN(2979,3282)))</f>
        <v>92408777.82759285</v>
      </c>
      <c r="B14697">
        <v>169840182.93361264</v>
      </c>
    </row>
    <row r="14698" spans="1:2" x14ac:dyDescent="0.25">
      <c r="A14698">
        <f ca="1">25863.210281955*((RANDBETWEEN(2979,3282)))</f>
        <v>81960513.383515283</v>
      </c>
      <c r="B14698">
        <v>186405574.42961264</v>
      </c>
    </row>
    <row r="14699" spans="1:2" x14ac:dyDescent="0.25">
      <c r="A14699">
        <f ca="1">26849.309955177*((RANDBETWEEN(2979,3282)))</f>
        <v>84199436.019435123</v>
      </c>
      <c r="B14699">
        <v>158922836.1445609</v>
      </c>
    </row>
    <row r="14700" spans="1:2" x14ac:dyDescent="0.25">
      <c r="A14700">
        <f ca="1">27344.1066319028*((RANDBETWEEN(2979,3282)))</f>
        <v>88594905.487365142</v>
      </c>
      <c r="B14700">
        <v>172904860.47617158</v>
      </c>
    </row>
    <row r="14701" spans="1:2" x14ac:dyDescent="0.25">
      <c r="A14701">
        <f ca="1">25753.6942330597*((RANDBETWEEN(2979,3282)))</f>
        <v>81845240.272663653</v>
      </c>
      <c r="B14701">
        <v>158414961.29889786</v>
      </c>
    </row>
    <row r="14702" spans="1:2" x14ac:dyDescent="0.25">
      <c r="A14702">
        <f ca="1">26255.577000989*((RANDBETWEEN(2979,3282)))</f>
        <v>83177667.939133078</v>
      </c>
      <c r="B14702">
        <v>200417961.37639353</v>
      </c>
    </row>
    <row r="14703" spans="1:2" x14ac:dyDescent="0.25">
      <c r="A14703">
        <f ca="1">26447.7604515633*((RANDBETWEEN(2979,3282)))</f>
        <v>84685728.965905592</v>
      </c>
      <c r="B14703">
        <v>152335789.10813153</v>
      </c>
    </row>
    <row r="14704" spans="1:2" x14ac:dyDescent="0.25">
      <c r="A14704">
        <f ca="1">30047.537261972*((RANDBETWEEN(2979,3282)))</f>
        <v>97894876.399504766</v>
      </c>
      <c r="B14704">
        <v>181509086.66469166</v>
      </c>
    </row>
    <row r="14705" spans="1:2" x14ac:dyDescent="0.25">
      <c r="A14705">
        <f ca="1">26434.7531713273*((RANDBETWEEN(2979,3282)))</f>
        <v>85437122.249729931</v>
      </c>
      <c r="B14705">
        <v>149912399.0411289</v>
      </c>
    </row>
    <row r="14706" spans="1:2" x14ac:dyDescent="0.25">
      <c r="A14706">
        <f ca="1">27317.2626342377*((RANDBETWEEN(2979,3282)))</f>
        <v>83563506.398133039</v>
      </c>
      <c r="B14706">
        <v>144635175.82020974</v>
      </c>
    </row>
    <row r="14707" spans="1:2" x14ac:dyDescent="0.25">
      <c r="A14707">
        <f ca="1">32101.4608346436*((RANDBETWEEN(2979,3282)))</f>
        <v>97620542.398151204</v>
      </c>
      <c r="B14707">
        <v>161730042.68481502</v>
      </c>
    </row>
    <row r="14708" spans="1:2" x14ac:dyDescent="0.25">
      <c r="A14708">
        <f ca="1">27241.2165247647*((RANDBETWEEN(2979,3282)))</f>
        <v>87743958.426267177</v>
      </c>
      <c r="B14708">
        <v>152429420.90137088</v>
      </c>
    </row>
    <row r="14709" spans="1:2" x14ac:dyDescent="0.25">
      <c r="A14709">
        <f ca="1">28622.029289887*((RANDBETWEEN(2979,3282)))</f>
        <v>90130770.233854175</v>
      </c>
      <c r="B14709">
        <v>147939768.18080869</v>
      </c>
    </row>
    <row r="14710" spans="1:2" x14ac:dyDescent="0.25">
      <c r="A14710">
        <f ca="1">26363.4125958439*((RANDBETWEEN(2979,3282)))</f>
        <v>81937486.347882926</v>
      </c>
      <c r="B14710">
        <v>144559444.44009376</v>
      </c>
    </row>
    <row r="14711" spans="1:2" x14ac:dyDescent="0.25">
      <c r="A14711">
        <f ca="1">32353.3839989461*((RANDBETWEEN(2979,3282)))</f>
        <v>103692595.71662235</v>
      </c>
      <c r="B14711">
        <v>169134698.64530253</v>
      </c>
    </row>
    <row r="14712" spans="1:2" x14ac:dyDescent="0.25">
      <c r="A14712">
        <f ca="1">26455.5612957669*((RANDBETWEEN(2979,3282)))</f>
        <v>85239818.4949608</v>
      </c>
      <c r="B14712">
        <v>166390229.36628792</v>
      </c>
    </row>
    <row r="14713" spans="1:2" x14ac:dyDescent="0.25">
      <c r="A14713">
        <f ca="1">25458.9270846864*((RANDBETWEEN(2979,3282)))</f>
        <v>76071274.129042983</v>
      </c>
      <c r="B14713">
        <v>145503149.70843843</v>
      </c>
    </row>
    <row r="14714" spans="1:2" x14ac:dyDescent="0.25">
      <c r="A14714">
        <f ca="1">27391.3476473814*((RANDBETWEEN(2979,3282)))</f>
        <v>86036222.960425094</v>
      </c>
      <c r="B14714">
        <v>149868139.93882659</v>
      </c>
    </row>
    <row r="14715" spans="1:2" x14ac:dyDescent="0.25">
      <c r="A14715">
        <f ca="1">29486.4458729615*((RANDBETWEEN(2979,3282)))</f>
        <v>93737411.430144578</v>
      </c>
      <c r="B14715">
        <v>148104271.71205786</v>
      </c>
    </row>
    <row r="14716" spans="1:2" x14ac:dyDescent="0.25">
      <c r="A14716">
        <f ca="1">29591.7309440419*((RANDBETWEEN(2979,3282)))</f>
        <v>93657828.437892705</v>
      </c>
      <c r="B14716">
        <v>182891553.32051027</v>
      </c>
    </row>
    <row r="14717" spans="1:2" x14ac:dyDescent="0.25">
      <c r="A14717">
        <f ca="1">26042.0765941513*((RANDBETWEEN(2979,3282)))</f>
        <v>82917971.875777677</v>
      </c>
      <c r="B14717">
        <v>149466604.88378718</v>
      </c>
    </row>
    <row r="14718" spans="1:2" x14ac:dyDescent="0.25">
      <c r="A14718">
        <f ca="1">26483.0494702065*((RANDBETWEEN(2979,3282)))</f>
        <v>80455504.290487483</v>
      </c>
      <c r="B14718">
        <v>177277151.02317423</v>
      </c>
    </row>
    <row r="14719" spans="1:2" x14ac:dyDescent="0.25">
      <c r="A14719">
        <f ca="1">28961.3306166431*((RANDBETWEEN(2979,3282)))</f>
        <v>94240169.826556534</v>
      </c>
      <c r="B14719">
        <v>187008565.55827272</v>
      </c>
    </row>
    <row r="14720" spans="1:2" x14ac:dyDescent="0.25">
      <c r="A14720">
        <f ca="1">25102.5669343177*((RANDBETWEEN(2979,3282)))</f>
        <v>76838957.385946482</v>
      </c>
      <c r="B14720">
        <v>162087377.53858536</v>
      </c>
    </row>
    <row r="14721" spans="1:2" x14ac:dyDescent="0.25">
      <c r="A14721">
        <f ca="1">29232.55125839*((RANDBETWEEN(2979,3282)))</f>
        <v>94216512.705790952</v>
      </c>
      <c r="B14721">
        <v>169021247.29178321</v>
      </c>
    </row>
    <row r="14722" spans="1:2" x14ac:dyDescent="0.25">
      <c r="A14722">
        <f ca="1">25999.5478546038*((RANDBETWEEN(2979,3282)))</f>
        <v>80832594.279963061</v>
      </c>
      <c r="B14722">
        <v>168720615.27605617</v>
      </c>
    </row>
    <row r="14723" spans="1:2" x14ac:dyDescent="0.25">
      <c r="A14723">
        <f ca="1">27519.0354178487*((RANDBETWEEN(2979,3282)))</f>
        <v>88198508.514204949</v>
      </c>
      <c r="B14723">
        <v>155914889.74188069</v>
      </c>
    </row>
    <row r="14724" spans="1:2" x14ac:dyDescent="0.25">
      <c r="A14724">
        <f ca="1">30314.3154487519*((RANDBETWEEN(2979,3282)))</f>
        <v>92731490.957732022</v>
      </c>
      <c r="B14724">
        <v>183380348.45482185</v>
      </c>
    </row>
    <row r="14725" spans="1:2" x14ac:dyDescent="0.25">
      <c r="A14725">
        <f ca="1">25239.019859118*((RANDBETWEEN(2979,3282)))</f>
        <v>75792776.636931419</v>
      </c>
      <c r="B14725">
        <v>201252198.58050829</v>
      </c>
    </row>
    <row r="14726" spans="1:2" x14ac:dyDescent="0.25">
      <c r="A14726">
        <f ca="1">27553.3348110491*((RANDBETWEEN(2979,3282)))</f>
        <v>83376391.13823466</v>
      </c>
      <c r="B14726">
        <v>181331200.89630276</v>
      </c>
    </row>
    <row r="14727" spans="1:2" x14ac:dyDescent="0.25">
      <c r="A14727">
        <f ca="1">27120.0880236868*((RANDBETWEEN(2979,3282)))</f>
        <v>80817862.310586527</v>
      </c>
      <c r="B14727">
        <v>144344415.95649359</v>
      </c>
    </row>
    <row r="14728" spans="1:2" x14ac:dyDescent="0.25">
      <c r="A14728">
        <f ca="1">26290.7727640704*((RANDBETWEEN(2979,3282)))</f>
        <v>85550174.574285135</v>
      </c>
      <c r="B14728">
        <v>163324435.69048291</v>
      </c>
    </row>
    <row r="14729" spans="1:2" x14ac:dyDescent="0.25">
      <c r="A14729">
        <f ca="1">26956.6481655019*((RANDBETWEEN(2979,3282)))</f>
        <v>87878673.019536078</v>
      </c>
      <c r="B14729">
        <v>152477915.37379861</v>
      </c>
    </row>
    <row r="14730" spans="1:2" x14ac:dyDescent="0.25">
      <c r="A14730">
        <f ca="1">26366.9991410063*((RANDBETWEEN(2979,3282)))</f>
        <v>83293350.286438927</v>
      </c>
      <c r="B14730">
        <v>146500813.75654319</v>
      </c>
    </row>
    <row r="14731" spans="1:2" x14ac:dyDescent="0.25">
      <c r="A14731">
        <f ca="1">25858.0584040942*((RANDBETWEEN(2979,3282)))</f>
        <v>84478276.806175768</v>
      </c>
      <c r="B14731">
        <v>143182216.8800607</v>
      </c>
    </row>
    <row r="14732" spans="1:2" x14ac:dyDescent="0.25">
      <c r="A14732">
        <f ca="1">27841.2106265845*((RANDBETWEEN(2979,3282)))</f>
        <v>89676539.428228706</v>
      </c>
      <c r="B14732">
        <v>181502232.95355392</v>
      </c>
    </row>
    <row r="14733" spans="1:2" x14ac:dyDescent="0.25">
      <c r="A14733">
        <f ca="1">26134.1301371335*((RANDBETWEEN(2979,3282)))</f>
        <v>83498545.788141593</v>
      </c>
      <c r="B14733">
        <v>149291250.1699388</v>
      </c>
    </row>
    <row r="14734" spans="1:2" x14ac:dyDescent="0.25">
      <c r="A14734">
        <f ca="1">28060.8128819819*((RANDBETWEEN(2979,3282)))</f>
        <v>90524182.357273459</v>
      </c>
      <c r="B14734">
        <v>148678829.00307846</v>
      </c>
    </row>
    <row r="14735" spans="1:2" x14ac:dyDescent="0.25">
      <c r="A14735">
        <f ca="1">28816.8740412317*((RANDBETWEEN(2979,3282)))</f>
        <v>89822196.386519313</v>
      </c>
      <c r="B14735">
        <v>197302805.01284403</v>
      </c>
    </row>
    <row r="14736" spans="1:2" x14ac:dyDescent="0.25">
      <c r="A14736">
        <f ca="1">27221.1338122684*((RANDBETWEEN(2979,3282)))</f>
        <v>82398372.049736559</v>
      </c>
      <c r="B14736">
        <v>192129028.73339075</v>
      </c>
    </row>
    <row r="14737" spans="1:2" x14ac:dyDescent="0.25">
      <c r="A14737">
        <f ca="1">28598.3116425595*((RANDBETWEEN(2979,3282)))</f>
        <v>89169535.701500505</v>
      </c>
      <c r="B14737">
        <v>161936940.04431367</v>
      </c>
    </row>
    <row r="14738" spans="1:2" x14ac:dyDescent="0.25">
      <c r="A14738">
        <f ca="1">28973.9237838154*((RANDBETWEEN(2979,3282)))</f>
        <v>90775303.214693502</v>
      </c>
      <c r="B14738">
        <v>180730770.99885207</v>
      </c>
    </row>
    <row r="14739" spans="1:2" x14ac:dyDescent="0.25">
      <c r="A14739">
        <f ca="1">25859.4995241725*((RANDBETWEEN(2979,3282)))</f>
        <v>84638141.942616522</v>
      </c>
      <c r="B14739">
        <v>184844927.73696792</v>
      </c>
    </row>
    <row r="14740" spans="1:2" x14ac:dyDescent="0.25">
      <c r="A14740">
        <f ca="1">27848.5149450462*((RANDBETWEEN(2979,3282)))</f>
        <v>83517696.320193499</v>
      </c>
      <c r="B14740">
        <v>163113444.89477864</v>
      </c>
    </row>
    <row r="14741" spans="1:2" x14ac:dyDescent="0.25">
      <c r="A14741">
        <f ca="1">30193.8621349788*((RANDBETWEEN(2979,3282)))</f>
        <v>97616756.282386482</v>
      </c>
      <c r="B14741">
        <v>186329359.77271047</v>
      </c>
    </row>
    <row r="14742" spans="1:2" x14ac:dyDescent="0.25">
      <c r="A14742">
        <f ca="1">26022.6725899259*((RANDBETWEEN(2979,3282)))</f>
        <v>80566194.338410467</v>
      </c>
      <c r="B14742">
        <v>160230245.8225404</v>
      </c>
    </row>
    <row r="14743" spans="1:2" x14ac:dyDescent="0.25">
      <c r="A14743">
        <f ca="1">32471.5788035188*((RANDBETWEEN(2979,3282)))</f>
        <v>106247005.84511346</v>
      </c>
      <c r="B14743">
        <v>145218965.3178634</v>
      </c>
    </row>
    <row r="14744" spans="1:2" x14ac:dyDescent="0.25">
      <c r="A14744">
        <f ca="1">26699.2526399841*((RANDBETWEEN(2979,3282)))</f>
        <v>80658442.225392073</v>
      </c>
      <c r="B14744">
        <v>166004669.244102</v>
      </c>
    </row>
    <row r="14745" spans="1:2" x14ac:dyDescent="0.25">
      <c r="A14745">
        <f ca="1">28029.7900441902*((RANDBETWEEN(2979,3282)))</f>
        <v>90424102.682557583</v>
      </c>
      <c r="B14745">
        <v>155933683.02545893</v>
      </c>
    </row>
    <row r="14746" spans="1:2" x14ac:dyDescent="0.25">
      <c r="A14746">
        <f ca="1">30470.4711164327*((RANDBETWEEN(2979,3282)))</f>
        <v>98724326.417242065</v>
      </c>
      <c r="B14746">
        <v>159638470.52252483</v>
      </c>
    </row>
    <row r="14747" spans="1:2" x14ac:dyDescent="0.25">
      <c r="A14747">
        <f ca="1">26559.0720945664*((RANDBETWEEN(2979,3282)))</f>
        <v>80075602.365117684</v>
      </c>
      <c r="B14747">
        <v>159964265.57229441</v>
      </c>
    </row>
    <row r="14748" spans="1:2" x14ac:dyDescent="0.25">
      <c r="A14748">
        <f ca="1">28066.3859038018*((RANDBETWEEN(2979,3282)))</f>
        <v>89419505.489512414</v>
      </c>
      <c r="B14748">
        <v>193472119.70320359</v>
      </c>
    </row>
    <row r="14749" spans="1:2" x14ac:dyDescent="0.25">
      <c r="A14749">
        <f ca="1">31025.8084210012*((RANDBETWEEN(2979,3282)))</f>
        <v>93449734.964055493</v>
      </c>
      <c r="B14749">
        <v>173947970.63586602</v>
      </c>
    </row>
    <row r="14750" spans="1:2" x14ac:dyDescent="0.25">
      <c r="A14750">
        <f ca="1">32466.7354884506*((RANDBETWEEN(2979,3282)))</f>
        <v>103731219.88559978</v>
      </c>
      <c r="B14750">
        <v>144365680.2501207</v>
      </c>
    </row>
    <row r="14751" spans="1:2" x14ac:dyDescent="0.25">
      <c r="A14751">
        <f ca="1">27890.1054645169*((RANDBETWEEN(2979,3282)))</f>
        <v>83279854.917047575</v>
      </c>
      <c r="B14751">
        <v>165029660.90760872</v>
      </c>
    </row>
    <row r="14752" spans="1:2" x14ac:dyDescent="0.25">
      <c r="A14752">
        <f ca="1">26319.3911748832*((RANDBETWEEN(2979,3282)))</f>
        <v>79774074.651070938</v>
      </c>
      <c r="B14752">
        <v>197709463.84322342</v>
      </c>
    </row>
    <row r="14753" spans="1:2" x14ac:dyDescent="0.25">
      <c r="A14753">
        <f ca="1">29032.8876894237*((RANDBETWEEN(2979,3282)))</f>
        <v>92353615.740056723</v>
      </c>
      <c r="B14753">
        <v>178295231.05780175</v>
      </c>
    </row>
    <row r="14754" spans="1:2" x14ac:dyDescent="0.25">
      <c r="A14754">
        <f ca="1">27904.7671586309*((RANDBETWEEN(2979,3282)))</f>
        <v>84384015.887699708</v>
      </c>
      <c r="B14754">
        <v>172744138.38340098</v>
      </c>
    </row>
    <row r="14755" spans="1:2" x14ac:dyDescent="0.25">
      <c r="A14755">
        <f ca="1">25922.1747932374*((RANDBETWEEN(2979,3282)))</f>
        <v>79477387.916065902</v>
      </c>
      <c r="B14755">
        <v>143886849.67950779</v>
      </c>
    </row>
    <row r="14756" spans="1:2" x14ac:dyDescent="0.25">
      <c r="A14756">
        <f ca="1">33632.7485193441*((RANDBETWEEN(2979,3282)))</f>
        <v>108633777.71748157</v>
      </c>
      <c r="B14756">
        <v>166983471.04482991</v>
      </c>
    </row>
    <row r="14757" spans="1:2" x14ac:dyDescent="0.25">
      <c r="A14757">
        <f ca="1">26454.8836904205*((RANDBETWEEN(2979,3282)))</f>
        <v>86454559.900294259</v>
      </c>
      <c r="B14757">
        <v>149627717.63883948</v>
      </c>
    </row>
    <row r="14758" spans="1:2" x14ac:dyDescent="0.25">
      <c r="A14758">
        <f ca="1">27393.4372368421*((RANDBETWEEN(2979,3282)))</f>
        <v>82673393.580789566</v>
      </c>
      <c r="B14758">
        <v>178949318.01823267</v>
      </c>
    </row>
    <row r="14759" spans="1:2" x14ac:dyDescent="0.25">
      <c r="A14759">
        <f ca="1">28033.9444397196*((RANDBETWEEN(2979,3282)))</f>
        <v>90465538.706975043</v>
      </c>
      <c r="B14759">
        <v>146575988.27487344</v>
      </c>
    </row>
    <row r="14760" spans="1:2" x14ac:dyDescent="0.25">
      <c r="A14760">
        <f ca="1">27699.5217562415*((RANDBETWEEN(2979,3282)))</f>
        <v>90134243.794809744</v>
      </c>
      <c r="B14760">
        <v>150561209.25040773</v>
      </c>
    </row>
    <row r="14761" spans="1:2" x14ac:dyDescent="0.25">
      <c r="A14761">
        <f ca="1">27676.9507296198*((RANDBETWEEN(2979,3282)))</f>
        <v>85798547.261821225</v>
      </c>
      <c r="B14761">
        <v>153090903.14459744</v>
      </c>
    </row>
    <row r="14762" spans="1:2" x14ac:dyDescent="0.25">
      <c r="A14762">
        <f ca="1">26755.5368662102*((RANDBETWEEN(2979,3282)))</f>
        <v>85457184.750675395</v>
      </c>
      <c r="B14762">
        <v>197866750.59600145</v>
      </c>
    </row>
    <row r="14763" spans="1:2" x14ac:dyDescent="0.25">
      <c r="A14763">
        <f ca="1">26747.1872286845*((RANDBETWEEN(2979,3282)))</f>
        <v>81873140.107003182</v>
      </c>
      <c r="B14763">
        <v>181585850.70757192</v>
      </c>
    </row>
    <row r="14764" spans="1:2" x14ac:dyDescent="0.25">
      <c r="A14764">
        <f ca="1">29003.6063858752*((RANDBETWEEN(2979,3282)))</f>
        <v>89563136.519582704</v>
      </c>
      <c r="B14764">
        <v>190566088.46731073</v>
      </c>
    </row>
    <row r="14765" spans="1:2" x14ac:dyDescent="0.25">
      <c r="A14765">
        <f ca="1">29218.7906259994*((RANDBETWEEN(2979,3282)))</f>
        <v>90665907.312476024</v>
      </c>
      <c r="B14765">
        <v>177451332.63131979</v>
      </c>
    </row>
    <row r="14766" spans="1:2" x14ac:dyDescent="0.25">
      <c r="A14766">
        <f ca="1">27361.9500307061*((RANDBETWEEN(2979,3282)))</f>
        <v>88023393.248781592</v>
      </c>
      <c r="B14766">
        <v>187416854.66760278</v>
      </c>
    </row>
    <row r="14767" spans="1:2" x14ac:dyDescent="0.25">
      <c r="A14767">
        <f ca="1">28199.1918355008*((RANDBETWEEN(2979,3282)))</f>
        <v>84541177.12283133</v>
      </c>
      <c r="B14767">
        <v>170685886.57098901</v>
      </c>
    </row>
    <row r="14768" spans="1:2" x14ac:dyDescent="0.25">
      <c r="A14768">
        <f ca="1">27067.2820071148*((RANDBETWEEN(2979,3282)))</f>
        <v>84991265.502340317</v>
      </c>
      <c r="B14768">
        <v>146477044.40142635</v>
      </c>
    </row>
    <row r="14769" spans="1:2" x14ac:dyDescent="0.25">
      <c r="A14769">
        <f ca="1">28290.8887818962*((RANDBETWEEN(2979,3282)))</f>
        <v>87447137.224841058</v>
      </c>
      <c r="B14769">
        <v>162621556.17413446</v>
      </c>
    </row>
    <row r="14770" spans="1:2" x14ac:dyDescent="0.25">
      <c r="A14770">
        <f ca="1">30380.8104400839*((RANDBETWEEN(2979,3282)))</f>
        <v>97036308.545627907</v>
      </c>
      <c r="B14770">
        <v>179809253.296857</v>
      </c>
    </row>
    <row r="14771" spans="1:2" x14ac:dyDescent="0.25">
      <c r="A14771">
        <f ca="1">25630.0304480085*((RANDBETWEEN(2979,3282)))</f>
        <v>78299743.018666118</v>
      </c>
      <c r="B14771">
        <v>146919595.89434144</v>
      </c>
    </row>
    <row r="14772" spans="1:2" x14ac:dyDescent="0.25">
      <c r="A14772">
        <f ca="1">27209.6238817481*((RANDBETWEEN(2979,3282)))</f>
        <v>83860060.803547636</v>
      </c>
      <c r="B14772">
        <v>179972131.26866442</v>
      </c>
    </row>
    <row r="14773" spans="1:2" x14ac:dyDescent="0.25">
      <c r="A14773">
        <f ca="1">25861.3242483992*((RANDBETWEEN(2979,3282)))</f>
        <v>84851004.858997852</v>
      </c>
      <c r="B14773">
        <v>143683215.35552341</v>
      </c>
    </row>
    <row r="14774" spans="1:2" x14ac:dyDescent="0.25">
      <c r="A14774">
        <f ca="1">26079.7737702698*((RANDBETWEEN(2979,3282)))</f>
        <v>82959760.363228187</v>
      </c>
      <c r="B14774">
        <v>169815275.11084205</v>
      </c>
    </row>
    <row r="14775" spans="1:2" x14ac:dyDescent="0.25">
      <c r="A14775">
        <f ca="1">28000.3773433348*((RANDBETWEEN(2979,3282)))</f>
        <v>88985199.197117969</v>
      </c>
      <c r="B14775">
        <v>165090721.51863295</v>
      </c>
    </row>
    <row r="14776" spans="1:2" x14ac:dyDescent="0.25">
      <c r="A14776">
        <f ca="1">26875.6340099826*((RANDBETWEEN(2979,3282)))</f>
        <v>84631371.497435331</v>
      </c>
      <c r="B14776">
        <v>167937026.69532377</v>
      </c>
    </row>
    <row r="14777" spans="1:2" x14ac:dyDescent="0.25">
      <c r="A14777">
        <f ca="1">30357.5327683633*((RANDBETWEEN(2979,3282)))</f>
        <v>94411926.909609929</v>
      </c>
      <c r="B14777">
        <v>191744518.73139244</v>
      </c>
    </row>
    <row r="14778" spans="1:2" x14ac:dyDescent="0.25">
      <c r="A14778">
        <f ca="1">28983.0181140358*((RANDBETWEEN(2979,3282)))</f>
        <v>94832435.269124985</v>
      </c>
      <c r="B14778">
        <v>188331078.69778726</v>
      </c>
    </row>
    <row r="14779" spans="1:2" x14ac:dyDescent="0.25">
      <c r="A14779">
        <f ca="1">32401.9652104187*((RANDBETWEEN(2979,3282)))</f>
        <v>102293004.16929169</v>
      </c>
      <c r="B14779">
        <v>197640836.50396508</v>
      </c>
    </row>
    <row r="14780" spans="1:2" x14ac:dyDescent="0.25">
      <c r="A14780">
        <f ca="1">27588.0502932127*((RANDBETWEEN(2979,3282)))</f>
        <v>87785176.033002794</v>
      </c>
      <c r="B14780">
        <v>144177877.2706697</v>
      </c>
    </row>
    <row r="14781" spans="1:2" x14ac:dyDescent="0.25">
      <c r="A14781">
        <f ca="1">29117.7967330861*((RANDBETWEEN(2979,3282)))</f>
        <v>93118713.952409431</v>
      </c>
      <c r="B14781">
        <v>195630704.77140424</v>
      </c>
    </row>
    <row r="14782" spans="1:2" x14ac:dyDescent="0.25">
      <c r="A14782">
        <f ca="1">29629.3710719335*((RANDBETWEEN(2979,3282)))</f>
        <v>94636211.203755662</v>
      </c>
      <c r="B14782">
        <v>201665634.1519289</v>
      </c>
    </row>
    <row r="14783" spans="1:2" x14ac:dyDescent="0.25">
      <c r="A14783">
        <f ca="1">26415.079542291*((RANDBETWEEN(2979,3282)))</f>
        <v>84607499.773957938</v>
      </c>
      <c r="B14783">
        <v>189813927.61984333</v>
      </c>
    </row>
    <row r="14784" spans="1:2" x14ac:dyDescent="0.25">
      <c r="A14784">
        <f ca="1">25827.5758198682*((RANDBETWEEN(2979,3282)))</f>
        <v>83087311.412516057</v>
      </c>
      <c r="B14784">
        <v>143948523.09092605</v>
      </c>
    </row>
    <row r="14785" spans="1:2" x14ac:dyDescent="0.25">
      <c r="A14785">
        <f ca="1">29517.2794418778*((RANDBETWEEN(2979,3282)))</f>
        <v>91562600.828705043</v>
      </c>
      <c r="B14785">
        <v>175043534.18364087</v>
      </c>
    </row>
    <row r="14786" spans="1:2" x14ac:dyDescent="0.25">
      <c r="A14786">
        <f ca="1">29719.617192402*((RANDBETWEEN(2979,3282)))</f>
        <v>95132494.632878795</v>
      </c>
      <c r="B14786">
        <v>144431876.45920575</v>
      </c>
    </row>
    <row r="14787" spans="1:2" x14ac:dyDescent="0.25">
      <c r="A14787">
        <f ca="1">30588.0847920863*((RANDBETWEEN(2979,3282)))</f>
        <v>98401868.776141748</v>
      </c>
      <c r="B14787">
        <v>149936580.7488755</v>
      </c>
    </row>
    <row r="14788" spans="1:2" x14ac:dyDescent="0.25">
      <c r="A14788">
        <f ca="1">30301.40135044*((RANDBETWEEN(2979,3282)))</f>
        <v>96297853.49169822</v>
      </c>
      <c r="B14788">
        <v>184090184.43364385</v>
      </c>
    </row>
    <row r="14789" spans="1:2" x14ac:dyDescent="0.25">
      <c r="A14789">
        <f ca="1">26967.9828384906*((RANDBETWEEN(2979,3282)))</f>
        <v>82063571.777527019</v>
      </c>
      <c r="B14789">
        <v>157503791.68071312</v>
      </c>
    </row>
    <row r="14790" spans="1:2" x14ac:dyDescent="0.25">
      <c r="A14790">
        <f ca="1">29011.9846378197*((RANDBETWEEN(2979,3282)))</f>
        <v>87993349.40650703</v>
      </c>
      <c r="B14790">
        <v>160795856.18130219</v>
      </c>
    </row>
    <row r="14791" spans="1:2" x14ac:dyDescent="0.25">
      <c r="A14791">
        <f ca="1">25405.4373943212*((RANDBETWEEN(2979,3282)))</f>
        <v>78680639.610212684</v>
      </c>
      <c r="B14791">
        <v>162864127.80854458</v>
      </c>
    </row>
    <row r="14792" spans="1:2" x14ac:dyDescent="0.25">
      <c r="A14792">
        <f ca="1">29841.5610035452*((RANDBETWEEN(2979,3282)))</f>
        <v>93135511.892064691</v>
      </c>
      <c r="B14792">
        <v>182909422.22843766</v>
      </c>
    </row>
    <row r="14793" spans="1:2" x14ac:dyDescent="0.25">
      <c r="A14793">
        <f ca="1">25600.3332858535*((RANDBETWEEN(2979,3282)))</f>
        <v>77645810.855993658</v>
      </c>
      <c r="B14793">
        <v>143873854.29363048</v>
      </c>
    </row>
    <row r="14794" spans="1:2" x14ac:dyDescent="0.25">
      <c r="A14794">
        <f ca="1">25764.528015176*((RANDBETWEEN(2979,3282)))</f>
        <v>82291902.480472282</v>
      </c>
      <c r="B14794">
        <v>158443531.1175189</v>
      </c>
    </row>
    <row r="14795" spans="1:2" x14ac:dyDescent="0.25">
      <c r="A14795">
        <f ca="1">27288.5868901396*((RANDBETWEEN(2979,3282)))</f>
        <v>89260967.717646778</v>
      </c>
      <c r="B14795">
        <v>184692858.57655457</v>
      </c>
    </row>
    <row r="14796" spans="1:2" x14ac:dyDescent="0.25">
      <c r="A14796">
        <f ca="1">25978.3300191282*((RANDBETWEEN(2979,3282)))</f>
        <v>84533485.88224332</v>
      </c>
      <c r="B14796">
        <v>152056018.63287386</v>
      </c>
    </row>
    <row r="14797" spans="1:2" x14ac:dyDescent="0.25">
      <c r="A14797">
        <f ca="1">27152.4709249078*((RANDBETWEEN(2979,3282)))</f>
        <v>88408445.331499845</v>
      </c>
      <c r="B14797">
        <v>146119163.00721177</v>
      </c>
    </row>
    <row r="14798" spans="1:2" x14ac:dyDescent="0.25">
      <c r="A14798">
        <f ca="1">25212.4332518624*((RANDBETWEEN(2979,3282)))</f>
        <v>82066470.2348122</v>
      </c>
      <c r="B14798">
        <v>153398442.58198574</v>
      </c>
    </row>
    <row r="14799" spans="1:2" x14ac:dyDescent="0.25">
      <c r="A14799">
        <f ca="1">29095.5716779581*((RANDBETWEEN(2979,3282)))</f>
        <v>93658645.231347218</v>
      </c>
      <c r="B14799">
        <v>189322967.55261344</v>
      </c>
    </row>
    <row r="14800" spans="1:2" x14ac:dyDescent="0.25">
      <c r="A14800">
        <f ca="1">28170.8497216834*((RANDBETWEEN(2979,3282)))</f>
        <v>90935502.901594162</v>
      </c>
      <c r="B14800">
        <v>151717326.29071122</v>
      </c>
    </row>
    <row r="14801" spans="1:2" x14ac:dyDescent="0.25">
      <c r="A14801">
        <f ca="1">33012.5395437118*((RANDBETWEEN(2979,3282)))</f>
        <v>101381508.938739</v>
      </c>
      <c r="B14801">
        <v>171157802.50319117</v>
      </c>
    </row>
    <row r="14802" spans="1:2" x14ac:dyDescent="0.25">
      <c r="A14802">
        <f ca="1">30899.1094899867*((RANDBETWEEN(2979,3282)))</f>
        <v>101194583.57970653</v>
      </c>
      <c r="B14802">
        <v>187153739.82922256</v>
      </c>
    </row>
    <row r="14803" spans="1:2" x14ac:dyDescent="0.25">
      <c r="A14803">
        <f ca="1">26999.8836316183*((RANDBETWEEN(2979,3282)))</f>
        <v>82538644.261857212</v>
      </c>
      <c r="B14803">
        <v>153820889.88694489</v>
      </c>
    </row>
    <row r="14804" spans="1:2" x14ac:dyDescent="0.25">
      <c r="A14804">
        <f ca="1">30340.1850060854*((RANDBETWEEN(2979,3282)))</f>
        <v>98059477.939668134</v>
      </c>
      <c r="B14804">
        <v>195383312.03496385</v>
      </c>
    </row>
    <row r="14805" spans="1:2" x14ac:dyDescent="0.25">
      <c r="A14805">
        <f ca="1">31446.2869422439*((RANDBETWEEN(2979,3282)))</f>
        <v>96917456.355995804</v>
      </c>
      <c r="B14805">
        <v>163704999.52279636</v>
      </c>
    </row>
    <row r="14806" spans="1:2" x14ac:dyDescent="0.25">
      <c r="A14806">
        <f ca="1">27750.8751604814*((RANDBETWEEN(2979,3282)))</f>
        <v>82947365.854679003</v>
      </c>
      <c r="B14806">
        <v>162212514.32266051</v>
      </c>
    </row>
    <row r="14807" spans="1:2" x14ac:dyDescent="0.25">
      <c r="A14807">
        <f ca="1">28013.4910351822*((RANDBETWEEN(2979,3282)))</f>
        <v>87542159.484944567</v>
      </c>
      <c r="B14807">
        <v>171613137.17039648</v>
      </c>
    </row>
    <row r="14808" spans="1:2" x14ac:dyDescent="0.25">
      <c r="A14808">
        <f ca="1">28789.7498932949*((RANDBETWEEN(2979,3282)))</f>
        <v>92184779.158330411</v>
      </c>
      <c r="B14808">
        <v>200436766.75013572</v>
      </c>
    </row>
    <row r="14809" spans="1:2" x14ac:dyDescent="0.25">
      <c r="A14809">
        <f ca="1">29798.4740007213*((RANDBETWEEN(2979,3282)))</f>
        <v>93060634.304252684</v>
      </c>
      <c r="B14809">
        <v>180077548.57986298</v>
      </c>
    </row>
    <row r="14810" spans="1:2" x14ac:dyDescent="0.25">
      <c r="A14810">
        <f ca="1">31976.0676595211*((RANDBETWEEN(2979,3282)))</f>
        <v>97175269.617284566</v>
      </c>
      <c r="B14810">
        <v>185966411.65148199</v>
      </c>
    </row>
    <row r="14811" spans="1:2" x14ac:dyDescent="0.25">
      <c r="A14811">
        <f ca="1">32054.027606122*((RANDBETWEEN(2979,3282)))</f>
        <v>103726833.33341074</v>
      </c>
      <c r="B14811">
        <v>180755548.91902581</v>
      </c>
    </row>
    <row r="14812" spans="1:2" x14ac:dyDescent="0.25">
      <c r="A14812">
        <f ca="1">27460.1009744192*((RANDBETWEEN(2979,3282)))</f>
        <v>82490143.327155262</v>
      </c>
      <c r="B14812">
        <v>175699756.40238044</v>
      </c>
    </row>
    <row r="14813" spans="1:2" x14ac:dyDescent="0.25">
      <c r="A14813">
        <f ca="1">28111.5919626586*((RANDBETWEEN(2979,3282)))</f>
        <v>92065463.677706778</v>
      </c>
      <c r="B14813">
        <v>151956253.40789533</v>
      </c>
    </row>
    <row r="14814" spans="1:2" x14ac:dyDescent="0.25">
      <c r="A14814">
        <f ca="1">29742.2393224963*((RANDBETWEEN(2979,3282)))</f>
        <v>91130221.2841288</v>
      </c>
      <c r="B14814">
        <v>170064804.12426412</v>
      </c>
    </row>
    <row r="14815" spans="1:2" x14ac:dyDescent="0.25">
      <c r="A14815">
        <f ca="1">30466.9181959069*((RANDBETWEEN(2979,3282)))</f>
        <v>92223361.379010066</v>
      </c>
      <c r="B14815">
        <v>171532940.98235434</v>
      </c>
    </row>
    <row r="14816" spans="1:2" x14ac:dyDescent="0.25">
      <c r="A14816">
        <f ca="1">29884.8159291909*((RANDBETWEEN(2979,3282)))</f>
        <v>94944060.207039654</v>
      </c>
      <c r="B14816">
        <v>158615633.82871532</v>
      </c>
    </row>
    <row r="14817" spans="1:2" x14ac:dyDescent="0.25">
      <c r="A14817">
        <f ca="1">27731.5114323853*((RANDBETWEEN(2979,3282)))</f>
        <v>84664304.403072193</v>
      </c>
      <c r="B14817">
        <v>193587067.96820092</v>
      </c>
    </row>
    <row r="14818" spans="1:2" x14ac:dyDescent="0.25">
      <c r="A14818">
        <f ca="1">26539.1783352305*((RANDBETWEEN(2979,3282)))</f>
        <v>84023038.609339669</v>
      </c>
      <c r="B14818">
        <v>153938434.56105715</v>
      </c>
    </row>
    <row r="14819" spans="1:2" x14ac:dyDescent="0.25">
      <c r="A14819">
        <f ca="1">27549.8709722423*((RANDBETWEEN(2979,3282)))</f>
        <v>88297336.466036662</v>
      </c>
      <c r="B14819">
        <v>176766654.82667458</v>
      </c>
    </row>
    <row r="14820" spans="1:2" x14ac:dyDescent="0.25">
      <c r="A14820">
        <f ca="1">27229.4424970982*((RANDBETWEEN(2979,3282)))</f>
        <v>83539929.581097171</v>
      </c>
      <c r="B14820">
        <v>179002548.21995065</v>
      </c>
    </row>
    <row r="14821" spans="1:2" x14ac:dyDescent="0.25">
      <c r="A14821">
        <f ca="1">26144.2456032666*((RANDBETWEEN(2979,3282)))</f>
        <v>85622404.350698173</v>
      </c>
      <c r="B14821">
        <v>151174013.06019187</v>
      </c>
    </row>
    <row r="14822" spans="1:2" x14ac:dyDescent="0.25">
      <c r="A14822">
        <f ca="1">26845.5647004119*((RANDBETWEEN(2979,3282)))</f>
        <v>80912532.007041469</v>
      </c>
      <c r="B14822">
        <v>157441538.45935145</v>
      </c>
    </row>
    <row r="14823" spans="1:2" x14ac:dyDescent="0.25">
      <c r="A14823">
        <f ca="1">28663.8594399285*((RANDBETWEEN(2979,3282)))</f>
        <v>86335544.633064672</v>
      </c>
      <c r="B14823">
        <v>188592446.62827754</v>
      </c>
    </row>
    <row r="14824" spans="1:2" x14ac:dyDescent="0.25">
      <c r="A14824">
        <f ca="1">28053.6443615357*((RANDBETWEEN(2979,3282)))</f>
        <v>89547232.802021936</v>
      </c>
      <c r="B14824">
        <v>175548321.50803894</v>
      </c>
    </row>
    <row r="14825" spans="1:2" x14ac:dyDescent="0.25">
      <c r="A14825">
        <f ca="1">30636.5492894229*((RANDBETWEEN(2979,3282)))</f>
        <v>93073836.741266757</v>
      </c>
      <c r="B14825">
        <v>174133977.29257327</v>
      </c>
    </row>
    <row r="14826" spans="1:2" x14ac:dyDescent="0.25">
      <c r="A14826">
        <f ca="1">30633.3739623989*((RANDBETWEEN(2979,3282)))</f>
        <v>92788489.732106134</v>
      </c>
      <c r="B14826">
        <v>166439058.07544625</v>
      </c>
    </row>
    <row r="14827" spans="1:2" x14ac:dyDescent="0.25">
      <c r="A14827">
        <f ca="1">26871.4354932124*((RANDBETWEEN(2979,3282)))</f>
        <v>81044249.44752866</v>
      </c>
      <c r="B14827">
        <v>149284244.73459041</v>
      </c>
    </row>
    <row r="14828" spans="1:2" x14ac:dyDescent="0.25">
      <c r="A14828">
        <f ca="1">24734.9661818*((RANDBETWEEN(2979,3282)))</f>
        <v>74501718.13958174</v>
      </c>
      <c r="B14828">
        <v>158304545.83349857</v>
      </c>
    </row>
    <row r="14829" spans="1:2" x14ac:dyDescent="0.25">
      <c r="A14829">
        <f ca="1">32671.1305116779*((RANDBETWEEN(2979,3282)))</f>
        <v>106017818.5103948</v>
      </c>
      <c r="B14829">
        <v>192917995.8467406</v>
      </c>
    </row>
    <row r="14830" spans="1:2" x14ac:dyDescent="0.25">
      <c r="A14830">
        <f ca="1">30488.159789149*((RANDBETWEEN(2979,3282)))</f>
        <v>97684063.964433536</v>
      </c>
      <c r="B14830">
        <v>153788292.8807838</v>
      </c>
    </row>
    <row r="14831" spans="1:2" x14ac:dyDescent="0.25">
      <c r="A14831">
        <f ca="1">33245.629368445*((RANDBETWEEN(2979,3282)))</f>
        <v>105787592.65039197</v>
      </c>
      <c r="B14831">
        <v>146725476.24137497</v>
      </c>
    </row>
    <row r="14832" spans="1:2" x14ac:dyDescent="0.25">
      <c r="A14832">
        <f ca="1">26022.3354738226*((RANDBETWEEN(2979,3282)))</f>
        <v>81918312.071593463</v>
      </c>
      <c r="B14832">
        <v>143405188.80457771</v>
      </c>
    </row>
    <row r="14833" spans="1:2" x14ac:dyDescent="0.25">
      <c r="A14833">
        <f ca="1">30833.5224033772*((RANDBETWEEN(2979,3282)))</f>
        <v>91945563.806870759</v>
      </c>
      <c r="B14833">
        <v>201397485.53423208</v>
      </c>
    </row>
    <row r="14834" spans="1:2" x14ac:dyDescent="0.25">
      <c r="A14834">
        <f ca="1">26617.9199971633*((RANDBETWEEN(2979,3282)))</f>
        <v>83101146.231143922</v>
      </c>
      <c r="B14834">
        <v>170558738.1159392</v>
      </c>
    </row>
    <row r="14835" spans="1:2" x14ac:dyDescent="0.25">
      <c r="A14835">
        <f ca="1">27357.9933402002*((RANDBETWEEN(2979,3282)))</f>
        <v>84180545.507796049</v>
      </c>
      <c r="B14835">
        <v>170412984.13201562</v>
      </c>
    </row>
    <row r="14836" spans="1:2" x14ac:dyDescent="0.25">
      <c r="A14836">
        <f ca="1">25765.950067648*((RANDBETWEEN(2979,3282)))</f>
        <v>82116082.865594178</v>
      </c>
      <c r="B14836">
        <v>143198951.72456142</v>
      </c>
    </row>
    <row r="14837" spans="1:2" x14ac:dyDescent="0.25">
      <c r="A14837">
        <f ca="1">29980.8405659541*((RANDBETWEEN(2979,3282)))</f>
        <v>94619532.826151088</v>
      </c>
      <c r="B14837">
        <v>197022545.03723747</v>
      </c>
    </row>
    <row r="14838" spans="1:2" x14ac:dyDescent="0.25">
      <c r="A14838">
        <f ca="1">28873.8034127978*((RANDBETWEEN(2979,3282)))</f>
        <v>86043934.170137584</v>
      </c>
      <c r="B14838">
        <v>193471562.78365037</v>
      </c>
    </row>
    <row r="14839" spans="1:2" x14ac:dyDescent="0.25">
      <c r="A14839">
        <f ca="1">28169.4140070828*((RANDBETWEEN(2979,3282)))</f>
        <v>90677343.68879962</v>
      </c>
      <c r="B14839">
        <v>174382334.13117066</v>
      </c>
    </row>
    <row r="14840" spans="1:2" x14ac:dyDescent="0.25">
      <c r="A14840">
        <f ca="1">26478.2349803825*((RANDBETWEEN(2979,3282)))</f>
        <v>78905140.241539836</v>
      </c>
      <c r="B14840">
        <v>164835678.28318429</v>
      </c>
    </row>
    <row r="14841" spans="1:2" x14ac:dyDescent="0.25">
      <c r="A14841">
        <f ca="1">27363.7511556138*((RANDBETWEEN(2979,3282)))</f>
        <v>81680797.199507087</v>
      </c>
      <c r="B14841">
        <v>149415054.62301728</v>
      </c>
    </row>
    <row r="14842" spans="1:2" x14ac:dyDescent="0.25">
      <c r="A14842">
        <f ca="1">29433.8353594384*((RANDBETWEEN(2979,3282)))</f>
        <v>93422993.430857524</v>
      </c>
      <c r="B14842">
        <v>166539949.99252748</v>
      </c>
    </row>
    <row r="14843" spans="1:2" x14ac:dyDescent="0.25">
      <c r="A14843">
        <f ca="1">26738.451811078*((RANDBETWEEN(2979,3282)))</f>
        <v>81204678.150243953</v>
      </c>
      <c r="B14843">
        <v>165056686.44016069</v>
      </c>
    </row>
    <row r="14844" spans="1:2" x14ac:dyDescent="0.25">
      <c r="A14844">
        <f ca="1">29126.3958880165*((RANDBETWEEN(2979,3282)))</f>
        <v>89330656.188546747</v>
      </c>
      <c r="B14844">
        <v>202774785.78368759</v>
      </c>
    </row>
    <row r="14845" spans="1:2" x14ac:dyDescent="0.25">
      <c r="A14845">
        <f ca="1">26419.9678411266*((RANDBETWEEN(2979,3282)))</f>
        <v>85125136.384109989</v>
      </c>
      <c r="B14845">
        <v>145060751.82101643</v>
      </c>
    </row>
    <row r="14846" spans="1:2" x14ac:dyDescent="0.25">
      <c r="A14846">
        <f ca="1">27599.9678644397*((RANDBETWEEN(2979,3282)))</f>
        <v>84290301.857998803</v>
      </c>
      <c r="B14846">
        <v>160881694.39259133</v>
      </c>
    </row>
    <row r="14847" spans="1:2" x14ac:dyDescent="0.25">
      <c r="A14847">
        <f ca="1">26503.8231239575*((RANDBETWEEN(2979,3282)))</f>
        <v>82585912.854251608</v>
      </c>
      <c r="B14847">
        <v>167933979.62053138</v>
      </c>
    </row>
    <row r="14848" spans="1:2" x14ac:dyDescent="0.25">
      <c r="A14848">
        <f ca="1">27039.1465837727*((RANDBETWEEN(2979,3282)))</f>
        <v>83442806.357522547</v>
      </c>
      <c r="B14848">
        <v>173754142.10798982</v>
      </c>
    </row>
    <row r="14849" spans="1:2" x14ac:dyDescent="0.25">
      <c r="A14849">
        <f ca="1">26150.9254766985*((RANDBETWEEN(2979,3282)))</f>
        <v>78191267.175328553</v>
      </c>
      <c r="B14849">
        <v>164187014.04249784</v>
      </c>
    </row>
    <row r="14850" spans="1:2" x14ac:dyDescent="0.25">
      <c r="A14850">
        <f ca="1">27170.4327830849*((RANDBETWEEN(2979,3282)))</f>
        <v>81674320.94595322</v>
      </c>
      <c r="B14850">
        <v>159313287.47597808</v>
      </c>
    </row>
    <row r="14851" spans="1:2" x14ac:dyDescent="0.25">
      <c r="A14851">
        <f ca="1">29792.4781195129*((RANDBETWEEN(2979,3282)))</f>
        <v>89854114.008451015</v>
      </c>
      <c r="B14851">
        <v>159089967.23433849</v>
      </c>
    </row>
    <row r="14852" spans="1:2" x14ac:dyDescent="0.25">
      <c r="A14852">
        <f ca="1">31591.3474285289*((RANDBETWEEN(2979,3282)))</f>
        <v>99891840.56900838</v>
      </c>
      <c r="B14852">
        <v>182091268.38001218</v>
      </c>
    </row>
    <row r="14853" spans="1:2" x14ac:dyDescent="0.25">
      <c r="A14853">
        <f ca="1">28121.4322590112*((RANDBETWEEN(2979,3282)))</f>
        <v>91422776.274045452</v>
      </c>
      <c r="B14853">
        <v>150591151.14365315</v>
      </c>
    </row>
    <row r="14854" spans="1:2" x14ac:dyDescent="0.25">
      <c r="A14854">
        <f ca="1">29461.0845160204*((RANDBETWEEN(2979,3282)))</f>
        <v>88471636.801609397</v>
      </c>
      <c r="B14854">
        <v>203501862.16204721</v>
      </c>
    </row>
    <row r="14855" spans="1:2" x14ac:dyDescent="0.25">
      <c r="A14855">
        <f ca="1">27068.3206720016*((RANDBETWEEN(2979,3282)))</f>
        <v>80961347.129956648</v>
      </c>
      <c r="B14855">
        <v>193740334.50783178</v>
      </c>
    </row>
    <row r="14856" spans="1:2" x14ac:dyDescent="0.25">
      <c r="A14856">
        <f ca="1">29765.7758143605*((RANDBETWEEN(2979,3282)))</f>
        <v>94327743.555708468</v>
      </c>
      <c r="B14856">
        <v>152495322.28908357</v>
      </c>
    </row>
    <row r="14857" spans="1:2" x14ac:dyDescent="0.25">
      <c r="A14857">
        <f ca="1">31301.7126998614*((RANDBETWEEN(2979,3282)))</f>
        <v>102669617.65554535</v>
      </c>
      <c r="B14857">
        <v>184966688.11351117</v>
      </c>
    </row>
    <row r="14858" spans="1:2" x14ac:dyDescent="0.25">
      <c r="A14858">
        <f ca="1">28055.812954607*((RANDBETWEEN(2979,3282)))</f>
        <v>89722489.828833237</v>
      </c>
      <c r="B14858">
        <v>190427620.65964356</v>
      </c>
    </row>
    <row r="14859" spans="1:2" x14ac:dyDescent="0.25">
      <c r="A14859">
        <f ca="1">24897.1756536415*((RANDBETWEEN(2979,3282)))</f>
        <v>81289278.509139389</v>
      </c>
      <c r="B14859">
        <v>179055623.48802927</v>
      </c>
    </row>
    <row r="14860" spans="1:2" x14ac:dyDescent="0.25">
      <c r="A14860">
        <f ca="1">27472.6060043031*((RANDBETWEEN(2979,3282)))</f>
        <v>84835407.341288015</v>
      </c>
      <c r="B14860">
        <v>155417248.72504252</v>
      </c>
    </row>
    <row r="14861" spans="1:2" x14ac:dyDescent="0.25">
      <c r="A14861">
        <f ca="1">27550.7779717331*((RANDBETWEEN(2979,3282)))</f>
        <v>87886981.729828537</v>
      </c>
      <c r="B14861">
        <v>154528095.41017923</v>
      </c>
    </row>
    <row r="14862" spans="1:2" x14ac:dyDescent="0.25">
      <c r="A14862">
        <f ca="1">26258.6556474041*((RANDBETWEEN(2979,3282)))</f>
        <v>82058298.898137853</v>
      </c>
      <c r="B14862">
        <v>148736886.07628459</v>
      </c>
    </row>
    <row r="14863" spans="1:2" x14ac:dyDescent="0.25">
      <c r="A14863">
        <f ca="1">30628.723541564*((RANDBETWEEN(2979,3282)))</f>
        <v>98073172.780087873</v>
      </c>
      <c r="B14863">
        <v>151110173.56829986</v>
      </c>
    </row>
    <row r="14864" spans="1:2" x14ac:dyDescent="0.25">
      <c r="A14864">
        <f ca="1">29142.1264812937*((RANDBETWEEN(2979,3282)))</f>
        <v>88446353.870726377</v>
      </c>
      <c r="B14864">
        <v>165048137.07787341</v>
      </c>
    </row>
    <row r="14865" spans="1:2" x14ac:dyDescent="0.25">
      <c r="A14865">
        <f ca="1">26562.9763989588*((RANDBETWEEN(2979,3282)))</f>
        <v>83992131.373507604</v>
      </c>
      <c r="B14865">
        <v>157667906.8764846</v>
      </c>
    </row>
    <row r="14866" spans="1:2" x14ac:dyDescent="0.25">
      <c r="A14866">
        <f ca="1">25798.7239648211*((RANDBETWEEN(2979,3282)))</f>
        <v>84310229.917035431</v>
      </c>
      <c r="B14866">
        <v>148142125.74350536</v>
      </c>
    </row>
    <row r="14867" spans="1:2" x14ac:dyDescent="0.25">
      <c r="A14867">
        <f ca="1">29299.5767582769*((RANDBETWEEN(2979,3282)))</f>
        <v>88191726.042413488</v>
      </c>
      <c r="B14867">
        <v>164460449.30162871</v>
      </c>
    </row>
    <row r="14868" spans="1:2" x14ac:dyDescent="0.25">
      <c r="A14868">
        <f ca="1">29525.0874044477*((RANDBETWEEN(2979,3282)))</f>
        <v>95513657.75338839</v>
      </c>
      <c r="B14868">
        <v>156837296.95906284</v>
      </c>
    </row>
    <row r="14869" spans="1:2" x14ac:dyDescent="0.25">
      <c r="A14869">
        <f ca="1">27837.2889946203*((RANDBETWEEN(2979,3282)))</f>
        <v>88244206.112946406</v>
      </c>
      <c r="B14869">
        <v>171779171.44548917</v>
      </c>
    </row>
    <row r="14870" spans="1:2" x14ac:dyDescent="0.25">
      <c r="A14870">
        <f ca="1">27315.7834451035*((RANDBETWEEN(2979,3282)))</f>
        <v>85034033.86460714</v>
      </c>
      <c r="B14870">
        <v>172029190.62394714</v>
      </c>
    </row>
    <row r="14871" spans="1:2" x14ac:dyDescent="0.25">
      <c r="A14871">
        <f ca="1">27194.9490775702*((RANDBETWEEN(2979,3282)))</f>
        <v>81965576.519796684</v>
      </c>
      <c r="B14871">
        <v>145946477.3451972</v>
      </c>
    </row>
    <row r="14872" spans="1:2" x14ac:dyDescent="0.25">
      <c r="A14872">
        <f ca="1">28345.9741047016*((RANDBETWEEN(2979,3282)))</f>
        <v>90650425.186835691</v>
      </c>
      <c r="B14872">
        <v>189823668.19674465</v>
      </c>
    </row>
    <row r="14873" spans="1:2" x14ac:dyDescent="0.25">
      <c r="A14873">
        <f ca="1">27528.6003131305*((RANDBETWEEN(2979,3282)))</f>
        <v>89082550.613290161</v>
      </c>
      <c r="B14873">
        <v>183347996.09208679</v>
      </c>
    </row>
    <row r="14874" spans="1:2" x14ac:dyDescent="0.25">
      <c r="A14874">
        <f ca="1">26381.5644691402*((RANDBETWEEN(2979,3282)))</f>
        <v>79461272.181050181</v>
      </c>
      <c r="B14874">
        <v>168271136.17209893</v>
      </c>
    </row>
    <row r="14875" spans="1:2" x14ac:dyDescent="0.25">
      <c r="A14875">
        <f ca="1">27084.7295768818*((RANDBETWEEN(2979,3282)))</f>
        <v>86698219.375598669</v>
      </c>
      <c r="B14875">
        <v>151272116.94267273</v>
      </c>
    </row>
    <row r="14876" spans="1:2" x14ac:dyDescent="0.25">
      <c r="A14876">
        <f ca="1">28658.8027715765*((RANDBETWEEN(2979,3282)))</f>
        <v>86635560.778475672</v>
      </c>
      <c r="B14876">
        <v>147302947.27579647</v>
      </c>
    </row>
    <row r="14877" spans="1:2" x14ac:dyDescent="0.25">
      <c r="A14877">
        <f ca="1">27952.8342027031*((RANDBETWEEN(2979,3282)))</f>
        <v>89504975.117055312</v>
      </c>
      <c r="B14877">
        <v>147303813.23094347</v>
      </c>
    </row>
    <row r="14878" spans="1:2" x14ac:dyDescent="0.25">
      <c r="A14878">
        <f ca="1">27688.1320717663*((RANDBETWEEN(2979,3282)))</f>
        <v>87854443.063714549</v>
      </c>
      <c r="B14878">
        <v>162138581.14268824</v>
      </c>
    </row>
    <row r="14879" spans="1:2" x14ac:dyDescent="0.25">
      <c r="A14879">
        <f ca="1">27340.7161964559*((RANDBETWEEN(2979,3282)))</f>
        <v>84400790.8984593</v>
      </c>
      <c r="B14879">
        <v>146970410.04862192</v>
      </c>
    </row>
    <row r="14880" spans="1:2" x14ac:dyDescent="0.25">
      <c r="A14880">
        <f ca="1">27653.410397055*((RANDBETWEEN(2979,3282)))</f>
        <v>90316038.356781662</v>
      </c>
      <c r="B14880">
        <v>169190561.3161211</v>
      </c>
    </row>
    <row r="14881" spans="1:2" x14ac:dyDescent="0.25">
      <c r="A14881">
        <f ca="1">26479.684832149*((RANDBETWEEN(2979,3282)))</f>
        <v>82378299.51281552</v>
      </c>
      <c r="B14881">
        <v>145126055.1758588</v>
      </c>
    </row>
    <row r="14882" spans="1:2" x14ac:dyDescent="0.25">
      <c r="A14882">
        <f ca="1">30038.9734172942*((RANDBETWEEN(2979,3282)))</f>
        <v>95343701.6264918</v>
      </c>
      <c r="B14882">
        <v>191965207.26793024</v>
      </c>
    </row>
    <row r="14883" spans="1:2" x14ac:dyDescent="0.25">
      <c r="A14883">
        <f ca="1">27517.1993988408*((RANDBETWEEN(2979,3282)))</f>
        <v>82716701.392915443</v>
      </c>
      <c r="B14883">
        <v>156276465.02198488</v>
      </c>
    </row>
    <row r="14884" spans="1:2" x14ac:dyDescent="0.25">
      <c r="A14884">
        <f ca="1">31524.3098467622*((RANDBETWEEN(2979,3282)))</f>
        <v>96558961.060632691</v>
      </c>
      <c r="B14884">
        <v>180575458.48083258</v>
      </c>
    </row>
    <row r="14885" spans="1:2" x14ac:dyDescent="0.25">
      <c r="A14885">
        <f ca="1">28363.0710022417*((RANDBETWEEN(2979,3282)))</f>
        <v>87641889.396926925</v>
      </c>
      <c r="B14885">
        <v>193038780.00487235</v>
      </c>
    </row>
    <row r="14886" spans="1:2" x14ac:dyDescent="0.25">
      <c r="A14886">
        <f ca="1">27513.2891199611*((RANDBETWEEN(2979,3282)))</f>
        <v>84245691.285320759</v>
      </c>
      <c r="B14886">
        <v>166775692.79602402</v>
      </c>
    </row>
    <row r="14887" spans="1:2" x14ac:dyDescent="0.25">
      <c r="A14887">
        <f ca="1">26318.4847996833*((RANDBETWEEN(2979,3282)))</f>
        <v>82166309.544611126</v>
      </c>
      <c r="B14887">
        <v>167453741.24415034</v>
      </c>
    </row>
    <row r="14888" spans="1:2" x14ac:dyDescent="0.25">
      <c r="A14888">
        <f ca="1">31526.4692363865*((RANDBETWEEN(2979,3282)))</f>
        <v>99245325.156144574</v>
      </c>
      <c r="B14888">
        <v>150662513.40215701</v>
      </c>
    </row>
    <row r="14889" spans="1:2" x14ac:dyDescent="0.25">
      <c r="A14889">
        <f ca="1">25707.5816271265*((RANDBETWEEN(2979,3282)))</f>
        <v>83832423.686059669</v>
      </c>
      <c r="B14889">
        <v>174491381.44027689</v>
      </c>
    </row>
    <row r="14890" spans="1:2" x14ac:dyDescent="0.25">
      <c r="A14890">
        <f ca="1">26262.0696840741*((RANDBETWEEN(2979,3282)))</f>
        <v>85483036.821661338</v>
      </c>
      <c r="B14890">
        <v>148494445.06612754</v>
      </c>
    </row>
    <row r="14891" spans="1:2" x14ac:dyDescent="0.25">
      <c r="A14891">
        <f ca="1">29213.2757814407*((RANDBETWEEN(2979,3282)))</f>
        <v>92722937.330292866</v>
      </c>
      <c r="B14891">
        <v>173879989.0264248</v>
      </c>
    </row>
    <row r="14892" spans="1:2" x14ac:dyDescent="0.25">
      <c r="A14892">
        <f ca="1">26261.2090929736*((RANDBETWEEN(2979,3282)))</f>
        <v>80726956.751800969</v>
      </c>
      <c r="B14892">
        <v>147146137.08705795</v>
      </c>
    </row>
    <row r="14893" spans="1:2" x14ac:dyDescent="0.25">
      <c r="A14893">
        <f ca="1">26656.5879645092*((RANDBETWEEN(2979,3282)))</f>
        <v>86260718.65315181</v>
      </c>
      <c r="B14893">
        <v>163587597.91194704</v>
      </c>
    </row>
    <row r="14894" spans="1:2" x14ac:dyDescent="0.25">
      <c r="A14894">
        <f ca="1">27374.7935572133*((RANDBETWEEN(2979,3282)))</f>
        <v>82589752.162112638</v>
      </c>
      <c r="B14894">
        <v>153706595.3255699</v>
      </c>
    </row>
    <row r="14895" spans="1:2" x14ac:dyDescent="0.25">
      <c r="A14895">
        <f ca="1">28002.4201827866*((RANDBETWEEN(2979,3282)))</f>
        <v>87395553.390477076</v>
      </c>
      <c r="B14895">
        <v>163643618.7002891</v>
      </c>
    </row>
    <row r="14896" spans="1:2" x14ac:dyDescent="0.25">
      <c r="A14896">
        <f ca="1">28544.0913065443*((RANDBETWEEN(2979,3282)))</f>
        <v>89942431.706920952</v>
      </c>
      <c r="B14896">
        <v>151093007.48756644</v>
      </c>
    </row>
    <row r="14897" spans="1:2" x14ac:dyDescent="0.25">
      <c r="A14897">
        <f ca="1">26906.6189000074*((RANDBETWEEN(2979,3282)))</f>
        <v>86208806.955623776</v>
      </c>
      <c r="B14897">
        <v>162179962.52500677</v>
      </c>
    </row>
    <row r="14898" spans="1:2" x14ac:dyDescent="0.25">
      <c r="A14898">
        <f ca="1">26394.1141111348*((RANDBETWEEN(2979,3282)))</f>
        <v>83220641.792407975</v>
      </c>
      <c r="B14898">
        <v>151530353.34249043</v>
      </c>
    </row>
    <row r="14899" spans="1:2" x14ac:dyDescent="0.25">
      <c r="A14899">
        <f ca="1">25782.6645288311*((RANDBETWEEN(2979,3282)))</f>
        <v>82169351.853384674</v>
      </c>
      <c r="B14899">
        <v>155919515.80211207</v>
      </c>
    </row>
    <row r="14900" spans="1:2" x14ac:dyDescent="0.25">
      <c r="A14900">
        <f ca="1">26421.857018881*((RANDBETWEEN(2979,3282)))</f>
        <v>84180036.462154835</v>
      </c>
      <c r="B14900">
        <v>151844931.51093709</v>
      </c>
    </row>
    <row r="14901" spans="1:2" x14ac:dyDescent="0.25">
      <c r="A14901">
        <f ca="1">30621.9015557077*((RANDBETWEEN(2979,3282)))</f>
        <v>93703018.760465533</v>
      </c>
      <c r="B14901">
        <v>202280482.4987205</v>
      </c>
    </row>
    <row r="14902" spans="1:2" x14ac:dyDescent="0.25">
      <c r="A14902">
        <f ca="1">28541.0375830816*((RANDBETWEEN(2979,3282)))</f>
        <v>86479343.876737401</v>
      </c>
      <c r="B14902">
        <v>181032221.28981414</v>
      </c>
    </row>
    <row r="14903" spans="1:2" x14ac:dyDescent="0.25">
      <c r="A14903">
        <f ca="1">25821.1940735763*((RANDBETWEEN(2979,3282)))</f>
        <v>83686489.992460817</v>
      </c>
      <c r="B14903">
        <v>144972544.97179383</v>
      </c>
    </row>
    <row r="14904" spans="1:2" x14ac:dyDescent="0.25">
      <c r="A14904">
        <f ca="1">27052.3032555167*((RANDBETWEEN(2979,3282)))</f>
        <v>82428368.019559249</v>
      </c>
      <c r="B14904">
        <v>195213247.16077417</v>
      </c>
    </row>
    <row r="14905" spans="1:2" x14ac:dyDescent="0.25">
      <c r="A14905">
        <f ca="1">27153.0580366654*((RANDBETWEEN(2979,3282)))</f>
        <v>87948754.980759293</v>
      </c>
      <c r="B14905">
        <v>146811421.53214496</v>
      </c>
    </row>
    <row r="14906" spans="1:2" x14ac:dyDescent="0.25">
      <c r="A14906">
        <f ca="1">27672.9154279698*((RANDBETWEEN(2979,3282)))</f>
        <v>87363394.006100506</v>
      </c>
      <c r="B14906">
        <v>168587104.54237568</v>
      </c>
    </row>
    <row r="14907" spans="1:2" x14ac:dyDescent="0.25">
      <c r="A14907">
        <f ca="1">29659.4376473475*((RANDBETWEEN(2979,3282)))</f>
        <v>92893358.711492226</v>
      </c>
      <c r="B14907">
        <v>189818058.27548268</v>
      </c>
    </row>
    <row r="14908" spans="1:2" x14ac:dyDescent="0.25">
      <c r="A14908">
        <f ca="1">26496.7691556723*((RANDBETWEEN(2979,3282)))</f>
        <v>84021254.992636904</v>
      </c>
      <c r="B14908">
        <v>186301049.4511342</v>
      </c>
    </row>
    <row r="14909" spans="1:2" x14ac:dyDescent="0.25">
      <c r="A14909">
        <f ca="1">29190.4162686068*((RANDBETWEEN(2979,3282)))</f>
        <v>87804772.135969117</v>
      </c>
      <c r="B14909">
        <v>188814203.5540055</v>
      </c>
    </row>
    <row r="14910" spans="1:2" x14ac:dyDescent="0.25">
      <c r="A14910">
        <f ca="1">32541.4831448698*((RANDBETWEEN(2979,3282)))</f>
        <v>101561968.89513873</v>
      </c>
      <c r="B14910">
        <v>198148575.32248971</v>
      </c>
    </row>
    <row r="14911" spans="1:2" x14ac:dyDescent="0.25">
      <c r="A14911">
        <f ca="1">27083.1429725902*((RANDBETWEEN(2979,3282)))</f>
        <v>87072304.656877652</v>
      </c>
      <c r="B14911">
        <v>144594438.93201375</v>
      </c>
    </row>
    <row r="14912" spans="1:2" x14ac:dyDescent="0.25">
      <c r="A14912">
        <f ca="1">27365.5187759635*((RANDBETWEEN(2979,3282)))</f>
        <v>82370211.515649989</v>
      </c>
      <c r="B14912">
        <v>143535102.51932675</v>
      </c>
    </row>
    <row r="14913" spans="1:2" x14ac:dyDescent="0.25">
      <c r="A14913">
        <f ca="1">26090.1372476495*((RANDBETWEEN(2979,3282)))</f>
        <v>77931239.958729014</v>
      </c>
      <c r="B14913">
        <v>147070807.65113536</v>
      </c>
    </row>
    <row r="14914" spans="1:2" x14ac:dyDescent="0.25">
      <c r="A14914">
        <f ca="1">28558.9426634419*((RANDBETWEEN(2979,3282)))</f>
        <v>93330624.624128267</v>
      </c>
      <c r="B14914">
        <v>148349147.92244256</v>
      </c>
    </row>
    <row r="14915" spans="1:2" x14ac:dyDescent="0.25">
      <c r="A14915">
        <f ca="1">26625.1752739214*((RANDBETWEEN(2979,3282)))</f>
        <v>83469924.483743623</v>
      </c>
      <c r="B14915">
        <v>144990638.01461697</v>
      </c>
    </row>
    <row r="14916" spans="1:2" x14ac:dyDescent="0.25">
      <c r="A14916">
        <f ca="1">28794.4050654913*((RANDBETWEEN(2979,3282)))</f>
        <v>91076703.222148836</v>
      </c>
      <c r="B14916">
        <v>152553135.82828796</v>
      </c>
    </row>
    <row r="14917" spans="1:2" x14ac:dyDescent="0.25">
      <c r="A14917">
        <f ca="1">26039.9926603891*((RANDBETWEEN(2979,3282)))</f>
        <v>77573138.135299101</v>
      </c>
      <c r="B14917">
        <v>191378080.67229515</v>
      </c>
    </row>
    <row r="14918" spans="1:2" x14ac:dyDescent="0.25">
      <c r="A14918">
        <f ca="1">30893.4556653194*((RANDBETWEEN(2979,3282)))</f>
        <v>101361428.03791283</v>
      </c>
      <c r="B14918">
        <v>179941366.48346332</v>
      </c>
    </row>
    <row r="14919" spans="1:2" x14ac:dyDescent="0.25">
      <c r="A14919">
        <f ca="1">26431.8394083603*((RANDBETWEEN(2979,3282)))</f>
        <v>81727247.450649977</v>
      </c>
      <c r="B14919">
        <v>156833244.09287226</v>
      </c>
    </row>
    <row r="14920" spans="1:2" x14ac:dyDescent="0.25">
      <c r="A14920">
        <f ca="1">25416.7721327627*((RANDBETWEEN(2979,3282)))</f>
        <v>79783247.724741995</v>
      </c>
      <c r="B14920">
        <v>153889381.91277716</v>
      </c>
    </row>
    <row r="14921" spans="1:2" x14ac:dyDescent="0.25">
      <c r="A14921">
        <f ca="1">27213.5301144739*((RANDBETWEEN(2979,3282)))</f>
        <v>85096708.66795975</v>
      </c>
      <c r="B14921">
        <v>202062015.96701089</v>
      </c>
    </row>
    <row r="14922" spans="1:2" x14ac:dyDescent="0.25">
      <c r="A14922">
        <f ca="1">26811.355729179*((RANDBETWEEN(2979,3282)))</f>
        <v>81855069.041183367</v>
      </c>
      <c r="B14922">
        <v>183539102.47891414</v>
      </c>
    </row>
    <row r="14923" spans="1:2" x14ac:dyDescent="0.25">
      <c r="A14923">
        <f ca="1">27478.5661536652*((RANDBETWEEN(2979,3282)))</f>
        <v>82105955.66715157</v>
      </c>
      <c r="B14923">
        <v>149442840.29872188</v>
      </c>
    </row>
    <row r="14924" spans="1:2" x14ac:dyDescent="0.25">
      <c r="A14924">
        <f ca="1">28030.1184803526*((RANDBETWEEN(2979,3282)))</f>
        <v>85043379.469389677</v>
      </c>
      <c r="B14924">
        <v>157087641.32458284</v>
      </c>
    </row>
    <row r="14925" spans="1:2" x14ac:dyDescent="0.25">
      <c r="A14925">
        <f ca="1">26379.7348354945*((RANDBETWEEN(2979,3282)))</f>
        <v>81012165.679803729</v>
      </c>
      <c r="B14925">
        <v>153793711.16504425</v>
      </c>
    </row>
    <row r="14926" spans="1:2" x14ac:dyDescent="0.25">
      <c r="A14926">
        <f ca="1">29603.5206767833*((RANDBETWEEN(2979,3282)))</f>
        <v>89817081.733360618</v>
      </c>
      <c r="B14926">
        <v>153517990.39730021</v>
      </c>
    </row>
    <row r="14927" spans="1:2" x14ac:dyDescent="0.25">
      <c r="A14927">
        <f ca="1">26762.3346046784*((RANDBETWEEN(2979,3282)))</f>
        <v>79885568.794965148</v>
      </c>
      <c r="B14927">
        <v>172292767.31307968</v>
      </c>
    </row>
    <row r="14928" spans="1:2" x14ac:dyDescent="0.25">
      <c r="A14928">
        <f ca="1">30235.1020317706*((RANDBETWEEN(2979,3282)))</f>
        <v>98566432.623572037</v>
      </c>
      <c r="B14928">
        <v>186264697.73580512</v>
      </c>
    </row>
    <row r="14929" spans="1:2" x14ac:dyDescent="0.25">
      <c r="A14929">
        <f ca="1">26407.9618613701*((RANDBETWEEN(2979,3282)))</f>
        <v>80306612.020426556</v>
      </c>
      <c r="B14929">
        <v>155315519.7668789</v>
      </c>
    </row>
    <row r="14930" spans="1:2" x14ac:dyDescent="0.25">
      <c r="A14930">
        <f ca="1">27603.5041646049*((RANDBETWEEN(2979,3282)))</f>
        <v>88772869.393369392</v>
      </c>
      <c r="B14930">
        <v>143147257.61005503</v>
      </c>
    </row>
    <row r="14931" spans="1:2" x14ac:dyDescent="0.25">
      <c r="A14931">
        <f ca="1">26137.8885152147*((RANDBETWEEN(2979,3282)))</f>
        <v>79223940.089615688</v>
      </c>
      <c r="B14931">
        <v>147712669.32454821</v>
      </c>
    </row>
    <row r="14932" spans="1:2" x14ac:dyDescent="0.25">
      <c r="A14932">
        <f ca="1">27294.1016722588*((RANDBETWEEN(2979,3282)))</f>
        <v>84011244.947212502</v>
      </c>
      <c r="B14932">
        <v>143698774.25032836</v>
      </c>
    </row>
    <row r="14933" spans="1:2" x14ac:dyDescent="0.25">
      <c r="A14933">
        <f ca="1">26079.6315157081*((RANDBETWEEN(2979,3282)))</f>
        <v>82124759.642964676</v>
      </c>
      <c r="B14933">
        <v>162044107.03605336</v>
      </c>
    </row>
    <row r="14934" spans="1:2" x14ac:dyDescent="0.25">
      <c r="A14934">
        <f ca="1">29906.2768652327*((RANDBETWEEN(2979,3282)))</f>
        <v>93636552.865043506</v>
      </c>
      <c r="B14934">
        <v>196051503.64699703</v>
      </c>
    </row>
    <row r="14935" spans="1:2" x14ac:dyDescent="0.25">
      <c r="A14935">
        <f ca="1">29727.416034495*((RANDBETWEEN(2979,3282)))</f>
        <v>93879179.836935163</v>
      </c>
      <c r="B14935">
        <v>176556065.2537908</v>
      </c>
    </row>
    <row r="14936" spans="1:2" x14ac:dyDescent="0.25">
      <c r="A14936">
        <f ca="1">31921.1847249475*((RANDBETWEEN(2979,3282)))</f>
        <v>103935377.4644292</v>
      </c>
      <c r="B14936">
        <v>199232018.5017966</v>
      </c>
    </row>
    <row r="14937" spans="1:2" x14ac:dyDescent="0.25">
      <c r="A14937">
        <f ca="1">25951.7530368975*((RANDBETWEEN(2979,3282)))</f>
        <v>79723785.32934919</v>
      </c>
      <c r="B14937">
        <v>166152507.21751368</v>
      </c>
    </row>
    <row r="14938" spans="1:2" x14ac:dyDescent="0.25">
      <c r="A14938">
        <f ca="1">27522.4514552434*((RANDBETWEEN(2979,3282)))</f>
        <v>87246171.11312148</v>
      </c>
      <c r="B14938">
        <v>202347642.41736481</v>
      </c>
    </row>
    <row r="14939" spans="1:2" x14ac:dyDescent="0.25">
      <c r="A14939">
        <f ca="1">27400.6658691699*((RANDBETWEEN(2979,3282)))</f>
        <v>82804812.256631583</v>
      </c>
      <c r="B14939">
        <v>201460943.74634498</v>
      </c>
    </row>
    <row r="14940" spans="1:2" x14ac:dyDescent="0.25">
      <c r="A14940">
        <f ca="1">29139.3735685988*((RANDBETWEEN(2979,3282)))</f>
        <v>90128082.447676107</v>
      </c>
      <c r="B14940">
        <v>143567123.66227069</v>
      </c>
    </row>
    <row r="14941" spans="1:2" x14ac:dyDescent="0.25">
      <c r="A14941">
        <f ca="1">28813.2013922457*((RANDBETWEEN(2979,3282)))</f>
        <v>91654793.628733456</v>
      </c>
      <c r="B14941">
        <v>187585895.05566248</v>
      </c>
    </row>
    <row r="14942" spans="1:2" x14ac:dyDescent="0.25">
      <c r="A14942">
        <f ca="1">27295.3258801511*((RANDBETWEEN(2979,3282)))</f>
        <v>84260670.992026329</v>
      </c>
      <c r="B14942">
        <v>160076865.91662231</v>
      </c>
    </row>
    <row r="14943" spans="1:2" x14ac:dyDescent="0.25">
      <c r="A14943">
        <f ca="1">27947.3398146386*((RANDBETWEEN(2979,3282)))</f>
        <v>88844593.270736143</v>
      </c>
      <c r="B14943">
        <v>145315207.0887081</v>
      </c>
    </row>
    <row r="14944" spans="1:2" x14ac:dyDescent="0.25">
      <c r="A14944">
        <f ca="1">25585.0623487275*((RANDBETWEEN(2979,3282)))</f>
        <v>78622896.597639486</v>
      </c>
      <c r="B14944">
        <v>174889114.68436813</v>
      </c>
    </row>
    <row r="14945" spans="1:2" x14ac:dyDescent="0.25">
      <c r="A14945">
        <f ca="1">28864.3412899029*((RANDBETWEEN(2979,3282)))</f>
        <v>94386396.017982528</v>
      </c>
      <c r="B14945">
        <v>164930724.4207342</v>
      </c>
    </row>
    <row r="14946" spans="1:2" x14ac:dyDescent="0.25">
      <c r="A14946">
        <f ca="1">27231.2031041807*((RANDBETWEEN(2979,3282)))</f>
        <v>83953799.170189187</v>
      </c>
      <c r="B14946">
        <v>172849075.38229999</v>
      </c>
    </row>
    <row r="14947" spans="1:2" x14ac:dyDescent="0.25">
      <c r="A14947">
        <f ca="1">26210.6053715238*((RANDBETWEEN(2979,3282)))</f>
        <v>84529202.323164135</v>
      </c>
      <c r="B14947">
        <v>147117763.05532551</v>
      </c>
    </row>
    <row r="14948" spans="1:2" x14ac:dyDescent="0.25">
      <c r="A14948">
        <f ca="1">27906.6916101653*((RANDBETWEEN(2979,3282)))</f>
        <v>84054955.129817992</v>
      </c>
      <c r="B14948">
        <v>147127592.45719665</v>
      </c>
    </row>
    <row r="14949" spans="1:2" x14ac:dyDescent="0.25">
      <c r="A14949">
        <f ca="1">27674.9314002852*((RANDBETWEEN(2979,3282)))</f>
        <v>88919554.589116335</v>
      </c>
      <c r="B14949">
        <v>155817653.07796624</v>
      </c>
    </row>
    <row r="14950" spans="1:2" x14ac:dyDescent="0.25">
      <c r="A14950">
        <f ca="1">27782.19898558*((RANDBETWEEN(2979,3282)))</f>
        <v>85180222.089788169</v>
      </c>
      <c r="B14950">
        <v>184847756.82475775</v>
      </c>
    </row>
    <row r="14951" spans="1:2" x14ac:dyDescent="0.25">
      <c r="A14951">
        <f ca="1">25810.0653992635*((RANDBETWEEN(2979,3282)))</f>
        <v>82179248.231254995</v>
      </c>
      <c r="B14951">
        <v>157774142.19182506</v>
      </c>
    </row>
    <row r="14952" spans="1:2" x14ac:dyDescent="0.25">
      <c r="A14952">
        <f ca="1">25866.5415859432*((RANDBETWEEN(2979,3282)))</f>
        <v>82979865.407705709</v>
      </c>
      <c r="B14952">
        <v>154822253.05051929</v>
      </c>
    </row>
    <row r="14953" spans="1:2" x14ac:dyDescent="0.25">
      <c r="A14953">
        <f ca="1">26375.7309216082*((RANDBETWEEN(2979,3282)))</f>
        <v>86406894.499188378</v>
      </c>
      <c r="B14953">
        <v>143322624.7296575</v>
      </c>
    </row>
    <row r="14954" spans="1:2" x14ac:dyDescent="0.25">
      <c r="A14954">
        <f ca="1">28755.9610713411*((RANDBETWEEN(2979,3282)))</f>
        <v>86411663.019380063</v>
      </c>
      <c r="B14954">
        <v>190106130.41931546</v>
      </c>
    </row>
    <row r="14955" spans="1:2" x14ac:dyDescent="0.25">
      <c r="A14955">
        <f ca="1">27504.6568320924*((RANDBETWEEN(2979,3282)))</f>
        <v>89225106.76330778</v>
      </c>
      <c r="B14955">
        <v>150668946.0518845</v>
      </c>
    </row>
    <row r="14956" spans="1:2" x14ac:dyDescent="0.25">
      <c r="A14956">
        <f ca="1">26796.8155824633*((RANDBETWEEN(2979,3282)))</f>
        <v>81247944.84602873</v>
      </c>
      <c r="B14956">
        <v>150090064.36311722</v>
      </c>
    </row>
    <row r="14957" spans="1:2" x14ac:dyDescent="0.25">
      <c r="A14957">
        <f ca="1">29650.5723493254*((RANDBETWEEN(2979,3282)))</f>
        <v>92361532.868148521</v>
      </c>
      <c r="B14957">
        <v>154913004.10919943</v>
      </c>
    </row>
    <row r="14958" spans="1:2" x14ac:dyDescent="0.25">
      <c r="A14958">
        <f ca="1">27738.3642825108*((RANDBETWEEN(2979,3282)))</f>
        <v>86127621.097195923</v>
      </c>
      <c r="B14958">
        <v>155280117.78763083</v>
      </c>
    </row>
    <row r="14959" spans="1:2" x14ac:dyDescent="0.25">
      <c r="A14959">
        <f ca="1">27293.1904173015*((RANDBETWEEN(2979,3282)))</f>
        <v>89030387.141237527</v>
      </c>
      <c r="B14959">
        <v>149250092.49637502</v>
      </c>
    </row>
    <row r="14960" spans="1:2" x14ac:dyDescent="0.25">
      <c r="A14960">
        <f ca="1">30430.1124006805*((RANDBETWEEN(2979,3282)))</f>
        <v>91959799.674856335</v>
      </c>
      <c r="B14960">
        <v>200530824.90815711</v>
      </c>
    </row>
    <row r="14961" spans="1:2" x14ac:dyDescent="0.25">
      <c r="A14961">
        <f ca="1">26766.5326231375*((RANDBETWEEN(2979,3282)))</f>
        <v>80968761.184991181</v>
      </c>
      <c r="B14961">
        <v>146819043.05337453</v>
      </c>
    </row>
    <row r="14962" spans="1:2" x14ac:dyDescent="0.25">
      <c r="A14962">
        <f ca="1">27073.1095211603*((RANDBETWEEN(2979,3282)))</f>
        <v>85848830.291599333</v>
      </c>
      <c r="B14962">
        <v>193252974.57780993</v>
      </c>
    </row>
    <row r="14963" spans="1:2" x14ac:dyDescent="0.25">
      <c r="A14963">
        <f ca="1">27301.4880753288*((RANDBETWEEN(2979,3282)))</f>
        <v>87064445.472223535</v>
      </c>
      <c r="B14963">
        <v>184383467.71528184</v>
      </c>
    </row>
    <row r="14964" spans="1:2" x14ac:dyDescent="0.25">
      <c r="A14964">
        <f ca="1">30389.5605894413*((RANDBETWEEN(2979,3282)))</f>
        <v>92505822.43425934</v>
      </c>
      <c r="B14964">
        <v>181142478.19790873</v>
      </c>
    </row>
    <row r="14965" spans="1:2" x14ac:dyDescent="0.25">
      <c r="A14965">
        <f ca="1">29089.8725880581*((RANDBETWEEN(2979,3282)))</f>
        <v>93698479.606135011</v>
      </c>
      <c r="B14965">
        <v>145351797.2150034</v>
      </c>
    </row>
    <row r="14966" spans="1:2" x14ac:dyDescent="0.25">
      <c r="A14966">
        <f ca="1">29710.4648116297*((RANDBETWEEN(2979,3282)))</f>
        <v>94033621.128807873</v>
      </c>
      <c r="B14966">
        <v>146245255.35536954</v>
      </c>
    </row>
    <row r="14967" spans="1:2" x14ac:dyDescent="0.25">
      <c r="A14967">
        <f ca="1">28426.9930724008*((RANDBETWEEN(2979,3282)))</f>
        <v>89402893.212700605</v>
      </c>
      <c r="B14967">
        <v>157172964.20591331</v>
      </c>
    </row>
    <row r="14968" spans="1:2" x14ac:dyDescent="0.25">
      <c r="A14968">
        <f ca="1">30649.6618766585*((RANDBETWEEN(2979,3282)))</f>
        <v>92868475.48627536</v>
      </c>
      <c r="B14968">
        <v>191414848.25446862</v>
      </c>
    </row>
    <row r="14969" spans="1:2" x14ac:dyDescent="0.25">
      <c r="A14969">
        <f ca="1">27796.4721698517*((RANDBETWEEN(2979,3282)))</f>
        <v>90421923.968527436</v>
      </c>
      <c r="B14969">
        <v>159696551.4224897</v>
      </c>
    </row>
    <row r="14970" spans="1:2" x14ac:dyDescent="0.25">
      <c r="A14970">
        <f ca="1">27196.2271954681*((RANDBETWEEN(2979,3282)))</f>
        <v>83302043.899718851</v>
      </c>
      <c r="B14970">
        <v>148643291.09411085</v>
      </c>
    </row>
    <row r="14971" spans="1:2" x14ac:dyDescent="0.25">
      <c r="A14971">
        <f ca="1">26551.9824522621*((RANDBETWEEN(2979,3282)))</f>
        <v>83983920.496504903</v>
      </c>
      <c r="B14971">
        <v>168744509.67289096</v>
      </c>
    </row>
    <row r="14972" spans="1:2" x14ac:dyDescent="0.25">
      <c r="A14972">
        <f ca="1">25965.6881699773*((RANDBETWEEN(2979,3282)))</f>
        <v>78650069.466861382</v>
      </c>
      <c r="B14972">
        <v>144009616.19650039</v>
      </c>
    </row>
    <row r="14973" spans="1:2" x14ac:dyDescent="0.25">
      <c r="A14973">
        <f ca="1">28122.0476089668*((RANDBETWEEN(2979,3282)))</f>
        <v>88134497.206501946</v>
      </c>
      <c r="B14973">
        <v>154977644.51126155</v>
      </c>
    </row>
    <row r="14974" spans="1:2" x14ac:dyDescent="0.25">
      <c r="A14974">
        <f ca="1">29713.3961286958*((RANDBETWEEN(2979,3282)))</f>
        <v>90922992.15380913</v>
      </c>
      <c r="B14974">
        <v>170925119.25203073</v>
      </c>
    </row>
    <row r="14975" spans="1:2" x14ac:dyDescent="0.25">
      <c r="A14975">
        <f ca="1">28797.5162711758*((RANDBETWEEN(2979,3282)))</f>
        <v>86133371.167086914</v>
      </c>
      <c r="B14975">
        <v>174548469.52240464</v>
      </c>
    </row>
    <row r="14976" spans="1:2" x14ac:dyDescent="0.25">
      <c r="A14976">
        <f ca="1">26323.7763365141*((RANDBETWEEN(2979,3282)))</f>
        <v>84525645.816546634</v>
      </c>
      <c r="B14976">
        <v>160036076.44872412</v>
      </c>
    </row>
    <row r="14977" spans="1:2" x14ac:dyDescent="0.25">
      <c r="A14977">
        <f ca="1">34748.2313248724*((RANDBETWEEN(2979,3282)))</f>
        <v>109178942.82274923</v>
      </c>
      <c r="B14977">
        <v>181340451.54044634</v>
      </c>
    </row>
    <row r="14978" spans="1:2" x14ac:dyDescent="0.25">
      <c r="A14978">
        <f ca="1">26995.8971284455*((RANDBETWEEN(2979,3282)))</f>
        <v>86143907.736869469</v>
      </c>
      <c r="B14978">
        <v>154465237.47786045</v>
      </c>
    </row>
    <row r="14979" spans="1:2" x14ac:dyDescent="0.25">
      <c r="A14979">
        <f ca="1">27044.5045835077*((RANDBETWEEN(2979,3282)))</f>
        <v>83702741.685956299</v>
      </c>
      <c r="B14979">
        <v>163034722.42709327</v>
      </c>
    </row>
    <row r="14980" spans="1:2" x14ac:dyDescent="0.25">
      <c r="A14980">
        <f ca="1">27676.3394061487*((RANDBETWEEN(2979,3282)))</f>
        <v>89394576.281860411</v>
      </c>
      <c r="B14980">
        <v>165967318.19918913</v>
      </c>
    </row>
    <row r="14981" spans="1:2" x14ac:dyDescent="0.25">
      <c r="A14981">
        <f ca="1">30016.8091056664*((RANDBETWEEN(2979,3282)))</f>
        <v>97854797.684472337</v>
      </c>
      <c r="B14981">
        <v>149960159.95002905</v>
      </c>
    </row>
    <row r="14982" spans="1:2" x14ac:dyDescent="0.25">
      <c r="A14982">
        <f ca="1">25932.2949760052*((RANDBETWEEN(2979,3282)))</f>
        <v>82438765.728720561</v>
      </c>
      <c r="B14982">
        <v>163792858.7717669</v>
      </c>
    </row>
    <row r="14983" spans="1:2" x14ac:dyDescent="0.25">
      <c r="A14983">
        <f ca="1">26744.8745882452*((RANDBETWEEN(2979,3282)))</f>
        <v>81678846.992500886</v>
      </c>
      <c r="B14983">
        <v>181235483.47288635</v>
      </c>
    </row>
    <row r="14984" spans="1:2" x14ac:dyDescent="0.25">
      <c r="A14984">
        <f ca="1">27228.0876942893*((RANDBETWEEN(2979,3282)))</f>
        <v>83372404.519913867</v>
      </c>
      <c r="B14984">
        <v>152089600.63951316</v>
      </c>
    </row>
    <row r="14985" spans="1:2" x14ac:dyDescent="0.25">
      <c r="A14985">
        <f ca="1">26244.5227660294*((RANDBETWEEN(2979,3282)))</f>
        <v>85215965.421297491</v>
      </c>
      <c r="B14985">
        <v>154589043.48931056</v>
      </c>
    </row>
    <row r="14986" spans="1:2" x14ac:dyDescent="0.25">
      <c r="A14986">
        <f ca="1">27546.7798817132*((RANDBETWEEN(2979,3282)))</f>
        <v>84485973.897214442</v>
      </c>
      <c r="B14986">
        <v>149454071.28154987</v>
      </c>
    </row>
    <row r="14987" spans="1:2" x14ac:dyDescent="0.25">
      <c r="A14987">
        <f ca="1">27029.1471039321*((RANDBETWEEN(2979,3282)))</f>
        <v>84520142.993995696</v>
      </c>
      <c r="B14987">
        <v>146559559.1042946</v>
      </c>
    </row>
    <row r="14988" spans="1:2" x14ac:dyDescent="0.25">
      <c r="A14988">
        <f ca="1">26211.9657797045*((RANDBETWEEN(2979,3282)))</f>
        <v>78898016.996910527</v>
      </c>
      <c r="B14988">
        <v>145595554.12093371</v>
      </c>
    </row>
    <row r="14989" spans="1:2" x14ac:dyDescent="0.25">
      <c r="A14989">
        <f ca="1">27339.9274981817*((RANDBETWEEN(2979,3282)))</f>
        <v>86312151.111759678</v>
      </c>
      <c r="B14989">
        <v>191785589.43457216</v>
      </c>
    </row>
    <row r="14990" spans="1:2" x14ac:dyDescent="0.25">
      <c r="A14990">
        <f ca="1">33233.6059406433*((RANDBETWEEN(2979,3282)))</f>
        <v>106015202.95065205</v>
      </c>
      <c r="B14990">
        <v>144801532.81997859</v>
      </c>
    </row>
    <row r="14991" spans="1:2" x14ac:dyDescent="0.25">
      <c r="A14991">
        <f ca="1">27479.1642937828*((RANDBETWEEN(2979,3282)))</f>
        <v>89664513.090613246</v>
      </c>
      <c r="B14991">
        <v>170181124.20838439</v>
      </c>
    </row>
    <row r="14992" spans="1:2" x14ac:dyDescent="0.25">
      <c r="A14992">
        <f ca="1">25985.7782451213*((RANDBETWEEN(2979,3282)))</f>
        <v>84999480.639791682</v>
      </c>
      <c r="B14992">
        <v>199157877.55442575</v>
      </c>
    </row>
    <row r="14993" spans="1:2" x14ac:dyDescent="0.25">
      <c r="A14993">
        <f ca="1">30062.989414713*((RANDBETWEEN(2979,3282)))</f>
        <v>92022810.5984364</v>
      </c>
      <c r="B14993">
        <v>185739449.36220801</v>
      </c>
    </row>
    <row r="14994" spans="1:2" x14ac:dyDescent="0.25">
      <c r="A14994">
        <f ca="1">26686.5873373934*((RANDBETWEEN(2979,3282)))</f>
        <v>81073852.331001177</v>
      </c>
      <c r="B14994">
        <v>160598891.79785702</v>
      </c>
    </row>
    <row r="14995" spans="1:2" x14ac:dyDescent="0.25">
      <c r="A14995">
        <f ca="1">26897.7551887743*((RANDBETWEEN(2979,3282)))</f>
        <v>87390806.608327761</v>
      </c>
      <c r="B14995">
        <v>198865644.30598253</v>
      </c>
    </row>
    <row r="14996" spans="1:2" x14ac:dyDescent="0.25">
      <c r="A14996">
        <f ca="1">26637.9771896356*((RANDBETWEEN(2979,3282)))</f>
        <v>85401354.869971782</v>
      </c>
      <c r="B14996">
        <v>185296294.7476356</v>
      </c>
    </row>
    <row r="14997" spans="1:2" x14ac:dyDescent="0.25">
      <c r="A14997">
        <f ca="1">33229.3715299521*((RANDBETWEEN(2979,3282)))</f>
        <v>102412923.05531237</v>
      </c>
      <c r="B14997">
        <v>168060866.5670836</v>
      </c>
    </row>
    <row r="14998" spans="1:2" x14ac:dyDescent="0.25">
      <c r="A14998">
        <f ca="1">28529.5107213223*((RANDBETWEEN(2979,3282)))</f>
        <v>87243243.785803527</v>
      </c>
      <c r="B14998">
        <v>196060286.06094491</v>
      </c>
    </row>
    <row r="14999" spans="1:2" x14ac:dyDescent="0.25">
      <c r="A14999">
        <f ca="1">30823.7191265763*((RANDBETWEEN(2979,3282)))</f>
        <v>95306939.539373994</v>
      </c>
      <c r="B14999">
        <v>168722229.29449657</v>
      </c>
    </row>
    <row r="15000" spans="1:2" x14ac:dyDescent="0.25">
      <c r="A15000">
        <f ca="1">26579.5691742456*((RANDBETWEEN(2979,3282)))</f>
        <v>81413220.380714223</v>
      </c>
      <c r="B15000">
        <v>145128911.73052776</v>
      </c>
    </row>
    <row r="15001" spans="1:2" x14ac:dyDescent="0.25">
      <c r="A15001">
        <f ca="1">25991.643214082*((RANDBETWEEN(2979,3282)))</f>
        <v>79118561.943665624</v>
      </c>
      <c r="B15001">
        <v>156021591.00907987</v>
      </c>
    </row>
    <row r="15002" spans="1:2" x14ac:dyDescent="0.25">
      <c r="A15002">
        <f ca="1">33597.4373493369*((RANDBETWEEN(2979,3282)))</f>
        <v>109998009.88172908</v>
      </c>
      <c r="B15002">
        <v>198467586.82357964</v>
      </c>
    </row>
    <row r="15003" spans="1:2" x14ac:dyDescent="0.25">
      <c r="A15003">
        <f ca="1">27361.3984823984*((RANDBETWEEN(2979,3282)))</f>
        <v>87091331.369474083</v>
      </c>
      <c r="B15003">
        <v>163478283.61623919</v>
      </c>
    </row>
    <row r="15004" spans="1:2" x14ac:dyDescent="0.25">
      <c r="A15004">
        <f ca="1">32050.0068039906*((RANDBETWEEN(2979,3282)))</f>
        <v>101983121.65029819</v>
      </c>
      <c r="B15004">
        <v>148400476.41832143</v>
      </c>
    </row>
    <row r="15005" spans="1:2" x14ac:dyDescent="0.25">
      <c r="A15005">
        <f ca="1">31055.6977014421*((RANDBETWEEN(2979,3282)))</f>
        <v>99533511.133121878</v>
      </c>
      <c r="B15005">
        <v>168252733.89559138</v>
      </c>
    </row>
    <row r="15006" spans="1:2" x14ac:dyDescent="0.25">
      <c r="A15006">
        <f ca="1">27164.042526535*((RANDBETWEEN(2979,3282)))</f>
        <v>81682275.877290815</v>
      </c>
      <c r="B15006">
        <v>152044041.34232166</v>
      </c>
    </row>
    <row r="15007" spans="1:2" x14ac:dyDescent="0.25">
      <c r="A15007">
        <f ca="1">29326.8281801734*((RANDBETWEEN(2979,3282)))</f>
        <v>91968933.173023775</v>
      </c>
      <c r="B15007">
        <v>143152191.855342</v>
      </c>
    </row>
    <row r="15008" spans="1:2" x14ac:dyDescent="0.25">
      <c r="A15008">
        <f ca="1">28307.1819754957*((RANDBETWEEN(2979,3282)))</f>
        <v>91262354.688998014</v>
      </c>
      <c r="B15008">
        <v>154333296.56681323</v>
      </c>
    </row>
    <row r="15009" spans="1:2" x14ac:dyDescent="0.25">
      <c r="A15009">
        <f ca="1">26363.3844979431*((RANDBETWEEN(2979,3282)))</f>
        <v>83571928.858479694</v>
      </c>
      <c r="B15009">
        <v>150577949.97542384</v>
      </c>
    </row>
    <row r="15010" spans="1:2" x14ac:dyDescent="0.25">
      <c r="A15010">
        <f ca="1">26301.1860608049*((RANDBETWEEN(2979,3282)))</f>
        <v>84374204.883062229</v>
      </c>
      <c r="B15010">
        <v>164234530.01607284</v>
      </c>
    </row>
    <row r="15011" spans="1:2" x14ac:dyDescent="0.25">
      <c r="A15011">
        <f ca="1">26793.1000087657*((RANDBETWEEN(2979,3282)))</f>
        <v>84210713.327550501</v>
      </c>
      <c r="B15011">
        <v>173199739.21858558</v>
      </c>
    </row>
    <row r="15012" spans="1:2" x14ac:dyDescent="0.25">
      <c r="A15012">
        <f ca="1">30751.0750863238*((RANDBETWEEN(2979,3282)))</f>
        <v>92222474.183885127</v>
      </c>
      <c r="B15012">
        <v>151091792.66401142</v>
      </c>
    </row>
    <row r="15013" spans="1:2" x14ac:dyDescent="0.25">
      <c r="A15013">
        <f ca="1">27079.5503997889*((RANDBETWEEN(2979,3282)))</f>
        <v>88604288.908109233</v>
      </c>
      <c r="B15013">
        <v>162501251.71871066</v>
      </c>
    </row>
    <row r="15014" spans="1:2" x14ac:dyDescent="0.25">
      <c r="A15014">
        <f ca="1">29219.7984299633*((RANDBETWEEN(2979,3282)))</f>
        <v>92451442.232403859</v>
      </c>
      <c r="B15014">
        <v>174865027.94720709</v>
      </c>
    </row>
    <row r="15015" spans="1:2" x14ac:dyDescent="0.25">
      <c r="A15015">
        <f ca="1">30021.1864215071*((RANDBETWEEN(2979,3282)))</f>
        <v>94987033.837648317</v>
      </c>
      <c r="B15015">
        <v>166742306.87355271</v>
      </c>
    </row>
    <row r="15016" spans="1:2" x14ac:dyDescent="0.25">
      <c r="A15016">
        <f ca="1">25493.4055922817*((RANDBETWEEN(2979,3282)))</f>
        <v>79029557.336073205</v>
      </c>
      <c r="B15016">
        <v>154956071.75739318</v>
      </c>
    </row>
    <row r="15017" spans="1:2" x14ac:dyDescent="0.25">
      <c r="A15017">
        <f ca="1">28740.8274296191*((RANDBETWEEN(2979,3282)))</f>
        <v>90131234.819285423</v>
      </c>
      <c r="B15017">
        <v>166100232.82610971</v>
      </c>
    </row>
    <row r="15018" spans="1:2" x14ac:dyDescent="0.25">
      <c r="A15018">
        <f ca="1">26710.5026463598*((RANDBETWEEN(2979,3282)))</f>
        <v>81734138.097861052</v>
      </c>
      <c r="B15018">
        <v>146837546.87581924</v>
      </c>
    </row>
    <row r="15019" spans="1:2" x14ac:dyDescent="0.25">
      <c r="A15019">
        <f ca="1">26662.1835007867*((RANDBETWEEN(2979,3282)))</f>
        <v>79853239.584856167</v>
      </c>
      <c r="B15019">
        <v>155481040.01092279</v>
      </c>
    </row>
    <row r="15020" spans="1:2" x14ac:dyDescent="0.25">
      <c r="A15020">
        <f ca="1">25482.7023183996*((RANDBETWEEN(2979,3282)))</f>
        <v>82283645.786112353</v>
      </c>
      <c r="B15020">
        <v>154176317.73015264</v>
      </c>
    </row>
    <row r="15021" spans="1:2" x14ac:dyDescent="0.25">
      <c r="A15021">
        <f ca="1">27686.125497108*((RANDBETWEEN(2979,3282)))</f>
        <v>82836887.487347156</v>
      </c>
      <c r="B15021">
        <v>166613750.80206764</v>
      </c>
    </row>
    <row r="15022" spans="1:2" x14ac:dyDescent="0.25">
      <c r="A15022">
        <f ca="1">31538.1676166058*((RANDBETWEEN(2979,3282)))</f>
        <v>101458285.22262098</v>
      </c>
      <c r="B15022">
        <v>158051155.96831435</v>
      </c>
    </row>
    <row r="15023" spans="1:2" x14ac:dyDescent="0.25">
      <c r="A15023">
        <f ca="1">25777.9261386218*((RANDBETWEEN(2979,3282)))</f>
        <v>78468007.165964767</v>
      </c>
      <c r="B15023">
        <v>151380822.55637649</v>
      </c>
    </row>
    <row r="15024" spans="1:2" x14ac:dyDescent="0.25">
      <c r="A15024">
        <f ca="1">29393.1728982938*((RANDBETWEEN(2979,3282)))</f>
        <v>95909923.167132631</v>
      </c>
      <c r="B15024">
        <v>194340587.78010964</v>
      </c>
    </row>
    <row r="15025" spans="1:2" x14ac:dyDescent="0.25">
      <c r="A15025">
        <f ca="1">27639.774728348*((RANDBETWEEN(2979,3282)))</f>
        <v>87894483.636146531</v>
      </c>
      <c r="B15025">
        <v>151748206.71170893</v>
      </c>
    </row>
    <row r="15026" spans="1:2" x14ac:dyDescent="0.25">
      <c r="A15026">
        <f ca="1">32105.9760197416*((RANDBETWEEN(2979,3282)))</f>
        <v>103766514.495805</v>
      </c>
      <c r="B15026">
        <v>166531688.87093174</v>
      </c>
    </row>
    <row r="15027" spans="1:2" x14ac:dyDescent="0.25">
      <c r="A15027">
        <f ca="1">27079.6407594336*((RANDBETWEEN(2979,3282)))</f>
        <v>83161576.772220701</v>
      </c>
      <c r="B15027">
        <v>176582828.76745263</v>
      </c>
    </row>
    <row r="15028" spans="1:2" x14ac:dyDescent="0.25">
      <c r="A15028">
        <f ca="1">32053.4699411568*((RANDBETWEEN(2979,3282)))</f>
        <v>98660580.478880629</v>
      </c>
      <c r="B15028">
        <v>143818931.31559515</v>
      </c>
    </row>
    <row r="15029" spans="1:2" x14ac:dyDescent="0.25">
      <c r="A15029">
        <f ca="1">25846.3436767773*((RANDBETWEEN(2979,3282)))</f>
        <v>84104002.324233279</v>
      </c>
      <c r="B15029">
        <v>154796574.52977532</v>
      </c>
    </row>
    <row r="15030" spans="1:2" x14ac:dyDescent="0.25">
      <c r="A15030">
        <f ca="1">25439.1807383246*((RANDBETWEEN(2979,3282)))</f>
        <v>80616763.759750783</v>
      </c>
      <c r="B15030">
        <v>151260010.16733906</v>
      </c>
    </row>
    <row r="15031" spans="1:2" x14ac:dyDescent="0.25">
      <c r="A15031">
        <f ca="1">25578.8556178822*((RANDBETWEEN(2979,3282)))</f>
        <v>79806029.527792409</v>
      </c>
      <c r="B15031">
        <v>178452130.14305526</v>
      </c>
    </row>
    <row r="15032" spans="1:2" x14ac:dyDescent="0.25">
      <c r="A15032">
        <f ca="1">26285.2688508107*((RANDBETWEEN(2979,3282)))</f>
        <v>82903737.955457017</v>
      </c>
      <c r="B15032">
        <v>157329508.09633976</v>
      </c>
    </row>
    <row r="15033" spans="1:2" x14ac:dyDescent="0.25">
      <c r="A15033">
        <f ca="1">29854.2971847231*((RANDBETWEEN(2979,3282)))</f>
        <v>92637884.164195746</v>
      </c>
      <c r="B15033">
        <v>162453883.07410413</v>
      </c>
    </row>
    <row r="15034" spans="1:2" x14ac:dyDescent="0.25">
      <c r="A15034">
        <f ca="1">29344.2998425347*((RANDBETWEEN(2979,3282)))</f>
        <v>96307992.08319889</v>
      </c>
      <c r="B15034">
        <v>165162988.56723058</v>
      </c>
    </row>
    <row r="15035" spans="1:2" x14ac:dyDescent="0.25">
      <c r="A15035">
        <f ca="1">26127.7134068868*((RANDBETWEEN(2979,3282)))</f>
        <v>79297610.189901516</v>
      </c>
      <c r="B15035">
        <v>143994201.84406903</v>
      </c>
    </row>
    <row r="15036" spans="1:2" x14ac:dyDescent="0.25">
      <c r="A15036">
        <f ca="1">26702.2615122947*((RANDBETWEEN(2979,3282)))</f>
        <v>82590094.857527643</v>
      </c>
      <c r="B15036">
        <v>186380165.93183354</v>
      </c>
    </row>
    <row r="15037" spans="1:2" x14ac:dyDescent="0.25">
      <c r="A15037">
        <f ca="1">26580.5934075941*((RANDBETWEEN(2979,3282)))</f>
        <v>86732476.288979709</v>
      </c>
      <c r="B15037">
        <v>160256811.65521297</v>
      </c>
    </row>
    <row r="15038" spans="1:2" x14ac:dyDescent="0.25">
      <c r="A15038">
        <f ca="1">26153.5619039884*((RANDBETWEEN(2979,3282)))</f>
        <v>82488334.245179534</v>
      </c>
      <c r="B15038">
        <v>156426138.71996185</v>
      </c>
    </row>
    <row r="15039" spans="1:2" x14ac:dyDescent="0.25">
      <c r="A15039">
        <f ca="1">27097.4116393045*((RANDBETWEEN(2979,3282)))</f>
        <v>86901399.127249599</v>
      </c>
      <c r="B15039">
        <v>168602140.81181306</v>
      </c>
    </row>
    <row r="15040" spans="1:2" x14ac:dyDescent="0.25">
      <c r="A15040">
        <f ca="1">26718.8685580215*((RANDBETWEEN(2979,3282)))</f>
        <v>86676009.602221832</v>
      </c>
      <c r="B15040">
        <v>187072322.845864</v>
      </c>
    </row>
    <row r="15041" spans="1:2" x14ac:dyDescent="0.25">
      <c r="A15041">
        <f ca="1">30568.8947721074*((RANDBETWEEN(2979,3282)))</f>
        <v>98401272.271413669</v>
      </c>
      <c r="B15041">
        <v>189093679.66031003</v>
      </c>
    </row>
    <row r="15042" spans="1:2" x14ac:dyDescent="0.25">
      <c r="A15042">
        <f ca="1">26434.19935677*((RANDBETWEEN(2979,3282)))</f>
        <v>80994386.829143211</v>
      </c>
      <c r="B15042">
        <v>159382702.94040623</v>
      </c>
    </row>
    <row r="15043" spans="1:2" x14ac:dyDescent="0.25">
      <c r="A15043">
        <f ca="1">26747.6877860341*((RANDBETWEEN(2979,3282)))</f>
        <v>80216315.670316175</v>
      </c>
      <c r="B15043">
        <v>156980614.30703074</v>
      </c>
    </row>
    <row r="15044" spans="1:2" x14ac:dyDescent="0.25">
      <c r="A15044">
        <f ca="1">28770.0633619542*((RANDBETWEEN(2979,3282)))</f>
        <v>85821099.008709401</v>
      </c>
      <c r="B15044">
        <v>174600831.4849661</v>
      </c>
    </row>
    <row r="15045" spans="1:2" x14ac:dyDescent="0.25">
      <c r="A15045">
        <f ca="1">29360.7646216915*((RANDBETWEEN(2979,3282)))</f>
        <v>90166908.153214678</v>
      </c>
      <c r="B15045">
        <v>188156928.32200453</v>
      </c>
    </row>
    <row r="15046" spans="1:2" x14ac:dyDescent="0.25">
      <c r="A15046">
        <f ca="1">27487.5423190184*((RANDBETWEEN(2979,3282)))</f>
        <v>85101431.019681036</v>
      </c>
      <c r="B15046">
        <v>163782864.92983416</v>
      </c>
    </row>
    <row r="15047" spans="1:2" x14ac:dyDescent="0.25">
      <c r="A15047">
        <f ca="1">27617.0053967067*((RANDBETWEEN(2979,3282)))</f>
        <v>88678204.32882525</v>
      </c>
      <c r="B15047">
        <v>184959518.40503946</v>
      </c>
    </row>
    <row r="15048" spans="1:2" x14ac:dyDescent="0.25">
      <c r="A15048">
        <f ca="1">26497.6967985818*((RANDBETWEEN(2979,3282)))</f>
        <v>82699311.70837377</v>
      </c>
      <c r="B15048">
        <v>145647042.72714329</v>
      </c>
    </row>
    <row r="15049" spans="1:2" x14ac:dyDescent="0.25">
      <c r="A15049">
        <f ca="1">26900.9687225966*((RANDBETWEEN(2979,3282)))</f>
        <v>85383674.725521728</v>
      </c>
      <c r="B15049">
        <v>190238198.06011331</v>
      </c>
    </row>
    <row r="15050" spans="1:2" x14ac:dyDescent="0.25">
      <c r="A15050">
        <f ca="1">27678.7052681972*((RANDBETWEEN(2979,3282)))</f>
        <v>84087906.604783222</v>
      </c>
      <c r="B15050">
        <v>191455676.086537</v>
      </c>
    </row>
    <row r="15051" spans="1:2" x14ac:dyDescent="0.25">
      <c r="A15051">
        <f ca="1">26601.084527436*((RANDBETWEEN(2979,3282)))</f>
        <v>83660410.838786349</v>
      </c>
      <c r="B15051">
        <v>146597666.47662199</v>
      </c>
    </row>
    <row r="15052" spans="1:2" x14ac:dyDescent="0.25">
      <c r="A15052">
        <f ca="1">28015.8883518156*((RANDBETWEEN(2979,3282)))</f>
        <v>87045365.109091192</v>
      </c>
      <c r="B15052">
        <v>183240037.03604314</v>
      </c>
    </row>
    <row r="15053" spans="1:2" x14ac:dyDescent="0.25">
      <c r="A15053">
        <f ca="1">27906.3443119677*((RANDBETWEEN(2979,3282)))</f>
        <v>88770081.256369248</v>
      </c>
      <c r="B15053">
        <v>162965087.60910404</v>
      </c>
    </row>
    <row r="15054" spans="1:2" x14ac:dyDescent="0.25">
      <c r="A15054">
        <f ca="1">25931.2320772793*((RANDBETWEEN(2979,3282)))</f>
        <v>79945988.494251981</v>
      </c>
      <c r="B15054">
        <v>143490685.66569856</v>
      </c>
    </row>
    <row r="15055" spans="1:2" x14ac:dyDescent="0.25">
      <c r="A15055">
        <f ca="1">25563.0880194068*((RANDBETWEEN(2979,3282)))</f>
        <v>76689264.058220282</v>
      </c>
      <c r="B15055">
        <v>148836487.54072753</v>
      </c>
    </row>
    <row r="15056" spans="1:2" x14ac:dyDescent="0.25">
      <c r="A15056">
        <f ca="1">27182.1903322065*((RANDBETWEEN(2979,3282)))</f>
        <v>88097478.866681218</v>
      </c>
      <c r="B15056">
        <v>148317223.15094128</v>
      </c>
    </row>
    <row r="15057" spans="1:2" x14ac:dyDescent="0.25">
      <c r="A15057">
        <f ca="1">27256.4651145325*((RANDBETWEEN(2979,3282)))</f>
        <v>83268500.924896896</v>
      </c>
      <c r="B15057">
        <v>143811923.83122945</v>
      </c>
    </row>
    <row r="15058" spans="1:2" x14ac:dyDescent="0.25">
      <c r="A15058">
        <f ca="1">26865.1867482486*((RANDBETWEEN(2979,3282)))</f>
        <v>80891077.298976555</v>
      </c>
      <c r="B15058">
        <v>145061727.28349322</v>
      </c>
    </row>
    <row r="15059" spans="1:2" x14ac:dyDescent="0.25">
      <c r="A15059">
        <f ca="1">32093.622036513*((RANDBETWEEN(2979,3282)))</f>
        <v>96312959.731575474</v>
      </c>
      <c r="B15059">
        <v>175474138.91192269</v>
      </c>
    </row>
    <row r="15060" spans="1:2" x14ac:dyDescent="0.25">
      <c r="A15060">
        <f ca="1">31770.7177792057*((RANDBETWEEN(2979,3282)))</f>
        <v>98870473.728888273</v>
      </c>
      <c r="B15060">
        <v>153724783.1189974</v>
      </c>
    </row>
    <row r="15061" spans="1:2" x14ac:dyDescent="0.25">
      <c r="A15061">
        <f ca="1">28171.151815471*((RANDBETWEEN(2979,3282)))</f>
        <v>91218189.578495115</v>
      </c>
      <c r="B15061">
        <v>153242269.7051577</v>
      </c>
    </row>
    <row r="15062" spans="1:2" x14ac:dyDescent="0.25">
      <c r="A15062">
        <f ca="1">28107.1874759739*((RANDBETWEEN(2979,3282)))</f>
        <v>85502064.30191271</v>
      </c>
      <c r="B15062">
        <v>152426091.9724516</v>
      </c>
    </row>
    <row r="15063" spans="1:2" x14ac:dyDescent="0.25">
      <c r="A15063">
        <f ca="1">28240.7983133396*((RANDBETWEEN(2979,3282)))</f>
        <v>88958514.687019616</v>
      </c>
      <c r="B15063">
        <v>182886109.61607239</v>
      </c>
    </row>
    <row r="15064" spans="1:2" x14ac:dyDescent="0.25">
      <c r="A15064">
        <f ca="1">27996.8927465096*((RANDBETWEEN(2979,3282)))</f>
        <v>88274202.829744816</v>
      </c>
      <c r="B15064">
        <v>143353126.12893945</v>
      </c>
    </row>
    <row r="15065" spans="1:2" x14ac:dyDescent="0.25">
      <c r="A15065">
        <f ca="1">29636.927709308*((RANDBETWEEN(2979,3282)))</f>
        <v>90985368.067575559</v>
      </c>
      <c r="B15065">
        <v>153903385.2630285</v>
      </c>
    </row>
    <row r="15066" spans="1:2" x14ac:dyDescent="0.25">
      <c r="A15066">
        <f ca="1">29405.608666639*((RANDBETWEEN(2979,3282)))</f>
        <v>95421200.123243481</v>
      </c>
      <c r="B15066">
        <v>164418049.37291256</v>
      </c>
    </row>
    <row r="15067" spans="1:2" x14ac:dyDescent="0.25">
      <c r="A15067">
        <f ca="1">30749.262573649*((RANDBETWEEN(2979,3282)))</f>
        <v>92401534.033815324</v>
      </c>
      <c r="B15067">
        <v>172969935.62756729</v>
      </c>
    </row>
    <row r="15068" spans="1:2" x14ac:dyDescent="0.25">
      <c r="A15068">
        <f ca="1">26743.5969759917*((RANDBETWEEN(2979,3282)))</f>
        <v>84696971.622965842</v>
      </c>
      <c r="B15068">
        <v>157924019.55904913</v>
      </c>
    </row>
    <row r="15069" spans="1:2" x14ac:dyDescent="0.25">
      <c r="A15069">
        <f ca="1">26926.6953747633*((RANDBETWEEN(2979,3282)))</f>
        <v>86246205.285366908</v>
      </c>
      <c r="B15069">
        <v>154244955.91312844</v>
      </c>
    </row>
    <row r="15070" spans="1:2" x14ac:dyDescent="0.25">
      <c r="A15070">
        <f ca="1">26984.2878191789*((RANDBETWEEN(2979,3282)))</f>
        <v>83543355.088177845</v>
      </c>
      <c r="B15070">
        <v>193070382.16909856</v>
      </c>
    </row>
    <row r="15071" spans="1:2" x14ac:dyDescent="0.25">
      <c r="A15071">
        <f ca="1">26345.1302467221*((RANDBETWEEN(2979,3282)))</f>
        <v>85806089.213573918</v>
      </c>
      <c r="B15071">
        <v>174993201.31593525</v>
      </c>
    </row>
    <row r="15072" spans="1:2" x14ac:dyDescent="0.25">
      <c r="A15072">
        <f ca="1">26238.5309627239*((RANDBETWEEN(2979,3282)))</f>
        <v>85248987.097890064</v>
      </c>
      <c r="B15072">
        <v>170064297.11781538</v>
      </c>
    </row>
    <row r="15073" spans="1:2" x14ac:dyDescent="0.25">
      <c r="A15073">
        <f ca="1">30600.5509022147*((RANDBETWEEN(2979,3282)))</f>
        <v>94433300.084234655</v>
      </c>
      <c r="B15073">
        <v>175011194.92580453</v>
      </c>
    </row>
    <row r="15074" spans="1:2" x14ac:dyDescent="0.25">
      <c r="A15074">
        <f ca="1">27720.019425397*((RANDBETWEEN(2979,3282)))</f>
        <v>85128179.655394286</v>
      </c>
      <c r="B15074">
        <v>178253035.87691298</v>
      </c>
    </row>
    <row r="15075" spans="1:2" x14ac:dyDescent="0.25">
      <c r="A15075">
        <f ca="1">30239.1104652416*((RANDBETWEEN(2979,3282)))</f>
        <v>98821413.000409678</v>
      </c>
      <c r="B15075">
        <v>202624223.46897626</v>
      </c>
    </row>
    <row r="15076" spans="1:2" x14ac:dyDescent="0.25">
      <c r="A15076">
        <f ca="1">30172.3031197929*((RANDBETWEEN(2979,3282)))</f>
        <v>94922065.614868537</v>
      </c>
      <c r="B15076">
        <v>150810301.69106057</v>
      </c>
    </row>
    <row r="15077" spans="1:2" x14ac:dyDescent="0.25">
      <c r="A15077">
        <f ca="1">26824.7426126085*((RANDBETWEEN(2979,3282)))</f>
        <v>85436805.221158013</v>
      </c>
      <c r="B15077">
        <v>184419295.03545862</v>
      </c>
    </row>
    <row r="15078" spans="1:2" x14ac:dyDescent="0.25">
      <c r="A15078">
        <f ca="1">30384.5333591082*((RANDBETWEEN(2979,3282)))</f>
        <v>90910523.810451627</v>
      </c>
      <c r="B15078">
        <v>149654996.79241422</v>
      </c>
    </row>
    <row r="15079" spans="1:2" x14ac:dyDescent="0.25">
      <c r="A15079">
        <f ca="1">28940.4965793194*((RANDBETWEEN(2979,3282)))</f>
        <v>86589965.765323624</v>
      </c>
      <c r="B15079">
        <v>175193862.14243999</v>
      </c>
    </row>
    <row r="15080" spans="1:2" x14ac:dyDescent="0.25">
      <c r="A15080">
        <f ca="1">29063.3514389207*((RANDBETWEEN(2979,3282)))</f>
        <v>88410715.077196658</v>
      </c>
      <c r="B15080">
        <v>160940538.42657351</v>
      </c>
    </row>
    <row r="15081" spans="1:2" x14ac:dyDescent="0.25">
      <c r="A15081">
        <f ca="1">28767.7485378901*((RANDBETWEEN(2979,3282)))</f>
        <v>92459543.800778627</v>
      </c>
      <c r="B15081">
        <v>149949867.84864146</v>
      </c>
    </row>
    <row r="15082" spans="1:2" x14ac:dyDescent="0.25">
      <c r="A15082">
        <f ca="1">26625.281504734*((RANDBETWEEN(2979,3282)))</f>
        <v>87038045.238975495</v>
      </c>
      <c r="B15082">
        <v>143222384.19183487</v>
      </c>
    </row>
    <row r="15083" spans="1:2" x14ac:dyDescent="0.25">
      <c r="A15083">
        <f ca="1">26468.4334244201*((RANDBETWEEN(2979,3282)))</f>
        <v>84222555.156504884</v>
      </c>
      <c r="B15083">
        <v>143778158.71811259</v>
      </c>
    </row>
    <row r="15084" spans="1:2" x14ac:dyDescent="0.25">
      <c r="A15084">
        <f ca="1">31036.2829430404*((RANDBETWEEN(2979,3282)))</f>
        <v>99222996.568900079</v>
      </c>
      <c r="B15084">
        <v>195526152.40097904</v>
      </c>
    </row>
    <row r="15085" spans="1:2" x14ac:dyDescent="0.25">
      <c r="A15085">
        <f ca="1">27065.3984034208*((RANDBETWEEN(2979,3282)))</f>
        <v>81710437.779927507</v>
      </c>
      <c r="B15085">
        <v>151147787.36498138</v>
      </c>
    </row>
    <row r="15086" spans="1:2" x14ac:dyDescent="0.25">
      <c r="A15086">
        <f ca="1">26345.6628423707*((RANDBETWEEN(2979,3282)))</f>
        <v>83015183.61631006</v>
      </c>
      <c r="B15086">
        <v>150611314.69579434</v>
      </c>
    </row>
    <row r="15087" spans="1:2" x14ac:dyDescent="0.25">
      <c r="A15087">
        <f ca="1">25802.7013919029*((RANDBETWEEN(2979,3282)))</f>
        <v>82620249.856872991</v>
      </c>
      <c r="B15087">
        <v>143136217.25396827</v>
      </c>
    </row>
    <row r="15088" spans="1:2" x14ac:dyDescent="0.25">
      <c r="A15088">
        <f ca="1">29100.9019727823*((RANDBETWEEN(2979,3282)))</f>
        <v>88379439.2913398</v>
      </c>
      <c r="B15088">
        <v>154155066.37244871</v>
      </c>
    </row>
    <row r="15089" spans="1:2" x14ac:dyDescent="0.25">
      <c r="A15089">
        <f ca="1">27831.0790646256*((RANDBETWEEN(2979,3282)))</f>
        <v>88781142.216155633</v>
      </c>
      <c r="B15089">
        <v>190082077.54108199</v>
      </c>
    </row>
    <row r="15090" spans="1:2" x14ac:dyDescent="0.25">
      <c r="A15090">
        <f ca="1">26089.346646411*((RANDBETWEEN(2979,3282)))</f>
        <v>84868644.640774831</v>
      </c>
      <c r="B15090">
        <v>149276846.19475806</v>
      </c>
    </row>
    <row r="15091" spans="1:2" x14ac:dyDescent="0.25">
      <c r="A15091">
        <f ca="1">31927.1191121498*((RANDBETWEEN(2979,3282)))</f>
        <v>101240894.70462696</v>
      </c>
      <c r="B15091">
        <v>179146413.48617429</v>
      </c>
    </row>
    <row r="15092" spans="1:2" x14ac:dyDescent="0.25">
      <c r="A15092">
        <f ca="1">26940.6365333521*((RANDBETWEEN(2979,3282)))</f>
        <v>83300448.161124557</v>
      </c>
      <c r="B15092">
        <v>194885016.4478164</v>
      </c>
    </row>
    <row r="15093" spans="1:2" x14ac:dyDescent="0.25">
      <c r="A15093">
        <f ca="1">26506.5587648943*((RANDBETWEEN(2979,3282)))</f>
        <v>83098061.727943763</v>
      </c>
      <c r="B15093">
        <v>151224198.67748109</v>
      </c>
    </row>
    <row r="15094" spans="1:2" x14ac:dyDescent="0.25">
      <c r="A15094">
        <f ca="1">28057.9201014392*((RANDBETWEEN(2979,3282)))</f>
        <v>87204015.675273001</v>
      </c>
      <c r="B15094">
        <v>200584458.0743027</v>
      </c>
    </row>
    <row r="15095" spans="1:2" x14ac:dyDescent="0.25">
      <c r="A15095">
        <f ca="1">29501.018805158*((RANDBETWEEN(2979,3282)))</f>
        <v>93105215.34907876</v>
      </c>
      <c r="B15095">
        <v>192023109.4413299</v>
      </c>
    </row>
    <row r="15096" spans="1:2" x14ac:dyDescent="0.25">
      <c r="A15096">
        <f ca="1">29230.3630609235*((RANDBETWEEN(2979,3282)))</f>
        <v>91783340.011299714</v>
      </c>
      <c r="B15096">
        <v>149729238.53444773</v>
      </c>
    </row>
    <row r="15097" spans="1:2" x14ac:dyDescent="0.25">
      <c r="A15097">
        <f ca="1">26666.1554607716*((RANDBETWEEN(2979,3282)))</f>
        <v>84611711.277028188</v>
      </c>
      <c r="B15097">
        <v>143499806.06668326</v>
      </c>
    </row>
    <row r="15098" spans="1:2" x14ac:dyDescent="0.25">
      <c r="A15098">
        <f ca="1">27306.4760692686*((RANDBETWEEN(2979,3282)))</f>
        <v>87326110.469521016</v>
      </c>
      <c r="B15098">
        <v>194259796.97110805</v>
      </c>
    </row>
    <row r="15099" spans="1:2" x14ac:dyDescent="0.25">
      <c r="A15099">
        <f ca="1">26835.6592797986*((RANDBETWEEN(2979,3282)))</f>
        <v>82492816.626100853</v>
      </c>
      <c r="B15099">
        <v>188176471.49978325</v>
      </c>
    </row>
    <row r="15100" spans="1:2" x14ac:dyDescent="0.25">
      <c r="A15100">
        <f ca="1">27651.3470986049*((RANDBETWEEN(2979,3282)))</f>
        <v>85470313.881787762</v>
      </c>
      <c r="B15100">
        <v>154511994.6976158</v>
      </c>
    </row>
    <row r="15101" spans="1:2" x14ac:dyDescent="0.25">
      <c r="A15101">
        <f ca="1">30473.0588877446*((RANDBETWEEN(2979,3282)))</f>
        <v>91175392.192131728</v>
      </c>
      <c r="B15101">
        <v>145544236.09396198</v>
      </c>
    </row>
    <row r="15102" spans="1:2" x14ac:dyDescent="0.25">
      <c r="A15102">
        <f ca="1">31489.7514426892*((RANDBETWEEN(2979,3282)))</f>
        <v>93933928.553541854</v>
      </c>
      <c r="B15102">
        <v>164049814.60894024</v>
      </c>
    </row>
    <row r="15103" spans="1:2" x14ac:dyDescent="0.25">
      <c r="A15103">
        <f ca="1">26456.8779103065*((RANDBETWEEN(2979,3282)))</f>
        <v>83101053.516272649</v>
      </c>
      <c r="B15103">
        <v>144532690.27078778</v>
      </c>
    </row>
    <row r="15104" spans="1:2" x14ac:dyDescent="0.25">
      <c r="A15104">
        <f ca="1">31351.7231094164*((RANDBETWEEN(2979,3282)))</f>
        <v>94494093.451781124</v>
      </c>
      <c r="B15104">
        <v>173279405.0151388</v>
      </c>
    </row>
    <row r="15105" spans="1:2" x14ac:dyDescent="0.25">
      <c r="A15105">
        <f ca="1">30962.909627061*((RANDBETWEEN(2979,3282)))</f>
        <v>96387537.669040993</v>
      </c>
      <c r="B15105">
        <v>168384031.33655486</v>
      </c>
    </row>
    <row r="15106" spans="1:2" x14ac:dyDescent="0.25">
      <c r="A15106">
        <f ca="1">26591.6444457815*((RANDBETWEEN(2979,3282)))</f>
        <v>80971557.337404653</v>
      </c>
      <c r="B15106">
        <v>203028306.17242852</v>
      </c>
    </row>
    <row r="15107" spans="1:2" x14ac:dyDescent="0.25">
      <c r="A15107">
        <f ca="1">27975.5383769585*((RANDBETWEEN(2979,3282)))</f>
        <v>90556817.726214513</v>
      </c>
      <c r="B15107">
        <v>168980939.00658959</v>
      </c>
    </row>
    <row r="15108" spans="1:2" x14ac:dyDescent="0.25">
      <c r="A15108">
        <f ca="1">26857.7442313866*((RANDBETWEEN(2979,3282)))</f>
        <v>81620684.719183907</v>
      </c>
      <c r="B15108">
        <v>164667352.03835106</v>
      </c>
    </row>
    <row r="15109" spans="1:2" x14ac:dyDescent="0.25">
      <c r="A15109">
        <f ca="1">26300.2884567659*((RANDBETWEEN(2979,3282)))</f>
        <v>79479471.716346696</v>
      </c>
      <c r="B15109">
        <v>158093026.24222928</v>
      </c>
    </row>
    <row r="15110" spans="1:2" x14ac:dyDescent="0.25">
      <c r="A15110">
        <f ca="1">29787.2944201497*((RANDBETWEEN(2979,3282)))</f>
        <v>96808706.865486667</v>
      </c>
      <c r="B15110">
        <v>198434981.28432924</v>
      </c>
    </row>
    <row r="15111" spans="1:2" x14ac:dyDescent="0.25">
      <c r="A15111">
        <f ca="1">26394.7035828307*((RANDBETWEEN(2979,3282)))</f>
        <v>86257891.308690667</v>
      </c>
      <c r="B15111">
        <v>159991808.40530685</v>
      </c>
    </row>
    <row r="15112" spans="1:2" x14ac:dyDescent="0.25">
      <c r="A15112">
        <f ca="1">31476.3733746464*((RANDBETWEEN(2979,3282)))</f>
        <v>98584001.409392476</v>
      </c>
      <c r="B15112">
        <v>172423873.43724442</v>
      </c>
    </row>
    <row r="15113" spans="1:2" x14ac:dyDescent="0.25">
      <c r="A15113">
        <f ca="1">28820.971657381*((RANDBETWEEN(2979,3282)))</f>
        <v>89258549.222909018</v>
      </c>
      <c r="B15113">
        <v>146499289.35290551</v>
      </c>
    </row>
    <row r="15114" spans="1:2" x14ac:dyDescent="0.25">
      <c r="A15114">
        <f ca="1">27148.46295011*((RANDBETWEEN(2979,3282)))</f>
        <v>82069803.49818252</v>
      </c>
      <c r="B15114">
        <v>154468932.94469249</v>
      </c>
    </row>
    <row r="15115" spans="1:2" x14ac:dyDescent="0.25">
      <c r="A15115">
        <f ca="1">26927.5652535622*((RANDBETWEEN(2979,3282)))</f>
        <v>85010323.505495891</v>
      </c>
      <c r="B15115">
        <v>152557642.29588786</v>
      </c>
    </row>
    <row r="15116" spans="1:2" x14ac:dyDescent="0.25">
      <c r="A15116">
        <f ca="1">31658.2339745826*((RANDBETWEEN(2979,3282)))</f>
        <v>100799816.97507112</v>
      </c>
      <c r="B15116">
        <v>185830026.7853795</v>
      </c>
    </row>
    <row r="15117" spans="1:2" x14ac:dyDescent="0.25">
      <c r="A15117">
        <f ca="1">26006.0732656136*((RANDBETWEEN(2979,3282)))</f>
        <v>81815106.493620425</v>
      </c>
      <c r="B15117">
        <v>144508047.42426047</v>
      </c>
    </row>
    <row r="15118" spans="1:2" x14ac:dyDescent="0.25">
      <c r="A15118">
        <f ca="1">29919.8167293849*((RANDBETWEEN(2979,3282)))</f>
        <v>89400412.387401968</v>
      </c>
      <c r="B15118">
        <v>175786359.66194782</v>
      </c>
    </row>
    <row r="15119" spans="1:2" x14ac:dyDescent="0.25">
      <c r="A15119">
        <f ca="1">27387.8338599217*((RANDBETWEEN(2979,3282)))</f>
        <v>84080649.949959531</v>
      </c>
      <c r="B15119">
        <v>163530801.81230804</v>
      </c>
    </row>
    <row r="15120" spans="1:2" x14ac:dyDescent="0.25">
      <c r="A15120">
        <f ca="1">27942.040667268*((RANDBETWEEN(2979,3282)))</f>
        <v>86312963.621190995</v>
      </c>
      <c r="B15120">
        <v>171732889.4773429</v>
      </c>
    </row>
    <row r="15121" spans="1:2" x14ac:dyDescent="0.25">
      <c r="A15121">
        <f ca="1">31015.36480436*((RANDBETWEEN(2979,3282)))</f>
        <v>92984063.683471158</v>
      </c>
      <c r="B15121">
        <v>160154128.38627794</v>
      </c>
    </row>
    <row r="15122" spans="1:2" x14ac:dyDescent="0.25">
      <c r="A15122">
        <f ca="1">28482.8297590725*((RANDBETWEEN(2979,3282)))</f>
        <v>87128976.233002812</v>
      </c>
      <c r="B15122">
        <v>181099201.91336182</v>
      </c>
    </row>
    <row r="15123" spans="1:2" x14ac:dyDescent="0.25">
      <c r="A15123">
        <f ca="1">25376.4786879259*((RANDBETWEEN(2979,3282)))</f>
        <v>76230941.978529468</v>
      </c>
      <c r="B15123">
        <v>151464838.82896772</v>
      </c>
    </row>
    <row r="15124" spans="1:2" x14ac:dyDescent="0.25">
      <c r="A15124">
        <f ca="1">30945.1300579274*((RANDBETWEEN(2979,3282)))</f>
        <v>93609018.425230354</v>
      </c>
      <c r="B15124">
        <v>148604712.77712178</v>
      </c>
    </row>
    <row r="15125" spans="1:2" x14ac:dyDescent="0.25">
      <c r="A15125">
        <f ca="1">24770.6846912171*((RANDBETWEEN(2979,3282)))</f>
        <v>77259765.551906228</v>
      </c>
      <c r="B15125">
        <v>144384308.02441686</v>
      </c>
    </row>
    <row r="15126" spans="1:2" x14ac:dyDescent="0.25">
      <c r="A15126">
        <f ca="1">27176.5702307444*((RANDBETWEEN(2979,3282)))</f>
        <v>83377717.467923716</v>
      </c>
      <c r="B15126">
        <v>147374165.12939093</v>
      </c>
    </row>
    <row r="15127" spans="1:2" x14ac:dyDescent="0.25">
      <c r="A15127">
        <f ca="1">26386.4695240672*((RANDBETWEEN(2979,3282)))</f>
        <v>81798055.524608463</v>
      </c>
      <c r="B15127">
        <v>155837904.41731709</v>
      </c>
    </row>
    <row r="15128" spans="1:2" x14ac:dyDescent="0.25">
      <c r="A15128">
        <f ca="1">26705.8395045222*((RANDBETWEEN(2979,3282)))</f>
        <v>85939391.525552392</v>
      </c>
      <c r="B15128">
        <v>186869345.9378038</v>
      </c>
    </row>
    <row r="15129" spans="1:2" x14ac:dyDescent="0.25">
      <c r="A15129">
        <f ca="1">27917.727396285*((RANDBETWEEN(2979,3282)))</f>
        <v>84423207.646365851</v>
      </c>
      <c r="B15129">
        <v>160644365.31302294</v>
      </c>
    </row>
    <row r="15130" spans="1:2" x14ac:dyDescent="0.25">
      <c r="A15130">
        <f ca="1">29903.7746557207*((RANDBETWEEN(2979,3282)))</f>
        <v>94974388.30656901</v>
      </c>
      <c r="B15130">
        <v>154961383.11789843</v>
      </c>
    </row>
    <row r="15131" spans="1:2" x14ac:dyDescent="0.25">
      <c r="A15131">
        <f ca="1">32294.6821018323*((RANDBETWEEN(2979,3282)))</f>
        <v>104667064.69203839</v>
      </c>
      <c r="B15131">
        <v>173554226.23628503</v>
      </c>
    </row>
    <row r="15132" spans="1:2" x14ac:dyDescent="0.25">
      <c r="A15132">
        <f ca="1">27036.513367329*((RANDBETWEEN(2979,3282)))</f>
        <v>84867615.460045576</v>
      </c>
      <c r="B15132">
        <v>153217932.1617111</v>
      </c>
    </row>
    <row r="15133" spans="1:2" x14ac:dyDescent="0.25">
      <c r="A15133">
        <f ca="1">27704.4279435236*((RANDBETWEEN(2979,3282)))</f>
        <v>85883726.624923036</v>
      </c>
      <c r="B15133">
        <v>188270669.84939125</v>
      </c>
    </row>
    <row r="15134" spans="1:2" x14ac:dyDescent="0.25">
      <c r="A15134">
        <f ca="1">26800.7333903195*((RANDBETWEEN(2979,3282)))</f>
        <v>85226332.181215972</v>
      </c>
      <c r="B15134">
        <v>183403346.96372229</v>
      </c>
    </row>
    <row r="15135" spans="1:2" x14ac:dyDescent="0.25">
      <c r="A15135">
        <f ca="1">27303.9192118316*((RANDBETWEEN(2979,3282)))</f>
        <v>87727492.427614778</v>
      </c>
      <c r="B15135">
        <v>184705219.01908228</v>
      </c>
    </row>
    <row r="15136" spans="1:2" x14ac:dyDescent="0.25">
      <c r="A15136">
        <f ca="1">25136.6143930784*((RANDBETWEEN(2979,3282)))</f>
        <v>79255745.181376472</v>
      </c>
      <c r="B15136">
        <v>167968831.71566373</v>
      </c>
    </row>
    <row r="15137" spans="1:2" x14ac:dyDescent="0.25">
      <c r="A15137">
        <f ca="1">28594.5432696927*((RANDBETWEEN(2979,3282)))</f>
        <v>92531942.020725727</v>
      </c>
      <c r="B15137">
        <v>151073844.70707744</v>
      </c>
    </row>
    <row r="15138" spans="1:2" x14ac:dyDescent="0.25">
      <c r="A15138">
        <f ca="1">25836.5194951068*((RANDBETWEEN(2979,3282)))</f>
        <v>83736159.683641016</v>
      </c>
      <c r="B15138">
        <v>152259209.79883283</v>
      </c>
    </row>
    <row r="15139" spans="1:2" x14ac:dyDescent="0.25">
      <c r="A15139">
        <f ca="1">26838.9956610773*((RANDBETWEEN(2979,3282)))</f>
        <v>82529911.657812759</v>
      </c>
      <c r="B15139">
        <v>150733306.49612826</v>
      </c>
    </row>
    <row r="15140" spans="1:2" x14ac:dyDescent="0.25">
      <c r="A15140">
        <f ca="1">27547.9423029726*((RANDBETWEEN(2979,3282)))</f>
        <v>87464716.811937928</v>
      </c>
      <c r="B15140">
        <v>156510796.81724468</v>
      </c>
    </row>
    <row r="15141" spans="1:2" x14ac:dyDescent="0.25">
      <c r="A15141">
        <f ca="1">27495.4592653085*((RANDBETWEEN(2979,3282)))</f>
        <v>84658519.077885002</v>
      </c>
      <c r="B15141">
        <v>170069556.24736547</v>
      </c>
    </row>
    <row r="15142" spans="1:2" x14ac:dyDescent="0.25">
      <c r="A15142">
        <f ca="1">26893.6019395522*((RANDBETWEEN(2979,3282)))</f>
        <v>85145143.740622401</v>
      </c>
      <c r="B15142">
        <v>176853291.62823406</v>
      </c>
    </row>
    <row r="15143" spans="1:2" x14ac:dyDescent="0.25">
      <c r="A15143">
        <f ca="1">30560.654722829*((RANDBETWEEN(2979,3282)))</f>
        <v>96846714.816645235</v>
      </c>
      <c r="B15143">
        <v>162056711.14599949</v>
      </c>
    </row>
    <row r="15144" spans="1:2" x14ac:dyDescent="0.25">
      <c r="A15144">
        <f ca="1">27322.6939777841*((RANDBETWEEN(2979,3282)))</f>
        <v>83880670.51179716</v>
      </c>
      <c r="B15144">
        <v>161747268.9156054</v>
      </c>
    </row>
    <row r="15145" spans="1:2" x14ac:dyDescent="0.25">
      <c r="A15145">
        <f ca="1">27662.4982414745*((RANDBETWEEN(2979,3282)))</f>
        <v>86638944.492297992</v>
      </c>
      <c r="B15145">
        <v>151490515.0617702</v>
      </c>
    </row>
    <row r="15146" spans="1:2" x14ac:dyDescent="0.25">
      <c r="A15146">
        <f ca="1">26615.2762835409*((RANDBETWEEN(2979,3282)))</f>
        <v>85381806.317599162</v>
      </c>
      <c r="B15146">
        <v>159853724.41555792</v>
      </c>
    </row>
    <row r="15147" spans="1:2" x14ac:dyDescent="0.25">
      <c r="A15147">
        <f ca="1">26145.7637665004*((RANDBETWEEN(2979,3282)))</f>
        <v>83195820.305004403</v>
      </c>
      <c r="B15147">
        <v>149254917.21262079</v>
      </c>
    </row>
    <row r="15148" spans="1:2" x14ac:dyDescent="0.25">
      <c r="A15148">
        <f ca="1">32662.8118338852*((RANDBETWEEN(2979,3282)))</f>
        <v>103214485.39507717</v>
      </c>
      <c r="B15148">
        <v>199322723.36264041</v>
      </c>
    </row>
    <row r="15149" spans="1:2" x14ac:dyDescent="0.25">
      <c r="A15149">
        <f ca="1">28065.1135836213*((RANDBETWEEN(2979,3282)))</f>
        <v>92053572.554277852</v>
      </c>
      <c r="B15149">
        <v>200033917.11931485</v>
      </c>
    </row>
    <row r="15150" spans="1:2" x14ac:dyDescent="0.25">
      <c r="A15150">
        <f ca="1">26533.6432213153*((RANDBETWEEN(2979,3282)))</f>
        <v>84668855.519217119</v>
      </c>
      <c r="B15150">
        <v>143274060.16435617</v>
      </c>
    </row>
    <row r="15151" spans="1:2" x14ac:dyDescent="0.25">
      <c r="A15151">
        <f ca="1">25345.4536085168*((RANDBETWEEN(2979,3282)))</f>
        <v>77100869.877108082</v>
      </c>
      <c r="B15151">
        <v>159963692.55132318</v>
      </c>
    </row>
    <row r="15152" spans="1:2" x14ac:dyDescent="0.25">
      <c r="A15152">
        <f ca="1">29006.5148700752*((RANDBETWEEN(2979,3282)))</f>
        <v>89427085.344441935</v>
      </c>
      <c r="B15152">
        <v>163230288.30787995</v>
      </c>
    </row>
    <row r="15153" spans="1:2" x14ac:dyDescent="0.25">
      <c r="A15153">
        <f ca="1">26440.4250094405*((RANDBETWEEN(2979,3282)))</f>
        <v>83498862.179813251</v>
      </c>
      <c r="B15153">
        <v>157247454.01417482</v>
      </c>
    </row>
    <row r="15154" spans="1:2" x14ac:dyDescent="0.25">
      <c r="A15154">
        <f ca="1">29950.2392462199*((RANDBETWEEN(2979,3282)))</f>
        <v>89700966.542428613</v>
      </c>
      <c r="B15154">
        <v>162227879.32814053</v>
      </c>
    </row>
    <row r="15155" spans="1:2" x14ac:dyDescent="0.25">
      <c r="A15155">
        <f ca="1">29219.98496891*((RANDBETWEEN(2979,3282)))</f>
        <v>94877291.194050714</v>
      </c>
      <c r="B15155">
        <v>175781998.40911967</v>
      </c>
    </row>
    <row r="15156" spans="1:2" x14ac:dyDescent="0.25">
      <c r="A15156">
        <f ca="1">26702.8864140361*((RANDBETWEEN(2979,3282)))</f>
        <v>82592027.678613514</v>
      </c>
      <c r="B15156">
        <v>145218559.19144851</v>
      </c>
    </row>
    <row r="15157" spans="1:2" x14ac:dyDescent="0.25">
      <c r="A15157">
        <f ca="1">32495.8896332136*((RANDBETWEEN(2979,3282)))</f>
        <v>98332562.030104384</v>
      </c>
      <c r="B15157">
        <v>201885475.31181163</v>
      </c>
    </row>
    <row r="15158" spans="1:2" x14ac:dyDescent="0.25">
      <c r="A15158">
        <f ca="1">33274.5878844152*((RANDBETWEEN(2979,3282)))</f>
        <v>103583792.08418439</v>
      </c>
      <c r="B15158">
        <v>157647060.11670193</v>
      </c>
    </row>
    <row r="15159" spans="1:2" x14ac:dyDescent="0.25">
      <c r="A15159">
        <f ca="1">26765.8806081644*((RANDBETWEEN(2979,3282)))</f>
        <v>86293199.080722257</v>
      </c>
      <c r="B15159">
        <v>168742671.23321679</v>
      </c>
    </row>
    <row r="15160" spans="1:2" x14ac:dyDescent="0.25">
      <c r="A15160">
        <f ca="1">27533.8540684143*((RANDBETWEEN(2979,3282)))</f>
        <v>90145838.219988286</v>
      </c>
      <c r="B15160">
        <v>156936391.56147358</v>
      </c>
    </row>
    <row r="15161" spans="1:2" x14ac:dyDescent="0.25">
      <c r="A15161">
        <f ca="1">25867.5831160209*((RANDBETWEEN(2979,3282)))</f>
        <v>81069005.485609606</v>
      </c>
      <c r="B15161">
        <v>143312248.26375622</v>
      </c>
    </row>
    <row r="15162" spans="1:2" x14ac:dyDescent="0.25">
      <c r="A15162">
        <f ca="1">29235.679461803*((RANDBETWEEN(2979,3282)))</f>
        <v>92209333.022526577</v>
      </c>
      <c r="B15162">
        <v>163210309.47385702</v>
      </c>
    </row>
    <row r="15163" spans="1:2" x14ac:dyDescent="0.25">
      <c r="A15163">
        <f ca="1">33750.9063951734*((RANDBETWEEN(2979,3282)))</f>
        <v>104594058.91864243</v>
      </c>
      <c r="B15163">
        <v>165344263.78441432</v>
      </c>
    </row>
    <row r="15164" spans="1:2" x14ac:dyDescent="0.25">
      <c r="A15164">
        <f ca="1">29634.7169057868*((RANDBETWEEN(2979,3282)))</f>
        <v>94090226.175873145</v>
      </c>
      <c r="B15164">
        <v>145518755.74212497</v>
      </c>
    </row>
    <row r="15165" spans="1:2" x14ac:dyDescent="0.25">
      <c r="A15165">
        <f ca="1">28058.9752170552*((RANDBETWEEN(2979,3282)))</f>
        <v>90013192.496312976</v>
      </c>
      <c r="B15165">
        <v>148664310.06794178</v>
      </c>
    </row>
    <row r="15166" spans="1:2" x14ac:dyDescent="0.25">
      <c r="A15166">
        <f ca="1">26817.5861391118*((RANDBETWEEN(2979,3282)))</f>
        <v>87130337.365974307</v>
      </c>
      <c r="B15166">
        <v>146349329.51199654</v>
      </c>
    </row>
    <row r="15167" spans="1:2" x14ac:dyDescent="0.25">
      <c r="A15167">
        <f ca="1">27243.971808116*((RANDBETWEEN(2979,3282)))</f>
        <v>89251251.643388167</v>
      </c>
      <c r="B15167">
        <v>166393157.82385477</v>
      </c>
    </row>
    <row r="15168" spans="1:2" x14ac:dyDescent="0.25">
      <c r="A15168">
        <f ca="1">28073.8366121412*((RANDBETWEEN(2979,3282)))</f>
        <v>83856549.960465804</v>
      </c>
      <c r="B15168">
        <v>168931349.44251841</v>
      </c>
    </row>
    <row r="15169" spans="1:2" x14ac:dyDescent="0.25">
      <c r="A15169">
        <f ca="1">27670.2355321413*((RANDBETWEEN(2979,3282)))</f>
        <v>87216582.397309452</v>
      </c>
      <c r="B15169">
        <v>162892122.51127261</v>
      </c>
    </row>
    <row r="15170" spans="1:2" x14ac:dyDescent="0.25">
      <c r="A15170">
        <f ca="1">25828.8391047469*((RANDBETWEEN(2979,3282)))</f>
        <v>82988060.043551862</v>
      </c>
      <c r="B15170">
        <v>162236868.77012998</v>
      </c>
    </row>
    <row r="15171" spans="1:2" x14ac:dyDescent="0.25">
      <c r="A15171">
        <f ca="1">25461.1979021908*((RANDBETWEEN(2979,3282)))</f>
        <v>76001675.738039508</v>
      </c>
      <c r="B15171">
        <v>151601153.86753014</v>
      </c>
    </row>
    <row r="15172" spans="1:2" x14ac:dyDescent="0.25">
      <c r="A15172">
        <f ca="1">26979.4128358383*((RANDBETWEEN(2979,3282)))</f>
        <v>84418582.763338119</v>
      </c>
      <c r="B15172">
        <v>148809466.27706143</v>
      </c>
    </row>
    <row r="15173" spans="1:2" x14ac:dyDescent="0.25">
      <c r="A15173">
        <f ca="1">26914.9241475975*((RANDBETWEEN(2979,3282)))</f>
        <v>83274775.312666729</v>
      </c>
      <c r="B15173">
        <v>169951277.225914</v>
      </c>
    </row>
    <row r="15174" spans="1:2" x14ac:dyDescent="0.25">
      <c r="A15174">
        <f ca="1">31063.6062041371*((RANDBETWEEN(2979,3282)))</f>
        <v>97042705.78172417</v>
      </c>
      <c r="B15174">
        <v>169542504.53146601</v>
      </c>
    </row>
    <row r="15175" spans="1:2" x14ac:dyDescent="0.25">
      <c r="A15175">
        <f ca="1">27577.5523933711*((RANDBETWEEN(2979,3282)))</f>
        <v>87641461.506133482</v>
      </c>
      <c r="B15175">
        <v>146917762.41663161</v>
      </c>
    </row>
    <row r="15176" spans="1:2" x14ac:dyDescent="0.25">
      <c r="A15176">
        <f ca="1">26325.1714741015*((RANDBETWEEN(2979,3282)))</f>
        <v>80634000.225172848</v>
      </c>
      <c r="B15176">
        <v>147565070.28769013</v>
      </c>
    </row>
    <row r="15177" spans="1:2" x14ac:dyDescent="0.25">
      <c r="A15177">
        <f ca="1">26982.8630989993*((RANDBETWEEN(2979,3282)))</f>
        <v>80624794.939809933</v>
      </c>
      <c r="B15177">
        <v>151923007.98585781</v>
      </c>
    </row>
    <row r="15178" spans="1:2" x14ac:dyDescent="0.25">
      <c r="A15178">
        <f ca="1">29599.9179544578*((RANDBETWEEN(2979,3282)))</f>
        <v>95578135.074944362</v>
      </c>
      <c r="B15178">
        <v>183619803.65766236</v>
      </c>
    </row>
    <row r="15179" spans="1:2" x14ac:dyDescent="0.25">
      <c r="A15179">
        <f ca="1">28341.456107188*((RANDBETWEEN(2979,3282)))</f>
        <v>84599246.479956195</v>
      </c>
      <c r="B15179">
        <v>186819824.89514995</v>
      </c>
    </row>
    <row r="15180" spans="1:2" x14ac:dyDescent="0.25">
      <c r="A15180">
        <f ca="1">25836.132883144*((RANDBETWEEN(2979,3282)))</f>
        <v>82133066.435514912</v>
      </c>
      <c r="B15180">
        <v>161498903.24554512</v>
      </c>
    </row>
    <row r="15181" spans="1:2" x14ac:dyDescent="0.25">
      <c r="A15181">
        <f ca="1">27171.0445666943*((RANDBETWEEN(2979,3282)))</f>
        <v>81187081.165282592</v>
      </c>
      <c r="B15181">
        <v>153380204.42156872</v>
      </c>
    </row>
    <row r="15182" spans="1:2" x14ac:dyDescent="0.25">
      <c r="A15182">
        <f ca="1">29532.6533960891*((RANDBETWEEN(2979,3282)))</f>
        <v>90842441.846370086</v>
      </c>
      <c r="B15182">
        <v>170147493.57441449</v>
      </c>
    </row>
    <row r="15183" spans="1:2" x14ac:dyDescent="0.25">
      <c r="A15183">
        <f ca="1">27778.3405492473*((RANDBETWEEN(2979,3282)))</f>
        <v>84335041.907514796</v>
      </c>
      <c r="B15183">
        <v>152126900.88637456</v>
      </c>
    </row>
    <row r="15184" spans="1:2" x14ac:dyDescent="0.25">
      <c r="A15184">
        <f ca="1">29532.3020697355*((RANDBETWEEN(2979,3282)))</f>
        <v>96629692.372174472</v>
      </c>
      <c r="B15184">
        <v>167577399.33278301</v>
      </c>
    </row>
    <row r="15185" spans="1:2" x14ac:dyDescent="0.25">
      <c r="A15185">
        <f ca="1">27456.3078871722*((RANDBETWEEN(2979,3282)))</f>
        <v>84922360.295023486</v>
      </c>
      <c r="B15185">
        <v>184544524.45326257</v>
      </c>
    </row>
    <row r="15186" spans="1:2" x14ac:dyDescent="0.25">
      <c r="A15186">
        <f ca="1">25228.7908405555*((RANDBETWEEN(2979,3282)))</f>
        <v>76796439.318650946</v>
      </c>
      <c r="B15186">
        <v>144900028.65549299</v>
      </c>
    </row>
    <row r="15187" spans="1:2" x14ac:dyDescent="0.25">
      <c r="A15187">
        <f ca="1">28126.7611585488*((RANDBETWEEN(2979,3282)))</f>
        <v>83986508.81942682</v>
      </c>
      <c r="B15187">
        <v>191057054.87021875</v>
      </c>
    </row>
    <row r="15188" spans="1:2" x14ac:dyDescent="0.25">
      <c r="A15188">
        <f ca="1">31061.2670202013*((RANDBETWEEN(2979,3282)))</f>
        <v>101011240.34969458</v>
      </c>
      <c r="B15188">
        <v>169543285.58073023</v>
      </c>
    </row>
    <row r="15189" spans="1:2" x14ac:dyDescent="0.25">
      <c r="A15189">
        <f ca="1">26314.2711763196*((RANDBETWEEN(2979,3282)))</f>
        <v>82600497.222467363</v>
      </c>
      <c r="B15189">
        <v>145970880.4028253</v>
      </c>
    </row>
    <row r="15190" spans="1:2" x14ac:dyDescent="0.25">
      <c r="A15190">
        <f ca="1">32844.3599734519*((RANDBETWEEN(2979,3282)))</f>
        <v>103196979.03658582</v>
      </c>
      <c r="B15190">
        <v>167706264.84805936</v>
      </c>
    </row>
    <row r="15191" spans="1:2" x14ac:dyDescent="0.25">
      <c r="A15191">
        <f ca="1">27832.5544943017*((RANDBETWEEN(2979,3282)))</f>
        <v>87310723.448624372</v>
      </c>
      <c r="B15191">
        <v>174551060.06009868</v>
      </c>
    </row>
    <row r="15192" spans="1:2" x14ac:dyDescent="0.25">
      <c r="A15192">
        <f ca="1">28573.7644437066*((RANDBETWEEN(2979,3282)))</f>
        <v>92407554.21094726</v>
      </c>
      <c r="B15192">
        <v>201213998.11216027</v>
      </c>
    </row>
    <row r="15193" spans="1:2" x14ac:dyDescent="0.25">
      <c r="A15193">
        <f ca="1">26217.8463784926*((RANDBETWEEN(2979,3282)))</f>
        <v>82717305.324144304</v>
      </c>
      <c r="B15193">
        <v>160792598.39606917</v>
      </c>
    </row>
    <row r="15194" spans="1:2" x14ac:dyDescent="0.25">
      <c r="A15194">
        <f ca="1">30337.5760789224*((RANDBETWEEN(2979,3282)))</f>
        <v>92468931.888555422</v>
      </c>
      <c r="B15194">
        <v>200365356.51959819</v>
      </c>
    </row>
    <row r="15195" spans="1:2" x14ac:dyDescent="0.25">
      <c r="A15195">
        <f ca="1">28400.5119795247*((RANDBETWEEN(2979,3282)))</f>
        <v>89461612.735502884</v>
      </c>
      <c r="B15195">
        <v>144853661.72420853</v>
      </c>
    </row>
    <row r="15196" spans="1:2" x14ac:dyDescent="0.25">
      <c r="A15196">
        <f ca="1">28578.5351683955*((RANDBETWEEN(2979,3282)))</f>
        <v>88650616.092362761</v>
      </c>
      <c r="B15196">
        <v>161682089.28004265</v>
      </c>
    </row>
    <row r="15197" spans="1:2" x14ac:dyDescent="0.25">
      <c r="A15197">
        <f ca="1">26938.7377605618*((RANDBETWEEN(2979,3282)))</f>
        <v>84668452.781445637</v>
      </c>
      <c r="B15197">
        <v>145716589.01582915</v>
      </c>
    </row>
    <row r="15198" spans="1:2" x14ac:dyDescent="0.25">
      <c r="A15198">
        <f ca="1">32768.3021886885*((RANDBETWEEN(2979,3282)))</f>
        <v>104530883.98191647</v>
      </c>
      <c r="B15198">
        <v>149754617.89101952</v>
      </c>
    </row>
    <row r="15199" spans="1:2" x14ac:dyDescent="0.25">
      <c r="A15199">
        <f ca="1">30694.5406979438*((RANDBETWEEN(2979,3282)))</f>
        <v>94600574.431062892</v>
      </c>
      <c r="B15199">
        <v>188817622.51110283</v>
      </c>
    </row>
    <row r="15200" spans="1:2" x14ac:dyDescent="0.25">
      <c r="A15200">
        <f ca="1">27074.1896567258*((RANDBETWEEN(2979,3282)))</f>
        <v>88343080.849896222</v>
      </c>
      <c r="B15200">
        <v>156899599.25007159</v>
      </c>
    </row>
    <row r="15201" spans="1:2" x14ac:dyDescent="0.25">
      <c r="A15201">
        <f ca="1">34142.7693280033*((RANDBETWEEN(2979,3282)))</f>
        <v>101711309.82812184</v>
      </c>
      <c r="B15201">
        <v>166116449.98878023</v>
      </c>
    </row>
    <row r="15202" spans="1:2" x14ac:dyDescent="0.25">
      <c r="A15202">
        <f ca="1">31551.3635664123*((RANDBETWEEN(2979,3282)))</f>
        <v>99860065.687695116</v>
      </c>
      <c r="B15202">
        <v>169516345.58362538</v>
      </c>
    </row>
    <row r="15203" spans="1:2" x14ac:dyDescent="0.25">
      <c r="A15203">
        <f ca="1">26992.6206174642*((RANDBETWEEN(2979,3282)))</f>
        <v>80950869.231775269</v>
      </c>
      <c r="B15203">
        <v>175832095.18418097</v>
      </c>
    </row>
    <row r="15204" spans="1:2" x14ac:dyDescent="0.25">
      <c r="A15204">
        <f ca="1">27060.1794050414*((RANDBETWEEN(2979,3282)))</f>
        <v>85428986.381715581</v>
      </c>
      <c r="B15204">
        <v>147706279.39074636</v>
      </c>
    </row>
    <row r="15205" spans="1:2" x14ac:dyDescent="0.25">
      <c r="A15205">
        <f ca="1">32445.4671844617*((RANDBETWEEN(2979,3282)))</f>
        <v>101521866.82018057</v>
      </c>
      <c r="B15205">
        <v>187654250.31037632</v>
      </c>
    </row>
    <row r="15206" spans="1:2" x14ac:dyDescent="0.25">
      <c r="A15206">
        <f ca="1">27549.2565268179*((RANDBETWEEN(2979,3282)))</f>
        <v>89727928.507845864</v>
      </c>
      <c r="B15206">
        <v>164855352.46496469</v>
      </c>
    </row>
    <row r="15207" spans="1:2" x14ac:dyDescent="0.25">
      <c r="A15207">
        <f ca="1">26268.7574628878*((RANDBETWEEN(2979,3282)))</f>
        <v>82746586.008096635</v>
      </c>
      <c r="B15207">
        <v>169869100.25937998</v>
      </c>
    </row>
    <row r="15208" spans="1:2" x14ac:dyDescent="0.25">
      <c r="A15208">
        <f ca="1">27536.0666741692*((RANDBETWEEN(2979,3282)))</f>
        <v>89574824.891072437</v>
      </c>
      <c r="B15208">
        <v>172007891.85118037</v>
      </c>
    </row>
    <row r="15209" spans="1:2" x14ac:dyDescent="0.25">
      <c r="A15209">
        <f ca="1">29745.7026648878*((RANDBETWEEN(2979,3282)))</f>
        <v>90040241.966615364</v>
      </c>
      <c r="B15209">
        <v>191286910.46153212</v>
      </c>
    </row>
    <row r="15210" spans="1:2" x14ac:dyDescent="0.25">
      <c r="A15210">
        <f ca="1">28721.9064153268*((RANDBETWEEN(2979,3282)))</f>
        <v>92226041.499614313</v>
      </c>
      <c r="B15210">
        <v>164762606.09353411</v>
      </c>
    </row>
    <row r="15211" spans="1:2" x14ac:dyDescent="0.25">
      <c r="A15211">
        <f ca="1">26341.787357581*((RANDBETWEEN(2979,3282)))</f>
        <v>83529807.710889414</v>
      </c>
      <c r="B15211">
        <v>154580944.30699342</v>
      </c>
    </row>
    <row r="15212" spans="1:2" x14ac:dyDescent="0.25">
      <c r="A15212">
        <f ca="1">27397.3640907713*((RANDBETWEEN(2979,3282)))</f>
        <v>83068807.923218518</v>
      </c>
      <c r="B15212">
        <v>182738277.38060308</v>
      </c>
    </row>
    <row r="15213" spans="1:2" x14ac:dyDescent="0.25">
      <c r="A15213">
        <f ca="1">28435.0521324444*((RANDBETWEEN(2979,3282)))</f>
        <v>87551525.515796453</v>
      </c>
      <c r="B15213">
        <v>188786308.16261956</v>
      </c>
    </row>
    <row r="15214" spans="1:2" x14ac:dyDescent="0.25">
      <c r="A15214">
        <f ca="1">26847.2574274305*((RANDBETWEEN(2979,3282)))</f>
        <v>87092503.09458454</v>
      </c>
      <c r="B15214">
        <v>158855851.99201339</v>
      </c>
    </row>
    <row r="15215" spans="1:2" x14ac:dyDescent="0.25">
      <c r="A15215">
        <f ca="1">27002.1653398035*((RANDBETWEEN(2979,3282)))</f>
        <v>81681550.152905449</v>
      </c>
      <c r="B15215">
        <v>203105668.71746746</v>
      </c>
    </row>
    <row r="15216" spans="1:2" x14ac:dyDescent="0.25">
      <c r="A15216">
        <f ca="1">29225.8186531826*((RANDBETWEEN(2979,3282)))</f>
        <v>92938103.317120522</v>
      </c>
      <c r="B15216">
        <v>165227824.18586183</v>
      </c>
    </row>
    <row r="15217" spans="1:2" x14ac:dyDescent="0.25">
      <c r="A15217">
        <f ca="1">27473.0190983705*((RANDBETWEEN(2979,3282)))</f>
        <v>84204803.536505461</v>
      </c>
      <c r="B15217">
        <v>178107692.12416044</v>
      </c>
    </row>
    <row r="15218" spans="1:2" x14ac:dyDescent="0.25">
      <c r="A15218">
        <f ca="1">30230.7694736884*((RANDBETWEEN(2979,3282)))</f>
        <v>91327154.580012739</v>
      </c>
      <c r="B15218">
        <v>156458372.11047345</v>
      </c>
    </row>
    <row r="15219" spans="1:2" x14ac:dyDescent="0.25">
      <c r="A15219">
        <f ca="1">27231.2790996992*((RANDBETWEEN(2979,3282)))</f>
        <v>82538006.951188326</v>
      </c>
      <c r="B15219">
        <v>165791861.22213462</v>
      </c>
    </row>
    <row r="15220" spans="1:2" x14ac:dyDescent="0.25">
      <c r="A15220">
        <f ca="1">31800.5445442505*((RANDBETWEEN(2979,3282)))</f>
        <v>102493155.06611924</v>
      </c>
      <c r="B15220">
        <v>177663920.30091748</v>
      </c>
    </row>
    <row r="15221" spans="1:2" x14ac:dyDescent="0.25">
      <c r="A15221">
        <f ca="1">31400.6202196667*((RANDBETWEEN(2979,3282)))</f>
        <v>99885372.918759838</v>
      </c>
      <c r="B15221">
        <v>145194887.01915443</v>
      </c>
    </row>
    <row r="15222" spans="1:2" x14ac:dyDescent="0.25">
      <c r="A15222">
        <f ca="1">27540.3523570983*((RANDBETWEEN(2979,3282)))</f>
        <v>85072148.431076556</v>
      </c>
      <c r="B15222">
        <v>167221464.17368805</v>
      </c>
    </row>
    <row r="15223" spans="1:2" x14ac:dyDescent="0.25">
      <c r="A15223">
        <f ca="1">26163.1556075042*((RANDBETWEEN(2979,3282)))</f>
        <v>81445903.406160489</v>
      </c>
      <c r="B15223">
        <v>153579610.98348606</v>
      </c>
    </row>
    <row r="15224" spans="1:2" x14ac:dyDescent="0.25">
      <c r="A15224">
        <f ca="1">29684.4197008804*((RANDBETWEEN(2979,3282)))</f>
        <v>93120024.601661861</v>
      </c>
      <c r="B15224">
        <v>201005153.99554601</v>
      </c>
    </row>
    <row r="15225" spans="1:2" x14ac:dyDescent="0.25">
      <c r="A15225">
        <f ca="1">27606.5702526716*((RANDBETWEEN(2979,3282)))</f>
        <v>84696957.535196334</v>
      </c>
      <c r="B15225">
        <v>148128691.72319746</v>
      </c>
    </row>
    <row r="15226" spans="1:2" x14ac:dyDescent="0.25">
      <c r="A15226">
        <f ca="1">26635.8822163196*((RANDBETWEEN(2979,3282)))</f>
        <v>83077316.63270092</v>
      </c>
      <c r="B15226">
        <v>144540251.93927765</v>
      </c>
    </row>
    <row r="15227" spans="1:2" x14ac:dyDescent="0.25">
      <c r="A15227">
        <f ca="1">32385.4248730536*((RANDBETWEEN(2979,3282)))</f>
        <v>98322149.914590657</v>
      </c>
      <c r="B15227">
        <v>191873509.64587587</v>
      </c>
    </row>
    <row r="15228" spans="1:2" x14ac:dyDescent="0.25">
      <c r="A15228">
        <f ca="1">29431.6471168874*((RANDBETWEEN(2979,3282)))</f>
        <v>91061516.17964974</v>
      </c>
      <c r="B15228">
        <v>157231160.46500885</v>
      </c>
    </row>
    <row r="15229" spans="1:2" x14ac:dyDescent="0.25">
      <c r="A15229">
        <f ca="1">31446.6299803702*((RANDBETWEEN(2979,3282)))</f>
        <v>98113485.538755164</v>
      </c>
      <c r="B15229">
        <v>167245215.53217459</v>
      </c>
    </row>
    <row r="15230" spans="1:2" x14ac:dyDescent="0.25">
      <c r="A15230">
        <f ca="1">27604.1399981554*((RANDBETWEEN(2979,3282)))</f>
        <v>84551480.814350054</v>
      </c>
      <c r="B15230">
        <v>166767630.06604597</v>
      </c>
    </row>
    <row r="15231" spans="1:2" x14ac:dyDescent="0.25">
      <c r="A15231">
        <f ca="1">31137.6038846665*((RANDBETWEEN(2979,3282)))</f>
        <v>94782866.224924773</v>
      </c>
      <c r="B15231">
        <v>166739243.01181698</v>
      </c>
    </row>
    <row r="15232" spans="1:2" x14ac:dyDescent="0.25">
      <c r="A15232">
        <f ca="1">25979.3507367931*((RANDBETWEEN(2979,3282)))</f>
        <v>78457639.225115106</v>
      </c>
      <c r="B15232">
        <v>161417578.00168568</v>
      </c>
    </row>
    <row r="15233" spans="1:2" x14ac:dyDescent="0.25">
      <c r="A15233">
        <f ca="1">27325.1874484957*((RANDBETWEEN(2979,3282)))</f>
        <v>85773763.400828019</v>
      </c>
      <c r="B15233">
        <v>161170783.55119243</v>
      </c>
    </row>
    <row r="15234" spans="1:2" x14ac:dyDescent="0.25">
      <c r="A15234">
        <f ca="1">28314.8063458981*((RANDBETWEEN(2979,3282)))</f>
        <v>87521066.41517131</v>
      </c>
      <c r="B15234">
        <v>170608495.46554443</v>
      </c>
    </row>
    <row r="15235" spans="1:2" x14ac:dyDescent="0.25">
      <c r="A15235">
        <f ca="1">27618.7969671486*((RANDBETWEEN(2979,3282)))</f>
        <v>83850667.592263117</v>
      </c>
      <c r="B15235">
        <v>199430791.44400775</v>
      </c>
    </row>
    <row r="15236" spans="1:2" x14ac:dyDescent="0.25">
      <c r="A15236">
        <f ca="1">28448.9997032029*((RANDBETWEEN(2979,3282)))</f>
        <v>84891815.114357531</v>
      </c>
      <c r="B15236">
        <v>178397715.14578775</v>
      </c>
    </row>
    <row r="15237" spans="1:2" x14ac:dyDescent="0.25">
      <c r="A15237">
        <f ca="1">27164.0451048685*((RANDBETWEEN(2979,3282)))</f>
        <v>83583766.787680402</v>
      </c>
      <c r="B15237">
        <v>146911171.0864256</v>
      </c>
    </row>
    <row r="15238" spans="1:2" x14ac:dyDescent="0.25">
      <c r="A15238">
        <f ca="1">26646.9719664326*((RANDBETWEEN(2979,3282)))</f>
        <v>83111905.563303128</v>
      </c>
      <c r="B15238">
        <v>147757201.96861023</v>
      </c>
    </row>
    <row r="15239" spans="1:2" x14ac:dyDescent="0.25">
      <c r="A15239">
        <f ca="1">28313.0132749751*((RANDBETWEEN(2979,3282)))</f>
        <v>85703491.183349505</v>
      </c>
      <c r="B15239">
        <v>181345268.65219438</v>
      </c>
    </row>
    <row r="15240" spans="1:2" x14ac:dyDescent="0.25">
      <c r="A15240">
        <f ca="1">27231.3894696683*((RANDBETWEEN(2979,3282)))</f>
        <v>85125323.482183039</v>
      </c>
      <c r="B15240">
        <v>192401242.27020568</v>
      </c>
    </row>
    <row r="15241" spans="1:2" x14ac:dyDescent="0.25">
      <c r="A15241">
        <f ca="1">31235.9681988183*((RANDBETWEEN(2979,3282)))</f>
        <v>95425882.847390011</v>
      </c>
      <c r="B15241">
        <v>171525261.39098063</v>
      </c>
    </row>
    <row r="15242" spans="1:2" x14ac:dyDescent="0.25">
      <c r="A15242">
        <f ca="1">29070.58718761*((RANDBETWEEN(2979,3282)))</f>
        <v>95060820.10348469</v>
      </c>
      <c r="B15242">
        <v>149393193.54283088</v>
      </c>
    </row>
    <row r="15243" spans="1:2" x14ac:dyDescent="0.25">
      <c r="A15243">
        <f ca="1">31367.6354793034*((RANDBETWEEN(2979,3282)))</f>
        <v>96079067.473106414</v>
      </c>
      <c r="B15243">
        <v>166711467.99778673</v>
      </c>
    </row>
    <row r="15244" spans="1:2" x14ac:dyDescent="0.25">
      <c r="A15244">
        <f ca="1">26469.6944726006*((RANDBETWEEN(2979,3282)))</f>
        <v>81738416.531390801</v>
      </c>
      <c r="B15244">
        <v>149357240.00036779</v>
      </c>
    </row>
    <row r="15245" spans="1:2" x14ac:dyDescent="0.25">
      <c r="A15245">
        <f ca="1">26506.6290693816*((RANDBETWEEN(2979,3282)))</f>
        <v>86703183.68594712</v>
      </c>
      <c r="B15245">
        <v>196986412.09832513</v>
      </c>
    </row>
    <row r="15246" spans="1:2" x14ac:dyDescent="0.25">
      <c r="A15246">
        <f ca="1">29064.847982181*((RANDBETWEEN(2979,3282)))</f>
        <v>94577015.334016904</v>
      </c>
      <c r="B15246">
        <v>154670921.00650567</v>
      </c>
    </row>
    <row r="15247" spans="1:2" x14ac:dyDescent="0.25">
      <c r="A15247">
        <f ca="1">28558.5943376876*((RANDBETWEEN(2979,3282)))</f>
        <v>91273267.503249586</v>
      </c>
      <c r="B15247">
        <v>153912204.08932155</v>
      </c>
    </row>
    <row r="15248" spans="1:2" x14ac:dyDescent="0.25">
      <c r="A15248">
        <f ca="1">28881.3810858387*((RANDBETWEEN(2979,3282)))</f>
        <v>92218249.807083085</v>
      </c>
      <c r="B15248">
        <v>166604185.0425075</v>
      </c>
    </row>
    <row r="15249" spans="1:2" x14ac:dyDescent="0.25">
      <c r="A15249">
        <f ca="1">29247.0037303207*((RANDBETWEEN(2979,3282)))</f>
        <v>94760292.086238921</v>
      </c>
      <c r="B15249">
        <v>164913188.8971498</v>
      </c>
    </row>
    <row r="15250" spans="1:2" x14ac:dyDescent="0.25">
      <c r="A15250">
        <f ca="1">29525.3325299359*((RANDBETWEEN(2979,3282)))</f>
        <v>92857170.806648359</v>
      </c>
      <c r="B15250">
        <v>202482920.09899586</v>
      </c>
    </row>
    <row r="15251" spans="1:2" x14ac:dyDescent="0.25">
      <c r="A15251">
        <f ca="1">27293.3825957949*((RANDBETWEEN(2979,3282)))</f>
        <v>87447997.836926833</v>
      </c>
      <c r="B15251">
        <v>156294661.5611608</v>
      </c>
    </row>
    <row r="15252" spans="1:2" x14ac:dyDescent="0.25">
      <c r="A15252">
        <f ca="1">29390.8567020526*((RANDBETWEEN(2979,3282)))</f>
        <v>88172570.106157795</v>
      </c>
      <c r="B15252">
        <v>193049114.27545241</v>
      </c>
    </row>
    <row r="15253" spans="1:2" x14ac:dyDescent="0.25">
      <c r="A15253">
        <f ca="1">26365.8587706694*((RANDBETWEEN(2979,3282)))</f>
        <v>82709698.963589951</v>
      </c>
      <c r="B15253">
        <v>148450422.99776751</v>
      </c>
    </row>
    <row r="15254" spans="1:2" x14ac:dyDescent="0.25">
      <c r="A15254">
        <f ca="1">27437.0618346078*((RANDBETWEEN(2979,3282)))</f>
        <v>85878003.542322353</v>
      </c>
      <c r="B15254">
        <v>153638240.018278</v>
      </c>
    </row>
    <row r="15255" spans="1:2" x14ac:dyDescent="0.25">
      <c r="A15255">
        <f ca="1">26819.0962730334*((RANDBETWEEN(2979,3282)))</f>
        <v>80537746.107919171</v>
      </c>
      <c r="B15255">
        <v>154442147.4695937</v>
      </c>
    </row>
    <row r="15256" spans="1:2" x14ac:dyDescent="0.25">
      <c r="A15256">
        <f ca="1">27126.0655438832*((RANDBETWEEN(2979,3282)))</f>
        <v>82246230.729053825</v>
      </c>
      <c r="B15256">
        <v>149926885.25920379</v>
      </c>
    </row>
    <row r="15257" spans="1:2" x14ac:dyDescent="0.25">
      <c r="A15257">
        <f ca="1">26649.0934693933*((RANDBETWEEN(2979,3282)))</f>
        <v>80187122.249404311</v>
      </c>
      <c r="B15257">
        <v>180686023.40901551</v>
      </c>
    </row>
    <row r="15258" spans="1:2" x14ac:dyDescent="0.25">
      <c r="A15258">
        <f ca="1">28317.6517822656*((RANDBETWEEN(2979,3282)))</f>
        <v>88209485.301757216</v>
      </c>
      <c r="B15258">
        <v>154964757.18859041</v>
      </c>
    </row>
    <row r="15259" spans="1:2" x14ac:dyDescent="0.25">
      <c r="A15259">
        <f ca="1">27408.8040982638*((RANDBETWEEN(2979,3282)))</f>
        <v>89846059.834108859</v>
      </c>
      <c r="B15259">
        <v>149945656.67833179</v>
      </c>
    </row>
    <row r="15260" spans="1:2" x14ac:dyDescent="0.25">
      <c r="A15260">
        <f ca="1">28670.9898664295*((RANDBETWEEN(2979,3282)))</f>
        <v>91661154.602975056</v>
      </c>
      <c r="B15260">
        <v>151637954.81263614</v>
      </c>
    </row>
    <row r="15261" spans="1:2" x14ac:dyDescent="0.25">
      <c r="A15261">
        <f ca="1">27457.6883991514*((RANDBETWEEN(2979,3282)))</f>
        <v>81961199.871467054</v>
      </c>
      <c r="B15261">
        <v>176848305.89005652</v>
      </c>
    </row>
    <row r="15262" spans="1:2" x14ac:dyDescent="0.25">
      <c r="A15262">
        <f ca="1">30224.6710941241*((RANDBETWEEN(2979,3282)))</f>
        <v>97867485.002773896</v>
      </c>
      <c r="B15262">
        <v>178168642.06257412</v>
      </c>
    </row>
    <row r="15263" spans="1:2" x14ac:dyDescent="0.25">
      <c r="A15263">
        <f ca="1">29185.0619809102*((RANDBETWEEN(2979,3282)))</f>
        <v>95376782.553614631</v>
      </c>
      <c r="B15263">
        <v>165780353.25339365</v>
      </c>
    </row>
    <row r="15264" spans="1:2" x14ac:dyDescent="0.25">
      <c r="A15264">
        <f ca="1">27935.886469497*((RANDBETWEEN(2979,3282)))</f>
        <v>90400528.615292445</v>
      </c>
      <c r="B15264">
        <v>160795459.81609392</v>
      </c>
    </row>
    <row r="15265" spans="1:2" x14ac:dyDescent="0.25">
      <c r="A15265">
        <f ca="1">26681.8329345971*((RANDBETWEEN(2979,3282)))</f>
        <v>86715957.037440538</v>
      </c>
      <c r="B15265">
        <v>145736814.82488921</v>
      </c>
    </row>
    <row r="15266" spans="1:2" x14ac:dyDescent="0.25">
      <c r="A15266">
        <f ca="1">27457.0709189734*((RANDBETWEEN(2979,3282)))</f>
        <v>85968089.047305793</v>
      </c>
      <c r="B15266">
        <v>158861659.58868474</v>
      </c>
    </row>
    <row r="15267" spans="1:2" x14ac:dyDescent="0.25">
      <c r="A15267">
        <f ca="1">26864.2512780043*((RANDBETWEEN(2979,3282)))</f>
        <v>82338930.167083099</v>
      </c>
      <c r="B15267">
        <v>184783056.11740834</v>
      </c>
    </row>
    <row r="15268" spans="1:2" x14ac:dyDescent="0.25">
      <c r="A15268">
        <f ca="1">28588.7656191392*((RANDBETWEEN(2979,3282)))</f>
        <v>89511425.153524935</v>
      </c>
      <c r="B15268">
        <v>164040883.25296673</v>
      </c>
    </row>
    <row r="15269" spans="1:2" x14ac:dyDescent="0.25">
      <c r="A15269">
        <f ca="1">27502.014047593*((RANDBETWEEN(2979,3282)))</f>
        <v>86438830.151584655</v>
      </c>
      <c r="B15269">
        <v>143840114.87408704</v>
      </c>
    </row>
    <row r="15270" spans="1:2" x14ac:dyDescent="0.25">
      <c r="A15270">
        <f ca="1">26458.3469772084*((RANDBETWEEN(2979,3282)))</f>
        <v>83476084.713092402</v>
      </c>
      <c r="B15270">
        <v>169990772.81582934</v>
      </c>
    </row>
    <row r="15271" spans="1:2" x14ac:dyDescent="0.25">
      <c r="A15271">
        <f ca="1">27814.1274537923*((RANDBETWEEN(2979,3282)))</f>
        <v>86168166.851848409</v>
      </c>
      <c r="B15271">
        <v>179870683.05005556</v>
      </c>
    </row>
    <row r="15272" spans="1:2" x14ac:dyDescent="0.25">
      <c r="A15272">
        <f ca="1">26336.8306072656*((RANDBETWEEN(2979,3282)))</f>
        <v>81723185.374345303</v>
      </c>
      <c r="B15272">
        <v>175276674.00723279</v>
      </c>
    </row>
    <row r="15273" spans="1:2" x14ac:dyDescent="0.25">
      <c r="A15273">
        <f ca="1">26643.0117967664*((RANDBETWEEN(2979,3282)))</f>
        <v>85151065.70246546</v>
      </c>
      <c r="B15273">
        <v>196905217.82965124</v>
      </c>
    </row>
    <row r="15274" spans="1:2" x14ac:dyDescent="0.25">
      <c r="A15274">
        <f ca="1">26774.9043782096*((RANDBETWEEN(2979,3282)))</f>
        <v>81074410.457218543</v>
      </c>
      <c r="B15274">
        <v>175636648.82369453</v>
      </c>
    </row>
    <row r="15275" spans="1:2" x14ac:dyDescent="0.25">
      <c r="A15275">
        <f ca="1">25344.720625316*((RANDBETWEEN(2979,3282)))</f>
        <v>78061739.52597335</v>
      </c>
      <c r="B15275">
        <v>145746212.26544619</v>
      </c>
    </row>
    <row r="15276" spans="1:2" x14ac:dyDescent="0.25">
      <c r="A15276">
        <f ca="1">26937.3944495084*((RANDBETWEEN(2979,3282)))</f>
        <v>86388223.999573439</v>
      </c>
      <c r="B15276">
        <v>177466285.19950813</v>
      </c>
    </row>
    <row r="15277" spans="1:2" x14ac:dyDescent="0.25">
      <c r="A15277">
        <f ca="1">26869.7833878241*((RANDBETWEEN(2979,3282)))</f>
        <v>80313782.546206236</v>
      </c>
      <c r="B15277">
        <v>165498417.43827745</v>
      </c>
    </row>
    <row r="15278" spans="1:2" x14ac:dyDescent="0.25">
      <c r="A15278">
        <f ca="1">26105.7530888956*((RANDBETWEEN(2979,3282)))</f>
        <v>82859660.304154515</v>
      </c>
      <c r="B15278">
        <v>144342405.82937375</v>
      </c>
    </row>
    <row r="15279" spans="1:2" x14ac:dyDescent="0.25">
      <c r="A15279">
        <f ca="1">27351.7480041017*((RANDBETWEEN(2979,3282)))</f>
        <v>85528916.008826002</v>
      </c>
      <c r="B15279">
        <v>181066939.90251273</v>
      </c>
    </row>
    <row r="15280" spans="1:2" x14ac:dyDescent="0.25">
      <c r="A15280">
        <f ca="1">26376.8041045913*((RANDBETWEEN(2979,3282)))</f>
        <v>80264614.890271246</v>
      </c>
      <c r="B15280">
        <v>144148154.21715415</v>
      </c>
    </row>
    <row r="15281" spans="1:2" x14ac:dyDescent="0.25">
      <c r="A15281">
        <f ca="1">26559.3911750444*((RANDBETWEEN(2979,3282)))</f>
        <v>86610174.621819764</v>
      </c>
      <c r="B15281">
        <v>182633007.16740313</v>
      </c>
    </row>
    <row r="15282" spans="1:2" x14ac:dyDescent="0.25">
      <c r="A15282">
        <f ca="1">25716.2405675682*((RANDBETWEEN(2979,3282)))</f>
        <v>80260386.811380208</v>
      </c>
      <c r="B15282">
        <v>149813443.33808571</v>
      </c>
    </row>
    <row r="15283" spans="1:2" x14ac:dyDescent="0.25">
      <c r="A15283">
        <f ca="1">26839.9872307771*((RANDBETWEEN(2979,3282)))</f>
        <v>88035158.116948739</v>
      </c>
      <c r="B15283">
        <v>152614473.47984284</v>
      </c>
    </row>
    <row r="15284" spans="1:2" x14ac:dyDescent="0.25">
      <c r="A15284">
        <f ca="1">26897.0669860703*((RANDBETWEEN(2979,3282)))</f>
        <v>84618172.738177031</v>
      </c>
      <c r="B15284">
        <v>147938952.38022524</v>
      </c>
    </row>
    <row r="15285" spans="1:2" x14ac:dyDescent="0.25">
      <c r="A15285">
        <f ca="1">28067.5112437229*((RANDBETWEEN(2979,3282)))</f>
        <v>90040576.069863081</v>
      </c>
      <c r="B15285">
        <v>157437243.11644423</v>
      </c>
    </row>
    <row r="15286" spans="1:2" x14ac:dyDescent="0.25">
      <c r="A15286">
        <f ca="1">25834.5521350107*((RANDBETWEEN(2979,3282)))</f>
        <v>82412221.310684085</v>
      </c>
      <c r="B15286">
        <v>143611406.85208628</v>
      </c>
    </row>
    <row r="15287" spans="1:2" x14ac:dyDescent="0.25">
      <c r="A15287">
        <f ca="1">29218.7919242088*((RANDBETWEEN(2979,3282)))</f>
        <v>87334969.061460108</v>
      </c>
      <c r="B15287">
        <v>156778708.79550529</v>
      </c>
    </row>
    <row r="15288" spans="1:2" x14ac:dyDescent="0.25">
      <c r="A15288">
        <f ca="1">27442.259020313*((RANDBETWEEN(2979,3282)))</f>
        <v>89626417.960342139</v>
      </c>
      <c r="B15288">
        <v>167651852.52535927</v>
      </c>
    </row>
    <row r="15289" spans="1:2" x14ac:dyDescent="0.25">
      <c r="A15289">
        <f ca="1">27755.7785718467*((RANDBETWEEN(2979,3282)))</f>
        <v>83877962.844120651</v>
      </c>
      <c r="B15289">
        <v>143732980.05619264</v>
      </c>
    </row>
    <row r="15290" spans="1:2" x14ac:dyDescent="0.25">
      <c r="A15290">
        <f ca="1">25933.9594192617*((RANDBETWEEN(2979,3282)))</f>
        <v>84985585.016920656</v>
      </c>
      <c r="B15290">
        <v>161858597.65208995</v>
      </c>
    </row>
    <row r="15291" spans="1:2" x14ac:dyDescent="0.25">
      <c r="A15291">
        <f ca="1">27849.7652745462*((RANDBETWEEN(2979,3282)))</f>
        <v>83326497.701442137</v>
      </c>
      <c r="B15291">
        <v>168707944.65716961</v>
      </c>
    </row>
    <row r="15292" spans="1:2" x14ac:dyDescent="0.25">
      <c r="A15292">
        <f ca="1">27121.2469768196*((RANDBETWEEN(2979,3282)))</f>
        <v>87682991.476057887</v>
      </c>
      <c r="B15292">
        <v>156696455.1933904</v>
      </c>
    </row>
    <row r="15293" spans="1:2" x14ac:dyDescent="0.25">
      <c r="A15293">
        <f ca="1">29726.6189739492*((RANDBETWEEN(2979,3282)))</f>
        <v>93846936.100757524</v>
      </c>
      <c r="B15293">
        <v>192374220.06911588</v>
      </c>
    </row>
    <row r="15294" spans="1:2" x14ac:dyDescent="0.25">
      <c r="A15294">
        <f ca="1">25527.0815590354*((RANDBETWEEN(2979,3282)))</f>
        <v>78751046.609624252</v>
      </c>
      <c r="B15294">
        <v>143563220.53850693</v>
      </c>
    </row>
    <row r="15295" spans="1:2" x14ac:dyDescent="0.25">
      <c r="A15295">
        <f ca="1">29724.5944599196*((RANDBETWEEN(2979,3282)))</f>
        <v>92621836.337109432</v>
      </c>
      <c r="B15295">
        <v>159744628.62708071</v>
      </c>
    </row>
    <row r="15296" spans="1:2" x14ac:dyDescent="0.25">
      <c r="A15296">
        <f ca="1">25561.3150492985*((RANDBETWEEN(2979,3282)))</f>
        <v>79163392.707677677</v>
      </c>
      <c r="B15296">
        <v>202770573.02076569</v>
      </c>
    </row>
    <row r="15297" spans="1:2" x14ac:dyDescent="0.25">
      <c r="A15297">
        <f ca="1">26568.4397583693*((RANDBETWEEN(2979,3282)))</f>
        <v>83079511.124420717</v>
      </c>
      <c r="B15297">
        <v>186501536.84081095</v>
      </c>
    </row>
    <row r="15298" spans="1:2" x14ac:dyDescent="0.25">
      <c r="A15298">
        <f ca="1">25931.7184463672*((RANDBETWEEN(2979,3282)))</f>
        <v>83966904.329336837</v>
      </c>
      <c r="B15298">
        <v>146752092.60158104</v>
      </c>
    </row>
    <row r="15299" spans="1:2" x14ac:dyDescent="0.25">
      <c r="A15299">
        <f ca="1">27316.8029178126*((RANDBETWEEN(2979,3282)))</f>
        <v>85310375.512328655</v>
      </c>
      <c r="B15299">
        <v>171597067.28774434</v>
      </c>
    </row>
    <row r="15300" spans="1:2" x14ac:dyDescent="0.25">
      <c r="A15300">
        <f ca="1">29529.1608388677*((RANDBETWEEN(2979,3282)))</f>
        <v>94700018.810248688</v>
      </c>
      <c r="B15300">
        <v>178015994.96691087</v>
      </c>
    </row>
    <row r="15301" spans="1:2" x14ac:dyDescent="0.25">
      <c r="A15301">
        <f ca="1">29351.5273998218*((RANDBETWEEN(2979,3282)))</f>
        <v>92545365.8916381</v>
      </c>
      <c r="B15301">
        <v>156276785.04302809</v>
      </c>
    </row>
    <row r="15302" spans="1:2" x14ac:dyDescent="0.25">
      <c r="A15302">
        <f ca="1">26085.9493878324*((RANDBETWEEN(2979,3282)))</f>
        <v>84048928.927596077</v>
      </c>
      <c r="B15302">
        <v>164443937.10742092</v>
      </c>
    </row>
    <row r="15303" spans="1:2" x14ac:dyDescent="0.25">
      <c r="A15303">
        <f ca="1">29753.7638957008*((RANDBETWEEN(2979,3282)))</f>
        <v>97265054.175046042</v>
      </c>
      <c r="B15303">
        <v>168034107.62288138</v>
      </c>
    </row>
    <row r="15304" spans="1:2" x14ac:dyDescent="0.25">
      <c r="A15304">
        <f ca="1">26303.858811082*((RANDBETWEEN(2979,3282)))</f>
        <v>80489807.961910859</v>
      </c>
      <c r="B15304">
        <v>179634829.44466147</v>
      </c>
    </row>
    <row r="15305" spans="1:2" x14ac:dyDescent="0.25">
      <c r="A15305">
        <f ca="1">30495.8976914102*((RANDBETWEEN(2979,3282)))</f>
        <v>94171332.071074814</v>
      </c>
      <c r="B15305">
        <v>157370120.10368925</v>
      </c>
    </row>
    <row r="15306" spans="1:2" x14ac:dyDescent="0.25">
      <c r="A15306">
        <f ca="1">27096.5225904114*((RANDBETWEEN(2979,3282)))</f>
        <v>83186324.352562919</v>
      </c>
      <c r="B15306">
        <v>148324083.54785931</v>
      </c>
    </row>
    <row r="15307" spans="1:2" x14ac:dyDescent="0.25">
      <c r="A15307">
        <f ca="1">29771.705160083*((RANDBETWEEN(2979,3282)))</f>
        <v>91280048.020814598</v>
      </c>
      <c r="B15307">
        <v>184136957.90802005</v>
      </c>
    </row>
    <row r="15308" spans="1:2" x14ac:dyDescent="0.25">
      <c r="A15308">
        <f ca="1">30451.0427656328*((RANDBETWEEN(2979,3282)))</f>
        <v>93149739.820070848</v>
      </c>
      <c r="B15308">
        <v>184406069.18806216</v>
      </c>
    </row>
    <row r="15309" spans="1:2" x14ac:dyDescent="0.25">
      <c r="A15309">
        <f ca="1">30361.4002264698*((RANDBETWEEN(2979,3282)))</f>
        <v>97277926.325609207</v>
      </c>
      <c r="B15309">
        <v>152510330.13413918</v>
      </c>
    </row>
    <row r="15310" spans="1:2" x14ac:dyDescent="0.25">
      <c r="A15310">
        <f ca="1">33906.9390415957*((RANDBETWEEN(2979,3282)))</f>
        <v>102839746.11315985</v>
      </c>
      <c r="B15310">
        <v>202404154.68193948</v>
      </c>
    </row>
    <row r="15311" spans="1:2" x14ac:dyDescent="0.25">
      <c r="A15311">
        <f ca="1">26482.9760852967*((RANDBETWEEN(2979,3282)))</f>
        <v>83394891.69259946</v>
      </c>
      <c r="B15311">
        <v>145821498.2316511</v>
      </c>
    </row>
    <row r="15312" spans="1:2" x14ac:dyDescent="0.25">
      <c r="A15312">
        <f ca="1">27096.514389079*((RANDBETWEEN(2979,3282)))</f>
        <v>87765610.106226847</v>
      </c>
      <c r="B15312">
        <v>182004779.61873075</v>
      </c>
    </row>
    <row r="15313" spans="1:2" x14ac:dyDescent="0.25">
      <c r="A15313">
        <f ca="1">31305.8413580272*((RANDBETWEEN(2979,3282)))</f>
        <v>95576733.666056991</v>
      </c>
      <c r="B15313">
        <v>192420249.2295768</v>
      </c>
    </row>
    <row r="15314" spans="1:2" x14ac:dyDescent="0.25">
      <c r="A15314">
        <f ca="1">28329.0718711233*((RANDBETWEEN(2979,3282)))</f>
        <v>91701205.646826223</v>
      </c>
      <c r="B15314">
        <v>159672828.00350693</v>
      </c>
    </row>
    <row r="15315" spans="1:2" x14ac:dyDescent="0.25">
      <c r="A15315">
        <f ca="1">28947.9858593702*((RANDBETWEEN(2979,3282)))</f>
        <v>92315126.905531496</v>
      </c>
      <c r="B15315">
        <v>151274806.95309681</v>
      </c>
    </row>
    <row r="15316" spans="1:2" x14ac:dyDescent="0.25">
      <c r="A15316">
        <f ca="1">29751.6609921853*((RANDBETWEEN(2979,3282)))</f>
        <v>92557417.346688494</v>
      </c>
      <c r="B15316">
        <v>199284961.06352782</v>
      </c>
    </row>
    <row r="15317" spans="1:2" x14ac:dyDescent="0.25">
      <c r="A15317">
        <f ca="1">31554.5584345889*((RANDBETWEEN(2979,3282)))</f>
        <v>98292449.52374427</v>
      </c>
      <c r="B15317">
        <v>176432553.68107152</v>
      </c>
    </row>
    <row r="15318" spans="1:2" x14ac:dyDescent="0.25">
      <c r="A15318">
        <f ca="1">30827.801002974*((RANDBETWEEN(2979,3282)))</f>
        <v>97323367.766388878</v>
      </c>
      <c r="B15318">
        <v>173387556.66928002</v>
      </c>
    </row>
    <row r="15319" spans="1:2" x14ac:dyDescent="0.25">
      <c r="A15319">
        <f ca="1">26710.4688301715*((RANDBETWEEN(2979,3282)))</f>
        <v>86835734.166887611</v>
      </c>
      <c r="B15319">
        <v>165612519.37942499</v>
      </c>
    </row>
    <row r="15320" spans="1:2" x14ac:dyDescent="0.25">
      <c r="A15320">
        <f ca="1">29818.7369400097*((RANDBETWEEN(2979,3282)))</f>
        <v>97298538.63525182</v>
      </c>
      <c r="B15320">
        <v>156526396.53699648</v>
      </c>
    </row>
    <row r="15321" spans="1:2" x14ac:dyDescent="0.25">
      <c r="A15321">
        <f ca="1">26595.8941598413*((RANDBETWEEN(2979,3282)))</f>
        <v>80931305.928397149</v>
      </c>
      <c r="B15321">
        <v>148367377.27172527</v>
      </c>
    </row>
    <row r="15322" spans="1:2" x14ac:dyDescent="0.25">
      <c r="A15322">
        <f ca="1">26960.1362184119*((RANDBETWEEN(2979,3282)))</f>
        <v>82228415.466156453</v>
      </c>
      <c r="B15322">
        <v>170428385.89817992</v>
      </c>
    </row>
    <row r="15323" spans="1:2" x14ac:dyDescent="0.25">
      <c r="A15323">
        <f ca="1">26890.1067390881*((RANDBETWEEN(2979,3282)))</f>
        <v>81477023.419436991</v>
      </c>
      <c r="B15323">
        <v>160981842.7293365</v>
      </c>
    </row>
    <row r="15324" spans="1:2" x14ac:dyDescent="0.25">
      <c r="A15324">
        <f ca="1">29173.3739852793*((RANDBETWEEN(2979,3282)))</f>
        <v>92392075.411379412</v>
      </c>
      <c r="B15324">
        <v>193764446.56445047</v>
      </c>
    </row>
    <row r="15325" spans="1:2" x14ac:dyDescent="0.25">
      <c r="A15325">
        <f ca="1">27646.5137953395*((RANDBETWEEN(2979,3282)))</f>
        <v>90569979.193532214</v>
      </c>
      <c r="B15325">
        <v>181030254.42442426</v>
      </c>
    </row>
    <row r="15326" spans="1:2" x14ac:dyDescent="0.25">
      <c r="A15326">
        <f ca="1">31526.3262304996*((RANDBETWEEN(2979,3282)))</f>
        <v>97164137.442399666</v>
      </c>
      <c r="B15326">
        <v>190521138.0166952</v>
      </c>
    </row>
    <row r="15327" spans="1:2" x14ac:dyDescent="0.25">
      <c r="A15327">
        <f ca="1">28766.6023890602*((RANDBETWEEN(2979,3282)))</f>
        <v>88802501.575028971</v>
      </c>
      <c r="B15327">
        <v>194980394.55256304</v>
      </c>
    </row>
    <row r="15328" spans="1:2" x14ac:dyDescent="0.25">
      <c r="A15328">
        <f ca="1">26774.5201124049*((RANDBETWEEN(2979,3282)))</f>
        <v>84420061.914412633</v>
      </c>
      <c r="B15328">
        <v>171088932.10413238</v>
      </c>
    </row>
    <row r="15329" spans="1:2" x14ac:dyDescent="0.25">
      <c r="A15329">
        <f ca="1">27793.9067049102*((RANDBETWEEN(2979,3282)))</f>
        <v>86800370.639434621</v>
      </c>
      <c r="B15329">
        <v>161859643.520392</v>
      </c>
    </row>
    <row r="15330" spans="1:2" x14ac:dyDescent="0.25">
      <c r="A15330">
        <f ca="1">26057.6574622236*((RANDBETWEEN(2979,3282)))</f>
        <v>82759120.100022256</v>
      </c>
      <c r="B15330">
        <v>174973450.34330487</v>
      </c>
    </row>
    <row r="15331" spans="1:2" x14ac:dyDescent="0.25">
      <c r="A15331">
        <f ca="1">30455.5019189117*((RANDBETWEEN(2979,3282)))</f>
        <v>93407024.385302246</v>
      </c>
      <c r="B15331">
        <v>156321992.98925009</v>
      </c>
    </row>
    <row r="15332" spans="1:2" x14ac:dyDescent="0.25">
      <c r="A15332">
        <f ca="1">28527.2638847521*((RANDBETWEEN(2979,3282)))</f>
        <v>91087553.584013402</v>
      </c>
      <c r="B15332">
        <v>148464122.32482541</v>
      </c>
    </row>
    <row r="15333" spans="1:2" x14ac:dyDescent="0.25">
      <c r="A15333">
        <f ca="1">30100.8434798828*((RANDBETWEEN(2979,3282)))</f>
        <v>96292598.292145163</v>
      </c>
      <c r="B15333">
        <v>191686854.39610961</v>
      </c>
    </row>
    <row r="15334" spans="1:2" x14ac:dyDescent="0.25">
      <c r="A15334">
        <f ca="1">26437.4809617787*((RANDBETWEEN(2979,3282)))</f>
        <v>83357377.472488359</v>
      </c>
      <c r="B15334">
        <v>174030629.58037803</v>
      </c>
    </row>
    <row r="15335" spans="1:2" x14ac:dyDescent="0.25">
      <c r="A15335">
        <f ca="1">31900.2077294452*((RANDBETWEEN(2979,3282)))</f>
        <v>101634061.82601248</v>
      </c>
      <c r="B15335">
        <v>171511718.81797773</v>
      </c>
    </row>
    <row r="15336" spans="1:2" x14ac:dyDescent="0.25">
      <c r="A15336">
        <f ca="1">26339.8799588864*((RANDBETWEEN(2979,3282)))</f>
        <v>81943366.552095711</v>
      </c>
      <c r="B15336">
        <v>144594774.16840029</v>
      </c>
    </row>
    <row r="15337" spans="1:2" x14ac:dyDescent="0.25">
      <c r="A15337">
        <f ca="1">30997.9940648134*((RANDBETWEEN(2979,3282)))</f>
        <v>99193581.007403001</v>
      </c>
      <c r="B15337">
        <v>181439758.36782625</v>
      </c>
    </row>
    <row r="15338" spans="1:2" x14ac:dyDescent="0.25">
      <c r="A15338">
        <f ca="1">31936.3855174025*((RANDBETWEEN(2979,3282)))</f>
        <v>98683431.248773605</v>
      </c>
      <c r="B15338">
        <v>171618811.54486209</v>
      </c>
    </row>
    <row r="15339" spans="1:2" x14ac:dyDescent="0.25">
      <c r="A15339">
        <f ca="1">27317.956292904*((RANDBETWEEN(2979,3282)))</f>
        <v>89302399.121503219</v>
      </c>
      <c r="B15339">
        <v>201744844.61465359</v>
      </c>
    </row>
    <row r="15340" spans="1:2" x14ac:dyDescent="0.25">
      <c r="A15340">
        <f ca="1">27898.4262820638*((RANDBETWEEN(2979,3282)))</f>
        <v>83276802.45196034</v>
      </c>
      <c r="B15340">
        <v>179644852.04395586</v>
      </c>
    </row>
    <row r="15341" spans="1:2" x14ac:dyDescent="0.25">
      <c r="A15341">
        <f ca="1">25953.6892485739*((RANDBETWEEN(2979,3282)))</f>
        <v>80144992.399596289</v>
      </c>
      <c r="B15341">
        <v>180023616.18541107</v>
      </c>
    </row>
    <row r="15342" spans="1:2" x14ac:dyDescent="0.25">
      <c r="A15342">
        <f ca="1">26157.5809416269*((RANDBETWEEN(2979,3282)))</f>
        <v>83076477.07060717</v>
      </c>
      <c r="B15342">
        <v>150095796.15157086</v>
      </c>
    </row>
    <row r="15343" spans="1:2" x14ac:dyDescent="0.25">
      <c r="A15343">
        <f ca="1">29816.8256282339*((RANDBETWEEN(2979,3282)))</f>
        <v>89539927.361586452</v>
      </c>
      <c r="B15343">
        <v>152579854.78352511</v>
      </c>
    </row>
    <row r="15344" spans="1:2" x14ac:dyDescent="0.25">
      <c r="A15344">
        <f ca="1">29679.7151679364*((RANDBETWEEN(2979,3282)))</f>
        <v>94945408.822228432</v>
      </c>
      <c r="B15344">
        <v>186377497.15009677</v>
      </c>
    </row>
    <row r="15345" spans="1:2" x14ac:dyDescent="0.25">
      <c r="A15345">
        <f ca="1">26123.1719233718*((RANDBETWEEN(2979,3282)))</f>
        <v>79048718.240122929</v>
      </c>
      <c r="B15345">
        <v>201786078.50656936</v>
      </c>
    </row>
    <row r="15346" spans="1:2" x14ac:dyDescent="0.25">
      <c r="A15346">
        <f ca="1">27089.9383196733*((RANDBETWEEN(2979,3282)))</f>
        <v>81974153.355331451</v>
      </c>
      <c r="B15346">
        <v>181563133.42946798</v>
      </c>
    </row>
    <row r="15347" spans="1:2" x14ac:dyDescent="0.25">
      <c r="A15347">
        <f ca="1">29246.245419658*((RANDBETWEEN(2979,3282)))</f>
        <v>95196528.840986639</v>
      </c>
      <c r="B15347">
        <v>191455567.18208551</v>
      </c>
    </row>
    <row r="15348" spans="1:2" x14ac:dyDescent="0.25">
      <c r="A15348">
        <f ca="1">30200.2403488502*((RANDBETWEEN(2979,3282)))</f>
        <v>93922747.484924033</v>
      </c>
      <c r="B15348">
        <v>184883986.42049941</v>
      </c>
    </row>
    <row r="15349" spans="1:2" x14ac:dyDescent="0.25">
      <c r="A15349">
        <f ca="1">31671.1619409961*((RANDBETWEEN(2979,3282)))</f>
        <v>96565372.758097127</v>
      </c>
      <c r="B15349">
        <v>198665795.93732226</v>
      </c>
    </row>
    <row r="15350" spans="1:2" x14ac:dyDescent="0.25">
      <c r="A15350">
        <f ca="1">26164.7274119735*((RANDBETWEEN(2979,3282)))</f>
        <v>78938982.601924047</v>
      </c>
      <c r="B15350">
        <v>183077915.10881421</v>
      </c>
    </row>
    <row r="15351" spans="1:2" x14ac:dyDescent="0.25">
      <c r="A15351">
        <f ca="1">25949.4902567724*((RANDBETWEEN(2979,3282)))</f>
        <v>80391520.815481052</v>
      </c>
      <c r="B15351">
        <v>143742063.83502391</v>
      </c>
    </row>
    <row r="15352" spans="1:2" x14ac:dyDescent="0.25">
      <c r="A15352">
        <f ca="1">25808.2212452461*((RANDBETWEEN(2979,3282)))</f>
        <v>81399129.807506144</v>
      </c>
      <c r="B15352">
        <v>174063053.88323534</v>
      </c>
    </row>
    <row r="15353" spans="1:2" x14ac:dyDescent="0.25">
      <c r="A15353">
        <f ca="1">26002.5201775028*((RANDBETWEEN(2979,3282)))</f>
        <v>81907938.559133932</v>
      </c>
      <c r="B15353">
        <v>146368523.78293145</v>
      </c>
    </row>
    <row r="15354" spans="1:2" x14ac:dyDescent="0.25">
      <c r="A15354">
        <f ca="1">30688.208445274*((RANDBETWEEN(2979,3282)))</f>
        <v>95072069.763458833</v>
      </c>
      <c r="B15354">
        <v>144717360.03120732</v>
      </c>
    </row>
    <row r="15355" spans="1:2" x14ac:dyDescent="0.25">
      <c r="A15355">
        <f ca="1">25310.3487594218*((RANDBETWEEN(2979,3282)))</f>
        <v>76867529.182364106</v>
      </c>
      <c r="B15355">
        <v>179201296.16247723</v>
      </c>
    </row>
    <row r="15356" spans="1:2" x14ac:dyDescent="0.25">
      <c r="A15356">
        <f ca="1">28161.3321465573*((RANDBETWEEN(2979,3282)))</f>
        <v>85835740.382706732</v>
      </c>
      <c r="B15356">
        <v>146721524.89861599</v>
      </c>
    </row>
    <row r="15357" spans="1:2" x14ac:dyDescent="0.25">
      <c r="A15357">
        <f ca="1">25914.0222132258*((RANDBETWEEN(2979,3282)))</f>
        <v>79167337.861404955</v>
      </c>
      <c r="B15357">
        <v>146643079.87959632</v>
      </c>
    </row>
    <row r="15358" spans="1:2" x14ac:dyDescent="0.25">
      <c r="A15358">
        <f ca="1">27980.7547614196*((RANDBETWEEN(2979,3282)))</f>
        <v>88447165.800847471</v>
      </c>
      <c r="B15358">
        <v>165039869.77278751</v>
      </c>
    </row>
    <row r="15359" spans="1:2" x14ac:dyDescent="0.25">
      <c r="A15359">
        <f ca="1">26482.0242137738*((RANDBETWEEN(2979,3282)))</f>
        <v>82173721.135339946</v>
      </c>
      <c r="B15359">
        <v>170305860.25769794</v>
      </c>
    </row>
    <row r="15360" spans="1:2" x14ac:dyDescent="0.25">
      <c r="A15360">
        <f ca="1">27658.5392506697*((RANDBETWEEN(2979,3282)))</f>
        <v>87760545.042374864</v>
      </c>
      <c r="B15360">
        <v>162401898.42782927</v>
      </c>
    </row>
    <row r="15361" spans="1:2" x14ac:dyDescent="0.25">
      <c r="A15361">
        <f ca="1">27577.3623867091*((RANDBETWEEN(2979,3282)))</f>
        <v>89957356.105445236</v>
      </c>
      <c r="B15361">
        <v>195624131.35725072</v>
      </c>
    </row>
    <row r="15362" spans="1:2" x14ac:dyDescent="0.25">
      <c r="A15362">
        <f ca="1">26512.843489504*((RANDBETWEEN(2979,3282)))</f>
        <v>86325818.401825055</v>
      </c>
      <c r="B15362">
        <v>162705309.74452958</v>
      </c>
    </row>
    <row r="15363" spans="1:2" x14ac:dyDescent="0.25">
      <c r="A15363">
        <f ca="1">25269.4449311371*((RANDBETWEEN(2979,3282)))</f>
        <v>76768573.700794399</v>
      </c>
      <c r="B15363">
        <v>147706647.29040107</v>
      </c>
    </row>
    <row r="15364" spans="1:2" x14ac:dyDescent="0.25">
      <c r="A15364">
        <f ca="1">30175.7650381911*((RANDBETWEEN(2979,3282)))</f>
        <v>94419968.804500088</v>
      </c>
      <c r="B15364">
        <v>176790279.25626302</v>
      </c>
    </row>
    <row r="15365" spans="1:2" x14ac:dyDescent="0.25">
      <c r="A15365">
        <f ca="1">28897.9236366401*((RANDBETWEEN(2979,3282)))</f>
        <v>93484782.964530617</v>
      </c>
      <c r="B15365">
        <v>163175845.2789405</v>
      </c>
    </row>
    <row r="15366" spans="1:2" x14ac:dyDescent="0.25">
      <c r="A15366">
        <f ca="1">30132.043353466*((RANDBETWEEN(2979,3282)))</f>
        <v>92746429.441968471</v>
      </c>
      <c r="B15366">
        <v>179817922.40125954</v>
      </c>
    </row>
    <row r="15367" spans="1:2" x14ac:dyDescent="0.25">
      <c r="A15367">
        <f ca="1">27444.3812060854*((RANDBETWEEN(2979,3282)))</f>
        <v>86285134.511932403</v>
      </c>
      <c r="B15367">
        <v>176280431.42091855</v>
      </c>
    </row>
    <row r="15368" spans="1:2" x14ac:dyDescent="0.25">
      <c r="A15368">
        <f ca="1">26596.2965772245*((RANDBETWEEN(2979,3282)))</f>
        <v>81304878.636575192</v>
      </c>
      <c r="B15368">
        <v>148765074.24881417</v>
      </c>
    </row>
    <row r="15369" spans="1:2" x14ac:dyDescent="0.25">
      <c r="A15369">
        <f ca="1">30454.319623132*((RANDBETWEEN(2979,3282)))</f>
        <v>99859714.044249967</v>
      </c>
      <c r="B15369">
        <v>166553522.90688634</v>
      </c>
    </row>
    <row r="15370" spans="1:2" x14ac:dyDescent="0.25">
      <c r="A15370">
        <f ca="1">25030.1012102098*((RANDBETWEEN(2979,3282)))</f>
        <v>77968765.269803599</v>
      </c>
      <c r="B15370">
        <v>145299641.81263468</v>
      </c>
    </row>
    <row r="15371" spans="1:2" x14ac:dyDescent="0.25">
      <c r="A15371">
        <f ca="1">25812.6294557228*((RANDBETWEEN(2979,3282)))</f>
        <v>80199839.718930706</v>
      </c>
      <c r="B15371">
        <v>144728169.47742575</v>
      </c>
    </row>
    <row r="15372" spans="1:2" x14ac:dyDescent="0.25">
      <c r="A15372">
        <f ca="1">29580.1952254982*((RANDBETWEEN(2979,3282)))</f>
        <v>89687151.923710689</v>
      </c>
      <c r="B15372">
        <v>193881812.35829693</v>
      </c>
    </row>
    <row r="15373" spans="1:2" x14ac:dyDescent="0.25">
      <c r="A15373">
        <f ca="1">27608.5232378361*((RANDBETWEEN(2979,3282)))</f>
        <v>89479223.81382677</v>
      </c>
      <c r="B15373">
        <v>200312769.92703909</v>
      </c>
    </row>
    <row r="15374" spans="1:2" x14ac:dyDescent="0.25">
      <c r="A15374">
        <f ca="1">30712.7009690133*((RANDBETWEEN(2979,3282)))</f>
        <v>100369106.76673535</v>
      </c>
      <c r="B15374">
        <v>152758334.89075387</v>
      </c>
    </row>
    <row r="15375" spans="1:2" x14ac:dyDescent="0.25">
      <c r="A15375">
        <f ca="1">29581.4359809482*((RANDBETWEEN(2979,3282)))</f>
        <v>96731295.657700568</v>
      </c>
      <c r="B15375">
        <v>171007754.24536282</v>
      </c>
    </row>
    <row r="15376" spans="1:2" x14ac:dyDescent="0.25">
      <c r="A15376">
        <f ca="1">26137.8762403041*((RANDBETWEEN(2979,3282)))</f>
        <v>82438861.661919206</v>
      </c>
      <c r="B15376">
        <v>174075174.72924486</v>
      </c>
    </row>
    <row r="15377" spans="1:2" x14ac:dyDescent="0.25">
      <c r="A15377">
        <f ca="1">26844.0981977636*((RANDBETWEEN(2979,3282)))</f>
        <v>84129403.751791134</v>
      </c>
      <c r="B15377">
        <v>178064683.97615692</v>
      </c>
    </row>
    <row r="15378" spans="1:2" x14ac:dyDescent="0.25">
      <c r="A15378">
        <f ca="1">28216.2871214302*((RANDBETWEEN(2979,3282)))</f>
        <v>88796655.571140766</v>
      </c>
      <c r="B15378">
        <v>149978588.42146885</v>
      </c>
    </row>
    <row r="15379" spans="1:2" x14ac:dyDescent="0.25">
      <c r="A15379">
        <f ca="1">29792.6548246548*((RANDBETWEEN(2979,3282)))</f>
        <v>90808011.905547738</v>
      </c>
      <c r="B15379">
        <v>159409888.22540489</v>
      </c>
    </row>
    <row r="15380" spans="1:2" x14ac:dyDescent="0.25">
      <c r="A15380">
        <f ca="1">29581.7557931061*((RANDBETWEEN(2979,3282)))</f>
        <v>91023062.575387582</v>
      </c>
      <c r="B15380">
        <v>161471894.41183424</v>
      </c>
    </row>
    <row r="15381" spans="1:2" x14ac:dyDescent="0.25">
      <c r="A15381">
        <f ca="1">26100.5894709094*((RANDBETWEEN(2979,3282)))</f>
        <v>82295158.601777181</v>
      </c>
      <c r="B15381">
        <v>194486906.27819422</v>
      </c>
    </row>
    <row r="15382" spans="1:2" x14ac:dyDescent="0.25">
      <c r="A15382">
        <f ca="1">30826.3925138768*((RANDBETWEEN(2979,3282)))</f>
        <v>94575372.232574135</v>
      </c>
      <c r="B15382">
        <v>180850306.10647136</v>
      </c>
    </row>
    <row r="15383" spans="1:2" x14ac:dyDescent="0.25">
      <c r="A15383">
        <f ca="1">26083.5660074166*((RANDBETWEEN(2979,3282)))</f>
        <v>85032425.184177965</v>
      </c>
      <c r="B15383">
        <v>153830915.7383849</v>
      </c>
    </row>
    <row r="15384" spans="1:2" x14ac:dyDescent="0.25">
      <c r="A15384">
        <f ca="1">28881.8324979723*((RANDBETWEEN(2979,3282)))</f>
        <v>90111317.39367348</v>
      </c>
      <c r="B15384">
        <v>177393723.05461812</v>
      </c>
    </row>
    <row r="15385" spans="1:2" x14ac:dyDescent="0.25">
      <c r="A15385">
        <f ca="1">31265.0322507377*((RANDBETWEEN(2979,3282)))</f>
        <v>95108228.106743932</v>
      </c>
      <c r="B15385">
        <v>167179579.70649385</v>
      </c>
    </row>
    <row r="15386" spans="1:2" x14ac:dyDescent="0.25">
      <c r="A15386">
        <f ca="1">28096.7573995097*((RANDBETWEEN(2979,3282)))</f>
        <v>90471558.826421142</v>
      </c>
      <c r="B15386">
        <v>199530373.627893</v>
      </c>
    </row>
    <row r="15387" spans="1:2" x14ac:dyDescent="0.25">
      <c r="A15387">
        <f ca="1">32484.6873283949*((RANDBETWEEN(2979,3282)))</f>
        <v>102846520.08169836</v>
      </c>
      <c r="B15387">
        <v>146483119.70653203</v>
      </c>
    </row>
    <row r="15388" spans="1:2" x14ac:dyDescent="0.25">
      <c r="A15388">
        <f ca="1">26406.5907227441*((RANDBETWEEN(2979,3282)))</f>
        <v>85847826.439641133</v>
      </c>
      <c r="B15388">
        <v>157525222.72624955</v>
      </c>
    </row>
    <row r="15389" spans="1:2" x14ac:dyDescent="0.25">
      <c r="A15389">
        <f ca="1">25860.6723013097*((RANDBETWEEN(2979,3282)))</f>
        <v>82935176.070300177</v>
      </c>
      <c r="B15389">
        <v>172300504.95025766</v>
      </c>
    </row>
    <row r="15390" spans="1:2" x14ac:dyDescent="0.25">
      <c r="A15390">
        <f ca="1">28366.3765473468*((RANDBETWEEN(2979,3282)))</f>
        <v>90403642.05639419</v>
      </c>
      <c r="B15390">
        <v>167629602.23097742</v>
      </c>
    </row>
    <row r="15391" spans="1:2" x14ac:dyDescent="0.25">
      <c r="A15391">
        <f ca="1">30631.5106962593*((RANDBETWEEN(2979,3282)))</f>
        <v>100134408.46607181</v>
      </c>
      <c r="B15391">
        <v>195389159.47099093</v>
      </c>
    </row>
    <row r="15392" spans="1:2" x14ac:dyDescent="0.25">
      <c r="A15392">
        <f ca="1">27028.63479325*((RANDBETWEEN(2979,3282)))</f>
        <v>82194078.406273142</v>
      </c>
      <c r="B15392">
        <v>165147010.42026407</v>
      </c>
    </row>
    <row r="15393" spans="1:2" x14ac:dyDescent="0.25">
      <c r="A15393">
        <f ca="1">27385.2337291018*((RANDBETWEEN(2979,3282)))</f>
        <v>88646001.581102669</v>
      </c>
      <c r="B15393">
        <v>176377276.26001403</v>
      </c>
    </row>
    <row r="15394" spans="1:2" x14ac:dyDescent="0.25">
      <c r="A15394">
        <f ca="1">28442.5808364944*((RANDBETWEEN(2979,3282)))</f>
        <v>92324617.395260677</v>
      </c>
      <c r="B15394">
        <v>148090371.42481068</v>
      </c>
    </row>
    <row r="15395" spans="1:2" x14ac:dyDescent="0.25">
      <c r="A15395">
        <f ca="1">28267.6476720691*((RANDBETWEEN(2979,3282)))</f>
        <v>87516637.192726091</v>
      </c>
      <c r="B15395">
        <v>201636477.03415629</v>
      </c>
    </row>
    <row r="15396" spans="1:2" x14ac:dyDescent="0.25">
      <c r="A15396">
        <f ca="1">28122.0263597585*((RANDBETWEEN(2979,3282)))</f>
        <v>86475231.056257531</v>
      </c>
      <c r="B15396">
        <v>173622620.39898336</v>
      </c>
    </row>
    <row r="15397" spans="1:2" x14ac:dyDescent="0.25">
      <c r="A15397">
        <f ca="1">30316.7572016313*((RANDBETWEEN(2979,3282)))</f>
        <v>91071538.633700535</v>
      </c>
      <c r="B15397">
        <v>161319527.81123188</v>
      </c>
    </row>
    <row r="15398" spans="1:2" x14ac:dyDescent="0.25">
      <c r="A15398">
        <f ca="1">26384.5339583608*((RANDBETWEEN(2979,3282)))</f>
        <v>84588815.870504856</v>
      </c>
      <c r="B15398">
        <v>196400577.06581327</v>
      </c>
    </row>
    <row r="15399" spans="1:2" x14ac:dyDescent="0.25">
      <c r="A15399">
        <f ca="1">27363.091326848*((RANDBETWEEN(2979,3282)))</f>
        <v>81815643.067275524</v>
      </c>
      <c r="B15399">
        <v>149393765.41477722</v>
      </c>
    </row>
    <row r="15400" spans="1:2" x14ac:dyDescent="0.25">
      <c r="A15400">
        <f ca="1">34902.0369946445*((RANDBETWEEN(2979,3282)))</f>
        <v>109138669.68225338</v>
      </c>
      <c r="B15400">
        <v>156713625.18278918</v>
      </c>
    </row>
    <row r="15401" spans="1:2" x14ac:dyDescent="0.25">
      <c r="A15401">
        <f ca="1">29965.2491867455*((RANDBETWEEN(2979,3282)))</f>
        <v>97297164.109362796</v>
      </c>
      <c r="B15401">
        <v>189724172.99987549</v>
      </c>
    </row>
    <row r="15402" spans="1:2" x14ac:dyDescent="0.25">
      <c r="A15402">
        <f ca="1">28566.084203437*((RANDBETWEEN(2979,3282)))</f>
        <v>91839960.71404995</v>
      </c>
      <c r="B15402">
        <v>151612498.91854867</v>
      </c>
    </row>
    <row r="15403" spans="1:2" x14ac:dyDescent="0.25">
      <c r="A15403">
        <f ca="1">28367.5609774691*((RANDBETWEEN(2979,3282)))</f>
        <v>88960671.225343153</v>
      </c>
      <c r="B15403">
        <v>180562659.07403332</v>
      </c>
    </row>
    <row r="15404" spans="1:2" x14ac:dyDescent="0.25">
      <c r="A15404">
        <f ca="1">30282.8990014057*((RANDBETWEEN(2979,3282)))</f>
        <v>94452361.985384494</v>
      </c>
      <c r="B15404">
        <v>155006501.87607348</v>
      </c>
    </row>
    <row r="15405" spans="1:2" x14ac:dyDescent="0.25">
      <c r="A15405">
        <f ca="1">33511.7796629179*((RANDBETWEEN(2979,3282)))</f>
        <v>108410607.20953947</v>
      </c>
      <c r="B15405">
        <v>197395828.80778325</v>
      </c>
    </row>
    <row r="15406" spans="1:2" x14ac:dyDescent="0.25">
      <c r="A15406">
        <f ca="1">26523.8626978194*((RANDBETWEEN(2979,3282)))</f>
        <v>84372407.241763577</v>
      </c>
      <c r="B15406">
        <v>162813877.39756736</v>
      </c>
    </row>
    <row r="15407" spans="1:2" x14ac:dyDescent="0.25">
      <c r="A15407">
        <f ca="1">28441.7088183421*((RANDBETWEEN(2979,3282)))</f>
        <v>88254622.463315606</v>
      </c>
      <c r="B15407">
        <v>153706610.75436351</v>
      </c>
    </row>
    <row r="15408" spans="1:2" x14ac:dyDescent="0.25">
      <c r="A15408">
        <f ca="1">30240.6087396438*((RANDBETWEEN(2979,3282)))</f>
        <v>98251737.795102745</v>
      </c>
      <c r="B15408">
        <v>156076549.52850637</v>
      </c>
    </row>
    <row r="15409" spans="1:2" x14ac:dyDescent="0.25">
      <c r="A15409">
        <f ca="1">27860.9515298403*((RANDBETWEEN(2979,3282)))</f>
        <v>87761997.318996787</v>
      </c>
      <c r="B15409">
        <v>193928778.42520091</v>
      </c>
    </row>
    <row r="15410" spans="1:2" x14ac:dyDescent="0.25">
      <c r="A15410">
        <f ca="1">26144.5728007987*((RANDBETWEEN(2979,3282)))</f>
        <v>83479620.952950239</v>
      </c>
      <c r="B15410">
        <v>160224735.68821523</v>
      </c>
    </row>
    <row r="15411" spans="1:2" x14ac:dyDescent="0.25">
      <c r="A15411">
        <f ca="1">29148.4794253333*((RANDBETWEEN(2979,3282)))</f>
        <v>90010504.465429381</v>
      </c>
      <c r="B15411">
        <v>161518801.07397541</v>
      </c>
    </row>
    <row r="15412" spans="1:2" x14ac:dyDescent="0.25">
      <c r="A15412">
        <f ca="1">27630.9620559111*((RANDBETWEEN(2979,3282)))</f>
        <v>85379672.752765313</v>
      </c>
      <c r="B15412">
        <v>144774675.49714214</v>
      </c>
    </row>
    <row r="15413" spans="1:2" x14ac:dyDescent="0.25">
      <c r="A15413">
        <f ca="1">27419.6345042811*((RANDBETWEEN(2979,3282)))</f>
        <v>82834715.837433234</v>
      </c>
      <c r="B15413">
        <v>148328543.22289312</v>
      </c>
    </row>
    <row r="15414" spans="1:2" x14ac:dyDescent="0.25">
      <c r="A15414">
        <f ca="1">27239.3836088946*((RANDBETWEEN(2979,3282)))</f>
        <v>85804058.368018001</v>
      </c>
      <c r="B15414">
        <v>147508248.77047393</v>
      </c>
    </row>
    <row r="15415" spans="1:2" x14ac:dyDescent="0.25">
      <c r="A15415">
        <f ca="1">25941.3701429892*((RANDBETWEEN(2979,3282)))</f>
        <v>81845022.80113098</v>
      </c>
      <c r="B15415">
        <v>183386396.14832717</v>
      </c>
    </row>
    <row r="15416" spans="1:2" x14ac:dyDescent="0.25">
      <c r="A15416">
        <f ca="1">27876.9321707004*((RANDBETWEEN(2979,3282)))</f>
        <v>84244089.019856483</v>
      </c>
      <c r="B15416">
        <v>195240190.33874246</v>
      </c>
    </row>
    <row r="15417" spans="1:2" x14ac:dyDescent="0.25">
      <c r="A15417">
        <f ca="1">28090.5332176236*((RANDBETWEEN(2979,3282)))</f>
        <v>87670554.172203198</v>
      </c>
      <c r="B15417">
        <v>193988129.46381003</v>
      </c>
    </row>
    <row r="15418" spans="1:2" x14ac:dyDescent="0.25">
      <c r="A15418">
        <f ca="1">30855.337641369*((RANDBETWEEN(2979,3282)))</f>
        <v>99755306.594545871</v>
      </c>
      <c r="B15418">
        <v>201332896.86407572</v>
      </c>
    </row>
    <row r="15419" spans="1:2" x14ac:dyDescent="0.25">
      <c r="A15419">
        <f ca="1">25622.9299865026*((RANDBETWEEN(2979,3282)))</f>
        <v>81480917.357078239</v>
      </c>
      <c r="B15419">
        <v>154474418.91719505</v>
      </c>
    </row>
    <row r="15420" spans="1:2" x14ac:dyDescent="0.25">
      <c r="A15420">
        <f ca="1">28424.02386246*((RANDBETWEEN(2979,3282)))</f>
        <v>93287646.316593692</v>
      </c>
      <c r="B15420">
        <v>161809642.00283343</v>
      </c>
    </row>
    <row r="15421" spans="1:2" x14ac:dyDescent="0.25">
      <c r="A15421">
        <f ca="1">26505.8250159939*((RANDBETWEEN(2979,3282)))</f>
        <v>84209006.075812653</v>
      </c>
      <c r="B15421">
        <v>146566326.95462915</v>
      </c>
    </row>
    <row r="15422" spans="1:2" x14ac:dyDescent="0.25">
      <c r="A15422">
        <f ca="1">26992.4770123711*((RANDBETWEEN(2979,3282)))</f>
        <v>82704949.565904945</v>
      </c>
      <c r="B15422">
        <v>179817914.1849336</v>
      </c>
    </row>
    <row r="15423" spans="1:2" x14ac:dyDescent="0.25">
      <c r="A15423">
        <f ca="1">27583.7397657106*((RANDBETWEEN(2979,3282)))</f>
        <v>87771459.934491068</v>
      </c>
      <c r="B15423">
        <v>175482238.14520827</v>
      </c>
    </row>
    <row r="15424" spans="1:2" x14ac:dyDescent="0.25">
      <c r="A15424">
        <f ca="1">32223.9463302466*((RANDBETWEEN(2979,3282)))</f>
        <v>96349599.527437285</v>
      </c>
      <c r="B15424">
        <v>176974691.54770526</v>
      </c>
    </row>
    <row r="15425" spans="1:2" x14ac:dyDescent="0.25">
      <c r="A15425">
        <f ca="1">27910.0360037546*((RANDBETWEEN(2979,3282)))</f>
        <v>90875077.228225037</v>
      </c>
      <c r="B15425">
        <v>189326211.44148013</v>
      </c>
    </row>
    <row r="15426" spans="1:2" x14ac:dyDescent="0.25">
      <c r="A15426">
        <f ca="1">28950.1772054799*((RANDBETWEEN(2979,3282)))</f>
        <v>94493378.398686498</v>
      </c>
      <c r="B15426">
        <v>172731310.54162714</v>
      </c>
    </row>
    <row r="15427" spans="1:2" x14ac:dyDescent="0.25">
      <c r="A15427">
        <f ca="1">28393.3984813419*((RANDBETWEEN(2979,3282)))</f>
        <v>92164971.470435902</v>
      </c>
      <c r="B15427">
        <v>144899726.41634792</v>
      </c>
    </row>
    <row r="15428" spans="1:2" x14ac:dyDescent="0.25">
      <c r="A15428">
        <f ca="1">26081.2337744457*((RANDBETWEEN(2979,3282)))</f>
        <v>84424953.727880806</v>
      </c>
      <c r="B15428">
        <v>172927068.52395472</v>
      </c>
    </row>
    <row r="15429" spans="1:2" x14ac:dyDescent="0.25">
      <c r="A15429">
        <f ca="1">29286.2846831542*((RANDBETWEEN(2979,3282)))</f>
        <v>92427514.460034788</v>
      </c>
      <c r="B15429">
        <v>160175976.70544237</v>
      </c>
    </row>
    <row r="15430" spans="1:2" x14ac:dyDescent="0.25">
      <c r="A15430">
        <f ca="1">26806.3711273773*((RANDBETWEEN(2979,3282)))</f>
        <v>80821208.949042425</v>
      </c>
      <c r="B15430">
        <v>172410936.69287992</v>
      </c>
    </row>
    <row r="15431" spans="1:2" x14ac:dyDescent="0.25">
      <c r="A15431">
        <f ca="1">28274.4517832186*((RANDBETWEEN(2979,3282)))</f>
        <v>84823355.349655837</v>
      </c>
      <c r="B15431">
        <v>191631782.03551733</v>
      </c>
    </row>
    <row r="15432" spans="1:2" x14ac:dyDescent="0.25">
      <c r="A15432">
        <f ca="1">27033.3752564435*((RANDBETWEEN(2979,3282)))</f>
        <v>85398432.435104921</v>
      </c>
      <c r="B15432">
        <v>146653599.46233833</v>
      </c>
    </row>
    <row r="15433" spans="1:2" x14ac:dyDescent="0.25">
      <c r="A15433">
        <f ca="1">32711.8779841144*((RANDBETWEEN(2979,3282)))</f>
        <v>100294617.89929472</v>
      </c>
      <c r="B15433">
        <v>188525594.00312105</v>
      </c>
    </row>
    <row r="15434" spans="1:2" x14ac:dyDescent="0.25">
      <c r="A15434">
        <f ca="1">26315.1471941123*((RANDBETWEEN(2979,3282)))</f>
        <v>78524399.227231085</v>
      </c>
      <c r="B15434">
        <v>198775617.3519209</v>
      </c>
    </row>
    <row r="15435" spans="1:2" x14ac:dyDescent="0.25">
      <c r="A15435">
        <f ca="1">26994.1560354811*((RANDBETWEEN(2979,3282)))</f>
        <v>81873275.255614161</v>
      </c>
      <c r="B15435">
        <v>187554815.94748068</v>
      </c>
    </row>
    <row r="15436" spans="1:2" x14ac:dyDescent="0.25">
      <c r="A15436">
        <f ca="1">27180.4943367699*((RANDBETWEEN(2979,3282)))</f>
        <v>82873327.232811317</v>
      </c>
      <c r="B15436">
        <v>186629936.27489763</v>
      </c>
    </row>
    <row r="15437" spans="1:2" x14ac:dyDescent="0.25">
      <c r="A15437">
        <f ca="1">26066.9670933879*((RANDBETWEEN(2979,3282)))</f>
        <v>81433205.199743852</v>
      </c>
      <c r="B15437">
        <v>143945085.61186159</v>
      </c>
    </row>
    <row r="15438" spans="1:2" x14ac:dyDescent="0.25">
      <c r="A15438">
        <f ca="1">27670.212346821*((RANDBETWEEN(2979,3282)))</f>
        <v>83813073.198520929</v>
      </c>
      <c r="B15438">
        <v>179735968.93101826</v>
      </c>
    </row>
    <row r="15439" spans="1:2" x14ac:dyDescent="0.25">
      <c r="A15439">
        <f ca="1">33089.4796607645*((RANDBETWEEN(2979,3282)))</f>
        <v>101617792.03820792</v>
      </c>
      <c r="B15439">
        <v>198811514.43822131</v>
      </c>
    </row>
    <row r="15440" spans="1:2" x14ac:dyDescent="0.25">
      <c r="A15440">
        <f ca="1">26973.1990351752*((RANDBETWEEN(2979,3282)))</f>
        <v>85909638.927032888</v>
      </c>
      <c r="B15440">
        <v>183562272.76214078</v>
      </c>
    </row>
    <row r="15441" spans="1:2" x14ac:dyDescent="0.25">
      <c r="A15441">
        <f ca="1">28707.8468755969*((RANDBETWEEN(2979,3282)))</f>
        <v>92956008.18318291</v>
      </c>
      <c r="B15441">
        <v>166880694.31003171</v>
      </c>
    </row>
    <row r="15442" spans="1:2" x14ac:dyDescent="0.25">
      <c r="A15442">
        <f ca="1">30485.840633007*((RANDBETWEEN(2979,3282)))</f>
        <v>95329223.659412786</v>
      </c>
      <c r="B15442">
        <v>191500132.27412403</v>
      </c>
    </row>
    <row r="15443" spans="1:2" x14ac:dyDescent="0.25">
      <c r="A15443">
        <f ca="1">26815.6107072952*((RANDBETWEEN(2979,3282)))</f>
        <v>87257997.241538674</v>
      </c>
      <c r="B15443">
        <v>183530121.82768768</v>
      </c>
    </row>
    <row r="15444" spans="1:2" x14ac:dyDescent="0.25">
      <c r="A15444">
        <f ca="1">27857.7347919285*((RANDBETWEEN(2979,3282)))</f>
        <v>90342633.930223972</v>
      </c>
      <c r="B15444">
        <v>178348918.20400113</v>
      </c>
    </row>
    <row r="15445" spans="1:2" x14ac:dyDescent="0.25">
      <c r="A15445">
        <f ca="1">26275.4998143979*((RANDBETWEEN(2979,3282)))</f>
        <v>85106343.898834825</v>
      </c>
      <c r="B15445">
        <v>160524503.77817205</v>
      </c>
    </row>
    <row r="15446" spans="1:2" x14ac:dyDescent="0.25">
      <c r="A15446">
        <f ca="1">28670.4975436866*((RANDBETWEEN(2979,3282)))</f>
        <v>92319002.090670943</v>
      </c>
      <c r="B15446">
        <v>152120094.12309259</v>
      </c>
    </row>
    <row r="15447" spans="1:2" x14ac:dyDescent="0.25">
      <c r="A15447">
        <f ca="1">29820.7334295283*((RANDBETWEEN(2979,3282)))</f>
        <v>89492021.022014484</v>
      </c>
      <c r="B15447">
        <v>185776494.35290653</v>
      </c>
    </row>
    <row r="15448" spans="1:2" x14ac:dyDescent="0.25">
      <c r="A15448">
        <f ca="1">25901.8368248642*((RANDBETWEEN(2979,3282)))</f>
        <v>79622246.399632454</v>
      </c>
      <c r="B15448">
        <v>166857037.08990592</v>
      </c>
    </row>
    <row r="15449" spans="1:2" x14ac:dyDescent="0.25">
      <c r="A15449">
        <f ca="1">28472.4617385634*((RANDBETWEEN(2979,3282)))</f>
        <v>88606300.930409178</v>
      </c>
      <c r="B15449">
        <v>158761994.8217611</v>
      </c>
    </row>
    <row r="15450" spans="1:2" x14ac:dyDescent="0.25">
      <c r="A15450">
        <f ca="1">25556.899553778*((RANDBETWEEN(2979,3282)))</f>
        <v>80018652.502878815</v>
      </c>
      <c r="B15450">
        <v>159461981.0390535</v>
      </c>
    </row>
    <row r="15451" spans="1:2" x14ac:dyDescent="0.25">
      <c r="A15451">
        <f ca="1">32149.9377739732*((RANDBETWEEN(2979,3282)))</f>
        <v>97767960.770652607</v>
      </c>
      <c r="B15451">
        <v>200557796.69138664</v>
      </c>
    </row>
    <row r="15452" spans="1:2" x14ac:dyDescent="0.25">
      <c r="A15452">
        <f ca="1">28705.3952796256*((RANDBETWEEN(2979,3282)))</f>
        <v>86919936.906706318</v>
      </c>
      <c r="B15452">
        <v>148506117.20619845</v>
      </c>
    </row>
    <row r="15453" spans="1:2" x14ac:dyDescent="0.25">
      <c r="A15453">
        <f ca="1">27193.2552289836*((RANDBETWEEN(2979,3282)))</f>
        <v>89139490.640608296</v>
      </c>
      <c r="B15453">
        <v>144535468.83904257</v>
      </c>
    </row>
    <row r="15454" spans="1:2" x14ac:dyDescent="0.25">
      <c r="A15454">
        <f ca="1">26597.7173600983*((RANDBETWEEN(2979,3282)))</f>
        <v>86017017.942557901</v>
      </c>
      <c r="B15454">
        <v>173519692.83488116</v>
      </c>
    </row>
    <row r="15455" spans="1:2" x14ac:dyDescent="0.25">
      <c r="A15455">
        <f ca="1">28936.3299739212*((RANDBETWEEN(2979,3282)))</f>
        <v>92538383.256600127</v>
      </c>
      <c r="B15455">
        <v>177739739.53998351</v>
      </c>
    </row>
    <row r="15456" spans="1:2" x14ac:dyDescent="0.25">
      <c r="A15456">
        <f ca="1">32045.1820553029*((RANDBETWEEN(2979,3282)))</f>
        <v>99596425.827881485</v>
      </c>
      <c r="B15456">
        <v>184269280.02288601</v>
      </c>
    </row>
    <row r="15457" spans="1:2" x14ac:dyDescent="0.25">
      <c r="A15457">
        <f ca="1">26993.6628037927*((RANDBETWEEN(2979,3282)))</f>
        <v>82843551.144839704</v>
      </c>
      <c r="B15457">
        <v>168547350.27662629</v>
      </c>
    </row>
    <row r="15458" spans="1:2" x14ac:dyDescent="0.25">
      <c r="A15458">
        <f ca="1">28090.2549538035*((RANDBETWEEN(2979,3282)))</f>
        <v>85197743.274885923</v>
      </c>
      <c r="B15458">
        <v>155945971.0495289</v>
      </c>
    </row>
    <row r="15459" spans="1:2" x14ac:dyDescent="0.25">
      <c r="A15459">
        <f ca="1">26157.2058733479*((RANDBETWEEN(2979,3282)))</f>
        <v>82133626.442312419</v>
      </c>
      <c r="B15459">
        <v>162411320.31671435</v>
      </c>
    </row>
    <row r="15460" spans="1:2" x14ac:dyDescent="0.25">
      <c r="A15460">
        <f ca="1">26595.1737104846*((RANDBETWEEN(2979,3282)))</f>
        <v>83668416.493184626</v>
      </c>
      <c r="B15460">
        <v>200807151.07299575</v>
      </c>
    </row>
    <row r="15461" spans="1:2" x14ac:dyDescent="0.25">
      <c r="A15461">
        <f ca="1">26622.0420532479*((RANDBETWEEN(2979,3282)))</f>
        <v>83806188.383624345</v>
      </c>
      <c r="B15461">
        <v>185612186.62186563</v>
      </c>
    </row>
    <row r="15462" spans="1:2" x14ac:dyDescent="0.25">
      <c r="A15462">
        <f ca="1">28124.3987425687*((RANDBETWEEN(2979,3282)))</f>
        <v>88957473.222744957</v>
      </c>
      <c r="B15462">
        <v>143866285.07636416</v>
      </c>
    </row>
    <row r="15463" spans="1:2" x14ac:dyDescent="0.25">
      <c r="A15463">
        <f ca="1">28318.6866854757*((RANDBETWEEN(2979,3282)))</f>
        <v>91412720.620715499</v>
      </c>
      <c r="B15463">
        <v>159773749.39323616</v>
      </c>
    </row>
    <row r="15464" spans="1:2" x14ac:dyDescent="0.25">
      <c r="A15464">
        <f ca="1">29533.0965581537*((RANDBETWEEN(2979,3282)))</f>
        <v>88333491.805437744</v>
      </c>
      <c r="B15464">
        <v>165710093.36970979</v>
      </c>
    </row>
    <row r="15465" spans="1:2" x14ac:dyDescent="0.25">
      <c r="A15465">
        <f ca="1">28137.0680054941*((RANDBETWEEN(2979,3282)))</f>
        <v>85255316.056647077</v>
      </c>
      <c r="B15465">
        <v>149293998.74325389</v>
      </c>
    </row>
    <row r="15466" spans="1:2" x14ac:dyDescent="0.25">
      <c r="A15466">
        <f ca="1">31711.3266051178*((RANDBETWEEN(2979,3282)))</f>
        <v>99224740.947413623</v>
      </c>
      <c r="B15466">
        <v>163465277.5218311</v>
      </c>
    </row>
    <row r="15467" spans="1:2" x14ac:dyDescent="0.25">
      <c r="A15467">
        <f ca="1">27749.70906676*((RANDBETWEEN(2979,3282)))</f>
        <v>88327323.959497184</v>
      </c>
      <c r="B15467">
        <v>188933646.9633916</v>
      </c>
    </row>
    <row r="15468" spans="1:2" x14ac:dyDescent="0.25">
      <c r="A15468">
        <f ca="1">24935.0027161396*((RANDBETWEEN(2979,3282)))</f>
        <v>76400848.322251871</v>
      </c>
      <c r="B15468">
        <v>184477180.33333147</v>
      </c>
    </row>
    <row r="15469" spans="1:2" x14ac:dyDescent="0.25">
      <c r="A15469">
        <f ca="1">26687.2808100271*((RANDBETWEEN(2979,3282)))</f>
        <v>83771374.462675229</v>
      </c>
      <c r="B15469">
        <v>160670492.46506286</v>
      </c>
    </row>
    <row r="15470" spans="1:2" x14ac:dyDescent="0.25">
      <c r="A15470">
        <f ca="1">28178.4442212186*((RANDBETWEEN(2979,3282)))</f>
        <v>90255556.840563208</v>
      </c>
      <c r="B15470">
        <v>143397156.82790053</v>
      </c>
    </row>
    <row r="15471" spans="1:2" x14ac:dyDescent="0.25">
      <c r="A15471">
        <f ca="1">27445.2242751259*((RANDBETWEEN(2979,3282)))</f>
        <v>81923994.461250678</v>
      </c>
      <c r="B15471">
        <v>179228723.63388479</v>
      </c>
    </row>
    <row r="15472" spans="1:2" x14ac:dyDescent="0.25">
      <c r="A15472">
        <f ca="1">29455.7747616821*((RANDBETWEEN(2979,3282)))</f>
        <v>94641404.309284672</v>
      </c>
      <c r="B15472">
        <v>174411771.5492574</v>
      </c>
    </row>
    <row r="15473" spans="1:2" x14ac:dyDescent="0.25">
      <c r="A15473">
        <f ca="1">29129.9824031279*((RANDBETWEEN(2979,3282)))</f>
        <v>93769413.355668619</v>
      </c>
      <c r="B15473">
        <v>171122063.14351475</v>
      </c>
    </row>
    <row r="15474" spans="1:2" x14ac:dyDescent="0.25">
      <c r="A15474">
        <f ca="1">29292.2044275306*((RANDBETWEEN(2979,3282)))</f>
        <v>95902677.295735344</v>
      </c>
      <c r="B15474">
        <v>143721283.55932879</v>
      </c>
    </row>
    <row r="15475" spans="1:2" x14ac:dyDescent="0.25">
      <c r="A15475">
        <f ca="1">26599.1280198355*((RANDBETWEEN(2979,3282)))</f>
        <v>82297702.093370929</v>
      </c>
      <c r="B15475">
        <v>180240422.57648224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22684-E111-4FAA-98D5-FF3E9E054970}">
  <dimension ref="A1:B8715"/>
  <sheetViews>
    <sheetView topLeftCell="A8700" workbookViewId="0">
      <selection activeCell="A8715" sqref="A1:A8715"/>
    </sheetView>
  </sheetViews>
  <sheetFormatPr defaultRowHeight="13.8" x14ac:dyDescent="0.25"/>
  <sheetData>
    <row r="1" spans="1:2" x14ac:dyDescent="0.25">
      <c r="A1">
        <f ca="1">26070.4312836876*(RANDBETWEEN(2890,3282))</f>
        <v>75343546.409857094</v>
      </c>
      <c r="B1">
        <v>232199690.83408156</v>
      </c>
    </row>
    <row r="2" spans="1:2" x14ac:dyDescent="0.25">
      <c r="A2">
        <f ca="1">27110.0414485774*(RANDBETWEEN(2890,3282))</f>
        <v>83200717.205683962</v>
      </c>
      <c r="B2">
        <v>219671426.86524063</v>
      </c>
    </row>
    <row r="3" spans="1:2" x14ac:dyDescent="0.25">
      <c r="A3">
        <f ca="1">29551.6406200519*(RANDBETWEEN(2890,3282))</f>
        <v>86438548.81365177</v>
      </c>
      <c r="B3">
        <v>246907568.21112758</v>
      </c>
    </row>
    <row r="4" spans="1:2" x14ac:dyDescent="0.25">
      <c r="A4">
        <f ca="1">29575.3372087235*(RANDBETWEEN(2890,3282))</f>
        <v>92955284.847017825</v>
      </c>
      <c r="B4">
        <v>232557679.48313206</v>
      </c>
    </row>
    <row r="5" spans="1:2" x14ac:dyDescent="0.25">
      <c r="A5">
        <f ca="1">32665.0538339566*(RANDBETWEEN(2890,3282))</f>
        <v>107206706.68304566</v>
      </c>
      <c r="B5">
        <v>205821270.72427288</v>
      </c>
    </row>
    <row r="6" spans="1:2" x14ac:dyDescent="0.25">
      <c r="A6">
        <f ca="1">28154.3360973696*(RANDBETWEEN(2890,3282))</f>
        <v>86940589.868677452</v>
      </c>
      <c r="B6">
        <v>240477115.12409532</v>
      </c>
    </row>
    <row r="7" spans="1:2" x14ac:dyDescent="0.25">
      <c r="A7">
        <f ca="1">26992.1633378354*(RANDBETWEEN(2890,3282))</f>
        <v>82326098.180397972</v>
      </c>
      <c r="B7">
        <v>236468276.0079484</v>
      </c>
    </row>
    <row r="8" spans="1:2" x14ac:dyDescent="0.25">
      <c r="A8">
        <f ca="1">30772.8882632249*(RANDBETWEEN(2890,3282))</f>
        <v>98411696.665793329</v>
      </c>
      <c r="B8">
        <v>225862428.82400352</v>
      </c>
    </row>
    <row r="9" spans="1:2" x14ac:dyDescent="0.25">
      <c r="A9">
        <f ca="1">33075.7286943453*(RANDBETWEEN(2890,3282))</f>
        <v>105908483.27929372</v>
      </c>
      <c r="B9">
        <v>262193188.65965262</v>
      </c>
    </row>
    <row r="10" spans="1:2" x14ac:dyDescent="0.25">
      <c r="A10">
        <f ca="1">30193.1902730722*(RANDBETWEEN(2890,3282))</f>
        <v>95953958.687823594</v>
      </c>
      <c r="B10">
        <v>240862782.93492097</v>
      </c>
    </row>
    <row r="11" spans="1:2" x14ac:dyDescent="0.25">
      <c r="A11">
        <f ca="1">25897.6009590814*(RANDBETWEEN(2890,3282))</f>
        <v>77071260.454226285</v>
      </c>
      <c r="B11">
        <v>207529636.40724352</v>
      </c>
    </row>
    <row r="12" spans="1:2" x14ac:dyDescent="0.25">
      <c r="A12">
        <f ca="1">32859.5127861315*(RANDBETWEEN(2890,3282))</f>
        <v>100155794.97212908</v>
      </c>
      <c r="B12">
        <v>263195218.35545534</v>
      </c>
    </row>
    <row r="13" spans="1:2" x14ac:dyDescent="0.25">
      <c r="A13">
        <f ca="1">28078.8283657721*(RANDBETWEEN(2890,3282))</f>
        <v>86679343.165138558</v>
      </c>
      <c r="B13">
        <v>207789927.7130039</v>
      </c>
    </row>
    <row r="14" spans="1:2" x14ac:dyDescent="0.25">
      <c r="A14">
        <f ca="1">26858.7726458361*(RANDBETWEEN(2890,3282))</f>
        <v>80603176.71015422</v>
      </c>
      <c r="B14">
        <v>265086333.90719154</v>
      </c>
    </row>
    <row r="15" spans="1:2" x14ac:dyDescent="0.25">
      <c r="A15">
        <f ca="1">28974.1956935734*(RANDBETWEEN(2890,3282))</f>
        <v>94861516.700759158</v>
      </c>
      <c r="B15">
        <v>242351017.01313755</v>
      </c>
    </row>
    <row r="16" spans="1:2" x14ac:dyDescent="0.25">
      <c r="A16">
        <f ca="1">30202.6619193875*(RANDBETWEEN(2890,3282))</f>
        <v>92812780.078277797</v>
      </c>
      <c r="B16">
        <v>213825617.7063117</v>
      </c>
    </row>
    <row r="17" spans="1:2" x14ac:dyDescent="0.25">
      <c r="A17">
        <f ca="1">27100.8452294023*(RANDBETWEEN(2890,3282))</f>
        <v>87481528.400510609</v>
      </c>
      <c r="B17">
        <v>247910158.23870477</v>
      </c>
    </row>
    <row r="18" spans="1:2" x14ac:dyDescent="0.25">
      <c r="A18">
        <f ca="1">33422.1485522857*(RANDBETWEEN(2890,3282))</f>
        <v>97057919.395837605</v>
      </c>
      <c r="B18">
        <v>239921296.44479346</v>
      </c>
    </row>
    <row r="19" spans="1:2" x14ac:dyDescent="0.25">
      <c r="A19">
        <f ca="1">27110.8496961769*(RANDBETWEEN(2890,3282))</f>
        <v>79326346.2110136</v>
      </c>
      <c r="B19">
        <v>238997756.16378245</v>
      </c>
    </row>
    <row r="20" spans="1:2" x14ac:dyDescent="0.25">
      <c r="A20">
        <f ca="1">27482.7424671317*(RANDBETWEEN(2890,3282))</f>
        <v>80826745.595834196</v>
      </c>
      <c r="B20">
        <v>241739739.70478952</v>
      </c>
    </row>
    <row r="21" spans="1:2" x14ac:dyDescent="0.25">
      <c r="A21">
        <f ca="1">29892.8546158854*(RANDBETWEEN(2890,3282))</f>
        <v>90455778.067669153</v>
      </c>
      <c r="B21">
        <v>232103594.97444355</v>
      </c>
    </row>
    <row r="22" spans="1:2" x14ac:dyDescent="0.25">
      <c r="A22">
        <f ca="1">29488.2284889119*(RANDBETWEEN(2890,3282))</f>
        <v>90823743.745848522</v>
      </c>
      <c r="B22">
        <v>249823398.15730259</v>
      </c>
    </row>
    <row r="23" spans="1:2" x14ac:dyDescent="0.25">
      <c r="A23">
        <f ca="1">31544.4950335584*(RANDBETWEEN(2890,3282))</f>
        <v>96967777.733158439</v>
      </c>
      <c r="B23">
        <v>212669882.91927734</v>
      </c>
    </row>
    <row r="24" spans="1:2" x14ac:dyDescent="0.25">
      <c r="A24">
        <f ca="1">28075.4424828117*(RANDBETWEEN(2890,3282))</f>
        <v>81334556.87270546</v>
      </c>
      <c r="B24">
        <v>263792548.6497404</v>
      </c>
    </row>
    <row r="25" spans="1:2" x14ac:dyDescent="0.25">
      <c r="A25">
        <f ca="1">29103.8179348745*(RANDBETWEEN(2890,3282))</f>
        <v>90745704.320938647</v>
      </c>
      <c r="B25">
        <v>241629381.24722648</v>
      </c>
    </row>
    <row r="26" spans="1:2" x14ac:dyDescent="0.25">
      <c r="A26">
        <f ca="1">27421.4388772233*(RANDBETWEEN(2890,3282))</f>
        <v>88818040.523326218</v>
      </c>
      <c r="B26">
        <v>249615177.91499415</v>
      </c>
    </row>
    <row r="27" spans="1:2" x14ac:dyDescent="0.25">
      <c r="A27">
        <f ca="1">30334.3385401033*(RANDBETWEEN(2890,3282))</f>
        <v>96675536.9273092</v>
      </c>
      <c r="B27">
        <v>207470144.75022432</v>
      </c>
    </row>
    <row r="28" spans="1:2" x14ac:dyDescent="0.25">
      <c r="A28">
        <f ca="1">29787.6966824977*(RANDBETWEEN(2890,3282))</f>
        <v>93414216.796312749</v>
      </c>
      <c r="B28">
        <v>252609536.76579845</v>
      </c>
    </row>
    <row r="29" spans="1:2" x14ac:dyDescent="0.25">
      <c r="A29">
        <f ca="1">30680.1542899898*(RANDBETWEEN(2890,3282))</f>
        <v>96519765.396307811</v>
      </c>
      <c r="B29">
        <v>235052794.24047273</v>
      </c>
    </row>
    <row r="30" spans="1:2" x14ac:dyDescent="0.25">
      <c r="A30">
        <f ca="1">29790.1213043146*(RANDBETWEEN(2890,3282))</f>
        <v>93928252.472503915</v>
      </c>
      <c r="B30">
        <v>244553939.91934848</v>
      </c>
    </row>
    <row r="31" spans="1:2" x14ac:dyDescent="0.25">
      <c r="A31">
        <f ca="1">31791.3252607848*(RANDBETWEEN(2890,3282))</f>
        <v>92544547.834144607</v>
      </c>
      <c r="B31">
        <v>242623636.69499075</v>
      </c>
    </row>
    <row r="32" spans="1:2" x14ac:dyDescent="0.25">
      <c r="A32">
        <f ca="1">32743.9624081354*(RANDBETWEEN(2890,3282))</f>
        <v>99672621.570364222</v>
      </c>
      <c r="B32">
        <v>215341926.58293831</v>
      </c>
    </row>
    <row r="33" spans="1:2" x14ac:dyDescent="0.25">
      <c r="A33">
        <f ca="1">28592.0236365111*(RANDBETWEEN(2890,3282))</f>
        <v>86776791.736811042</v>
      </c>
      <c r="B33">
        <v>234806561.35123831</v>
      </c>
    </row>
    <row r="34" spans="1:2" x14ac:dyDescent="0.25">
      <c r="A34">
        <f ca="1">25508.4325078862*(RANDBETWEEN(2890,3282))</f>
        <v>74255047.030456781</v>
      </c>
      <c r="B34">
        <v>210082887.74934599</v>
      </c>
    </row>
    <row r="35" spans="1:2" x14ac:dyDescent="0.25">
      <c r="A35">
        <f ca="1">33122.5249406498*(RANDBETWEEN(2890,3282))</f>
        <v>96850262.926459923</v>
      </c>
      <c r="B35">
        <v>206352517.66824111</v>
      </c>
    </row>
    <row r="36" spans="1:2" x14ac:dyDescent="0.25">
      <c r="A36">
        <f ca="1">29603.3061830161*(RANDBETWEEN(2890,3282))</f>
        <v>95589075.664959133</v>
      </c>
      <c r="B36">
        <v>231222283.61778843</v>
      </c>
    </row>
    <row r="37" spans="1:2" x14ac:dyDescent="0.25">
      <c r="A37">
        <f ca="1">28792.3116943865*(RANDBETWEEN(2890,3282))</f>
        <v>94093274.617255121</v>
      </c>
      <c r="B37">
        <v>222054933.68188024</v>
      </c>
    </row>
    <row r="38" spans="1:2" x14ac:dyDescent="0.25">
      <c r="A38">
        <f ca="1">27849.2455464122*(RANDBETWEEN(2890,3282))</f>
        <v>87669424.980105683</v>
      </c>
      <c r="B38">
        <v>238988392.56645608</v>
      </c>
    </row>
    <row r="39" spans="1:2" x14ac:dyDescent="0.25">
      <c r="A39">
        <f ca="1">30738.8143337489*(RANDBETWEEN(2890,3282))</f>
        <v>91663144.343239322</v>
      </c>
      <c r="B39">
        <v>262612763.28595549</v>
      </c>
    </row>
    <row r="40" spans="1:2" x14ac:dyDescent="0.25">
      <c r="A40">
        <f ca="1">30636.0093047825*(RANDBETWEEN(2890,3282))</f>
        <v>89089515.058307618</v>
      </c>
      <c r="B40">
        <v>232470561.89935556</v>
      </c>
    </row>
    <row r="41" spans="1:2" x14ac:dyDescent="0.25">
      <c r="A41">
        <f ca="1">28357.8847704802*(RANDBETWEEN(2890,3282))</f>
        <v>88930326.640225753</v>
      </c>
      <c r="B41">
        <v>253640617.56287187</v>
      </c>
    </row>
    <row r="42" spans="1:2" x14ac:dyDescent="0.25">
      <c r="A42">
        <f ca="1">33605.3311509927*(RANDBETWEEN(2890,3282))</f>
        <v>108881272.92921647</v>
      </c>
      <c r="B42">
        <v>241997897.17026669</v>
      </c>
    </row>
    <row r="43" spans="1:2" x14ac:dyDescent="0.25">
      <c r="A43">
        <f ca="1">29743.2821645345*(RANDBETWEEN(2890,3282))</f>
        <v>88307804.746502891</v>
      </c>
      <c r="B43">
        <v>260651530.45935246</v>
      </c>
    </row>
    <row r="44" spans="1:2" x14ac:dyDescent="0.25">
      <c r="A44">
        <f ca="1">31228.6511908687*(RANDBETWEEN(2890,3282))</f>
        <v>100275198.97387943</v>
      </c>
      <c r="B44">
        <v>219831164.35147098</v>
      </c>
    </row>
    <row r="45" spans="1:2" x14ac:dyDescent="0.25">
      <c r="A45">
        <f ca="1">33334.0581744549*(RANDBETWEEN(2890,3282))</f>
        <v>105168953.54040529</v>
      </c>
      <c r="B45">
        <v>226127069.16852796</v>
      </c>
    </row>
    <row r="46" spans="1:2" x14ac:dyDescent="0.25">
      <c r="A46">
        <f ca="1">28111.3192729062*(RANDBETWEEN(2890,3282))</f>
        <v>84052844.625989541</v>
      </c>
      <c r="B46">
        <v>211840847.38494959</v>
      </c>
    </row>
    <row r="47" spans="1:2" x14ac:dyDescent="0.25">
      <c r="A47">
        <f ca="1">27847.5529526921*(RANDBETWEEN(2890,3282))</f>
        <v>87775486.906885579</v>
      </c>
      <c r="B47">
        <v>250912380.04828984</v>
      </c>
    </row>
    <row r="48" spans="1:2" x14ac:dyDescent="0.25">
      <c r="A48">
        <f ca="1">27529.1185049313*(RANDBETWEEN(2890,3282))</f>
        <v>87625184.201196343</v>
      </c>
      <c r="B48">
        <v>204163800.19117054</v>
      </c>
    </row>
    <row r="49" spans="1:2" x14ac:dyDescent="0.25">
      <c r="A49">
        <f ca="1">27278.8829956859*(RANDBETWEEN(2890,3282))</f>
        <v>86801405.692272455</v>
      </c>
      <c r="B49">
        <v>267869252.76677334</v>
      </c>
    </row>
    <row r="50" spans="1:2" x14ac:dyDescent="0.25">
      <c r="A50">
        <f ca="1">29565.0992248421*(RANDBETWEEN(2890,3282))</f>
        <v>88961383.567549825</v>
      </c>
      <c r="B50">
        <v>213722404.34567463</v>
      </c>
    </row>
    <row r="51" spans="1:2" x14ac:dyDescent="0.25">
      <c r="A51">
        <f ca="1">30359.5355468226*(RANDBETWEEN(2890,3282))</f>
        <v>97727344.925222054</v>
      </c>
      <c r="B51">
        <v>252190221.05190122</v>
      </c>
    </row>
    <row r="52" spans="1:2" x14ac:dyDescent="0.25">
      <c r="A52">
        <f ca="1">24146.9843517225*(RANDBETWEEN(2890,3282))</f>
        <v>75845677.848760307</v>
      </c>
      <c r="B52">
        <v>255633377.65140364</v>
      </c>
    </row>
    <row r="53" spans="1:2" x14ac:dyDescent="0.25">
      <c r="A53">
        <f ca="1">31449.2683270983*(RANDBETWEEN(2890,3282))</f>
        <v>100700557.18336876</v>
      </c>
      <c r="B53">
        <v>230056840.69066304</v>
      </c>
    </row>
    <row r="54" spans="1:2" x14ac:dyDescent="0.25">
      <c r="A54">
        <f ca="1">27454.5348303125*(RANDBETWEEN(2890,3282))</f>
        <v>86344512.04133293</v>
      </c>
      <c r="B54">
        <v>207739495.23742619</v>
      </c>
    </row>
    <row r="55" spans="1:2" x14ac:dyDescent="0.25">
      <c r="A55">
        <f ca="1">30190.3185601187*(RANDBETWEEN(2890,3282))</f>
        <v>90238862.176194757</v>
      </c>
      <c r="B55">
        <v>266371431.47907516</v>
      </c>
    </row>
    <row r="56" spans="1:2" x14ac:dyDescent="0.25">
      <c r="A56">
        <f ca="1">30371.9746741665*(RANDBETWEEN(2890,3282))</f>
        <v>94973164.806118578</v>
      </c>
      <c r="B56">
        <v>236947280.32077786</v>
      </c>
    </row>
    <row r="57" spans="1:2" x14ac:dyDescent="0.25">
      <c r="A57">
        <f ca="1">29296.73089964*(RANDBETWEEN(2890,3282))</f>
        <v>92489779.450163469</v>
      </c>
      <c r="B57">
        <v>229015137.79358178</v>
      </c>
    </row>
    <row r="58" spans="1:2" x14ac:dyDescent="0.25">
      <c r="A58">
        <f ca="1">29591.7681183091*(RANDBETWEEN(2890,3282))</f>
        <v>86615105.282290608</v>
      </c>
      <c r="B58">
        <v>262299516.42891082</v>
      </c>
    </row>
    <row r="59" spans="1:2" x14ac:dyDescent="0.25">
      <c r="A59">
        <f ca="1">33949.7546328053*(RANDBETWEEN(2890,3282))</f>
        <v>103207254.08372822</v>
      </c>
      <c r="B59">
        <v>264790500.59643275</v>
      </c>
    </row>
    <row r="60" spans="1:2" x14ac:dyDescent="0.25">
      <c r="A60">
        <f ca="1">30520.9960988348*(RANDBETWEEN(2890,3282))</f>
        <v>96141137.711329773</v>
      </c>
      <c r="B60">
        <v>223256498.04818121</v>
      </c>
    </row>
    <row r="61" spans="1:2" x14ac:dyDescent="0.25">
      <c r="A61">
        <f ca="1">30984.4100921542*(RANDBETWEEN(2890,3282))</f>
        <v>90381524.238813803</v>
      </c>
      <c r="B61">
        <v>259866897.4590795</v>
      </c>
    </row>
    <row r="62" spans="1:2" x14ac:dyDescent="0.25">
      <c r="A62">
        <f ca="1">30164.1821222385*(RANDBETWEEN(2890,3282))</f>
        <v>95590293.145373806</v>
      </c>
      <c r="B62">
        <v>259431248.10129762</v>
      </c>
    </row>
    <row r="63" spans="1:2" x14ac:dyDescent="0.25">
      <c r="A63">
        <f ca="1">27934.8351243706*(RANDBETWEEN(2890,3282))</f>
        <v>82854720.978883177</v>
      </c>
      <c r="B63">
        <v>226398594.61556381</v>
      </c>
    </row>
    <row r="64" spans="1:2" x14ac:dyDescent="0.25">
      <c r="A64">
        <f ca="1">27105.2784694239*(RANDBETWEEN(2890,3282))</f>
        <v>82128993.762354568</v>
      </c>
      <c r="B64">
        <v>241898889.76600266</v>
      </c>
    </row>
    <row r="65" spans="1:2" x14ac:dyDescent="0.25">
      <c r="A65">
        <f ca="1">30791.4841054009*(RANDBETWEEN(2890,3282))</f>
        <v>92343660.832097188</v>
      </c>
      <c r="B65">
        <v>265329861.06342143</v>
      </c>
    </row>
    <row r="66" spans="1:2" x14ac:dyDescent="0.25">
      <c r="A66">
        <f ca="1">27964.4718621764*(RANDBETWEEN(2890,3282))</f>
        <v>82830765.655766457</v>
      </c>
      <c r="B66">
        <v>229257508.27658498</v>
      </c>
    </row>
    <row r="67" spans="1:2" x14ac:dyDescent="0.25">
      <c r="A67">
        <f ca="1">29597.4294771114*(RANDBETWEEN(2890,3282))</f>
        <v>94889358.903619006</v>
      </c>
      <c r="B67">
        <v>218367478.691948</v>
      </c>
    </row>
    <row r="68" spans="1:2" x14ac:dyDescent="0.25">
      <c r="A68">
        <f ca="1">28476.01604188*(RANDBETWEEN(2890,3282))</f>
        <v>91607343.606728062</v>
      </c>
      <c r="B68">
        <v>218826795.97822756</v>
      </c>
    </row>
    <row r="69" spans="1:2" x14ac:dyDescent="0.25">
      <c r="A69">
        <f ca="1">30488.5053154699*(RANDBETWEEN(2890,3282))</f>
        <v>93081406.72812964</v>
      </c>
      <c r="B69">
        <v>217158021.3879098</v>
      </c>
    </row>
    <row r="70" spans="1:2" x14ac:dyDescent="0.25">
      <c r="A70">
        <f ca="1">28350.5837953968*(RANDBETWEEN(2890,3282))</f>
        <v>91657437.410517767</v>
      </c>
      <c r="B70">
        <v>220532845.7158522</v>
      </c>
    </row>
    <row r="71" spans="1:2" x14ac:dyDescent="0.25">
      <c r="A71">
        <f ca="1">27745.6494784766*(RANDBETWEEN(2890,3282))</f>
        <v>81322498.6214149</v>
      </c>
      <c r="B71">
        <v>211965254.84314728</v>
      </c>
    </row>
    <row r="72" spans="1:2" x14ac:dyDescent="0.25">
      <c r="A72">
        <f ca="1">27721.8235459595*(RANDBETWEEN(2890,3282))</f>
        <v>85078276.462549761</v>
      </c>
      <c r="B72">
        <v>255752307.27916071</v>
      </c>
    </row>
    <row r="73" spans="1:2" x14ac:dyDescent="0.25">
      <c r="A73">
        <f ca="1">30468.0325738531*(RANDBETWEEN(2890,3282))</f>
        <v>90794737.070082173</v>
      </c>
      <c r="B73">
        <v>259829160.62274191</v>
      </c>
    </row>
    <row r="74" spans="1:2" x14ac:dyDescent="0.25">
      <c r="A74">
        <f ca="1">30919.8947679166*(RANDBETWEEN(2890,3282))</f>
        <v>93316242.409572363</v>
      </c>
      <c r="B74">
        <v>243204092.42621446</v>
      </c>
    </row>
    <row r="75" spans="1:2" x14ac:dyDescent="0.25">
      <c r="A75">
        <f ca="1">28500.1067095765*(RANDBETWEEN(2890,3282))</f>
        <v>85414819.808600664</v>
      </c>
      <c r="B75">
        <v>239421557.72259212</v>
      </c>
    </row>
    <row r="76" spans="1:2" x14ac:dyDescent="0.25">
      <c r="A76">
        <f ca="1">34065.8444090359*(RANDBETWEEN(2890,3282))</f>
        <v>107750265.86578043</v>
      </c>
      <c r="B76">
        <v>266373128.47814769</v>
      </c>
    </row>
    <row r="77" spans="1:2" x14ac:dyDescent="0.25">
      <c r="A77">
        <f ca="1">27219.8538022264*(RANDBETWEEN(2890,3282))</f>
        <v>82203958.482723653</v>
      </c>
      <c r="B77">
        <v>204629846.47544479</v>
      </c>
    </row>
    <row r="78" spans="1:2" x14ac:dyDescent="0.25">
      <c r="A78">
        <f ca="1">26690.9479253401*(RANDBETWEEN(2890,3282))</f>
        <v>86665507.913579419</v>
      </c>
      <c r="B78">
        <v>238038541.82997638</v>
      </c>
    </row>
    <row r="79" spans="1:2" x14ac:dyDescent="0.25">
      <c r="A79">
        <f ca="1">30382.1111207418*(RANDBETWEEN(2890,3282))</f>
        <v>90326016.361965418</v>
      </c>
      <c r="B79">
        <v>262353644.45778391</v>
      </c>
    </row>
    <row r="80" spans="1:2" x14ac:dyDescent="0.25">
      <c r="A80">
        <f ca="1">27582.4768853553*(RANDBETWEEN(2890,3282))</f>
        <v>87215791.911493436</v>
      </c>
      <c r="B80">
        <v>242063504.75898463</v>
      </c>
    </row>
    <row r="81" spans="1:2" x14ac:dyDescent="0.25">
      <c r="A81">
        <f ca="1">31379.0213764291*(RANDBETWEEN(2890,3282))</f>
        <v>95517741.069850236</v>
      </c>
      <c r="B81">
        <v>238569920.13163096</v>
      </c>
    </row>
    <row r="82" spans="1:2" x14ac:dyDescent="0.25">
      <c r="A82">
        <f ca="1">30985.9981974825*(RANDBETWEEN(2890,3282))</f>
        <v>92555176.615880206</v>
      </c>
      <c r="B82">
        <v>239137188.84290522</v>
      </c>
    </row>
    <row r="83" spans="1:2" x14ac:dyDescent="0.25">
      <c r="A83">
        <f ca="1">27495.0691669056*(RANDBETWEEN(2890,3282))</f>
        <v>82485207.500716716</v>
      </c>
      <c r="B83">
        <v>219616782.41152737</v>
      </c>
    </row>
    <row r="84" spans="1:2" x14ac:dyDescent="0.25">
      <c r="A84">
        <f ca="1">32593.3297099917*(RANDBETWEEN(2890,3282))</f>
        <v>96411069.282155395</v>
      </c>
      <c r="B84">
        <v>252742164.15335175</v>
      </c>
    </row>
    <row r="85" spans="1:2" x14ac:dyDescent="0.25">
      <c r="A85">
        <f ca="1">29774.1403636408*(RANDBETWEEN(2890,3282))</f>
        <v>88697164.143285885</v>
      </c>
      <c r="B85">
        <v>244021092.08418378</v>
      </c>
    </row>
    <row r="86" spans="1:2" x14ac:dyDescent="0.25">
      <c r="A86">
        <f ca="1">27175.0774469367*(RANDBETWEEN(2890,3282))</f>
        <v>82856811.135710031</v>
      </c>
      <c r="B86">
        <v>235069248.90525302</v>
      </c>
    </row>
    <row r="87" spans="1:2" x14ac:dyDescent="0.25">
      <c r="A87">
        <f ca="1">30050.9462278123*(RANDBETWEEN(2890,3282))</f>
        <v>96463537.391277462</v>
      </c>
      <c r="B87">
        <v>222516012.77053952</v>
      </c>
    </row>
    <row r="88" spans="1:2" x14ac:dyDescent="0.25">
      <c r="A88">
        <f ca="1">32258.3750422411*(RANDBETWEEN(2890,3282))</f>
        <v>98871919.504469007</v>
      </c>
      <c r="B88">
        <v>243391782.19141832</v>
      </c>
    </row>
    <row r="89" spans="1:2" x14ac:dyDescent="0.25">
      <c r="A89">
        <f ca="1">31521.4392552035*(RANDBETWEEN(2890,3282))</f>
        <v>96833861.391984999</v>
      </c>
      <c r="B89">
        <v>233617124.66007102</v>
      </c>
    </row>
    <row r="90" spans="1:2" x14ac:dyDescent="0.25">
      <c r="A90">
        <f ca="1">30150.0015707715*(RANDBETWEEN(2890,3282))</f>
        <v>95334304.966779336</v>
      </c>
      <c r="B90">
        <v>230526764.7189441</v>
      </c>
    </row>
    <row r="91" spans="1:2" x14ac:dyDescent="0.25">
      <c r="A91">
        <f ca="1">33359.6713010357*(RANDBETWEEN(2890,3282))</f>
        <v>106317272.43640073</v>
      </c>
      <c r="B91">
        <v>262947055.88362139</v>
      </c>
    </row>
    <row r="92" spans="1:2" x14ac:dyDescent="0.25">
      <c r="A92">
        <f ca="1">33317.477418387*(RANDBETWEEN(2890,3282))</f>
        <v>98919590.455190971</v>
      </c>
      <c r="B92">
        <v>252027354.37651789</v>
      </c>
    </row>
    <row r="93" spans="1:2" x14ac:dyDescent="0.25">
      <c r="A93">
        <f ca="1">32111.1504973789*(RANDBETWEEN(2890,3282))</f>
        <v>96140784.589152381</v>
      </c>
      <c r="B93">
        <v>249503282.9212594</v>
      </c>
    </row>
    <row r="94" spans="1:2" x14ac:dyDescent="0.25">
      <c r="A94">
        <f ca="1">26826.3881661206*(RANDBETWEEN(2890,3282))</f>
        <v>79647546.465212166</v>
      </c>
      <c r="B94">
        <v>267715454.75772682</v>
      </c>
    </row>
    <row r="95" spans="1:2" x14ac:dyDescent="0.25">
      <c r="A95">
        <f ca="1">30776.0816774119*(RANDBETWEEN(2890,3282))</f>
        <v>94144033.85120298</v>
      </c>
      <c r="B95">
        <v>208022320.41072154</v>
      </c>
    </row>
    <row r="96" spans="1:2" x14ac:dyDescent="0.25">
      <c r="A96">
        <f ca="1">27140.6239490237*(RANDBETWEEN(2890,3282))</f>
        <v>79657731.29038468</v>
      </c>
      <c r="B96">
        <v>204759401.23144063</v>
      </c>
    </row>
    <row r="97" spans="1:2" x14ac:dyDescent="0.25">
      <c r="A97">
        <f ca="1">26789.7919149975*(RANDBETWEEN(2890,3282))</f>
        <v>77958294.472642615</v>
      </c>
      <c r="B97">
        <v>257577937.40098831</v>
      </c>
    </row>
    <row r="98" spans="1:2" x14ac:dyDescent="0.25">
      <c r="A98">
        <f ca="1">28968.1504616585*(RANDBETWEEN(2890,3282))</f>
        <v>88932221.917291492</v>
      </c>
      <c r="B98">
        <v>250470347.5535031</v>
      </c>
    </row>
    <row r="99" spans="1:2" x14ac:dyDescent="0.25">
      <c r="A99">
        <f ca="1">33262.6051222699*(RANDBETWEEN(2890,3282))</f>
        <v>102615136.80220251</v>
      </c>
      <c r="B99">
        <v>211902872.83522373</v>
      </c>
    </row>
    <row r="100" spans="1:2" x14ac:dyDescent="0.25">
      <c r="A100">
        <f ca="1">28046.0666283264*(RANDBETWEEN(2890,3282))</f>
        <v>91738683.941255629</v>
      </c>
      <c r="B100">
        <v>224592150.7169458</v>
      </c>
    </row>
    <row r="101" spans="1:2" x14ac:dyDescent="0.25">
      <c r="A101">
        <f ca="1">28641.9767252979*(RANDBETWEEN(2890,3282))</f>
        <v>90966918.079545975</v>
      </c>
      <c r="B101">
        <v>257113377.89071208</v>
      </c>
    </row>
    <row r="102" spans="1:2" x14ac:dyDescent="0.25">
      <c r="A102">
        <f ca="1">29041.5747209051*(RANDBETWEEN(2890,3282))</f>
        <v>85643603.851949006</v>
      </c>
      <c r="B102">
        <v>248070337.61709529</v>
      </c>
    </row>
    <row r="103" spans="1:2" x14ac:dyDescent="0.25">
      <c r="A103">
        <f ca="1">30132.7313467762*(RANDBETWEEN(2890,3282))</f>
        <v>94104519.995981976</v>
      </c>
      <c r="B103">
        <v>226195969.52442122</v>
      </c>
    </row>
    <row r="104" spans="1:2" x14ac:dyDescent="0.25">
      <c r="A104">
        <f ca="1">29070.6964827537*(RANDBETWEEN(2890,3282))</f>
        <v>90555219.543777838</v>
      </c>
      <c r="B104">
        <v>207650551.7966575</v>
      </c>
    </row>
    <row r="105" spans="1:2" x14ac:dyDescent="0.25">
      <c r="A105">
        <f ca="1">33756.1356929462*(RANDBETWEEN(2890,3282))</f>
        <v>97791525.102465242</v>
      </c>
      <c r="B105">
        <v>260947930.26515883</v>
      </c>
    </row>
    <row r="106" spans="1:2" x14ac:dyDescent="0.25">
      <c r="A106">
        <f ca="1">28160.6266015652*(RANDBETWEEN(2890,3282))</f>
        <v>88086440.009696081</v>
      </c>
      <c r="B106">
        <v>261499941.65045071</v>
      </c>
    </row>
    <row r="107" spans="1:2" x14ac:dyDescent="0.25">
      <c r="A107">
        <f ca="1">28502.0221484426*(RANDBETWEEN(2890,3282))</f>
        <v>86047604.866148248</v>
      </c>
      <c r="B107">
        <v>235914745.12000129</v>
      </c>
    </row>
    <row r="108" spans="1:2" x14ac:dyDescent="0.25">
      <c r="A108">
        <f ca="1">31627.312822905*(RANDBETWEEN(2890,3282))</f>
        <v>98519079.443349048</v>
      </c>
      <c r="B108">
        <v>244519961.02420577</v>
      </c>
    </row>
    <row r="109" spans="1:2" x14ac:dyDescent="0.25">
      <c r="A109">
        <f ca="1">34284.710871349*(RANDBETWEEN(2890,3282))</f>
        <v>101071327.64873694</v>
      </c>
      <c r="B109">
        <v>218330322.59324723</v>
      </c>
    </row>
    <row r="110" spans="1:2" x14ac:dyDescent="0.25">
      <c r="A110">
        <f ca="1">31627.2130399625*(RANDBETWEEN(2890,3282))</f>
        <v>92066817.159330785</v>
      </c>
      <c r="B110">
        <v>267580124.90633774</v>
      </c>
    </row>
    <row r="111" spans="1:2" x14ac:dyDescent="0.25">
      <c r="A111">
        <f ca="1">27626.9500819269*(RANDBETWEEN(2890,3282))</f>
        <v>88710136.713067308</v>
      </c>
      <c r="B111">
        <v>256165343.94189391</v>
      </c>
    </row>
    <row r="112" spans="1:2" x14ac:dyDescent="0.25">
      <c r="A112">
        <f ca="1">28149.9865371788*(RANDBETWEEN(2890,3282))</f>
        <v>85125559.288428754</v>
      </c>
      <c r="B112">
        <v>206363417.63166159</v>
      </c>
    </row>
    <row r="113" spans="1:2" x14ac:dyDescent="0.25">
      <c r="A113">
        <f ca="1">29037.7252198551*(RANDBETWEEN(2890,3282))</f>
        <v>92252853.023479581</v>
      </c>
      <c r="B113">
        <v>226598421.2296778</v>
      </c>
    </row>
    <row r="114" spans="1:2" x14ac:dyDescent="0.25">
      <c r="A114">
        <f ca="1">32640.4682848053*(RANDBETWEEN(2890,3282))</f>
        <v>106048881.4573323</v>
      </c>
      <c r="B114">
        <v>250142176.23575282</v>
      </c>
    </row>
    <row r="115" spans="1:2" x14ac:dyDescent="0.25">
      <c r="A115">
        <f ca="1">28204.6473535138*(RANDBETWEEN(2890,3282))</f>
        <v>88421569.453265607</v>
      </c>
      <c r="B115">
        <v>233540334.36725155</v>
      </c>
    </row>
    <row r="116" spans="1:2" x14ac:dyDescent="0.25">
      <c r="A116">
        <f ca="1">32058.0227854272*(RANDBETWEEN(2890,3282))</f>
        <v>100598075.50067069</v>
      </c>
      <c r="B116">
        <v>259325370.9355199</v>
      </c>
    </row>
    <row r="117" spans="1:2" x14ac:dyDescent="0.25">
      <c r="A117">
        <f ca="1">29543.2876741894*(RANDBETWEEN(2890,3282))</f>
        <v>95306646.036934868</v>
      </c>
      <c r="B117">
        <v>206420216.36693242</v>
      </c>
    </row>
    <row r="118" spans="1:2" x14ac:dyDescent="0.25">
      <c r="A118">
        <f ca="1">28963.462593673*(RANDBETWEEN(2890,3282))</f>
        <v>93001678.388283864</v>
      </c>
      <c r="B118">
        <v>224223499.09197348</v>
      </c>
    </row>
    <row r="119" spans="1:2" x14ac:dyDescent="0.25">
      <c r="A119">
        <f ca="1">32178.1448344723*(RANDBETWEEN(2890,3282))</f>
        <v>95311664.999706998</v>
      </c>
      <c r="B119">
        <v>255549439.98848021</v>
      </c>
    </row>
    <row r="120" spans="1:2" x14ac:dyDescent="0.25">
      <c r="A120">
        <f ca="1">32807.2255280695*(RANDBETWEEN(2890,3282))</f>
        <v>106098567.3577767</v>
      </c>
      <c r="B120">
        <v>247838501.05318648</v>
      </c>
    </row>
    <row r="121" spans="1:2" x14ac:dyDescent="0.25">
      <c r="A121">
        <f ca="1">32626.8676259145*(RANDBETWEEN(2890,3282))</f>
        <v>105156394.35832231</v>
      </c>
      <c r="B121">
        <v>265260360.16625193</v>
      </c>
    </row>
    <row r="122" spans="1:2" x14ac:dyDescent="0.25">
      <c r="A122">
        <f ca="1">32554.8032383726*(RANDBETWEEN(2890,3282))</f>
        <v>103231281.06887956</v>
      </c>
      <c r="B122">
        <v>228965177.83206576</v>
      </c>
    </row>
    <row r="123" spans="1:2" x14ac:dyDescent="0.25">
      <c r="A123">
        <f ca="1">32225.2133189829*(RANDBETWEEN(2890,3282))</f>
        <v>93195316.91849868</v>
      </c>
      <c r="B123">
        <v>221243190.14181048</v>
      </c>
    </row>
    <row r="124" spans="1:2" x14ac:dyDescent="0.25">
      <c r="A124">
        <f ca="1">28744.3988594153*(RANDBETWEEN(2890,3282))</f>
        <v>90976022.390049368</v>
      </c>
      <c r="B124">
        <v>263579013.06691772</v>
      </c>
    </row>
    <row r="125" spans="1:2" x14ac:dyDescent="0.25">
      <c r="A125">
        <f ca="1">32259.2587277944*(RANDBETWEEN(2890,3282))</f>
        <v>99713368.727612481</v>
      </c>
      <c r="B125">
        <v>260687308.72081462</v>
      </c>
    </row>
    <row r="126" spans="1:2" x14ac:dyDescent="0.25">
      <c r="A126">
        <f ca="1">29859.2740951404*(RANDBETWEEN(2890,3282))</f>
        <v>95042069.444831893</v>
      </c>
      <c r="B126">
        <v>228985742.26731169</v>
      </c>
    </row>
    <row r="127" spans="1:2" x14ac:dyDescent="0.25">
      <c r="A127">
        <f ca="1">26642.0803067205*(RANDBETWEEN(2890,3282))</f>
        <v>86693329.318068668</v>
      </c>
      <c r="B127">
        <v>208390074.57442287</v>
      </c>
    </row>
    <row r="128" spans="1:2" x14ac:dyDescent="0.25">
      <c r="A128">
        <f ca="1">29227.5125435356*(RANDBETWEEN(2890,3282))</f>
        <v>89728463.508654326</v>
      </c>
      <c r="B128">
        <v>206330545.65795216</v>
      </c>
    </row>
    <row r="129" spans="1:2" x14ac:dyDescent="0.25">
      <c r="A129">
        <f ca="1">30779.0022260946*(RANDBETWEEN(2890,3282))</f>
        <v>98123459.096789554</v>
      </c>
      <c r="B129">
        <v>251408227.0138514</v>
      </c>
    </row>
    <row r="130" spans="1:2" x14ac:dyDescent="0.25">
      <c r="A130">
        <f ca="1">27580.7032933347*(RANDBETWEEN(2890,3282))</f>
        <v>82852432.693177506</v>
      </c>
      <c r="B130">
        <v>224929129.1944164</v>
      </c>
    </row>
    <row r="131" spans="1:2" x14ac:dyDescent="0.25">
      <c r="A131">
        <f ca="1">29913.6343312356*(RANDBETWEEN(2890,3282))</f>
        <v>87287984.978545561</v>
      </c>
      <c r="B131">
        <v>231818149.49686176</v>
      </c>
    </row>
    <row r="132" spans="1:2" x14ac:dyDescent="0.25">
      <c r="A132">
        <f ca="1">33041.3141106499*(RANDBETWEEN(2890,3282))</f>
        <v>105401792.01297319</v>
      </c>
      <c r="B132">
        <v>238629946.84526739</v>
      </c>
    </row>
    <row r="133" spans="1:2" x14ac:dyDescent="0.25">
      <c r="A133">
        <f ca="1">31174.6715014404*(RANDBETWEEN(2890,3282))</f>
        <v>92744647.716785207</v>
      </c>
      <c r="B133">
        <v>225049160.60777447</v>
      </c>
    </row>
    <row r="134" spans="1:2" x14ac:dyDescent="0.25">
      <c r="A134">
        <f ca="1">30336.1340448808*(RANDBETWEEN(2890,3282))</f>
        <v>95953191.983957946</v>
      </c>
      <c r="B134">
        <v>245338101.79168439</v>
      </c>
    </row>
    <row r="135" spans="1:2" x14ac:dyDescent="0.25">
      <c r="A135">
        <f ca="1">29387.9313855064*(RANDBETWEEN(2890,3282))</f>
        <v>93806276.98253651</v>
      </c>
      <c r="B135">
        <v>242028332.87464717</v>
      </c>
    </row>
    <row r="136" spans="1:2" x14ac:dyDescent="0.25">
      <c r="A136">
        <f ca="1">32284.6382911724*(RANDBETWEEN(2890,3282))</f>
        <v>94303428.448514596</v>
      </c>
      <c r="B136">
        <v>206833410.45535308</v>
      </c>
    </row>
    <row r="137" spans="1:2" x14ac:dyDescent="0.25">
      <c r="A137">
        <f ca="1">31894.9146939374*(RANDBETWEEN(2890,3282))</f>
        <v>93802944.114869878</v>
      </c>
      <c r="B137">
        <v>253205687.42591542</v>
      </c>
    </row>
    <row r="138" spans="1:2" x14ac:dyDescent="0.25">
      <c r="A138">
        <f ca="1">29649.6061469823*(RANDBETWEEN(2890,3282))</f>
        <v>88415125.530301288</v>
      </c>
      <c r="B138">
        <v>210768798.3217755</v>
      </c>
    </row>
    <row r="139" spans="1:2" x14ac:dyDescent="0.25">
      <c r="A139">
        <f ca="1">30502.5252897569*(RANDBETWEEN(2890,3282))</f>
        <v>96448984.966211349</v>
      </c>
      <c r="B139">
        <v>256916402.89865428</v>
      </c>
    </row>
    <row r="140" spans="1:2" x14ac:dyDescent="0.25">
      <c r="A140">
        <f ca="1">26424.2890125443*(RANDBETWEEN(2890,3282))</f>
        <v>84927664.886317536</v>
      </c>
      <c r="B140">
        <v>218984265.70874825</v>
      </c>
    </row>
    <row r="141" spans="1:2" x14ac:dyDescent="0.25">
      <c r="A141">
        <f ca="1">29588.6947429395*(RANDBETWEEN(2890,3282))</f>
        <v>87641713.828586936</v>
      </c>
      <c r="B141">
        <v>226272820.48387644</v>
      </c>
    </row>
    <row r="142" spans="1:2" x14ac:dyDescent="0.25">
      <c r="A142">
        <f ca="1">27133.8241749652*(RANDBETWEEN(2890,3282))</f>
        <v>84657531.425891638</v>
      </c>
      <c r="B142">
        <v>206899156.95144111</v>
      </c>
    </row>
    <row r="143" spans="1:2" x14ac:dyDescent="0.25">
      <c r="A143">
        <f ca="1">33460.4716505232*(RANDBETWEEN(2890,3282))</f>
        <v>102455964.19390203</v>
      </c>
      <c r="B143">
        <v>267882675.49183124</v>
      </c>
    </row>
    <row r="144" spans="1:2" x14ac:dyDescent="0.25">
      <c r="A144">
        <f ca="1">29169.2696136969*(RANDBETWEEN(2890,3282))</f>
        <v>90424735.802460343</v>
      </c>
      <c r="B144">
        <v>264282313.06440097</v>
      </c>
    </row>
    <row r="145" spans="1:2" x14ac:dyDescent="0.25">
      <c r="A145">
        <f ca="1">28398.7440087396*(RANDBETWEEN(2890,3282))</f>
        <v>93176279.092674762</v>
      </c>
      <c r="B145">
        <v>221562119.23743916</v>
      </c>
    </row>
    <row r="146" spans="1:2" x14ac:dyDescent="0.25">
      <c r="A146">
        <f ca="1">28850.2512049963*(RANDBETWEEN(2890,3282))</f>
        <v>89176126.474643499</v>
      </c>
      <c r="B146">
        <v>262729861.21200946</v>
      </c>
    </row>
    <row r="147" spans="1:2" x14ac:dyDescent="0.25">
      <c r="A147">
        <f ca="1">27108.1111824614*(RANDBETWEEN(2890,3282))</f>
        <v>88128469.454182118</v>
      </c>
      <c r="B147">
        <v>210783435.69295859</v>
      </c>
    </row>
    <row r="148" spans="1:2" x14ac:dyDescent="0.25">
      <c r="A148">
        <f ca="1">29048.5787802053*(RANDBETWEEN(2890,3282))</f>
        <v>94582172.508348316</v>
      </c>
      <c r="B148">
        <v>238061039.85736299</v>
      </c>
    </row>
    <row r="149" spans="1:2" x14ac:dyDescent="0.25">
      <c r="A149">
        <f ca="1">28065.7611885094*(RANDBETWEEN(2890,3282))</f>
        <v>88463279.266181618</v>
      </c>
      <c r="B149">
        <v>219860049.05353853</v>
      </c>
    </row>
    <row r="150" spans="1:2" x14ac:dyDescent="0.25">
      <c r="A150">
        <f ca="1">30728.6475266205*(RANDBETWEEN(2890,3282))</f>
        <v>97102526.184120819</v>
      </c>
      <c r="B150">
        <v>255442092.21631253</v>
      </c>
    </row>
    <row r="151" spans="1:2" x14ac:dyDescent="0.25">
      <c r="A151">
        <f ca="1">31917.4245730861*(RANDBETWEEN(2890,3282))</f>
        <v>96550209.333585322</v>
      </c>
      <c r="B151">
        <v>242199426.64170113</v>
      </c>
    </row>
    <row r="152" spans="1:2" x14ac:dyDescent="0.25">
      <c r="A152">
        <f ca="1">26818.2193512083*(RANDBETWEEN(2890,3282))</f>
        <v>78952837.769957364</v>
      </c>
      <c r="B152">
        <v>240398440.82914633</v>
      </c>
    </row>
    <row r="153" spans="1:2" x14ac:dyDescent="0.25">
      <c r="A153">
        <f ca="1">30062.0116350147*(RANDBETWEEN(2890,3282))</f>
        <v>94003910.382691085</v>
      </c>
      <c r="B153">
        <v>223921337.47235969</v>
      </c>
    </row>
    <row r="154" spans="1:2" x14ac:dyDescent="0.25">
      <c r="A154">
        <f ca="1">26973.7784743208*(RANDBETWEEN(2890,3282))</f>
        <v>79464751.385348961</v>
      </c>
      <c r="B154">
        <v>254471570.15143082</v>
      </c>
    </row>
    <row r="155" spans="1:2" x14ac:dyDescent="0.25">
      <c r="A155">
        <f ca="1">26370.655268895*(RANDBETWEEN(2890,3282))</f>
        <v>81511695.436154529</v>
      </c>
      <c r="B155">
        <v>208911206.26825872</v>
      </c>
    </row>
    <row r="156" spans="1:2" x14ac:dyDescent="0.25">
      <c r="A156">
        <f ca="1">29263.3346966749*(RANDBETWEEN(2890,3282))</f>
        <v>84805143.950964004</v>
      </c>
      <c r="B156">
        <v>219324413.73090297</v>
      </c>
    </row>
    <row r="157" spans="1:2" x14ac:dyDescent="0.25">
      <c r="A157">
        <f ca="1">29024.5320814358*(RANDBETWEEN(2890,3282))</f>
        <v>85099928.062769681</v>
      </c>
      <c r="B157">
        <v>241629329.83345413</v>
      </c>
    </row>
    <row r="158" spans="1:2" x14ac:dyDescent="0.25">
      <c r="A158">
        <f ca="1">28179.8259068995*(RANDBETWEEN(2890,3282))</f>
        <v>84257679.461629629</v>
      </c>
      <c r="B158">
        <v>218310194.14020884</v>
      </c>
    </row>
    <row r="159" spans="1:2" x14ac:dyDescent="0.25">
      <c r="A159">
        <f ca="1">30378.7073498862*(RANDBETWEEN(2890,3282))</f>
        <v>95449898.49334234</v>
      </c>
      <c r="B159">
        <v>210394205.83612317</v>
      </c>
    </row>
    <row r="160" spans="1:2" x14ac:dyDescent="0.25">
      <c r="A160">
        <f ca="1">27635.3483744405*(RANDBETWEEN(2890,3282))</f>
        <v>83679834.877805769</v>
      </c>
      <c r="B160">
        <v>247476374.12742198</v>
      </c>
    </row>
    <row r="161" spans="1:2" x14ac:dyDescent="0.25">
      <c r="A161">
        <f ca="1">28343.7679644076*(RANDBETWEEN(2890,3282))</f>
        <v>89991463.286994278</v>
      </c>
      <c r="B161">
        <v>213810400.75039497</v>
      </c>
    </row>
    <row r="162" spans="1:2" x14ac:dyDescent="0.25">
      <c r="A162">
        <f ca="1">31675.2519419108*(RANDBETWEEN(2890,3282))</f>
        <v>101392481.46605639</v>
      </c>
      <c r="B162">
        <v>230285243.01859522</v>
      </c>
    </row>
    <row r="163" spans="1:2" x14ac:dyDescent="0.25">
      <c r="A163">
        <f ca="1">26612.8112212429*(RANDBETWEEN(2890,3282))</f>
        <v>81169074.224790767</v>
      </c>
      <c r="B163">
        <v>245517110.89287913</v>
      </c>
    </row>
    <row r="164" spans="1:2" x14ac:dyDescent="0.25">
      <c r="A164">
        <f ca="1">31867.0366356619*(RANDBETWEEN(2890,3282))</f>
        <v>102356921.67374587</v>
      </c>
      <c r="B164">
        <v>237810865.71495447</v>
      </c>
    </row>
    <row r="165" spans="1:2" x14ac:dyDescent="0.25">
      <c r="A165">
        <f ca="1">28283.0373012373*(RANDBETWEEN(2890,3282))</f>
        <v>92202701.602033526</v>
      </c>
      <c r="B165">
        <v>239925264.39167702</v>
      </c>
    </row>
    <row r="166" spans="1:2" x14ac:dyDescent="0.25">
      <c r="A166">
        <f ca="1">27496.9252752488*(RANDBETWEEN(2890,3282))</f>
        <v>81115929.561984047</v>
      </c>
      <c r="B166">
        <v>260360869.15534309</v>
      </c>
    </row>
    <row r="167" spans="1:2" x14ac:dyDescent="0.25">
      <c r="A167">
        <f ca="1">30315.2886583454*(RANDBETWEEN(2890,3282))</f>
        <v>91036811.841011181</v>
      </c>
      <c r="B167">
        <v>246903399.824534</v>
      </c>
    </row>
    <row r="168" spans="1:2" x14ac:dyDescent="0.25">
      <c r="A168">
        <f ca="1">30594.6367573903*(RANDBETWEEN(2890,3282))</f>
        <v>89519907.152124122</v>
      </c>
      <c r="B168">
        <v>228967818.35434857</v>
      </c>
    </row>
    <row r="169" spans="1:2" x14ac:dyDescent="0.25">
      <c r="A169">
        <f ca="1">29452.9541582404*(RANDBETWEEN(2890,3282))</f>
        <v>93925470.810628772</v>
      </c>
      <c r="B169">
        <v>247965194.39030567</v>
      </c>
    </row>
    <row r="170" spans="1:2" x14ac:dyDescent="0.25">
      <c r="A170">
        <f ca="1">32588.8862754355*(RANDBETWEEN(2890,3282))</f>
        <v>101872858.49701124</v>
      </c>
      <c r="B170">
        <v>218431280.23524395</v>
      </c>
    </row>
    <row r="171" spans="1:2" x14ac:dyDescent="0.25">
      <c r="A171">
        <f ca="1">31476.0541368551*(RANDBETWEEN(2890,3282))</f>
        <v>101510274.59135756</v>
      </c>
      <c r="B171">
        <v>246472934.73771107</v>
      </c>
    </row>
    <row r="172" spans="1:2" x14ac:dyDescent="0.25">
      <c r="A172">
        <f ca="1">29605.7026105097*(RANDBETWEEN(2890,3282))</f>
        <v>90563844.285549149</v>
      </c>
      <c r="B172">
        <v>225974340.58684611</v>
      </c>
    </row>
    <row r="173" spans="1:2" x14ac:dyDescent="0.25">
      <c r="A173">
        <f ca="1">27746.4151085224*(RANDBETWEEN(2890,3282))</f>
        <v>84182623.439257011</v>
      </c>
      <c r="B173">
        <v>209206238.91838437</v>
      </c>
    </row>
    <row r="174" spans="1:2" x14ac:dyDescent="0.25">
      <c r="A174">
        <f ca="1">27945.8508593782*(RANDBETWEEN(2890,3282))</f>
        <v>85290736.822822258</v>
      </c>
      <c r="B174">
        <v>223541202.24132317</v>
      </c>
    </row>
    <row r="175" spans="1:2" x14ac:dyDescent="0.25">
      <c r="A175">
        <f ca="1">25933.2925449553*(RANDBETWEEN(2890,3282))</f>
        <v>78940942.506844029</v>
      </c>
      <c r="B175">
        <v>243377042.23451918</v>
      </c>
    </row>
    <row r="176" spans="1:2" x14ac:dyDescent="0.25">
      <c r="A176">
        <f ca="1">27119.1747226011*(RANDBETWEEN(2890,3282))</f>
        <v>85805068.822309807</v>
      </c>
      <c r="B176">
        <v>231442215.17894804</v>
      </c>
    </row>
    <row r="177" spans="1:2" x14ac:dyDescent="0.25">
      <c r="A177">
        <f ca="1">29060.0174463507*(RANDBETWEEN(2890,3282))</f>
        <v>84768070.891004905</v>
      </c>
      <c r="B177">
        <v>219837026.91979811</v>
      </c>
    </row>
    <row r="178" spans="1:2" x14ac:dyDescent="0.25">
      <c r="A178">
        <f ca="1">29263.2179331691*(RANDBETWEEN(2890,3282))</f>
        <v>89516183.657564193</v>
      </c>
      <c r="B178">
        <v>219127651.10044011</v>
      </c>
    </row>
    <row r="179" spans="1:2" x14ac:dyDescent="0.25">
      <c r="A179">
        <f ca="1">28819.5091733369*(RANDBETWEEN(2890,3282))</f>
        <v>88360615.125450864</v>
      </c>
      <c r="B179">
        <v>247063469.34379873</v>
      </c>
    </row>
    <row r="180" spans="1:2" x14ac:dyDescent="0.25">
      <c r="A180">
        <f ca="1">26053.1876643943*(RANDBETWEEN(2890,3282))</f>
        <v>82302019.83182171</v>
      </c>
      <c r="B180">
        <v>225765454.95907956</v>
      </c>
    </row>
    <row r="181" spans="1:2" x14ac:dyDescent="0.25">
      <c r="A181">
        <f ca="1">27933.2508168332*(RANDBETWEEN(2890,3282))</f>
        <v>90783065.154707804</v>
      </c>
      <c r="B181">
        <v>266042939.30000159</v>
      </c>
    </row>
    <row r="182" spans="1:2" x14ac:dyDescent="0.25">
      <c r="A182">
        <f ca="1">33070.5294672175*(RANDBETWEEN(2890,3282))</f>
        <v>96136029.161201313</v>
      </c>
      <c r="B182">
        <v>258993587.1883741</v>
      </c>
    </row>
    <row r="183" spans="1:2" x14ac:dyDescent="0.25">
      <c r="A183">
        <f ca="1">31353.4143037125*(RANDBETWEEN(2890,3282))</f>
        <v>99860624.557324454</v>
      </c>
      <c r="B183">
        <v>217460908.80293822</v>
      </c>
    </row>
    <row r="184" spans="1:2" x14ac:dyDescent="0.25">
      <c r="A184">
        <f ca="1">30402.0389779963*(RANDBETWEEN(2890,3282))</f>
        <v>97833761.43119216</v>
      </c>
      <c r="B184">
        <v>236222833.09906831</v>
      </c>
    </row>
    <row r="185" spans="1:2" x14ac:dyDescent="0.25">
      <c r="A185">
        <f ca="1">24664.3222203854*(RANDBETWEEN(2890,3282))</f>
        <v>80824983.916203067</v>
      </c>
      <c r="B185">
        <v>207081961.85223141</v>
      </c>
    </row>
    <row r="186" spans="1:2" x14ac:dyDescent="0.25">
      <c r="A186">
        <f ca="1">32759.7589851575*(RANDBETWEEN(2890,3282))</f>
        <v>101129375.98718122</v>
      </c>
      <c r="B186">
        <v>260136881.06049958</v>
      </c>
    </row>
    <row r="187" spans="1:2" x14ac:dyDescent="0.25">
      <c r="A187">
        <f ca="1">31801.7791907392*(RANDBETWEEN(2890,3282))</f>
        <v>94960112.663547173</v>
      </c>
      <c r="B187">
        <v>255448476.79327953</v>
      </c>
    </row>
    <row r="188" spans="1:2" x14ac:dyDescent="0.25">
      <c r="A188">
        <f ca="1">29822.2922348614*(RANDBETWEEN(2890,3282))</f>
        <v>88512563.353068501</v>
      </c>
      <c r="B188">
        <v>259017433.26804411</v>
      </c>
    </row>
    <row r="189" spans="1:2" x14ac:dyDescent="0.25">
      <c r="A189">
        <f ca="1">32622.7485131685*(RANDBETWEEN(2890,3282))</f>
        <v>95421539.401017874</v>
      </c>
      <c r="B189">
        <v>207554251.97293422</v>
      </c>
    </row>
    <row r="190" spans="1:2" x14ac:dyDescent="0.25">
      <c r="A190">
        <f ca="1">29079.1644255338*(RANDBETWEEN(2890,3282))</f>
        <v>92326347.051069796</v>
      </c>
      <c r="B190">
        <v>264211260.07535228</v>
      </c>
    </row>
    <row r="191" spans="1:2" x14ac:dyDescent="0.25">
      <c r="A191">
        <f ca="1">31004.4185684075*(RANDBETWEEN(2890,3282))</f>
        <v>93850375.006569624</v>
      </c>
      <c r="B191">
        <v>210414766.68288261</v>
      </c>
    </row>
    <row r="192" spans="1:2" x14ac:dyDescent="0.25">
      <c r="A192">
        <f ca="1">30859.1331289002*(RANDBETWEEN(2890,3282))</f>
        <v>90201246.135775357</v>
      </c>
      <c r="B192">
        <v>233920563.6309945</v>
      </c>
    </row>
    <row r="193" spans="1:2" x14ac:dyDescent="0.25">
      <c r="A193">
        <f ca="1">29228.1530842387*(RANDBETWEEN(2890,3282))</f>
        <v>94406934.462091044</v>
      </c>
      <c r="B193">
        <v>253879795.48053759</v>
      </c>
    </row>
    <row r="194" spans="1:2" x14ac:dyDescent="0.25">
      <c r="A194">
        <f ca="1">29751.4454907325*(RANDBETWEEN(2890,3282))</f>
        <v>92110475.239307821</v>
      </c>
      <c r="B194">
        <v>255568163.24255183</v>
      </c>
    </row>
    <row r="195" spans="1:2" x14ac:dyDescent="0.25">
      <c r="A195">
        <f ca="1">27974.4374838882*(RANDBETWEEN(2890,3282))</f>
        <v>82524590.577470124</v>
      </c>
      <c r="B195">
        <v>243554131.76046675</v>
      </c>
    </row>
    <row r="196" spans="1:2" x14ac:dyDescent="0.25">
      <c r="A196">
        <f ca="1">30539.4622153161*(RANDBETWEEN(2890,3282))</f>
        <v>91160294.712718576</v>
      </c>
      <c r="B196">
        <v>246141428.18808964</v>
      </c>
    </row>
    <row r="197" spans="1:2" x14ac:dyDescent="0.25">
      <c r="A197">
        <f ca="1">29709.5529012786*(RANDBETWEEN(2890,3282))</f>
        <v>90822103.219208539</v>
      </c>
      <c r="B197">
        <v>223569978.9240191</v>
      </c>
    </row>
    <row r="198" spans="1:2" x14ac:dyDescent="0.25">
      <c r="A198">
        <f ca="1">29905.2798537531*(RANDBETWEEN(2890,3282))</f>
        <v>92168072.509266913</v>
      </c>
      <c r="B198">
        <v>212659103.59419703</v>
      </c>
    </row>
    <row r="199" spans="1:2" x14ac:dyDescent="0.25">
      <c r="A199">
        <f ca="1">31755.8274101088*(RANDBETWEEN(2890,3282))</f>
        <v>101459868.57529761</v>
      </c>
      <c r="B199">
        <v>261096476.0641866</v>
      </c>
    </row>
    <row r="200" spans="1:2" x14ac:dyDescent="0.25">
      <c r="A200">
        <f ca="1">31558.924280821*(RANDBETWEEN(2890,3282))</f>
        <v>92625442.764209658</v>
      </c>
      <c r="B200">
        <v>244067845.0884909</v>
      </c>
    </row>
    <row r="201" spans="1:2" x14ac:dyDescent="0.25">
      <c r="A201">
        <f ca="1">27897.901794907*(RANDBETWEEN(2890,3282))</f>
        <v>82243014.491385758</v>
      </c>
      <c r="B201">
        <v>253670508.03990471</v>
      </c>
    </row>
    <row r="202" spans="1:2" x14ac:dyDescent="0.25">
      <c r="A202">
        <f ca="1">30876.2448301528*(RANDBETWEEN(2890,3282))</f>
        <v>90467397.352347761</v>
      </c>
      <c r="B202">
        <v>255282275.68101799</v>
      </c>
    </row>
    <row r="203" spans="1:2" x14ac:dyDescent="0.25">
      <c r="A203">
        <f ca="1">30545.9585555795*(RANDBETWEEN(2890,3282))</f>
        <v>99457641.056966841</v>
      </c>
      <c r="B203">
        <v>267787968.76155335</v>
      </c>
    </row>
    <row r="204" spans="1:2" x14ac:dyDescent="0.25">
      <c r="A204">
        <f ca="1">32476.9022562624*(RANDBETWEEN(2890,3282))</f>
        <v>94020632.031879574</v>
      </c>
      <c r="B204">
        <v>222313253.79146606</v>
      </c>
    </row>
    <row r="205" spans="1:2" x14ac:dyDescent="0.25">
      <c r="A205">
        <f ca="1">28268.2800290025*(RANDBETWEEN(2890,3282))</f>
        <v>92409007.414809033</v>
      </c>
      <c r="B205">
        <v>212682354.21810859</v>
      </c>
    </row>
    <row r="206" spans="1:2" x14ac:dyDescent="0.25">
      <c r="A206">
        <f ca="1">26396.573341975*(RANDBETWEEN(2890,3282))</f>
        <v>78292236.532297939</v>
      </c>
      <c r="B206">
        <v>242806783.92163086</v>
      </c>
    </row>
    <row r="207" spans="1:2" x14ac:dyDescent="0.25">
      <c r="A207">
        <f ca="1">33074.9363968582*(RANDBETWEEN(2890,3282))</f>
        <v>97108013.261175811</v>
      </c>
      <c r="B207">
        <v>227269608.48217675</v>
      </c>
    </row>
    <row r="208" spans="1:2" x14ac:dyDescent="0.25">
      <c r="A208">
        <f ca="1">31180.2248817871*(RANDBETWEEN(2890,3282))</f>
        <v>94289000.042524144</v>
      </c>
      <c r="B208">
        <v>216067165.24281776</v>
      </c>
    </row>
    <row r="209" spans="1:2" x14ac:dyDescent="0.25">
      <c r="A209">
        <f ca="1">31951.250360343*(RANDBETWEEN(2890,3282))</f>
        <v>104800101.18192513</v>
      </c>
      <c r="B209">
        <v>259411067.03645426</v>
      </c>
    </row>
    <row r="210" spans="1:2" x14ac:dyDescent="0.25">
      <c r="A210">
        <f ca="1">27940.645848777*(RANDBETWEEN(2890,3282))</f>
        <v>85079266.609526023</v>
      </c>
      <c r="B210">
        <v>255242581.0105297</v>
      </c>
    </row>
    <row r="211" spans="1:2" x14ac:dyDescent="0.25">
      <c r="A211">
        <f ca="1">26549.0248272094*(RANDBETWEEN(2890,3282))</f>
        <v>77390407.37131539</v>
      </c>
      <c r="B211">
        <v>208875115.30017731</v>
      </c>
    </row>
    <row r="212" spans="1:2" x14ac:dyDescent="0.25">
      <c r="A212">
        <f ca="1">26304.240508022*(RANDBETWEEN(2890,3282))</f>
        <v>78360332.473397493</v>
      </c>
      <c r="B212">
        <v>255069898.66092032</v>
      </c>
    </row>
    <row r="213" spans="1:2" x14ac:dyDescent="0.25">
      <c r="A213">
        <f ca="1">26924.254227818*(RANDBETWEEN(2890,3282))</f>
        <v>80691989.920770556</v>
      </c>
      <c r="B213">
        <v>213860215.63115296</v>
      </c>
    </row>
    <row r="214" spans="1:2" x14ac:dyDescent="0.25">
      <c r="A214">
        <f ca="1">30934.1633993661*(RANDBETWEEN(2890,3282))</f>
        <v>100072018.59694944</v>
      </c>
      <c r="B214">
        <v>239142271.78445494</v>
      </c>
    </row>
    <row r="215" spans="1:2" x14ac:dyDescent="0.25">
      <c r="A215">
        <f ca="1">30050.8772946585*(RANDBETWEEN(2890,3282))</f>
        <v>97454995.066577479</v>
      </c>
      <c r="B215">
        <v>226866667.37227261</v>
      </c>
    </row>
    <row r="216" spans="1:2" x14ac:dyDescent="0.25">
      <c r="A216">
        <f ca="1">29640.3244198579*(RANDBETWEEN(2890,3282))</f>
        <v>89899103.965428963</v>
      </c>
      <c r="B216">
        <v>247539082.69490248</v>
      </c>
    </row>
    <row r="217" spans="1:2" x14ac:dyDescent="0.25">
      <c r="A217">
        <f ca="1">30349.5211877142*(RANDBETWEEN(2890,3282))</f>
        <v>97877205.83037819</v>
      </c>
      <c r="B217">
        <v>234975893.47949022</v>
      </c>
    </row>
    <row r="218" spans="1:2" x14ac:dyDescent="0.25">
      <c r="A218">
        <f ca="1">26192.2217200067*(RANDBETWEEN(2890,3282))</f>
        <v>81693539.54470098</v>
      </c>
      <c r="B218">
        <v>240418424.5090034</v>
      </c>
    </row>
    <row r="219" spans="1:2" x14ac:dyDescent="0.25">
      <c r="A219">
        <f ca="1">28331.1923985131*(RANDBETWEEN(2890,3282))</f>
        <v>88506645.052955061</v>
      </c>
      <c r="B219">
        <v>244514090.02088007</v>
      </c>
    </row>
    <row r="220" spans="1:2" x14ac:dyDescent="0.25">
      <c r="A220">
        <f ca="1">26452.3293636699*(RANDBETWEEN(2890,3282))</f>
        <v>81499626.769466996</v>
      </c>
      <c r="B220">
        <v>227227205.07658881</v>
      </c>
    </row>
    <row r="221" spans="1:2" x14ac:dyDescent="0.25">
      <c r="A221">
        <f ca="1">29945.2531879744*(RANDBETWEEN(2890,3282))</f>
        <v>89326690.259727687</v>
      </c>
      <c r="B221">
        <v>253560359.351601</v>
      </c>
    </row>
    <row r="222" spans="1:2" x14ac:dyDescent="0.25">
      <c r="A222">
        <f ca="1">28674.8160449607*(RANDBETWEEN(2890,3282))</f>
        <v>90698443.150210753</v>
      </c>
      <c r="B222">
        <v>262897743.47993067</v>
      </c>
    </row>
    <row r="223" spans="1:2" x14ac:dyDescent="0.25">
      <c r="A223">
        <f ca="1">26574.4859358535*(RANDBETWEEN(2890,3282))</f>
        <v>80733288.273122892</v>
      </c>
      <c r="B223">
        <v>216306525.37415975</v>
      </c>
    </row>
    <row r="224" spans="1:2" x14ac:dyDescent="0.25">
      <c r="A224">
        <f ca="1">30660.0145325509*(RANDBETWEEN(2890,3282))</f>
        <v>94402184.745724261</v>
      </c>
      <c r="B224">
        <v>263566406.98067862</v>
      </c>
    </row>
    <row r="225" spans="1:2" x14ac:dyDescent="0.25">
      <c r="A225">
        <f ca="1">30441.6225845719*(RANDBETWEEN(2890,3282))</f>
        <v>89741903.379317835</v>
      </c>
      <c r="B225">
        <v>250333736.60620624</v>
      </c>
    </row>
    <row r="226" spans="1:2" x14ac:dyDescent="0.25">
      <c r="A226">
        <f ca="1">29452.7490394253*(RANDBETWEEN(2890,3282))</f>
        <v>88417152.616354778</v>
      </c>
      <c r="B226">
        <v>266326566.09960687</v>
      </c>
    </row>
    <row r="227" spans="1:2" x14ac:dyDescent="0.25">
      <c r="A227">
        <f ca="1">26473.5460352329*(RANDBETWEEN(2890,3282))</f>
        <v>77461595.699091345</v>
      </c>
      <c r="B227">
        <v>207951236.05029339</v>
      </c>
    </row>
    <row r="228" spans="1:2" x14ac:dyDescent="0.25">
      <c r="A228">
        <f ca="1">27916.3329729224*(RANDBETWEEN(2890,3282))</f>
        <v>81459859.614987567</v>
      </c>
      <c r="B228">
        <v>207949584.17636284</v>
      </c>
    </row>
    <row r="229" spans="1:2" x14ac:dyDescent="0.25">
      <c r="A229">
        <f ca="1">31691.5777740604*(RANDBETWEEN(2890,3282))</f>
        <v>98180507.944039017</v>
      </c>
      <c r="B229">
        <v>255554803.96468049</v>
      </c>
    </row>
    <row r="230" spans="1:2" x14ac:dyDescent="0.25">
      <c r="A230">
        <f ca="1">31720.3000837892*(RANDBETWEEN(2890,3282))</f>
        <v>99474861.062762931</v>
      </c>
      <c r="B230">
        <v>227934299.66940242</v>
      </c>
    </row>
    <row r="231" spans="1:2" x14ac:dyDescent="0.25">
      <c r="A231">
        <f ca="1">28060.9813121918*(RANDBETWEEN(2890,3282))</f>
        <v>86147212.628428981</v>
      </c>
      <c r="B231">
        <v>256256030.35194492</v>
      </c>
    </row>
    <row r="232" spans="1:2" x14ac:dyDescent="0.25">
      <c r="A232">
        <f ca="1">31213.0032226253*(RANDBETWEEN(2890,3282))</f>
        <v>90361644.329500243</v>
      </c>
      <c r="B232">
        <v>227949458.56849718</v>
      </c>
    </row>
    <row r="233" spans="1:2" x14ac:dyDescent="0.25">
      <c r="A233">
        <f ca="1">31307.8427233278*(RANDBETWEEN(2890,3282))</f>
        <v>101280871.20996547</v>
      </c>
      <c r="B233">
        <v>233172715.96798283</v>
      </c>
    </row>
    <row r="234" spans="1:2" x14ac:dyDescent="0.25">
      <c r="A234">
        <f ca="1">30907.1610766185*(RANDBETWEEN(2890,3282))</f>
        <v>93061462.00169839</v>
      </c>
      <c r="B234">
        <v>240091934.41285253</v>
      </c>
    </row>
    <row r="235" spans="1:2" x14ac:dyDescent="0.25">
      <c r="A235">
        <f ca="1">31484.7230061669*(RANDBETWEEN(2890,3282))</f>
        <v>99680633.037524402</v>
      </c>
      <c r="B235">
        <v>243172210.63620925</v>
      </c>
    </row>
    <row r="236" spans="1:2" x14ac:dyDescent="0.25">
      <c r="A236">
        <f ca="1">26372.1155720373*(RANDBETWEEN(2890,3282))</f>
        <v>77454903.435073584</v>
      </c>
      <c r="B236">
        <v>248854983.0939433</v>
      </c>
    </row>
    <row r="237" spans="1:2" x14ac:dyDescent="0.25">
      <c r="A237">
        <f ca="1">29490.2229895194*(RANDBETWEEN(2890,3282))</f>
        <v>85580627.115585357</v>
      </c>
      <c r="B237">
        <v>217704745.39469355</v>
      </c>
    </row>
    <row r="238" spans="1:2" x14ac:dyDescent="0.25">
      <c r="A238">
        <f ca="1">27637.9389186324*(RANDBETWEEN(2890,3282))</f>
        <v>85041938.052631959</v>
      </c>
      <c r="B238">
        <v>249448481.92893988</v>
      </c>
    </row>
    <row r="239" spans="1:2" x14ac:dyDescent="0.25">
      <c r="A239">
        <f ca="1">30892.7495658172*(RANDBETWEEN(2890,3282))</f>
        <v>90732005.474805236</v>
      </c>
      <c r="B239">
        <v>217078132.74891555</v>
      </c>
    </row>
    <row r="240" spans="1:2" x14ac:dyDescent="0.25">
      <c r="A240">
        <f ca="1">30674.3687870814*(RANDBETWEEN(2890,3282))</f>
        <v>98434049.437744334</v>
      </c>
      <c r="B240">
        <v>223724512.58376464</v>
      </c>
    </row>
    <row r="241" spans="1:2" x14ac:dyDescent="0.25">
      <c r="A241">
        <f ca="1">30408.139603379*(RANDBETWEEN(2890,3282))</f>
        <v>87909931.593368664</v>
      </c>
      <c r="B241">
        <v>248080461.82896399</v>
      </c>
    </row>
    <row r="242" spans="1:2" x14ac:dyDescent="0.25">
      <c r="A242">
        <f ca="1">30590.5580754015*(RANDBETWEEN(2890,3282))</f>
        <v>97706242.492832288</v>
      </c>
      <c r="B242">
        <v>215572247.01239836</v>
      </c>
    </row>
    <row r="243" spans="1:2" x14ac:dyDescent="0.25">
      <c r="A243">
        <f ca="1">32286.1946532493*(RANDBETWEEN(2890,3282))</f>
        <v>96955442.543707579</v>
      </c>
      <c r="B243">
        <v>258400435.01820242</v>
      </c>
    </row>
    <row r="244" spans="1:2" x14ac:dyDescent="0.25">
      <c r="A244">
        <f ca="1">30033.9466195557*(RANDBETWEEN(2890,3282))</f>
        <v>87368750.716287583</v>
      </c>
      <c r="B244">
        <v>245524896.07820082</v>
      </c>
    </row>
    <row r="245" spans="1:2" x14ac:dyDescent="0.25">
      <c r="A245">
        <f ca="1">26393.8501030704*(RANDBETWEEN(2890,3282))</f>
        <v>77571525.452923864</v>
      </c>
      <c r="B245">
        <v>240362784.78524765</v>
      </c>
    </row>
    <row r="246" spans="1:2" x14ac:dyDescent="0.25">
      <c r="A246">
        <f ca="1">28235.2476911254*(RANDBETWEEN(2890,3282))</f>
        <v>89929263.896234527</v>
      </c>
      <c r="B246">
        <v>258480186.67969358</v>
      </c>
    </row>
    <row r="247" spans="1:2" x14ac:dyDescent="0.25">
      <c r="A247">
        <f ca="1">29949.838969436*(RANDBETWEEN(2890,3282))</f>
        <v>93473447.423609823</v>
      </c>
      <c r="B247">
        <v>241120478.79074809</v>
      </c>
    </row>
    <row r="248" spans="1:2" x14ac:dyDescent="0.25">
      <c r="A248">
        <f ca="1">31479.3074109315*(RANDBETWEEN(2890,3282))</f>
        <v>101174494.01873375</v>
      </c>
      <c r="B248">
        <v>205819647.91794035</v>
      </c>
    </row>
    <row r="249" spans="1:2" x14ac:dyDescent="0.25">
      <c r="A249">
        <f ca="1">30429.6902525632*(RANDBETWEEN(2890,3282))</f>
        <v>90954344.164911464</v>
      </c>
      <c r="B249">
        <v>219666284.87314093</v>
      </c>
    </row>
    <row r="250" spans="1:2" x14ac:dyDescent="0.25">
      <c r="A250">
        <f ca="1">30016.5027320557*(RANDBETWEEN(2890,3282))</f>
        <v>92961108.96117644</v>
      </c>
      <c r="B250">
        <v>241377887.43199921</v>
      </c>
    </row>
    <row r="251" spans="1:2" x14ac:dyDescent="0.25">
      <c r="A251">
        <f ca="1">30596.9944940248*(RANDBETWEEN(2890,3282))</f>
        <v>93473818.179246053</v>
      </c>
      <c r="B251">
        <v>212092066.87972152</v>
      </c>
    </row>
    <row r="252" spans="1:2" x14ac:dyDescent="0.25">
      <c r="A252">
        <f ca="1">33752.0699266745*(RANDBETWEEN(2890,3282))</f>
        <v>107365334.4367516</v>
      </c>
      <c r="B252">
        <v>258886418.36790013</v>
      </c>
    </row>
    <row r="253" spans="1:2" x14ac:dyDescent="0.25">
      <c r="A253">
        <f ca="1">31306.1349174131*(RANDBETWEEN(2890,3282))</f>
        <v>94794976.529926792</v>
      </c>
      <c r="B253">
        <v>239296483.9177871</v>
      </c>
    </row>
    <row r="254" spans="1:2" x14ac:dyDescent="0.25">
      <c r="A254">
        <f ca="1">26595.8234470136*(RANDBETWEEN(2890,3282))</f>
        <v>79920449.45827581</v>
      </c>
      <c r="B254">
        <v>234162456.895913</v>
      </c>
    </row>
    <row r="255" spans="1:2" x14ac:dyDescent="0.25">
      <c r="A255">
        <f ca="1">29378.3234932988*(RANDBETWEEN(2890,3282))</f>
        <v>94803849.91287528</v>
      </c>
      <c r="B255">
        <v>204107357.85701424</v>
      </c>
    </row>
    <row r="256" spans="1:2" x14ac:dyDescent="0.25">
      <c r="A256">
        <f ca="1">28896.853490018*(RANDBETWEEN(2890,3282))</f>
        <v>93539114.74718824</v>
      </c>
      <c r="B256">
        <v>261445839.21991092</v>
      </c>
    </row>
    <row r="257" spans="1:2" x14ac:dyDescent="0.25">
      <c r="A257">
        <f ca="1">33328.2705994404*(RANDBETWEEN(2890,3282))</f>
        <v>105284006.82363218</v>
      </c>
      <c r="B257">
        <v>251113298.40865362</v>
      </c>
    </row>
    <row r="258" spans="1:2" x14ac:dyDescent="0.25">
      <c r="A258">
        <f ca="1">30494.8473611663*(RANDBETWEEN(2890,3282))</f>
        <v>99413202.397402182</v>
      </c>
      <c r="B258">
        <v>217384955.7000123</v>
      </c>
    </row>
    <row r="259" spans="1:2" x14ac:dyDescent="0.25">
      <c r="A259">
        <f ca="1">27793.2015016732*(RANDBETWEEN(2890,3282))</f>
        <v>84602505.371093094</v>
      </c>
      <c r="B259">
        <v>229416380.20952788</v>
      </c>
    </row>
    <row r="260" spans="1:2" x14ac:dyDescent="0.25">
      <c r="A260">
        <f ca="1">26412.2551107924*(RANDBETWEEN(2890,3282))</f>
        <v>85126698.222084016</v>
      </c>
      <c r="B260">
        <v>260222411.11701661</v>
      </c>
    </row>
    <row r="261" spans="1:2" x14ac:dyDescent="0.25">
      <c r="A261">
        <f ca="1">32617.1792211033*(RANDBETWEEN(2890,3282))</f>
        <v>101765599.16984218</v>
      </c>
      <c r="B261">
        <v>258985820.79006055</v>
      </c>
    </row>
    <row r="262" spans="1:2" x14ac:dyDescent="0.25">
      <c r="A262">
        <f ca="1">31731.7996560134*(RANDBETWEEN(2890,3282))</f>
        <v>98654165.130545661</v>
      </c>
      <c r="B262">
        <v>244724430.38366055</v>
      </c>
    </row>
    <row r="263" spans="1:2" x14ac:dyDescent="0.25">
      <c r="A263">
        <f ca="1">31751.984960464*(RANDBETWEEN(2890,3282))</f>
        <v>104019502.73048013</v>
      </c>
      <c r="B263">
        <v>239719274.48557919</v>
      </c>
    </row>
    <row r="264" spans="1:2" x14ac:dyDescent="0.25">
      <c r="A264">
        <f ca="1">26921.6046927759*(RANDBETWEEN(2890,3282))</f>
        <v>80522519.636092618</v>
      </c>
      <c r="B264">
        <v>234537424.20105663</v>
      </c>
    </row>
    <row r="265" spans="1:2" x14ac:dyDescent="0.25">
      <c r="A265">
        <f ca="1">30452.0423418723*(RANDBETWEEN(2890,3282))</f>
        <v>98238288.594880059</v>
      </c>
      <c r="B265">
        <v>219309023.96972692</v>
      </c>
    </row>
    <row r="266" spans="1:2" x14ac:dyDescent="0.25">
      <c r="A266">
        <f ca="1">26325.7205072087*(RANDBETWEEN(2890,3282))</f>
        <v>85637568.809949815</v>
      </c>
      <c r="B266">
        <v>211431336.53561205</v>
      </c>
    </row>
    <row r="267" spans="1:2" x14ac:dyDescent="0.25">
      <c r="A267">
        <f ca="1">32456.8713919247*(RANDBETWEEN(2890,3282))</f>
        <v>98668889.031451166</v>
      </c>
      <c r="B267">
        <v>232424766.8569507</v>
      </c>
    </row>
    <row r="268" spans="1:2" x14ac:dyDescent="0.25">
      <c r="A268">
        <f ca="1">27453.4043370158*(RANDBETWEEN(2890,3282))</f>
        <v>79971766.833726898</v>
      </c>
      <c r="B268">
        <v>205780048.53744653</v>
      </c>
    </row>
    <row r="269" spans="1:2" x14ac:dyDescent="0.25">
      <c r="A269">
        <f ca="1">32332.8777336194*(RANDBETWEEN(2890,3282))</f>
        <v>96545972.912587538</v>
      </c>
      <c r="B269">
        <v>219473157.32736978</v>
      </c>
    </row>
    <row r="270" spans="1:2" x14ac:dyDescent="0.25">
      <c r="A270">
        <f ca="1">31648.9941911137*(RANDBETWEEN(2890,3282))</f>
        <v>100802046.498697</v>
      </c>
      <c r="B270">
        <v>250482638.65794453</v>
      </c>
    </row>
    <row r="271" spans="1:2" x14ac:dyDescent="0.25">
      <c r="A271">
        <f ca="1">30081.222797042*(RANDBETWEEN(2890,3282))</f>
        <v>91868054.422166348</v>
      </c>
      <c r="B271">
        <v>253045063.97738832</v>
      </c>
    </row>
    <row r="272" spans="1:2" x14ac:dyDescent="0.25">
      <c r="A272">
        <f ca="1">28048.7767713247*(RANDBETWEEN(2890,3282))</f>
        <v>86558525.116308123</v>
      </c>
      <c r="B272">
        <v>221010443.37841937</v>
      </c>
    </row>
    <row r="273" spans="1:2" x14ac:dyDescent="0.25">
      <c r="A273">
        <f ca="1">28823.3109961314*(RANDBETWEEN(2890,3282))</f>
        <v>92609298.230570167</v>
      </c>
      <c r="B273">
        <v>251803221.34657076</v>
      </c>
    </row>
    <row r="274" spans="1:2" x14ac:dyDescent="0.25">
      <c r="A274">
        <f ca="1">28601.9833204167*(RANDBETWEEN(2890,3282))</f>
        <v>92584620.008188888</v>
      </c>
      <c r="B274">
        <v>207097699.93796805</v>
      </c>
    </row>
    <row r="275" spans="1:2" x14ac:dyDescent="0.25">
      <c r="A275">
        <f ca="1">26823.6781920652*(RANDBETWEEN(2890,3282))</f>
        <v>78861613.884671703</v>
      </c>
      <c r="B275">
        <v>255710993.44576937</v>
      </c>
    </row>
    <row r="276" spans="1:2" x14ac:dyDescent="0.25">
      <c r="A276">
        <f ca="1">28822.3978239384*(RANDBETWEEN(2890,3282))</f>
        <v>92346962.62789847</v>
      </c>
      <c r="B276">
        <v>237597866.91252807</v>
      </c>
    </row>
    <row r="277" spans="1:2" x14ac:dyDescent="0.25">
      <c r="A277">
        <f ca="1">30154.6088244695*(RANDBETWEEN(2890,3282))</f>
        <v>94112534.141169265</v>
      </c>
      <c r="B277">
        <v>226450639.39177138</v>
      </c>
    </row>
    <row r="278" spans="1:2" x14ac:dyDescent="0.25">
      <c r="A278">
        <f ca="1">28524.9740080612*(RANDBETWEEN(2890,3282))</f>
        <v>92392390.812110201</v>
      </c>
      <c r="B278">
        <v>266183330.33535355</v>
      </c>
    </row>
    <row r="279" spans="1:2" x14ac:dyDescent="0.25">
      <c r="A279">
        <f ca="1">30740.0337982681*(RANDBETWEEN(2890,3282))</f>
        <v>95263364.740832761</v>
      </c>
      <c r="B279">
        <v>267598845.93544036</v>
      </c>
    </row>
    <row r="280" spans="1:2" x14ac:dyDescent="0.25">
      <c r="A280">
        <f ca="1">30872.4551410363*(RANDBETWEEN(2890,3282))</f>
        <v>95704610.937212512</v>
      </c>
      <c r="B280">
        <v>207317930.95018217</v>
      </c>
    </row>
    <row r="281" spans="1:2" x14ac:dyDescent="0.25">
      <c r="A281">
        <f ca="1">29495.2786318589*(RANDBETWEEN(2890,3282))</f>
        <v>95299245.259536237</v>
      </c>
      <c r="B281">
        <v>249990751.20733902</v>
      </c>
    </row>
    <row r="282" spans="1:2" x14ac:dyDescent="0.25">
      <c r="A282">
        <f ca="1">25873.3675186789*(RANDBETWEEN(2890,3282))</f>
        <v>77490735.718443245</v>
      </c>
      <c r="B282">
        <v>238160957.36292952</v>
      </c>
    </row>
    <row r="283" spans="1:2" x14ac:dyDescent="0.25">
      <c r="A283">
        <f ca="1">31646.2442085851*(RANDBETWEEN(2890,3282))</f>
        <v>100476825.36225776</v>
      </c>
      <c r="B283">
        <v>246040576.10679659</v>
      </c>
    </row>
    <row r="284" spans="1:2" x14ac:dyDescent="0.25">
      <c r="A284">
        <f ca="1">31300.670395777*(RANDBETWEEN(2890,3282))</f>
        <v>96719071.522951066</v>
      </c>
      <c r="B284">
        <v>233779434.02549043</v>
      </c>
    </row>
    <row r="285" spans="1:2" x14ac:dyDescent="0.25">
      <c r="A285">
        <f ca="1">33111.2008074468*(RANDBETWEEN(2890,3282))</f>
        <v>97777375.984390438</v>
      </c>
      <c r="B285">
        <v>236746799.26252207</v>
      </c>
    </row>
    <row r="286" spans="1:2" x14ac:dyDescent="0.25">
      <c r="A286">
        <f ca="1">28755.3117590533*(RANDBETWEEN(2890,3282))</f>
        <v>86984818.071136326</v>
      </c>
      <c r="B286">
        <v>223053515.03517312</v>
      </c>
    </row>
    <row r="287" spans="1:2" x14ac:dyDescent="0.25">
      <c r="A287">
        <f ca="1">30720.5441455473*(RANDBETWEEN(2890,3282))</f>
        <v>96738993.514328361</v>
      </c>
      <c r="B287">
        <v>262998422.86502689</v>
      </c>
    </row>
    <row r="288" spans="1:2" x14ac:dyDescent="0.25">
      <c r="A288">
        <f ca="1">28639.7917429326*(RANDBETWEEN(2890,3282))</f>
        <v>93938516.916818783</v>
      </c>
      <c r="B288">
        <v>251972184.67667475</v>
      </c>
    </row>
    <row r="289" spans="1:2" x14ac:dyDescent="0.25">
      <c r="A289">
        <f ca="1">32372.9519771116*(RANDBETWEEN(2890,3282))</f>
        <v>100809372.45672557</v>
      </c>
      <c r="B289">
        <v>239928503.71236873</v>
      </c>
    </row>
    <row r="290" spans="1:2" x14ac:dyDescent="0.25">
      <c r="A290">
        <f ca="1">30294.7700136463*(RANDBETWEEN(2890,3282))</f>
        <v>92853470.091825798</v>
      </c>
      <c r="B290">
        <v>216442807.15422934</v>
      </c>
    </row>
    <row r="291" spans="1:2" x14ac:dyDescent="0.25">
      <c r="A291">
        <f ca="1">28249.9821800737*(RANDBETWEEN(2890,3282))</f>
        <v>84636946.611500815</v>
      </c>
      <c r="B291">
        <v>205676272.03134596</v>
      </c>
    </row>
    <row r="292" spans="1:2" x14ac:dyDescent="0.25">
      <c r="A292">
        <f ca="1">29518.0294749576*(RANDBETWEEN(2890,3282))</f>
        <v>89793845.662820965</v>
      </c>
      <c r="B292">
        <v>254921160.19561589</v>
      </c>
    </row>
    <row r="293" spans="1:2" x14ac:dyDescent="0.25">
      <c r="A293">
        <f ca="1">27926.796775567*(RANDBETWEEN(2890,3282))</f>
        <v>83724536.733150005</v>
      </c>
      <c r="B293">
        <v>205746672.08954409</v>
      </c>
    </row>
    <row r="294" spans="1:2" x14ac:dyDescent="0.25">
      <c r="A294">
        <f ca="1">29658.02692331*(RANDBETWEEN(2890,3282))</f>
        <v>88618184.446850389</v>
      </c>
      <c r="B294">
        <v>267712422.8185724</v>
      </c>
    </row>
    <row r="295" spans="1:2" x14ac:dyDescent="0.25">
      <c r="A295">
        <f ca="1">31552.3413221149*(RANDBETWEEN(2890,3282))</f>
        <v>102071824.17704178</v>
      </c>
      <c r="B295">
        <v>249001336.29292274</v>
      </c>
    </row>
    <row r="296" spans="1:2" x14ac:dyDescent="0.25">
      <c r="A296">
        <f ca="1">27123.0901166292*(RANDBETWEEN(2890,3282))</f>
        <v>81803239.791753769</v>
      </c>
      <c r="B296">
        <v>254941952.79575962</v>
      </c>
    </row>
    <row r="297" spans="1:2" x14ac:dyDescent="0.25">
      <c r="A297">
        <f ca="1">32448.5215077652*(RANDBETWEEN(2890,3282))</f>
        <v>97670049.738373324</v>
      </c>
      <c r="B297">
        <v>237635128.09368762</v>
      </c>
    </row>
    <row r="298" spans="1:2" x14ac:dyDescent="0.25">
      <c r="A298">
        <f ca="1">31126.3738340889*(RANDBETWEEN(2890,3282))</f>
        <v>95993736.904330105</v>
      </c>
      <c r="B298">
        <v>227259581.5103873</v>
      </c>
    </row>
    <row r="299" spans="1:2" x14ac:dyDescent="0.25">
      <c r="A299">
        <f ca="1">34325.4615890485*(RANDBETWEEN(2890,3282))</f>
        <v>112484537.62731208</v>
      </c>
      <c r="B299">
        <v>266557434.04402336</v>
      </c>
    </row>
    <row r="300" spans="1:2" x14ac:dyDescent="0.25">
      <c r="A300">
        <f ca="1">27099.7210951463*(RANDBETWEEN(2890,3282))</f>
        <v>80946866.911201999</v>
      </c>
      <c r="B300">
        <v>229371894.86161506</v>
      </c>
    </row>
    <row r="301" spans="1:2" x14ac:dyDescent="0.25">
      <c r="A301">
        <f ca="1">32788.0828219195*(RANDBETWEEN(2890,3282))</f>
        <v>96987148.987237975</v>
      </c>
      <c r="B301">
        <v>232752460.56265742</v>
      </c>
    </row>
    <row r="302" spans="1:2" x14ac:dyDescent="0.25">
      <c r="A302">
        <f ca="1">29823.7126525519*(RANDBETWEEN(2890,3282))</f>
        <v>95376233.06286113</v>
      </c>
      <c r="B302">
        <v>206752700.16261262</v>
      </c>
    </row>
    <row r="303" spans="1:2" x14ac:dyDescent="0.25">
      <c r="A303">
        <f ca="1">32358.7024364066*(RANDBETWEEN(2890,3282))</f>
        <v>100214901.4455511</v>
      </c>
      <c r="B303">
        <v>263988313.75296438</v>
      </c>
    </row>
    <row r="304" spans="1:2" x14ac:dyDescent="0.25">
      <c r="A304">
        <f ca="1">26442.2395225608*(RANDBETWEEN(2890,3282))</f>
        <v>80807483.98094596</v>
      </c>
      <c r="B304">
        <v>254694539.8235231</v>
      </c>
    </row>
    <row r="305" spans="1:2" x14ac:dyDescent="0.25">
      <c r="A305">
        <f ca="1">28743.0113452405*(RANDBETWEEN(2890,3282))</f>
        <v>85769145.854197621</v>
      </c>
      <c r="B305">
        <v>253805115.87918332</v>
      </c>
    </row>
    <row r="306" spans="1:2" x14ac:dyDescent="0.25">
      <c r="A306">
        <f ca="1">30794.5334899673*(RANDBETWEEN(2890,3282))</f>
        <v>95062724.883529037</v>
      </c>
      <c r="B306">
        <v>229618211.02098858</v>
      </c>
    </row>
    <row r="307" spans="1:2" x14ac:dyDescent="0.25">
      <c r="A307">
        <f ca="1">26658.8385467691*(RANDBETWEEN(2890,3282))</f>
        <v>86321319.21443826</v>
      </c>
      <c r="B307">
        <v>261500982.06858212</v>
      </c>
    </row>
    <row r="308" spans="1:2" x14ac:dyDescent="0.25">
      <c r="A308">
        <f ca="1">31274.0787605032*(RANDBETWEEN(2890,3282))</f>
        <v>100733807.68758066</v>
      </c>
      <c r="B308">
        <v>245454071.37378335</v>
      </c>
    </row>
    <row r="309" spans="1:2" x14ac:dyDescent="0.25">
      <c r="A309">
        <f ca="1">27358.008459042*(RANDBETWEEN(2890,3282))</f>
        <v>89433329.65260835</v>
      </c>
      <c r="B309">
        <v>239302231.13463232</v>
      </c>
    </row>
    <row r="310" spans="1:2" x14ac:dyDescent="0.25">
      <c r="A310">
        <f ca="1">30240.3556666247*(RANDBETWEEN(2890,3282))</f>
        <v>89390491.35054256</v>
      </c>
      <c r="B310">
        <v>224103630.4637408</v>
      </c>
    </row>
    <row r="311" spans="1:2" x14ac:dyDescent="0.25">
      <c r="A311">
        <f ca="1">30253.9096872824*(RANDBETWEEN(2890,3282))</f>
        <v>90156650.868101537</v>
      </c>
      <c r="B311">
        <v>225476411.24300069</v>
      </c>
    </row>
    <row r="312" spans="1:2" x14ac:dyDescent="0.25">
      <c r="A312">
        <f ca="1">29331.3540109244*(RANDBETWEEN(2890,3282))</f>
        <v>85442234.233822823</v>
      </c>
      <c r="B312">
        <v>210521789.78664961</v>
      </c>
    </row>
    <row r="313" spans="1:2" x14ac:dyDescent="0.25">
      <c r="A313">
        <f ca="1">27869.3702821763*(RANDBETWEEN(2890,3282))</f>
        <v>90993493.971305668</v>
      </c>
      <c r="B313">
        <v>220860717.50372162</v>
      </c>
    </row>
    <row r="314" spans="1:2" x14ac:dyDescent="0.25">
      <c r="A314">
        <f ca="1">32171.2544874662*(RANDBETWEEN(2890,3282))</f>
        <v>100631684.03679413</v>
      </c>
      <c r="B314">
        <v>247859412.08660287</v>
      </c>
    </row>
    <row r="315" spans="1:2" x14ac:dyDescent="0.25">
      <c r="A315">
        <f ca="1">29352.7782985184*(RANDBETWEEN(2890,3282))</f>
        <v>87441926.551286444</v>
      </c>
      <c r="B315">
        <v>230435061.33736631</v>
      </c>
    </row>
    <row r="316" spans="1:2" x14ac:dyDescent="0.25">
      <c r="A316">
        <f ca="1">27218.2127368515*(RANDBETWEEN(2890,3282))</f>
        <v>87261590.034345955</v>
      </c>
      <c r="B316">
        <v>247247846.06051362</v>
      </c>
    </row>
    <row r="317" spans="1:2" x14ac:dyDescent="0.25">
      <c r="A317">
        <f ca="1">27549.791942539*(RANDBETWEEN(2890,3282))</f>
        <v>90142919.235987455</v>
      </c>
      <c r="B317">
        <v>234842930.42871952</v>
      </c>
    </row>
    <row r="318" spans="1:2" x14ac:dyDescent="0.25">
      <c r="A318">
        <f ca="1">27424.6079730569*(RANDBETWEEN(2890,3282))</f>
        <v>88279813.06527026</v>
      </c>
      <c r="B318">
        <v>246332020.16433537</v>
      </c>
    </row>
    <row r="319" spans="1:2" x14ac:dyDescent="0.25">
      <c r="A319">
        <f ca="1">27303.5874821275*(RANDBETWEEN(2890,3282))</f>
        <v>86333943.61848703</v>
      </c>
      <c r="B319">
        <v>213315295.34938073</v>
      </c>
    </row>
    <row r="320" spans="1:2" x14ac:dyDescent="0.25">
      <c r="A320">
        <f ca="1">29303.9853838132*(RANDBETWEEN(2890,3282))</f>
        <v>95618904.30738239</v>
      </c>
      <c r="B320">
        <v>223087011.84139374</v>
      </c>
    </row>
    <row r="321" spans="1:2" x14ac:dyDescent="0.25">
      <c r="A321">
        <f ca="1">33769.160095087*(RANDBETWEEN(2890,3282))</f>
        <v>102151709.28763814</v>
      </c>
      <c r="B321">
        <v>254154811.34906715</v>
      </c>
    </row>
    <row r="322" spans="1:2" x14ac:dyDescent="0.25">
      <c r="A322">
        <f ca="1">29586.4649761079*(RANDBETWEEN(2890,3282))</f>
        <v>91895560.215791166</v>
      </c>
      <c r="B322">
        <v>262145812.18323714</v>
      </c>
    </row>
    <row r="323" spans="1:2" x14ac:dyDescent="0.25">
      <c r="A323">
        <f ca="1">29061.9252519912*(RANDBETWEEN(2890,3282))</f>
        <v>84512078.632790461</v>
      </c>
      <c r="B323">
        <v>223973194.18214655</v>
      </c>
    </row>
    <row r="324" spans="1:2" x14ac:dyDescent="0.25">
      <c r="A324">
        <f ca="1">27802.3188467641*(RANDBETWEEN(2890,3282))</f>
        <v>84491246.975316137</v>
      </c>
      <c r="B324">
        <v>221116196.87859997</v>
      </c>
    </row>
    <row r="325" spans="1:2" x14ac:dyDescent="0.25">
      <c r="A325">
        <f ca="1">32101.7974502964*(RANDBETWEEN(2890,3282))</f>
        <v>102404733.86644568</v>
      </c>
      <c r="B325">
        <v>212261614.0904336</v>
      </c>
    </row>
    <row r="326" spans="1:2" x14ac:dyDescent="0.25">
      <c r="A326">
        <f ca="1">29778.2785341893*(RANDBETWEEN(2890,3282))</f>
        <v>96987853.185854435</v>
      </c>
      <c r="B326">
        <v>266262269.49414656</v>
      </c>
    </row>
    <row r="327" spans="1:2" x14ac:dyDescent="0.25">
      <c r="A327">
        <f ca="1">33139.1972930022*(RANDBETWEEN(2890,3282))</f>
        <v>100113515.02215974</v>
      </c>
      <c r="B327">
        <v>217442270.88139451</v>
      </c>
    </row>
    <row r="328" spans="1:2" x14ac:dyDescent="0.25">
      <c r="A328">
        <f ca="1">27866.0117195288*(RANDBETWEEN(2890,3282))</f>
        <v>86440368.353978321</v>
      </c>
      <c r="B328">
        <v>259661339.2003383</v>
      </c>
    </row>
    <row r="329" spans="1:2" x14ac:dyDescent="0.25">
      <c r="A329">
        <f ca="1">27265.217212056*(RANDBETWEEN(2890,3282))</f>
        <v>82722669.02137804</v>
      </c>
      <c r="B329">
        <v>217653040.31414872</v>
      </c>
    </row>
    <row r="330" spans="1:2" x14ac:dyDescent="0.25">
      <c r="A330">
        <f ca="1">28087.1511271652*(RANDBETWEEN(2890,3282))</f>
        <v>83587361.754443556</v>
      </c>
      <c r="B330">
        <v>249088835.59353471</v>
      </c>
    </row>
    <row r="331" spans="1:2" x14ac:dyDescent="0.25">
      <c r="A331">
        <f ca="1">29913.3550477423*(RANDBETWEEN(2890,3282))</f>
        <v>94077501.625149608</v>
      </c>
      <c r="B331">
        <v>267679891.67670658</v>
      </c>
    </row>
    <row r="332" spans="1:2" x14ac:dyDescent="0.25">
      <c r="A332">
        <f ca="1">28772.6045737675*(RANDBETWEEN(2890,3282))</f>
        <v>84907956.097187817</v>
      </c>
      <c r="B332">
        <v>212087701.97666997</v>
      </c>
    </row>
    <row r="333" spans="1:2" x14ac:dyDescent="0.25">
      <c r="A333">
        <f ca="1">26924.6047695144*(RANDBETWEEN(2890,3282))</f>
        <v>86858774.986453384</v>
      </c>
      <c r="B333">
        <v>230840956.55318886</v>
      </c>
    </row>
    <row r="334" spans="1:2" x14ac:dyDescent="0.25">
      <c r="A334">
        <f ca="1">29224.4494563732*(RANDBETWEEN(2890,3282))</f>
        <v>88871550.796830833</v>
      </c>
      <c r="B334">
        <v>217979990.04601789</v>
      </c>
    </row>
    <row r="335" spans="1:2" x14ac:dyDescent="0.25">
      <c r="A335">
        <f ca="1">29768.1768046903*(RANDBETWEEN(2890,3282))</f>
        <v>86952844.446500227</v>
      </c>
      <c r="B335">
        <v>242696821.24214208</v>
      </c>
    </row>
    <row r="336" spans="1:2" x14ac:dyDescent="0.25">
      <c r="A336">
        <f ca="1">27414.2817537558*(RANDBETWEEN(2890,3282))</f>
        <v>88027258.711309835</v>
      </c>
      <c r="B336">
        <v>235988510.4354285</v>
      </c>
    </row>
    <row r="337" spans="1:2" x14ac:dyDescent="0.25">
      <c r="A337">
        <f ca="1">28704.9829562223*(RANDBETWEEN(2890,3282))</f>
        <v>90047531.533669487</v>
      </c>
      <c r="B337">
        <v>213245495.22624743</v>
      </c>
    </row>
    <row r="338" spans="1:2" x14ac:dyDescent="0.25">
      <c r="A338">
        <f ca="1">30911.7064763927*(RANDBETWEEN(2890,3282))</f>
        <v>93878852.568804562</v>
      </c>
      <c r="B338">
        <v>232703526.96951291</v>
      </c>
    </row>
    <row r="339" spans="1:2" x14ac:dyDescent="0.25">
      <c r="A339">
        <f ca="1">30355.8848026947*(RANDBETWEEN(2890,3282))</f>
        <v>97958440.258295938</v>
      </c>
      <c r="B339">
        <v>231236994.35085356</v>
      </c>
    </row>
    <row r="340" spans="1:2" x14ac:dyDescent="0.25">
      <c r="A340">
        <f ca="1">29336.3520359509*(RANDBETWEEN(2890,3282))</f>
        <v>90062600.750369251</v>
      </c>
      <c r="B340">
        <v>242720423.09393018</v>
      </c>
    </row>
    <row r="341" spans="1:2" x14ac:dyDescent="0.25">
      <c r="A341">
        <f ca="1">31917.7698833415*(RANDBETWEEN(2890,3282))</f>
        <v>93231805.829240426</v>
      </c>
      <c r="B341">
        <v>227278693.39021236</v>
      </c>
    </row>
    <row r="342" spans="1:2" x14ac:dyDescent="0.25">
      <c r="A342">
        <f ca="1">28607.4718987124*(RANDBETWEEN(2890,3282))</f>
        <v>84935584.067276999</v>
      </c>
      <c r="B342">
        <v>248003841.16991931</v>
      </c>
    </row>
    <row r="343" spans="1:2" x14ac:dyDescent="0.25">
      <c r="A343">
        <f ca="1">30773.0405279041*(RANDBETWEEN(2890,3282))</f>
        <v>96350389.892867878</v>
      </c>
      <c r="B343">
        <v>264362653.31420359</v>
      </c>
    </row>
    <row r="344" spans="1:2" x14ac:dyDescent="0.25">
      <c r="A344">
        <f ca="1">31190.2758703845*(RANDBETWEEN(2890,3282))</f>
        <v>97376041.267340347</v>
      </c>
      <c r="B344">
        <v>236502130.93319434</v>
      </c>
    </row>
    <row r="345" spans="1:2" x14ac:dyDescent="0.25">
      <c r="A345">
        <f ca="1">29345.4398385455*(RANDBETWEEN(2890,3282))</f>
        <v>86363629.444839314</v>
      </c>
      <c r="B345">
        <v>216034163.30378479</v>
      </c>
    </row>
    <row r="346" spans="1:2" x14ac:dyDescent="0.25">
      <c r="A346">
        <f ca="1">31275.6467758899*(RANDBETWEEN(2890,3282))</f>
        <v>101020339.08612445</v>
      </c>
      <c r="B346">
        <v>239961262.94218585</v>
      </c>
    </row>
    <row r="347" spans="1:2" x14ac:dyDescent="0.25">
      <c r="A347">
        <f ca="1">30585.2461901529*(RANDBETWEEN(2890,3282))</f>
        <v>89461845.106197327</v>
      </c>
      <c r="B347">
        <v>247037892.60859057</v>
      </c>
    </row>
    <row r="348" spans="1:2" x14ac:dyDescent="0.25">
      <c r="A348">
        <f ca="1">28761.5684723897*(RANDBETWEEN(2890,3282))</f>
        <v>85421858.362997338</v>
      </c>
      <c r="B348">
        <v>205921058.75169531</v>
      </c>
    </row>
    <row r="349" spans="1:2" x14ac:dyDescent="0.25">
      <c r="A349">
        <f ca="1">33891.6288610576*(RANDBETWEEN(2890,3282))</f>
        <v>105538532.27333334</v>
      </c>
      <c r="B349">
        <v>225825008.29072443</v>
      </c>
    </row>
    <row r="350" spans="1:2" x14ac:dyDescent="0.25">
      <c r="A350">
        <f ca="1">27824.555198962*(RANDBETWEEN(2890,3282))</f>
        <v>82583279.830519319</v>
      </c>
      <c r="B350">
        <v>243402958.39225021</v>
      </c>
    </row>
    <row r="351" spans="1:2" x14ac:dyDescent="0.25">
      <c r="A351">
        <f ca="1">29490.3075738031*(RANDBETWEEN(2890,3282))</f>
        <v>88323471.183540151</v>
      </c>
      <c r="B351">
        <v>215341652.2218591</v>
      </c>
    </row>
    <row r="352" spans="1:2" x14ac:dyDescent="0.25">
      <c r="A352">
        <f ca="1">27855.0505581857*(RANDBETWEEN(2890,3282))</f>
        <v>81949558.742182314</v>
      </c>
      <c r="B352">
        <v>209087224.32132101</v>
      </c>
    </row>
    <row r="353" spans="1:2" x14ac:dyDescent="0.25">
      <c r="A353">
        <f ca="1">30410.141643087*(RANDBETWEEN(2890,3282))</f>
        <v>92386010.311698228</v>
      </c>
      <c r="B353">
        <v>212405743.53842139</v>
      </c>
    </row>
    <row r="354" spans="1:2" x14ac:dyDescent="0.25">
      <c r="A354">
        <f ca="1">27083.5776258544*(RANDBETWEEN(2890,3282))</f>
        <v>88048710.861652657</v>
      </c>
      <c r="B354">
        <v>205311295.35117245</v>
      </c>
    </row>
    <row r="355" spans="1:2" x14ac:dyDescent="0.25">
      <c r="A355">
        <f ca="1">27640.7635955883*(RANDBETWEEN(2890,3282))</f>
        <v>85271755.692389771</v>
      </c>
      <c r="B355">
        <v>215104236.83809632</v>
      </c>
    </row>
    <row r="356" spans="1:2" x14ac:dyDescent="0.25">
      <c r="A356">
        <f ca="1">31575.1645851023*(RANDBETWEEN(2890,3282))</f>
        <v>91789003.448892325</v>
      </c>
      <c r="B356">
        <v>263908644.16454136</v>
      </c>
    </row>
    <row r="357" spans="1:2" x14ac:dyDescent="0.25">
      <c r="A357">
        <f ca="1">28839.887716104*(RANDBETWEEN(2890,3282))</f>
        <v>87384859.779795229</v>
      </c>
      <c r="B357">
        <v>241336121.02754885</v>
      </c>
    </row>
    <row r="358" spans="1:2" x14ac:dyDescent="0.25">
      <c r="A358">
        <f ca="1">26673.3257002477*(RANDBETWEEN(2890,3282))</f>
        <v>80580116.940448314</v>
      </c>
      <c r="B358">
        <v>242892857.17753828</v>
      </c>
    </row>
    <row r="359" spans="1:2" x14ac:dyDescent="0.25">
      <c r="A359">
        <f ca="1">27087.8919050153*(RANDBETWEEN(2890,3282))</f>
        <v>87223011.934149429</v>
      </c>
      <c r="B359">
        <v>207603180.61240143</v>
      </c>
    </row>
    <row r="360" spans="1:2" x14ac:dyDescent="0.25">
      <c r="A360">
        <f ca="1">27152.2038789484*(RANDBETWEEN(2890,3282))</f>
        <v>81836742.491150513</v>
      </c>
      <c r="B360">
        <v>230866605.99537399</v>
      </c>
    </row>
    <row r="361" spans="1:2" x14ac:dyDescent="0.25">
      <c r="A361">
        <f ca="1">29193.4302181986*(RANDBETWEEN(2890,3282))</f>
        <v>85974651.992594987</v>
      </c>
      <c r="B361">
        <v>219481936.09694666</v>
      </c>
    </row>
    <row r="362" spans="1:2" x14ac:dyDescent="0.25">
      <c r="A362">
        <f ca="1">28177.0673243829*(RANDBETWEEN(2890,3282))</f>
        <v>86080940.675989702</v>
      </c>
      <c r="B362">
        <v>259296619.49253017</v>
      </c>
    </row>
    <row r="363" spans="1:2" x14ac:dyDescent="0.25">
      <c r="A363">
        <f ca="1">29659.6187684177*(RANDBETWEEN(2890,3282))</f>
        <v>90521156.481210709</v>
      </c>
      <c r="B363">
        <v>264871326.49016094</v>
      </c>
    </row>
    <row r="364" spans="1:2" x14ac:dyDescent="0.25">
      <c r="A364">
        <f ca="1">28236.1112152228*(RANDBETWEEN(2890,3282))</f>
        <v>85414236.426049083</v>
      </c>
      <c r="B364">
        <v>217415819.41326189</v>
      </c>
    </row>
    <row r="365" spans="1:2" x14ac:dyDescent="0.25">
      <c r="A365">
        <f ca="1">30410.379129838*(RANDBETWEEN(2890,3282))</f>
        <v>91048675.114734918</v>
      </c>
      <c r="B365">
        <v>227081936.47303396</v>
      </c>
    </row>
    <row r="366" spans="1:2" x14ac:dyDescent="0.25">
      <c r="A366">
        <f ca="1">28399.2818113947*(RANDBETWEEN(2890,3282))</f>
        <v>90707306.105594665</v>
      </c>
      <c r="B366">
        <v>208831481.78554025</v>
      </c>
    </row>
    <row r="367" spans="1:2" x14ac:dyDescent="0.25">
      <c r="A367">
        <f ca="1">27912.1495372453*(RANDBETWEEN(2890,3282))</f>
        <v>88676899.079828471</v>
      </c>
      <c r="B367">
        <v>223773844.42963809</v>
      </c>
    </row>
    <row r="368" spans="1:2" x14ac:dyDescent="0.25">
      <c r="A368">
        <f ca="1">29028.9166607004*(RANDBETWEEN(2890,3282))</f>
        <v>89844497.064867646</v>
      </c>
      <c r="B368">
        <v>266254434.43316621</v>
      </c>
    </row>
    <row r="369" spans="1:2" x14ac:dyDescent="0.25">
      <c r="A369">
        <f ca="1">30782.1371185035*(RANDBETWEEN(2890,3282))</f>
        <v>90622611.676874191</v>
      </c>
      <c r="B369">
        <v>213396411.11142904</v>
      </c>
    </row>
    <row r="370" spans="1:2" x14ac:dyDescent="0.25">
      <c r="A370">
        <f ca="1">28733.6203340409*(RANDBETWEEN(2890,3282))</f>
        <v>90941908.357239604</v>
      </c>
      <c r="B370">
        <v>218207168.99538606</v>
      </c>
    </row>
    <row r="371" spans="1:2" x14ac:dyDescent="0.25">
      <c r="A371">
        <f ca="1">29919.5091266614*(RANDBETWEEN(2890,3282))</f>
        <v>88621586.033171043</v>
      </c>
      <c r="B371">
        <v>249981116.46803519</v>
      </c>
    </row>
    <row r="372" spans="1:2" x14ac:dyDescent="0.25">
      <c r="A372">
        <f ca="1">27398.6947852055*(RANDBETWEEN(2890,3282))</f>
        <v>89264947.6101996</v>
      </c>
      <c r="B372">
        <v>254753742.95135725</v>
      </c>
    </row>
    <row r="373" spans="1:2" x14ac:dyDescent="0.25">
      <c r="A373">
        <f ca="1">28462.7492623272*(RANDBETWEEN(2890,3282))</f>
        <v>89799973.922642395</v>
      </c>
      <c r="B373">
        <v>258711472.98400503</v>
      </c>
    </row>
    <row r="374" spans="1:2" x14ac:dyDescent="0.25">
      <c r="A374">
        <f ca="1">27852.3181592564*(RANDBETWEEN(2890,3282))</f>
        <v>89684464.472805589</v>
      </c>
      <c r="B374">
        <v>208296315.69105324</v>
      </c>
    </row>
    <row r="375" spans="1:2" x14ac:dyDescent="0.25">
      <c r="A375">
        <f ca="1">30450.084042702*(RANDBETWEEN(2890,3282))</f>
        <v>96009114.986639485</v>
      </c>
      <c r="B375">
        <v>253343167.01859653</v>
      </c>
    </row>
    <row r="376" spans="1:2" x14ac:dyDescent="0.25">
      <c r="A376">
        <f ca="1">32256.2042766414*(RANDBETWEEN(2890,3282))</f>
        <v>93639761.015089989</v>
      </c>
      <c r="B376">
        <v>247736004.91211009</v>
      </c>
    </row>
    <row r="377" spans="1:2" x14ac:dyDescent="0.25">
      <c r="A377">
        <f ca="1">29532.9708369221*(RANDBETWEEN(2890,3282))</f>
        <v>94269242.911455244</v>
      </c>
      <c r="B377">
        <v>213011959.42926559</v>
      </c>
    </row>
    <row r="378" spans="1:2" x14ac:dyDescent="0.25">
      <c r="A378">
        <f ca="1">28231.2131936472*(RANDBETWEEN(2890,3282))</f>
        <v>89662333.10302341</v>
      </c>
      <c r="B378">
        <v>230931292.63623425</v>
      </c>
    </row>
    <row r="379" spans="1:2" x14ac:dyDescent="0.25">
      <c r="A379">
        <f ca="1">28085.9724913419*(RANDBETWEEN(2890,3282))</f>
        <v>83696198.024198741</v>
      </c>
      <c r="B379">
        <v>238599271.53633615</v>
      </c>
    </row>
    <row r="380" spans="1:2" x14ac:dyDescent="0.25">
      <c r="A380">
        <f ca="1">30415.9615058662*(RANDBETWEEN(2890,3282))</f>
        <v>92099531.439762712</v>
      </c>
      <c r="B380">
        <v>233436067.54673561</v>
      </c>
    </row>
    <row r="381" spans="1:2" x14ac:dyDescent="0.25">
      <c r="A381">
        <f ca="1">30209.9443142348*(RANDBETWEEN(2890,3282))</f>
        <v>89179755.615621105</v>
      </c>
      <c r="B381">
        <v>248639174.20530489</v>
      </c>
    </row>
    <row r="382" spans="1:2" x14ac:dyDescent="0.25">
      <c r="A382">
        <f ca="1">30285.1074832258*(RANDBETWEEN(2890,3282))</f>
        <v>92763284.221120581</v>
      </c>
      <c r="B382">
        <v>210792700.72249591</v>
      </c>
    </row>
    <row r="383" spans="1:2" x14ac:dyDescent="0.25">
      <c r="A383">
        <f ca="1">30407.9168856753*(RANDBETWEEN(2890,3282))</f>
        <v>93565160.257222995</v>
      </c>
      <c r="B383">
        <v>241265788.86190265</v>
      </c>
    </row>
    <row r="384" spans="1:2" x14ac:dyDescent="0.25">
      <c r="A384">
        <f ca="1">28265.3674709425*(RANDBETWEEN(2890,3282))</f>
        <v>81771708.093436643</v>
      </c>
      <c r="B384">
        <v>227589669.73930937</v>
      </c>
    </row>
    <row r="385" spans="1:2" x14ac:dyDescent="0.25">
      <c r="A385">
        <f ca="1">28297.3435072896*(RANDBETWEEN(2890,3282))</f>
        <v>90523201.879819572</v>
      </c>
      <c r="B385">
        <v>220314464.7825771</v>
      </c>
    </row>
    <row r="386" spans="1:2" x14ac:dyDescent="0.25">
      <c r="A386">
        <f ca="1">30491.9542311469*(RANDBETWEEN(2890,3282))</f>
        <v>96293591.461961776</v>
      </c>
      <c r="B386">
        <v>244000776.39994612</v>
      </c>
    </row>
    <row r="387" spans="1:2" x14ac:dyDescent="0.25">
      <c r="A387">
        <f ca="1">32526.6931908336*(RANDBETWEEN(2890,3282))</f>
        <v>95108050.889997408</v>
      </c>
      <c r="B387">
        <v>214111867.94309205</v>
      </c>
    </row>
    <row r="388" spans="1:2" x14ac:dyDescent="0.25">
      <c r="A388">
        <f ca="1">31697.6379950597*(RANDBETWEEN(2890,3282))</f>
        <v>103049021.12193903</v>
      </c>
      <c r="B388">
        <v>259476956.4315384</v>
      </c>
    </row>
    <row r="389" spans="1:2" x14ac:dyDescent="0.25">
      <c r="A389">
        <f ca="1">29933.1396371699*(RANDBETWEEN(2890,3282))</f>
        <v>97492235.798262492</v>
      </c>
      <c r="B389">
        <v>263008149.2387391</v>
      </c>
    </row>
    <row r="390" spans="1:2" x14ac:dyDescent="0.25">
      <c r="A390">
        <f ca="1">34160.2820971807*(RANDBETWEEN(2890,3282))</f>
        <v>105418630.55189972</v>
      </c>
      <c r="B390">
        <v>237594591.05947971</v>
      </c>
    </row>
    <row r="391" spans="1:2" x14ac:dyDescent="0.25">
      <c r="A391">
        <f ca="1">32319.957393628*(RANDBETWEEN(2890,3282))</f>
        <v>98026430.774873704</v>
      </c>
      <c r="B391">
        <v>227648661.98011783</v>
      </c>
    </row>
    <row r="392" spans="1:2" x14ac:dyDescent="0.25">
      <c r="A392">
        <f ca="1">30260.8531961618*(RANDBETWEEN(2890,3282))</f>
        <v>92567949.927058905</v>
      </c>
      <c r="B392">
        <v>241969276.16691017</v>
      </c>
    </row>
    <row r="393" spans="1:2" x14ac:dyDescent="0.25">
      <c r="A393">
        <f ca="1">31830.1911471308*(RANDBETWEEN(2890,3282))</f>
        <v>92785007.193886355</v>
      </c>
      <c r="B393">
        <v>233093073.62026602</v>
      </c>
    </row>
    <row r="394" spans="1:2" x14ac:dyDescent="0.25">
      <c r="A394">
        <f ca="1">31046.656870099*(RANDBETWEEN(2890,3282))</f>
        <v>93636717.120218471</v>
      </c>
      <c r="B394">
        <v>247020972.84927595</v>
      </c>
    </row>
    <row r="395" spans="1:2" x14ac:dyDescent="0.25">
      <c r="A395">
        <f ca="1">25647.297607133*(RANDBETWEEN(2890,3282))</f>
        <v>78968029.332362413</v>
      </c>
      <c r="B395">
        <v>206345956.54465362</v>
      </c>
    </row>
    <row r="396" spans="1:2" x14ac:dyDescent="0.25">
      <c r="A396">
        <f ca="1">26308.9851784208*(RANDBETWEEN(2890,3282))</f>
        <v>78111376.994731367</v>
      </c>
      <c r="B396">
        <v>266658888.61457583</v>
      </c>
    </row>
    <row r="397" spans="1:2" x14ac:dyDescent="0.25">
      <c r="A397">
        <f ca="1">27586.4694671742*(RANDBETWEEN(2890,3282))</f>
        <v>81380084.92816402</v>
      </c>
      <c r="B397">
        <v>244997895.18430534</v>
      </c>
    </row>
    <row r="398" spans="1:2" x14ac:dyDescent="0.25">
      <c r="A398">
        <f ca="1">32218.8076659488*(RANDBETWEEN(2890,3282))</f>
        <v>103132403.33870223</v>
      </c>
      <c r="B398">
        <v>257197183.13948557</v>
      </c>
    </row>
    <row r="399" spans="1:2" x14ac:dyDescent="0.25">
      <c r="A399">
        <f ca="1">29639.7449936319*(RANDBETWEEN(2890,3282))</f>
        <v>93602314.689889491</v>
      </c>
      <c r="B399">
        <v>255123307.34615666</v>
      </c>
    </row>
    <row r="400" spans="1:2" x14ac:dyDescent="0.25">
      <c r="A400">
        <f ca="1">28698.8056717383*(RANDBETWEEN(2890,3282))</f>
        <v>90688225.92269288</v>
      </c>
      <c r="B400">
        <v>264169681.99914911</v>
      </c>
    </row>
    <row r="401" spans="1:2" x14ac:dyDescent="0.25">
      <c r="A401">
        <f ca="1">27024.8797370215*(RANDBETWEEN(2890,3282))</f>
        <v>82344808.558704495</v>
      </c>
      <c r="B401">
        <v>236842154.2807073</v>
      </c>
    </row>
    <row r="402" spans="1:2" x14ac:dyDescent="0.25">
      <c r="A402">
        <f ca="1">25611.375379031*(RANDBETWEEN(2890,3282))</f>
        <v>75707225.620415732</v>
      </c>
      <c r="B402">
        <v>255209181.87768817</v>
      </c>
    </row>
    <row r="403" spans="1:2" x14ac:dyDescent="0.25">
      <c r="A403">
        <f ca="1">27147.4941874666*(RANDBETWEEN(2890,3282))</f>
        <v>81903989.963586584</v>
      </c>
      <c r="B403">
        <v>235441286.98567286</v>
      </c>
    </row>
    <row r="404" spans="1:2" x14ac:dyDescent="0.25">
      <c r="A404">
        <f ca="1">28750.6898767928*(RANDBETWEEN(2890,3282))</f>
        <v>91369692.428447589</v>
      </c>
      <c r="B404">
        <v>232414564.79059049</v>
      </c>
    </row>
    <row r="405" spans="1:2" x14ac:dyDescent="0.25">
      <c r="A405">
        <f ca="1">26484.7902902655*(RANDBETWEEN(2890,3282))</f>
        <v>84036239.591012448</v>
      </c>
      <c r="B405">
        <v>260018527.78739059</v>
      </c>
    </row>
    <row r="406" spans="1:2" x14ac:dyDescent="0.25">
      <c r="A406">
        <f ca="1">28917.354040619*(RANDBETWEEN(2890,3282))</f>
        <v>90453483.439056233</v>
      </c>
      <c r="B406">
        <v>262982040.35584369</v>
      </c>
    </row>
    <row r="407" spans="1:2" x14ac:dyDescent="0.25">
      <c r="A407">
        <f ca="1">34303.1664636904*(RANDBETWEEN(2890,3282))</f>
        <v>111485291.00699374</v>
      </c>
      <c r="B407">
        <v>220363121.40888542</v>
      </c>
    </row>
    <row r="408" spans="1:2" x14ac:dyDescent="0.25">
      <c r="A408">
        <f ca="1">28458.8820656388*(RANDBETWEEN(2890,3282))</f>
        <v>85006680.730063006</v>
      </c>
      <c r="B408">
        <v>252107164.52701759</v>
      </c>
    </row>
    <row r="409" spans="1:2" x14ac:dyDescent="0.25">
      <c r="A409">
        <f ca="1">31061.8079870238*(RANDBETWEEN(2890,3282))</f>
        <v>100609196.06996995</v>
      </c>
      <c r="B409">
        <v>259986578.49929872</v>
      </c>
    </row>
    <row r="410" spans="1:2" x14ac:dyDescent="0.25">
      <c r="A410">
        <f ca="1">27829.5230063455*(RANDBETWEEN(2890,3282))</f>
        <v>85937567.043594837</v>
      </c>
      <c r="B410">
        <v>249770486.57379282</v>
      </c>
    </row>
    <row r="411" spans="1:2" x14ac:dyDescent="0.25">
      <c r="A411">
        <f ca="1">30220.6446267559*(RANDBETWEEN(2890,3282))</f>
        <v>90873478.392655134</v>
      </c>
      <c r="B411">
        <v>258384206.47438577</v>
      </c>
    </row>
    <row r="412" spans="1:2" x14ac:dyDescent="0.25">
      <c r="A412">
        <f ca="1">29781.4475358226*(RANDBETWEEN(2890,3282))</f>
        <v>88540243.524000719</v>
      </c>
      <c r="B412">
        <v>217214778.73582184</v>
      </c>
    </row>
    <row r="413" spans="1:2" x14ac:dyDescent="0.25">
      <c r="A413">
        <f ca="1">31935.6672207344*(RANDBETWEEN(2890,3282))</f>
        <v>94497639.30615294</v>
      </c>
      <c r="B413">
        <v>250571464.59368774</v>
      </c>
    </row>
    <row r="414" spans="1:2" x14ac:dyDescent="0.25">
      <c r="A414">
        <f ca="1">33299.2072466675*(RANDBETWEEN(2890,3282))</f>
        <v>97666574.854475737</v>
      </c>
      <c r="B414">
        <v>239837035.89411864</v>
      </c>
    </row>
    <row r="415" spans="1:2" x14ac:dyDescent="0.25">
      <c r="A415">
        <f ca="1">32297.1586144174*(RANDBETWEEN(2890,3282))</f>
        <v>104804279.7037843</v>
      </c>
      <c r="B415">
        <v>220004401.26297873</v>
      </c>
    </row>
    <row r="416" spans="1:2" x14ac:dyDescent="0.25">
      <c r="A416">
        <f ca="1">28410.7461048122*(RANDBETWEEN(2890,3282))</f>
        <v>89408617.991844133</v>
      </c>
      <c r="B416">
        <v>266961920.38491815</v>
      </c>
    </row>
    <row r="417" spans="1:2" x14ac:dyDescent="0.25">
      <c r="A417">
        <f ca="1">29743.9499868779*(RANDBETWEEN(2890,3282))</f>
        <v>88131323.811119214</v>
      </c>
      <c r="B417">
        <v>203894602.22451001</v>
      </c>
    </row>
    <row r="418" spans="1:2" x14ac:dyDescent="0.25">
      <c r="A418">
        <f ca="1">27403.6763000361*(RANDBETWEEN(2890,3282))</f>
        <v>79826909.062005192</v>
      </c>
      <c r="B418">
        <v>214410400.49211168</v>
      </c>
    </row>
    <row r="419" spans="1:2" x14ac:dyDescent="0.25">
      <c r="A419">
        <f ca="1">28642.533266162*(RANDBETWEEN(2890,3282))</f>
        <v>88304930.059577331</v>
      </c>
      <c r="B419">
        <v>247090581.64928207</v>
      </c>
    </row>
    <row r="420" spans="1:2" x14ac:dyDescent="0.25">
      <c r="A420">
        <f ca="1">26795.7360232069*(RANDBETWEEN(2890,3282))</f>
        <v>81057101.470200926</v>
      </c>
      <c r="B420">
        <v>225192885.38310951</v>
      </c>
    </row>
    <row r="421" spans="1:2" x14ac:dyDescent="0.25">
      <c r="A421">
        <f ca="1">32222.2170024136*(RANDBETWEEN(2890,3282))</f>
        <v>93476651.524001792</v>
      </c>
      <c r="B421">
        <v>220806647.20187148</v>
      </c>
    </row>
    <row r="422" spans="1:2" x14ac:dyDescent="0.25">
      <c r="A422">
        <f ca="1">32490.361708739*(RANDBETWEEN(2890,3282))</f>
        <v>99582958.637285188</v>
      </c>
      <c r="B422">
        <v>249490209.79116899</v>
      </c>
    </row>
    <row r="423" spans="1:2" x14ac:dyDescent="0.25">
      <c r="A423">
        <f ca="1">27845.3660462569*(RANDBETWEEN(2890,3282))</f>
        <v>85624500.592239916</v>
      </c>
      <c r="B423">
        <v>213822201.28747022</v>
      </c>
    </row>
    <row r="424" spans="1:2" x14ac:dyDescent="0.25">
      <c r="A424">
        <f ca="1">34474.6414662992*(RANDBETWEEN(2890,3282))</f>
        <v>105664776.09420706</v>
      </c>
      <c r="B424">
        <v>211995412.76152804</v>
      </c>
    </row>
    <row r="425" spans="1:2" x14ac:dyDescent="0.25">
      <c r="A425">
        <f ca="1">29757.5115251484*(RANDBETWEEN(2890,3282))</f>
        <v>92902950.981513247</v>
      </c>
      <c r="B425">
        <v>215307373.88573393</v>
      </c>
    </row>
    <row r="426" spans="1:2" x14ac:dyDescent="0.25">
      <c r="A426">
        <f ca="1">30665.4368741692*(RANDBETWEEN(2890,3282))</f>
        <v>92762946.544361785</v>
      </c>
      <c r="B426">
        <v>233406292.44229701</v>
      </c>
    </row>
    <row r="427" spans="1:2" x14ac:dyDescent="0.25">
      <c r="A427">
        <f ca="1">29469.1212452757*(RANDBETWEEN(2890,3282))</f>
        <v>90882769.920430288</v>
      </c>
      <c r="B427">
        <v>263716565.17108208</v>
      </c>
    </row>
    <row r="428" spans="1:2" x14ac:dyDescent="0.25">
      <c r="A428">
        <f ca="1">32453.9311177096*(RANDBETWEEN(2890,3282))</f>
        <v>105864723.30596881</v>
      </c>
      <c r="B428">
        <v>254703453.97254774</v>
      </c>
    </row>
    <row r="429" spans="1:2" x14ac:dyDescent="0.25">
      <c r="A429">
        <f ca="1">30345.9083541187*(RANDBETWEEN(2890,3282))</f>
        <v>95346844.048640832</v>
      </c>
      <c r="B429">
        <v>209097545.10494447</v>
      </c>
    </row>
    <row r="430" spans="1:2" x14ac:dyDescent="0.25">
      <c r="A430">
        <f ca="1">30328.665834552*(RANDBETWEEN(2890,3282))</f>
        <v>97840275.982264668</v>
      </c>
      <c r="B430">
        <v>245317825.67278743</v>
      </c>
    </row>
    <row r="431" spans="1:2" x14ac:dyDescent="0.25">
      <c r="A431">
        <f ca="1">32831.6337033673*(RANDBETWEEN(2890,3282))</f>
        <v>102960003.29375988</v>
      </c>
      <c r="B431">
        <v>259219447.26971316</v>
      </c>
    </row>
    <row r="432" spans="1:2" x14ac:dyDescent="0.25">
      <c r="A432">
        <f ca="1">30078.2072479488*(RANDBETWEEN(2890,3282))</f>
        <v>95347916.975997686</v>
      </c>
      <c r="B432">
        <v>224008767.79166004</v>
      </c>
    </row>
    <row r="433" spans="1:2" x14ac:dyDescent="0.25">
      <c r="A433">
        <f ca="1">30444.7872631955*(RANDBETWEEN(2890,3282))</f>
        <v>90938579.555164844</v>
      </c>
      <c r="B433">
        <v>252097678.736983</v>
      </c>
    </row>
    <row r="434" spans="1:2" x14ac:dyDescent="0.25">
      <c r="A434">
        <f ca="1">31541.8264869338*(RANDBETWEEN(2890,3282))</f>
        <v>91692089.597516611</v>
      </c>
      <c r="B434">
        <v>233403376.94470862</v>
      </c>
    </row>
    <row r="435" spans="1:2" x14ac:dyDescent="0.25">
      <c r="A435">
        <f ca="1">31417.1898842677*(RANDBETWEEN(2890,3282))</f>
        <v>97613208.970419869</v>
      </c>
      <c r="B435">
        <v>205150944.39526039</v>
      </c>
    </row>
    <row r="436" spans="1:2" x14ac:dyDescent="0.25">
      <c r="A436">
        <f ca="1">30811.0860202866*(RANDBETWEEN(2890,3282))</f>
        <v>91447303.30821076</v>
      </c>
      <c r="B436">
        <v>229833054.2425473</v>
      </c>
    </row>
    <row r="437" spans="1:2" x14ac:dyDescent="0.25">
      <c r="A437">
        <f ca="1">31206.5009041809*(RANDBETWEEN(2890,3282))</f>
        <v>90217994.113987014</v>
      </c>
      <c r="B437">
        <v>261914425.91022208</v>
      </c>
    </row>
    <row r="438" spans="1:2" x14ac:dyDescent="0.25">
      <c r="A438">
        <f ca="1">28033.9016256164*(RANDBETWEEN(2890,3282))</f>
        <v>86736891.629657269</v>
      </c>
      <c r="B438">
        <v>210141049.64512393</v>
      </c>
    </row>
    <row r="439" spans="1:2" x14ac:dyDescent="0.25">
      <c r="A439">
        <f ca="1">30522.4707870849*(RANDBETWEEN(2890,3282))</f>
        <v>93337715.666905716</v>
      </c>
      <c r="B439">
        <v>216276649.48678944</v>
      </c>
    </row>
    <row r="440" spans="1:2" x14ac:dyDescent="0.25">
      <c r="A440">
        <f ca="1">27455.7518731646*(RANDBETWEEN(2890,3282))</f>
        <v>81900507.837649971</v>
      </c>
      <c r="B440">
        <v>204192161.23828992</v>
      </c>
    </row>
    <row r="441" spans="1:2" x14ac:dyDescent="0.25">
      <c r="A441">
        <f ca="1">32024.0897751574*(RANDBETWEEN(2890,3282))</f>
        <v>94855353.914016172</v>
      </c>
      <c r="B441">
        <v>212087086.43483716</v>
      </c>
    </row>
    <row r="442" spans="1:2" x14ac:dyDescent="0.25">
      <c r="A442">
        <f ca="1">33112.1929750654*(RANDBETWEEN(2890,3282))</f>
        <v>108607992.95821457</v>
      </c>
      <c r="B442">
        <v>238737828.28668749</v>
      </c>
    </row>
    <row r="443" spans="1:2" x14ac:dyDescent="0.25">
      <c r="A443">
        <f ca="1">31051.6215381466*(RANDBETWEEN(2890,3282))</f>
        <v>90453373.540620983</v>
      </c>
      <c r="B443">
        <v>213227850.42130572</v>
      </c>
    </row>
    <row r="444" spans="1:2" x14ac:dyDescent="0.25">
      <c r="A444">
        <f ca="1">31688.0386459234*(RANDBETWEEN(2890,3282))</f>
        <v>97599159.029443949</v>
      </c>
      <c r="B444">
        <v>251862421.95169944</v>
      </c>
    </row>
    <row r="445" spans="1:2" x14ac:dyDescent="0.25">
      <c r="A445">
        <f ca="1">28012.8528324955*(RANDBETWEEN(2890,3282))</f>
        <v>83674391.410664096</v>
      </c>
      <c r="B445">
        <v>224024012.5196979</v>
      </c>
    </row>
    <row r="446" spans="1:2" x14ac:dyDescent="0.25">
      <c r="A446">
        <f ca="1">27877.476616259*(RANDBETWEEN(2890,3282))</f>
        <v>85890505.454693928</v>
      </c>
      <c r="B446">
        <v>246441939.93313524</v>
      </c>
    </row>
    <row r="447" spans="1:2" x14ac:dyDescent="0.25">
      <c r="A447">
        <f ca="1">31133.7581879885*(RANDBETWEEN(2890,3282))</f>
        <v>90412433.777918652</v>
      </c>
      <c r="B447">
        <v>220359047.96859771</v>
      </c>
    </row>
    <row r="448" spans="1:2" x14ac:dyDescent="0.25">
      <c r="A448">
        <f ca="1">29301.3256150866*(RANDBETWEEN(2890,3282))</f>
        <v>90189480.243236572</v>
      </c>
      <c r="B448">
        <v>245542466.45705339</v>
      </c>
    </row>
    <row r="449" spans="1:2" x14ac:dyDescent="0.25">
      <c r="A449">
        <f ca="1">26437.2022920369*(RANDBETWEEN(2890,3282))</f>
        <v>78756425.627977908</v>
      </c>
      <c r="B449">
        <v>203916528.28227207</v>
      </c>
    </row>
    <row r="450" spans="1:2" x14ac:dyDescent="0.25">
      <c r="A450">
        <f ca="1">30939.0082856979*(RANDBETWEEN(2890,3282))</f>
        <v>89506550.970524088</v>
      </c>
      <c r="B450">
        <v>206413642.19886303</v>
      </c>
    </row>
    <row r="451" spans="1:2" x14ac:dyDescent="0.25">
      <c r="A451">
        <f ca="1">29977.0986451159*(RANDBETWEEN(2890,3282))</f>
        <v>93828318.759212807</v>
      </c>
      <c r="B451">
        <v>224323766.07370973</v>
      </c>
    </row>
    <row r="452" spans="1:2" x14ac:dyDescent="0.25">
      <c r="A452">
        <f ca="1">32833.0932374895*(RANDBETWEEN(2890,3282))</f>
        <v>101716922.84974232</v>
      </c>
      <c r="B452">
        <v>234616569.25768697</v>
      </c>
    </row>
    <row r="453" spans="1:2" x14ac:dyDescent="0.25">
      <c r="A453">
        <f ca="1">31315.840926242*(RANDBETWEEN(2890,3282))</f>
        <v>93884891.096873373</v>
      </c>
      <c r="B453">
        <v>210753450.05345833</v>
      </c>
    </row>
    <row r="454" spans="1:2" x14ac:dyDescent="0.25">
      <c r="A454">
        <f ca="1">33652.6963149823*(RANDBETWEEN(2890,3282))</f>
        <v>104592580.14696498</v>
      </c>
      <c r="B454">
        <v>219370090.61523473</v>
      </c>
    </row>
    <row r="455" spans="1:2" x14ac:dyDescent="0.25">
      <c r="A455">
        <f ca="1">28924.3566638124*(RANDBETWEEN(2890,3282))</f>
        <v>85153306.018263742</v>
      </c>
      <c r="B455">
        <v>227070756.30409819</v>
      </c>
    </row>
    <row r="456" spans="1:2" x14ac:dyDescent="0.25">
      <c r="A456">
        <f ca="1">28655.7253540888*(RANDBETWEEN(2890,3282))</f>
        <v>90093600.513255328</v>
      </c>
      <c r="B456">
        <v>232897576.47880888</v>
      </c>
    </row>
    <row r="457" spans="1:2" x14ac:dyDescent="0.25">
      <c r="A457">
        <f ca="1">28534.8046505459*(RANDBETWEEN(2890,3282))</f>
        <v>92595441.091021374</v>
      </c>
      <c r="B457">
        <v>266071743.72164655</v>
      </c>
    </row>
    <row r="458" spans="1:2" x14ac:dyDescent="0.25">
      <c r="A458">
        <f ca="1">29053.5103007034*(RANDBETWEEN(2890,3282))</f>
        <v>94569176.02878961</v>
      </c>
      <c r="B458">
        <v>216302859.33744407</v>
      </c>
    </row>
    <row r="459" spans="1:2" x14ac:dyDescent="0.25">
      <c r="A459">
        <f ca="1">31716.7873185771*(RANDBETWEEN(2890,3282))</f>
        <v>98353757.474907666</v>
      </c>
      <c r="B459">
        <v>258444084.29261291</v>
      </c>
    </row>
    <row r="460" spans="1:2" x14ac:dyDescent="0.25">
      <c r="A460">
        <f ca="1">27843.99032521*(RANDBETWEEN(2890,3282))</f>
        <v>90465124.566607416</v>
      </c>
      <c r="B460">
        <v>255351004.59427062</v>
      </c>
    </row>
    <row r="461" spans="1:2" x14ac:dyDescent="0.25">
      <c r="A461">
        <f ca="1">30883.2902992166*(RANDBETWEEN(2890,3282))</f>
        <v>91476305.866279647</v>
      </c>
      <c r="B461">
        <v>246726708.34501731</v>
      </c>
    </row>
    <row r="462" spans="1:2" x14ac:dyDescent="0.25">
      <c r="A462">
        <f ca="1">28011.9146122408*(RANDBETWEEN(2890,3282))</f>
        <v>90394448.453700915</v>
      </c>
      <c r="B462">
        <v>206690603.02900583</v>
      </c>
    </row>
    <row r="463" spans="1:2" x14ac:dyDescent="0.25">
      <c r="A463">
        <f ca="1">29652.2942454071*(RANDBETWEEN(2890,3282))</f>
        <v>91269761.687363178</v>
      </c>
      <c r="B463">
        <v>216687566.93632227</v>
      </c>
    </row>
    <row r="464" spans="1:2" x14ac:dyDescent="0.25">
      <c r="A464">
        <f ca="1">31296.200047445*(RANDBETWEEN(2890,3282))</f>
        <v>93356564.741528466</v>
      </c>
      <c r="B464">
        <v>260615210.2551682</v>
      </c>
    </row>
    <row r="465" spans="1:2" x14ac:dyDescent="0.25">
      <c r="A465">
        <f ca="1">29804.240847291*(RANDBETWEEN(2890,3282))</f>
        <v>95999459.769124418</v>
      </c>
      <c r="B465">
        <v>253974816.06071252</v>
      </c>
    </row>
    <row r="466" spans="1:2" x14ac:dyDescent="0.25">
      <c r="A466">
        <f ca="1">31120.7700314199*(RANDBETWEEN(2890,3282))</f>
        <v>101982763.39296287</v>
      </c>
      <c r="B466">
        <v>224166752.37984365</v>
      </c>
    </row>
    <row r="467" spans="1:2" x14ac:dyDescent="0.25">
      <c r="A467">
        <f ca="1">31095.5816941497*(RANDBETWEEN(2890,3282))</f>
        <v>89897326.677786648</v>
      </c>
      <c r="B467">
        <v>240968380.14910182</v>
      </c>
    </row>
    <row r="468" spans="1:2" x14ac:dyDescent="0.25">
      <c r="A468">
        <f ca="1">27581.6108913435*(RANDBETWEEN(2890,3282))</f>
        <v>86385605.311687991</v>
      </c>
      <c r="B468">
        <v>237588212.11529243</v>
      </c>
    </row>
    <row r="469" spans="1:2" x14ac:dyDescent="0.25">
      <c r="A469">
        <f ca="1">29360.7421919686*(RANDBETWEEN(2890,3282))</f>
        <v>86643550.208499372</v>
      </c>
      <c r="B469">
        <v>238182612.04041097</v>
      </c>
    </row>
    <row r="470" spans="1:2" x14ac:dyDescent="0.25">
      <c r="A470">
        <f ca="1">31456.7350686506*(RANDBETWEEN(2890,3282))</f>
        <v>93520873.359098241</v>
      </c>
      <c r="B470">
        <v>265934870.48767459</v>
      </c>
    </row>
    <row r="471" spans="1:2" x14ac:dyDescent="0.25">
      <c r="A471">
        <f ca="1">29249.3784811202*(RANDBETWEEN(2890,3282))</f>
        <v>88333123.012982979</v>
      </c>
      <c r="B471">
        <v>226778649.57554296</v>
      </c>
    </row>
    <row r="472" spans="1:2" x14ac:dyDescent="0.25">
      <c r="A472">
        <f ca="1">32269.6401324783*(RANDBETWEEN(2890,3282))</f>
        <v>96647572.196772382</v>
      </c>
      <c r="B472">
        <v>262066851.88010973</v>
      </c>
    </row>
    <row r="473" spans="1:2" x14ac:dyDescent="0.25">
      <c r="A473">
        <f ca="1">31555.6425632658*(RANDBETWEEN(2890,3282))</f>
        <v>98769161.223021835</v>
      </c>
      <c r="B473">
        <v>254696288.69012952</v>
      </c>
    </row>
    <row r="474" spans="1:2" x14ac:dyDescent="0.25">
      <c r="A474">
        <f ca="1">32670.4789715768*(RANDBETWEEN(2890,3282))</f>
        <v>104088146.00344357</v>
      </c>
      <c r="B474">
        <v>253739913.14062229</v>
      </c>
    </row>
    <row r="475" spans="1:2" x14ac:dyDescent="0.25">
      <c r="A475">
        <f ca="1">31673.9361359315*(RANDBETWEEN(2890,3282))</f>
        <v>103478749.3560883</v>
      </c>
      <c r="B475">
        <v>218574081.46496028</v>
      </c>
    </row>
    <row r="476" spans="1:2" x14ac:dyDescent="0.25">
      <c r="A476">
        <f ca="1">32747.4656626564*(RANDBETWEEN(2890,3282))</f>
        <v>95295125.078330159</v>
      </c>
      <c r="B476">
        <v>267037456.3593885</v>
      </c>
    </row>
    <row r="477" spans="1:2" x14ac:dyDescent="0.25">
      <c r="A477">
        <f ca="1">30147.9585257745*(RANDBETWEEN(2890,3282))</f>
        <v>98734564.171911448</v>
      </c>
      <c r="B477">
        <v>267915047.97864896</v>
      </c>
    </row>
    <row r="478" spans="1:2" x14ac:dyDescent="0.25">
      <c r="A478">
        <f ca="1">30283.238696463*(RANDBETWEEN(2890,3282))</f>
        <v>99177606.730916232</v>
      </c>
      <c r="B478">
        <v>241706589.03595096</v>
      </c>
    </row>
    <row r="479" spans="1:2" x14ac:dyDescent="0.25">
      <c r="A479">
        <f ca="1">29360.2549200716*(RANDBETWEEN(2890,3282))</f>
        <v>94951064.41151166</v>
      </c>
      <c r="B479">
        <v>227678007.15680408</v>
      </c>
    </row>
    <row r="480" spans="1:2" x14ac:dyDescent="0.25">
      <c r="A480">
        <f ca="1">35950.1539762306*(RANDBETWEEN(2890,3282))</f>
        <v>112308281.02174447</v>
      </c>
      <c r="B480">
        <v>245867195.57664528</v>
      </c>
    </row>
    <row r="481" spans="1:2" x14ac:dyDescent="0.25">
      <c r="A481">
        <f ca="1">28659.0227505285*(RANDBETWEEN(2890,3282))</f>
        <v>86550248.706596166</v>
      </c>
      <c r="B481">
        <v>261903774.70692849</v>
      </c>
    </row>
    <row r="482" spans="1:2" x14ac:dyDescent="0.25">
      <c r="A482">
        <f ca="1">29028.4302512431*(RANDBETWEEN(2890,3282))</f>
        <v>86127352.555438414</v>
      </c>
      <c r="B482">
        <v>225779803.78655711</v>
      </c>
    </row>
    <row r="483" spans="1:2" x14ac:dyDescent="0.25">
      <c r="A483">
        <f ca="1">31904.9928141597*(RANDBETWEEN(2890,3282))</f>
        <v>95013068.600567698</v>
      </c>
      <c r="B483">
        <v>210657147.99380791</v>
      </c>
    </row>
    <row r="484" spans="1:2" x14ac:dyDescent="0.25">
      <c r="A484">
        <f ca="1">33107.7094601118*(RANDBETWEEN(2890,3282))</f>
        <v>98859620.447893769</v>
      </c>
      <c r="B484">
        <v>254197782.85072488</v>
      </c>
    </row>
    <row r="485" spans="1:2" x14ac:dyDescent="0.25">
      <c r="A485">
        <f ca="1">29193.7332522355*(RANDBETWEEN(2890,3282))</f>
        <v>94149789.738459587</v>
      </c>
      <c r="B485">
        <v>249082777.22335044</v>
      </c>
    </row>
    <row r="486" spans="1:2" x14ac:dyDescent="0.25">
      <c r="A486">
        <f ca="1">27025.162921759*(RANDBETWEEN(2890,3282))</f>
        <v>83669904.405765817</v>
      </c>
      <c r="B486">
        <v>252189203.36496004</v>
      </c>
    </row>
    <row r="487" spans="1:2" x14ac:dyDescent="0.25">
      <c r="A487">
        <f ca="1">30779.3606659482*(RANDBETWEEN(2890,3282))</f>
        <v>91907170.948521286</v>
      </c>
      <c r="B487">
        <v>256379334.10124323</v>
      </c>
    </row>
    <row r="488" spans="1:2" x14ac:dyDescent="0.25">
      <c r="A488">
        <f ca="1">26791.8208742891*(RANDBETWEEN(2890,3282))</f>
        <v>80536213.548113003</v>
      </c>
      <c r="B488">
        <v>215059144.93947518</v>
      </c>
    </row>
    <row r="489" spans="1:2" x14ac:dyDescent="0.25">
      <c r="A489">
        <f ca="1">30299.2710120299*(RANDBETWEEN(2890,3282))</f>
        <v>99199813.293385878</v>
      </c>
      <c r="B489">
        <v>213849958.34804821</v>
      </c>
    </row>
    <row r="490" spans="1:2" x14ac:dyDescent="0.25">
      <c r="A490">
        <f ca="1">26901.3402518432*(RANDBETWEEN(2890,3282))</f>
        <v>82560213.232906878</v>
      </c>
      <c r="B490">
        <v>246078747.65830579</v>
      </c>
    </row>
    <row r="491" spans="1:2" x14ac:dyDescent="0.25">
      <c r="A491">
        <f ca="1">29364.4561548852*(RANDBETWEEN(2890,3282))</f>
        <v>85450567.410715938</v>
      </c>
      <c r="B491">
        <v>212131038.31495336</v>
      </c>
    </row>
    <row r="492" spans="1:2" x14ac:dyDescent="0.25">
      <c r="A492">
        <f ca="1">27626.056696793*(RANDBETWEEN(2890,3282))</f>
        <v>90254327.228422776</v>
      </c>
      <c r="B492">
        <v>227533767.32212436</v>
      </c>
    </row>
    <row r="493" spans="1:2" x14ac:dyDescent="0.25">
      <c r="A493">
        <f ca="1">27587.1022113184*(RANDBETWEEN(2890,3282))</f>
        <v>79781899.595132872</v>
      </c>
      <c r="B493">
        <v>263844747.90302521</v>
      </c>
    </row>
    <row r="494" spans="1:2" x14ac:dyDescent="0.25">
      <c r="A494">
        <f ca="1">30046.8400125638*(RANDBETWEEN(2890,3282))</f>
        <v>92394033.038633555</v>
      </c>
      <c r="B494">
        <v>215100607.04483572</v>
      </c>
    </row>
    <row r="495" spans="1:2" x14ac:dyDescent="0.25">
      <c r="A495">
        <f ca="1">31950.0663720058*(RANDBETWEEN(2890,3282))</f>
        <v>98342304.293033764</v>
      </c>
      <c r="B495">
        <v>246121004.70514899</v>
      </c>
    </row>
    <row r="496" spans="1:2" x14ac:dyDescent="0.25">
      <c r="A496">
        <f ca="1">29474.8778370792*(RANDBETWEEN(2890,3282))</f>
        <v>89279404.968513042</v>
      </c>
      <c r="B496">
        <v>233477252.69463718</v>
      </c>
    </row>
    <row r="497" spans="1:2" x14ac:dyDescent="0.25">
      <c r="A497">
        <f ca="1">30010.35999452*(RANDBETWEEN(2890,3282))</f>
        <v>91471577.263296947</v>
      </c>
      <c r="B497">
        <v>257933015.42828923</v>
      </c>
    </row>
    <row r="498" spans="1:2" x14ac:dyDescent="0.25">
      <c r="A498">
        <f ca="1">30367.8205708671*(RANDBETWEEN(2890,3282))</f>
        <v>97602175.314766765</v>
      </c>
      <c r="B498">
        <v>203979276.42412585</v>
      </c>
    </row>
    <row r="499" spans="1:2" x14ac:dyDescent="0.25">
      <c r="A499">
        <f ca="1">31766.7119503597*(RANDBETWEEN(2890,3282))</f>
        <v>96793171.312746018</v>
      </c>
      <c r="B499">
        <v>231735136.26918</v>
      </c>
    </row>
    <row r="500" spans="1:2" x14ac:dyDescent="0.25">
      <c r="A500">
        <f ca="1">27153.5166973599*(RANDBETWEEN(2890,3282))</f>
        <v>86348183.097604528</v>
      </c>
      <c r="B500">
        <v>225768074.97817701</v>
      </c>
    </row>
    <row r="501" spans="1:2" x14ac:dyDescent="0.25">
      <c r="A501">
        <f ca="1">29967.2666913139*(RANDBETWEEN(2890,3282))</f>
        <v>90710916.274607122</v>
      </c>
      <c r="B501">
        <v>211689468.02173713</v>
      </c>
    </row>
    <row r="502" spans="1:2" x14ac:dyDescent="0.25">
      <c r="A502">
        <f ca="1">26338.7578618435*(RANDBETWEEN(2890,3282))</f>
        <v>81623810.613853216</v>
      </c>
      <c r="B502">
        <v>213418177.8936851</v>
      </c>
    </row>
    <row r="503" spans="1:2" x14ac:dyDescent="0.25">
      <c r="A503">
        <f ca="1">32085.0727178233*(RANDBETWEEN(2890,3282))</f>
        <v>103313934.15139087</v>
      </c>
      <c r="B503">
        <v>253085245.45130309</v>
      </c>
    </row>
    <row r="504" spans="1:2" x14ac:dyDescent="0.25">
      <c r="A504">
        <f ca="1">31442.1893849396*(RANDBETWEEN(2890,3282))</f>
        <v>97690882.419007376</v>
      </c>
      <c r="B504">
        <v>233501242.66046655</v>
      </c>
    </row>
    <row r="505" spans="1:2" x14ac:dyDescent="0.25">
      <c r="A505">
        <f ca="1">30905.5675093795*(RANDBETWEEN(2890,3282))</f>
        <v>100288566.56793638</v>
      </c>
      <c r="B505">
        <v>227163492.71336466</v>
      </c>
    </row>
    <row r="506" spans="1:2" x14ac:dyDescent="0.25">
      <c r="A506">
        <f ca="1">26693.1579791204*(RANDBETWEEN(2890,3282))</f>
        <v>84830856.057644516</v>
      </c>
      <c r="B506">
        <v>222137351.31407017</v>
      </c>
    </row>
    <row r="507" spans="1:2" x14ac:dyDescent="0.25">
      <c r="A507">
        <f ca="1">27689.4733019344*(RANDBETWEEN(2890,3282))</f>
        <v>82957662.012595356</v>
      </c>
      <c r="B507">
        <v>264098767.41763186</v>
      </c>
    </row>
    <row r="508" spans="1:2" x14ac:dyDescent="0.25">
      <c r="A508">
        <f ca="1">32606.9222415737*(RANDBETWEEN(2890,3282))</f>
        <v>96549096.757299632</v>
      </c>
      <c r="B508">
        <v>264267954.00187743</v>
      </c>
    </row>
    <row r="509" spans="1:2" x14ac:dyDescent="0.25">
      <c r="A509">
        <f ca="1">30704.8343987321*(RANDBETWEEN(2890,3282))</f>
        <v>95492034.980056867</v>
      </c>
      <c r="B509">
        <v>237002204.34605715</v>
      </c>
    </row>
    <row r="510" spans="1:2" x14ac:dyDescent="0.25">
      <c r="A510">
        <f ca="1">26335.2545517783*(RANDBETWEEN(2890,3282))</f>
        <v>76767267.018433645</v>
      </c>
      <c r="B510">
        <v>260618531.24260741</v>
      </c>
    </row>
    <row r="511" spans="1:2" x14ac:dyDescent="0.25">
      <c r="A511">
        <f ca="1">28995.439864386*(RANDBETWEEN(2890,3282))</f>
        <v>90088831.658647224</v>
      </c>
      <c r="B511">
        <v>243698177.1176658</v>
      </c>
    </row>
    <row r="512" spans="1:2" x14ac:dyDescent="0.25">
      <c r="A512">
        <f ca="1">26112.330825426*(RANDBETWEEN(2890,3282))</f>
        <v>78859239.09278661</v>
      </c>
      <c r="B512">
        <v>213813865.02772552</v>
      </c>
    </row>
    <row r="513" spans="1:2" x14ac:dyDescent="0.25">
      <c r="A513">
        <f ca="1">31715.0054503831*(RANDBETWEEN(2890,3282))</f>
        <v>103486062.78460015</v>
      </c>
      <c r="B513">
        <v>258475201.95191434</v>
      </c>
    </row>
    <row r="514" spans="1:2" x14ac:dyDescent="0.25">
      <c r="A514">
        <f ca="1">28595.0062192295*(RANDBETWEEN(2890,3282))</f>
        <v>88901874.335584551</v>
      </c>
      <c r="B514">
        <v>251094569.67236671</v>
      </c>
    </row>
    <row r="515" spans="1:2" x14ac:dyDescent="0.25">
      <c r="A515">
        <f ca="1">31732.2926843694*(RANDBETWEEN(2890,3282))</f>
        <v>93832389.467680305</v>
      </c>
      <c r="B515">
        <v>215804188.87424845</v>
      </c>
    </row>
    <row r="516" spans="1:2" x14ac:dyDescent="0.25">
      <c r="A516">
        <f ca="1">31451.2180452307*(RANDBETWEEN(2890,3282))</f>
        <v>99668909.985336095</v>
      </c>
      <c r="B516">
        <v>231396779.23428434</v>
      </c>
    </row>
    <row r="517" spans="1:2" x14ac:dyDescent="0.25">
      <c r="A517">
        <f ca="1">28198.4372988358*(RANDBETWEEN(2890,3282))</f>
        <v>84087740.025128394</v>
      </c>
      <c r="B517">
        <v>265714849.88315654</v>
      </c>
    </row>
    <row r="518" spans="1:2" x14ac:dyDescent="0.25">
      <c r="A518">
        <f ca="1">33932.6312904405*(RANDBETWEEN(2890,3282))</f>
        <v>99151148.630667165</v>
      </c>
      <c r="B518">
        <v>205678226.34632671</v>
      </c>
    </row>
    <row r="519" spans="1:2" x14ac:dyDescent="0.25">
      <c r="A519">
        <f ca="1">27923.483590601*(RANDBETWEEN(2890,3282))</f>
        <v>90416239.866366118</v>
      </c>
      <c r="B519">
        <v>243222008.09973004</v>
      </c>
    </row>
    <row r="520" spans="1:2" x14ac:dyDescent="0.25">
      <c r="A520">
        <f ca="1">30273.6351788634*(RANDBETWEEN(2890,3282))</f>
        <v>97874662.533265457</v>
      </c>
      <c r="B520">
        <v>261343937.44918048</v>
      </c>
    </row>
    <row r="521" spans="1:2" x14ac:dyDescent="0.25">
      <c r="A521">
        <f ca="1">26930.3438230696*(RANDBETWEEN(2890,3282))</f>
        <v>84076533.415623248</v>
      </c>
      <c r="B521">
        <v>265251900.65727437</v>
      </c>
    </row>
    <row r="522" spans="1:2" x14ac:dyDescent="0.25">
      <c r="A522">
        <f ca="1">31626.1967436597*(RANDBETWEEN(2890,3282))</f>
        <v>102595382.23643221</v>
      </c>
      <c r="B522">
        <v>260374195.06151682</v>
      </c>
    </row>
    <row r="523" spans="1:2" x14ac:dyDescent="0.25">
      <c r="A523">
        <f ca="1">32332.8464071167*(RANDBETWEEN(2890,3282))</f>
        <v>103950101.19888026</v>
      </c>
      <c r="B523">
        <v>209349801.11773109</v>
      </c>
    </row>
    <row r="524" spans="1:2" x14ac:dyDescent="0.25">
      <c r="A524">
        <f ca="1">31006.1524027269*(RANDBETWEEN(2890,3282))</f>
        <v>90475952.711157069</v>
      </c>
      <c r="B524">
        <v>248436913.68067366</v>
      </c>
    </row>
    <row r="525" spans="1:2" x14ac:dyDescent="0.25">
      <c r="A525">
        <f ca="1">28907.3929444099*(RANDBETWEEN(2890,3282))</f>
        <v>85970586.616675153</v>
      </c>
      <c r="B525">
        <v>229990902.8139886</v>
      </c>
    </row>
    <row r="526" spans="1:2" x14ac:dyDescent="0.25">
      <c r="A526">
        <f ca="1">32184.9685145241*(RANDBETWEEN(2890,3282))</f>
        <v>96072131.015854403</v>
      </c>
      <c r="B526">
        <v>213028824.0925591</v>
      </c>
    </row>
    <row r="527" spans="1:2" x14ac:dyDescent="0.25">
      <c r="A527">
        <f ca="1">33141.300024951*(RANDBETWEEN(2890,3282))</f>
        <v>100550704.27570142</v>
      </c>
      <c r="B527">
        <v>250740499.42467633</v>
      </c>
    </row>
    <row r="528" spans="1:2" x14ac:dyDescent="0.25">
      <c r="A528">
        <f ca="1">27154.7703323271*(RANDBETWEEN(2890,3282))</f>
        <v>84695728.666528076</v>
      </c>
      <c r="B528">
        <v>214110024.96662572</v>
      </c>
    </row>
    <row r="529" spans="1:2" x14ac:dyDescent="0.25">
      <c r="A529">
        <f ca="1">28659.5664490561*(RANDBETWEEN(2890,3282))</f>
        <v>89675783.419096634</v>
      </c>
      <c r="B529">
        <v>206856045.51270586</v>
      </c>
    </row>
    <row r="530" spans="1:2" x14ac:dyDescent="0.25">
      <c r="A530">
        <f ca="1">26721.385082261*(RANDBETWEEN(2890,3282))</f>
        <v>79389235.0793975</v>
      </c>
      <c r="B530">
        <v>225389998.54038119</v>
      </c>
    </row>
    <row r="531" spans="1:2" x14ac:dyDescent="0.25">
      <c r="A531">
        <f ca="1">27358.3986775672*(RANDBETWEEN(2890,3282))</f>
        <v>79612940.151720569</v>
      </c>
      <c r="B531">
        <v>256570926.43157029</v>
      </c>
    </row>
    <row r="532" spans="1:2" x14ac:dyDescent="0.25">
      <c r="A532">
        <f ca="1">29112.704163404*(RANDBETWEEN(2890,3282))</f>
        <v>89405114.485813722</v>
      </c>
      <c r="B532">
        <v>222897088.35677782</v>
      </c>
    </row>
    <row r="533" spans="1:2" x14ac:dyDescent="0.25">
      <c r="A533">
        <f ca="1">27695.7002397834*(RANDBETWEEN(2890,3282))</f>
        <v>89761764.477137893</v>
      </c>
      <c r="B533">
        <v>205063984.97027925</v>
      </c>
    </row>
    <row r="534" spans="1:2" x14ac:dyDescent="0.25">
      <c r="A534">
        <f ca="1">33725.6258232404*(RANDBETWEEN(2890,3282))</f>
        <v>98343924.900569275</v>
      </c>
      <c r="B534">
        <v>251268485.74925381</v>
      </c>
    </row>
    <row r="535" spans="1:2" x14ac:dyDescent="0.25">
      <c r="A535">
        <f ca="1">35257.115369377*(RANDBETWEEN(2890,3282))</f>
        <v>103937976.10892345</v>
      </c>
      <c r="B535">
        <v>222500090.3514972</v>
      </c>
    </row>
    <row r="536" spans="1:2" x14ac:dyDescent="0.25">
      <c r="A536">
        <f ca="1">29369.2063007361*(RANDBETWEEN(2890,3282))</f>
        <v>90838955.088176981</v>
      </c>
      <c r="B536">
        <v>209155689.14353785</v>
      </c>
    </row>
    <row r="537" spans="1:2" x14ac:dyDescent="0.25">
      <c r="A537">
        <f ca="1">25855.9324043415*(RANDBETWEEN(2890,3282))</f>
        <v>75654458.215103135</v>
      </c>
      <c r="B537">
        <v>234446400.93571058</v>
      </c>
    </row>
    <row r="538" spans="1:2" x14ac:dyDescent="0.25">
      <c r="A538">
        <f ca="1">28442.6090591428*(RANDBETWEEN(2890,3282))</f>
        <v>86010449.794847935</v>
      </c>
      <c r="B538">
        <v>263534113.75542939</v>
      </c>
    </row>
    <row r="539" spans="1:2" x14ac:dyDescent="0.25">
      <c r="A539">
        <f ca="1">27098.4259927995*(RANDBETWEEN(2890,3282))</f>
        <v>88774443.552411258</v>
      </c>
      <c r="B539">
        <v>204398907.07913357</v>
      </c>
    </row>
    <row r="540" spans="1:2" x14ac:dyDescent="0.25">
      <c r="A540">
        <f ca="1">33435.1710212704*(RANDBETWEEN(2890,3282))</f>
        <v>97363218.01393947</v>
      </c>
      <c r="B540">
        <v>256095286.38978609</v>
      </c>
    </row>
    <row r="541" spans="1:2" x14ac:dyDescent="0.25">
      <c r="A541">
        <f ca="1">33784.4946279737*(RANDBETWEEN(2890,3282))</f>
        <v>99968319.604174063</v>
      </c>
      <c r="B541">
        <v>249020608.72532624</v>
      </c>
    </row>
    <row r="542" spans="1:2" x14ac:dyDescent="0.25">
      <c r="A542">
        <f ca="1">30904.0521258304*(RANDBETWEEN(2890,3282))</f>
        <v>94195550.879531026</v>
      </c>
      <c r="B542">
        <v>234068252.59556293</v>
      </c>
    </row>
    <row r="543" spans="1:2" x14ac:dyDescent="0.25">
      <c r="A543">
        <f ca="1">26825.2480451787*(RANDBETWEEN(2890,3282))</f>
        <v>85867618.992616937</v>
      </c>
      <c r="B543">
        <v>204718708.48521778</v>
      </c>
    </row>
    <row r="544" spans="1:2" x14ac:dyDescent="0.25">
      <c r="A544">
        <f ca="1">26726.2184387667*(RANDBETWEEN(2890,3282))</f>
        <v>84481576.484941512</v>
      </c>
      <c r="B544">
        <v>228512160.46673477</v>
      </c>
    </row>
    <row r="545" spans="1:2" x14ac:dyDescent="0.25">
      <c r="A545">
        <f ca="1">27274.0740342175*(RANDBETWEEN(2890,3282))</f>
        <v>80049407.29042834</v>
      </c>
      <c r="B545">
        <v>215128414.02444342</v>
      </c>
    </row>
    <row r="546" spans="1:2" x14ac:dyDescent="0.25">
      <c r="A546">
        <f ca="1">28329.9610298175*(RANDBETWEEN(2890,3282))</f>
        <v>91562434.048370257</v>
      </c>
      <c r="B546">
        <v>239816593.02729559</v>
      </c>
    </row>
    <row r="547" spans="1:2" x14ac:dyDescent="0.25">
      <c r="A547">
        <f ca="1">32292.3533419311*(RANDBETWEEN(2890,3282))</f>
        <v>101365697.14032172</v>
      </c>
      <c r="B547">
        <v>225229254.53478679</v>
      </c>
    </row>
    <row r="548" spans="1:2" x14ac:dyDescent="0.25">
      <c r="A548">
        <f ca="1">27511.3596910444*(RANDBETWEEN(2890,3282))</f>
        <v>80030545.341248259</v>
      </c>
      <c r="B548">
        <v>242814726.83684409</v>
      </c>
    </row>
    <row r="549" spans="1:2" x14ac:dyDescent="0.25">
      <c r="A549">
        <f ca="1">28439.249005726*(RANDBETWEEN(2890,3282))</f>
        <v>90920279.071305946</v>
      </c>
      <c r="B549">
        <v>204427256.40573925</v>
      </c>
    </row>
    <row r="550" spans="1:2" x14ac:dyDescent="0.25">
      <c r="A550">
        <f ca="1">30060.7713875354*(RANDBETWEEN(2890,3282))</f>
        <v>98479087.065566078</v>
      </c>
      <c r="B550">
        <v>225316233.5175257</v>
      </c>
    </row>
    <row r="551" spans="1:2" x14ac:dyDescent="0.25">
      <c r="A551">
        <f ca="1">30421.6322379497*(RANDBETWEEN(2890,3282))</f>
        <v>91660377.932942376</v>
      </c>
      <c r="B551">
        <v>249978299.11581832</v>
      </c>
    </row>
    <row r="552" spans="1:2" x14ac:dyDescent="0.25">
      <c r="A552">
        <f ca="1">33010.8601820572*(RANDBETWEEN(2890,3282))</f>
        <v>99263656.567445979</v>
      </c>
      <c r="B552">
        <v>263925185.19175291</v>
      </c>
    </row>
    <row r="553" spans="1:2" x14ac:dyDescent="0.25">
      <c r="A553">
        <f ca="1">26418.4660488964*(RANDBETWEEN(2890,3282))</f>
        <v>82452032.53860569</v>
      </c>
      <c r="B553">
        <v>252155289.56839237</v>
      </c>
    </row>
    <row r="554" spans="1:2" x14ac:dyDescent="0.25">
      <c r="A554">
        <f ca="1">29426.9549888778*(RANDBETWEEN(2890,3282))</f>
        <v>85661865.972623363</v>
      </c>
      <c r="B554">
        <v>207625432.70307022</v>
      </c>
    </row>
    <row r="555" spans="1:2" x14ac:dyDescent="0.25">
      <c r="A555">
        <f ca="1">30839.3597487667*(RANDBETWEEN(2890,3282))</f>
        <v>98223360.799821869</v>
      </c>
      <c r="B555">
        <v>208406703.24694732</v>
      </c>
    </row>
    <row r="556" spans="1:2" x14ac:dyDescent="0.25">
      <c r="A556">
        <f ca="1">27619.7035806378*(RANDBETWEEN(2890,3282))</f>
        <v>86587770.725299358</v>
      </c>
      <c r="B556">
        <v>250531284.52663201</v>
      </c>
    </row>
    <row r="557" spans="1:2" x14ac:dyDescent="0.25">
      <c r="A557">
        <f ca="1">31470.7888621589*(RANDBETWEEN(2890,3282))</f>
        <v>92555590.043609217</v>
      </c>
      <c r="B557">
        <v>265842150.67707473</v>
      </c>
    </row>
    <row r="558" spans="1:2" x14ac:dyDescent="0.25">
      <c r="A558">
        <f ca="1">28561.1550092107*(RANDBETWEEN(2890,3282))</f>
        <v>84226846.122162476</v>
      </c>
      <c r="B558">
        <v>225643401.62915769</v>
      </c>
    </row>
    <row r="559" spans="1:2" x14ac:dyDescent="0.25">
      <c r="A559">
        <f ca="1">30050.904878507*(RANDBETWEEN(2890,3282))</f>
        <v>92767143.359951034</v>
      </c>
      <c r="B559">
        <v>263698717.35237953</v>
      </c>
    </row>
    <row r="560" spans="1:2" x14ac:dyDescent="0.25">
      <c r="A560">
        <f ca="1">30547.5788379304*(RANDBETWEEN(2890,3282))</f>
        <v>92253688.090549886</v>
      </c>
      <c r="B560">
        <v>223876804.84639424</v>
      </c>
    </row>
    <row r="561" spans="1:2" x14ac:dyDescent="0.25">
      <c r="A561">
        <f ca="1">29567.5928285674*(RANDBETWEEN(2890,3282))</f>
        <v>94527594.272930115</v>
      </c>
      <c r="B561">
        <v>259215002.26570112</v>
      </c>
    </row>
    <row r="562" spans="1:2" x14ac:dyDescent="0.25">
      <c r="A562">
        <f ca="1">28515.2243912216*(RANDBETWEEN(2890,3282))</f>
        <v>93187753.310512155</v>
      </c>
      <c r="B562">
        <v>245793660.37591472</v>
      </c>
    </row>
    <row r="563" spans="1:2" x14ac:dyDescent="0.25">
      <c r="A563">
        <f ca="1">28465.9347059144*(RANDBETWEEN(2890,3282))</f>
        <v>92798947.141280875</v>
      </c>
      <c r="B563">
        <v>219735344.9603141</v>
      </c>
    </row>
    <row r="564" spans="1:2" x14ac:dyDescent="0.25">
      <c r="A564">
        <f ca="1">27110.0793365385*(RANDBETWEEN(2890,3282))</f>
        <v>86725143.797586784</v>
      </c>
      <c r="B564">
        <v>239241755.8329702</v>
      </c>
    </row>
    <row r="565" spans="1:2" x14ac:dyDescent="0.25">
      <c r="A565">
        <f ca="1">27829.8823379387*(RANDBETWEEN(2890,3282))</f>
        <v>83211348.19043678</v>
      </c>
      <c r="B565">
        <v>220166220.45905709</v>
      </c>
    </row>
    <row r="566" spans="1:2" x14ac:dyDescent="0.25">
      <c r="A566">
        <f ca="1">31617.6998802196*(RANDBETWEEN(2890,3282))</f>
        <v>94568540.341736794</v>
      </c>
      <c r="B566">
        <v>259761272.48558748</v>
      </c>
    </row>
    <row r="567" spans="1:2" x14ac:dyDescent="0.25">
      <c r="A567">
        <f ca="1">27953.2963606865*(RANDBETWEEN(2890,3282))</f>
        <v>90400960.430460021</v>
      </c>
      <c r="B567">
        <v>208949709.16146672</v>
      </c>
    </row>
    <row r="568" spans="1:2" x14ac:dyDescent="0.25">
      <c r="A568">
        <f ca="1">32282.0771338224*(RANDBETWEEN(2890,3282))</f>
        <v>105304135.61052866</v>
      </c>
      <c r="B568">
        <v>238016581.52817005</v>
      </c>
    </row>
    <row r="569" spans="1:2" x14ac:dyDescent="0.25">
      <c r="A569">
        <f ca="1">27065.1053155709*(RANDBETWEEN(2890,3282))</f>
        <v>83441719.687905058</v>
      </c>
      <c r="B569">
        <v>212470616.23318291</v>
      </c>
    </row>
    <row r="570" spans="1:2" x14ac:dyDescent="0.25">
      <c r="A570">
        <f ca="1">27695.2453392606*(RANDBETWEEN(2890,3282))</f>
        <v>82393354.884300411</v>
      </c>
      <c r="B570">
        <v>219896074.60840803</v>
      </c>
    </row>
    <row r="571" spans="1:2" x14ac:dyDescent="0.25">
      <c r="A571">
        <f ca="1">31669.1970316855*(RANDBETWEEN(2890,3282))</f>
        <v>100708046.56075977</v>
      </c>
      <c r="B571">
        <v>243753890.50690204</v>
      </c>
    </row>
    <row r="572" spans="1:2" x14ac:dyDescent="0.25">
      <c r="A572">
        <f ca="1">28982.4479925202*(RANDBETWEEN(2890,3282))</f>
        <v>91207763.832461119</v>
      </c>
      <c r="B572">
        <v>209062335.62661451</v>
      </c>
    </row>
    <row r="573" spans="1:2" x14ac:dyDescent="0.25">
      <c r="A573">
        <f ca="1">29171.256910459*(RANDBETWEEN(2890,3282))</f>
        <v>95710893.923215985</v>
      </c>
      <c r="B573">
        <v>251269994.16237864</v>
      </c>
    </row>
    <row r="574" spans="1:2" x14ac:dyDescent="0.25">
      <c r="A574">
        <f ca="1">27234.9858287505*(RANDBETWEEN(2890,3282))</f>
        <v>83693111.451750264</v>
      </c>
      <c r="B574">
        <v>204988456.66781008</v>
      </c>
    </row>
    <row r="575" spans="1:2" x14ac:dyDescent="0.25">
      <c r="A575">
        <f ca="1">27828.8660702454*(RANDBETWEEN(2890,3282))</f>
        <v>86686917.808814347</v>
      </c>
      <c r="B575">
        <v>256384133.8606222</v>
      </c>
    </row>
    <row r="576" spans="1:2" x14ac:dyDescent="0.25">
      <c r="A576">
        <f ca="1">31762.0793538868*(RANDBETWEEN(2890,3282))</f>
        <v>94142803.204920426</v>
      </c>
      <c r="B576">
        <v>220521487.93432698</v>
      </c>
    </row>
    <row r="577" spans="1:2" x14ac:dyDescent="0.25">
      <c r="A577">
        <f ca="1">26472.2838922133*(RANDBETWEEN(2890,3282))</f>
        <v>83652417.099394038</v>
      </c>
      <c r="B577">
        <v>216681597.57089251</v>
      </c>
    </row>
    <row r="578" spans="1:2" x14ac:dyDescent="0.25">
      <c r="A578">
        <f ca="1">29596.7892162189*(RANDBETWEEN(2890,3282))</f>
        <v>95627225.957603291</v>
      </c>
      <c r="B578">
        <v>227157049.25358725</v>
      </c>
    </row>
    <row r="579" spans="1:2" x14ac:dyDescent="0.25">
      <c r="A579">
        <f ca="1">32259.2735935473*(RANDBETWEEN(2890,3282))</f>
        <v>96971376.422203287</v>
      </c>
      <c r="B579">
        <v>221950908.85094213</v>
      </c>
    </row>
    <row r="580" spans="1:2" x14ac:dyDescent="0.25">
      <c r="A580">
        <f ca="1">32461.2438703534*(RANDBETWEEN(2890,3282))</f>
        <v>97221425.391708583</v>
      </c>
      <c r="B580">
        <v>239569867.29683337</v>
      </c>
    </row>
    <row r="581" spans="1:2" x14ac:dyDescent="0.25">
      <c r="A581">
        <f ca="1">33680.0276741904*(RANDBETWEEN(2890,3282))</f>
        <v>103902885.3748775</v>
      </c>
      <c r="B581">
        <v>230491166.78937992</v>
      </c>
    </row>
    <row r="582" spans="1:2" x14ac:dyDescent="0.25">
      <c r="A582">
        <f ca="1">30938.3731810287*(RANDBETWEEN(2890,3282))</f>
        <v>98229334.849765986</v>
      </c>
      <c r="B582">
        <v>266259252.7409724</v>
      </c>
    </row>
    <row r="583" spans="1:2" x14ac:dyDescent="0.25">
      <c r="A583">
        <f ca="1">31405.0013498757*(RANDBETWEEN(2890,3282))</f>
        <v>97857984.20621255</v>
      </c>
      <c r="B583">
        <v>255606892.66821262</v>
      </c>
    </row>
    <row r="584" spans="1:2" x14ac:dyDescent="0.25">
      <c r="A584">
        <f ca="1">28514.5554219199*(RANDBETWEEN(2890,3282))</f>
        <v>92615276.010395989</v>
      </c>
      <c r="B584">
        <v>223133961.84211546</v>
      </c>
    </row>
    <row r="585" spans="1:2" x14ac:dyDescent="0.25">
      <c r="A585">
        <f ca="1">26868.0223019405*(RANDBETWEEN(2890,3282))</f>
        <v>85494046.964774638</v>
      </c>
      <c r="B585">
        <v>252517263.89248613</v>
      </c>
    </row>
    <row r="586" spans="1:2" x14ac:dyDescent="0.25">
      <c r="A586">
        <f ca="1">26409.8147512256*(RANDBETWEEN(2890,3282))</f>
        <v>83164506.651609555</v>
      </c>
      <c r="B586">
        <v>212652236.44552866</v>
      </c>
    </row>
    <row r="587" spans="1:2" x14ac:dyDescent="0.25">
      <c r="A587">
        <f ca="1">29170.5854293841*(RANDBETWEEN(2890,3282))</f>
        <v>95183620.256080464</v>
      </c>
      <c r="B587">
        <v>204513888.41901129</v>
      </c>
    </row>
    <row r="588" spans="1:2" x14ac:dyDescent="0.25">
      <c r="A588">
        <f ca="1">30256.6358877943*(RANDBETWEEN(2890,3282))</f>
        <v>89499128.956095561</v>
      </c>
      <c r="B588">
        <v>242381016.26796034</v>
      </c>
    </row>
    <row r="589" spans="1:2" x14ac:dyDescent="0.25">
      <c r="A589">
        <f ca="1">29863.0891254463*(RANDBETWEEN(2890,3282))</f>
        <v>94994486.508044615</v>
      </c>
      <c r="B589">
        <v>217725472.16466829</v>
      </c>
    </row>
    <row r="590" spans="1:2" x14ac:dyDescent="0.25">
      <c r="A590">
        <f ca="1">26804.9722309499*(RANDBETWEEN(2890,3282))</f>
        <v>81165455.915316209</v>
      </c>
      <c r="B590">
        <v>220845472.24045038</v>
      </c>
    </row>
    <row r="591" spans="1:2" x14ac:dyDescent="0.25">
      <c r="A591">
        <f ca="1">31772.0474187749*(RANDBETWEEN(2890,3282))</f>
        <v>103989911.20165038</v>
      </c>
      <c r="B591">
        <v>220659761.17522067</v>
      </c>
    </row>
    <row r="592" spans="1:2" x14ac:dyDescent="0.25">
      <c r="A592">
        <f ca="1">26452.1941607046*(RANDBETWEEN(2890,3282))</f>
        <v>83774098.906951606</v>
      </c>
      <c r="B592">
        <v>205415263.38229451</v>
      </c>
    </row>
    <row r="593" spans="1:2" x14ac:dyDescent="0.25">
      <c r="A593">
        <f ca="1">29975.5126182078*(RANDBETWEEN(2890,3282))</f>
        <v>98079877.286775872</v>
      </c>
      <c r="B593">
        <v>215882759.9828279</v>
      </c>
    </row>
    <row r="594" spans="1:2" x14ac:dyDescent="0.25">
      <c r="A594">
        <f ca="1">31118.2789550896*(RANDBETWEEN(2890,3282))</f>
        <v>97369094.850475341</v>
      </c>
      <c r="B594">
        <v>266906615.84337774</v>
      </c>
    </row>
    <row r="595" spans="1:2" x14ac:dyDescent="0.25">
      <c r="A595">
        <f ca="1">31203.4925360611*(RANDBETWEEN(2890,3282))</f>
        <v>91738268.05601956</v>
      </c>
      <c r="B595">
        <v>256038165.65482217</v>
      </c>
    </row>
    <row r="596" spans="1:2" x14ac:dyDescent="0.25">
      <c r="A596">
        <f ca="1">30434.5218058859*(RANDBETWEEN(2890,3282))</f>
        <v>96994820.995358467</v>
      </c>
      <c r="B596">
        <v>214069161.54393908</v>
      </c>
    </row>
    <row r="597" spans="1:2" x14ac:dyDescent="0.25">
      <c r="A597">
        <f ca="1">27719.3585211903*(RANDBETWEEN(2890,3282))</f>
        <v>87759489.078088537</v>
      </c>
      <c r="B597">
        <v>221369698.8529171</v>
      </c>
    </row>
    <row r="598" spans="1:2" x14ac:dyDescent="0.25">
      <c r="A598">
        <f ca="1">29376.0799992207*(RANDBETWEEN(2890,3282))</f>
        <v>91095224.077583268</v>
      </c>
      <c r="B598">
        <v>223185771.69393641</v>
      </c>
    </row>
    <row r="599" spans="1:2" x14ac:dyDescent="0.25">
      <c r="A599">
        <f ca="1">28908.1328427943*(RANDBETWEEN(2890,3282))</f>
        <v>92130219.369985461</v>
      </c>
      <c r="B599">
        <v>244128004.85021269</v>
      </c>
    </row>
    <row r="600" spans="1:2" x14ac:dyDescent="0.25">
      <c r="A600">
        <f ca="1">32342.1933510484*(RANDBETWEEN(2890,3282))</f>
        <v>105047444.00420514</v>
      </c>
      <c r="B600">
        <v>209993785.02907881</v>
      </c>
    </row>
    <row r="601" spans="1:2" x14ac:dyDescent="0.25">
      <c r="A601">
        <f ca="1">30120.2545999343*(RANDBETWEEN(2890,3282))</f>
        <v>98312511.014185533</v>
      </c>
      <c r="B601">
        <v>214315614.85099873</v>
      </c>
    </row>
    <row r="602" spans="1:2" x14ac:dyDescent="0.25">
      <c r="A602">
        <f ca="1">27139.7957783471*(RANDBETWEEN(2890,3282))</f>
        <v>82694957.736623749</v>
      </c>
      <c r="B602">
        <v>236640474.16997257</v>
      </c>
    </row>
    <row r="603" spans="1:2" x14ac:dyDescent="0.25">
      <c r="A603">
        <f ca="1">29203.4751480138*(RANDBETWEEN(2890,3282))</f>
        <v>94736073.380156666</v>
      </c>
      <c r="B603">
        <v>248525184.78310654</v>
      </c>
    </row>
    <row r="604" spans="1:2" x14ac:dyDescent="0.25">
      <c r="A604">
        <f ca="1">28752.0311116249*(RANDBETWEEN(2890,3282))</f>
        <v>92754052.366101846</v>
      </c>
      <c r="B604">
        <v>222951962.0467844</v>
      </c>
    </row>
    <row r="605" spans="1:2" x14ac:dyDescent="0.25">
      <c r="A605">
        <f ca="1">30772.2056664585*(RANDBETWEEN(2890,3282))</f>
        <v>91116500.978383616</v>
      </c>
      <c r="B605">
        <v>232262195.71955532</v>
      </c>
    </row>
    <row r="606" spans="1:2" x14ac:dyDescent="0.25">
      <c r="A606">
        <f ca="1">33729.6545373045*(RANDBETWEEN(2890,3282))</f>
        <v>108913054.50095607</v>
      </c>
      <c r="B606">
        <v>216272021.81803006</v>
      </c>
    </row>
    <row r="607" spans="1:2" x14ac:dyDescent="0.25">
      <c r="A607">
        <f ca="1">32450.1335071607*(RANDBETWEEN(2890,3282))</f>
        <v>95955044.780674249</v>
      </c>
      <c r="B607">
        <v>262614784.4684763</v>
      </c>
    </row>
    <row r="608" spans="1:2" x14ac:dyDescent="0.25">
      <c r="A608">
        <f ca="1">26867.7100664961*(RANDBETWEEN(2890,3282))</f>
        <v>87212586.875846326</v>
      </c>
      <c r="B608">
        <v>262734274.71618909</v>
      </c>
    </row>
    <row r="609" spans="1:2" x14ac:dyDescent="0.25">
      <c r="A609">
        <f ca="1">29322.0651695092*(RANDBETWEEN(2890,3282))</f>
        <v>90869079.960308895</v>
      </c>
      <c r="B609">
        <v>261059640.13762361</v>
      </c>
    </row>
    <row r="610" spans="1:2" x14ac:dyDescent="0.25">
      <c r="A610">
        <f ca="1">26406.7434986265*(RANDBETWEEN(2890,3282))</f>
        <v>83709376.890645891</v>
      </c>
      <c r="B610">
        <v>215819797.11920768</v>
      </c>
    </row>
    <row r="611" spans="1:2" x14ac:dyDescent="0.25">
      <c r="A611">
        <f ca="1">29183.0043471036*(RANDBETWEEN(2890,3282))</f>
        <v>89533457.336913973</v>
      </c>
      <c r="B611">
        <v>210174315.21100307</v>
      </c>
    </row>
    <row r="612" spans="1:2" x14ac:dyDescent="0.25">
      <c r="A612">
        <f ca="1">27506.0972247087*(RANDBETWEEN(2890,3282))</f>
        <v>88899706.230258614</v>
      </c>
      <c r="B612">
        <v>230876746.31638974</v>
      </c>
    </row>
    <row r="613" spans="1:2" x14ac:dyDescent="0.25">
      <c r="A613">
        <f ca="1">30644.9973919266*(RANDBETWEEN(2890,3282))</f>
        <v>92394667.136658609</v>
      </c>
      <c r="B613">
        <v>230978389.58311069</v>
      </c>
    </row>
    <row r="614" spans="1:2" x14ac:dyDescent="0.25">
      <c r="A614">
        <f ca="1">31537.6144770701*(RANDBETWEEN(2890,3282))</f>
        <v>93635177.382421076</v>
      </c>
      <c r="B614">
        <v>258870519.22427237</v>
      </c>
    </row>
    <row r="615" spans="1:2" x14ac:dyDescent="0.25">
      <c r="A615">
        <f ca="1">25834.1616814506*(RANDBETWEEN(2890,3282))</f>
        <v>75874932.858420506</v>
      </c>
      <c r="B615">
        <v>236570447.89442211</v>
      </c>
    </row>
    <row r="616" spans="1:2" x14ac:dyDescent="0.25">
      <c r="A616">
        <f ca="1">29537.5452828639*(RANDBETWEEN(2890,3282))</f>
        <v>87283446.310862735</v>
      </c>
      <c r="B616">
        <v>262106407.02267915</v>
      </c>
    </row>
    <row r="617" spans="1:2" x14ac:dyDescent="0.25">
      <c r="A617">
        <f ca="1">28133.5024386476*(RANDBETWEEN(2890,3282))</f>
        <v>85469580.408611372</v>
      </c>
      <c r="B617">
        <v>266760378.69024873</v>
      </c>
    </row>
    <row r="618" spans="1:2" x14ac:dyDescent="0.25">
      <c r="A618">
        <f ca="1">27716.1314141794*(RANDBETWEEN(2890,3282))</f>
        <v>82677220.008497119</v>
      </c>
      <c r="B618">
        <v>219186072.89557427</v>
      </c>
    </row>
    <row r="619" spans="1:2" x14ac:dyDescent="0.25">
      <c r="A619">
        <f ca="1">27117.0243438104*(RANDBETWEEN(2890,3282))</f>
        <v>80239275.033334941</v>
      </c>
      <c r="B619">
        <v>225009775.4789319</v>
      </c>
    </row>
    <row r="620" spans="1:2" x14ac:dyDescent="0.25">
      <c r="A620">
        <f ca="1">27281.0147259966*(RANDBETWEEN(2890,3282))</f>
        <v>87844867.417709202</v>
      </c>
      <c r="B620">
        <v>239184375.00391111</v>
      </c>
    </row>
    <row r="621" spans="1:2" x14ac:dyDescent="0.25">
      <c r="A621">
        <f ca="1">27797.7730484645*(RANDBETWEEN(2890,3282))</f>
        <v>83476712.464538783</v>
      </c>
      <c r="B621">
        <v>232690361.56651974</v>
      </c>
    </row>
    <row r="622" spans="1:2" x14ac:dyDescent="0.25">
      <c r="A622">
        <f ca="1">29675.8845529143*(RANDBETWEEN(2890,3282))</f>
        <v>97040142.488029867</v>
      </c>
      <c r="B622">
        <v>261988180.54871857</v>
      </c>
    </row>
    <row r="623" spans="1:2" x14ac:dyDescent="0.25">
      <c r="A623">
        <f ca="1">31908.2593881091*(RANDBETWEEN(2890,3282))</f>
        <v>99617585.809676766</v>
      </c>
      <c r="B623">
        <v>262332727.32085285</v>
      </c>
    </row>
    <row r="624" spans="1:2" x14ac:dyDescent="0.25">
      <c r="A624">
        <f ca="1">30149.9782631678*(RANDBETWEEN(2890,3282))</f>
        <v>97173379.942190126</v>
      </c>
      <c r="B624">
        <v>213486152.52353647</v>
      </c>
    </row>
    <row r="625" spans="1:2" x14ac:dyDescent="0.25">
      <c r="A625">
        <f ca="1">32383.5063100474*(RANDBETWEEN(2890,3282))</f>
        <v>101457525.26937835</v>
      </c>
      <c r="B625">
        <v>260978304.36439219</v>
      </c>
    </row>
    <row r="626" spans="1:2" x14ac:dyDescent="0.25">
      <c r="A626">
        <f ca="1">27491.3570107773*(RANDBETWEEN(2890,3282))</f>
        <v>86817705.440034553</v>
      </c>
      <c r="B626">
        <v>227576374.32226002</v>
      </c>
    </row>
    <row r="627" spans="1:2" x14ac:dyDescent="0.25">
      <c r="A627">
        <f ca="1">26991.688109931*(RANDBETWEEN(2890,3282))</f>
        <v>82189690.294739917</v>
      </c>
      <c r="B627">
        <v>236607251.60762286</v>
      </c>
    </row>
    <row r="628" spans="1:2" x14ac:dyDescent="0.25">
      <c r="A628">
        <f ca="1">26106.0215203241*(RANDBETWEEN(2890,3282))</f>
        <v>79623365.636988565</v>
      </c>
      <c r="B628">
        <v>208957494.61478686</v>
      </c>
    </row>
    <row r="629" spans="1:2" x14ac:dyDescent="0.25">
      <c r="A629">
        <f ca="1">27179.2853015567*(RANDBETWEEN(2890,3282))</f>
        <v>85750645.126411363</v>
      </c>
      <c r="B629">
        <v>232054855.47068208</v>
      </c>
    </row>
    <row r="630" spans="1:2" x14ac:dyDescent="0.25">
      <c r="A630">
        <f ca="1">32564.1008347533*(RANDBETWEEN(2890,3282))</f>
        <v>98897174.235145912</v>
      </c>
      <c r="B630">
        <v>239858584.1066142</v>
      </c>
    </row>
    <row r="631" spans="1:2" x14ac:dyDescent="0.25">
      <c r="A631">
        <f ca="1">28777.553077433*(RANDBETWEEN(2890,3282))</f>
        <v>84663561.153807864</v>
      </c>
      <c r="B631">
        <v>246058646.19288397</v>
      </c>
    </row>
    <row r="632" spans="1:2" x14ac:dyDescent="0.25">
      <c r="A632">
        <f ca="1">28400.7728074771*(RANDBETWEEN(2890,3282))</f>
        <v>90598465.25585188</v>
      </c>
      <c r="B632">
        <v>227953428.36465448</v>
      </c>
    </row>
    <row r="633" spans="1:2" x14ac:dyDescent="0.25">
      <c r="A633">
        <f ca="1">29720.4533805402*(RANDBETWEEN(2890,3282))</f>
        <v>87883380.646257296</v>
      </c>
      <c r="B633">
        <v>256591910.89260802</v>
      </c>
    </row>
    <row r="634" spans="1:2" x14ac:dyDescent="0.25">
      <c r="A634">
        <f ca="1">29844.5628778708*(RANDBETWEEN(2890,3282))</f>
        <v>96666539.161423504</v>
      </c>
      <c r="B634">
        <v>216208076.17182386</v>
      </c>
    </row>
    <row r="635" spans="1:2" x14ac:dyDescent="0.25">
      <c r="A635">
        <f ca="1">30167.635663892*(RANDBETWEEN(2890,3282))</f>
        <v>95178890.519579336</v>
      </c>
      <c r="B635">
        <v>217879370.19731688</v>
      </c>
    </row>
    <row r="636" spans="1:2" x14ac:dyDescent="0.25">
      <c r="A636">
        <f ca="1">28635.1008236481*(RANDBETWEEN(2890,3282))</f>
        <v>86163018.378357142</v>
      </c>
      <c r="B636">
        <v>223016872.58200979</v>
      </c>
    </row>
    <row r="637" spans="1:2" x14ac:dyDescent="0.25">
      <c r="A637">
        <f ca="1">26135.5375340427*(RANDBETWEEN(2890,3282))</f>
        <v>76786209.275017321</v>
      </c>
      <c r="B637">
        <v>260958197.89068061</v>
      </c>
    </row>
    <row r="638" spans="1:2" x14ac:dyDescent="0.25">
      <c r="A638">
        <f ca="1">30487.366426872*(RANDBETWEEN(2890,3282))</f>
        <v>92163308.708433986</v>
      </c>
      <c r="B638">
        <v>209042344.75486138</v>
      </c>
    </row>
    <row r="639" spans="1:2" x14ac:dyDescent="0.25">
      <c r="A639">
        <f ca="1">29556.8608885608*(RANDBETWEEN(2890,3282))</f>
        <v>88049888.587022662</v>
      </c>
      <c r="B639">
        <v>257316838.46337405</v>
      </c>
    </row>
    <row r="640" spans="1:2" x14ac:dyDescent="0.25">
      <c r="A640">
        <f ca="1">27003.0631783344*(RANDBETWEEN(2890,3282))</f>
        <v>85113655.138110071</v>
      </c>
      <c r="B640">
        <v>244804839.88289747</v>
      </c>
    </row>
    <row r="641" spans="1:2" x14ac:dyDescent="0.25">
      <c r="A641">
        <f ca="1">27750.6620224671*(RANDBETWEEN(2890,3282))</f>
        <v>87164829.41256915</v>
      </c>
      <c r="B641">
        <v>233542167.43504831</v>
      </c>
    </row>
    <row r="642" spans="1:2" x14ac:dyDescent="0.25">
      <c r="A642">
        <f ca="1">25355.2211779433*(RANDBETWEEN(2890,3282))</f>
        <v>82125561.395358279</v>
      </c>
      <c r="B642">
        <v>233561013.56728399</v>
      </c>
    </row>
    <row r="643" spans="1:2" x14ac:dyDescent="0.25">
      <c r="A643">
        <f ca="1">27530.061907332*(RANDBETWEEN(2890,3282))</f>
        <v>83305967.331586629</v>
      </c>
      <c r="B643">
        <v>216170597.43993899</v>
      </c>
    </row>
    <row r="644" spans="1:2" x14ac:dyDescent="0.25">
      <c r="A644">
        <f ca="1">27762.7390219575*(RANDBETWEEN(2890,3282))</f>
        <v>80817333.29291822</v>
      </c>
      <c r="B644">
        <v>225439634.05045885</v>
      </c>
    </row>
    <row r="645" spans="1:2" x14ac:dyDescent="0.25">
      <c r="A645">
        <f ca="1">30382.7235614666*(RANDBETWEEN(2890,3282))</f>
        <v>98956530.639696658</v>
      </c>
      <c r="B645">
        <v>253957151.30784401</v>
      </c>
    </row>
    <row r="646" spans="1:2" x14ac:dyDescent="0.25">
      <c r="A646">
        <f ca="1">28902.4316930088*(RANDBETWEEN(2890,3282))</f>
        <v>86794002.374105513</v>
      </c>
      <c r="B646">
        <v>250645989.10515374</v>
      </c>
    </row>
    <row r="647" spans="1:2" x14ac:dyDescent="0.25">
      <c r="A647">
        <f ca="1">27574.9866262281*(RANDBETWEEN(2890,3282))</f>
        <v>83083434.704825297</v>
      </c>
      <c r="B647">
        <v>224194155.97224161</v>
      </c>
    </row>
    <row r="648" spans="1:2" x14ac:dyDescent="0.25">
      <c r="A648">
        <f ca="1">29048.3354833078*(RANDBETWEEN(2890,3282))</f>
        <v>91792740.127252668</v>
      </c>
      <c r="B648">
        <v>218028074.59994894</v>
      </c>
    </row>
    <row r="649" spans="1:2" x14ac:dyDescent="0.25">
      <c r="A649">
        <f ca="1">29551.0245275234*(RANDBETWEEN(2890,3282))</f>
        <v>91726380.133432478</v>
      </c>
      <c r="B649">
        <v>259926301.70626909</v>
      </c>
    </row>
    <row r="650" spans="1:2" x14ac:dyDescent="0.25">
      <c r="A650">
        <f ca="1">26752.866072208*(RANDBETWEEN(2890,3282))</f>
        <v>82318568.904183865</v>
      </c>
      <c r="B650">
        <v>254162980.64372781</v>
      </c>
    </row>
    <row r="651" spans="1:2" x14ac:dyDescent="0.25">
      <c r="A651">
        <f ca="1">28929.6195632881*(RANDBETWEEN(2890,3282))</f>
        <v>94570926.352388769</v>
      </c>
      <c r="B651">
        <v>247403899.22628802</v>
      </c>
    </row>
    <row r="652" spans="1:2" x14ac:dyDescent="0.25">
      <c r="A652">
        <f ca="1">34087.4674769459*(RANDBETWEEN(2890,3282))</f>
        <v>99569492.50015904</v>
      </c>
      <c r="B652">
        <v>227037413.42390227</v>
      </c>
    </row>
    <row r="653" spans="1:2" x14ac:dyDescent="0.25">
      <c r="A653">
        <f ca="1">29852.7694764779*(RANDBETWEEN(2890,3282))</f>
        <v>90513597.052680865</v>
      </c>
      <c r="B653">
        <v>211824864.72751206</v>
      </c>
    </row>
    <row r="654" spans="1:2" x14ac:dyDescent="0.25">
      <c r="A654">
        <f ca="1">29888.856113955*(RANDBETWEEN(2890,3282))</f>
        <v>95255784.435174584</v>
      </c>
      <c r="B654">
        <v>216384246.12389171</v>
      </c>
    </row>
    <row r="655" spans="1:2" x14ac:dyDescent="0.25">
      <c r="A655">
        <f ca="1">34022.1967371682*(RANDBETWEEN(2890,3282))</f>
        <v>110436050.60884799</v>
      </c>
      <c r="B655">
        <v>265153168.67144194</v>
      </c>
    </row>
    <row r="656" spans="1:2" x14ac:dyDescent="0.25">
      <c r="A656">
        <f ca="1">27592.9614771387*(RANDBETWEEN(2890,3282))</f>
        <v>81509608.203467757</v>
      </c>
      <c r="B656">
        <v>261664463.85875204</v>
      </c>
    </row>
    <row r="657" spans="1:2" x14ac:dyDescent="0.25">
      <c r="A657">
        <f ca="1">29662.2162573446*(RANDBETWEEN(2890,3282))</f>
        <v>93732603.373209029</v>
      </c>
      <c r="B657">
        <v>234030853.61306316</v>
      </c>
    </row>
    <row r="658" spans="1:2" x14ac:dyDescent="0.25">
      <c r="A658">
        <f ca="1">29830.0940178627*(RANDBETWEEN(2890,3282))</f>
        <v>89848243.181802318</v>
      </c>
      <c r="B658">
        <v>240356444.05113554</v>
      </c>
    </row>
    <row r="659" spans="1:2" x14ac:dyDescent="0.25">
      <c r="A659">
        <f ca="1">31345.6518585782*(RANDBETWEEN(2890,3282))</f>
        <v>93284659.931128725</v>
      </c>
      <c r="B659">
        <v>231205429.69605818</v>
      </c>
    </row>
    <row r="660" spans="1:2" x14ac:dyDescent="0.25">
      <c r="A660">
        <f ca="1">32027.7085199982*(RANDBETWEEN(2890,3282))</f>
        <v>103577609.35367416</v>
      </c>
      <c r="B660">
        <v>248368368.92901689</v>
      </c>
    </row>
    <row r="661" spans="1:2" x14ac:dyDescent="0.25">
      <c r="A661">
        <f ca="1">27255.9122791161*(RANDBETWEEN(2890,3282))</f>
        <v>86155938.714285895</v>
      </c>
      <c r="B661">
        <v>246409054.19635105</v>
      </c>
    </row>
    <row r="662" spans="1:2" x14ac:dyDescent="0.25">
      <c r="A662">
        <f ca="1">27915.4422651812*(RANDBETWEEN(2890,3282))</f>
        <v>87068264.425100312</v>
      </c>
      <c r="B662">
        <v>259033713.26127732</v>
      </c>
    </row>
    <row r="663" spans="1:2" x14ac:dyDescent="0.25">
      <c r="A663">
        <f ca="1">30137.177366829*(RANDBETWEEN(2890,3282))</f>
        <v>92882780.644566923</v>
      </c>
      <c r="B663">
        <v>204743211.44612277</v>
      </c>
    </row>
    <row r="664" spans="1:2" x14ac:dyDescent="0.25">
      <c r="A664">
        <f ca="1">33364.6776022097*(RANDBETWEEN(2890,3282))</f>
        <v>98726081.024938643</v>
      </c>
      <c r="B664">
        <v>228198839.14682186</v>
      </c>
    </row>
    <row r="665" spans="1:2" x14ac:dyDescent="0.25">
      <c r="A665">
        <f ca="1">30983.9807406147*(RANDBETWEEN(2890,3282))</f>
        <v>98529058.755154714</v>
      </c>
      <c r="B665">
        <v>216473404.26844361</v>
      </c>
    </row>
    <row r="666" spans="1:2" x14ac:dyDescent="0.25">
      <c r="A666">
        <f ca="1">29713.3640974435*(RANDBETWEEN(2890,3282))</f>
        <v>93478243.450557292</v>
      </c>
      <c r="B666">
        <v>257486062.16832098</v>
      </c>
    </row>
    <row r="667" spans="1:2" x14ac:dyDescent="0.25">
      <c r="A667">
        <f ca="1">29183.8140591378*(RANDBETWEEN(2890,3282))</f>
        <v>90061250.186499119</v>
      </c>
      <c r="B667">
        <v>246014919.02443683</v>
      </c>
    </row>
    <row r="668" spans="1:2" x14ac:dyDescent="0.25">
      <c r="A668">
        <f ca="1">31888.8318078044*(RANDBETWEEN(2890,3282))</f>
        <v>101119485.66254777</v>
      </c>
      <c r="B668">
        <v>244430601.98246053</v>
      </c>
    </row>
    <row r="669" spans="1:2" x14ac:dyDescent="0.25">
      <c r="A669">
        <f ca="1">29177.1373473474*(RANDBETWEEN(2890,3282))</f>
        <v>91616211.27067098</v>
      </c>
      <c r="B669">
        <v>223962799.15105703</v>
      </c>
    </row>
    <row r="670" spans="1:2" x14ac:dyDescent="0.25">
      <c r="A670">
        <f ca="1">34696.6502560795*(RANDBETWEEN(2890,3282))</f>
        <v>107663705.74461475</v>
      </c>
      <c r="B670">
        <v>264488441.43188918</v>
      </c>
    </row>
    <row r="671" spans="1:2" x14ac:dyDescent="0.25">
      <c r="A671">
        <f ca="1">29941.5519937701*(RANDBETWEEN(2890,3282))</f>
        <v>88117987.517665356</v>
      </c>
      <c r="B671">
        <v>258202954.69851154</v>
      </c>
    </row>
    <row r="672" spans="1:2" x14ac:dyDescent="0.25">
      <c r="A672">
        <f ca="1">29590.6900371823*(RANDBETWEEN(2890,3282))</f>
        <v>90547511.513777912</v>
      </c>
      <c r="B672">
        <v>266979948.97596258</v>
      </c>
    </row>
    <row r="673" spans="1:2" x14ac:dyDescent="0.25">
      <c r="A673">
        <f ca="1">28450.1305537205*(RANDBETWEEN(2890,3282))</f>
        <v>84724488.788979739</v>
      </c>
      <c r="B673">
        <v>255600437.007204</v>
      </c>
    </row>
    <row r="674" spans="1:2" x14ac:dyDescent="0.25">
      <c r="A674">
        <f ca="1">28771.6617432102*(RANDBETWEEN(2890,3282))</f>
        <v>91465112.681665093</v>
      </c>
      <c r="B674">
        <v>203777130.24718216</v>
      </c>
    </row>
    <row r="675" spans="1:2" x14ac:dyDescent="0.25">
      <c r="A675">
        <f ca="1">30874.1248143342*(RANDBETWEEN(2890,3282))</f>
        <v>95524542.175549924</v>
      </c>
      <c r="B675">
        <v>233024584.52252877</v>
      </c>
    </row>
    <row r="676" spans="1:2" x14ac:dyDescent="0.25">
      <c r="A676">
        <f ca="1">32412.2508303305*(RANDBETWEEN(2890,3282))</f>
        <v>95259605.190341353</v>
      </c>
      <c r="B676">
        <v>240832016.51393953</v>
      </c>
    </row>
    <row r="677" spans="1:2" x14ac:dyDescent="0.25">
      <c r="A677">
        <f ca="1">29336.2079824377*(RANDBETWEEN(2890,3282))</f>
        <v>88976718.810733676</v>
      </c>
      <c r="B677">
        <v>240201331.46421963</v>
      </c>
    </row>
    <row r="678" spans="1:2" x14ac:dyDescent="0.25">
      <c r="A678">
        <f ca="1">33325.8897491552*(RANDBETWEEN(2890,3282))</f>
        <v>105309811.60733047</v>
      </c>
      <c r="B678">
        <v>246111671.68563241</v>
      </c>
    </row>
    <row r="679" spans="1:2" x14ac:dyDescent="0.25">
      <c r="A679">
        <f ca="1">34324.0688544879*(RANDBETWEEN(2890,3282))</f>
        <v>106816502.27516638</v>
      </c>
      <c r="B679">
        <v>219273006.67527467</v>
      </c>
    </row>
    <row r="680" spans="1:2" x14ac:dyDescent="0.25">
      <c r="A680">
        <f ca="1">31633.0704670899*(RANDBETWEEN(2890,3282))</f>
        <v>101605422.3402926</v>
      </c>
      <c r="B680">
        <v>267703967.42321625</v>
      </c>
    </row>
    <row r="681" spans="1:2" x14ac:dyDescent="0.25">
      <c r="A681">
        <f ca="1">29373.5743507298*(RANDBETWEEN(2890,3282))</f>
        <v>92233023.461291507</v>
      </c>
      <c r="B681">
        <v>261238099.60457948</v>
      </c>
    </row>
    <row r="682" spans="1:2" x14ac:dyDescent="0.25">
      <c r="A682">
        <f ca="1">28100.0357365653*(RANDBETWEEN(2890,3282))</f>
        <v>87194410.890562043</v>
      </c>
      <c r="B682">
        <v>238218537.71858165</v>
      </c>
    </row>
    <row r="683" spans="1:2" x14ac:dyDescent="0.25">
      <c r="A683">
        <f ca="1">31768.236229897*(RANDBETWEEN(2890,3282))</f>
        <v>96162451.067898333</v>
      </c>
      <c r="B683">
        <v>251599196.67163956</v>
      </c>
    </row>
    <row r="684" spans="1:2" x14ac:dyDescent="0.25">
      <c r="A684">
        <f ca="1">27912.3981816243*(RANDBETWEEN(2890,3282))</f>
        <v>90910680.877550483</v>
      </c>
      <c r="B684">
        <v>210019446.77358407</v>
      </c>
    </row>
    <row r="685" spans="1:2" x14ac:dyDescent="0.25">
      <c r="A685">
        <f ca="1">27420.1678148067*(RANDBETWEEN(2890,3282))</f>
        <v>88676822.713084713</v>
      </c>
      <c r="B685">
        <v>258598719.45895037</v>
      </c>
    </row>
    <row r="686" spans="1:2" x14ac:dyDescent="0.25">
      <c r="A686">
        <f ca="1">25553.2895418668*(RANDBETWEEN(2890,3282))</f>
        <v>81744973.244431809</v>
      </c>
      <c r="B686">
        <v>209795974.77529216</v>
      </c>
    </row>
    <row r="687" spans="1:2" x14ac:dyDescent="0.25">
      <c r="A687">
        <f ca="1">25624.2215192146*(RANDBETWEEN(2890,3282))</f>
        <v>81690018.203256086</v>
      </c>
      <c r="B687">
        <v>238293341.23152804</v>
      </c>
    </row>
    <row r="688" spans="1:2" x14ac:dyDescent="0.25">
      <c r="A688">
        <f ca="1">32270.8073979529*(RANDBETWEEN(2890,3282))</f>
        <v>103589291.74742891</v>
      </c>
      <c r="B688">
        <v>224901790.70235899</v>
      </c>
    </row>
    <row r="689" spans="1:2" x14ac:dyDescent="0.25">
      <c r="A689">
        <f ca="1">29641.1624185051*(RANDBETWEEN(2890,3282))</f>
        <v>96867318.783674568</v>
      </c>
      <c r="B689">
        <v>250358507.14368674</v>
      </c>
    </row>
    <row r="690" spans="1:2" x14ac:dyDescent="0.25">
      <c r="A690">
        <f ca="1">31638.8997334443*(RANDBETWEEN(2890,3282))</f>
        <v>93176559.714993313</v>
      </c>
      <c r="B690">
        <v>262381907.27761999</v>
      </c>
    </row>
    <row r="691" spans="1:2" x14ac:dyDescent="0.25">
      <c r="A691">
        <f ca="1">27987.7742559415*(RANDBETWEEN(2890,3282))</f>
        <v>82396007.409491733</v>
      </c>
      <c r="B691">
        <v>232246193.07307747</v>
      </c>
    </row>
    <row r="692" spans="1:2" x14ac:dyDescent="0.25">
      <c r="A692">
        <f ca="1">29397.1173425319*(RANDBETWEEN(2890,3282))</f>
        <v>94746909.194980219</v>
      </c>
      <c r="B692">
        <v>239323112.62252548</v>
      </c>
    </row>
    <row r="693" spans="1:2" x14ac:dyDescent="0.25">
      <c r="A693">
        <f ca="1">32563.9547489161*(RANDBETWEEN(2890,3282))</f>
        <v>106581823.89320251</v>
      </c>
      <c r="B693">
        <v>234798061.63274857</v>
      </c>
    </row>
    <row r="694" spans="1:2" x14ac:dyDescent="0.25">
      <c r="A694">
        <f ca="1">30077.1955215814*(RANDBETWEEN(2890,3282))</f>
        <v>88667572.397622004</v>
      </c>
      <c r="B694">
        <v>266766516.49330828</v>
      </c>
    </row>
    <row r="695" spans="1:2" x14ac:dyDescent="0.25">
      <c r="A695">
        <f ca="1">33052.5643755455*(RANDBETWEEN(2890,3282))</f>
        <v>107189466.26989418</v>
      </c>
      <c r="B695">
        <v>206959296.89915484</v>
      </c>
    </row>
    <row r="696" spans="1:2" x14ac:dyDescent="0.25">
      <c r="A696">
        <f ca="1">29227.2064393348*(RANDBETWEEN(2890,3282))</f>
        <v>88821480.369138598</v>
      </c>
      <c r="B696">
        <v>210360071.12658951</v>
      </c>
    </row>
    <row r="697" spans="1:2" x14ac:dyDescent="0.25">
      <c r="A697">
        <f ca="1">30260.7529606571*(RANDBETWEEN(2890,3282))</f>
        <v>98740836.910623968</v>
      </c>
      <c r="B697">
        <v>219945623.45884371</v>
      </c>
    </row>
    <row r="698" spans="1:2" x14ac:dyDescent="0.25">
      <c r="A698">
        <f ca="1">32187.2406808302*(RANDBETWEEN(2890,3282))</f>
        <v>102999170.17865677</v>
      </c>
      <c r="B698">
        <v>232273344.89544499</v>
      </c>
    </row>
    <row r="699" spans="1:2" x14ac:dyDescent="0.25">
      <c r="A699">
        <f ca="1">30615.2355197093*(RANDBETWEEN(2890,3282))</f>
        <v>96009378.589808241</v>
      </c>
      <c r="B699">
        <v>221385150.47420248</v>
      </c>
    </row>
    <row r="700" spans="1:2" x14ac:dyDescent="0.25">
      <c r="A700">
        <f ca="1">30244.720825567*(RANDBETWEEN(2890,3282))</f>
        <v>96722617.200163171</v>
      </c>
      <c r="B700">
        <v>233472769.32687491</v>
      </c>
    </row>
    <row r="701" spans="1:2" x14ac:dyDescent="0.25">
      <c r="A701">
        <f ca="1">30655.9833932888*(RANDBETWEEN(2890,3282))</f>
        <v>95799948.104027569</v>
      </c>
      <c r="B701">
        <v>205178867.90102223</v>
      </c>
    </row>
    <row r="702" spans="1:2" x14ac:dyDescent="0.25">
      <c r="A702">
        <f ca="1">26754.2067503946*(RANDBETWEEN(2890,3282))</f>
        <v>79620519.289174199</v>
      </c>
      <c r="B702">
        <v>260794438.33734465</v>
      </c>
    </row>
    <row r="703" spans="1:2" x14ac:dyDescent="0.25">
      <c r="A703">
        <f ca="1">28421.062310476*(RANDBETWEEN(2890,3282))</f>
        <v>93221084.378361315</v>
      </c>
      <c r="B703">
        <v>245140980.75681812</v>
      </c>
    </row>
    <row r="704" spans="1:2" x14ac:dyDescent="0.25">
      <c r="A704">
        <f ca="1">27637.3968381028*(RANDBETWEEN(2890,3282))</f>
        <v>82469992.164898723</v>
      </c>
      <c r="B704">
        <v>233685422.62201208</v>
      </c>
    </row>
    <row r="705" spans="1:2" x14ac:dyDescent="0.25">
      <c r="A705">
        <f ca="1">30608.299204728*(RANDBETWEEN(2890,3282))</f>
        <v>88917109.189734802</v>
      </c>
      <c r="B705">
        <v>230458432.00489402</v>
      </c>
    </row>
    <row r="706" spans="1:2" x14ac:dyDescent="0.25">
      <c r="A706">
        <f ca="1">33536.7277887217*(RANDBETWEEN(2890,3282))</f>
        <v>97491267.68181406</v>
      </c>
      <c r="B706">
        <v>212287260.58557019</v>
      </c>
    </row>
    <row r="707" spans="1:2" x14ac:dyDescent="0.25">
      <c r="A707">
        <f ca="1">29937.6990436661*(RANDBETWEEN(2890,3282))</f>
        <v>94842630.570334211</v>
      </c>
      <c r="B707">
        <v>260057962.02979362</v>
      </c>
    </row>
    <row r="708" spans="1:2" x14ac:dyDescent="0.25">
      <c r="A708">
        <f ca="1">32933.7246632187*(RANDBETWEEN(2890,3282))</f>
        <v>95441934.07400769</v>
      </c>
      <c r="B708">
        <v>255781608.55290198</v>
      </c>
    </row>
    <row r="709" spans="1:2" x14ac:dyDescent="0.25">
      <c r="A709">
        <f ca="1">30465.5170197069*(RANDBETWEEN(2890,3282))</f>
        <v>91000499.337864384</v>
      </c>
      <c r="B709">
        <v>264366803.70342088</v>
      </c>
    </row>
    <row r="710" spans="1:2" x14ac:dyDescent="0.25">
      <c r="A710">
        <f ca="1">32678.3459216601*(RANDBETWEEN(2890,3282))</f>
        <v>102283222.734796</v>
      </c>
      <c r="B710">
        <v>264456632.58626363</v>
      </c>
    </row>
    <row r="711" spans="1:2" x14ac:dyDescent="0.25">
      <c r="A711">
        <f ca="1">32946.7017895039*(RANDBETWEEN(2890,3282))</f>
        <v>102727816.17967306</v>
      </c>
      <c r="B711">
        <v>238751702.24036419</v>
      </c>
    </row>
    <row r="712" spans="1:2" x14ac:dyDescent="0.25">
      <c r="A712">
        <f ca="1">27273.7666098086*(RANDBETWEEN(2890,3282))</f>
        <v>87466969.517656192</v>
      </c>
      <c r="B712">
        <v>260400337.04197219</v>
      </c>
    </row>
    <row r="713" spans="1:2" x14ac:dyDescent="0.25">
      <c r="A713">
        <f ca="1">31458.7157662335*(RANDBETWEEN(2890,3282))</f>
        <v>97647853.738388747</v>
      </c>
      <c r="B713">
        <v>216643205.02275285</v>
      </c>
    </row>
    <row r="714" spans="1:2" x14ac:dyDescent="0.25">
      <c r="A714">
        <f ca="1">26290.9763592133*(RANDBETWEEN(2890,3282))</f>
        <v>82842866.507881075</v>
      </c>
      <c r="B714">
        <v>252948657.50560248</v>
      </c>
    </row>
    <row r="715" spans="1:2" x14ac:dyDescent="0.25">
      <c r="A715">
        <f ca="1">28145.0257262749*(RANDBETWEEN(2890,3282))</f>
        <v>86292648.876758948</v>
      </c>
      <c r="B715">
        <v>246228084.05262583</v>
      </c>
    </row>
    <row r="716" spans="1:2" x14ac:dyDescent="0.25">
      <c r="A716">
        <f ca="1">28367.7934692894*(RANDBETWEEN(2890,3282))</f>
        <v>92620845.67723003</v>
      </c>
      <c r="B716">
        <v>213947671.93571779</v>
      </c>
    </row>
    <row r="717" spans="1:2" x14ac:dyDescent="0.25">
      <c r="A717">
        <f ca="1">31758.2878334814*(RANDBETWEEN(2890,3282))</f>
        <v>99816298.66063197</v>
      </c>
      <c r="B717">
        <v>249760677.91179538</v>
      </c>
    </row>
    <row r="718" spans="1:2" x14ac:dyDescent="0.25">
      <c r="A718">
        <f ca="1">29959.2621770794*(RANDBETWEEN(2890,3282))</f>
        <v>97367602.075508207</v>
      </c>
      <c r="B718">
        <v>203971029.98064598</v>
      </c>
    </row>
    <row r="719" spans="1:2" x14ac:dyDescent="0.25">
      <c r="A719">
        <f ca="1">26806.7707406528*(RANDBETWEEN(2890,3282))</f>
        <v>81144095.031956017</v>
      </c>
      <c r="B719">
        <v>214698056.79620102</v>
      </c>
    </row>
    <row r="720" spans="1:2" x14ac:dyDescent="0.25">
      <c r="A720">
        <f ca="1">26875.3747839387*(RANDBETWEEN(2890,3282))</f>
        <v>85947448.559036121</v>
      </c>
      <c r="B720">
        <v>250209358.43760592</v>
      </c>
    </row>
    <row r="721" spans="1:2" x14ac:dyDescent="0.25">
      <c r="A721">
        <f ca="1">31900.6595595867*(RANDBETWEEN(2890,3282))</f>
        <v>96276190.550832778</v>
      </c>
      <c r="B721">
        <v>220731494.14375395</v>
      </c>
    </row>
    <row r="722" spans="1:2" x14ac:dyDescent="0.25">
      <c r="A722">
        <f ca="1">27891.2099141415*(RANDBETWEEN(2890,3282))</f>
        <v>88805612.366626531</v>
      </c>
      <c r="B722">
        <v>226205834.6742422</v>
      </c>
    </row>
    <row r="723" spans="1:2" x14ac:dyDescent="0.25">
      <c r="A723">
        <f ca="1">29528.7697994318*(RANDBETWEEN(2890,3282))</f>
        <v>86401180.433137581</v>
      </c>
      <c r="B723">
        <v>222729929.14127201</v>
      </c>
    </row>
    <row r="724" spans="1:2" x14ac:dyDescent="0.25">
      <c r="A724">
        <f ca="1">30180.4721343134*(RANDBETWEEN(2890,3282))</f>
        <v>89092753.740493074</v>
      </c>
      <c r="B724">
        <v>217625738.256347</v>
      </c>
    </row>
    <row r="725" spans="1:2" x14ac:dyDescent="0.25">
      <c r="A725">
        <f ca="1">27291.2425982714*(RANDBETWEEN(2890,3282))</f>
        <v>79990632.055533528</v>
      </c>
      <c r="B725">
        <v>244592933.59860045</v>
      </c>
    </row>
    <row r="726" spans="1:2" x14ac:dyDescent="0.25">
      <c r="A726">
        <f ca="1">28394.8479752366*(RANDBETWEEN(2890,3282))</f>
        <v>84077144.854675621</v>
      </c>
      <c r="B726">
        <v>223522356.37575653</v>
      </c>
    </row>
    <row r="727" spans="1:2" x14ac:dyDescent="0.25">
      <c r="A727">
        <f ca="1">32626.3627592774*(RANDBETWEEN(2890,3282))</f>
        <v>105285272.62418823</v>
      </c>
      <c r="B727">
        <v>253386574.86771157</v>
      </c>
    </row>
    <row r="728" spans="1:2" x14ac:dyDescent="0.25">
      <c r="A728">
        <f ca="1">30455.5784445854*(RANDBETWEEN(2890,3282))</f>
        <v>89508945.048636585</v>
      </c>
      <c r="B728">
        <v>213542350.94437799</v>
      </c>
    </row>
    <row r="729" spans="1:2" x14ac:dyDescent="0.25">
      <c r="A729">
        <f ca="1">31112.1235223351*(RANDBETWEEN(2890,3282))</f>
        <v>90225158.214771792</v>
      </c>
      <c r="B729">
        <v>234744335.91794381</v>
      </c>
    </row>
    <row r="730" spans="1:2" x14ac:dyDescent="0.25">
      <c r="A730">
        <f ca="1">34460.4020831693*(RANDBETWEEN(2890,3282))</f>
        <v>108929330.98489828</v>
      </c>
      <c r="B730">
        <v>257049772.31028527</v>
      </c>
    </row>
    <row r="731" spans="1:2" x14ac:dyDescent="0.25">
      <c r="A731">
        <f ca="1">29671.4062627074*(RANDBETWEEN(2890,3282))</f>
        <v>91833002.383079499</v>
      </c>
      <c r="B731">
        <v>256110642.47050786</v>
      </c>
    </row>
    <row r="732" spans="1:2" x14ac:dyDescent="0.25">
      <c r="A732">
        <f ca="1">31952.8399997997*(RANDBETWEEN(2890,3282))</f>
        <v>93845491.079411745</v>
      </c>
      <c r="B732">
        <v>243257505.96890455</v>
      </c>
    </row>
    <row r="733" spans="1:2" x14ac:dyDescent="0.25">
      <c r="A733">
        <f ca="1">26541.0483073452*(RANDBETWEEN(2890,3282))</f>
        <v>77924517.830365643</v>
      </c>
      <c r="B733">
        <v>216945049.96563178</v>
      </c>
    </row>
    <row r="734" spans="1:2" x14ac:dyDescent="0.25">
      <c r="A734">
        <f ca="1">28918.5496987148*(RANDBETWEEN(2890,3282))</f>
        <v>94158797.819015384</v>
      </c>
      <c r="B734">
        <v>222316977.38986644</v>
      </c>
    </row>
    <row r="735" spans="1:2" x14ac:dyDescent="0.25">
      <c r="A735">
        <f ca="1">30098.345488091*(RANDBETWEEN(2890,3282))</f>
        <v>90355233.155249253</v>
      </c>
      <c r="B735">
        <v>256028553.79597944</v>
      </c>
    </row>
    <row r="736" spans="1:2" x14ac:dyDescent="0.25">
      <c r="A736">
        <f ca="1">30064.1901243701*(RANDBETWEEN(2890,3282))</f>
        <v>94221171.849776015</v>
      </c>
      <c r="B736">
        <v>217579897.52592516</v>
      </c>
    </row>
    <row r="737" spans="1:2" x14ac:dyDescent="0.25">
      <c r="A737">
        <f ca="1">29211.3308008486*(RANDBETWEEN(2890,3282))</f>
        <v>84771281.984062582</v>
      </c>
      <c r="B737">
        <v>260459867.36920381</v>
      </c>
    </row>
    <row r="738" spans="1:2" x14ac:dyDescent="0.25">
      <c r="A738">
        <f ca="1">28223.3247014825*(RANDBETWEEN(2890,3282))</f>
        <v>88367229.640341833</v>
      </c>
      <c r="B738">
        <v>237321757.00005597</v>
      </c>
    </row>
    <row r="739" spans="1:2" x14ac:dyDescent="0.25">
      <c r="A739">
        <f ca="1">31170.9148029522*(RANDBETWEEN(2890,3282))</f>
        <v>93201035.260827079</v>
      </c>
      <c r="B739">
        <v>224197205.66282812</v>
      </c>
    </row>
    <row r="740" spans="1:2" x14ac:dyDescent="0.25">
      <c r="A740">
        <f ca="1">27262.1301953336*(RANDBETWEEN(2890,3282))</f>
        <v>88792758.046201587</v>
      </c>
      <c r="B740">
        <v>226347006.20975411</v>
      </c>
    </row>
    <row r="741" spans="1:2" x14ac:dyDescent="0.25">
      <c r="A741">
        <f ca="1">29913.4705806345*(RANDBETWEEN(2890,3282))</f>
        <v>87347334.095452845</v>
      </c>
      <c r="B741">
        <v>204260974.38945693</v>
      </c>
    </row>
    <row r="742" spans="1:2" x14ac:dyDescent="0.25">
      <c r="A742">
        <f ca="1">28649.616207506*(RANDBETWEEN(2890,3282))</f>
        <v>83198485.466597572</v>
      </c>
      <c r="B742">
        <v>247563609.68071014</v>
      </c>
    </row>
    <row r="743" spans="1:2" x14ac:dyDescent="0.25">
      <c r="A743">
        <f ca="1">27896.9750016471*(RANDBETWEEN(2890,3282))</f>
        <v>91362593.13039431</v>
      </c>
      <c r="B743">
        <v>246478130.42904815</v>
      </c>
    </row>
    <row r="744" spans="1:2" x14ac:dyDescent="0.25">
      <c r="A744">
        <f ca="1">33481.3234869746*(RANDBETWEEN(2890,3282))</f>
        <v>99037754.874470755</v>
      </c>
      <c r="B744">
        <v>216095898.48944703</v>
      </c>
    </row>
    <row r="745" spans="1:2" x14ac:dyDescent="0.25">
      <c r="A745">
        <f ca="1">28708.936671808*(RANDBETWEEN(2890,3282))</f>
        <v>88480942.822512224</v>
      </c>
      <c r="B745">
        <v>233783135.59310389</v>
      </c>
    </row>
    <row r="746" spans="1:2" x14ac:dyDescent="0.25">
      <c r="A746">
        <f ca="1">30669.1835198058*(RANDBETWEEN(2890,3282))</f>
        <v>89523346.694313049</v>
      </c>
      <c r="B746">
        <v>217159763.29379672</v>
      </c>
    </row>
    <row r="747" spans="1:2" x14ac:dyDescent="0.25">
      <c r="A747">
        <f ca="1">31263.0606397384*(RANDBETWEEN(2890,3282))</f>
        <v>91194347.886116877</v>
      </c>
      <c r="B747">
        <v>211275257.53608429</v>
      </c>
    </row>
    <row r="748" spans="1:2" x14ac:dyDescent="0.25">
      <c r="A748">
        <f ca="1">29866.4419680838*(RANDBETWEEN(2890,3282))</f>
        <v>92585970.101059899</v>
      </c>
      <c r="B748">
        <v>218768807.04633448</v>
      </c>
    </row>
    <row r="749" spans="1:2" x14ac:dyDescent="0.25">
      <c r="A749">
        <f ca="1">29116.494507791*(RANDBETWEEN(2890,3282))</f>
        <v>94832422.611875191</v>
      </c>
      <c r="B749">
        <v>224726214.23241466</v>
      </c>
    </row>
    <row r="750" spans="1:2" x14ac:dyDescent="0.25">
      <c r="A750">
        <f ca="1">26750.497243999*(RANDBETWEEN(2890,3282))</f>
        <v>81508765.102465078</v>
      </c>
      <c r="B750">
        <v>218450291.03054339</v>
      </c>
    </row>
    <row r="751" spans="1:2" x14ac:dyDescent="0.25">
      <c r="A751">
        <f ca="1">30023.8859802193*(RANDBETWEEN(2890,3282))</f>
        <v>97457533.891791701</v>
      </c>
      <c r="B751">
        <v>250839476.81812596</v>
      </c>
    </row>
    <row r="752" spans="1:2" x14ac:dyDescent="0.25">
      <c r="A752">
        <f ca="1">32607.1963448269*(RANDBETWEEN(2890,3282))</f>
        <v>99908449.600549698</v>
      </c>
      <c r="B752">
        <v>252724510.45192331</v>
      </c>
    </row>
    <row r="753" spans="1:2" x14ac:dyDescent="0.25">
      <c r="A753">
        <f ca="1">31934.7557311482*(RANDBETWEEN(2890,3282))</f>
        <v>98933873.255096987</v>
      </c>
      <c r="B753">
        <v>250633248.39309901</v>
      </c>
    </row>
    <row r="754" spans="1:2" x14ac:dyDescent="0.25">
      <c r="A754">
        <f ca="1">31788.2683810707*(RANDBETWEEN(2890,3282))</f>
        <v>100959540.37828045</v>
      </c>
      <c r="B754">
        <v>214863683.44641516</v>
      </c>
    </row>
    <row r="755" spans="1:2" x14ac:dyDescent="0.25">
      <c r="A755">
        <f ca="1">31114.057180714*(RANDBETWEEN(2890,3282))</f>
        <v>101494054.52348901</v>
      </c>
      <c r="B755">
        <v>219550453.91214916</v>
      </c>
    </row>
    <row r="756" spans="1:2" x14ac:dyDescent="0.25">
      <c r="A756">
        <f ca="1">28741.0073077221*(RANDBETWEEN(2890,3282))</f>
        <v>90706619.063170955</v>
      </c>
      <c r="B756">
        <v>209127385.77651659</v>
      </c>
    </row>
    <row r="757" spans="1:2" x14ac:dyDescent="0.25">
      <c r="A757">
        <f ca="1">27073.2924575096*(RANDBETWEEN(2890,3282))</f>
        <v>82925494.797351941</v>
      </c>
      <c r="B757">
        <v>264432521.6662088</v>
      </c>
    </row>
    <row r="758" spans="1:2" x14ac:dyDescent="0.25">
      <c r="A758">
        <f ca="1">31402.0087237492*(RANDBETWEEN(2890,3282))</f>
        <v>91379845.386110291</v>
      </c>
      <c r="B758">
        <v>206023253.25174356</v>
      </c>
    </row>
    <row r="759" spans="1:2" x14ac:dyDescent="0.25">
      <c r="A759">
        <f ca="1">31328.4365746409*(RANDBETWEEN(2890,3282))</f>
        <v>94987819.694311172</v>
      </c>
      <c r="B759">
        <v>249134737.54561383</v>
      </c>
    </row>
    <row r="760" spans="1:2" x14ac:dyDescent="0.25">
      <c r="A760">
        <f ca="1">31232.0717086901*(RANDBETWEEN(2890,3282))</f>
        <v>99786469.109264925</v>
      </c>
      <c r="B760">
        <v>206581405.01856846</v>
      </c>
    </row>
    <row r="761" spans="1:2" x14ac:dyDescent="0.25">
      <c r="A761">
        <f ca="1">28629.1091382405*(RANDBETWEEN(2890,3282))</f>
        <v>90754275.968222484</v>
      </c>
      <c r="B761">
        <v>227338308.71608692</v>
      </c>
    </row>
    <row r="762" spans="1:2" x14ac:dyDescent="0.25">
      <c r="A762">
        <f ca="1">30954.0344139871*(RANDBETWEEN(2890,3282))</f>
        <v>95245563.891838193</v>
      </c>
      <c r="B762">
        <v>225877181.09440911</v>
      </c>
    </row>
    <row r="763" spans="1:2" x14ac:dyDescent="0.25">
      <c r="A763">
        <f ca="1">30613.5273992382*(RANDBETWEEN(2890,3282))</f>
        <v>98851079.972140074</v>
      </c>
      <c r="B763">
        <v>266662752.65676659</v>
      </c>
    </row>
    <row r="764" spans="1:2" x14ac:dyDescent="0.25">
      <c r="A764">
        <f ca="1">30348.6686310007*(RANDBETWEEN(2890,3282))</f>
        <v>88193231.0416881</v>
      </c>
      <c r="B764">
        <v>215895220.93738875</v>
      </c>
    </row>
    <row r="765" spans="1:2" x14ac:dyDescent="0.25">
      <c r="A765">
        <f ca="1">29822.5401399608*(RANDBETWEEN(2890,3282))</f>
        <v>88692234.376243308</v>
      </c>
      <c r="B765">
        <v>244163432.56840044</v>
      </c>
    </row>
    <row r="766" spans="1:2" x14ac:dyDescent="0.25">
      <c r="A766">
        <f ca="1">28340.1506630986*(RANDBETWEEN(2890,3282))</f>
        <v>84510329.277360141</v>
      </c>
      <c r="B766">
        <v>233274450.20985571</v>
      </c>
    </row>
    <row r="767" spans="1:2" x14ac:dyDescent="0.25">
      <c r="A767">
        <f ca="1">30849.7201206951*(RANDBETWEEN(2890,3282))</f>
        <v>92117264.280395463</v>
      </c>
      <c r="B767">
        <v>248072638.92835468</v>
      </c>
    </row>
    <row r="768" spans="1:2" x14ac:dyDescent="0.25">
      <c r="A768">
        <f ca="1">32064.5396240856*(RANDBETWEEN(2890,3282))</f>
        <v>100105492.70639531</v>
      </c>
      <c r="B768">
        <v>211402761.44965294</v>
      </c>
    </row>
    <row r="769" spans="1:2" x14ac:dyDescent="0.25">
      <c r="A769">
        <f ca="1">28237.3867409756*(RANDBETWEEN(2890,3282))</f>
        <v>88439495.272735685</v>
      </c>
      <c r="B769">
        <v>220086070.72921833</v>
      </c>
    </row>
    <row r="770" spans="1:2" x14ac:dyDescent="0.25">
      <c r="A770">
        <f ca="1">27433.4730572766*(RANDBETWEEN(2890,3282))</f>
        <v>84056161.447495371</v>
      </c>
      <c r="B770">
        <v>211251074.08429003</v>
      </c>
    </row>
    <row r="771" spans="1:2" x14ac:dyDescent="0.25">
      <c r="A771">
        <f ca="1">31750.6557873798*(RANDBETWEEN(2890,3282))</f>
        <v>94680455.55796653</v>
      </c>
      <c r="B771">
        <v>210240385.1817542</v>
      </c>
    </row>
    <row r="772" spans="1:2" x14ac:dyDescent="0.25">
      <c r="A772">
        <f ca="1">33535.7529854178*(RANDBETWEEN(2890,3282))</f>
        <v>109225947.47350575</v>
      </c>
      <c r="B772">
        <v>256184400.10407627</v>
      </c>
    </row>
    <row r="773" spans="1:2" x14ac:dyDescent="0.25">
      <c r="A773">
        <f ca="1">29821.2093397193*(RANDBETWEEN(2890,3282))</f>
        <v>92087894.441053152</v>
      </c>
      <c r="B773">
        <v>210588921.71295723</v>
      </c>
    </row>
    <row r="774" spans="1:2" x14ac:dyDescent="0.25">
      <c r="A774">
        <f ca="1">28017.0073415509*(RANDBETWEEN(2890,3282))</f>
        <v>90971222.838015825</v>
      </c>
      <c r="B774">
        <v>207036216.73692453</v>
      </c>
    </row>
    <row r="775" spans="1:2" x14ac:dyDescent="0.25">
      <c r="A775">
        <f ca="1">28070.0080000314*(RANDBETWEEN(2890,3282))</f>
        <v>84827564.17609486</v>
      </c>
      <c r="B775">
        <v>238470729.3847709</v>
      </c>
    </row>
    <row r="776" spans="1:2" x14ac:dyDescent="0.25">
      <c r="A776">
        <f ca="1">31427.2100174664*(RANDBETWEEN(2890,3282))</f>
        <v>100252799.95571785</v>
      </c>
      <c r="B776">
        <v>219303054.39022583</v>
      </c>
    </row>
    <row r="777" spans="1:2" x14ac:dyDescent="0.25">
      <c r="A777">
        <f ca="1">29042.4813476215*(RANDBETWEEN(2890,3282))</f>
        <v>91048179.024793252</v>
      </c>
      <c r="B777">
        <v>223605933.47666129</v>
      </c>
    </row>
    <row r="778" spans="1:2" x14ac:dyDescent="0.25">
      <c r="A778">
        <f ca="1">27533.1271594724*(RANDBETWEEN(2890,3282))</f>
        <v>81911053.29943046</v>
      </c>
      <c r="B778">
        <v>232311345.31326646</v>
      </c>
    </row>
    <row r="779" spans="1:2" x14ac:dyDescent="0.25">
      <c r="A779">
        <f ca="1">28916.4665919849*(RANDBETWEEN(2890,3282))</f>
        <v>93313437.692335263</v>
      </c>
      <c r="B779">
        <v>249521225.2186622</v>
      </c>
    </row>
    <row r="780" spans="1:2" x14ac:dyDescent="0.25">
      <c r="A780">
        <f ca="1">30650.8796133178*(RANDBETWEEN(2890,3282))</f>
        <v>89715124.62818113</v>
      </c>
      <c r="B780">
        <v>238057541.03811979</v>
      </c>
    </row>
    <row r="781" spans="1:2" x14ac:dyDescent="0.25">
      <c r="A781">
        <f ca="1">27328.4121393481*(RANDBETWEEN(2890,3282))</f>
        <v>81711952.296650961</v>
      </c>
      <c r="B781">
        <v>241080488.01340306</v>
      </c>
    </row>
    <row r="782" spans="1:2" x14ac:dyDescent="0.25">
      <c r="A782">
        <f ca="1">32014.4741228833*(RANDBETWEEN(2890,3282))</f>
        <v>101165738.22831132</v>
      </c>
      <c r="B782">
        <v>262805643.38856167</v>
      </c>
    </row>
    <row r="783" spans="1:2" x14ac:dyDescent="0.25">
      <c r="A783">
        <f ca="1">27881.7243347408*(RANDBETWEEN(2890,3282))</f>
        <v>88719646.833145127</v>
      </c>
      <c r="B783">
        <v>239875913.04354244</v>
      </c>
    </row>
    <row r="784" spans="1:2" x14ac:dyDescent="0.25">
      <c r="A784">
        <f ca="1">31865.7775464689*(RANDBETWEEN(2890,3282))</f>
        <v>94482030.425280228</v>
      </c>
      <c r="B784">
        <v>233631464.03364828</v>
      </c>
    </row>
    <row r="785" spans="1:2" x14ac:dyDescent="0.25">
      <c r="A785">
        <f ca="1">28386.6600964697*(RANDBETWEEN(2890,3282))</f>
        <v>89673459.244747788</v>
      </c>
      <c r="B785">
        <v>255235149.63872844</v>
      </c>
    </row>
    <row r="786" spans="1:2" x14ac:dyDescent="0.25">
      <c r="A786">
        <f ca="1">30909.5769809748*(RANDBETWEEN(2890,3282))</f>
        <v>98694279.300252572</v>
      </c>
      <c r="B786">
        <v>244681085.36746854</v>
      </c>
    </row>
    <row r="787" spans="1:2" x14ac:dyDescent="0.25">
      <c r="A787">
        <f ca="1">31742.6992670141*(RANDBETWEEN(2890,3282))</f>
        <v>103005059.12146077</v>
      </c>
      <c r="B787">
        <v>226781626.18296593</v>
      </c>
    </row>
    <row r="788" spans="1:2" x14ac:dyDescent="0.25">
      <c r="A788">
        <f ca="1">31914.8626104916*(RANDBETWEEN(2890,3282))</f>
        <v>100723306.39871159</v>
      </c>
      <c r="B788">
        <v>236502886.69076633</v>
      </c>
    </row>
    <row r="789" spans="1:2" x14ac:dyDescent="0.25">
      <c r="A789">
        <f ca="1">33567.3048256239*(RANDBETWEEN(2890,3282))</f>
        <v>99560626.112800613</v>
      </c>
      <c r="B789">
        <v>231215096.60625079</v>
      </c>
    </row>
    <row r="790" spans="1:2" x14ac:dyDescent="0.25">
      <c r="A790">
        <f ca="1">29529.3962763689*(RANDBETWEEN(2890,3282))</f>
        <v>90684775.964729026</v>
      </c>
      <c r="B790">
        <v>266638731.50224417</v>
      </c>
    </row>
    <row r="791" spans="1:2" x14ac:dyDescent="0.25">
      <c r="A791">
        <f ca="1">30610.596896308*(RANDBETWEEN(2890,3282))</f>
        <v>94617355.00648798</v>
      </c>
      <c r="B791">
        <v>226761205.49889308</v>
      </c>
    </row>
    <row r="792" spans="1:2" x14ac:dyDescent="0.25">
      <c r="A792">
        <f ca="1">30515.1654539471*(RANDBETWEEN(2890,3282))</f>
        <v>93590012.44725579</v>
      </c>
      <c r="B792">
        <v>247954518.70176926</v>
      </c>
    </row>
    <row r="793" spans="1:2" x14ac:dyDescent="0.25">
      <c r="A793">
        <f ca="1">28059.3638434024*(RANDBETWEEN(2890,3282))</f>
        <v>85216287.992413059</v>
      </c>
      <c r="B793">
        <v>213088632.32013837</v>
      </c>
    </row>
    <row r="794" spans="1:2" x14ac:dyDescent="0.25">
      <c r="A794">
        <f ca="1">27286.1769033364*(RANDBETWEEN(2890,3282))</f>
        <v>81640241.29478246</v>
      </c>
      <c r="B794">
        <v>219588065.05646506</v>
      </c>
    </row>
    <row r="795" spans="1:2" x14ac:dyDescent="0.25">
      <c r="A795">
        <f ca="1">32527.9842883535*(RANDBETWEEN(2890,3282))</f>
        <v>95957553.650642887</v>
      </c>
      <c r="B795">
        <v>240629661.88089538</v>
      </c>
    </row>
    <row r="796" spans="1:2" x14ac:dyDescent="0.25">
      <c r="A796">
        <f ca="1">29765.0249763499*(RANDBETWEEN(2890,3282))</f>
        <v>90574971.003032878</v>
      </c>
      <c r="B796">
        <v>226341018.77581277</v>
      </c>
    </row>
    <row r="797" spans="1:2" x14ac:dyDescent="0.25">
      <c r="A797">
        <f ca="1">26282.8110417395*(RANDBETWEEN(2890,3282))</f>
        <v>84026146.900441095</v>
      </c>
      <c r="B797">
        <v>224633908.3285062</v>
      </c>
    </row>
    <row r="798" spans="1:2" x14ac:dyDescent="0.25">
      <c r="A798">
        <f ca="1">32094.414473655*(RANDBETWEEN(2890,3282))</f>
        <v>99942006.670961618</v>
      </c>
      <c r="B798">
        <v>225328272.74892685</v>
      </c>
    </row>
    <row r="799" spans="1:2" x14ac:dyDescent="0.25">
      <c r="A799">
        <f ca="1">31655.9792860419*(RANDBETWEEN(2890,3282))</f>
        <v>92118899.7223818</v>
      </c>
      <c r="B799">
        <v>261792501.96085143</v>
      </c>
    </row>
    <row r="800" spans="1:2" x14ac:dyDescent="0.25">
      <c r="A800">
        <f ca="1">32304.0663621366*(RANDBETWEEN(2890,3282))</f>
        <v>104019093.68607971</v>
      </c>
      <c r="B800">
        <v>226634000.35417536</v>
      </c>
    </row>
    <row r="801" spans="1:2" x14ac:dyDescent="0.25">
      <c r="A801">
        <f ca="1">31152.304005054*(RANDBETWEEN(2890,3282))</f>
        <v>96665599.327682421</v>
      </c>
      <c r="B801">
        <v>258026815.6595999</v>
      </c>
    </row>
    <row r="802" spans="1:2" x14ac:dyDescent="0.25">
      <c r="A802">
        <f ca="1">27757.4053808951*(RANDBETWEEN(2890,3282))</f>
        <v>87213767.706772357</v>
      </c>
      <c r="B802">
        <v>222669919.63343266</v>
      </c>
    </row>
    <row r="803" spans="1:2" x14ac:dyDescent="0.25">
      <c r="A803">
        <f ca="1">31191.1884439981*(RANDBETWEEN(2890,3282))</f>
        <v>101808039.0812099</v>
      </c>
      <c r="B803">
        <v>253854485.12526917</v>
      </c>
    </row>
    <row r="804" spans="1:2" x14ac:dyDescent="0.25">
      <c r="A804">
        <f ca="1">31704.2874671621*(RANDBETWEEN(2890,3282))</f>
        <v>102404848.51893346</v>
      </c>
      <c r="B804">
        <v>238744842.53167626</v>
      </c>
    </row>
    <row r="805" spans="1:2" x14ac:dyDescent="0.25">
      <c r="A805">
        <f ca="1">29714.0904017404*(RANDBETWEEN(2890,3282))</f>
        <v>95709085.184005901</v>
      </c>
      <c r="B805">
        <v>215741217.45478657</v>
      </c>
    </row>
    <row r="806" spans="1:2" x14ac:dyDescent="0.25">
      <c r="A806">
        <f ca="1">32334.4921130633*(RANDBETWEEN(2890,3282))</f>
        <v>101368632.77445343</v>
      </c>
      <c r="B806">
        <v>204669143.59850809</v>
      </c>
    </row>
    <row r="807" spans="1:2" x14ac:dyDescent="0.25">
      <c r="A807">
        <f ca="1">29053.3239176963*(RANDBETWEEN(2890,3282))</f>
        <v>93929396.225912139</v>
      </c>
      <c r="B807">
        <v>261920524.93210396</v>
      </c>
    </row>
    <row r="808" spans="1:2" x14ac:dyDescent="0.25">
      <c r="A808">
        <f ca="1">31260.5130220437*(RANDBETWEEN(2890,3282))</f>
        <v>97126413.959489718</v>
      </c>
      <c r="B808">
        <v>219666534.64103544</v>
      </c>
    </row>
    <row r="809" spans="1:2" x14ac:dyDescent="0.25">
      <c r="A809">
        <f ca="1">30403.7211106456*(RANDBETWEEN(2890,3282))</f>
        <v>93765075.905230895</v>
      </c>
      <c r="B809">
        <v>222576612.92521358</v>
      </c>
    </row>
    <row r="810" spans="1:2" x14ac:dyDescent="0.25">
      <c r="A810">
        <f ca="1">30144.9532130213*(RANDBETWEEN(2890,3282))</f>
        <v>95318342.059573263</v>
      </c>
      <c r="B810">
        <v>258757235.20750669</v>
      </c>
    </row>
    <row r="811" spans="1:2" x14ac:dyDescent="0.25">
      <c r="A811">
        <f ca="1">29311.343985275*(RANDBETWEEN(2890,3282))</f>
        <v>89809957.970882639</v>
      </c>
      <c r="B811">
        <v>237469371.71022367</v>
      </c>
    </row>
    <row r="812" spans="1:2" x14ac:dyDescent="0.25">
      <c r="A812">
        <f ca="1">30729.9655182457*(RANDBETWEEN(2890,3282))</f>
        <v>97014501.141101524</v>
      </c>
      <c r="B812">
        <v>242151817.09676367</v>
      </c>
    </row>
    <row r="813" spans="1:2" x14ac:dyDescent="0.25">
      <c r="A813">
        <f ca="1">29756.442371541*(RANDBETWEEN(2890,3282))</f>
        <v>97154784.343081221</v>
      </c>
      <c r="B813">
        <v>222374483.39485535</v>
      </c>
    </row>
    <row r="814" spans="1:2" x14ac:dyDescent="0.25">
      <c r="A814">
        <f ca="1">28549.745375597*(RANDBETWEEN(2890,3282))</f>
        <v>90160095.896135479</v>
      </c>
      <c r="B814">
        <v>204975854.02232808</v>
      </c>
    </row>
    <row r="815" spans="1:2" x14ac:dyDescent="0.25">
      <c r="A815">
        <f ca="1">31136.2315823648*(RANDBETWEEN(2890,3282))</f>
        <v>100102984.53730288</v>
      </c>
      <c r="B815">
        <v>266938054.92611909</v>
      </c>
    </row>
    <row r="816" spans="1:2" x14ac:dyDescent="0.25">
      <c r="A816">
        <f ca="1">26866.8427279032*(RANDBETWEEN(2890,3282))</f>
        <v>82911076.658309236</v>
      </c>
      <c r="B816">
        <v>224065463.28846538</v>
      </c>
    </row>
    <row r="817" spans="1:2" x14ac:dyDescent="0.25">
      <c r="A817">
        <f ca="1">26597.9425153299*(RANDBETWEEN(2890,3282))</f>
        <v>81974858.832246795</v>
      </c>
      <c r="B817">
        <v>217622004.27821752</v>
      </c>
    </row>
    <row r="818" spans="1:2" x14ac:dyDescent="0.25">
      <c r="A818">
        <f ca="1">29891.5171505427*(RANDBETWEEN(2890,3282))</f>
        <v>88239758.628402159</v>
      </c>
      <c r="B818">
        <v>208611868.44043517</v>
      </c>
    </row>
    <row r="819" spans="1:2" x14ac:dyDescent="0.25">
      <c r="A819">
        <f ca="1">27143.0653529261*(RANDBETWEEN(2890,3282))</f>
        <v>86477806.214422688</v>
      </c>
      <c r="B819">
        <v>233557151.03995204</v>
      </c>
    </row>
    <row r="820" spans="1:2" x14ac:dyDescent="0.25">
      <c r="A820">
        <f ca="1">27398.6573296583*(RANDBETWEEN(2890,3282))</f>
        <v>84086479.344721466</v>
      </c>
      <c r="B820">
        <v>215501153.55829239</v>
      </c>
    </row>
    <row r="821" spans="1:2" x14ac:dyDescent="0.25">
      <c r="A821">
        <f ca="1">32335.2056185914*(RANDBETWEEN(2890,3282))</f>
        <v>97522980.145671681</v>
      </c>
      <c r="B821">
        <v>256025526.42688647</v>
      </c>
    </row>
    <row r="822" spans="1:2" x14ac:dyDescent="0.25">
      <c r="A822">
        <f ca="1">28121.7860589625*(RANDBETWEEN(2890,3282))</f>
        <v>84309114.604769439</v>
      </c>
      <c r="B822">
        <v>263420249.3149111</v>
      </c>
    </row>
    <row r="823" spans="1:2" x14ac:dyDescent="0.25">
      <c r="A823">
        <f ca="1">28611.8466955663*(RANDBETWEEN(2890,3282))</f>
        <v>88582277.36947313</v>
      </c>
      <c r="B823">
        <v>229005882.01061535</v>
      </c>
    </row>
    <row r="824" spans="1:2" x14ac:dyDescent="0.25">
      <c r="A824">
        <f ca="1">28245.4683920792*(RANDBETWEEN(2890,3282))</f>
        <v>83578340.972162381</v>
      </c>
      <c r="B824">
        <v>246297598.68747348</v>
      </c>
    </row>
    <row r="825" spans="1:2" x14ac:dyDescent="0.25">
      <c r="A825">
        <f ca="1">30488.1393381915*(RANDBETWEEN(2890,3282))</f>
        <v>97958391.693609282</v>
      </c>
      <c r="B825">
        <v>210137154.19320765</v>
      </c>
    </row>
    <row r="826" spans="1:2" x14ac:dyDescent="0.25">
      <c r="A826">
        <f ca="1">28630.2463970518*(RANDBETWEEN(2890,3282))</f>
        <v>93277342.761594713</v>
      </c>
      <c r="B826">
        <v>244153782.01701388</v>
      </c>
    </row>
    <row r="827" spans="1:2" x14ac:dyDescent="0.25">
      <c r="A827">
        <f ca="1">29908.4601400448*(RANDBETWEEN(2890,3282))</f>
        <v>94660276.34324193</v>
      </c>
      <c r="B827">
        <v>255829265.39215139</v>
      </c>
    </row>
    <row r="828" spans="1:2" x14ac:dyDescent="0.25">
      <c r="A828">
        <f ca="1">33164.5622206412*(RANDBETWEEN(2890,3282))</f>
        <v>103705586.06394504</v>
      </c>
      <c r="B828">
        <v>246581768.12224972</v>
      </c>
    </row>
    <row r="829" spans="1:2" x14ac:dyDescent="0.25">
      <c r="A829">
        <f ca="1">27653.3590693617*(RANDBETWEEN(2890,3282))</f>
        <v>82268743.231351092</v>
      </c>
      <c r="B829">
        <v>231170296.84593564</v>
      </c>
    </row>
    <row r="830" spans="1:2" x14ac:dyDescent="0.25">
      <c r="A830">
        <f ca="1">26107.848957122*(RANDBETWEEN(2890,3282))</f>
        <v>81012655.313949779</v>
      </c>
      <c r="B830">
        <v>240091375.85237443</v>
      </c>
    </row>
    <row r="831" spans="1:2" x14ac:dyDescent="0.25">
      <c r="A831">
        <f ca="1">31192.8055490917*(RANDBETWEEN(2890,3282))</f>
        <v>95637141.813515037</v>
      </c>
      <c r="B831">
        <v>207535704.46879318</v>
      </c>
    </row>
    <row r="832" spans="1:2" x14ac:dyDescent="0.25">
      <c r="A832">
        <f ca="1">27447.778360906*(RANDBETWEEN(2890,3282))</f>
        <v>87750547.419816658</v>
      </c>
      <c r="B832">
        <v>209901769.39295882</v>
      </c>
    </row>
    <row r="833" spans="1:2" x14ac:dyDescent="0.25">
      <c r="A833">
        <f ca="1">28305.3388661939*(RANDBETWEEN(2890,3282))</f>
        <v>90577084.371820584</v>
      </c>
      <c r="B833">
        <v>253888890.10795265</v>
      </c>
    </row>
    <row r="834" spans="1:2" x14ac:dyDescent="0.25">
      <c r="A834">
        <f ca="1">27221.6353139807*(RANDBETWEEN(2890,3282))</f>
        <v>86891459.922226235</v>
      </c>
      <c r="B834">
        <v>252819503.7027778</v>
      </c>
    </row>
    <row r="835" spans="1:2" x14ac:dyDescent="0.25">
      <c r="A835">
        <f ca="1">30623.3436200846*(RANDBETWEEN(2890,3282))</f>
        <v>97045375.932048142</v>
      </c>
      <c r="B835">
        <v>241664783.64707714</v>
      </c>
    </row>
    <row r="836" spans="1:2" x14ac:dyDescent="0.25">
      <c r="A836">
        <f ca="1">28932.4556582825*(RANDBETWEEN(2890,3282))</f>
        <v>90413923.932132691</v>
      </c>
      <c r="B836">
        <v>243045312.17720181</v>
      </c>
    </row>
    <row r="837" spans="1:2" x14ac:dyDescent="0.25">
      <c r="A837">
        <f ca="1">26949.1861939995*(RANDBETWEEN(2890,3282))</f>
        <v>84270105.228636369</v>
      </c>
      <c r="B837">
        <v>204311064.47621924</v>
      </c>
    </row>
    <row r="838" spans="1:2" x14ac:dyDescent="0.25">
      <c r="A838">
        <f ca="1">30826.4582292877*(RANDBETWEEN(2890,3282))</f>
        <v>96671773.007046282</v>
      </c>
      <c r="B838">
        <v>262105910.08559915</v>
      </c>
    </row>
    <row r="839" spans="1:2" x14ac:dyDescent="0.25">
      <c r="A839">
        <f ca="1">32341.772983084*(RANDBETWEEN(2890,3282))</f>
        <v>101229749.43705304</v>
      </c>
      <c r="B839">
        <v>222591589.17233899</v>
      </c>
    </row>
    <row r="840" spans="1:2" x14ac:dyDescent="0.25">
      <c r="A840">
        <f ca="1">33249.2961668597*(RANDBETWEEN(2890,3282))</f>
        <v>105566515.32977954</v>
      </c>
      <c r="B840">
        <v>220772175.75411564</v>
      </c>
    </row>
    <row r="841" spans="1:2" x14ac:dyDescent="0.25">
      <c r="A841">
        <f ca="1">32428.0155712028*(RANDBETWEEN(2890,3282))</f>
        <v>103445369.67213701</v>
      </c>
      <c r="B841">
        <v>239994626.28101611</v>
      </c>
    </row>
    <row r="842" spans="1:2" x14ac:dyDescent="0.25">
      <c r="A842">
        <f ca="1">31048.0196487115*(RANDBETWEEN(2890,3282))</f>
        <v>91529561.924401432</v>
      </c>
      <c r="B842">
        <v>241285077.3924658</v>
      </c>
    </row>
    <row r="843" spans="1:2" x14ac:dyDescent="0.25">
      <c r="A843">
        <f ca="1">32288.1723939815*(RANDBETWEEN(2890,3282))</f>
        <v>103806474.24665043</v>
      </c>
      <c r="B843">
        <v>206762214.58451658</v>
      </c>
    </row>
    <row r="844" spans="1:2" x14ac:dyDescent="0.25">
      <c r="A844">
        <f ca="1">32781.67724294*(RANDBETWEEN(2890,3282))</f>
        <v>94739047.232096702</v>
      </c>
      <c r="B844">
        <v>249951169.89319843</v>
      </c>
    </row>
    <row r="845" spans="1:2" x14ac:dyDescent="0.25">
      <c r="A845">
        <f ca="1">28903.9591705974*(RANDBETWEEN(2890,3282))</f>
        <v>83879289.513073698</v>
      </c>
      <c r="B845">
        <v>231728127.84392199</v>
      </c>
    </row>
    <row r="846" spans="1:2" x14ac:dyDescent="0.25">
      <c r="A846">
        <f ca="1">26840.8874462856*(RANDBETWEEN(2890,3282))</f>
        <v>87367088.637659475</v>
      </c>
      <c r="B846">
        <v>250098886.46451074</v>
      </c>
    </row>
    <row r="847" spans="1:2" x14ac:dyDescent="0.25">
      <c r="A847">
        <f ca="1">31365.5248812783*(RANDBETWEEN(2890,3282))</f>
        <v>94253402.268241435</v>
      </c>
      <c r="B847">
        <v>225416770.90093827</v>
      </c>
    </row>
    <row r="848" spans="1:2" x14ac:dyDescent="0.25">
      <c r="A848">
        <f ca="1">31938.9037146676*(RANDBETWEEN(2890,3282))</f>
        <v>94155888.150840148</v>
      </c>
      <c r="B848">
        <v>206285390.75079757</v>
      </c>
    </row>
    <row r="849" spans="1:2" x14ac:dyDescent="0.25">
      <c r="A849">
        <f ca="1">31564.18787428*(RANDBETWEEN(2890,3282))</f>
        <v>94850384.562211275</v>
      </c>
      <c r="B849">
        <v>206555767.59009349</v>
      </c>
    </row>
    <row r="850" spans="1:2" x14ac:dyDescent="0.25">
      <c r="A850">
        <f ca="1">30849.0815421717*(RANDBETWEEN(2890,3282))</f>
        <v>98100079.304106236</v>
      </c>
      <c r="B850">
        <v>228179314.10765454</v>
      </c>
    </row>
    <row r="851" spans="1:2" x14ac:dyDescent="0.25">
      <c r="A851">
        <f ca="1">30342.8942337501*(RANDBETWEEN(2890,3282))</f>
        <v>91847940.845561445</v>
      </c>
      <c r="B851">
        <v>210536220.82876417</v>
      </c>
    </row>
    <row r="852" spans="1:2" x14ac:dyDescent="0.25">
      <c r="A852">
        <f ca="1">33382.1577828259*(RANDBETWEEN(2890,3282))</f>
        <v>105888204.48712361</v>
      </c>
      <c r="B852">
        <v>244300527.70471138</v>
      </c>
    </row>
    <row r="853" spans="1:2" x14ac:dyDescent="0.25">
      <c r="A853">
        <f ca="1">33227.9306228181*(RANDBETWEEN(2890,3282))</f>
        <v>103970194.9187977</v>
      </c>
      <c r="B853">
        <v>228041511.88075528</v>
      </c>
    </row>
    <row r="854" spans="1:2" x14ac:dyDescent="0.25">
      <c r="A854">
        <f ca="1">31854.8093188192*(RANDBETWEEN(2890,3282))</f>
        <v>93239026.876183793</v>
      </c>
      <c r="B854">
        <v>250083429.4144482</v>
      </c>
    </row>
    <row r="855" spans="1:2" x14ac:dyDescent="0.25">
      <c r="A855">
        <f ca="1">32532.8645307636*(RANDBETWEEN(2890,3282))</f>
        <v>105601678.26685855</v>
      </c>
      <c r="B855">
        <v>243922207.44032508</v>
      </c>
    </row>
    <row r="856" spans="1:2" x14ac:dyDescent="0.25">
      <c r="A856">
        <f ca="1">26827.1178720901*(RANDBETWEEN(2890,3282))</f>
        <v>81071550.20945628</v>
      </c>
      <c r="B856">
        <v>235120652.78578162</v>
      </c>
    </row>
    <row r="857" spans="1:2" x14ac:dyDescent="0.25">
      <c r="A857">
        <f ca="1">32855.8754413055*(RANDBETWEEN(2890,3282))</f>
        <v>100210420.0959817</v>
      </c>
      <c r="B857">
        <v>257908676.22493088</v>
      </c>
    </row>
    <row r="858" spans="1:2" x14ac:dyDescent="0.25">
      <c r="A858">
        <f ca="1">31225.5011979469*(RANDBETWEEN(2890,3282))</f>
        <v>93863856.601028502</v>
      </c>
      <c r="B858">
        <v>249925348.47985676</v>
      </c>
    </row>
    <row r="859" spans="1:2" x14ac:dyDescent="0.25">
      <c r="A859">
        <f ca="1">27962.3981850769*(RANDBETWEEN(2890,3282))</f>
        <v>86431772.79007259</v>
      </c>
      <c r="B859">
        <v>226828191.49698198</v>
      </c>
    </row>
    <row r="860" spans="1:2" x14ac:dyDescent="0.25">
      <c r="A860">
        <f ca="1">27457.915174682*(RANDBETWEEN(2890,3282))</f>
        <v>86876843.612693742</v>
      </c>
      <c r="B860">
        <v>260793638.30450031</v>
      </c>
    </row>
    <row r="861" spans="1:2" x14ac:dyDescent="0.25">
      <c r="A861">
        <f ca="1">31302.0386188293*(RANDBETWEEN(2890,3282))</f>
        <v>99634388.923733711</v>
      </c>
      <c r="B861">
        <v>267372040.68344778</v>
      </c>
    </row>
    <row r="862" spans="1:2" x14ac:dyDescent="0.25">
      <c r="A862">
        <f ca="1">28920.7028502785*(RANDBETWEEN(2890,3282))</f>
        <v>88179222.990499288</v>
      </c>
      <c r="B862">
        <v>256172644.53598762</v>
      </c>
    </row>
    <row r="863" spans="1:2" x14ac:dyDescent="0.25">
      <c r="A863">
        <f ca="1">28093.1718519038*(RANDBETWEEN(2890,3282))</f>
        <v>83071509.166079417</v>
      </c>
      <c r="B863">
        <v>258005408.83300993</v>
      </c>
    </row>
    <row r="864" spans="1:2" x14ac:dyDescent="0.25">
      <c r="A864">
        <f ca="1">27900.4751182*(RANDBETWEEN(2890,3282))</f>
        <v>90899747.935095564</v>
      </c>
      <c r="B864">
        <v>243690816.46407485</v>
      </c>
    </row>
    <row r="865" spans="1:2" x14ac:dyDescent="0.25">
      <c r="A865">
        <f ca="1">30617.4701224599*(RANDBETWEEN(2890,3282))</f>
        <v>93444518.813747719</v>
      </c>
      <c r="B865">
        <v>243943009.94837436</v>
      </c>
    </row>
    <row r="866" spans="1:2" x14ac:dyDescent="0.25">
      <c r="A866">
        <f ca="1">27225.4566314522*(RANDBETWEEN(2890,3282))</f>
        <v>88264930.399168</v>
      </c>
      <c r="B866">
        <v>225827846.47462416</v>
      </c>
    </row>
    <row r="867" spans="1:2" x14ac:dyDescent="0.25">
      <c r="A867">
        <f ca="1">27496.8751706298*(RANDBETWEEN(2890,3282))</f>
        <v>82903078.639448985</v>
      </c>
      <c r="B867">
        <v>248575760.52679628</v>
      </c>
    </row>
    <row r="868" spans="1:2" x14ac:dyDescent="0.25">
      <c r="A868">
        <f ca="1">30678.7952635729*(RANDBETWEEN(2890,3282))</f>
        <v>92956749.64862594</v>
      </c>
      <c r="B868">
        <v>207128178.91373751</v>
      </c>
    </row>
    <row r="869" spans="1:2" x14ac:dyDescent="0.25">
      <c r="A869">
        <f ca="1">32656.8512847393*(RANDBETWEEN(2890,3282))</f>
        <v>96533652.397689223</v>
      </c>
      <c r="B869">
        <v>215722927.78220391</v>
      </c>
    </row>
    <row r="870" spans="1:2" x14ac:dyDescent="0.25">
      <c r="A870">
        <f ca="1">30347.5772916931*(RANDBETWEEN(2890,3282))</f>
        <v>92711848.626122355</v>
      </c>
      <c r="B870">
        <v>234565760.35356525</v>
      </c>
    </row>
    <row r="871" spans="1:2" x14ac:dyDescent="0.25">
      <c r="A871">
        <f ca="1">30814.9076213633*(RANDBETWEEN(2890,3282))</f>
        <v>92783686.847924754</v>
      </c>
      <c r="B871">
        <v>257461525.23784447</v>
      </c>
    </row>
    <row r="872" spans="1:2" x14ac:dyDescent="0.25">
      <c r="A872">
        <f ca="1">28255.0827760227*(RANDBETWEEN(2890,3282))</f>
        <v>90416264.883272529</v>
      </c>
      <c r="B872">
        <v>229324435.03737003</v>
      </c>
    </row>
    <row r="873" spans="1:2" x14ac:dyDescent="0.25">
      <c r="A873">
        <f ca="1">34903.8616314807*(RANDBETWEEN(2890,3282))</f>
        <v>108969856.01348279</v>
      </c>
      <c r="B873">
        <v>227567389.93700546</v>
      </c>
    </row>
    <row r="874" spans="1:2" x14ac:dyDescent="0.25">
      <c r="A874">
        <f ca="1">31573.5455230075*(RANDBETWEEN(2890,3282))</f>
        <v>91310693.652537689</v>
      </c>
      <c r="B874">
        <v>236680847.52943558</v>
      </c>
    </row>
    <row r="875" spans="1:2" x14ac:dyDescent="0.25">
      <c r="A875">
        <f ca="1">31338.5928647865*(RANDBETWEEN(2890,3282))</f>
        <v>96397511.652083352</v>
      </c>
      <c r="B875">
        <v>245390422.63856894</v>
      </c>
    </row>
    <row r="876" spans="1:2" x14ac:dyDescent="0.25">
      <c r="A876">
        <f ca="1">29508.4287262563*(RANDBETWEEN(2890,3282))</f>
        <v>90030216.043808147</v>
      </c>
      <c r="B876">
        <v>237417252.26551846</v>
      </c>
    </row>
    <row r="877" spans="1:2" x14ac:dyDescent="0.25">
      <c r="A877">
        <f ca="1">26671.2333585783*(RANDBETWEEN(2890,3282))</f>
        <v>83907700.146087319</v>
      </c>
      <c r="B877">
        <v>205862377.46680391</v>
      </c>
    </row>
    <row r="878" spans="1:2" x14ac:dyDescent="0.25">
      <c r="A878">
        <f ca="1">28799.6999167845*(RANDBETWEEN(2890,3282))</f>
        <v>83490330.058758229</v>
      </c>
      <c r="B878">
        <v>219181334.44218445</v>
      </c>
    </row>
    <row r="879" spans="1:2" x14ac:dyDescent="0.25">
      <c r="A879">
        <f ca="1">31450.5775150911*(RANDBETWEEN(2890,3282))</f>
        <v>99918484.765444368</v>
      </c>
      <c r="B879">
        <v>220883187.02664691</v>
      </c>
    </row>
    <row r="880" spans="1:2" x14ac:dyDescent="0.25">
      <c r="A880">
        <f ca="1">28303.0221686777*(RANDBETWEEN(2890,3282))</f>
        <v>92607488.535913587</v>
      </c>
      <c r="B880">
        <v>240671560.39223218</v>
      </c>
    </row>
    <row r="881" spans="1:2" x14ac:dyDescent="0.25">
      <c r="A881">
        <f ca="1">28972.9395322171*(RANDBETWEEN(2890,3282))</f>
        <v>89120762.001099765</v>
      </c>
      <c r="B881">
        <v>239722788.46879452</v>
      </c>
    </row>
    <row r="882" spans="1:2" x14ac:dyDescent="0.25">
      <c r="A882">
        <f ca="1">29526.1564657234*(RANDBETWEEN(2890,3282))</f>
        <v>93538863.683411703</v>
      </c>
      <c r="B882">
        <v>237187652.12891316</v>
      </c>
    </row>
    <row r="883" spans="1:2" x14ac:dyDescent="0.25">
      <c r="A883">
        <f ca="1">27988.1890910989*(RANDBETWEEN(2890,3282))</f>
        <v>84132496.407843158</v>
      </c>
      <c r="B883">
        <v>236841714.06241721</v>
      </c>
    </row>
    <row r="884" spans="1:2" x14ac:dyDescent="0.25">
      <c r="A884">
        <f ca="1">25611.5455895533*(RANDBETWEEN(2890,3282))</f>
        <v>82597234.526309401</v>
      </c>
      <c r="B884">
        <v>227524087.00166091</v>
      </c>
    </row>
    <row r="885" spans="1:2" x14ac:dyDescent="0.25">
      <c r="A885">
        <f ca="1">32519.7731120887*(RANDBETWEEN(2890,3282))</f>
        <v>99120268.445646435</v>
      </c>
      <c r="B885">
        <v>228754867.03055507</v>
      </c>
    </row>
    <row r="886" spans="1:2" x14ac:dyDescent="0.25">
      <c r="A886">
        <f ca="1">28114.8345588139*(RANDBETWEEN(2890,3282))</f>
        <v>82348350.422766</v>
      </c>
      <c r="B886">
        <v>242223653.89403901</v>
      </c>
    </row>
    <row r="887" spans="1:2" x14ac:dyDescent="0.25">
      <c r="A887">
        <f ca="1">28805.3047040122*(RANDBETWEEN(2890,3282))</f>
        <v>84197905.649827689</v>
      </c>
      <c r="B887">
        <v>260624749.0021044</v>
      </c>
    </row>
    <row r="888" spans="1:2" x14ac:dyDescent="0.25">
      <c r="A888">
        <f ca="1">26136.1713041305*(RANDBETWEEN(2890,3282))</f>
        <v>81414173.612366602</v>
      </c>
      <c r="B888">
        <v>266650792.08326989</v>
      </c>
    </row>
    <row r="889" spans="1:2" x14ac:dyDescent="0.25">
      <c r="A889">
        <f ca="1">32301.4969886572*(RANDBETWEEN(2890,3282))</f>
        <v>100360751.14375791</v>
      </c>
      <c r="B889">
        <v>234956680.28647953</v>
      </c>
    </row>
    <row r="890" spans="1:2" x14ac:dyDescent="0.25">
      <c r="A890">
        <f ca="1">29680.1613384638*(RANDBETWEEN(2890,3282))</f>
        <v>88446880.7886222</v>
      </c>
      <c r="B890">
        <v>232996729.61860338</v>
      </c>
    </row>
    <row r="891" spans="1:2" x14ac:dyDescent="0.25">
      <c r="A891">
        <f ca="1">31698.0512445208*(RANDBETWEEN(2890,3282))</f>
        <v>98042072.499302775</v>
      </c>
      <c r="B891">
        <v>217996557.43772435</v>
      </c>
    </row>
    <row r="892" spans="1:2" x14ac:dyDescent="0.25">
      <c r="A892">
        <f ca="1">30254.355923297*(RANDBETWEEN(2890,3282))</f>
        <v>95059186.310999259</v>
      </c>
      <c r="B892">
        <v>217729911.0198648</v>
      </c>
    </row>
    <row r="893" spans="1:2" x14ac:dyDescent="0.25">
      <c r="A893">
        <f ca="1">29804.2035759481*(RANDBETWEEN(2890,3282))</f>
        <v>89651044.356451958</v>
      </c>
      <c r="B893">
        <v>223377183.73600841</v>
      </c>
    </row>
    <row r="894" spans="1:2" x14ac:dyDescent="0.25">
      <c r="A894">
        <f ca="1">32342.4566742307*(RANDBETWEEN(2890,3282))</f>
        <v>98256383.376312852</v>
      </c>
      <c r="B894">
        <v>207121553.22496945</v>
      </c>
    </row>
    <row r="895" spans="1:2" x14ac:dyDescent="0.25">
      <c r="A895">
        <f ca="1">29508.9460695356*(RANDBETWEEN(2890,3282))</f>
        <v>95874565.779921234</v>
      </c>
      <c r="B895">
        <v>220217984.61307502</v>
      </c>
    </row>
    <row r="896" spans="1:2" x14ac:dyDescent="0.25">
      <c r="A896">
        <f ca="1">29565.3731193982*(RANDBETWEEN(2890,3282))</f>
        <v>89523949.80553782</v>
      </c>
      <c r="B896">
        <v>203930892.61859757</v>
      </c>
    </row>
    <row r="897" spans="1:2" x14ac:dyDescent="0.25">
      <c r="A897">
        <f ca="1">28471.7129104169*(RANDBETWEEN(2890,3282))</f>
        <v>83592949.104983926</v>
      </c>
      <c r="B897">
        <v>224100391.52538857</v>
      </c>
    </row>
    <row r="898" spans="1:2" x14ac:dyDescent="0.25">
      <c r="A898">
        <f ca="1">31297.2342601384*(RANDBETWEEN(2890,3282))</f>
        <v>92514624.472969204</v>
      </c>
      <c r="B898">
        <v>238173113.35685459</v>
      </c>
    </row>
    <row r="899" spans="1:2" x14ac:dyDescent="0.25">
      <c r="A899">
        <f ca="1">33567.1225533314*(RANDBETWEEN(2890,3282))</f>
        <v>99727921.105947614</v>
      </c>
      <c r="B899">
        <v>206717844.27303776</v>
      </c>
    </row>
    <row r="900" spans="1:2" x14ac:dyDescent="0.25">
      <c r="A900">
        <f ca="1">26947.6356332162*(RANDBETWEEN(2890,3282))</f>
        <v>85531795.499828234</v>
      </c>
      <c r="B900">
        <v>225531315.85018775</v>
      </c>
    </row>
    <row r="901" spans="1:2" x14ac:dyDescent="0.25">
      <c r="A901">
        <f ca="1">30724.0026026119*(RANDBETWEEN(2890,3282))</f>
        <v>97118572.226856306</v>
      </c>
      <c r="B901">
        <v>247020534.85227653</v>
      </c>
    </row>
    <row r="902" spans="1:2" x14ac:dyDescent="0.25">
      <c r="A902">
        <f ca="1">30880.0975192608*(RANDBETWEEN(2890,3282))</f>
        <v>101255839.76565629</v>
      </c>
      <c r="B902">
        <v>256835075.4629539</v>
      </c>
    </row>
    <row r="903" spans="1:2" x14ac:dyDescent="0.25">
      <c r="A903">
        <f ca="1">31452.7881215203*(RANDBETWEEN(2890,3282))</f>
        <v>96371342.804338232</v>
      </c>
      <c r="B903">
        <v>208522085.98559824</v>
      </c>
    </row>
    <row r="904" spans="1:2" x14ac:dyDescent="0.25">
      <c r="A904">
        <f ca="1">29567.8371667854*(RANDBETWEEN(2890,3282))</f>
        <v>86338084.527013302</v>
      </c>
      <c r="B904">
        <v>264836716.32906973</v>
      </c>
    </row>
    <row r="905" spans="1:2" x14ac:dyDescent="0.25">
      <c r="A905">
        <f ca="1">29286.8639922015*(RANDBETWEEN(2890,3282))</f>
        <v>92312195.303419247</v>
      </c>
      <c r="B905">
        <v>256811387.67714211</v>
      </c>
    </row>
    <row r="906" spans="1:2" x14ac:dyDescent="0.25">
      <c r="A906">
        <f ca="1">29224.8251192142*(RANDBETWEEN(2890,3282))</f>
        <v>89252615.914080054</v>
      </c>
      <c r="B906">
        <v>209711632.7191503</v>
      </c>
    </row>
    <row r="907" spans="1:2" x14ac:dyDescent="0.25">
      <c r="A907">
        <f ca="1">32720.3361030142*(RANDBETWEEN(2890,3282))</f>
        <v>98193728.645145476</v>
      </c>
      <c r="B907">
        <v>217051736.8647607</v>
      </c>
    </row>
    <row r="908" spans="1:2" x14ac:dyDescent="0.25">
      <c r="A908">
        <f ca="1">29062.1609485715*(RANDBETWEEN(2890,3282))</f>
        <v>86082120.729668871</v>
      </c>
      <c r="B908">
        <v>263703261.10254794</v>
      </c>
    </row>
    <row r="909" spans="1:2" x14ac:dyDescent="0.25">
      <c r="A909">
        <f ca="1">32682.560999568*(RANDBETWEEN(2890,3282))</f>
        <v>104584195.19861774</v>
      </c>
      <c r="B909">
        <v>255837901.52315897</v>
      </c>
    </row>
    <row r="910" spans="1:2" x14ac:dyDescent="0.25">
      <c r="A910">
        <f ca="1">28464.323834794*(RANDBETWEEN(2890,3282))</f>
        <v>91939765.986384749</v>
      </c>
      <c r="B910">
        <v>223608246.78367743</v>
      </c>
    </row>
    <row r="911" spans="1:2" x14ac:dyDescent="0.25">
      <c r="A911">
        <f ca="1">30286.9197929973*(RANDBETWEEN(2890,3282))</f>
        <v>95070641.230218589</v>
      </c>
      <c r="B911">
        <v>213622707.5996924</v>
      </c>
    </row>
    <row r="912" spans="1:2" x14ac:dyDescent="0.25">
      <c r="A912">
        <f ca="1">29132.8547478956*(RANDBETWEEN(2890,3282))</f>
        <v>91535429.617887989</v>
      </c>
      <c r="B912">
        <v>217702647.05269518</v>
      </c>
    </row>
    <row r="913" spans="1:2" x14ac:dyDescent="0.25">
      <c r="A913">
        <f ca="1">32225.3744822222*(RANDBETWEEN(2890,3282))</f>
        <v>93743614.368784398</v>
      </c>
      <c r="B913">
        <v>208766822.53849971</v>
      </c>
    </row>
    <row r="914" spans="1:2" x14ac:dyDescent="0.25">
      <c r="A914">
        <f ca="1">30453.8451558624*(RANDBETWEEN(2890,3282))</f>
        <v>93432396.938185826</v>
      </c>
      <c r="B914">
        <v>254247612.98712015</v>
      </c>
    </row>
    <row r="915" spans="1:2" x14ac:dyDescent="0.25">
      <c r="A915">
        <f ca="1">28151.2508706813*(RANDBETWEEN(2890,3282))</f>
        <v>87071818.943017304</v>
      </c>
      <c r="B915">
        <v>216509533.16099286</v>
      </c>
    </row>
    <row r="916" spans="1:2" x14ac:dyDescent="0.25">
      <c r="A916">
        <f ca="1">26769.0556023328*(RANDBETWEEN(2890,3282))</f>
        <v>78299487.636823326</v>
      </c>
      <c r="B916">
        <v>220566724.38303056</v>
      </c>
    </row>
    <row r="917" spans="1:2" x14ac:dyDescent="0.25">
      <c r="A917">
        <f ca="1">28193.4887262006*(RANDBETWEEN(2890,3282))</f>
        <v>89937229.036579773</v>
      </c>
      <c r="B917">
        <v>243161951.0717876</v>
      </c>
    </row>
    <row r="918" spans="1:2" x14ac:dyDescent="0.25">
      <c r="A918">
        <f ca="1">30672.0405929933*(RANDBETWEEN(2890,3282))</f>
        <v>100542949.06383196</v>
      </c>
      <c r="B918">
        <v>259818613.85857195</v>
      </c>
    </row>
    <row r="919" spans="1:2" x14ac:dyDescent="0.25">
      <c r="A919">
        <f ca="1">28286.8497703586*(RANDBETWEEN(2890,3282))</f>
        <v>87943815.936044961</v>
      </c>
      <c r="B919">
        <v>210023968.84390205</v>
      </c>
    </row>
    <row r="920" spans="1:2" x14ac:dyDescent="0.25">
      <c r="A920">
        <f ca="1">31475.0541237131*(RANDBETWEEN(2890,3282))</f>
        <v>93827136.342788637</v>
      </c>
      <c r="B920">
        <v>253306833.92709634</v>
      </c>
    </row>
    <row r="921" spans="1:2" x14ac:dyDescent="0.25">
      <c r="A921">
        <f ca="1">26410.6275097336*(RANDBETWEEN(2890,3282))</f>
        <v>79760095.079395652</v>
      </c>
      <c r="B921">
        <v>204940412.77919188</v>
      </c>
    </row>
    <row r="922" spans="1:2" x14ac:dyDescent="0.25">
      <c r="A922">
        <f ca="1">26515.3512139511*(RANDBETWEEN(2890,3282))</f>
        <v>80394544.880699828</v>
      </c>
      <c r="B922">
        <v>235579694.7143425</v>
      </c>
    </row>
    <row r="923" spans="1:2" x14ac:dyDescent="0.25">
      <c r="A923">
        <f ca="1">31768.7007626747*(RANDBETWEEN(2890,3282))</f>
        <v>100738550.11844136</v>
      </c>
      <c r="B923">
        <v>233607559.09344131</v>
      </c>
    </row>
    <row r="924" spans="1:2" x14ac:dyDescent="0.25">
      <c r="A924">
        <f ca="1">31777.3317603182*(RANDBETWEEN(2890,3282))</f>
        <v>97715295.162978411</v>
      </c>
      <c r="B924">
        <v>223385530.66135702</v>
      </c>
    </row>
    <row r="925" spans="1:2" x14ac:dyDescent="0.25">
      <c r="A925">
        <f ca="1">26261.2521191413*(RANDBETWEEN(2890,3282))</f>
        <v>78022180.045968667</v>
      </c>
      <c r="B925">
        <v>222214823.64419752</v>
      </c>
    </row>
    <row r="926" spans="1:2" x14ac:dyDescent="0.25">
      <c r="A926">
        <f ca="1">30445.4897953949*(RANDBETWEEN(2890,3282))</f>
        <v>90027313.324982762</v>
      </c>
      <c r="B926">
        <v>237604609.71269011</v>
      </c>
    </row>
    <row r="927" spans="1:2" x14ac:dyDescent="0.25">
      <c r="A927">
        <f ca="1">32707.7698003196*(RANDBETWEEN(2890,3282))</f>
        <v>94558162.492723837</v>
      </c>
      <c r="B927">
        <v>233101750.49235409</v>
      </c>
    </row>
    <row r="928" spans="1:2" x14ac:dyDescent="0.25">
      <c r="A928">
        <f ca="1">26498.634838967*(RANDBETWEEN(2890,3282))</f>
        <v>84265658.787914962</v>
      </c>
      <c r="B928">
        <v>264081459.95992371</v>
      </c>
    </row>
    <row r="929" spans="1:2" x14ac:dyDescent="0.25">
      <c r="A929">
        <f ca="1">30438.0203404961*(RANDBETWEEN(2890,3282))</f>
        <v>91222746.960466921</v>
      </c>
      <c r="B929">
        <v>239005695.01157069</v>
      </c>
    </row>
    <row r="930" spans="1:2" x14ac:dyDescent="0.25">
      <c r="A930">
        <f ca="1">30620.3175493849*(RANDBETWEEN(2890,3282))</f>
        <v>96882684.726253718</v>
      </c>
      <c r="B930">
        <v>254903063.48335239</v>
      </c>
    </row>
    <row r="931" spans="1:2" x14ac:dyDescent="0.25">
      <c r="A931">
        <f ca="1">30842.8486582151*(RANDBETWEEN(2890,3282))</f>
        <v>93114560.099151507</v>
      </c>
      <c r="B931">
        <v>225931779.75414884</v>
      </c>
    </row>
    <row r="932" spans="1:2" x14ac:dyDescent="0.25">
      <c r="A932">
        <f ca="1">26460.9299550981*(RANDBETWEEN(2890,3282))</f>
        <v>80229539.62385729</v>
      </c>
      <c r="B932">
        <v>237744405.95056474</v>
      </c>
    </row>
    <row r="933" spans="1:2" x14ac:dyDescent="0.25">
      <c r="A933">
        <f ca="1">31133.2502603543*(RANDBETWEEN(2890,3282))</f>
        <v>99844333.584956184</v>
      </c>
      <c r="B933">
        <v>212324388.84403253</v>
      </c>
    </row>
    <row r="934" spans="1:2" x14ac:dyDescent="0.25">
      <c r="A934">
        <f ca="1">33429.9742730589*(RANDBETWEEN(2890,3282))</f>
        <v>106140168.31696188</v>
      </c>
      <c r="B934">
        <v>230769182.37547559</v>
      </c>
    </row>
    <row r="935" spans="1:2" x14ac:dyDescent="0.25">
      <c r="A935">
        <f ca="1">27930.2808905092*(RANDBETWEEN(2890,3282))</f>
        <v>86751452.445921674</v>
      </c>
      <c r="B935">
        <v>240118115.27015877</v>
      </c>
    </row>
    <row r="936" spans="1:2" x14ac:dyDescent="0.25">
      <c r="A936">
        <f ca="1">30175.8401531719*(RANDBETWEEN(2890,3282))</f>
        <v>95204775.683257237</v>
      </c>
      <c r="B936">
        <v>204877371.93628243</v>
      </c>
    </row>
    <row r="937" spans="1:2" x14ac:dyDescent="0.25">
      <c r="A937">
        <f ca="1">31170.5995324761*(RANDBETWEEN(2890,3282))</f>
        <v>91018150.634830192</v>
      </c>
      <c r="B937">
        <v>230675432.23759934</v>
      </c>
    </row>
    <row r="938" spans="1:2" x14ac:dyDescent="0.25">
      <c r="A938">
        <f ca="1">29900.5285555265*(RANDBETWEEN(2890,3282))</f>
        <v>90897606.808800474</v>
      </c>
      <c r="B938">
        <v>257840446.61353993</v>
      </c>
    </row>
    <row r="939" spans="1:2" x14ac:dyDescent="0.25">
      <c r="A939">
        <f ca="1">26847.6267994194*(RANDBETWEEN(2890,3282))</f>
        <v>82341671.393819258</v>
      </c>
      <c r="B939">
        <v>231263967.89841473</v>
      </c>
    </row>
    <row r="940" spans="1:2" x14ac:dyDescent="0.25">
      <c r="A940">
        <f ca="1">30975.152336709*(RANDBETWEEN(2890,3282))</f>
        <v>98872686.258775264</v>
      </c>
      <c r="B940">
        <v>241418012.56651244</v>
      </c>
    </row>
    <row r="941" spans="1:2" x14ac:dyDescent="0.25">
      <c r="A941">
        <f ca="1">30918.1517807595*(RANDBETWEEN(2890,3282))</f>
        <v>95629843.45788908</v>
      </c>
      <c r="B941">
        <v>232024503.81302413</v>
      </c>
    </row>
    <row r="942" spans="1:2" x14ac:dyDescent="0.25">
      <c r="A942">
        <f ca="1">28627.4992426483*(RANDBETWEEN(2890,3282))</f>
        <v>91464860.080261454</v>
      </c>
      <c r="B942">
        <v>219374750.29832938</v>
      </c>
    </row>
    <row r="943" spans="1:2" x14ac:dyDescent="0.25">
      <c r="A943">
        <f ca="1">28985.008274464*(RANDBETWEEN(2890,3282))</f>
        <v>87708635.038528174</v>
      </c>
      <c r="B943">
        <v>254110170.31456575</v>
      </c>
    </row>
    <row r="944" spans="1:2" x14ac:dyDescent="0.25">
      <c r="A944">
        <f ca="1">30736.0611497843*(RANDBETWEEN(2890,3282))</f>
        <v>89226785.517823741</v>
      </c>
      <c r="B944">
        <v>214974975.9293963</v>
      </c>
    </row>
    <row r="945" spans="1:2" x14ac:dyDescent="0.25">
      <c r="A945">
        <f ca="1">29172.9701867268*(RANDBETWEEN(2890,3282))</f>
        <v>88394099.665782273</v>
      </c>
      <c r="B945">
        <v>254655958.34969813</v>
      </c>
    </row>
    <row r="946" spans="1:2" x14ac:dyDescent="0.25">
      <c r="A946">
        <f ca="1">26279.3374300703*(RANDBETWEEN(2890,3282))</f>
        <v>86117388.758340284</v>
      </c>
      <c r="B946">
        <v>226224198.70466757</v>
      </c>
    </row>
    <row r="947" spans="1:2" x14ac:dyDescent="0.25">
      <c r="A947">
        <f ca="1">30831.3912423136*(RANDBETWEEN(2890,3282))</f>
        <v>94929853.63508378</v>
      </c>
      <c r="B947">
        <v>229125005.07541421</v>
      </c>
    </row>
    <row r="948" spans="1:2" x14ac:dyDescent="0.25">
      <c r="A948">
        <f ca="1">30952.0147632061*(RANDBETWEEN(2890,3282))</f>
        <v>100903568.12805192</v>
      </c>
      <c r="B948">
        <v>254260205.1915113</v>
      </c>
    </row>
    <row r="949" spans="1:2" x14ac:dyDescent="0.25">
      <c r="A949">
        <f ca="1">30856.1296700932*(RANDBETWEEN(2890,3282))</f>
        <v>91056438.656445011</v>
      </c>
      <c r="B949">
        <v>230641381.95193249</v>
      </c>
    </row>
    <row r="950" spans="1:2" x14ac:dyDescent="0.25">
      <c r="A950">
        <f ca="1">29239.8031055274*(RANDBETWEEN(2890,3282))</f>
        <v>91023507.067506656</v>
      </c>
      <c r="B950">
        <v>231182336.22379851</v>
      </c>
    </row>
    <row r="951" spans="1:2" x14ac:dyDescent="0.25">
      <c r="A951">
        <f ca="1">32662.5111634522*(RANDBETWEEN(2890,3282))</f>
        <v>102625610.07556684</v>
      </c>
      <c r="B951">
        <v>241955052.85442272</v>
      </c>
    </row>
    <row r="952" spans="1:2" x14ac:dyDescent="0.25">
      <c r="A952">
        <f ca="1">28824.6819388176*(RANDBETWEEN(2890,3282))</f>
        <v>86387571.770636395</v>
      </c>
      <c r="B952">
        <v>229645492.65109909</v>
      </c>
    </row>
    <row r="953" spans="1:2" x14ac:dyDescent="0.25">
      <c r="A953">
        <f ca="1">30361.0954987893*(RANDBETWEEN(2890,3282))</f>
        <v>93238924.276781917</v>
      </c>
      <c r="B953">
        <v>242472029.88738921</v>
      </c>
    </row>
    <row r="954" spans="1:2" x14ac:dyDescent="0.25">
      <c r="A954">
        <f ca="1">27883.386078793*(RANDBETWEEN(2890,3282))</f>
        <v>89840269.94587104</v>
      </c>
      <c r="B954">
        <v>230643643.96816164</v>
      </c>
    </row>
    <row r="955" spans="1:2" x14ac:dyDescent="0.25">
      <c r="A955">
        <f ca="1">32126.5118727652*(RANDBETWEEN(2890,3282))</f>
        <v>101423397.98231968</v>
      </c>
      <c r="B955">
        <v>265346419.47842798</v>
      </c>
    </row>
    <row r="956" spans="1:2" x14ac:dyDescent="0.25">
      <c r="A956">
        <f ca="1">33886.7360416142*(RANDBETWEEN(2890,3282))</f>
        <v>98847609.033388525</v>
      </c>
      <c r="B956">
        <v>249732024.01387388</v>
      </c>
    </row>
    <row r="957" spans="1:2" x14ac:dyDescent="0.25">
      <c r="A957">
        <f ca="1">26771.6554785898*(RANDBETWEEN(2890,3282))</f>
        <v>82188982.319270715</v>
      </c>
      <c r="B957">
        <v>226815920.83169121</v>
      </c>
    </row>
    <row r="958" spans="1:2" x14ac:dyDescent="0.25">
      <c r="A958">
        <f ca="1">31411.1891895324*(RANDBETWEEN(2890,3282))</f>
        <v>101772252.97408502</v>
      </c>
      <c r="B958">
        <v>207808088.19845173</v>
      </c>
    </row>
    <row r="959" spans="1:2" x14ac:dyDescent="0.25">
      <c r="A959">
        <f ca="1">27463.5571954259*(RANDBETWEEN(2890,3282))</f>
        <v>81731546.213587552</v>
      </c>
      <c r="B959">
        <v>231260715.91575444</v>
      </c>
    </row>
    <row r="960" spans="1:2" x14ac:dyDescent="0.25">
      <c r="A960">
        <f ca="1">26750.1170620354*(RANDBETWEEN(2890,3282))</f>
        <v>81989108.795138568</v>
      </c>
      <c r="B960">
        <v>214175411.26236123</v>
      </c>
    </row>
    <row r="961" spans="1:2" x14ac:dyDescent="0.25">
      <c r="A961">
        <f ca="1">30640.7938992972*(RANDBETWEEN(2890,3282))</f>
        <v>97161957.454671398</v>
      </c>
      <c r="B961">
        <v>221484584.22153139</v>
      </c>
    </row>
    <row r="962" spans="1:2" x14ac:dyDescent="0.25">
      <c r="A962">
        <f ca="1">26539.8349815204*(RANDBETWEEN(2890,3282))</f>
        <v>78557911.54530026</v>
      </c>
      <c r="B962">
        <v>218910656.41761494</v>
      </c>
    </row>
    <row r="963" spans="1:2" x14ac:dyDescent="0.25">
      <c r="A963">
        <f ca="1">26633.0436174072*(RANDBETWEEN(2890,3282))</f>
        <v>87116685.672538832</v>
      </c>
      <c r="B963">
        <v>227277707.39082637</v>
      </c>
    </row>
    <row r="964" spans="1:2" x14ac:dyDescent="0.25">
      <c r="A964">
        <f ca="1">28312.6604440409*(RANDBETWEEN(2890,3282))</f>
        <v>81823588.683278337</v>
      </c>
      <c r="B964">
        <v>207055407.55875981</v>
      </c>
    </row>
    <row r="965" spans="1:2" x14ac:dyDescent="0.25">
      <c r="A965">
        <f ca="1">32492.2406614071*(RANDBETWEEN(2890,3282))</f>
        <v>96664415.967686206</v>
      </c>
      <c r="B965">
        <v>215653460.7368024</v>
      </c>
    </row>
    <row r="966" spans="1:2" x14ac:dyDescent="0.25">
      <c r="A966">
        <f ca="1">30763.2560191248*(RANDBETWEEN(2890,3282))</f>
        <v>91213054.096705019</v>
      </c>
      <c r="B966">
        <v>262986035.40270549</v>
      </c>
    </row>
    <row r="967" spans="1:2" x14ac:dyDescent="0.25">
      <c r="A967">
        <f ca="1">27655.6006073927*(RANDBETWEEN(2890,3282))</f>
        <v>83160391.026429847</v>
      </c>
      <c r="B967">
        <v>252988954.34623733</v>
      </c>
    </row>
    <row r="968" spans="1:2" x14ac:dyDescent="0.25">
      <c r="A968">
        <f ca="1">27917.6516967395*(RANDBETWEEN(2890,3282))</f>
        <v>90760285.666100025</v>
      </c>
      <c r="B968">
        <v>227914318.77237588</v>
      </c>
    </row>
    <row r="969" spans="1:2" x14ac:dyDescent="0.25">
      <c r="A969">
        <f ca="1">32069.3593373014*(RANDBETWEEN(2890,3282))</f>
        <v>104963013.11098763</v>
      </c>
      <c r="B969">
        <v>265836618.05384555</v>
      </c>
    </row>
    <row r="970" spans="1:2" x14ac:dyDescent="0.25">
      <c r="A970">
        <f ca="1">28283.3791547988*(RANDBETWEEN(2890,3282))</f>
        <v>91977549.011405781</v>
      </c>
      <c r="B970">
        <v>258755623.96679446</v>
      </c>
    </row>
    <row r="971" spans="1:2" x14ac:dyDescent="0.25">
      <c r="A971">
        <f ca="1">32576.4121674625*(RANDBETWEEN(2890,3282))</f>
        <v>106296832.9024301</v>
      </c>
      <c r="B971">
        <v>232131342.57089192</v>
      </c>
    </row>
    <row r="972" spans="1:2" x14ac:dyDescent="0.25">
      <c r="A972">
        <f ca="1">30704.5648693814*(RANDBETWEEN(2890,3282))</f>
        <v>89595920.288855016</v>
      </c>
      <c r="B972">
        <v>227288018.85276765</v>
      </c>
    </row>
    <row r="973" spans="1:2" x14ac:dyDescent="0.25">
      <c r="A973">
        <f ca="1">30463.2221329463*(RANDBETWEEN(2890,3282))</f>
        <v>93369775.837480277</v>
      </c>
      <c r="B973">
        <v>221100525.07505396</v>
      </c>
    </row>
    <row r="974" spans="1:2" x14ac:dyDescent="0.25">
      <c r="A974">
        <f ca="1">29786.1863903853*(RANDBETWEEN(2890,3282))</f>
        <v>86796947.141582876</v>
      </c>
      <c r="B974">
        <v>247981968.28635979</v>
      </c>
    </row>
    <row r="975" spans="1:2" x14ac:dyDescent="0.25">
      <c r="A975">
        <f ca="1">29527.2433488*(RANDBETWEEN(2890,3282))</f>
        <v>94162379.039323166</v>
      </c>
      <c r="B975">
        <v>253227266.55860704</v>
      </c>
    </row>
    <row r="976" spans="1:2" x14ac:dyDescent="0.25">
      <c r="A976">
        <f ca="1">32113.8884530059*(RANDBETWEEN(2890,3282))</f>
        <v>94607515.382555246</v>
      </c>
      <c r="B976">
        <v>207268251.98544657</v>
      </c>
    </row>
    <row r="977" spans="1:2" x14ac:dyDescent="0.25">
      <c r="A977">
        <f ca="1">27720.5949530751*(RANDBETWEEN(2890,3282))</f>
        <v>87874286.001248226</v>
      </c>
      <c r="B977">
        <v>233086901.56698263</v>
      </c>
    </row>
    <row r="978" spans="1:2" x14ac:dyDescent="0.25">
      <c r="A978">
        <f ca="1">27700.9308348835*(RANDBETWEEN(2890,3282))</f>
        <v>86011390.242313161</v>
      </c>
      <c r="B978">
        <v>262392874.85419169</v>
      </c>
    </row>
    <row r="979" spans="1:2" x14ac:dyDescent="0.25">
      <c r="A979">
        <f ca="1">30704.0224806053*(RANDBETWEEN(2890,3282))</f>
        <v>94261349.015458182</v>
      </c>
      <c r="B979">
        <v>264972492.00497535</v>
      </c>
    </row>
    <row r="980" spans="1:2" x14ac:dyDescent="0.25">
      <c r="A980">
        <f ca="1">28656.9014464228*(RANDBETWEEN(2890,3282))</f>
        <v>84652486.872732863</v>
      </c>
      <c r="B980">
        <v>259978500.62234741</v>
      </c>
    </row>
    <row r="981" spans="1:2" x14ac:dyDescent="0.25">
      <c r="A981">
        <f ca="1">27167.4566574277*(RANDBETWEEN(2890,3282))</f>
        <v>82752072.978524849</v>
      </c>
      <c r="B981">
        <v>203913638.42748249</v>
      </c>
    </row>
    <row r="982" spans="1:2" x14ac:dyDescent="0.25">
      <c r="A982">
        <f ca="1">27575.6626934799*(RANDBETWEEN(2890,3282))</f>
        <v>84546981.81820941</v>
      </c>
      <c r="B982">
        <v>233061297.0674088</v>
      </c>
    </row>
    <row r="983" spans="1:2" x14ac:dyDescent="0.25">
      <c r="A983">
        <f ca="1">26339.2657252402*(RANDBETWEEN(2890,3282))</f>
        <v>84443685.915119961</v>
      </c>
      <c r="B983">
        <v>205463233.35222512</v>
      </c>
    </row>
    <row r="984" spans="1:2" x14ac:dyDescent="0.25">
      <c r="A984">
        <f ca="1">31024.9513204875*(RANDBETWEEN(2890,3282))</f>
        <v>96301448.898793206</v>
      </c>
      <c r="B984">
        <v>246162863.9559117</v>
      </c>
    </row>
    <row r="985" spans="1:2" x14ac:dyDescent="0.25">
      <c r="A985">
        <f ca="1">31798.6998664152*(RANDBETWEEN(2890,3282))</f>
        <v>99752521.480944335</v>
      </c>
      <c r="B985">
        <v>239703047.26402754</v>
      </c>
    </row>
    <row r="986" spans="1:2" x14ac:dyDescent="0.25">
      <c r="A986">
        <f ca="1">31954.2562192713*(RANDBETWEEN(2890,3282))</f>
        <v>95223683.533428386</v>
      </c>
      <c r="B986">
        <v>233050888.47760898</v>
      </c>
    </row>
    <row r="987" spans="1:2" x14ac:dyDescent="0.25">
      <c r="A987">
        <f ca="1">29721.9600401042*(RANDBETWEEN(2890,3282))</f>
        <v>91068085.562879369</v>
      </c>
      <c r="B987">
        <v>219731148.39721632</v>
      </c>
    </row>
    <row r="988" spans="1:2" x14ac:dyDescent="0.25">
      <c r="A988">
        <f ca="1">31159.5399134021*(RANDBETWEEN(2890,3282))</f>
        <v>98744581.985571206</v>
      </c>
      <c r="B988">
        <v>217002178.74809241</v>
      </c>
    </row>
    <row r="989" spans="1:2" x14ac:dyDescent="0.25">
      <c r="A989">
        <f ca="1">31094.4656495054*(RANDBETWEEN(2890,3282))</f>
        <v>94931403.627940059</v>
      </c>
      <c r="B989">
        <v>229809311.22070086</v>
      </c>
    </row>
    <row r="990" spans="1:2" x14ac:dyDescent="0.25">
      <c r="A990">
        <f ca="1">32653.2593541814*(RANDBETWEEN(2890,3282))</f>
        <v>105992479.8636727</v>
      </c>
      <c r="B990">
        <v>228821778.01535133</v>
      </c>
    </row>
    <row r="991" spans="1:2" x14ac:dyDescent="0.25">
      <c r="A991">
        <f ca="1">27480.5188185893*(RANDBETWEEN(2890,3282))</f>
        <v>79611063.017453149</v>
      </c>
      <c r="B991">
        <v>217968697.77834582</v>
      </c>
    </row>
    <row r="992" spans="1:2" x14ac:dyDescent="0.25">
      <c r="A992">
        <f ca="1">27896.1229181458*(RANDBETWEEN(2890,3282))</f>
        <v>90439230.500628561</v>
      </c>
      <c r="B992">
        <v>250915804.08986267</v>
      </c>
    </row>
    <row r="993" spans="1:2" x14ac:dyDescent="0.25">
      <c r="A993">
        <f ca="1">27553.3434397927*(RANDBETWEEN(2890,3282))</f>
        <v>82990670.440655574</v>
      </c>
      <c r="B993">
        <v>238924458.49368685</v>
      </c>
    </row>
    <row r="994" spans="1:2" x14ac:dyDescent="0.25">
      <c r="A994">
        <f ca="1">30735.184739797*(RANDBETWEEN(2890,3282))</f>
        <v>88824683.898013338</v>
      </c>
      <c r="B994">
        <v>207078320.1850597</v>
      </c>
    </row>
    <row r="995" spans="1:2" x14ac:dyDescent="0.25">
      <c r="A995">
        <f ca="1">26022.3407673169*(RANDBETWEEN(2890,3282))</f>
        <v>82412753.210092545</v>
      </c>
      <c r="B995">
        <v>217745666.23354369</v>
      </c>
    </row>
    <row r="996" spans="1:2" x14ac:dyDescent="0.25">
      <c r="A996">
        <f ca="1">31563.09826515*(RANDBETWEEN(2890,3282))</f>
        <v>101538487.11898765</v>
      </c>
      <c r="B996">
        <v>252613641.64504302</v>
      </c>
    </row>
    <row r="997" spans="1:2" x14ac:dyDescent="0.25">
      <c r="A997">
        <f ca="1">33300.4983822395*(RANDBETWEEN(2890,3282))</f>
        <v>97370657.269668341</v>
      </c>
      <c r="B997">
        <v>218636819.70165417</v>
      </c>
    </row>
    <row r="998" spans="1:2" x14ac:dyDescent="0.25">
      <c r="A998">
        <f ca="1">27414.9915277004*(RANDBETWEEN(2890,3282))</f>
        <v>83149669.303515211</v>
      </c>
      <c r="B998">
        <v>231489896.50996134</v>
      </c>
    </row>
    <row r="999" spans="1:2" x14ac:dyDescent="0.25">
      <c r="A999">
        <f ca="1">30408.0663812359*(RANDBETWEEN(2890,3282))</f>
        <v>90403181.351414368</v>
      </c>
      <c r="B999">
        <v>225990599.26838541</v>
      </c>
    </row>
    <row r="1000" spans="1:2" x14ac:dyDescent="0.25">
      <c r="A1000">
        <f ca="1">30962.1418805886*(RANDBETWEEN(2890,3282))</f>
        <v>96787655.518720001</v>
      </c>
      <c r="B1000">
        <v>244344690.30976006</v>
      </c>
    </row>
    <row r="1001" spans="1:2" x14ac:dyDescent="0.25">
      <c r="A1001">
        <f ca="1">26355.4977064814*(RANDBETWEEN(2890,3282))</f>
        <v>84627503.135511667</v>
      </c>
      <c r="B1001">
        <v>219447578.89454353</v>
      </c>
    </row>
    <row r="1002" spans="1:2" x14ac:dyDescent="0.25">
      <c r="A1002">
        <f ca="1">31641.924463685*(RANDBETWEEN(2890,3282))</f>
        <v>101032664.81254604</v>
      </c>
      <c r="B1002">
        <v>228774024.63608417</v>
      </c>
    </row>
    <row r="1003" spans="1:2" x14ac:dyDescent="0.25">
      <c r="A1003">
        <f ca="1">28324.5900493565*(RANDBETWEEN(2890,3282))</f>
        <v>90525389.797743469</v>
      </c>
      <c r="B1003">
        <v>245382489.35619867</v>
      </c>
    </row>
    <row r="1004" spans="1:2" x14ac:dyDescent="0.25">
      <c r="A1004">
        <f ca="1">28002.9067839403*(RANDBETWEEN(2890,3282))</f>
        <v>88881226.132226646</v>
      </c>
      <c r="B1004">
        <v>226127943.57007879</v>
      </c>
    </row>
    <row r="1005" spans="1:2" x14ac:dyDescent="0.25">
      <c r="A1005">
        <f ca="1">30456.6803338992*(RANDBETWEEN(2890,3282))</f>
        <v>96090826.453451842</v>
      </c>
      <c r="B1005">
        <v>215220342.36012048</v>
      </c>
    </row>
    <row r="1006" spans="1:2" x14ac:dyDescent="0.25">
      <c r="A1006">
        <f ca="1">28002.0504216157*(RANDBETWEEN(2890,3282))</f>
        <v>87254389.113754615</v>
      </c>
      <c r="B1006">
        <v>231334402.32757789</v>
      </c>
    </row>
    <row r="1007" spans="1:2" x14ac:dyDescent="0.25">
      <c r="A1007">
        <f ca="1">27623.94019928*(RANDBETWEEN(2890,3282))</f>
        <v>87485018.611119717</v>
      </c>
      <c r="B1007">
        <v>230637019.8962158</v>
      </c>
    </row>
    <row r="1008" spans="1:2" x14ac:dyDescent="0.25">
      <c r="A1008">
        <f ca="1">32090.8945411082*(RANDBETWEEN(2890,3282))</f>
        <v>95951774.677913651</v>
      </c>
      <c r="B1008">
        <v>253647417.79558483</v>
      </c>
    </row>
    <row r="1009" spans="1:2" x14ac:dyDescent="0.25">
      <c r="A1009">
        <f ca="1">28632.5463234105*(RANDBETWEEN(2890,3282))</f>
        <v>92282696.800352022</v>
      </c>
      <c r="B1009">
        <v>219319157.76279402</v>
      </c>
    </row>
    <row r="1010" spans="1:2" x14ac:dyDescent="0.25">
      <c r="A1010">
        <f ca="1">29180.4350351633*(RANDBETWEEN(2890,3282))</f>
        <v>87337042.060243651</v>
      </c>
      <c r="B1010">
        <v>243050689.77811277</v>
      </c>
    </row>
    <row r="1011" spans="1:2" x14ac:dyDescent="0.25">
      <c r="A1011">
        <f ca="1">27551.1807856971*(RANDBETWEEN(2890,3282))</f>
        <v>89844400.542158186</v>
      </c>
      <c r="B1011">
        <v>225584622.199518</v>
      </c>
    </row>
    <row r="1012" spans="1:2" x14ac:dyDescent="0.25">
      <c r="A1012">
        <f ca="1">31859.0383652868*(RANDBETWEEN(2890,3282))</f>
        <v>100833856.42613284</v>
      </c>
      <c r="B1012">
        <v>250409417.95855442</v>
      </c>
    </row>
    <row r="1013" spans="1:2" x14ac:dyDescent="0.25">
      <c r="A1013">
        <f ca="1">33776.7100486662*(RANDBETWEEN(2890,3282))</f>
        <v>98020012.561229378</v>
      </c>
      <c r="B1013">
        <v>261071496.05334848</v>
      </c>
    </row>
    <row r="1014" spans="1:2" x14ac:dyDescent="0.25">
      <c r="A1014">
        <f ca="1">32122.0140429102*(RANDBETWEEN(2890,3282))</f>
        <v>103561373.27434243</v>
      </c>
      <c r="B1014">
        <v>239575179.79097891</v>
      </c>
    </row>
    <row r="1015" spans="1:2" x14ac:dyDescent="0.25">
      <c r="A1015">
        <f ca="1">33548.3429714154*(RANDBETWEEN(2890,3282))</f>
        <v>105442441.9591587</v>
      </c>
      <c r="B1015">
        <v>253503614.04833332</v>
      </c>
    </row>
    <row r="1016" spans="1:2" x14ac:dyDescent="0.25">
      <c r="A1016">
        <f ca="1">30213.4124016543*(RANDBETWEEN(2890,3282))</f>
        <v>87800176.439207271</v>
      </c>
      <c r="B1016">
        <v>240538400.41902354</v>
      </c>
    </row>
    <row r="1017" spans="1:2" x14ac:dyDescent="0.25">
      <c r="A1017">
        <f ca="1">31756.2137871938*(RANDBETWEEN(2890,3282))</f>
        <v>95808496.995963678</v>
      </c>
      <c r="B1017">
        <v>224178080.09077793</v>
      </c>
    </row>
    <row r="1018" spans="1:2" x14ac:dyDescent="0.25">
      <c r="A1018">
        <f ca="1">28338.4839946611*(RANDBETWEEN(2890,3282))</f>
        <v>87055822.831598967</v>
      </c>
      <c r="B1018">
        <v>229328552.79073554</v>
      </c>
    </row>
    <row r="1019" spans="1:2" x14ac:dyDescent="0.25">
      <c r="A1019">
        <f ca="1">29236.9231609579*(RANDBETWEEN(2890,3282))</f>
        <v>93148837.190811932</v>
      </c>
      <c r="B1019">
        <v>263882959.27659118</v>
      </c>
    </row>
    <row r="1020" spans="1:2" x14ac:dyDescent="0.25">
      <c r="A1020">
        <f ca="1">28967.5573923248*(RANDBETWEEN(2890,3282))</f>
        <v>84353527.126449764</v>
      </c>
      <c r="B1020">
        <v>238822000.94456327</v>
      </c>
    </row>
    <row r="1021" spans="1:2" x14ac:dyDescent="0.25">
      <c r="A1021">
        <f ca="1">29531.3262592138*(RANDBETWEEN(2890,3282))</f>
        <v>93230397.000337914</v>
      </c>
      <c r="B1021">
        <v>226964260.20630729</v>
      </c>
    </row>
    <row r="1022" spans="1:2" x14ac:dyDescent="0.25">
      <c r="A1022">
        <f ca="1">32921.2971696543*(RANDBETWEEN(2890,3282))</f>
        <v>99027261.886320233</v>
      </c>
      <c r="B1022">
        <v>245266226.85917321</v>
      </c>
    </row>
    <row r="1023" spans="1:2" x14ac:dyDescent="0.25">
      <c r="A1023">
        <f ca="1">31132.011037418*(RANDBETWEEN(2890,3282))</f>
        <v>92586600.825281203</v>
      </c>
      <c r="B1023">
        <v>266948961.27980494</v>
      </c>
    </row>
    <row r="1024" spans="1:2" x14ac:dyDescent="0.25">
      <c r="A1024">
        <f ca="1">28905.2691591613*(RANDBETWEEN(2890,3282))</f>
        <v>87872018.243850455</v>
      </c>
      <c r="B1024">
        <v>217708529.52673221</v>
      </c>
    </row>
    <row r="1025" spans="1:2" x14ac:dyDescent="0.25">
      <c r="A1025">
        <f ca="1">26913.8345325329*(RANDBETWEEN(2890,3282))</f>
        <v>81441263.295444548</v>
      </c>
      <c r="B1025">
        <v>209461141.23481044</v>
      </c>
    </row>
    <row r="1026" spans="1:2" x14ac:dyDescent="0.25">
      <c r="A1026">
        <f ca="1">29166.6411812117*(RANDBETWEEN(2890,3282))</f>
        <v>85983258.2022122</v>
      </c>
      <c r="B1026">
        <v>244256692.93209651</v>
      </c>
    </row>
    <row r="1027" spans="1:2" x14ac:dyDescent="0.25">
      <c r="A1027">
        <f ca="1">32719.2386201834*(RANDBETWEEN(2890,3282))</f>
        <v>103949021.09632269</v>
      </c>
      <c r="B1027">
        <v>265538164.05307972</v>
      </c>
    </row>
    <row r="1028" spans="1:2" x14ac:dyDescent="0.25">
      <c r="A1028">
        <f ca="1">30115.5618526507*(RANDBETWEEN(2890,3282))</f>
        <v>92123503.707258373</v>
      </c>
      <c r="B1028">
        <v>260389192.69857931</v>
      </c>
    </row>
    <row r="1029" spans="1:2" x14ac:dyDescent="0.25">
      <c r="A1029">
        <f ca="1">31387.8364331349*(RANDBETWEEN(2890,3282))</f>
        <v>102324346.77201983</v>
      </c>
      <c r="B1029">
        <v>228969306.88137615</v>
      </c>
    </row>
    <row r="1030" spans="1:2" x14ac:dyDescent="0.25">
      <c r="A1030">
        <f ca="1">26297.8520164765*(RANDBETWEEN(2890,3282))</f>
        <v>78236109.749017492</v>
      </c>
      <c r="B1030">
        <v>211149105.83027297</v>
      </c>
    </row>
    <row r="1031" spans="1:2" x14ac:dyDescent="0.25">
      <c r="A1031">
        <f ca="1">32976.0507179767*(RANDBETWEEN(2890,3282))</f>
        <v>104600032.87742208</v>
      </c>
      <c r="B1031">
        <v>206822169.46158493</v>
      </c>
    </row>
    <row r="1032" spans="1:2" x14ac:dyDescent="0.25">
      <c r="A1032">
        <f ca="1">28489.9289904307*(RANDBETWEEN(2890,3282))</f>
        <v>90484014.473607853</v>
      </c>
      <c r="B1032">
        <v>223260807.44963461</v>
      </c>
    </row>
    <row r="1033" spans="1:2" x14ac:dyDescent="0.25">
      <c r="A1033">
        <f ca="1">28595.7875329515*(RANDBETWEEN(2890,3282))</f>
        <v>85215446.848195389</v>
      </c>
      <c r="B1033">
        <v>223609817.10130882</v>
      </c>
    </row>
    <row r="1034" spans="1:2" x14ac:dyDescent="0.25">
      <c r="A1034">
        <f ca="1">28003.6832732782*(RANDBETWEEN(2890,3282))</f>
        <v>81490718.325239688</v>
      </c>
      <c r="B1034">
        <v>248662713.37400782</v>
      </c>
    </row>
    <row r="1035" spans="1:2" x14ac:dyDescent="0.25">
      <c r="A1035">
        <f ca="1">27958.0737019204*(RANDBETWEEN(2890,3282))</f>
        <v>85551705.527876303</v>
      </c>
      <c r="B1035">
        <v>218044770.11412403</v>
      </c>
    </row>
    <row r="1036" spans="1:2" x14ac:dyDescent="0.25">
      <c r="A1036">
        <f ca="1">29779.1227775483*(RANDBETWEEN(2890,3282))</f>
        <v>96901265.518142074</v>
      </c>
      <c r="B1036">
        <v>204749743.64535692</v>
      </c>
    </row>
    <row r="1037" spans="1:2" x14ac:dyDescent="0.25">
      <c r="A1037">
        <f ca="1">33275.89190178*(RANDBETWEEN(2890,3282))</f>
        <v>100093882.8405541</v>
      </c>
      <c r="B1037">
        <v>261382882.96148372</v>
      </c>
    </row>
    <row r="1038" spans="1:2" x14ac:dyDescent="0.25">
      <c r="A1038">
        <f ca="1">34680.499859444*(RANDBETWEEN(2890,3282))</f>
        <v>105636802.5718663</v>
      </c>
      <c r="B1038">
        <v>215143859.65478337</v>
      </c>
    </row>
    <row r="1039" spans="1:2" x14ac:dyDescent="0.25">
      <c r="A1039">
        <f ca="1">31329.8622601151*(RANDBETWEEN(2890,3282))</f>
        <v>92893041.601241186</v>
      </c>
      <c r="B1039">
        <v>213137716.94225797</v>
      </c>
    </row>
    <row r="1040" spans="1:2" x14ac:dyDescent="0.25">
      <c r="A1040">
        <f ca="1">26874.1634320083*(RANDBETWEEN(2890,3282))</f>
        <v>78956292.163240254</v>
      </c>
      <c r="B1040">
        <v>227621868.25348786</v>
      </c>
    </row>
    <row r="1041" spans="1:2" x14ac:dyDescent="0.25">
      <c r="A1041">
        <f ca="1">28882.508499899*(RANDBETWEEN(2890,3282))</f>
        <v>86531995.465697467</v>
      </c>
      <c r="B1041">
        <v>245627729.27038208</v>
      </c>
    </row>
    <row r="1042" spans="1:2" x14ac:dyDescent="0.25">
      <c r="A1042">
        <f ca="1">29221.5246056751*(RANDBETWEEN(2890,3282))</f>
        <v>87021700.27570039</v>
      </c>
      <c r="B1042">
        <v>241303168.58116192</v>
      </c>
    </row>
    <row r="1043" spans="1:2" x14ac:dyDescent="0.25">
      <c r="A1043">
        <f ca="1">27682.3893640677*(RANDBETWEEN(2890,3282))</f>
        <v>85676995.081789479</v>
      </c>
      <c r="B1043">
        <v>245507050.96915561</v>
      </c>
    </row>
    <row r="1044" spans="1:2" x14ac:dyDescent="0.25">
      <c r="A1044">
        <f ca="1">30258.0417653097*(RANDBETWEEN(2890,3282))</f>
        <v>98550442.029613733</v>
      </c>
      <c r="B1044">
        <v>264081241.85228819</v>
      </c>
    </row>
    <row r="1045" spans="1:2" x14ac:dyDescent="0.25">
      <c r="A1045">
        <f ca="1">29981.4429602469*(RANDBETWEEN(2890,3282))</f>
        <v>89524588.679297209</v>
      </c>
      <c r="B1045">
        <v>204532430.43633378</v>
      </c>
    </row>
    <row r="1046" spans="1:2" x14ac:dyDescent="0.25">
      <c r="A1046">
        <f ca="1">31551.3598594795*(RANDBETWEEN(2890,3282))</f>
        <v>101248313.78906976</v>
      </c>
      <c r="B1046">
        <v>263260586.74024439</v>
      </c>
    </row>
    <row r="1047" spans="1:2" x14ac:dyDescent="0.25">
      <c r="A1047">
        <f ca="1">31007.0701945124*(RANDBETWEEN(2890,3282))</f>
        <v>99191617.552245036</v>
      </c>
      <c r="B1047">
        <v>249441803.38784483</v>
      </c>
    </row>
    <row r="1048" spans="1:2" x14ac:dyDescent="0.25">
      <c r="A1048">
        <f ca="1">27364.7461479719*(RANDBETWEEN(2890,3282))</f>
        <v>84940172.043304756</v>
      </c>
      <c r="B1048">
        <v>227309617.10540575</v>
      </c>
    </row>
    <row r="1049" spans="1:2" x14ac:dyDescent="0.25">
      <c r="A1049">
        <f ca="1">29871.9680041904*(RANDBETWEEN(2890,3282))</f>
        <v>95829273.357442677</v>
      </c>
      <c r="B1049">
        <v>262040099.06412846</v>
      </c>
    </row>
    <row r="1050" spans="1:2" x14ac:dyDescent="0.25">
      <c r="A1050">
        <f ca="1">27119.0353822041*(RANDBETWEEN(2890,3282))</f>
        <v>79811321.12982665</v>
      </c>
      <c r="B1050">
        <v>234490653.94922161</v>
      </c>
    </row>
    <row r="1051" spans="1:2" x14ac:dyDescent="0.25">
      <c r="A1051">
        <f ca="1">28879.7166347458*(RANDBETWEEN(2890,3282))</f>
        <v>92703890.397534072</v>
      </c>
      <c r="B1051">
        <v>247464237.00854421</v>
      </c>
    </row>
    <row r="1052" spans="1:2" x14ac:dyDescent="0.25">
      <c r="A1052">
        <f ca="1">26238.5611278093*(RANDBETWEEN(2890,3282))</f>
        <v>81050915.323803052</v>
      </c>
      <c r="B1052">
        <v>248014332.80216479</v>
      </c>
    </row>
    <row r="1053" spans="1:2" x14ac:dyDescent="0.25">
      <c r="A1053">
        <f ca="1">26098.5322285929*(RANDBETWEEN(2890,3282))</f>
        <v>75685743.462919444</v>
      </c>
      <c r="B1053">
        <v>240782580.33219203</v>
      </c>
    </row>
    <row r="1054" spans="1:2" x14ac:dyDescent="0.25">
      <c r="A1054">
        <f ca="1">27812.744565327*(RANDBETWEEN(2890,3282))</f>
        <v>88694842.418827698</v>
      </c>
      <c r="B1054">
        <v>217140524.17240351</v>
      </c>
    </row>
    <row r="1055" spans="1:2" x14ac:dyDescent="0.25">
      <c r="A1055">
        <f ca="1">29404.5260984538*(RANDBETWEEN(2890,3282))</f>
        <v>94623764.984824255</v>
      </c>
      <c r="B1055">
        <v>218556642.78823549</v>
      </c>
    </row>
    <row r="1056" spans="1:2" x14ac:dyDescent="0.25">
      <c r="A1056">
        <f ca="1">27544.1676248*(RANDBETWEEN(2890,3282))</f>
        <v>89188014.76910232</v>
      </c>
      <c r="B1056">
        <v>236476570.09619802</v>
      </c>
    </row>
    <row r="1057" spans="1:2" x14ac:dyDescent="0.25">
      <c r="A1057">
        <f ca="1">28250.0691990221*(RANDBETWEEN(2890,3282))</f>
        <v>90400221.436870605</v>
      </c>
      <c r="B1057">
        <v>221775995.70356792</v>
      </c>
    </row>
    <row r="1058" spans="1:2" x14ac:dyDescent="0.25">
      <c r="A1058">
        <f ca="1">31099.9027693267*(RANDBETWEEN(2890,3282))</f>
        <v>94201605.488290638</v>
      </c>
      <c r="B1058">
        <v>220724977.28834662</v>
      </c>
    </row>
    <row r="1059" spans="1:2" x14ac:dyDescent="0.25">
      <c r="A1059">
        <f ca="1">31330.0617385742*(RANDBETWEEN(2890,3282))</f>
        <v>102292651.57644464</v>
      </c>
      <c r="B1059">
        <v>234722113.44566321</v>
      </c>
    </row>
    <row r="1060" spans="1:2" x14ac:dyDescent="0.25">
      <c r="A1060">
        <f ca="1">26871.6014751649*(RANDBETWEEN(2890,3282))</f>
        <v>87655164.01198782</v>
      </c>
      <c r="B1060">
        <v>239066035.71273178</v>
      </c>
    </row>
    <row r="1061" spans="1:2" x14ac:dyDescent="0.25">
      <c r="A1061">
        <f ca="1">32873.0348101972*(RANDBETWEEN(2890,3282))</f>
        <v>96416611.098308489</v>
      </c>
      <c r="B1061">
        <v>223783004.21538788</v>
      </c>
    </row>
    <row r="1062" spans="1:2" x14ac:dyDescent="0.25">
      <c r="A1062">
        <f ca="1">28374.5822597049*(RANDBETWEEN(2890,3282))</f>
        <v>85889860.500126645</v>
      </c>
      <c r="B1062">
        <v>240417376.80307049</v>
      </c>
    </row>
    <row r="1063" spans="1:2" x14ac:dyDescent="0.25">
      <c r="A1063">
        <f ca="1">32290.3569060823*(RANDBETWEEN(2890,3282))</f>
        <v>102328141.03537472</v>
      </c>
      <c r="B1063">
        <v>234305272.83778533</v>
      </c>
    </row>
    <row r="1064" spans="1:2" x14ac:dyDescent="0.25">
      <c r="A1064">
        <f ca="1">33432.8001822628*(RANDBETWEEN(2890,3282))</f>
        <v>99529446.142596424</v>
      </c>
      <c r="B1064">
        <v>263788857.04590875</v>
      </c>
    </row>
    <row r="1065" spans="1:2" x14ac:dyDescent="0.25">
      <c r="A1065">
        <f ca="1">31714.5571277647*(RANDBETWEEN(2890,3282))</f>
        <v>101296295.46608041</v>
      </c>
      <c r="B1065">
        <v>236640806.55466712</v>
      </c>
    </row>
    <row r="1066" spans="1:2" x14ac:dyDescent="0.25">
      <c r="A1066">
        <f ca="1">32640.9199095634*(RANDBETWEEN(2890,3282))</f>
        <v>106539962.58481479</v>
      </c>
      <c r="B1066">
        <v>257648626.29495537</v>
      </c>
    </row>
    <row r="1067" spans="1:2" x14ac:dyDescent="0.25">
      <c r="A1067">
        <f ca="1">26093.9643680514*(RANDBETWEEN(2890,3282))</f>
        <v>75933436.311029643</v>
      </c>
      <c r="B1067">
        <v>244475050.70132601</v>
      </c>
    </row>
    <row r="1068" spans="1:2" x14ac:dyDescent="0.25">
      <c r="A1068">
        <f ca="1">32168.0764358449*(RANDBETWEEN(2890,3282))</f>
        <v>101265104.6200396</v>
      </c>
      <c r="B1068">
        <v>237895750.84655327</v>
      </c>
    </row>
    <row r="1069" spans="1:2" x14ac:dyDescent="0.25">
      <c r="A1069">
        <f ca="1">28297.8139055763*(RANDBETWEEN(2890,3282))</f>
        <v>92845127.42419596</v>
      </c>
      <c r="B1069">
        <v>252764430.54138038</v>
      </c>
    </row>
    <row r="1070" spans="1:2" x14ac:dyDescent="0.25">
      <c r="A1070">
        <f ca="1">31492.1417369726*(RANDBETWEEN(2890,3282))</f>
        <v>97468178.675930217</v>
      </c>
      <c r="B1070">
        <v>236625431.71246308</v>
      </c>
    </row>
    <row r="1071" spans="1:2" x14ac:dyDescent="0.25">
      <c r="A1071">
        <f ca="1">30433.9493313567*(RANDBETWEEN(2890,3282))</f>
        <v>97388637.860341564</v>
      </c>
      <c r="B1071">
        <v>210040348.78390548</v>
      </c>
    </row>
    <row r="1072" spans="1:2" x14ac:dyDescent="0.25">
      <c r="A1072">
        <f ca="1">29963.4978027719*(RANDBETWEEN(2890,3282))</f>
        <v>87823012.059924468</v>
      </c>
      <c r="B1072">
        <v>253306689.19753546</v>
      </c>
    </row>
    <row r="1073" spans="1:2" x14ac:dyDescent="0.25">
      <c r="A1073">
        <f ca="1">30928.3040387811*(RANDBETWEEN(2890,3282))</f>
        <v>93836474.453661934</v>
      </c>
      <c r="B1073">
        <v>255648333.45771649</v>
      </c>
    </row>
    <row r="1074" spans="1:2" x14ac:dyDescent="0.25">
      <c r="A1074">
        <f ca="1">25796.9812438602*(RANDBETWEEN(2890,3282))</f>
        <v>75043418.438389197</v>
      </c>
      <c r="B1074">
        <v>238482262.47931603</v>
      </c>
    </row>
    <row r="1075" spans="1:2" x14ac:dyDescent="0.25">
      <c r="A1075">
        <f ca="1">34820.7388955393*(RANDBETWEEN(2890,3282))</f>
        <v>100840859.84148182</v>
      </c>
      <c r="B1075">
        <v>241193477.26880592</v>
      </c>
    </row>
    <row r="1076" spans="1:2" x14ac:dyDescent="0.25">
      <c r="A1076">
        <f ca="1">29036.9322839955*(RANDBETWEEN(2890,3282))</f>
        <v>88272274.143346235</v>
      </c>
      <c r="B1076">
        <v>208917463.53430161</v>
      </c>
    </row>
    <row r="1077" spans="1:2" x14ac:dyDescent="0.25">
      <c r="A1077">
        <f ca="1">32761.4432717695*(RANDBETWEEN(2890,3282))</f>
        <v>101429428.36939837</v>
      </c>
      <c r="B1077">
        <v>255137458.66233498</v>
      </c>
    </row>
    <row r="1078" spans="1:2" x14ac:dyDescent="0.25">
      <c r="A1078">
        <f ca="1">32167.5039504411*(RANDBETWEEN(2890,3282))</f>
        <v>100137439.79772314</v>
      </c>
      <c r="B1078">
        <v>244038427.98026451</v>
      </c>
    </row>
    <row r="1079" spans="1:2" x14ac:dyDescent="0.25">
      <c r="A1079">
        <f ca="1">30076.5820640046*(RANDBETWEEN(2890,3282))</f>
        <v>90560588.59471792</v>
      </c>
      <c r="B1079">
        <v>219730541.10086966</v>
      </c>
    </row>
    <row r="1080" spans="1:2" x14ac:dyDescent="0.25">
      <c r="A1080">
        <f ca="1">25621.485713132*(RANDBETWEEN(2890,3282))</f>
        <v>79605956.110701144</v>
      </c>
      <c r="B1080">
        <v>224606695.88901678</v>
      </c>
    </row>
    <row r="1081" spans="1:2" x14ac:dyDescent="0.25">
      <c r="A1081">
        <f ca="1">27231.3029490849*(RANDBETWEEN(2890,3282))</f>
        <v>88038802.43439135</v>
      </c>
      <c r="B1081">
        <v>221235253.19498682</v>
      </c>
    </row>
    <row r="1082" spans="1:2" x14ac:dyDescent="0.25">
      <c r="A1082">
        <f ca="1">28212.9986799041*(RANDBETWEEN(2890,3282))</f>
        <v>84977552.023871109</v>
      </c>
      <c r="B1082">
        <v>237036517.4730984</v>
      </c>
    </row>
    <row r="1083" spans="1:2" x14ac:dyDescent="0.25">
      <c r="A1083">
        <f ca="1">30178.6069171599*(RANDBETWEEN(2890,3282))</f>
        <v>93070823.732521027</v>
      </c>
      <c r="B1083">
        <v>267044334.33378783</v>
      </c>
    </row>
    <row r="1084" spans="1:2" x14ac:dyDescent="0.25">
      <c r="A1084">
        <f ca="1">33092.5699151717*(RANDBETWEEN(2890,3282))</f>
        <v>100932338.2412736</v>
      </c>
      <c r="B1084">
        <v>205556179.33141476</v>
      </c>
    </row>
    <row r="1085" spans="1:2" x14ac:dyDescent="0.25">
      <c r="A1085">
        <f ca="1">31201.1410621559*(RANDBETWEEN(2890,3282))</f>
        <v>100935691.33607443</v>
      </c>
      <c r="B1085">
        <v>229786739.74288049</v>
      </c>
    </row>
    <row r="1086" spans="1:2" x14ac:dyDescent="0.25">
      <c r="A1086">
        <f ca="1">34364.8528770829*(RANDBETWEEN(2890,3282))</f>
        <v>108558570.23870486</v>
      </c>
      <c r="B1086">
        <v>259895846.38002425</v>
      </c>
    </row>
    <row r="1087" spans="1:2" x14ac:dyDescent="0.25">
      <c r="A1087">
        <f ca="1">31432.4488642771*(RANDBETWEEN(2890,3282))</f>
        <v>100615268.81455103</v>
      </c>
      <c r="B1087">
        <v>262297177.93249977</v>
      </c>
    </row>
    <row r="1088" spans="1:2" x14ac:dyDescent="0.25">
      <c r="A1088">
        <f ca="1">28008.2671723912*(RANDBETWEEN(2890,3282))</f>
        <v>90634752.569857866</v>
      </c>
      <c r="B1088">
        <v>259442920.47231591</v>
      </c>
    </row>
    <row r="1089" spans="1:2" x14ac:dyDescent="0.25">
      <c r="A1089">
        <f ca="1">26561.9717754635*(RANDBETWEEN(2890,3282))</f>
        <v>79446857.580411196</v>
      </c>
      <c r="B1089">
        <v>226080464.68076688</v>
      </c>
    </row>
    <row r="1090" spans="1:2" x14ac:dyDescent="0.25">
      <c r="A1090">
        <f ca="1">27939.2333508265*(RANDBETWEEN(2890,3282))</f>
        <v>89517303.656048119</v>
      </c>
      <c r="B1090">
        <v>254276947.86208844</v>
      </c>
    </row>
    <row r="1091" spans="1:2" x14ac:dyDescent="0.25">
      <c r="A1091">
        <f ca="1">26692.1445052083*(RANDBETWEEN(2890,3282))</f>
        <v>79862896.359583184</v>
      </c>
      <c r="B1091">
        <v>252424294.87986705</v>
      </c>
    </row>
    <row r="1092" spans="1:2" x14ac:dyDescent="0.25">
      <c r="A1092">
        <f ca="1">32141.0157257973*(RANDBETWEEN(2890,3282))</f>
        <v>95780226.862875909</v>
      </c>
      <c r="B1092">
        <v>256914942.71384746</v>
      </c>
    </row>
    <row r="1093" spans="1:2" x14ac:dyDescent="0.25">
      <c r="A1093">
        <f ca="1">30550.9108170174*(RANDBETWEEN(2890,3282))</f>
        <v>90522348.750822484</v>
      </c>
      <c r="B1093">
        <v>253458298.05772698</v>
      </c>
    </row>
    <row r="1094" spans="1:2" x14ac:dyDescent="0.25">
      <c r="A1094">
        <f ca="1">31380.296883328*(RANDBETWEEN(2890,3282))</f>
        <v>97498582.416500211</v>
      </c>
      <c r="B1094">
        <v>218261277.29995331</v>
      </c>
    </row>
    <row r="1095" spans="1:2" x14ac:dyDescent="0.25">
      <c r="A1095">
        <f ca="1">25768.3260657364*(RANDBETWEEN(2890,3282))</f>
        <v>79804505.825585574</v>
      </c>
      <c r="B1095">
        <v>206850068.06671259</v>
      </c>
    </row>
    <row r="1096" spans="1:2" x14ac:dyDescent="0.25">
      <c r="A1096">
        <f ca="1">26144.9716375388*(RANDBETWEEN(2890,3282))</f>
        <v>84814287.992175773</v>
      </c>
      <c r="B1096">
        <v>257269864.69679135</v>
      </c>
    </row>
    <row r="1097" spans="1:2" x14ac:dyDescent="0.25">
      <c r="A1097">
        <f ca="1">34832.2272167124*(RANDBETWEEN(2890,3282))</f>
        <v>112473261.68276435</v>
      </c>
      <c r="B1097">
        <v>265480641.26413247</v>
      </c>
    </row>
    <row r="1098" spans="1:2" x14ac:dyDescent="0.25">
      <c r="A1098">
        <f ca="1">31188.5274904561*(RANDBETWEEN(2890,3282))</f>
        <v>102111239.00375322</v>
      </c>
      <c r="B1098">
        <v>267461730.99292701</v>
      </c>
    </row>
    <row r="1099" spans="1:2" x14ac:dyDescent="0.25">
      <c r="A1099">
        <f ca="1">26959.3619410183*(RANDBETWEEN(2890,3282))</f>
        <v>86108202.039612606</v>
      </c>
      <c r="B1099">
        <v>262761228.76216754</v>
      </c>
    </row>
    <row r="1100" spans="1:2" x14ac:dyDescent="0.25">
      <c r="A1100">
        <f ca="1">29437.3663451285*(RANDBETWEEN(2890,3282))</f>
        <v>92345018.224668145</v>
      </c>
      <c r="B1100">
        <v>255241360.47016615</v>
      </c>
    </row>
    <row r="1101" spans="1:2" x14ac:dyDescent="0.25">
      <c r="A1101">
        <f ca="1">31215.1435926581*(RANDBETWEEN(2890,3282))</f>
        <v>92802621.900972545</v>
      </c>
      <c r="B1101">
        <v>247137264.73833132</v>
      </c>
    </row>
    <row r="1102" spans="1:2" x14ac:dyDescent="0.25">
      <c r="A1102">
        <f ca="1">30402.0905578378*(RANDBETWEEN(2890,3282))</f>
        <v>91875117.665785879</v>
      </c>
      <c r="B1102">
        <v>214650908.26520175</v>
      </c>
    </row>
    <row r="1103" spans="1:2" x14ac:dyDescent="0.25">
      <c r="A1103">
        <f ca="1">26988.8146975968*(RANDBETWEEN(2890,3282))</f>
        <v>83341459.786178946</v>
      </c>
      <c r="B1103">
        <v>238580450.5395802</v>
      </c>
    </row>
    <row r="1104" spans="1:2" x14ac:dyDescent="0.25">
      <c r="A1104">
        <f ca="1">33101.2497272404*(RANDBETWEEN(2890,3282))</f>
        <v>98211407.940722227</v>
      </c>
      <c r="B1104">
        <v>231968031.84432253</v>
      </c>
    </row>
    <row r="1105" spans="1:2" x14ac:dyDescent="0.25">
      <c r="A1105">
        <f ca="1">28363.3188918659*(RANDBETWEEN(2890,3282))</f>
        <v>84097240.514382467</v>
      </c>
      <c r="B1105">
        <v>251943254.28135815</v>
      </c>
    </row>
    <row r="1106" spans="1:2" x14ac:dyDescent="0.25">
      <c r="A1106">
        <f ca="1">27440.7212631355*(RANDBETWEEN(2890,3282))</f>
        <v>89648836.36666356</v>
      </c>
      <c r="B1106">
        <v>260057571.79317576</v>
      </c>
    </row>
    <row r="1107" spans="1:2" x14ac:dyDescent="0.25">
      <c r="A1107">
        <f ca="1">27634.3263911309*(RANDBETWEEN(2890,3282))</f>
        <v>89424680.201699585</v>
      </c>
      <c r="B1107">
        <v>210475816.20682439</v>
      </c>
    </row>
    <row r="1108" spans="1:2" x14ac:dyDescent="0.25">
      <c r="A1108">
        <f ca="1">27229.8003636636*(RANDBETWEEN(2890,3282))</f>
        <v>88796378.985906973</v>
      </c>
      <c r="B1108">
        <v>211356997.60527134</v>
      </c>
    </row>
    <row r="1109" spans="1:2" x14ac:dyDescent="0.25">
      <c r="A1109">
        <f ca="1">26658.9501504689*(RANDBETWEEN(2890,3282))</f>
        <v>83069288.668861136</v>
      </c>
      <c r="B1109">
        <v>223755130.63029772</v>
      </c>
    </row>
    <row r="1110" spans="1:2" x14ac:dyDescent="0.25">
      <c r="A1110">
        <f ca="1">25059.0499557453*(RANDBETWEEN(2890,3282))</f>
        <v>82018270.505154282</v>
      </c>
      <c r="B1110">
        <v>238922568.74752158</v>
      </c>
    </row>
    <row r="1111" spans="1:2" x14ac:dyDescent="0.25">
      <c r="A1111">
        <f ca="1">25772.3440793696*(RANDBETWEEN(2890,3282))</f>
        <v>79172641.011823535</v>
      </c>
      <c r="B1111">
        <v>251198003.14728385</v>
      </c>
    </row>
    <row r="1112" spans="1:2" x14ac:dyDescent="0.25">
      <c r="A1112">
        <f ca="1">30423.6689471899*(RANDBETWEEN(2890,3282))</f>
        <v>93157274.316295385</v>
      </c>
      <c r="B1112">
        <v>230121134.63689774</v>
      </c>
    </row>
    <row r="1113" spans="1:2" x14ac:dyDescent="0.25">
      <c r="A1113">
        <f ca="1">26186.481504935*(RANDBETWEEN(2890,3282))</f>
        <v>75809863.956786856</v>
      </c>
      <c r="B1113">
        <v>230561847.19146377</v>
      </c>
    </row>
    <row r="1114" spans="1:2" x14ac:dyDescent="0.25">
      <c r="A1114">
        <f ca="1">30792.0420079244*(RANDBETWEEN(2890,3282))</f>
        <v>100720769.40792058</v>
      </c>
      <c r="B1114">
        <v>262307701.71818471</v>
      </c>
    </row>
    <row r="1115" spans="1:2" x14ac:dyDescent="0.25">
      <c r="A1115">
        <f ca="1">26457.1380617319*(RANDBETWEEN(2890,3282))</f>
        <v>83022499.237714723</v>
      </c>
      <c r="B1115">
        <v>266167936.99053687</v>
      </c>
    </row>
    <row r="1116" spans="1:2" x14ac:dyDescent="0.25">
      <c r="A1116">
        <f ca="1">28658.746762625*(RANDBETWEEN(2890,3282))</f>
        <v>83740858.040390283</v>
      </c>
      <c r="B1116">
        <v>263104624.24098262</v>
      </c>
    </row>
    <row r="1117" spans="1:2" x14ac:dyDescent="0.25">
      <c r="A1117">
        <f ca="1">30452.5020686458*(RANDBETWEEN(2890,3282))</f>
        <v>99122894.233442023</v>
      </c>
      <c r="B1117">
        <v>225275796.07023531</v>
      </c>
    </row>
    <row r="1118" spans="1:2" x14ac:dyDescent="0.25">
      <c r="A1118">
        <f ca="1">28211.5199625102*(RANDBETWEEN(2890,3282))</f>
        <v>84183175.568130404</v>
      </c>
      <c r="B1118">
        <v>246267644.91385865</v>
      </c>
    </row>
    <row r="1119" spans="1:2" x14ac:dyDescent="0.25">
      <c r="A1119">
        <f ca="1">28502.6954579864*(RANDBETWEEN(2890,3282))</f>
        <v>89469961.042619273</v>
      </c>
      <c r="B1119">
        <v>248150530.87044296</v>
      </c>
    </row>
    <row r="1120" spans="1:2" x14ac:dyDescent="0.25">
      <c r="A1120">
        <f ca="1">33149.1981297546*(RANDBETWEEN(2890,3282))</f>
        <v>105944837.22269559</v>
      </c>
      <c r="B1120">
        <v>203716636.52322024</v>
      </c>
    </row>
    <row r="1121" spans="1:2" x14ac:dyDescent="0.25">
      <c r="A1121">
        <f ca="1">32378.7093938111*(RANDBETWEEN(2890,3282))</f>
        <v>93736363.695083141</v>
      </c>
      <c r="B1121">
        <v>221033372.03402293</v>
      </c>
    </row>
    <row r="1122" spans="1:2" x14ac:dyDescent="0.25">
      <c r="A1122">
        <f ca="1">30544.6068141682*(RANDBETWEEN(2890,3282))</f>
        <v>98750713.830205843</v>
      </c>
      <c r="B1122">
        <v>245331526.17420065</v>
      </c>
    </row>
    <row r="1123" spans="1:2" x14ac:dyDescent="0.25">
      <c r="A1123">
        <f ca="1">28097.0358487996*(RANDBETWEEN(2890,3282))</f>
        <v>87999916.278440416</v>
      </c>
      <c r="B1123">
        <v>266873476.85758764</v>
      </c>
    </row>
    <row r="1124" spans="1:2" x14ac:dyDescent="0.25">
      <c r="A1124">
        <f ca="1">25881.4675712762*(RANDBETWEEN(2890,3282))</f>
        <v>76686788.413691267</v>
      </c>
      <c r="B1124">
        <v>207960374.41295367</v>
      </c>
    </row>
    <row r="1125" spans="1:2" x14ac:dyDescent="0.25">
      <c r="A1125">
        <f ca="1">30229.2534833782*(RANDBETWEEN(2890,3282))</f>
        <v>99151951.425480604</v>
      </c>
      <c r="B1125">
        <v>263686950.40047619</v>
      </c>
    </row>
    <row r="1126" spans="1:2" x14ac:dyDescent="0.25">
      <c r="A1126">
        <f ca="1">28023.9535930551*(RANDBETWEEN(2890,3282))</f>
        <v>82138207.981244519</v>
      </c>
      <c r="B1126">
        <v>232791212.63818938</v>
      </c>
    </row>
    <row r="1127" spans="1:2" x14ac:dyDescent="0.25">
      <c r="A1127">
        <f ca="1">33629.6626221455*(RANDBETWEEN(2890,3282))</f>
        <v>107076845.78891116</v>
      </c>
      <c r="B1127">
        <v>238709274.36646914</v>
      </c>
    </row>
    <row r="1128" spans="1:2" x14ac:dyDescent="0.25">
      <c r="A1128">
        <f ca="1">32335.8084953043*(RANDBETWEEN(2890,3282))</f>
        <v>98915238.18713598</v>
      </c>
      <c r="B1128">
        <v>266266928.79584306</v>
      </c>
    </row>
    <row r="1129" spans="1:2" x14ac:dyDescent="0.25">
      <c r="A1129">
        <f ca="1">28939.2779754746*(RANDBETWEEN(2890,3282))</f>
        <v>84126481.074704722</v>
      </c>
      <c r="B1129">
        <v>216745686.01042959</v>
      </c>
    </row>
    <row r="1130" spans="1:2" x14ac:dyDescent="0.25">
      <c r="A1130">
        <f ca="1">29277.1597846634*(RANDBETWEEN(2890,3282))</f>
        <v>88797625.626883984</v>
      </c>
      <c r="B1130">
        <v>222425441.61309758</v>
      </c>
    </row>
    <row r="1131" spans="1:2" x14ac:dyDescent="0.25">
      <c r="A1131">
        <f ca="1">29915.7841775293*(RANDBETWEEN(2890,3282))</f>
        <v>95281772.60543111</v>
      </c>
      <c r="B1131">
        <v>227597515.27330762</v>
      </c>
    </row>
    <row r="1132" spans="1:2" x14ac:dyDescent="0.25">
      <c r="A1132">
        <f ca="1">33746.7874914141*(RANDBETWEEN(2890,3282))</f>
        <v>107078556.71025687</v>
      </c>
      <c r="B1132">
        <v>250407142.71362641</v>
      </c>
    </row>
    <row r="1133" spans="1:2" x14ac:dyDescent="0.25">
      <c r="A1133">
        <f ca="1">29952.7301740903*(RANDBETWEEN(2890,3282))</f>
        <v>94860296.461344138</v>
      </c>
      <c r="B1133">
        <v>220945820.75896284</v>
      </c>
    </row>
    <row r="1134" spans="1:2" x14ac:dyDescent="0.25">
      <c r="A1134">
        <f ca="1">30449.0689443835*(RANDBETWEEN(2890,3282))</f>
        <v>93965826.762367621</v>
      </c>
      <c r="B1134">
        <v>232176164.65776637</v>
      </c>
    </row>
    <row r="1135" spans="1:2" x14ac:dyDescent="0.25">
      <c r="A1135">
        <f ca="1">29549.5473703785*(RANDBETWEEN(2890,3282))</f>
        <v>96627019.901137799</v>
      </c>
      <c r="B1135">
        <v>250814973.52386838</v>
      </c>
    </row>
    <row r="1136" spans="1:2" x14ac:dyDescent="0.25">
      <c r="A1136">
        <f ca="1">27540.8707072275*(RANDBETWEEN(2890,3282))</f>
        <v>84054737.398458362</v>
      </c>
      <c r="B1136">
        <v>212449145.06592071</v>
      </c>
    </row>
    <row r="1137" spans="1:2" x14ac:dyDescent="0.25">
      <c r="A1137">
        <f ca="1">27395.8929692265*(RANDBETWEEN(2890,3282))</f>
        <v>84598517.488971561</v>
      </c>
      <c r="B1137">
        <v>220424016.71919024</v>
      </c>
    </row>
    <row r="1138" spans="1:2" x14ac:dyDescent="0.25">
      <c r="A1138">
        <f ca="1">30321.6449719407*(RANDBETWEEN(2890,3282))</f>
        <v>95391895.081725553</v>
      </c>
      <c r="B1138">
        <v>207994847.25836647</v>
      </c>
    </row>
    <row r="1139" spans="1:2" x14ac:dyDescent="0.25">
      <c r="A1139">
        <f ca="1">28244.0630019929*(RANDBETWEEN(2890,3282))</f>
        <v>88262696.881227821</v>
      </c>
      <c r="B1139">
        <v>257032382.97234961</v>
      </c>
    </row>
    <row r="1140" spans="1:2" x14ac:dyDescent="0.25">
      <c r="A1140">
        <f ca="1">30349.0229146785*(RANDBETWEEN(2890,3282))</f>
        <v>92594868.912684172</v>
      </c>
      <c r="B1140">
        <v>236684496.15042156</v>
      </c>
    </row>
    <row r="1141" spans="1:2" x14ac:dyDescent="0.25">
      <c r="A1141">
        <f ca="1">32134.1028559775*(RANDBETWEEN(2890,3282))</f>
        <v>97109258.830763966</v>
      </c>
      <c r="B1141">
        <v>266082257.02475959</v>
      </c>
    </row>
    <row r="1142" spans="1:2" x14ac:dyDescent="0.25">
      <c r="A1142">
        <f ca="1">28467.1418122673*(RANDBETWEEN(2890,3282))</f>
        <v>87422592.505472779</v>
      </c>
      <c r="B1142">
        <v>239089153.9690769</v>
      </c>
    </row>
    <row r="1143" spans="1:2" x14ac:dyDescent="0.25">
      <c r="A1143">
        <f ca="1">30637.8174792469*(RANDBETWEEN(2890,3282))</f>
        <v>99052063.910405383</v>
      </c>
      <c r="B1143">
        <v>216348695.83484185</v>
      </c>
    </row>
    <row r="1144" spans="1:2" x14ac:dyDescent="0.25">
      <c r="A1144">
        <f ca="1">28012.6859620563*(RANDBETWEEN(2890,3282))</f>
        <v>87119453.341995105</v>
      </c>
      <c r="B1144">
        <v>230862438.34219325</v>
      </c>
    </row>
    <row r="1145" spans="1:2" x14ac:dyDescent="0.25">
      <c r="A1145">
        <f ca="1">24780.1027524191*(RANDBETWEEN(2890,3282))</f>
        <v>73720805.68844682</v>
      </c>
      <c r="B1145">
        <v>215692701.75741017</v>
      </c>
    </row>
    <row r="1146" spans="1:2" x14ac:dyDescent="0.25">
      <c r="A1146">
        <f ca="1">30070.0786679303*(RANDBETWEEN(2890,3282))</f>
        <v>87263368.294333726</v>
      </c>
      <c r="B1146">
        <v>213768664.86936238</v>
      </c>
    </row>
    <row r="1147" spans="1:2" x14ac:dyDescent="0.25">
      <c r="A1147">
        <f ca="1">30488.9168483414*(RANDBETWEEN(2890,3282))</f>
        <v>90795994.3743608</v>
      </c>
      <c r="B1147">
        <v>232536211.18105397</v>
      </c>
    </row>
    <row r="1148" spans="1:2" x14ac:dyDescent="0.25">
      <c r="A1148">
        <f ca="1">28881.8782365653*(RANDBETWEEN(2890,3282))</f>
        <v>83786328.764276013</v>
      </c>
      <c r="B1148">
        <v>224278356.29351169</v>
      </c>
    </row>
    <row r="1149" spans="1:2" x14ac:dyDescent="0.25">
      <c r="A1149">
        <f ca="1">30453.6758659737*(RANDBETWEEN(2890,3282))</f>
        <v>92061462.142838418</v>
      </c>
      <c r="B1149">
        <v>263928271.31738415</v>
      </c>
    </row>
    <row r="1150" spans="1:2" x14ac:dyDescent="0.25">
      <c r="A1150">
        <f ca="1">30970.3115644659*(RANDBETWEEN(2890,3282))</f>
        <v>90990775.376400873</v>
      </c>
      <c r="B1150">
        <v>229189330.39670491</v>
      </c>
    </row>
    <row r="1151" spans="1:2" x14ac:dyDescent="0.25">
      <c r="A1151">
        <f ca="1">31384.2389107743*(RANDBETWEEN(2890,3282))</f>
        <v>91233982.513620809</v>
      </c>
      <c r="B1151">
        <v>221859262.85654461</v>
      </c>
    </row>
    <row r="1152" spans="1:2" x14ac:dyDescent="0.25">
      <c r="A1152">
        <f ca="1">30218.751498373*(RANDBETWEEN(2890,3282))</f>
        <v>89689254.447171167</v>
      </c>
      <c r="B1152">
        <v>223524661.85571602</v>
      </c>
    </row>
    <row r="1153" spans="1:2" x14ac:dyDescent="0.25">
      <c r="A1153">
        <f ca="1">28515.9502613734*(RANDBETWEEN(2890,3282))</f>
        <v>91935423.642667785</v>
      </c>
      <c r="B1153">
        <v>211321438.44533774</v>
      </c>
    </row>
    <row r="1154" spans="1:2" x14ac:dyDescent="0.25">
      <c r="A1154">
        <f ca="1">32985.0000932747*(RANDBETWEEN(2890,3282))</f>
        <v>107234235.30323607</v>
      </c>
      <c r="B1154">
        <v>251436915.80774975</v>
      </c>
    </row>
    <row r="1155" spans="1:2" x14ac:dyDescent="0.25">
      <c r="A1155">
        <f ca="1">31922.385206183*(RANDBETWEEN(2890,3282))</f>
        <v>97842110.656950787</v>
      </c>
      <c r="B1155">
        <v>235338076.89954031</v>
      </c>
    </row>
    <row r="1156" spans="1:2" x14ac:dyDescent="0.25">
      <c r="A1156">
        <f ca="1">28655.4711685503*(RANDBETWEEN(2890,3282))</f>
        <v>88316162.141472176</v>
      </c>
      <c r="B1156">
        <v>258204740.44291139</v>
      </c>
    </row>
    <row r="1157" spans="1:2" x14ac:dyDescent="0.25">
      <c r="A1157">
        <f ca="1">27551.7917895123*(RANDBETWEEN(2890,3282))</f>
        <v>83592136.289380237</v>
      </c>
      <c r="B1157">
        <v>217911329.70237085</v>
      </c>
    </row>
    <row r="1158" spans="1:2" x14ac:dyDescent="0.25">
      <c r="A1158">
        <f ca="1">28226.2636109687*(RANDBETWEEN(2890,3282))</f>
        <v>82110200.844307989</v>
      </c>
      <c r="B1158">
        <v>227765647.0992659</v>
      </c>
    </row>
    <row r="1159" spans="1:2" x14ac:dyDescent="0.25">
      <c r="A1159">
        <f ca="1">30235.834307154*(RANDBETWEEN(2890,3282))</f>
        <v>94940519.724463657</v>
      </c>
      <c r="B1159">
        <v>250288313.23954743</v>
      </c>
    </row>
    <row r="1160" spans="1:2" x14ac:dyDescent="0.25">
      <c r="A1160">
        <f ca="1">28534.3882682438*(RANDBETWEEN(2890,3282))</f>
        <v>88142725.360605121</v>
      </c>
      <c r="B1160">
        <v>241241692.56251955</v>
      </c>
    </row>
    <row r="1161" spans="1:2" x14ac:dyDescent="0.25">
      <c r="A1161">
        <f ca="1">30147.6882939662*(RANDBETWEEN(2890,3282))</f>
        <v>90895280.206308156</v>
      </c>
      <c r="B1161">
        <v>224018880.12702572</v>
      </c>
    </row>
    <row r="1162" spans="1:2" x14ac:dyDescent="0.25">
      <c r="A1162">
        <f ca="1">26368.759905818*(RANDBETWEEN(2890,3282))</f>
        <v>86304951.17174232</v>
      </c>
      <c r="B1162">
        <v>223818858.11924452</v>
      </c>
    </row>
    <row r="1163" spans="1:2" x14ac:dyDescent="0.25">
      <c r="A1163">
        <f ca="1">28335.2227125956*(RANDBETWEEN(2890,3282))</f>
        <v>86337423.605278879</v>
      </c>
      <c r="B1163">
        <v>215098050.80804384</v>
      </c>
    </row>
    <row r="1164" spans="1:2" x14ac:dyDescent="0.25">
      <c r="A1164">
        <f ca="1">26367.6343093075*(RANDBETWEEN(2890,3282))</f>
        <v>78760123.681901574</v>
      </c>
      <c r="B1164">
        <v>225824400.99393597</v>
      </c>
    </row>
    <row r="1165" spans="1:2" x14ac:dyDescent="0.25">
      <c r="A1165">
        <f ca="1">31804.5732111271*(RANDBETWEEN(2890,3282))</f>
        <v>94141536.704936236</v>
      </c>
      <c r="B1165">
        <v>241175552.92541856</v>
      </c>
    </row>
    <row r="1166" spans="1:2" x14ac:dyDescent="0.25">
      <c r="A1166">
        <f ca="1">32083.970273862*(RANDBETWEEN(2890,3282))</f>
        <v>93685193.199676901</v>
      </c>
      <c r="B1166">
        <v>250460641.29751876</v>
      </c>
    </row>
    <row r="1167" spans="1:2" x14ac:dyDescent="0.25">
      <c r="A1167">
        <f ca="1">29752.6162121128*(RANDBETWEEN(2890,3282))</f>
        <v>89585127.414671779</v>
      </c>
      <c r="B1167">
        <v>233439604.8437885</v>
      </c>
    </row>
    <row r="1168" spans="1:2" x14ac:dyDescent="0.25">
      <c r="A1168">
        <f ca="1">28149.943185227*(RANDBETWEEN(2890,3282))</f>
        <v>85181728.078496829</v>
      </c>
      <c r="B1168">
        <v>231946094.96337408</v>
      </c>
    </row>
    <row r="1169" spans="1:2" x14ac:dyDescent="0.25">
      <c r="A1169">
        <f ca="1">32637.5210378927*(RANDBETWEEN(2890,3282))</f>
        <v>97096625.08773078</v>
      </c>
      <c r="B1169">
        <v>256662942.95438734</v>
      </c>
    </row>
    <row r="1170" spans="1:2" x14ac:dyDescent="0.25">
      <c r="A1170">
        <f ca="1">28952.2598222997*(RANDBETWEEN(2890,3282))</f>
        <v>89346673.811617002</v>
      </c>
      <c r="B1170">
        <v>216421046.68208453</v>
      </c>
    </row>
    <row r="1171" spans="1:2" x14ac:dyDescent="0.25">
      <c r="A1171">
        <f ca="1">29985.0883625811*(RANDBETWEEN(2890,3282))</f>
        <v>90794847.561895609</v>
      </c>
      <c r="B1171">
        <v>258855084.66426444</v>
      </c>
    </row>
    <row r="1172" spans="1:2" x14ac:dyDescent="0.25">
      <c r="A1172">
        <f ca="1">31225.9072856533*(RANDBETWEEN(2890,3282))</f>
        <v>96706634.863668337</v>
      </c>
      <c r="B1172">
        <v>219035874.08958799</v>
      </c>
    </row>
    <row r="1173" spans="1:2" x14ac:dyDescent="0.25">
      <c r="A1173">
        <f ca="1">29663.1586197546*(RANDBETWEEN(2890,3282))</f>
        <v>93053328.59017013</v>
      </c>
      <c r="B1173">
        <v>223902857.26738092</v>
      </c>
    </row>
    <row r="1174" spans="1:2" x14ac:dyDescent="0.25">
      <c r="A1174">
        <f ca="1">28493.3178686812*(RANDBETWEEN(2890,3282))</f>
        <v>85907353.374073938</v>
      </c>
      <c r="B1174">
        <v>233945106.82983914</v>
      </c>
    </row>
    <row r="1175" spans="1:2" x14ac:dyDescent="0.25">
      <c r="A1175">
        <f ca="1">33038.3685874492*(RANDBETWEEN(2890,3282))</f>
        <v>105128088.84526329</v>
      </c>
      <c r="B1175">
        <v>244630129.40737024</v>
      </c>
    </row>
    <row r="1176" spans="1:2" x14ac:dyDescent="0.25">
      <c r="A1176">
        <f ca="1">32828.7490822228*(RANDBETWEEN(2890,3282))</f>
        <v>107711125.73877293</v>
      </c>
      <c r="B1176">
        <v>224754211.44604611</v>
      </c>
    </row>
    <row r="1177" spans="1:2" x14ac:dyDescent="0.25">
      <c r="A1177">
        <f ca="1">30938.0809260875*(RANDBETWEEN(2890,3282))</f>
        <v>95536793.899758294</v>
      </c>
      <c r="B1177">
        <v>243549340.49752128</v>
      </c>
    </row>
    <row r="1178" spans="1:2" x14ac:dyDescent="0.25">
      <c r="A1178">
        <f ca="1">29384.0491700945*(RANDBETWEEN(2890,3282))</f>
        <v>85536967.13414517</v>
      </c>
      <c r="B1178">
        <v>245488539.52388287</v>
      </c>
    </row>
    <row r="1179" spans="1:2" x14ac:dyDescent="0.25">
      <c r="A1179">
        <f ca="1">29938.6751085487*(RANDBETWEEN(2890,3282))</f>
        <v>88079582.169350371</v>
      </c>
      <c r="B1179">
        <v>259024290.99319655</v>
      </c>
    </row>
    <row r="1180" spans="1:2" x14ac:dyDescent="0.25">
      <c r="A1180">
        <f ca="1">27540.777015063*(RANDBETWEEN(2890,3282))</f>
        <v>87937701.009096205</v>
      </c>
      <c r="B1180">
        <v>247007435.44645068</v>
      </c>
    </row>
    <row r="1181" spans="1:2" x14ac:dyDescent="0.25">
      <c r="A1181">
        <f ca="1">31303.5390837414*(RANDBETWEEN(2890,3282))</f>
        <v>90529835.030180097</v>
      </c>
      <c r="B1181">
        <v>262535132.50393188</v>
      </c>
    </row>
    <row r="1182" spans="1:2" x14ac:dyDescent="0.25">
      <c r="A1182">
        <f ca="1">32798.837878512*(RANDBETWEEN(2890,3282))</f>
        <v>101250012.53096646</v>
      </c>
      <c r="B1182">
        <v>237135853.43060553</v>
      </c>
    </row>
    <row r="1183" spans="1:2" x14ac:dyDescent="0.25">
      <c r="A1183">
        <f ca="1">32194.280851564*(RANDBETWEEN(2890,3282))</f>
        <v>103729972.90373915</v>
      </c>
      <c r="B1183">
        <v>257114371.18669185</v>
      </c>
    </row>
    <row r="1184" spans="1:2" x14ac:dyDescent="0.25">
      <c r="A1184">
        <f ca="1">33515.1628695712*(RANDBETWEEN(2890,3282))</f>
        <v>100143306.65427878</v>
      </c>
      <c r="B1184">
        <v>204511651.61496857</v>
      </c>
    </row>
    <row r="1185" spans="1:2" x14ac:dyDescent="0.25">
      <c r="A1185">
        <f ca="1">33186.8146688587*(RANDBETWEEN(2890,3282))</f>
        <v>106230993.75501683</v>
      </c>
      <c r="B1185">
        <v>266292240.20798418</v>
      </c>
    </row>
    <row r="1186" spans="1:2" x14ac:dyDescent="0.25">
      <c r="A1186">
        <f ca="1">28285.7949026554*(RANDBETWEEN(2890,3282))</f>
        <v>91900547.638727531</v>
      </c>
      <c r="B1186">
        <v>231467954.57952601</v>
      </c>
    </row>
    <row r="1187" spans="1:2" x14ac:dyDescent="0.25">
      <c r="A1187">
        <f ca="1">31088.3275832074*(RANDBETWEEN(2890,3282))</f>
        <v>90560298.24988313</v>
      </c>
      <c r="B1187">
        <v>264461965.58683088</v>
      </c>
    </row>
    <row r="1188" spans="1:2" x14ac:dyDescent="0.25">
      <c r="A1188">
        <f ca="1">28688.5764156075*(RANDBETWEEN(2890,3282))</f>
        <v>93496070.538464978</v>
      </c>
      <c r="B1188">
        <v>257059997.43495512</v>
      </c>
    </row>
    <row r="1189" spans="1:2" x14ac:dyDescent="0.25">
      <c r="A1189">
        <f ca="1">26514.5362193175*(RANDBETWEEN(2890,3282))</f>
        <v>80471617.425628483</v>
      </c>
      <c r="B1189">
        <v>251986533.26398382</v>
      </c>
    </row>
    <row r="1190" spans="1:2" x14ac:dyDescent="0.25">
      <c r="A1190">
        <f ca="1">31459.1294177698*(RANDBETWEEN(2890,3282))</f>
        <v>95698671.688855737</v>
      </c>
      <c r="B1190">
        <v>253950077.18393138</v>
      </c>
    </row>
    <row r="1191" spans="1:2" x14ac:dyDescent="0.25">
      <c r="A1191">
        <f ca="1">29752.9964903512*(RANDBETWEEN(2890,3282))</f>
        <v>89378001.457014948</v>
      </c>
      <c r="B1191">
        <v>208813831.71732551</v>
      </c>
    </row>
    <row r="1192" spans="1:2" x14ac:dyDescent="0.25">
      <c r="A1192">
        <f ca="1">32700.4814524602*(RANDBETWEEN(2890,3282))</f>
        <v>96597222.21056734</v>
      </c>
      <c r="B1192">
        <v>236211994.29549956</v>
      </c>
    </row>
    <row r="1193" spans="1:2" x14ac:dyDescent="0.25">
      <c r="A1193">
        <f ca="1">31890.3373625211*(RANDBETWEEN(2890,3282))</f>
        <v>101092369.43919195</v>
      </c>
      <c r="B1193">
        <v>256134196.07835934</v>
      </c>
    </row>
    <row r="1194" spans="1:2" x14ac:dyDescent="0.25">
      <c r="A1194">
        <f ca="1">34899.6527481981*(RANDBETWEEN(2890,3282))</f>
        <v>110387601.64255044</v>
      </c>
      <c r="B1194">
        <v>252941219.49706343</v>
      </c>
    </row>
    <row r="1195" spans="1:2" x14ac:dyDescent="0.25">
      <c r="A1195">
        <f ca="1">31238.4808927556*(RANDBETWEEN(2890,3282))</f>
        <v>91966087.748272508</v>
      </c>
      <c r="B1195">
        <v>245684100.17518282</v>
      </c>
    </row>
    <row r="1196" spans="1:2" x14ac:dyDescent="0.25">
      <c r="A1196">
        <f ca="1">33500.3420530296*(RANDBETWEEN(2890,3282))</f>
        <v>103650058.31207356</v>
      </c>
      <c r="B1196">
        <v>259492261.76592225</v>
      </c>
    </row>
    <row r="1197" spans="1:2" x14ac:dyDescent="0.25">
      <c r="A1197">
        <f ca="1">31485.0424930524*(RANDBETWEEN(2890,3282))</f>
        <v>93510576.204365626</v>
      </c>
      <c r="B1197">
        <v>262041725.20341977</v>
      </c>
    </row>
    <row r="1198" spans="1:2" x14ac:dyDescent="0.25">
      <c r="A1198">
        <f ca="1">31334.9047974501*(RANDBETWEEN(2890,3282))</f>
        <v>91779936.151731491</v>
      </c>
      <c r="B1198">
        <v>235963611.36334902</v>
      </c>
    </row>
    <row r="1199" spans="1:2" x14ac:dyDescent="0.25">
      <c r="A1199">
        <f ca="1">31500.2481068217*(RANDBETWEEN(2890,3282))</f>
        <v>101367798.40775223</v>
      </c>
      <c r="B1199">
        <v>219338437.5531885</v>
      </c>
    </row>
    <row r="1200" spans="1:2" x14ac:dyDescent="0.25">
      <c r="A1200">
        <f ca="1">28494.4065597524*(RANDBETWEEN(2890,3282))</f>
        <v>88275671.522112831</v>
      </c>
      <c r="B1200">
        <v>251901844.80395767</v>
      </c>
    </row>
    <row r="1201" spans="1:2" x14ac:dyDescent="0.25">
      <c r="A1201">
        <f ca="1">30970.428464595*(RANDBETWEEN(2890,3282))</f>
        <v>99755750.084460646</v>
      </c>
      <c r="B1201">
        <v>235270499.78091985</v>
      </c>
    </row>
    <row r="1202" spans="1:2" x14ac:dyDescent="0.25">
      <c r="A1202">
        <f ca="1">30929.5863040699*(RANDBETWEEN(2890,3282))</f>
        <v>101325324.73213288</v>
      </c>
      <c r="B1202">
        <v>245713489.67681807</v>
      </c>
    </row>
    <row r="1203" spans="1:2" x14ac:dyDescent="0.25">
      <c r="A1203">
        <f ca="1">31872.2191994268*(RANDBETWEEN(2890,3282))</f>
        <v>93066880.062326193</v>
      </c>
      <c r="B1203">
        <v>225155316.8549706</v>
      </c>
    </row>
    <row r="1204" spans="1:2" x14ac:dyDescent="0.25">
      <c r="A1204">
        <f ca="1">30145.0956454441*(RANDBETWEEN(2890,3282))</f>
        <v>95710678.674285024</v>
      </c>
      <c r="B1204">
        <v>245871309.42905068</v>
      </c>
    </row>
    <row r="1205" spans="1:2" x14ac:dyDescent="0.25">
      <c r="A1205">
        <f ca="1">29293.2307245953*(RANDBETWEEN(2890,3282))</f>
        <v>94705014.932616666</v>
      </c>
      <c r="B1205">
        <v>234209103.29168928</v>
      </c>
    </row>
    <row r="1206" spans="1:2" x14ac:dyDescent="0.25">
      <c r="A1206">
        <f ca="1">34182.2830961334*(RANDBETWEEN(2890,3282))</f>
        <v>106306900.42897491</v>
      </c>
      <c r="B1206">
        <v>252449101.81169108</v>
      </c>
    </row>
    <row r="1207" spans="1:2" x14ac:dyDescent="0.25">
      <c r="A1207">
        <f ca="1">28350.0665567601*(RANDBETWEEN(2890,3282))</f>
        <v>90776913.114745796</v>
      </c>
      <c r="B1207">
        <v>251154989.0730738</v>
      </c>
    </row>
    <row r="1208" spans="1:2" x14ac:dyDescent="0.25">
      <c r="A1208">
        <f ca="1">32543.7751293022*(RANDBETWEEN(2890,3282))</f>
        <v>97728956.713294461</v>
      </c>
      <c r="B1208">
        <v>219914268.74606854</v>
      </c>
    </row>
    <row r="1209" spans="1:2" x14ac:dyDescent="0.25">
      <c r="A1209">
        <f ca="1">28751.0710729895*(RANDBETWEEN(2890,3282))</f>
        <v>85850698.223946512</v>
      </c>
      <c r="B1209">
        <v>215320680.39933378</v>
      </c>
    </row>
    <row r="1210" spans="1:2" x14ac:dyDescent="0.25">
      <c r="A1210">
        <f ca="1">33955.8974148695*(RANDBETWEEN(2890,3282))</f>
        <v>101562089.16787457</v>
      </c>
      <c r="B1210">
        <v>260503279.97367641</v>
      </c>
    </row>
    <row r="1211" spans="1:2" x14ac:dyDescent="0.25">
      <c r="A1211">
        <f ca="1">30398.8194491924*(RANDBETWEEN(2890,3282))</f>
        <v>91986827.653256208</v>
      </c>
      <c r="B1211">
        <v>211869795.30654848</v>
      </c>
    </row>
    <row r="1212" spans="1:2" x14ac:dyDescent="0.25">
      <c r="A1212">
        <f ca="1">31962.3618695406*(RANDBETWEEN(2890,3282))</f>
        <v>104676735.12274532</v>
      </c>
      <c r="B1212">
        <v>243196719.39758891</v>
      </c>
    </row>
    <row r="1213" spans="1:2" x14ac:dyDescent="0.25">
      <c r="A1213">
        <f ca="1">27110.1714493778*(RANDBETWEEN(2890,3282))</f>
        <v>83743319.607127935</v>
      </c>
      <c r="B1213">
        <v>222731723.09344965</v>
      </c>
    </row>
    <row r="1214" spans="1:2" x14ac:dyDescent="0.25">
      <c r="A1214">
        <f ca="1">30033.8073663169*(RANDBETWEEN(2890,3282))</f>
        <v>98240583.895222604</v>
      </c>
      <c r="B1214">
        <v>219503586.7487731</v>
      </c>
    </row>
    <row r="1215" spans="1:2" x14ac:dyDescent="0.25">
      <c r="A1215">
        <f ca="1">27489.415117514*(RANDBETWEEN(2890,3282))</f>
        <v>83512843.127007425</v>
      </c>
      <c r="B1215">
        <v>212275653.77685004</v>
      </c>
    </row>
    <row r="1216" spans="1:2" x14ac:dyDescent="0.25">
      <c r="A1216">
        <f ca="1">30624.3287128542*(RANDBETWEEN(2890,3282))</f>
        <v>92730467.342522547</v>
      </c>
      <c r="B1216">
        <v>232802769.94756585</v>
      </c>
    </row>
    <row r="1217" spans="1:2" x14ac:dyDescent="0.25">
      <c r="A1217">
        <f ca="1">28678.5214445031*(RANDBETWEEN(2890,3282))</f>
        <v>92918409.480190143</v>
      </c>
      <c r="B1217">
        <v>214625360.27467102</v>
      </c>
    </row>
    <row r="1218" spans="1:2" x14ac:dyDescent="0.25">
      <c r="A1218">
        <f ca="1">34964.9319683193*(RANDBETWEEN(2890,3282))</f>
        <v>101573127.36796752</v>
      </c>
      <c r="B1218">
        <v>242386100.76907802</v>
      </c>
    </row>
    <row r="1219" spans="1:2" x14ac:dyDescent="0.25">
      <c r="A1219">
        <f ca="1">32409.8704406599*(RANDBETWEEN(2890,3282))</f>
        <v>95090559.872896105</v>
      </c>
      <c r="B1219">
        <v>224878825.34071782</v>
      </c>
    </row>
    <row r="1220" spans="1:2" x14ac:dyDescent="0.25">
      <c r="A1220">
        <f ca="1">27736.6632501911*(RANDBETWEEN(2890,3282))</f>
        <v>90671152.164874703</v>
      </c>
      <c r="B1220">
        <v>236756668.36515912</v>
      </c>
    </row>
    <row r="1221" spans="1:2" x14ac:dyDescent="0.25">
      <c r="A1221">
        <f ca="1">31308.4572509909*(RANDBETWEEN(2890,3282))</f>
        <v>99529585.600900069</v>
      </c>
      <c r="B1221">
        <v>232047745.87760529</v>
      </c>
    </row>
    <row r="1222" spans="1:2" x14ac:dyDescent="0.25">
      <c r="A1222">
        <f ca="1">27648.5666882718*(RANDBETWEEN(2890,3282))</f>
        <v>87728902.101886556</v>
      </c>
      <c r="B1222">
        <v>224259709.43564939</v>
      </c>
    </row>
    <row r="1223" spans="1:2" x14ac:dyDescent="0.25">
      <c r="A1223">
        <f ca="1">29217.0885536902*(RANDBETWEEN(2890,3282))</f>
        <v>92676604.892305329</v>
      </c>
      <c r="B1223">
        <v>250810479.26749659</v>
      </c>
    </row>
    <row r="1224" spans="1:2" x14ac:dyDescent="0.25">
      <c r="A1224">
        <f ca="1">31013.3165234273*(RANDBETWEEN(2890,3282))</f>
        <v>95645068.158249766</v>
      </c>
      <c r="B1224">
        <v>211126801.6455299</v>
      </c>
    </row>
    <row r="1225" spans="1:2" x14ac:dyDescent="0.25">
      <c r="A1225">
        <f ca="1">27132.2068646778*(RANDBETWEEN(2890,3282))</f>
        <v>85140865.141359016</v>
      </c>
      <c r="B1225">
        <v>259323377.83875293</v>
      </c>
    </row>
    <row r="1226" spans="1:2" x14ac:dyDescent="0.25">
      <c r="A1226">
        <f ca="1">32304.8012708052*(RANDBETWEEN(2890,3282))</f>
        <v>101921648.00939047</v>
      </c>
      <c r="B1226">
        <v>230321402.6550149</v>
      </c>
    </row>
    <row r="1227" spans="1:2" x14ac:dyDescent="0.25">
      <c r="A1227">
        <f ca="1">34364.1046975611*(RANDBETWEEN(2890,3282))</f>
        <v>104776155.22286373</v>
      </c>
      <c r="B1227">
        <v>263952651.58597332</v>
      </c>
    </row>
    <row r="1228" spans="1:2" x14ac:dyDescent="0.25">
      <c r="A1228">
        <f ca="1">31309.2646504377*(RANDBETWEEN(2890,3282))</f>
        <v>101598563.79067032</v>
      </c>
      <c r="B1228">
        <v>234375596.17713481</v>
      </c>
    </row>
    <row r="1229" spans="1:2" x14ac:dyDescent="0.25">
      <c r="A1229">
        <f ca="1">33652.8799625653*(RANDBETWEEN(2890,3282))</f>
        <v>97727963.411289707</v>
      </c>
      <c r="B1229">
        <v>216950826.05188119</v>
      </c>
    </row>
    <row r="1230" spans="1:2" x14ac:dyDescent="0.25">
      <c r="A1230">
        <f ca="1">27837.7799964024*(RANDBETWEEN(2890,3282))</f>
        <v>86519820.228818759</v>
      </c>
      <c r="B1230">
        <v>216569756.53946343</v>
      </c>
    </row>
    <row r="1231" spans="1:2" x14ac:dyDescent="0.25">
      <c r="A1231">
        <f ca="1">31074.6029736798*(RANDBETWEEN(2890,3282))</f>
        <v>94746464.466749564</v>
      </c>
      <c r="B1231">
        <v>255218108.65361562</v>
      </c>
    </row>
    <row r="1232" spans="1:2" x14ac:dyDescent="0.25">
      <c r="A1232">
        <f ca="1">32483.840942056*(RANDBETWEEN(2890,3282))</f>
        <v>97094200.575805232</v>
      </c>
      <c r="B1232">
        <v>235615918.53480262</v>
      </c>
    </row>
    <row r="1233" spans="1:2" x14ac:dyDescent="0.25">
      <c r="A1233">
        <f ca="1">30901.9830228426*(RANDBETWEEN(2890,3282))</f>
        <v>98299207.995662332</v>
      </c>
      <c r="B1233">
        <v>241581831.80949435</v>
      </c>
    </row>
    <row r="1234" spans="1:2" x14ac:dyDescent="0.25">
      <c r="A1234">
        <f ca="1">31340.4985961562*(RANDBETWEEN(2890,3282))</f>
        <v>93520047.810930178</v>
      </c>
      <c r="B1234">
        <v>215218922.38362935</v>
      </c>
    </row>
    <row r="1235" spans="1:2" x14ac:dyDescent="0.25">
      <c r="A1235">
        <f ca="1">25798.2939448299*(RANDBETWEEN(2890,3282))</f>
        <v>83586472.381249025</v>
      </c>
      <c r="B1235">
        <v>230439430.24426025</v>
      </c>
    </row>
    <row r="1236" spans="1:2" x14ac:dyDescent="0.25">
      <c r="A1236">
        <f ca="1">26452.8608808886*(RANDBETWEEN(2890,3282))</f>
        <v>79702469.834117353</v>
      </c>
      <c r="B1236">
        <v>212922181.62787509</v>
      </c>
    </row>
    <row r="1237" spans="1:2" x14ac:dyDescent="0.25">
      <c r="A1237">
        <f ca="1">28160.694449605*(RANDBETWEEN(2890,3282))</f>
        <v>84284958.487667784</v>
      </c>
      <c r="B1237">
        <v>211134573.62183437</v>
      </c>
    </row>
    <row r="1238" spans="1:2" x14ac:dyDescent="0.25">
      <c r="A1238">
        <f ca="1">31110.3790253234*(RANDBETWEEN(2890,3282))</f>
        <v>91060079.407121614</v>
      </c>
      <c r="B1238">
        <v>264310342.1337609</v>
      </c>
    </row>
    <row r="1239" spans="1:2" x14ac:dyDescent="0.25">
      <c r="A1239">
        <f ca="1">31209.7649097645*(RANDBETWEEN(2890,3282))</f>
        <v>99683989.121787786</v>
      </c>
      <c r="B1239">
        <v>242641382.97329924</v>
      </c>
    </row>
    <row r="1240" spans="1:2" x14ac:dyDescent="0.25">
      <c r="A1240">
        <f ca="1">29465.9480468259*(RANDBETWEEN(2890,3282))</f>
        <v>87219206.218604743</v>
      </c>
      <c r="B1240">
        <v>222513660.96386859</v>
      </c>
    </row>
    <row r="1241" spans="1:2" x14ac:dyDescent="0.25">
      <c r="A1241">
        <f ca="1">28531.6304707835*(RANDBETWEEN(2890,3282))</f>
        <v>84681879.237285361</v>
      </c>
      <c r="B1241">
        <v>249566082.57518107</v>
      </c>
    </row>
    <row r="1242" spans="1:2" x14ac:dyDescent="0.25">
      <c r="A1242">
        <f ca="1">31430.7118617171*(RANDBETWEEN(2890,3282))</f>
        <v>95895101.890098989</v>
      </c>
      <c r="B1242">
        <v>251540916.94650006</v>
      </c>
    </row>
    <row r="1243" spans="1:2" x14ac:dyDescent="0.25">
      <c r="A1243">
        <f ca="1">29220.6864296448*(RANDBETWEEN(2890,3282))</f>
        <v>85353625.06099236</v>
      </c>
      <c r="B1243">
        <v>225478019.94908705</v>
      </c>
    </row>
    <row r="1244" spans="1:2" x14ac:dyDescent="0.25">
      <c r="A1244">
        <f ca="1">27159.2543178287*(RANDBETWEEN(2890,3282))</f>
        <v>83161636.721191555</v>
      </c>
      <c r="B1244">
        <v>246974825.97822571</v>
      </c>
    </row>
    <row r="1245" spans="1:2" x14ac:dyDescent="0.25">
      <c r="A1245">
        <f ca="1">27021.5264379227*(RANDBETWEEN(2890,3282))</f>
        <v>85712281.861090735</v>
      </c>
      <c r="B1245">
        <v>248769448.13139203</v>
      </c>
    </row>
    <row r="1246" spans="1:2" x14ac:dyDescent="0.25">
      <c r="A1246">
        <f ca="1">29170.7077082834*(RANDBETWEEN(2890,3282))</f>
        <v>92733679.804632932</v>
      </c>
      <c r="B1246">
        <v>210587450.24103612</v>
      </c>
    </row>
    <row r="1247" spans="1:2" x14ac:dyDescent="0.25">
      <c r="A1247">
        <f ca="1">27871.6585116859*(RANDBETWEEN(2890,3282))</f>
        <v>89913970.358698621</v>
      </c>
      <c r="B1247">
        <v>252119131.38139686</v>
      </c>
    </row>
    <row r="1248" spans="1:2" x14ac:dyDescent="0.25">
      <c r="A1248">
        <f ca="1">29701.3691411982*(RANDBETWEEN(2890,3282))</f>
        <v>90500071.773231044</v>
      </c>
      <c r="B1248">
        <v>260110349.39670378</v>
      </c>
    </row>
    <row r="1249" spans="1:2" x14ac:dyDescent="0.25">
      <c r="A1249">
        <f ca="1">31026.7776980933*(RANDBETWEEN(2890,3282))</f>
        <v>99316715.411596537</v>
      </c>
      <c r="B1249">
        <v>266190388.49530593</v>
      </c>
    </row>
    <row r="1250" spans="1:2" x14ac:dyDescent="0.25">
      <c r="A1250">
        <f ca="1">27913.3020748227*(RANDBETWEEN(2890,3282))</f>
        <v>89210913.431133479</v>
      </c>
      <c r="B1250">
        <v>233830466.76337239</v>
      </c>
    </row>
    <row r="1251" spans="1:2" x14ac:dyDescent="0.25">
      <c r="A1251">
        <f ca="1">27057.8728972019*(RANDBETWEEN(2890,3282))</f>
        <v>82039470.62431626</v>
      </c>
      <c r="B1251">
        <v>219025893.55670312</v>
      </c>
    </row>
    <row r="1252" spans="1:2" x14ac:dyDescent="0.25">
      <c r="A1252">
        <f ca="1">28587.3531107849*(RANDBETWEEN(2890,3282))</f>
        <v>91022132.304739237</v>
      </c>
      <c r="B1252">
        <v>203896268.59743044</v>
      </c>
    </row>
    <row r="1253" spans="1:2" x14ac:dyDescent="0.25">
      <c r="A1253">
        <f ca="1">26809.2073396311*(RANDBETWEEN(2890,3282))</f>
        <v>82599167.813403443</v>
      </c>
      <c r="B1253">
        <v>207617580.06482697</v>
      </c>
    </row>
    <row r="1254" spans="1:2" x14ac:dyDescent="0.25">
      <c r="A1254">
        <f ca="1">27915.1918053488*(RANDBETWEEN(2890,3282))</f>
        <v>87681617.46060051</v>
      </c>
      <c r="B1254">
        <v>208378542.22485739</v>
      </c>
    </row>
    <row r="1255" spans="1:2" x14ac:dyDescent="0.25">
      <c r="A1255">
        <f ca="1">29398.3425872226*(RANDBETWEEN(2890,3282))</f>
        <v>95103638.269665197</v>
      </c>
      <c r="B1255">
        <v>230185857.27657855</v>
      </c>
    </row>
    <row r="1256" spans="1:2" x14ac:dyDescent="0.25">
      <c r="A1256">
        <f ca="1">33651.8643675536*(RANDBETWEEN(2890,3282))</f>
        <v>99138392.426812947</v>
      </c>
      <c r="B1256">
        <v>250086938.41697186</v>
      </c>
    </row>
    <row r="1257" spans="1:2" x14ac:dyDescent="0.25">
      <c r="A1257">
        <f ca="1">28025.9181675341*(RANDBETWEEN(2890,3282))</f>
        <v>82788562.26689586</v>
      </c>
      <c r="B1257">
        <v>218734943.81318271</v>
      </c>
    </row>
    <row r="1258" spans="1:2" x14ac:dyDescent="0.25">
      <c r="A1258">
        <f ca="1">31897.4245599463*(RANDBETWEEN(2890,3282))</f>
        <v>97382837.181516007</v>
      </c>
      <c r="B1258">
        <v>258244853.75089622</v>
      </c>
    </row>
    <row r="1259" spans="1:2" x14ac:dyDescent="0.25">
      <c r="A1259">
        <f ca="1">28850.4036175633*(RANDBETWEEN(2890,3282))</f>
        <v>84647084.213930815</v>
      </c>
      <c r="B1259">
        <v>221338404.58038464</v>
      </c>
    </row>
    <row r="1260" spans="1:2" x14ac:dyDescent="0.25">
      <c r="A1260">
        <f ca="1">29607.9789456741*(RANDBETWEEN(2890,3282))</f>
        <v>90215511.847469002</v>
      </c>
      <c r="B1260">
        <v>233301616.6541276</v>
      </c>
    </row>
    <row r="1261" spans="1:2" x14ac:dyDescent="0.25">
      <c r="A1261">
        <f ca="1">30495.6422365522*(RANDBETWEEN(2890,3282))</f>
        <v>91303952.856237307</v>
      </c>
      <c r="B1261">
        <v>254434882.77393639</v>
      </c>
    </row>
    <row r="1262" spans="1:2" x14ac:dyDescent="0.25">
      <c r="A1262">
        <f ca="1">25883.3690372854*(RANDBETWEEN(2890,3282))</f>
        <v>79125459.146981552</v>
      </c>
      <c r="B1262">
        <v>219339059.52428314</v>
      </c>
    </row>
    <row r="1263" spans="1:2" x14ac:dyDescent="0.25">
      <c r="A1263">
        <f ca="1">29157.407383436*(RANDBETWEEN(2890,3282))</f>
        <v>84323222.15289703</v>
      </c>
      <c r="B1263">
        <v>242997757.96347168</v>
      </c>
    </row>
    <row r="1264" spans="1:2" x14ac:dyDescent="0.25">
      <c r="A1264">
        <f ca="1">27882.091192697*(RANDBETWEEN(2890,3282))</f>
        <v>81582998.829831526</v>
      </c>
      <c r="B1264">
        <v>264025646.83606154</v>
      </c>
    </row>
    <row r="1265" spans="1:2" x14ac:dyDescent="0.25">
      <c r="A1265">
        <f ca="1">30030.9062165614*(RANDBETWEEN(2890,3282))</f>
        <v>91954634.835110962</v>
      </c>
      <c r="B1265">
        <v>257750526.07797217</v>
      </c>
    </row>
    <row r="1266" spans="1:2" x14ac:dyDescent="0.25">
      <c r="A1266">
        <f ca="1">27227.0611213441*(RANDBETWEEN(2890,3282))</f>
        <v>83559850.581405029</v>
      </c>
      <c r="B1266">
        <v>265520844.18137693</v>
      </c>
    </row>
    <row r="1267" spans="1:2" x14ac:dyDescent="0.25">
      <c r="A1267">
        <f ca="1">27628.1497058399*(RANDBETWEEN(2890,3282))</f>
        <v>80204518.596053213</v>
      </c>
      <c r="B1267">
        <v>213913667.6281268</v>
      </c>
    </row>
    <row r="1268" spans="1:2" x14ac:dyDescent="0.25">
      <c r="A1268">
        <f ca="1">29357.3917788499*(RANDBETWEEN(2890,3282))</f>
        <v>95969313.72506021</v>
      </c>
      <c r="B1268">
        <v>245800695.41183048</v>
      </c>
    </row>
    <row r="1269" spans="1:2" x14ac:dyDescent="0.25">
      <c r="A1269">
        <f ca="1">33518.2243500957*(RANDBETWEEN(2890,3282))</f>
        <v>99448571.646734089</v>
      </c>
      <c r="B1269">
        <v>204691284.3225289</v>
      </c>
    </row>
    <row r="1270" spans="1:2" x14ac:dyDescent="0.25">
      <c r="A1270">
        <f ca="1">29914.0798646622*(RANDBETWEEN(2890,3282))</f>
        <v>87827738.482648104</v>
      </c>
      <c r="B1270">
        <v>259392518.16705707</v>
      </c>
    </row>
    <row r="1271" spans="1:2" x14ac:dyDescent="0.25">
      <c r="A1271">
        <f ca="1">29916.4257471208*(RANDBETWEEN(2890,3282))</f>
        <v>94087158.974694818</v>
      </c>
      <c r="B1271">
        <v>261712262.23557562</v>
      </c>
    </row>
    <row r="1272" spans="1:2" x14ac:dyDescent="0.25">
      <c r="A1272">
        <f ca="1">27607.1406575432*(RANDBETWEEN(2890,3282))</f>
        <v>83677243.333013296</v>
      </c>
      <c r="B1272">
        <v>208482390.48853183</v>
      </c>
    </row>
    <row r="1273" spans="1:2" x14ac:dyDescent="0.25">
      <c r="A1273">
        <f ca="1">26551.6586337238*(RANDBETWEEN(2890,3282))</f>
        <v>80132905.756578535</v>
      </c>
      <c r="B1273">
        <v>226708694.69307786</v>
      </c>
    </row>
    <row r="1274" spans="1:2" x14ac:dyDescent="0.25">
      <c r="A1274">
        <f ca="1">30806.3936343278*(RANDBETWEEN(2890,3282))</f>
        <v>100521262.42881167</v>
      </c>
      <c r="B1274">
        <v>218555361.31587914</v>
      </c>
    </row>
    <row r="1275" spans="1:2" x14ac:dyDescent="0.25">
      <c r="A1275">
        <f ca="1">28819.2054547121*(RANDBETWEEN(2890,3282))</f>
        <v>83518057.407755539</v>
      </c>
      <c r="B1275">
        <v>262553933.22674045</v>
      </c>
    </row>
    <row r="1276" spans="1:2" x14ac:dyDescent="0.25">
      <c r="A1276">
        <f ca="1">29396.5450030166*(RANDBETWEEN(2890,3282))</f>
        <v>87925066.104022563</v>
      </c>
      <c r="B1276">
        <v>230166681.71758324</v>
      </c>
    </row>
    <row r="1277" spans="1:2" x14ac:dyDescent="0.25">
      <c r="A1277">
        <f ca="1">31553.7769686693*(RANDBETWEEN(2890,3282))</f>
        <v>96333681.085347474</v>
      </c>
      <c r="B1277">
        <v>217708491.59845167</v>
      </c>
    </row>
    <row r="1278" spans="1:2" x14ac:dyDescent="0.25">
      <c r="A1278">
        <f ca="1">28007.8531398641*(RANDBETWEEN(2890,3282))</f>
        <v>89429075.075585991</v>
      </c>
      <c r="B1278">
        <v>263832752.77999273</v>
      </c>
    </row>
    <row r="1279" spans="1:2" x14ac:dyDescent="0.25">
      <c r="A1279">
        <f ca="1">28619.4157514306*(RANDBETWEEN(2890,3282))</f>
        <v>84942425.950246036</v>
      </c>
      <c r="B1279">
        <v>234633847.00644836</v>
      </c>
    </row>
    <row r="1280" spans="1:2" x14ac:dyDescent="0.25">
      <c r="A1280">
        <f ca="1">28372.530504818*(RANDBETWEEN(2890,3282))</f>
        <v>87727864.320897266</v>
      </c>
      <c r="B1280">
        <v>219314842.90376854</v>
      </c>
    </row>
    <row r="1281" spans="1:2" x14ac:dyDescent="0.25">
      <c r="A1281">
        <f ca="1">29340.5304661522*(RANDBETWEEN(2890,3282))</f>
        <v>93919038.022153214</v>
      </c>
      <c r="B1281">
        <v>252926890.64441639</v>
      </c>
    </row>
    <row r="1282" spans="1:2" x14ac:dyDescent="0.25">
      <c r="A1282">
        <f ca="1">31701.6691621563*(RANDBETWEEN(2890,3282))</f>
        <v>92822487.306793764</v>
      </c>
      <c r="B1282">
        <v>264065629.85652113</v>
      </c>
    </row>
    <row r="1283" spans="1:2" x14ac:dyDescent="0.25">
      <c r="A1283">
        <f ca="1">30001.6938939746*(RANDBETWEEN(2890,3282))</f>
        <v>92915245.989639431</v>
      </c>
      <c r="B1283">
        <v>227835430.62461138</v>
      </c>
    </row>
    <row r="1284" spans="1:2" x14ac:dyDescent="0.25">
      <c r="A1284">
        <f ca="1">32526.3147133807*(RANDBETWEEN(2890,3282))</f>
        <v>96635681.01345399</v>
      </c>
      <c r="B1284">
        <v>239397669.22581545</v>
      </c>
    </row>
    <row r="1285" spans="1:2" x14ac:dyDescent="0.25">
      <c r="A1285">
        <f ca="1">33511.5687840026*(RANDBETWEEN(2890,3282))</f>
        <v>106734346.5770483</v>
      </c>
      <c r="B1285">
        <v>227999566.70786011</v>
      </c>
    </row>
    <row r="1286" spans="1:2" x14ac:dyDescent="0.25">
      <c r="A1286">
        <f ca="1">32617.5485075251*(RANDBETWEEN(2890,3282))</f>
        <v>98309291.201680705</v>
      </c>
      <c r="B1286">
        <v>259600281.93575305</v>
      </c>
    </row>
    <row r="1287" spans="1:2" x14ac:dyDescent="0.25">
      <c r="A1287">
        <f ca="1">31549.9777144061*(RANDBETWEEN(2890,3282))</f>
        <v>93230184.146069899</v>
      </c>
      <c r="B1287">
        <v>207169272.77042675</v>
      </c>
    </row>
    <row r="1288" spans="1:2" x14ac:dyDescent="0.25">
      <c r="A1288">
        <f ca="1">30211.3048922262*(RANDBETWEEN(2890,3282))</f>
        <v>97582514.801890716</v>
      </c>
      <c r="B1288">
        <v>248164270.50686097</v>
      </c>
    </row>
    <row r="1289" spans="1:2" x14ac:dyDescent="0.25">
      <c r="A1289">
        <f ca="1">29463.8128906114*(RANDBETWEEN(2890,3282))</f>
        <v>87271813.781991035</v>
      </c>
      <c r="B1289">
        <v>245700005.12807366</v>
      </c>
    </row>
    <row r="1290" spans="1:2" x14ac:dyDescent="0.25">
      <c r="A1290">
        <f ca="1">28857.0330938148*(RANDBETWEEN(2890,3282))</f>
        <v>89803086.987951741</v>
      </c>
      <c r="B1290">
        <v>237198702.13227433</v>
      </c>
    </row>
    <row r="1291" spans="1:2" x14ac:dyDescent="0.25">
      <c r="A1291">
        <f ca="1">31292.2113800628*(RANDBETWEEN(2890,3282))</f>
        <v>99916030.936540574</v>
      </c>
      <c r="B1291">
        <v>211612096.91537684</v>
      </c>
    </row>
    <row r="1292" spans="1:2" x14ac:dyDescent="0.25">
      <c r="A1292">
        <f ca="1">32071.4387391838*(RANDBETWEEN(2890,3282))</f>
        <v>102821032.59782341</v>
      </c>
      <c r="B1292">
        <v>260671708.59181893</v>
      </c>
    </row>
    <row r="1293" spans="1:2" x14ac:dyDescent="0.25">
      <c r="A1293">
        <f ca="1">30973.8058134703*(RANDBETWEEN(2890,3282))</f>
        <v>90815198.645094797</v>
      </c>
      <c r="B1293">
        <v>210726122.4989706</v>
      </c>
    </row>
    <row r="1294" spans="1:2" x14ac:dyDescent="0.25">
      <c r="A1294">
        <f ca="1">28610.8400777736*(RANDBETWEEN(2890,3282))</f>
        <v>83515042.18702133</v>
      </c>
      <c r="B1294">
        <v>225583398.58079773</v>
      </c>
    </row>
    <row r="1295" spans="1:2" x14ac:dyDescent="0.25">
      <c r="A1295">
        <f ca="1">27605.9165880493*(RANDBETWEEN(2890,3282))</f>
        <v>84280863.343314633</v>
      </c>
      <c r="B1295">
        <v>261653430.84197724</v>
      </c>
    </row>
    <row r="1296" spans="1:2" x14ac:dyDescent="0.25">
      <c r="A1296">
        <f ca="1">28304.5236256787*(RANDBETWEEN(2890,3282))</f>
        <v>83554953.743003383</v>
      </c>
      <c r="B1296">
        <v>221303280.41000789</v>
      </c>
    </row>
    <row r="1297" spans="1:2" x14ac:dyDescent="0.25">
      <c r="A1297">
        <f ca="1">27596.3217399354*(RANDBETWEEN(2890,3282))</f>
        <v>89881219.906969637</v>
      </c>
      <c r="B1297">
        <v>254362086.68338799</v>
      </c>
    </row>
    <row r="1298" spans="1:2" x14ac:dyDescent="0.25">
      <c r="A1298">
        <f ca="1">32142.8181445828*(RANDBETWEEN(2890,3282))</f>
        <v>101924876.33647214</v>
      </c>
      <c r="B1298">
        <v>220419919.59442782</v>
      </c>
    </row>
    <row r="1299" spans="1:2" x14ac:dyDescent="0.25">
      <c r="A1299">
        <f ca="1">28195.5196090337*(RANDBETWEEN(2890,3282))</f>
        <v>82951218.689777091</v>
      </c>
      <c r="B1299">
        <v>229667842.07684422</v>
      </c>
    </row>
    <row r="1300" spans="1:2" x14ac:dyDescent="0.25">
      <c r="A1300">
        <f ca="1">27983.3981573701*(RANDBETWEEN(2890,3282))</f>
        <v>89183089.927538648</v>
      </c>
      <c r="B1300">
        <v>228832719.87579557</v>
      </c>
    </row>
    <row r="1301" spans="1:2" x14ac:dyDescent="0.25">
      <c r="A1301">
        <f ca="1">29917.9512217811*(RANDBETWEEN(2890,3282))</f>
        <v>94480889.958384588</v>
      </c>
      <c r="B1301">
        <v>242182600.8614237</v>
      </c>
    </row>
    <row r="1302" spans="1:2" x14ac:dyDescent="0.25">
      <c r="A1302">
        <f ca="1">27716.9751598805*(RANDBETWEEN(2890,3282))</f>
        <v>90911678.524407923</v>
      </c>
      <c r="B1302">
        <v>255579288.62619817</v>
      </c>
    </row>
    <row r="1303" spans="1:2" x14ac:dyDescent="0.25">
      <c r="A1303">
        <f ca="1">26330.2639768242*(RANDBETWEEN(2890,3282))</f>
        <v>79280424.834217653</v>
      </c>
      <c r="B1303">
        <v>216739246.51716813</v>
      </c>
    </row>
    <row r="1304" spans="1:2" x14ac:dyDescent="0.25">
      <c r="A1304">
        <f ca="1">26981.7144126495*(RANDBETWEEN(2890,3282))</f>
        <v>85693924.97457473</v>
      </c>
      <c r="B1304">
        <v>225898888.94004893</v>
      </c>
    </row>
    <row r="1305" spans="1:2" x14ac:dyDescent="0.25">
      <c r="A1305">
        <f ca="1">30159.6891007545*(RANDBETWEEN(2890,3282))</f>
        <v>88186930.930606276</v>
      </c>
      <c r="B1305">
        <v>217867690.33980951</v>
      </c>
    </row>
    <row r="1306" spans="1:2" x14ac:dyDescent="0.25">
      <c r="A1306">
        <f ca="1">27647.2574638278*(RANDBETWEEN(2890,3282))</f>
        <v>90185353.847006276</v>
      </c>
      <c r="B1306">
        <v>256544479.53948355</v>
      </c>
    </row>
    <row r="1307" spans="1:2" x14ac:dyDescent="0.25">
      <c r="A1307">
        <f ca="1">29526.0485083974*(RANDBETWEEN(2890,3282))</f>
        <v>91826010.861115918</v>
      </c>
      <c r="B1307">
        <v>205332161.55746377</v>
      </c>
    </row>
    <row r="1308" spans="1:2" x14ac:dyDescent="0.25">
      <c r="A1308">
        <f ca="1">27133.4018159253*(RANDBETWEEN(2890,3282))</f>
        <v>87152486.632752195</v>
      </c>
      <c r="B1308">
        <v>213767156.01635483</v>
      </c>
    </row>
    <row r="1309" spans="1:2" x14ac:dyDescent="0.25">
      <c r="A1309">
        <f ca="1">29561.4069150505*(RANDBETWEEN(2890,3282))</f>
        <v>90635273.601544797</v>
      </c>
      <c r="B1309">
        <v>238070691.17736289</v>
      </c>
    </row>
    <row r="1310" spans="1:2" x14ac:dyDescent="0.25">
      <c r="A1310">
        <f ca="1">30016.3036326323*(RANDBETWEEN(2890,3282))</f>
        <v>98513508.522299066</v>
      </c>
      <c r="B1310">
        <v>235405748.9904888</v>
      </c>
    </row>
    <row r="1311" spans="1:2" x14ac:dyDescent="0.25">
      <c r="A1311">
        <f ca="1">28362.7202579834*(RANDBETWEEN(2890,3282))</f>
        <v>83726750.201566875</v>
      </c>
      <c r="B1311">
        <v>232864161.63077858</v>
      </c>
    </row>
    <row r="1312" spans="1:2" x14ac:dyDescent="0.25">
      <c r="A1312">
        <f ca="1">32415.362551121*(RANDBETWEEN(2890,3282))</f>
        <v>104085729.15164945</v>
      </c>
      <c r="B1312">
        <v>251164286.06393355</v>
      </c>
    </row>
    <row r="1313" spans="1:2" x14ac:dyDescent="0.25">
      <c r="A1313">
        <f ca="1">30711.5727514114*(RANDBETWEEN(2890,3282))</f>
        <v>90691274.334917754</v>
      </c>
      <c r="B1313">
        <v>240989056.95800579</v>
      </c>
    </row>
    <row r="1314" spans="1:2" x14ac:dyDescent="0.25">
      <c r="A1314">
        <f ca="1">33130.928219277*(RANDBETWEEN(2890,3282))</f>
        <v>100585498.07372497</v>
      </c>
      <c r="B1314">
        <v>232030162.48177156</v>
      </c>
    </row>
    <row r="1315" spans="1:2" x14ac:dyDescent="0.25">
      <c r="A1315">
        <f ca="1">31612.0651982068*(RANDBETWEEN(2890,3282))</f>
        <v>101095384.5038655</v>
      </c>
      <c r="B1315">
        <v>238549958.50699759</v>
      </c>
    </row>
    <row r="1316" spans="1:2" x14ac:dyDescent="0.25">
      <c r="A1316">
        <f ca="1">26215.1805495229*(RANDBETWEEN(2890,3282))</f>
        <v>82420527.647699937</v>
      </c>
      <c r="B1316">
        <v>259917036.46963069</v>
      </c>
    </row>
    <row r="1317" spans="1:2" x14ac:dyDescent="0.25">
      <c r="A1317">
        <f ca="1">32599.9954944314*(RANDBETWEEN(2890,3282))</f>
        <v>99136586.298565954</v>
      </c>
      <c r="B1317">
        <v>265576702.73893151</v>
      </c>
    </row>
    <row r="1318" spans="1:2" x14ac:dyDescent="0.25">
      <c r="A1318">
        <f ca="1">30440.1840331529*(RANDBETWEEN(2890,3282))</f>
        <v>95734378.78426601</v>
      </c>
      <c r="B1318">
        <v>243824066.60261178</v>
      </c>
    </row>
    <row r="1319" spans="1:2" x14ac:dyDescent="0.25">
      <c r="A1319">
        <f ca="1">28986.7311529623*(RANDBETWEEN(2890,3282))</f>
        <v>92061858.141808361</v>
      </c>
      <c r="B1319">
        <v>246722377.67219198</v>
      </c>
    </row>
    <row r="1320" spans="1:2" x14ac:dyDescent="0.25">
      <c r="A1320">
        <f ca="1">25228.9100540598*(RANDBETWEEN(2890,3282))</f>
        <v>73643188.447800577</v>
      </c>
      <c r="B1320">
        <v>213848538.44454503</v>
      </c>
    </row>
    <row r="1321" spans="1:2" x14ac:dyDescent="0.25">
      <c r="A1321">
        <f ca="1">26144.4248292475*(RANDBETWEEN(2890,3282))</f>
        <v>85596846.890956387</v>
      </c>
      <c r="B1321">
        <v>239832834.1648894</v>
      </c>
    </row>
    <row r="1322" spans="1:2" x14ac:dyDescent="0.25">
      <c r="A1322">
        <f ca="1">26286.6623520132*(RANDBETWEEN(2890,3282))</f>
        <v>86272825.839307204</v>
      </c>
      <c r="B1322">
        <v>242248826.00203577</v>
      </c>
    </row>
    <row r="1323" spans="1:2" x14ac:dyDescent="0.25">
      <c r="A1323">
        <f ca="1">30905.0483561324*(RANDBETWEEN(2890,3282))</f>
        <v>92375189.536479741</v>
      </c>
      <c r="B1323">
        <v>243297231.58450353</v>
      </c>
    </row>
    <row r="1324" spans="1:2" x14ac:dyDescent="0.25">
      <c r="A1324">
        <f ca="1">26330.2322046704*(RANDBETWEEN(2890,3282))</f>
        <v>82518947.729437158</v>
      </c>
      <c r="B1324">
        <v>210225639.39070946</v>
      </c>
    </row>
    <row r="1325" spans="1:2" x14ac:dyDescent="0.25">
      <c r="A1325">
        <f ca="1">30198.9769369943*(RANDBETWEEN(2890,3282))</f>
        <v>90355338.995487094</v>
      </c>
      <c r="B1325">
        <v>228830954.62931034</v>
      </c>
    </row>
    <row r="1326" spans="1:2" x14ac:dyDescent="0.25">
      <c r="A1326">
        <f ca="1">32796.006766272*(RANDBETWEEN(2890,3282))</f>
        <v>105373569.74003194</v>
      </c>
      <c r="B1326">
        <v>252048634.66881946</v>
      </c>
    </row>
    <row r="1327" spans="1:2" x14ac:dyDescent="0.25">
      <c r="A1327">
        <f ca="1">27391.0907129267*(RANDBETWEEN(2890,3282))</f>
        <v>82693702.862325713</v>
      </c>
      <c r="B1327">
        <v>228162989.9563798</v>
      </c>
    </row>
    <row r="1328" spans="1:2" x14ac:dyDescent="0.25">
      <c r="A1328">
        <f ca="1">27389.4732556382*(RANDBETWEEN(2890,3282))</f>
        <v>81182398.729711741</v>
      </c>
      <c r="B1328">
        <v>206483579.36640331</v>
      </c>
    </row>
    <row r="1329" spans="1:2" x14ac:dyDescent="0.25">
      <c r="A1329">
        <f ca="1">29944.0448667557*(RANDBETWEEN(2890,3282))</f>
        <v>96988761.323421657</v>
      </c>
      <c r="B1329">
        <v>220962412.75735208</v>
      </c>
    </row>
    <row r="1330" spans="1:2" x14ac:dyDescent="0.25">
      <c r="A1330">
        <f ca="1">28318.607636453*(RANDBETWEEN(2890,3282))</f>
        <v>92092112.033745304</v>
      </c>
      <c r="B1330">
        <v>206581627.69775698</v>
      </c>
    </row>
    <row r="1331" spans="1:2" x14ac:dyDescent="0.25">
      <c r="A1331">
        <f ca="1">32127.6777713519*(RANDBETWEEN(2890,3282))</f>
        <v>105121761.6678634</v>
      </c>
      <c r="B1331">
        <v>222401290.90512395</v>
      </c>
    </row>
    <row r="1332" spans="1:2" x14ac:dyDescent="0.25">
      <c r="A1332">
        <f ca="1">27547.8279837658*(RANDBETWEEN(2890,3282))</f>
        <v>81293640.380092829</v>
      </c>
      <c r="B1332">
        <v>210249758.16501701</v>
      </c>
    </row>
    <row r="1333" spans="1:2" x14ac:dyDescent="0.25">
      <c r="A1333">
        <f ca="1">28376.0609785733*(RANDBETWEEN(2890,3282))</f>
        <v>86064592.948012888</v>
      </c>
      <c r="B1333">
        <v>223210683.33175427</v>
      </c>
    </row>
    <row r="1334" spans="1:2" x14ac:dyDescent="0.25">
      <c r="A1334">
        <f ca="1">31240.8294456883*(RANDBETWEEN(2890,3282))</f>
        <v>100283062.52065946</v>
      </c>
      <c r="B1334">
        <v>251868209.43602061</v>
      </c>
    </row>
    <row r="1335" spans="1:2" x14ac:dyDescent="0.25">
      <c r="A1335">
        <f ca="1">31710.6202481003*(RANDBETWEEN(2890,3282))</f>
        <v>97351604.161667988</v>
      </c>
      <c r="B1335">
        <v>233573449.11120465</v>
      </c>
    </row>
    <row r="1336" spans="1:2" x14ac:dyDescent="0.25">
      <c r="A1336">
        <f ca="1">26061.3607820078*(RANDBETWEEN(2890,3282))</f>
        <v>77975591.459767297</v>
      </c>
      <c r="B1336">
        <v>267470912.9458403</v>
      </c>
    </row>
    <row r="1337" spans="1:2" x14ac:dyDescent="0.25">
      <c r="A1337">
        <f ca="1">30655.5835405409*(RANDBETWEEN(2890,3282))</f>
        <v>93162318.379703701</v>
      </c>
      <c r="B1337">
        <v>258975898.63133988</v>
      </c>
    </row>
    <row r="1338" spans="1:2" x14ac:dyDescent="0.25">
      <c r="A1338">
        <f ca="1">25535.6976077167*(RANDBETWEEN(2890,3282))</f>
        <v>81892982.227947608</v>
      </c>
      <c r="B1338">
        <v>244306963.64766979</v>
      </c>
    </row>
    <row r="1339" spans="1:2" x14ac:dyDescent="0.25">
      <c r="A1339">
        <f ca="1">31677.1725532638*(RANDBETWEEN(2890,3282))</f>
        <v>100479991.33895285</v>
      </c>
      <c r="B1339">
        <v>256852865.28467685</v>
      </c>
    </row>
    <row r="1340" spans="1:2" x14ac:dyDescent="0.25">
      <c r="A1340">
        <f ca="1">29116.6944539368*(RANDBETWEEN(2890,3282))</f>
        <v>86796866.167185649</v>
      </c>
      <c r="B1340">
        <v>213284470.22703034</v>
      </c>
    </row>
    <row r="1341" spans="1:2" x14ac:dyDescent="0.25">
      <c r="A1341">
        <f ca="1">33958.025519109*(RANDBETWEEN(2890,3282))</f>
        <v>108665681.66114911</v>
      </c>
      <c r="B1341">
        <v>265414282.17492223</v>
      </c>
    </row>
    <row r="1342" spans="1:2" x14ac:dyDescent="0.25">
      <c r="A1342">
        <f ca="1">27478.0434772335*(RANDBETWEEN(2890,3282))</f>
        <v>87792348.909760967</v>
      </c>
      <c r="B1342">
        <v>254569874.92800564</v>
      </c>
    </row>
    <row r="1343" spans="1:2" x14ac:dyDescent="0.25">
      <c r="A1343">
        <f ca="1">34647.9409337599*(RANDBETWEEN(2890,3282))</f>
        <v>112813695.68032232</v>
      </c>
      <c r="B1343">
        <v>243118967.66284189</v>
      </c>
    </row>
    <row r="1344" spans="1:2" x14ac:dyDescent="0.25">
      <c r="A1344">
        <f ca="1">31408.2968672662*(RANDBETWEEN(2890,3282))</f>
        <v>96894595.835516348</v>
      </c>
      <c r="B1344">
        <v>236116787.43347064</v>
      </c>
    </row>
    <row r="1345" spans="1:2" x14ac:dyDescent="0.25">
      <c r="A1345">
        <f ca="1">30286.4604012486*(RANDBETWEEN(2890,3282))</f>
        <v>90889667.664147168</v>
      </c>
      <c r="B1345">
        <v>237418452.22024447</v>
      </c>
    </row>
    <row r="1346" spans="1:2" x14ac:dyDescent="0.25">
      <c r="A1346">
        <f ca="1">26573.9195162622*(RANDBETWEEN(2890,3282))</f>
        <v>81528785.075892419</v>
      </c>
      <c r="B1346">
        <v>265682484.59487405</v>
      </c>
    </row>
    <row r="1347" spans="1:2" x14ac:dyDescent="0.25">
      <c r="A1347">
        <f ca="1">30344.6460296554*(RANDBETWEEN(2890,3282))</f>
        <v>92338757.868241429</v>
      </c>
      <c r="B1347">
        <v>224713961.72900939</v>
      </c>
    </row>
    <row r="1348" spans="1:2" x14ac:dyDescent="0.25">
      <c r="A1348">
        <f ca="1">28694.4053176898*(RANDBETWEEN(2890,3282))</f>
        <v>90530848.7773114</v>
      </c>
      <c r="B1348">
        <v>234318895.40503371</v>
      </c>
    </row>
    <row r="1349" spans="1:2" x14ac:dyDescent="0.25">
      <c r="A1349">
        <f ca="1">28767.0519444263*(RANDBETWEEN(2890,3282))</f>
        <v>92917577.780496836</v>
      </c>
      <c r="B1349">
        <v>258535068.87056977</v>
      </c>
    </row>
    <row r="1350" spans="1:2" x14ac:dyDescent="0.25">
      <c r="A1350">
        <f ca="1">31152.577301318*(RANDBETWEEN(2890,3282))</f>
        <v>95389191.696635589</v>
      </c>
      <c r="B1350">
        <v>254975994.03920484</v>
      </c>
    </row>
    <row r="1351" spans="1:2" x14ac:dyDescent="0.25">
      <c r="A1351">
        <f ca="1">27094.1622969007*(RANDBETWEEN(2890,3282))</f>
        <v>85021481.287674382</v>
      </c>
      <c r="B1351">
        <v>219782527.20440242</v>
      </c>
    </row>
    <row r="1352" spans="1:2" x14ac:dyDescent="0.25">
      <c r="A1352">
        <f ca="1">27772.3466099581*(RANDBETWEEN(2890,3282))</f>
        <v>86010957.451040208</v>
      </c>
      <c r="B1352">
        <v>257000537.29736647</v>
      </c>
    </row>
    <row r="1353" spans="1:2" x14ac:dyDescent="0.25">
      <c r="A1353">
        <f ca="1">31257.8828466662*(RANDBETWEEN(2890,3282))</f>
        <v>102338308.43998499</v>
      </c>
      <c r="B1353">
        <v>217517038.52070844</v>
      </c>
    </row>
    <row r="1354" spans="1:2" x14ac:dyDescent="0.25">
      <c r="A1354">
        <f ca="1">31568.6757394331*(RANDBETWEEN(2890,3282))</f>
        <v>92306807.862102479</v>
      </c>
      <c r="B1354">
        <v>243684794.56718889</v>
      </c>
    </row>
    <row r="1355" spans="1:2" x14ac:dyDescent="0.25">
      <c r="A1355">
        <f ca="1">27649.8785599839*(RANDBETWEEN(2890,3282))</f>
        <v>85272225.478990197</v>
      </c>
      <c r="B1355">
        <v>250018224.43902892</v>
      </c>
    </row>
    <row r="1356" spans="1:2" x14ac:dyDescent="0.25">
      <c r="A1356">
        <f ca="1">29896.9068110902*(RANDBETWEEN(2890,3282))</f>
        <v>91155668.867013872</v>
      </c>
      <c r="B1356">
        <v>212707037.47861099</v>
      </c>
    </row>
    <row r="1357" spans="1:2" x14ac:dyDescent="0.25">
      <c r="A1357">
        <f ca="1">32369.9038965471*(RANDBETWEEN(2890,3282))</f>
        <v>101544388.52346836</v>
      </c>
      <c r="B1357">
        <v>225678568.68466422</v>
      </c>
    </row>
    <row r="1358" spans="1:2" x14ac:dyDescent="0.25">
      <c r="A1358">
        <f ca="1">27538.4691430359*(RANDBETWEEN(2890,3282))</f>
        <v>88784024.51714775</v>
      </c>
      <c r="B1358">
        <v>233867869.8798295</v>
      </c>
    </row>
    <row r="1359" spans="1:2" x14ac:dyDescent="0.25">
      <c r="A1359">
        <f ca="1">31628.4581245435*(RANDBETWEEN(2890,3282))</f>
        <v>103330172.69288367</v>
      </c>
      <c r="B1359">
        <v>249975572.01392901</v>
      </c>
    </row>
    <row r="1360" spans="1:2" x14ac:dyDescent="0.25">
      <c r="A1360">
        <f ca="1">27785.0203531552*(RANDBETWEEN(2890,3282))</f>
        <v>90245746.107048124</v>
      </c>
      <c r="B1360">
        <v>205381842.63653928</v>
      </c>
    </row>
    <row r="1361" spans="1:2" x14ac:dyDescent="0.25">
      <c r="A1361">
        <f ca="1">25320.6099443324*(RANDBETWEEN(2890,3282))</f>
        <v>76721448.131327033</v>
      </c>
      <c r="B1361">
        <v>246156211.0223282</v>
      </c>
    </row>
    <row r="1362" spans="1:2" x14ac:dyDescent="0.25">
      <c r="A1362">
        <f ca="1">33022.3777491612*(RANDBETWEEN(2890,3282))</f>
        <v>97085790.582533985</v>
      </c>
      <c r="B1362">
        <v>229922749.02654815</v>
      </c>
    </row>
    <row r="1363" spans="1:2" x14ac:dyDescent="0.25">
      <c r="A1363">
        <f ca="1">28943.5772264804*(RANDBETWEEN(2890,3282))</f>
        <v>94732328.262270465</v>
      </c>
      <c r="B1363">
        <v>260267862.06586972</v>
      </c>
    </row>
    <row r="1364" spans="1:2" x14ac:dyDescent="0.25">
      <c r="A1364">
        <f ca="1">32691.0808968724*(RANDBETWEEN(2890,3282))</f>
        <v>97517494.315370247</v>
      </c>
      <c r="B1364">
        <v>263111621.75368857</v>
      </c>
    </row>
    <row r="1365" spans="1:2" x14ac:dyDescent="0.25">
      <c r="A1365">
        <f ca="1">29841.3905861391*(RANDBETWEEN(2890,3282))</f>
        <v>97700712.779019311</v>
      </c>
      <c r="B1365">
        <v>239281927.84316862</v>
      </c>
    </row>
    <row r="1366" spans="1:2" x14ac:dyDescent="0.25">
      <c r="A1366">
        <f ca="1">29292.0086598678*(RANDBETWEEN(2890,3282))</f>
        <v>88784078.248059377</v>
      </c>
      <c r="B1366">
        <v>242059830.5735833</v>
      </c>
    </row>
    <row r="1367" spans="1:2" x14ac:dyDescent="0.25">
      <c r="A1367">
        <f ca="1">29328.2748421211*(RANDBETWEEN(2890,3282))</f>
        <v>89627207.917522192</v>
      </c>
      <c r="B1367">
        <v>213301289.15476078</v>
      </c>
    </row>
    <row r="1368" spans="1:2" x14ac:dyDescent="0.25">
      <c r="A1368">
        <f ca="1">28739.6092290256*(RANDBETWEEN(2890,3282))</f>
        <v>84666888.788709536</v>
      </c>
      <c r="B1368">
        <v>223924968.18958008</v>
      </c>
    </row>
    <row r="1369" spans="1:2" x14ac:dyDescent="0.25">
      <c r="A1369">
        <f ca="1">28002.0022183034*(RANDBETWEEN(2890,3282))</f>
        <v>88150302.983218953</v>
      </c>
      <c r="B1369">
        <v>228053306.93185288</v>
      </c>
    </row>
    <row r="1370" spans="1:2" x14ac:dyDescent="0.25">
      <c r="A1370">
        <f ca="1">32253.5451847189*(RANDBETWEEN(2890,3282))</f>
        <v>98889369.53634806</v>
      </c>
      <c r="B1370">
        <v>204126703.56705564</v>
      </c>
    </row>
    <row r="1371" spans="1:2" x14ac:dyDescent="0.25">
      <c r="A1371">
        <f ca="1">28020.9718160717*(RANDBETWEEN(2890,3282))</f>
        <v>91460452.007658064</v>
      </c>
      <c r="B1371">
        <v>253567255.96154794</v>
      </c>
    </row>
    <row r="1372" spans="1:2" x14ac:dyDescent="0.25">
      <c r="A1372">
        <f ca="1">30011.0311983952*(RANDBETWEEN(2890,3282))</f>
        <v>91683700.311097398</v>
      </c>
      <c r="B1372">
        <v>227325724.6073795</v>
      </c>
    </row>
    <row r="1373" spans="1:2" x14ac:dyDescent="0.25">
      <c r="A1373">
        <f ca="1">26544.260332979*(RANDBETWEEN(2890,3282))</f>
        <v>81915587.387573048</v>
      </c>
      <c r="B1373">
        <v>223272377.05675274</v>
      </c>
    </row>
    <row r="1374" spans="1:2" x14ac:dyDescent="0.25">
      <c r="A1374">
        <f ca="1">30017.9700581898*(RANDBETWEEN(2890,3282))</f>
        <v>97348276.89870955</v>
      </c>
      <c r="B1374">
        <v>264587050.072061</v>
      </c>
    </row>
    <row r="1375" spans="1:2" x14ac:dyDescent="0.25">
      <c r="A1375">
        <f ca="1">29994.5673324741*(RANDBETWEEN(2890,3282))</f>
        <v>88873903.006120861</v>
      </c>
      <c r="B1375">
        <v>231123819.20041528</v>
      </c>
    </row>
    <row r="1376" spans="1:2" x14ac:dyDescent="0.25">
      <c r="A1376">
        <f ca="1">25812.4216983259*(RANDBETWEEN(2890,3282))</f>
        <v>78960197.975179046</v>
      </c>
      <c r="B1376">
        <v>238276865.98391628</v>
      </c>
    </row>
    <row r="1377" spans="1:2" x14ac:dyDescent="0.25">
      <c r="A1377">
        <f ca="1">29472.5856536715*(RANDBETWEEN(2890,3282))</f>
        <v>92573391.538182124</v>
      </c>
      <c r="B1377">
        <v>235602844.52680719</v>
      </c>
    </row>
    <row r="1378" spans="1:2" x14ac:dyDescent="0.25">
      <c r="A1378">
        <f ca="1">30500.697960721*(RANDBETWEEN(2890,3282))</f>
        <v>91258088.298477143</v>
      </c>
      <c r="B1378">
        <v>212545877.45107231</v>
      </c>
    </row>
    <row r="1379" spans="1:2" x14ac:dyDescent="0.25">
      <c r="A1379">
        <f ca="1">29325.846273386*(RANDBETWEEN(2890,3282))</f>
        <v>89825067.13538146</v>
      </c>
      <c r="B1379">
        <v>229682660.85478842</v>
      </c>
    </row>
    <row r="1380" spans="1:2" x14ac:dyDescent="0.25">
      <c r="A1380">
        <f ca="1">31131.7739410736*(RANDBETWEEN(2890,3282))</f>
        <v>91247229.421286598</v>
      </c>
      <c r="B1380">
        <v>254354942.63978162</v>
      </c>
    </row>
    <row r="1381" spans="1:2" x14ac:dyDescent="0.25">
      <c r="A1381">
        <f ca="1">28131.489602309*(RANDBETWEEN(2890,3282))</f>
        <v>89739451.831365764</v>
      </c>
      <c r="B1381">
        <v>230545044.06279626</v>
      </c>
    </row>
    <row r="1382" spans="1:2" x14ac:dyDescent="0.25">
      <c r="A1382">
        <f ca="1">33806.3015494554*(RANDBETWEEN(2890,3282))</f>
        <v>102804963.01189388</v>
      </c>
      <c r="B1382">
        <v>208502067.9300406</v>
      </c>
    </row>
    <row r="1383" spans="1:2" x14ac:dyDescent="0.25">
      <c r="A1383">
        <f ca="1">27931.4979845611*(RANDBETWEEN(2890,3282))</f>
        <v>88961821.080827206</v>
      </c>
      <c r="B1383">
        <v>230112018.65838078</v>
      </c>
    </row>
    <row r="1384" spans="1:2" x14ac:dyDescent="0.25">
      <c r="A1384">
        <f ca="1">31434.9871776723*(RANDBETWEEN(2890,3282))</f>
        <v>100151869.14806402</v>
      </c>
      <c r="B1384">
        <v>223364909.05131531</v>
      </c>
    </row>
    <row r="1385" spans="1:2" x14ac:dyDescent="0.25">
      <c r="A1385">
        <f ca="1">33576.1556392486*(RANDBETWEEN(2890,3282))</f>
        <v>104455420.19370228</v>
      </c>
      <c r="B1385">
        <v>264632879.1062457</v>
      </c>
    </row>
    <row r="1386" spans="1:2" x14ac:dyDescent="0.25">
      <c r="A1386">
        <f ca="1">27024.5586814022*(RANDBETWEEN(2890,3282))</f>
        <v>83695058.236302495</v>
      </c>
      <c r="B1386">
        <v>234395659.33460408</v>
      </c>
    </row>
    <row r="1387" spans="1:2" x14ac:dyDescent="0.25">
      <c r="A1387">
        <f ca="1">26486.7866740316*(RANDBETWEEN(2890,3282))</f>
        <v>77103036.008106127</v>
      </c>
      <c r="B1387">
        <v>215133221.19241562</v>
      </c>
    </row>
    <row r="1388" spans="1:2" x14ac:dyDescent="0.25">
      <c r="A1388">
        <f ca="1">29434.810562291*(RANDBETWEEN(2890,3282))</f>
        <v>89481824.109364524</v>
      </c>
      <c r="B1388">
        <v>255293155.28559908</v>
      </c>
    </row>
    <row r="1389" spans="1:2" x14ac:dyDescent="0.25">
      <c r="A1389">
        <f ca="1">31828.1299950976*(RANDBETWEEN(2890,3282))</f>
        <v>100863343.95446444</v>
      </c>
      <c r="B1389">
        <v>220220479.11764699</v>
      </c>
    </row>
    <row r="1390" spans="1:2" x14ac:dyDescent="0.25">
      <c r="A1390">
        <f ca="1">30060.8416757331*(RANDBETWEEN(2890,3282))</f>
        <v>87056197.492922947</v>
      </c>
      <c r="B1390">
        <v>220448067.05807731</v>
      </c>
    </row>
    <row r="1391" spans="1:2" x14ac:dyDescent="0.25">
      <c r="A1391">
        <f ca="1">28824.0567854864*(RANDBETWEEN(2890,3282))</f>
        <v>93649360.496045232</v>
      </c>
      <c r="B1391">
        <v>231356154.08005387</v>
      </c>
    </row>
    <row r="1392" spans="1:2" x14ac:dyDescent="0.25">
      <c r="A1392">
        <f ca="1">27254.4398438488*(RANDBETWEEN(2890,3282))</f>
        <v>79964526.501852453</v>
      </c>
      <c r="B1392">
        <v>236101825.11899963</v>
      </c>
    </row>
    <row r="1393" spans="1:2" x14ac:dyDescent="0.25">
      <c r="A1393">
        <f ca="1">30387.0802127938*(RANDBETWEEN(2890,3282))</f>
        <v>92285562.606254816</v>
      </c>
      <c r="B1393">
        <v>214941571.29044276</v>
      </c>
    </row>
    <row r="1394" spans="1:2" x14ac:dyDescent="0.25">
      <c r="A1394">
        <f ca="1">28407.7063406667*(RANDBETWEEN(2890,3282))</f>
        <v>90166059.925276205</v>
      </c>
      <c r="B1394">
        <v>230200274.14374945</v>
      </c>
    </row>
    <row r="1395" spans="1:2" x14ac:dyDescent="0.25">
      <c r="A1395">
        <f ca="1">27746.9166784866*(RANDBETWEEN(2890,3282))</f>
        <v>84406120.535956174</v>
      </c>
      <c r="B1395">
        <v>230760173.53833684</v>
      </c>
    </row>
    <row r="1396" spans="1:2" x14ac:dyDescent="0.25">
      <c r="A1396">
        <f ca="1">29005.2565968533*(RANDBETWEEN(2890,3282))</f>
        <v>91105510.970716074</v>
      </c>
      <c r="B1396">
        <v>217354733.43143737</v>
      </c>
    </row>
    <row r="1397" spans="1:2" x14ac:dyDescent="0.25">
      <c r="A1397">
        <f ca="1">28693.0701278865*(RANDBETWEEN(2890,3282))</f>
        <v>84759329.157776862</v>
      </c>
      <c r="B1397">
        <v>229753956.12090367</v>
      </c>
    </row>
    <row r="1398" spans="1:2" x14ac:dyDescent="0.25">
      <c r="A1398">
        <f ca="1">31257.1419935627*(RANDBETWEEN(2890,3282))</f>
        <v>97553540.161909282</v>
      </c>
      <c r="B1398">
        <v>266617770.13053548</v>
      </c>
    </row>
    <row r="1399" spans="1:2" x14ac:dyDescent="0.25">
      <c r="A1399">
        <f ca="1">26125.8101774046*(RANDBETWEEN(2890,3282))</f>
        <v>78612562.823810428</v>
      </c>
      <c r="B1399">
        <v>253046344.36175433</v>
      </c>
    </row>
    <row r="1400" spans="1:2" x14ac:dyDescent="0.25">
      <c r="A1400">
        <f ca="1">26728.2137885599*(RANDBETWEEN(2890,3282))</f>
        <v>84113688.79259789</v>
      </c>
      <c r="B1400">
        <v>222429374.09305787</v>
      </c>
    </row>
    <row r="1401" spans="1:2" x14ac:dyDescent="0.25">
      <c r="A1401">
        <f ca="1">25728.9186752106*(RANDBETWEEN(2890,3282))</f>
        <v>79039238.170247003</v>
      </c>
      <c r="B1401">
        <v>212707922.6794292</v>
      </c>
    </row>
    <row r="1402" spans="1:2" x14ac:dyDescent="0.25">
      <c r="A1402">
        <f ca="1">32328.22465292*(RANDBETWEEN(2890,3282))</f>
        <v>105486997.0424778</v>
      </c>
      <c r="B1402">
        <v>252482172.87343812</v>
      </c>
    </row>
    <row r="1403" spans="1:2" x14ac:dyDescent="0.25">
      <c r="A1403">
        <f ca="1">31396.3117975217*(RANDBETWEEN(2890,3282))</f>
        <v>93686594.403804734</v>
      </c>
      <c r="B1403">
        <v>209821903.50754064</v>
      </c>
    </row>
    <row r="1404" spans="1:2" x14ac:dyDescent="0.25">
      <c r="A1404">
        <f ca="1">31878.3741891317*(RANDBETWEEN(2890,3282))</f>
        <v>96527717.044690818</v>
      </c>
      <c r="B1404">
        <v>228952511.07379428</v>
      </c>
    </row>
    <row r="1405" spans="1:2" x14ac:dyDescent="0.25">
      <c r="A1405">
        <f ca="1">27357.4236719281*(RANDBETWEEN(2890,3282))</f>
        <v>87270181.513450608</v>
      </c>
      <c r="B1405">
        <v>232950411.49041337</v>
      </c>
    </row>
    <row r="1406" spans="1:2" x14ac:dyDescent="0.25">
      <c r="A1406">
        <f ca="1">29015.6852607157*(RANDBETWEEN(2890,3282))</f>
        <v>91631534.053340316</v>
      </c>
      <c r="B1406">
        <v>219447799.4452883</v>
      </c>
    </row>
    <row r="1407" spans="1:2" x14ac:dyDescent="0.25">
      <c r="A1407">
        <f ca="1">30100.1177980108*(RANDBETWEEN(2890,3282))</f>
        <v>95567874.008684307</v>
      </c>
      <c r="B1407">
        <v>210049584.82976234</v>
      </c>
    </row>
    <row r="1408" spans="1:2" x14ac:dyDescent="0.25">
      <c r="A1408">
        <f ca="1">28143.3173802061*(RANDBETWEEN(2890,3282))</f>
        <v>85302394.979404658</v>
      </c>
      <c r="B1408">
        <v>258068799.97051513</v>
      </c>
    </row>
    <row r="1409" spans="1:2" x14ac:dyDescent="0.25">
      <c r="A1409">
        <f ca="1">28324.6518807902*(RANDBETWEEN(2890,3282))</f>
        <v>84492436.560397178</v>
      </c>
      <c r="B1409">
        <v>243780236.98631433</v>
      </c>
    </row>
    <row r="1410" spans="1:2" x14ac:dyDescent="0.25">
      <c r="A1410">
        <f ca="1">29250.5483846892*(RANDBETWEEN(2890,3282))</f>
        <v>95473789.927625492</v>
      </c>
      <c r="B1410">
        <v>211315899.4072386</v>
      </c>
    </row>
    <row r="1411" spans="1:2" x14ac:dyDescent="0.25">
      <c r="A1411">
        <f ca="1">26515.1928935072*(RANDBETWEEN(2890,3282))</f>
        <v>77026635.355638355</v>
      </c>
      <c r="B1411">
        <v>265936430.33780473</v>
      </c>
    </row>
    <row r="1412" spans="1:2" x14ac:dyDescent="0.25">
      <c r="A1412">
        <f ca="1">30106.4433939989*(RANDBETWEEN(2890,3282))</f>
        <v>95497638.445764363</v>
      </c>
      <c r="B1412">
        <v>205284839.10216567</v>
      </c>
    </row>
    <row r="1413" spans="1:2" x14ac:dyDescent="0.25">
      <c r="A1413">
        <f ca="1">32659.5580203569*(RANDBETWEEN(2890,3282))</f>
        <v>105621010.63783422</v>
      </c>
      <c r="B1413">
        <v>252703479.81998238</v>
      </c>
    </row>
    <row r="1414" spans="1:2" x14ac:dyDescent="0.25">
      <c r="A1414">
        <f ca="1">30301.4693526461*(RANDBETWEEN(2890,3282))</f>
        <v>97025304.867172956</v>
      </c>
      <c r="B1414">
        <v>251874951.04685307</v>
      </c>
    </row>
    <row r="1415" spans="1:2" x14ac:dyDescent="0.25">
      <c r="A1415">
        <f ca="1">26898.6731995709*(RANDBETWEEN(2890,3282))</f>
        <v>80749816.945111945</v>
      </c>
      <c r="B1415">
        <v>249334378.65777189</v>
      </c>
    </row>
    <row r="1416" spans="1:2" x14ac:dyDescent="0.25">
      <c r="A1416">
        <f ca="1">27034.3831950505*(RANDBETWEEN(2890,3282))</f>
        <v>85942304.177065536</v>
      </c>
      <c r="B1416">
        <v>241700610.07403469</v>
      </c>
    </row>
    <row r="1417" spans="1:2" x14ac:dyDescent="0.25">
      <c r="A1417">
        <f ca="1">31177.2294186605*(RANDBETWEEN(2890,3282))</f>
        <v>96618233.968428761</v>
      </c>
      <c r="B1417">
        <v>219764553.19550642</v>
      </c>
    </row>
    <row r="1418" spans="1:2" x14ac:dyDescent="0.25">
      <c r="A1418">
        <f ca="1">28769.8203821095*(RANDBETWEEN(2890,3282))</f>
        <v>84612041.743783951</v>
      </c>
      <c r="B1418">
        <v>226385137.55955133</v>
      </c>
    </row>
    <row r="1419" spans="1:2" x14ac:dyDescent="0.25">
      <c r="A1419">
        <f ca="1">31882.7194093348*(RANDBETWEEN(2890,3282))</f>
        <v>104256492.46852472</v>
      </c>
      <c r="B1419">
        <v>240192445.65433004</v>
      </c>
    </row>
    <row r="1420" spans="1:2" x14ac:dyDescent="0.25">
      <c r="A1420">
        <f ca="1">30833.3849228479*(RANDBETWEEN(2890,3282))</f>
        <v>99560999.915875971</v>
      </c>
      <c r="B1420">
        <v>229967663.21466392</v>
      </c>
    </row>
    <row r="1421" spans="1:2" x14ac:dyDescent="0.25">
      <c r="A1421">
        <f ca="1">30830.8244965096*(RANDBETWEEN(2890,3282))</f>
        <v>94280661.310326353</v>
      </c>
      <c r="B1421">
        <v>260131029.05477348</v>
      </c>
    </row>
    <row r="1422" spans="1:2" x14ac:dyDescent="0.25">
      <c r="A1422">
        <f ca="1">30643.5299086786*(RANDBETWEEN(2890,3282))</f>
        <v>90306482.640875936</v>
      </c>
      <c r="B1422">
        <v>221966834.97057545</v>
      </c>
    </row>
    <row r="1423" spans="1:2" x14ac:dyDescent="0.25">
      <c r="A1423">
        <f ca="1">29637.9151090321*(RANDBETWEEN(2890,3282))</f>
        <v>90573468.573202103</v>
      </c>
      <c r="B1423">
        <v>218802378.64716041</v>
      </c>
    </row>
    <row r="1424" spans="1:2" x14ac:dyDescent="0.25">
      <c r="A1424">
        <f ca="1">26584.4962577307*(RANDBETWEEN(2890,3282))</f>
        <v>83023381.812893078</v>
      </c>
      <c r="B1424">
        <v>237043027.24266478</v>
      </c>
    </row>
    <row r="1425" spans="1:2" x14ac:dyDescent="0.25">
      <c r="A1425">
        <f ca="1">29685.8222834431*(RANDBETWEEN(2890,3282))</f>
        <v>88582493.693794161</v>
      </c>
      <c r="B1425">
        <v>245220386.88064414</v>
      </c>
    </row>
    <row r="1426" spans="1:2" x14ac:dyDescent="0.25">
      <c r="A1426">
        <f ca="1">31200.7469652812*(RANDBETWEEN(2890,3282))</f>
        <v>92791021.474746227</v>
      </c>
      <c r="B1426">
        <v>265241387.73356128</v>
      </c>
    </row>
    <row r="1427" spans="1:2" x14ac:dyDescent="0.25">
      <c r="A1427">
        <f ca="1">27672.645690642*(RANDBETWEEN(2890,3282))</f>
        <v>80942488.645127878</v>
      </c>
      <c r="B1427">
        <v>227158420.76798669</v>
      </c>
    </row>
    <row r="1428" spans="1:2" x14ac:dyDescent="0.25">
      <c r="A1428">
        <f ca="1">27799.8989780726*(RANDBETWEEN(2890,3282))</f>
        <v>89432275.012459546</v>
      </c>
      <c r="B1428">
        <v>240879864.58872107</v>
      </c>
    </row>
    <row r="1429" spans="1:2" x14ac:dyDescent="0.25">
      <c r="A1429">
        <f ca="1">30982.0887709856*(RANDBETWEEN(2890,3282))</f>
        <v>97748490.072459549</v>
      </c>
      <c r="B1429">
        <v>225391944.87436652</v>
      </c>
    </row>
    <row r="1430" spans="1:2" x14ac:dyDescent="0.25">
      <c r="A1430">
        <f ca="1">28949.4683454723*(RANDBETWEEN(2890,3282))</f>
        <v>92725147.110547617</v>
      </c>
      <c r="B1430">
        <v>237514470.19042563</v>
      </c>
    </row>
    <row r="1431" spans="1:2" x14ac:dyDescent="0.25">
      <c r="A1431">
        <f ca="1">30249.9520036684*(RANDBETWEEN(2890,3282))</f>
        <v>95257098.859551921</v>
      </c>
      <c r="B1431">
        <v>256247372.45730251</v>
      </c>
    </row>
    <row r="1432" spans="1:2" x14ac:dyDescent="0.25">
      <c r="A1432">
        <f ca="1">30518.3603528562*(RANDBETWEEN(2890,3282))</f>
        <v>89205167.31139864</v>
      </c>
      <c r="B1432">
        <v>249542397.03148699</v>
      </c>
    </row>
    <row r="1433" spans="1:2" x14ac:dyDescent="0.25">
      <c r="A1433">
        <f ca="1">33235.8039352563*(RANDBETWEEN(2890,3282))</f>
        <v>98743573.491646424</v>
      </c>
      <c r="B1433">
        <v>266522203.91269672</v>
      </c>
    </row>
    <row r="1434" spans="1:2" x14ac:dyDescent="0.25">
      <c r="A1434">
        <f ca="1">26906.7877757239*(RANDBETWEEN(2890,3282))</f>
        <v>81500660.172667697</v>
      </c>
      <c r="B1434">
        <v>222542137.9676947</v>
      </c>
    </row>
    <row r="1435" spans="1:2" x14ac:dyDescent="0.25">
      <c r="A1435">
        <f ca="1">26886.9015049256*(RANDBETWEEN(2890,3282))</f>
        <v>81547972.26443933</v>
      </c>
      <c r="B1435">
        <v>238114834.61102599</v>
      </c>
    </row>
    <row r="1436" spans="1:2" x14ac:dyDescent="0.25">
      <c r="A1436">
        <f ca="1">27919.5617981085*(RANDBETWEEN(2890,3282))</f>
        <v>81692637.821265355</v>
      </c>
      <c r="B1436">
        <v>209793467.21949732</v>
      </c>
    </row>
    <row r="1437" spans="1:2" x14ac:dyDescent="0.25">
      <c r="A1437">
        <f ca="1">31197.4578800496*(RANDBETWEEN(2890,3282))</f>
        <v>99395100.805838048</v>
      </c>
      <c r="B1437">
        <v>249854775.63955975</v>
      </c>
    </row>
    <row r="1438" spans="1:2" x14ac:dyDescent="0.25">
      <c r="A1438">
        <f ca="1">29311.6583138793*(RANDBETWEEN(2890,3282))</f>
        <v>89928167.706981644</v>
      </c>
      <c r="B1438">
        <v>216589207.67206371</v>
      </c>
    </row>
    <row r="1439" spans="1:2" x14ac:dyDescent="0.25">
      <c r="A1439">
        <f ca="1">29678.6876449363*(RANDBETWEEN(2890,3282))</f>
        <v>86899197.424373344</v>
      </c>
      <c r="B1439">
        <v>236184099.29674944</v>
      </c>
    </row>
    <row r="1440" spans="1:2" x14ac:dyDescent="0.25">
      <c r="A1440">
        <f ca="1">30786.8517667746*(RANDBETWEEN(2890,3282))</f>
        <v>93869111.036895663</v>
      </c>
      <c r="B1440">
        <v>252682168.7677919</v>
      </c>
    </row>
    <row r="1441" spans="1:2" x14ac:dyDescent="0.25">
      <c r="A1441">
        <f ca="1">32428.3652256128*(RANDBETWEEN(2890,3282))</f>
        <v>103414056.70447937</v>
      </c>
      <c r="B1441">
        <v>214395141.8431195</v>
      </c>
    </row>
    <row r="1442" spans="1:2" x14ac:dyDescent="0.25">
      <c r="A1442">
        <f ca="1">27839.0318984344*(RANDBETWEEN(2890,3282))</f>
        <v>88862189.819802448</v>
      </c>
      <c r="B1442">
        <v>238845923.14779425</v>
      </c>
    </row>
    <row r="1443" spans="1:2" x14ac:dyDescent="0.25">
      <c r="A1443">
        <f ca="1">26677.4642023675*(RANDBETWEEN(2890,3282))</f>
        <v>78378389.826555699</v>
      </c>
      <c r="B1443">
        <v>205236521.47562695</v>
      </c>
    </row>
    <row r="1444" spans="1:2" x14ac:dyDescent="0.25">
      <c r="A1444">
        <f ca="1">32143.2221639445*(RANDBETWEEN(2890,3282))</f>
        <v>98840408.154129192</v>
      </c>
      <c r="B1444">
        <v>224516161.22030279</v>
      </c>
    </row>
    <row r="1445" spans="1:2" x14ac:dyDescent="0.25">
      <c r="A1445">
        <f ca="1">29518.0218397506*(RANDBETWEEN(2890,3282))</f>
        <v>88288403.322694182</v>
      </c>
      <c r="B1445">
        <v>220857892.89497015</v>
      </c>
    </row>
    <row r="1446" spans="1:2" x14ac:dyDescent="0.25">
      <c r="A1446">
        <f ca="1">29406.8991275687*(RANDBETWEEN(2890,3282))</f>
        <v>90955539.001569837</v>
      </c>
      <c r="B1446">
        <v>240875965.00337732</v>
      </c>
    </row>
    <row r="1447" spans="1:2" x14ac:dyDescent="0.25">
      <c r="A1447">
        <f ca="1">29226.9479256829*(RANDBETWEEN(2890,3282))</f>
        <v>85021191.515811682</v>
      </c>
      <c r="B1447">
        <v>239820057.11729753</v>
      </c>
    </row>
    <row r="1448" spans="1:2" x14ac:dyDescent="0.25">
      <c r="A1448">
        <f ca="1">26797.0338451389*(RANDBETWEEN(2890,3282))</f>
        <v>78086556.624734879</v>
      </c>
      <c r="B1448">
        <v>228426652.42021781</v>
      </c>
    </row>
    <row r="1449" spans="1:2" x14ac:dyDescent="0.25">
      <c r="A1449">
        <f ca="1">31248.3589426321*(RANDBETWEEN(2890,3282))</f>
        <v>101432173.12778392</v>
      </c>
      <c r="B1449">
        <v>241665416.43588915</v>
      </c>
    </row>
    <row r="1450" spans="1:2" x14ac:dyDescent="0.25">
      <c r="A1450">
        <f ca="1">29009.2939149147*(RANDBETWEEN(2890,3282))</f>
        <v>93496954.287769929</v>
      </c>
      <c r="B1450">
        <v>259806792.17960632</v>
      </c>
    </row>
    <row r="1451" spans="1:2" x14ac:dyDescent="0.25">
      <c r="A1451">
        <f ca="1">30079.4489189844*(RANDBETWEEN(2890,3282))</f>
        <v>95532329.766694561</v>
      </c>
      <c r="B1451">
        <v>248898663.08588877</v>
      </c>
    </row>
    <row r="1452" spans="1:2" x14ac:dyDescent="0.25">
      <c r="A1452">
        <f ca="1">31748.0140462822*(RANDBETWEEN(2890,3282))</f>
        <v>92418468.888727412</v>
      </c>
      <c r="B1452">
        <v>209723294.49057251</v>
      </c>
    </row>
    <row r="1453" spans="1:2" x14ac:dyDescent="0.25">
      <c r="A1453">
        <f ca="1">25293.7084700214*(RANDBETWEEN(2890,3282))</f>
        <v>76083475.07782428</v>
      </c>
      <c r="B1453">
        <v>214958363.90627074</v>
      </c>
    </row>
    <row r="1454" spans="1:2" x14ac:dyDescent="0.25">
      <c r="A1454">
        <f ca="1">27777.8163319846*(RANDBETWEEN(2890,3282))</f>
        <v>81777891.281362519</v>
      </c>
      <c r="B1454">
        <v>241188530.94804764</v>
      </c>
    </row>
    <row r="1455" spans="1:2" x14ac:dyDescent="0.25">
      <c r="A1455">
        <f ca="1">26891.0460656676*(RANDBETWEEN(2890,3282))</f>
        <v>84895032.429312587</v>
      </c>
      <c r="B1455">
        <v>222476502.53693557</v>
      </c>
    </row>
    <row r="1456" spans="1:2" x14ac:dyDescent="0.25">
      <c r="A1456">
        <f ca="1">29954.0467563402*(RANDBETWEEN(2890,3282))</f>
        <v>94295339.188959062</v>
      </c>
      <c r="B1456">
        <v>223674691.79447854</v>
      </c>
    </row>
    <row r="1457" spans="1:2" x14ac:dyDescent="0.25">
      <c r="A1457">
        <f ca="1">27085.3107061583*(RANDBETWEEN(2890,3282))</f>
        <v>79766240.0296361</v>
      </c>
      <c r="B1457">
        <v>238919707.09956431</v>
      </c>
    </row>
    <row r="1458" spans="1:2" x14ac:dyDescent="0.25">
      <c r="A1458">
        <f ca="1">32877.8520495471*(RANDBETWEEN(2890,3282))</f>
        <v>104222790.99706446</v>
      </c>
      <c r="B1458">
        <v>217389021.42938912</v>
      </c>
    </row>
    <row r="1459" spans="1:2" x14ac:dyDescent="0.25">
      <c r="A1459">
        <f ca="1">30189.0240030197*(RANDBETWEEN(2890,3282))</f>
        <v>89329322.02493532</v>
      </c>
      <c r="B1459">
        <v>263269948.51956302</v>
      </c>
    </row>
    <row r="1460" spans="1:2" x14ac:dyDescent="0.25">
      <c r="A1460">
        <f ca="1">29194.9762238484*(RANDBETWEEN(2890,3282))</f>
        <v>88343998.053365171</v>
      </c>
      <c r="B1460">
        <v>219223416.83417699</v>
      </c>
    </row>
    <row r="1461" spans="1:2" x14ac:dyDescent="0.25">
      <c r="A1461">
        <f ca="1">32123.4807518359*(RANDBETWEEN(2890,3282))</f>
        <v>102666644.48286757</v>
      </c>
      <c r="B1461">
        <v>261004412.39105666</v>
      </c>
    </row>
    <row r="1462" spans="1:2" x14ac:dyDescent="0.25">
      <c r="A1462">
        <f ca="1">28756.813185595*(RANDBETWEEN(2890,3282))</f>
        <v>93344615.600441441</v>
      </c>
      <c r="B1462">
        <v>239462071.51676434</v>
      </c>
    </row>
    <row r="1463" spans="1:2" x14ac:dyDescent="0.25">
      <c r="A1463">
        <f ca="1">33632.6880820564*(RANDBETWEEN(2890,3282))</f>
        <v>103050556.28342073</v>
      </c>
      <c r="B1463">
        <v>203906812.55273214</v>
      </c>
    </row>
    <row r="1464" spans="1:2" x14ac:dyDescent="0.25">
      <c r="A1464">
        <f ca="1">27869.6309214271*(RANDBETWEEN(2890,3282))</f>
        <v>82884282.360324055</v>
      </c>
      <c r="B1464">
        <v>207673977.20557994</v>
      </c>
    </row>
    <row r="1465" spans="1:2" x14ac:dyDescent="0.25">
      <c r="A1465">
        <f ca="1">33586.0799588437*(RANDBETWEEN(2890,3282))</f>
        <v>105325946.75093396</v>
      </c>
      <c r="B1465">
        <v>225705119.09216988</v>
      </c>
    </row>
    <row r="1466" spans="1:2" x14ac:dyDescent="0.25">
      <c r="A1466">
        <f ca="1">28394.8303416188*(RANDBETWEEN(2890,3282))</f>
        <v>90153586.334639683</v>
      </c>
      <c r="B1466">
        <v>237060194.23092833</v>
      </c>
    </row>
    <row r="1467" spans="1:2" x14ac:dyDescent="0.25">
      <c r="A1467">
        <f ca="1">32150.7662803137*(RANDBETWEEN(2890,3282))</f>
        <v>101596421.44579121</v>
      </c>
      <c r="B1467">
        <v>248574503.04165518</v>
      </c>
    </row>
    <row r="1468" spans="1:2" x14ac:dyDescent="0.25">
      <c r="A1468">
        <f ca="1">31632.6615151385*(RANDBETWEEN(2890,3282))</f>
        <v>94992882.529960796</v>
      </c>
      <c r="B1468">
        <v>217586147.73334506</v>
      </c>
    </row>
    <row r="1469" spans="1:2" x14ac:dyDescent="0.25">
      <c r="A1469">
        <f ca="1">33237.3704950853*(RANDBETWEEN(2890,3282))</f>
        <v>99778586.226245984</v>
      </c>
      <c r="B1469">
        <v>221514823.29339951</v>
      </c>
    </row>
    <row r="1470" spans="1:2" x14ac:dyDescent="0.25">
      <c r="A1470">
        <f ca="1">32144.1882995602*(RANDBETWEEN(2890,3282))</f>
        <v>95403950.873094544</v>
      </c>
      <c r="B1470">
        <v>218201822.48515552</v>
      </c>
    </row>
    <row r="1471" spans="1:2" x14ac:dyDescent="0.25">
      <c r="A1471">
        <f ca="1">32297.545334545*(RANDBETWEEN(2890,3282))</f>
        <v>102254028.52916954</v>
      </c>
      <c r="B1471">
        <v>254248126.12498936</v>
      </c>
    </row>
    <row r="1472" spans="1:2" x14ac:dyDescent="0.25">
      <c r="A1472">
        <f ca="1">28547.151189785*(RANDBETWEEN(2890,3282))</f>
        <v>91436525.260881394</v>
      </c>
      <c r="B1472">
        <v>252035488.51725006</v>
      </c>
    </row>
    <row r="1473" spans="1:2" x14ac:dyDescent="0.25">
      <c r="A1473">
        <f ca="1">29711.8473830517*(RANDBETWEEN(2890,3282))</f>
        <v>92433557.20867385</v>
      </c>
      <c r="B1473">
        <v>206663394.77211392</v>
      </c>
    </row>
    <row r="1474" spans="1:2" x14ac:dyDescent="0.25">
      <c r="A1474">
        <f ca="1">28322.0495448136*(RANDBETWEEN(2890,3282))</f>
        <v>85419301.427157864</v>
      </c>
      <c r="B1474">
        <v>247711269.94387168</v>
      </c>
    </row>
    <row r="1475" spans="1:2" x14ac:dyDescent="0.25">
      <c r="A1475">
        <f ca="1">28761.0458727228*(RANDBETWEEN(2890,3282))</f>
        <v>85075173.691514134</v>
      </c>
      <c r="B1475">
        <v>234841993.75666946</v>
      </c>
    </row>
    <row r="1476" spans="1:2" x14ac:dyDescent="0.25">
      <c r="A1476">
        <f ca="1">32061.8534801799*(RANDBETWEEN(2890,3282))</f>
        <v>98654323.158513635</v>
      </c>
      <c r="B1476">
        <v>264011338.76216552</v>
      </c>
    </row>
    <row r="1477" spans="1:2" x14ac:dyDescent="0.25">
      <c r="A1477">
        <f ca="1">30033.08055717*(RANDBETWEEN(2890,3282))</f>
        <v>86885702.051892698</v>
      </c>
      <c r="B1477">
        <v>253366578.50113022</v>
      </c>
    </row>
    <row r="1478" spans="1:2" x14ac:dyDescent="0.25">
      <c r="A1478">
        <f ca="1">30396.8711799773*(RANDBETWEEN(2890,3282))</f>
        <v>97330781.518287346</v>
      </c>
      <c r="B1478">
        <v>233112695.5752376</v>
      </c>
    </row>
    <row r="1479" spans="1:2" x14ac:dyDescent="0.25">
      <c r="A1479">
        <f ca="1">30574.6868728564*(RANDBETWEEN(2890,3282))</f>
        <v>92671875.911627889</v>
      </c>
      <c r="B1479">
        <v>229921502.38593256</v>
      </c>
    </row>
    <row r="1480" spans="1:2" x14ac:dyDescent="0.25">
      <c r="A1480">
        <f ca="1">26694.1762312975*(RANDBETWEEN(2890,3282))</f>
        <v>85688305.702464923</v>
      </c>
      <c r="B1480">
        <v>243687335.69917578</v>
      </c>
    </row>
    <row r="1481" spans="1:2" x14ac:dyDescent="0.25">
      <c r="A1481">
        <f ca="1">26928.6873331175*(RANDBETWEEN(2890,3282))</f>
        <v>84475292.163989469</v>
      </c>
      <c r="B1481">
        <v>255031090.46723393</v>
      </c>
    </row>
    <row r="1482" spans="1:2" x14ac:dyDescent="0.25">
      <c r="A1482">
        <f ca="1">29865.9542072029*(RANDBETWEEN(2890,3282))</f>
        <v>96885155.448166117</v>
      </c>
      <c r="B1482">
        <v>240671647.21200389</v>
      </c>
    </row>
    <row r="1483" spans="1:2" x14ac:dyDescent="0.25">
      <c r="A1483">
        <f ca="1">32381.8350239196*(RANDBETWEEN(2890,3282))</f>
        <v>96918832.226591393</v>
      </c>
      <c r="B1483">
        <v>215996117.82219887</v>
      </c>
    </row>
    <row r="1484" spans="1:2" x14ac:dyDescent="0.25">
      <c r="A1484">
        <f ca="1">27443.3745514034*(RANDBETWEEN(2890,3282))</f>
        <v>85595885.225827113</v>
      </c>
      <c r="B1484">
        <v>211951046.49156511</v>
      </c>
    </row>
    <row r="1485" spans="1:2" x14ac:dyDescent="0.25">
      <c r="A1485">
        <f ca="1">28244.8620942682*(RANDBETWEEN(2890,3282))</f>
        <v>83971975.006259292</v>
      </c>
      <c r="B1485">
        <v>219682992.2399638</v>
      </c>
    </row>
    <row r="1486" spans="1:2" x14ac:dyDescent="0.25">
      <c r="A1486">
        <f ca="1">31374.215066567*(RANDBETWEEN(2890,3282))</f>
        <v>99770003.911683038</v>
      </c>
      <c r="B1486">
        <v>206664985.55051264</v>
      </c>
    </row>
    <row r="1487" spans="1:2" x14ac:dyDescent="0.25">
      <c r="A1487">
        <f ca="1">26019.7821303455*(RANDBETWEEN(2890,3282))</f>
        <v>82274551.096152499</v>
      </c>
      <c r="B1487">
        <v>232251955.47316685</v>
      </c>
    </row>
    <row r="1488" spans="1:2" x14ac:dyDescent="0.25">
      <c r="A1488">
        <f ca="1">31885.3745291457*(RANDBETWEEN(2890,3282))</f>
        <v>102256396.11497024</v>
      </c>
      <c r="B1488">
        <v>250118753.08730984</v>
      </c>
    </row>
    <row r="1489" spans="1:2" x14ac:dyDescent="0.25">
      <c r="A1489">
        <f ca="1">25082.2230256631*(RANDBETWEEN(2890,3282))</f>
        <v>82094115.96299544</v>
      </c>
      <c r="B1489">
        <v>266467021.58028802</v>
      </c>
    </row>
    <row r="1490" spans="1:2" x14ac:dyDescent="0.25">
      <c r="A1490">
        <f ca="1">26216.2295579886*(RANDBETWEEN(2890,3282))</f>
        <v>85858151.802412689</v>
      </c>
      <c r="B1490">
        <v>229596170.11148578</v>
      </c>
    </row>
    <row r="1491" spans="1:2" x14ac:dyDescent="0.25">
      <c r="A1491">
        <f ca="1">35222.5007105998*(RANDBETWEEN(2890,3282))</f>
        <v>101793027.05363356</v>
      </c>
      <c r="B1491">
        <v>239640287.63246644</v>
      </c>
    </row>
    <row r="1492" spans="1:2" x14ac:dyDescent="0.25">
      <c r="A1492">
        <f ca="1">32281.5692447288*(RANDBETWEEN(2890,3282))</f>
        <v>97038397.149654731</v>
      </c>
      <c r="B1492">
        <v>253765831.36330378</v>
      </c>
    </row>
    <row r="1493" spans="1:2" x14ac:dyDescent="0.25">
      <c r="A1493">
        <f ca="1">28965.694108108*(RANDBETWEEN(2890,3282))</f>
        <v>94254368.627783418</v>
      </c>
      <c r="B1493">
        <v>204911162.95278567</v>
      </c>
    </row>
    <row r="1494" spans="1:2" x14ac:dyDescent="0.25">
      <c r="A1494">
        <f ca="1">29205.4728504187*(RANDBETWEEN(2890,3282))</f>
        <v>92376910.625874415</v>
      </c>
      <c r="B1494">
        <v>214008756.67182139</v>
      </c>
    </row>
    <row r="1495" spans="1:2" x14ac:dyDescent="0.25">
      <c r="A1495">
        <f ca="1">29909.2811478839*(RANDBETWEEN(2890,3282))</f>
        <v>88591290.760032326</v>
      </c>
      <c r="B1495">
        <v>219457535.9373306</v>
      </c>
    </row>
    <row r="1496" spans="1:2" x14ac:dyDescent="0.25">
      <c r="A1496">
        <f ca="1">30096.0948031888*(RANDBETWEEN(2890,3282))</f>
        <v>89445593.75507699</v>
      </c>
      <c r="B1496">
        <v>233820409.65581653</v>
      </c>
    </row>
    <row r="1497" spans="1:2" x14ac:dyDescent="0.25">
      <c r="A1497">
        <f ca="1">29035.1295916588*(RANDBETWEEN(2890,3282))</f>
        <v>85595562.036210164</v>
      </c>
      <c r="B1497">
        <v>206379115.48844558</v>
      </c>
    </row>
    <row r="1498" spans="1:2" x14ac:dyDescent="0.25">
      <c r="A1498">
        <f ca="1">27620.8134039303*(RANDBETWEEN(2890,3282))</f>
        <v>83414856.479869559</v>
      </c>
      <c r="B1498">
        <v>229807825.91303942</v>
      </c>
    </row>
    <row r="1499" spans="1:2" x14ac:dyDescent="0.25">
      <c r="A1499">
        <f ca="1">26355.9730022637*(RANDBETWEEN(2890,3282))</f>
        <v>82625975.362096682</v>
      </c>
      <c r="B1499">
        <v>239826293.41748035</v>
      </c>
    </row>
    <row r="1500" spans="1:2" x14ac:dyDescent="0.25">
      <c r="A1500">
        <f ca="1">31985.2499701861*(RANDBETWEEN(2890,3282))</f>
        <v>102000962.15492357</v>
      </c>
      <c r="B1500">
        <v>233896806.02432975</v>
      </c>
    </row>
    <row r="1501" spans="1:2" x14ac:dyDescent="0.25">
      <c r="A1501">
        <f ca="1">30242.172711946*(RANDBETWEEN(2890,3282))</f>
        <v>91301119.417364866</v>
      </c>
      <c r="B1501">
        <v>214846647.69196376</v>
      </c>
    </row>
    <row r="1502" spans="1:2" x14ac:dyDescent="0.25">
      <c r="A1502">
        <f ca="1">28681.6292164399*(RANDBETWEEN(2890,3282))</f>
        <v>89802181.07667321</v>
      </c>
      <c r="B1502">
        <v>219510349.68880236</v>
      </c>
    </row>
    <row r="1503" spans="1:2" x14ac:dyDescent="0.25">
      <c r="A1503">
        <f ca="1">26947.6152167464*(RANDBETWEEN(2890,3282))</f>
        <v>83375921.480613336</v>
      </c>
      <c r="B1503">
        <v>257286885.00529164</v>
      </c>
    </row>
    <row r="1504" spans="1:2" x14ac:dyDescent="0.25">
      <c r="A1504">
        <f ca="1">31630.7605695041*(RANDBETWEEN(2890,3282))</f>
        <v>102799971.85088821</v>
      </c>
      <c r="B1504">
        <v>241401288.45799345</v>
      </c>
    </row>
    <row r="1505" spans="1:2" x14ac:dyDescent="0.25">
      <c r="A1505">
        <f ca="1">26043.0803100238*(RANDBETWEEN(2890,3282))</f>
        <v>82348219.940295264</v>
      </c>
      <c r="B1505">
        <v>248490009.18670556</v>
      </c>
    </row>
    <row r="1506" spans="1:2" x14ac:dyDescent="0.25">
      <c r="A1506">
        <f ca="1">29656.979827565*(RANDBETWEEN(2890,3282))</f>
        <v>95792044.843034938</v>
      </c>
      <c r="B1506">
        <v>229189870.45265299</v>
      </c>
    </row>
    <row r="1507" spans="1:2" x14ac:dyDescent="0.25">
      <c r="A1507">
        <f ca="1">26259.9702245618*(RANDBETWEEN(2890,3282))</f>
        <v>80513068.708506361</v>
      </c>
      <c r="B1507">
        <v>208364561.51831862</v>
      </c>
    </row>
    <row r="1508" spans="1:2" x14ac:dyDescent="0.25">
      <c r="A1508">
        <f ca="1">33593.0516586305*(RANDBETWEEN(2890,3282))</f>
        <v>103701750.47019243</v>
      </c>
      <c r="B1508">
        <v>256256595.88772634</v>
      </c>
    </row>
    <row r="1509" spans="1:2" x14ac:dyDescent="0.25">
      <c r="A1509">
        <f ca="1">26969.8369210406*(RANDBETWEEN(2890,3282))</f>
        <v>78050708.049491554</v>
      </c>
      <c r="B1509">
        <v>231729371.48424619</v>
      </c>
    </row>
    <row r="1510" spans="1:2" x14ac:dyDescent="0.25">
      <c r="A1510">
        <f ca="1">32343.2408446479*(RANDBETWEEN(2890,3282))</f>
        <v>101816522.17895144</v>
      </c>
      <c r="B1510">
        <v>227126251.35386798</v>
      </c>
    </row>
    <row r="1511" spans="1:2" x14ac:dyDescent="0.25">
      <c r="A1511">
        <f ca="1">28603.7364914693*(RANDBETWEEN(2890,3282))</f>
        <v>91989616.556565285</v>
      </c>
      <c r="B1511">
        <v>220881599.27085245</v>
      </c>
    </row>
    <row r="1512" spans="1:2" x14ac:dyDescent="0.25">
      <c r="A1512">
        <f ca="1">31506.5939219182*(RANDBETWEEN(2890,3282))</f>
        <v>95244433.425958648</v>
      </c>
      <c r="B1512">
        <v>212844479.42075732</v>
      </c>
    </row>
    <row r="1513" spans="1:2" x14ac:dyDescent="0.25">
      <c r="A1513">
        <f ca="1">32906.3798470273*(RANDBETWEEN(2890,3282))</f>
        <v>105234602.75079334</v>
      </c>
      <c r="B1513">
        <v>212452543.11190531</v>
      </c>
    </row>
    <row r="1514" spans="1:2" x14ac:dyDescent="0.25">
      <c r="A1514">
        <f ca="1">27770.958141191*(RANDBETWEEN(2890,3282))</f>
        <v>88867066.051811114</v>
      </c>
      <c r="B1514">
        <v>215486937.78308189</v>
      </c>
    </row>
    <row r="1515" spans="1:2" x14ac:dyDescent="0.25">
      <c r="A1515">
        <f ca="1">32685.2980881963*(RANDBETWEEN(2890,3282))</f>
        <v>102893318.38164189</v>
      </c>
      <c r="B1515">
        <v>218587468.12077582</v>
      </c>
    </row>
    <row r="1516" spans="1:2" x14ac:dyDescent="0.25">
      <c r="A1516">
        <f ca="1">27200.7470743689*(RANDBETWEEN(2890,3282))</f>
        <v>86389572.708195731</v>
      </c>
      <c r="B1516">
        <v>249124519.9071674</v>
      </c>
    </row>
    <row r="1517" spans="1:2" x14ac:dyDescent="0.25">
      <c r="A1517">
        <f ca="1">27684.4543603435*(RANDBETWEEN(2890,3282))</f>
        <v>80284917.644996196</v>
      </c>
      <c r="B1517">
        <v>210602372.34578726</v>
      </c>
    </row>
    <row r="1518" spans="1:2" x14ac:dyDescent="0.25">
      <c r="A1518">
        <f ca="1">33030.5271304694*(RANDBETWEEN(2890,3282))</f>
        <v>98166726.631755009</v>
      </c>
      <c r="B1518">
        <v>220154743.66036367</v>
      </c>
    </row>
    <row r="1519" spans="1:2" x14ac:dyDescent="0.25">
      <c r="A1519">
        <f ca="1">30769.275996321*(RANDBETWEEN(2890,3282))</f>
        <v>96615526.628447846</v>
      </c>
      <c r="B1519">
        <v>257440520.78061259</v>
      </c>
    </row>
    <row r="1520" spans="1:2" x14ac:dyDescent="0.25">
      <c r="A1520">
        <f ca="1">29933.7799180587*(RANDBETWEEN(2890,3282))</f>
        <v>90010876.213602558</v>
      </c>
      <c r="B1520">
        <v>267052269.46523845</v>
      </c>
    </row>
    <row r="1521" spans="1:2" x14ac:dyDescent="0.25">
      <c r="A1521">
        <f ca="1">27489.3717294097*(RANDBETWEEN(2890,3282))</f>
        <v>79444284.297994092</v>
      </c>
      <c r="B1521">
        <v>231292080.08700356</v>
      </c>
    </row>
    <row r="1522" spans="1:2" x14ac:dyDescent="0.25">
      <c r="A1522">
        <f ca="1">27398.5999488549*(RANDBETWEEN(2890,3282))</f>
        <v>81510834.84784323</v>
      </c>
      <c r="B1522">
        <v>207389966.98825032</v>
      </c>
    </row>
    <row r="1523" spans="1:2" x14ac:dyDescent="0.25">
      <c r="A1523">
        <f ca="1">29307.2548784401*(RANDBETWEEN(2890,3282))</f>
        <v>91350713.456097871</v>
      </c>
      <c r="B1523">
        <v>246836569.74987954</v>
      </c>
    </row>
    <row r="1524" spans="1:2" x14ac:dyDescent="0.25">
      <c r="A1524">
        <f ca="1">27351.1096049485*(RANDBETWEEN(2890,3282))</f>
        <v>79072057.867906064</v>
      </c>
      <c r="B1524">
        <v>214110825.02292123</v>
      </c>
    </row>
    <row r="1525" spans="1:2" x14ac:dyDescent="0.25">
      <c r="A1525">
        <f ca="1">31381.7050680853*(RANDBETWEEN(2890,3282))</f>
        <v>96969468.660383478</v>
      </c>
      <c r="B1525">
        <v>242468280.31671494</v>
      </c>
    </row>
    <row r="1526" spans="1:2" x14ac:dyDescent="0.25">
      <c r="A1526">
        <f ca="1">31666.943187025*(RANDBETWEEN(2890,3282))</f>
        <v>99054198.289014116</v>
      </c>
      <c r="B1526">
        <v>228020383.74166161</v>
      </c>
    </row>
    <row r="1527" spans="1:2" x14ac:dyDescent="0.25">
      <c r="A1527">
        <f ca="1">28310.0619448524*(RANDBETWEEN(2890,3282))</f>
        <v>92517282.43577756</v>
      </c>
      <c r="B1527">
        <v>224138689.64822116</v>
      </c>
    </row>
    <row r="1528" spans="1:2" x14ac:dyDescent="0.25">
      <c r="A1528">
        <f ca="1">25898.2815726655*(RANDBETWEEN(2890,3282))</f>
        <v>81061621.322443053</v>
      </c>
      <c r="B1528">
        <v>207349691.60160905</v>
      </c>
    </row>
    <row r="1529" spans="1:2" x14ac:dyDescent="0.25">
      <c r="A1529">
        <f ca="1">32629.9182881205*(RANDBETWEEN(2890,3282))</f>
        <v>98118164.292378202</v>
      </c>
      <c r="B1529">
        <v>242265520.50676653</v>
      </c>
    </row>
    <row r="1530" spans="1:2" x14ac:dyDescent="0.25">
      <c r="A1530">
        <f ca="1">31062.1470001123*(RANDBETWEEN(2890,3282))</f>
        <v>101355785.6613664</v>
      </c>
      <c r="B1530">
        <v>251996318.92854607</v>
      </c>
    </row>
    <row r="1531" spans="1:2" x14ac:dyDescent="0.25">
      <c r="A1531">
        <f ca="1">27395.4438106639*(RANDBETWEEN(2890,3282))</f>
        <v>87857188.300798982</v>
      </c>
      <c r="B1531">
        <v>210146087.32897973</v>
      </c>
    </row>
    <row r="1532" spans="1:2" x14ac:dyDescent="0.25">
      <c r="A1532">
        <f ca="1">29491.711874757*(RANDBETWEEN(2890,3282))</f>
        <v>90185654.913006827</v>
      </c>
      <c r="B1532">
        <v>266340869.04419968</v>
      </c>
    </row>
    <row r="1533" spans="1:2" x14ac:dyDescent="0.25">
      <c r="A1533">
        <f ca="1">35281.6807218756*(RANDBETWEEN(2890,3282))</f>
        <v>111984054.6112332</v>
      </c>
      <c r="B1533">
        <v>236110924.35162222</v>
      </c>
    </row>
    <row r="1534" spans="1:2" x14ac:dyDescent="0.25">
      <c r="A1534">
        <f ca="1">27011.9644933841*(RANDBETWEEN(2890,3282))</f>
        <v>85411831.728080437</v>
      </c>
      <c r="B1534">
        <v>213447997.86745754</v>
      </c>
    </row>
    <row r="1535" spans="1:2" x14ac:dyDescent="0.25">
      <c r="A1535">
        <f ca="1">31287.4428441822*(RANDBETWEEN(2890,3282))</f>
        <v>100808140.84395503</v>
      </c>
      <c r="B1535">
        <v>241105414.51404136</v>
      </c>
    </row>
    <row r="1536" spans="1:2" x14ac:dyDescent="0.25">
      <c r="A1536">
        <f ca="1">28470.2769871952*(RANDBETWEEN(2890,3282))</f>
        <v>90877124.143127039</v>
      </c>
      <c r="B1536">
        <v>256974257.07778108</v>
      </c>
    </row>
    <row r="1537" spans="1:2" x14ac:dyDescent="0.25">
      <c r="A1537">
        <f ca="1">26812.6860527974*(RANDBETWEEN(2890,3282))</f>
        <v>81912755.891295999</v>
      </c>
      <c r="B1537">
        <v>213432352.54286286</v>
      </c>
    </row>
    <row r="1538" spans="1:2" x14ac:dyDescent="0.25">
      <c r="A1538">
        <f ca="1">26444.6752268776*(RANDBETWEEN(2890,3282))</f>
        <v>77694455.816566482</v>
      </c>
      <c r="B1538">
        <v>209857901.03537649</v>
      </c>
    </row>
    <row r="1539" spans="1:2" x14ac:dyDescent="0.25">
      <c r="A1539">
        <f ca="1">30462.4105543318*(RANDBETWEEN(2890,3282))</f>
        <v>99307458.407121688</v>
      </c>
      <c r="B1539">
        <v>212002659.64879996</v>
      </c>
    </row>
    <row r="1540" spans="1:2" x14ac:dyDescent="0.25">
      <c r="A1540">
        <f ca="1">26348.7648828235*(RANDBETWEEN(2890,3282))</f>
        <v>81127847.074213475</v>
      </c>
      <c r="B1540">
        <v>260602720.84695652</v>
      </c>
    </row>
    <row r="1541" spans="1:2" x14ac:dyDescent="0.25">
      <c r="A1541">
        <f ca="1">31752.7860371621*(RANDBETWEEN(2890,3282))</f>
        <v>91924315.577584401</v>
      </c>
      <c r="B1541">
        <v>222606916.08477125</v>
      </c>
    </row>
    <row r="1542" spans="1:2" x14ac:dyDescent="0.25">
      <c r="A1542">
        <f ca="1">26999.7075985727*(RANDBETWEEN(2890,3282))</f>
        <v>85049078.93550387</v>
      </c>
      <c r="B1542">
        <v>212782382.53815615</v>
      </c>
    </row>
    <row r="1543" spans="1:2" x14ac:dyDescent="0.25">
      <c r="A1543">
        <f ca="1">30971.7789921694*(RANDBETWEEN(2890,3282))</f>
        <v>99883987.249746352</v>
      </c>
      <c r="B1543">
        <v>216272809.36678097</v>
      </c>
    </row>
    <row r="1544" spans="1:2" x14ac:dyDescent="0.25">
      <c r="A1544">
        <f ca="1">33864.8048840017*(RANDBETWEEN(2890,3282))</f>
        <v>100476876.09083316</v>
      </c>
      <c r="B1544">
        <v>210641463.26332211</v>
      </c>
    </row>
    <row r="1545" spans="1:2" x14ac:dyDescent="0.25">
      <c r="A1545">
        <f ca="1">29699.3966701965*(RANDBETWEEN(2890,3282))</f>
        <v>89098190.010589406</v>
      </c>
      <c r="B1545">
        <v>249366322.51769072</v>
      </c>
    </row>
    <row r="1546" spans="1:2" x14ac:dyDescent="0.25">
      <c r="A1546">
        <f ca="1">26308.6499870654*(RANDBETWEEN(2890,3282))</f>
        <v>82056679.309657067</v>
      </c>
      <c r="B1546">
        <v>261890658.1572381</v>
      </c>
    </row>
    <row r="1547" spans="1:2" x14ac:dyDescent="0.25">
      <c r="A1547">
        <f ca="1">27716.9689134979*(RANDBETWEEN(2890,3282))</f>
        <v>84869358.813130647</v>
      </c>
      <c r="B1547">
        <v>205606680.02083099</v>
      </c>
    </row>
    <row r="1548" spans="1:2" x14ac:dyDescent="0.25">
      <c r="A1548">
        <f ca="1">32317.3830235226*(RANDBETWEEN(2890,3282))</f>
        <v>103641847.356437</v>
      </c>
      <c r="B1548">
        <v>225065852.96043921</v>
      </c>
    </row>
    <row r="1549" spans="1:2" x14ac:dyDescent="0.25">
      <c r="A1549">
        <f ca="1">30300.8630466587*(RANDBETWEEN(2890,3282))</f>
        <v>89175439.946316659</v>
      </c>
      <c r="B1549">
        <v>265731927.19660074</v>
      </c>
    </row>
    <row r="1550" spans="1:2" x14ac:dyDescent="0.25">
      <c r="A1550">
        <f ca="1">29979.3643536221*(RANDBETWEEN(2890,3282))</f>
        <v>91167246.999364719</v>
      </c>
      <c r="B1550">
        <v>238961092.25813973</v>
      </c>
    </row>
    <row r="1551" spans="1:2" x14ac:dyDescent="0.25">
      <c r="A1551">
        <f ca="1">27246.5073836162*(RANDBETWEEN(2890,3282))</f>
        <v>82502424.35758996</v>
      </c>
      <c r="B1551">
        <v>244873509.81518912</v>
      </c>
    </row>
    <row r="1552" spans="1:2" x14ac:dyDescent="0.25">
      <c r="A1552">
        <f ca="1">27524.4251909403*(RANDBETWEEN(2890,3282))</f>
        <v>82738422.12396647</v>
      </c>
      <c r="B1552">
        <v>205878929.86384422</v>
      </c>
    </row>
    <row r="1553" spans="1:2" x14ac:dyDescent="0.25">
      <c r="A1553">
        <f ca="1">33777.8777109822*(RANDBETWEEN(2890,3282))</f>
        <v>109642991.04984806</v>
      </c>
      <c r="B1553">
        <v>238303047.98605552</v>
      </c>
    </row>
    <row r="1554" spans="1:2" x14ac:dyDescent="0.25">
      <c r="A1554">
        <f ca="1">29633.4751337282*(RANDBETWEEN(2890,3282))</f>
        <v>93404713.621511325</v>
      </c>
      <c r="B1554">
        <v>231924945.16524166</v>
      </c>
    </row>
    <row r="1555" spans="1:2" x14ac:dyDescent="0.25">
      <c r="A1555">
        <f ca="1">30104.2403976785*(RANDBETWEEN(2890,3282))</f>
        <v>89861157.587070256</v>
      </c>
      <c r="B1555">
        <v>252762176.3307209</v>
      </c>
    </row>
    <row r="1556" spans="1:2" x14ac:dyDescent="0.25">
      <c r="A1556">
        <f ca="1">32587.1156294304*(RANDBETWEEN(2890,3282))</f>
        <v>95578010.141119465</v>
      </c>
      <c r="B1556">
        <v>245111114.94597995</v>
      </c>
    </row>
    <row r="1557" spans="1:2" x14ac:dyDescent="0.25">
      <c r="A1557">
        <f ca="1">32771.1584032993*(RANDBETWEEN(2890,3282))</f>
        <v>101525048.73342112</v>
      </c>
      <c r="B1557">
        <v>251225122.12393701</v>
      </c>
    </row>
    <row r="1558" spans="1:2" x14ac:dyDescent="0.25">
      <c r="A1558">
        <f ca="1">29379.3976640149*(RANDBETWEEN(2890,3282))</f>
        <v>87109914.073804036</v>
      </c>
      <c r="B1558">
        <v>249231124.31976873</v>
      </c>
    </row>
    <row r="1559" spans="1:2" x14ac:dyDescent="0.25">
      <c r="A1559">
        <f ca="1">30070.3284093584*(RANDBETWEEN(2890,3282))</f>
        <v>91924993.947408661</v>
      </c>
      <c r="B1559">
        <v>230810745.43936485</v>
      </c>
    </row>
    <row r="1560" spans="1:2" x14ac:dyDescent="0.25">
      <c r="A1560">
        <f ca="1">29838.2702625012*(RANDBETWEEN(2890,3282))</f>
        <v>93513139.002678603</v>
      </c>
      <c r="B1560">
        <v>241535678.74644932</v>
      </c>
    </row>
    <row r="1561" spans="1:2" x14ac:dyDescent="0.25">
      <c r="A1561">
        <f ca="1">32792.9582318838*(RANDBETWEEN(2890,3282))</f>
        <v>98050945.113332629</v>
      </c>
      <c r="B1561">
        <v>247692335.6956833</v>
      </c>
    </row>
    <row r="1562" spans="1:2" x14ac:dyDescent="0.25">
      <c r="A1562">
        <f ca="1">28000.9814262203*(RANDBETWEEN(2890,3282))</f>
        <v>89827148.415314704</v>
      </c>
      <c r="B1562">
        <v>213492886.70286679</v>
      </c>
    </row>
    <row r="1563" spans="1:2" x14ac:dyDescent="0.25">
      <c r="A1563">
        <f ca="1">33349.9940547355*(RANDBETWEEN(2890,3282))</f>
        <v>101950931.82532656</v>
      </c>
      <c r="B1563">
        <v>250967741.58246469</v>
      </c>
    </row>
    <row r="1564" spans="1:2" x14ac:dyDescent="0.25">
      <c r="A1564">
        <f ca="1">29273.0519141491*(RANDBETWEEN(2890,3282))</f>
        <v>91127010.608746067</v>
      </c>
      <c r="B1564">
        <v>231846372.33823219</v>
      </c>
    </row>
    <row r="1565" spans="1:2" x14ac:dyDescent="0.25">
      <c r="A1565">
        <f ca="1">31770.4069273081*(RANDBETWEEN(2890,3282))</f>
        <v>100616878.73878461</v>
      </c>
      <c r="B1565">
        <v>223730084.28276554</v>
      </c>
    </row>
    <row r="1566" spans="1:2" x14ac:dyDescent="0.25">
      <c r="A1566">
        <f ca="1">29337.5864708722*(RANDBETWEEN(2890,3282))</f>
        <v>91885320.826771855</v>
      </c>
      <c r="B1566">
        <v>207526576.22050682</v>
      </c>
    </row>
    <row r="1567" spans="1:2" x14ac:dyDescent="0.25">
      <c r="A1567">
        <f ca="1">32451.4888849031*(RANDBETWEEN(2890,3282))</f>
        <v>97451821.121363968</v>
      </c>
      <c r="B1567">
        <v>249237106.26994506</v>
      </c>
    </row>
    <row r="1568" spans="1:2" x14ac:dyDescent="0.25">
      <c r="A1568">
        <f ca="1">28918.0918120349*(RANDBETWEEN(2890,3282))</f>
        <v>88113425.751270428</v>
      </c>
      <c r="B1568">
        <v>243501625.25727174</v>
      </c>
    </row>
    <row r="1569" spans="1:2" x14ac:dyDescent="0.25">
      <c r="A1569">
        <f ca="1">31716.3800678733*(RANDBETWEEN(2890,3282))</f>
        <v>93277873.779615387</v>
      </c>
      <c r="B1569">
        <v>240236448.87359494</v>
      </c>
    </row>
    <row r="1570" spans="1:2" x14ac:dyDescent="0.25">
      <c r="A1570">
        <f ca="1">28936.1398565178*(RANDBETWEEN(2890,3282))</f>
        <v>93984582.253969803</v>
      </c>
      <c r="B1570">
        <v>213589022.20864177</v>
      </c>
    </row>
    <row r="1571" spans="1:2" x14ac:dyDescent="0.25">
      <c r="A1571">
        <f ca="1">31826.3105474833*(RANDBETWEEN(2890,3282))</f>
        <v>96720157.753801793</v>
      </c>
      <c r="B1571">
        <v>242865183.23302442</v>
      </c>
    </row>
    <row r="1572" spans="1:2" x14ac:dyDescent="0.25">
      <c r="A1572">
        <f ca="1">27422.3394844825*(RANDBETWEEN(2890,3282))</f>
        <v>87888598.047766447</v>
      </c>
      <c r="B1572">
        <v>267577269.9581742</v>
      </c>
    </row>
    <row r="1573" spans="1:2" x14ac:dyDescent="0.25">
      <c r="A1573">
        <f ca="1">33192.7275177981*(RANDBETWEEN(2890,3282))</f>
        <v>107743593.52277277</v>
      </c>
      <c r="B1573">
        <v>221986960.41124502</v>
      </c>
    </row>
    <row r="1574" spans="1:2" x14ac:dyDescent="0.25">
      <c r="A1574">
        <f ca="1">30052.8203001938*(RANDBETWEEN(2890,3282))</f>
        <v>91330520.892289087</v>
      </c>
      <c r="B1574">
        <v>219755853.39868215</v>
      </c>
    </row>
    <row r="1575" spans="1:2" x14ac:dyDescent="0.25">
      <c r="A1575">
        <f ca="1">31549.9257093141*(RANDBETWEEN(2890,3282))</f>
        <v>95343875.493547261</v>
      </c>
      <c r="B1575">
        <v>257603607.90814424</v>
      </c>
    </row>
    <row r="1576" spans="1:2" x14ac:dyDescent="0.25">
      <c r="A1576">
        <f ca="1">27571.7923023214*(RANDBETWEEN(2890,3282))</f>
        <v>85389840.760289222</v>
      </c>
      <c r="B1576">
        <v>209959942.88591123</v>
      </c>
    </row>
    <row r="1577" spans="1:2" x14ac:dyDescent="0.25">
      <c r="A1577">
        <f ca="1">29311.7429650499*(RANDBETWEEN(2890,3282))</f>
        <v>87759358.437359467</v>
      </c>
      <c r="B1577">
        <v>265569136.52896452</v>
      </c>
    </row>
    <row r="1578" spans="1:2" x14ac:dyDescent="0.25">
      <c r="A1578">
        <f ca="1">29319.7832901463*(RANDBETWEEN(2890,3282))</f>
        <v>92797114.113313124</v>
      </c>
      <c r="B1578">
        <v>228315538.08690578</v>
      </c>
    </row>
    <row r="1579" spans="1:2" x14ac:dyDescent="0.25">
      <c r="A1579">
        <f ca="1">27467.1170885295*(RANDBETWEEN(2890,3282))</f>
        <v>89405466.12316367</v>
      </c>
      <c r="B1579">
        <v>211190475.74427116</v>
      </c>
    </row>
    <row r="1580" spans="1:2" x14ac:dyDescent="0.25">
      <c r="A1580">
        <f ca="1">33995.083453939*(RANDBETWEEN(2890,3282))</f>
        <v>105928680.042474</v>
      </c>
      <c r="B1580">
        <v>249944058.31172597</v>
      </c>
    </row>
    <row r="1581" spans="1:2" x14ac:dyDescent="0.25">
      <c r="A1581">
        <f ca="1">30457.5695505034*(RANDBETWEEN(2890,3282))</f>
        <v>92591011.433530182</v>
      </c>
      <c r="B1581">
        <v>234803767.74145162</v>
      </c>
    </row>
    <row r="1582" spans="1:2" x14ac:dyDescent="0.25">
      <c r="A1582">
        <f ca="1">28824.7723981625*(RANDBETWEEN(2890,3282))</f>
        <v>89500918.296294451</v>
      </c>
      <c r="B1582">
        <v>238236260.41704071</v>
      </c>
    </row>
    <row r="1583" spans="1:2" x14ac:dyDescent="0.25">
      <c r="A1583">
        <f ca="1">32239.1520159689*(RANDBETWEEN(2890,3282))</f>
        <v>97910304.672497675</v>
      </c>
      <c r="B1583">
        <v>207625816.97591496</v>
      </c>
    </row>
    <row r="1584" spans="1:2" x14ac:dyDescent="0.25">
      <c r="A1584">
        <f ca="1">26473.6296751733*(RANDBETWEEN(2890,3282))</f>
        <v>85748086.517886475</v>
      </c>
      <c r="B1584">
        <v>266311946.71537286</v>
      </c>
    </row>
    <row r="1585" spans="1:2" x14ac:dyDescent="0.25">
      <c r="A1585">
        <f ca="1">33024.4683536035*(RANDBETWEEN(2890,3282))</f>
        <v>107791864.7061618</v>
      </c>
      <c r="B1585">
        <v>215609119.7453638</v>
      </c>
    </row>
    <row r="1586" spans="1:2" x14ac:dyDescent="0.25">
      <c r="A1586">
        <f ca="1">31464.4434438388*(RANDBETWEEN(2890,3282))</f>
        <v>101693081.2104869</v>
      </c>
      <c r="B1586">
        <v>227474525.94956234</v>
      </c>
    </row>
    <row r="1587" spans="1:2" x14ac:dyDescent="0.25">
      <c r="A1587">
        <f ca="1">33154.6187571049*(RANDBETWEEN(2890,3282))</f>
        <v>101453133.39674088</v>
      </c>
      <c r="B1587">
        <v>228154292.90198141</v>
      </c>
    </row>
    <row r="1588" spans="1:2" x14ac:dyDescent="0.25">
      <c r="A1588">
        <f ca="1">29932.4405758546*(RANDBETWEEN(2890,3282))</f>
        <v>97968878.004772112</v>
      </c>
      <c r="B1588">
        <v>227330441.15103829</v>
      </c>
    </row>
    <row r="1589" spans="1:2" x14ac:dyDescent="0.25">
      <c r="A1589">
        <f ca="1">29636.8263124668*(RANDBETWEEN(2890,3282))</f>
        <v>97238427.131203711</v>
      </c>
      <c r="B1589">
        <v>222833454.08470845</v>
      </c>
    </row>
    <row r="1590" spans="1:2" x14ac:dyDescent="0.25">
      <c r="A1590">
        <f ca="1">27275.9578950566*(RANDBETWEEN(2890,3282))</f>
        <v>89083278.485254794</v>
      </c>
      <c r="B1590">
        <v>208600372.5083684</v>
      </c>
    </row>
    <row r="1591" spans="1:2" x14ac:dyDescent="0.25">
      <c r="A1591">
        <f ca="1">28744.6419919886*(RANDBETWEEN(2890,3282))</f>
        <v>86406393.827917621</v>
      </c>
      <c r="B1591">
        <v>251957160.68911919</v>
      </c>
    </row>
    <row r="1592" spans="1:2" x14ac:dyDescent="0.25">
      <c r="A1592">
        <f ca="1">34539.0906387135*(RANDBETWEEN(2890,3282))</f>
        <v>104515288.27274698</v>
      </c>
      <c r="B1592">
        <v>209058779.05713415</v>
      </c>
    </row>
    <row r="1593" spans="1:2" x14ac:dyDescent="0.25">
      <c r="A1593">
        <f ca="1">29774.7073050994*(RANDBETWEEN(2890,3282))</f>
        <v>95755458.693199679</v>
      </c>
      <c r="B1593">
        <v>255957431.19775212</v>
      </c>
    </row>
    <row r="1594" spans="1:2" x14ac:dyDescent="0.25">
      <c r="A1594">
        <f ca="1">28871.2305324139*(RANDBETWEEN(2890,3282))</f>
        <v>89269844.806223676</v>
      </c>
      <c r="B1594">
        <v>247760391.28706944</v>
      </c>
    </row>
    <row r="1595" spans="1:2" x14ac:dyDescent="0.25">
      <c r="A1595">
        <f ca="1">32713.8906300453*(RANDBETWEEN(2890,3282))</f>
        <v>103506749.95346329</v>
      </c>
      <c r="B1595">
        <v>203886850.75554651</v>
      </c>
    </row>
    <row r="1596" spans="1:2" x14ac:dyDescent="0.25">
      <c r="A1596">
        <f ca="1">29743.8430596165*(RANDBETWEEN(2890,3282))</f>
        <v>91224366.663843885</v>
      </c>
      <c r="B1596">
        <v>256830480.35901403</v>
      </c>
    </row>
    <row r="1597" spans="1:2" x14ac:dyDescent="0.25">
      <c r="A1597">
        <f ca="1">31877.3773626034*(RANDBETWEEN(2890,3282))</f>
        <v>98150444.89945589</v>
      </c>
      <c r="B1597">
        <v>211009459.23665869</v>
      </c>
    </row>
    <row r="1598" spans="1:2" x14ac:dyDescent="0.25">
      <c r="A1598">
        <f ca="1">29119.9541493964*(RANDBETWEEN(2890,3282))</f>
        <v>93475052.819562435</v>
      </c>
      <c r="B1598">
        <v>204388709.44778034</v>
      </c>
    </row>
    <row r="1599" spans="1:2" x14ac:dyDescent="0.25">
      <c r="A1599">
        <f ca="1">25978.8337734814*(RANDBETWEEN(2890,3282))</f>
        <v>75884173.452339068</v>
      </c>
      <c r="B1599">
        <v>240343018.37052384</v>
      </c>
    </row>
    <row r="1600" spans="1:2" x14ac:dyDescent="0.25">
      <c r="A1600">
        <f ca="1">31724.1958678731*(RANDBETWEEN(2890,3282))</f>
        <v>95013966.624279872</v>
      </c>
      <c r="B1600">
        <v>206108573.49872783</v>
      </c>
    </row>
    <row r="1601" spans="1:2" x14ac:dyDescent="0.25">
      <c r="A1601">
        <f ca="1">31439.8325794393*(RANDBETWEEN(2890,3282))</f>
        <v>97432041.163682431</v>
      </c>
      <c r="B1601">
        <v>266831292.86955765</v>
      </c>
    </row>
    <row r="1602" spans="1:2" x14ac:dyDescent="0.25">
      <c r="A1602">
        <f ca="1">34220.8479553834*(RANDBETWEEN(2890,3282))</f>
        <v>105981966.11782232</v>
      </c>
      <c r="B1602">
        <v>259182642.0358195</v>
      </c>
    </row>
    <row r="1603" spans="1:2" x14ac:dyDescent="0.25">
      <c r="A1603">
        <f ca="1">34010.2870914564*(RANDBETWEEN(2890,3282))</f>
        <v>101044562.94871704</v>
      </c>
      <c r="B1603">
        <v>250373375.43238831</v>
      </c>
    </row>
    <row r="1604" spans="1:2" x14ac:dyDescent="0.25">
      <c r="A1604">
        <f ca="1">30863.687918965*(RANDBETWEEN(2890,3282))</f>
        <v>92097244.750191703</v>
      </c>
      <c r="B1604">
        <v>249926362.61664212</v>
      </c>
    </row>
    <row r="1605" spans="1:2" x14ac:dyDescent="0.25">
      <c r="A1605">
        <f ca="1">33112.6910557147*(RANDBETWEEN(2890,3282))</f>
        <v>105165906.79294997</v>
      </c>
      <c r="B1605">
        <v>238180539.62781161</v>
      </c>
    </row>
    <row r="1606" spans="1:2" x14ac:dyDescent="0.25">
      <c r="A1606">
        <f ca="1">28976.0509189045*(RANDBETWEEN(2890,3282))</f>
        <v>94693734.402980223</v>
      </c>
      <c r="B1606">
        <v>239013402.7735312</v>
      </c>
    </row>
    <row r="1607" spans="1:2" x14ac:dyDescent="0.25">
      <c r="A1607">
        <f ca="1">25863.9911573975*(RANDBETWEEN(2890,3282))</f>
        <v>81161204.251913205</v>
      </c>
      <c r="B1607">
        <v>221765234.72854656</v>
      </c>
    </row>
    <row r="1608" spans="1:2" x14ac:dyDescent="0.25">
      <c r="A1608">
        <f ca="1">30634.7665937453*(RANDBETWEEN(2890,3282))</f>
        <v>91506047.815517232</v>
      </c>
      <c r="B1608">
        <v>238066120.13783616</v>
      </c>
    </row>
    <row r="1609" spans="1:2" x14ac:dyDescent="0.25">
      <c r="A1609">
        <f ca="1">30454.2949220056*(RANDBETWEEN(2890,3282))</f>
        <v>90022895.78944841</v>
      </c>
      <c r="B1609">
        <v>245767710.72323304</v>
      </c>
    </row>
    <row r="1610" spans="1:2" x14ac:dyDescent="0.25">
      <c r="A1610">
        <f ca="1">31168.583347459*(RANDBETWEEN(2890,3282))</f>
        <v>90388891.707631364</v>
      </c>
      <c r="B1610">
        <v>252676913.7050423</v>
      </c>
    </row>
    <row r="1611" spans="1:2" x14ac:dyDescent="0.25">
      <c r="A1611">
        <f ca="1">29009.9067793075*(RANDBETWEEN(2890,3282))</f>
        <v>88915364.278577343</v>
      </c>
      <c r="B1611">
        <v>206273777.40344861</v>
      </c>
    </row>
    <row r="1612" spans="1:2" x14ac:dyDescent="0.25">
      <c r="A1612">
        <f ca="1">30635.4909654024*(RANDBETWEEN(2890,3282))</f>
        <v>100239326.43879658</v>
      </c>
      <c r="B1612">
        <v>251560297.58327663</v>
      </c>
    </row>
    <row r="1613" spans="1:2" x14ac:dyDescent="0.25">
      <c r="A1613">
        <f ca="1">32050.5912691448*(RANDBETWEEN(2890,3282))</f>
        <v>104997736.99771841</v>
      </c>
      <c r="B1613">
        <v>265160284.50878292</v>
      </c>
    </row>
    <row r="1614" spans="1:2" x14ac:dyDescent="0.25">
      <c r="A1614">
        <f ca="1">30547.6339817773*(RANDBETWEEN(2890,3282))</f>
        <v>91215235.069587097</v>
      </c>
      <c r="B1614">
        <v>210292615.63913789</v>
      </c>
    </row>
    <row r="1615" spans="1:2" x14ac:dyDescent="0.25">
      <c r="A1615">
        <f ca="1">26665.5990418303*(RANDBETWEEN(2890,3282))</f>
        <v>79303491.550403327</v>
      </c>
      <c r="B1615">
        <v>251532226.60568878</v>
      </c>
    </row>
    <row r="1616" spans="1:2" x14ac:dyDescent="0.25">
      <c r="A1616">
        <f ca="1">31998.6416830615*(RANDBETWEEN(2890,3282))</f>
        <v>99003797.367392138</v>
      </c>
      <c r="B1616">
        <v>250820687.29095525</v>
      </c>
    </row>
    <row r="1617" spans="1:2" x14ac:dyDescent="0.25">
      <c r="A1617">
        <f ca="1">31346.1183061025*(RANDBETWEEN(2890,3282))</f>
        <v>93317394.197267264</v>
      </c>
      <c r="B1617">
        <v>228567597.66849446</v>
      </c>
    </row>
    <row r="1618" spans="1:2" x14ac:dyDescent="0.25">
      <c r="A1618">
        <f ca="1">28519.9875557775*(RANDBETWEEN(2890,3282))</f>
        <v>82622403.949087411</v>
      </c>
      <c r="B1618">
        <v>213567283.64719284</v>
      </c>
    </row>
    <row r="1619" spans="1:2" x14ac:dyDescent="0.25">
      <c r="A1619">
        <f ca="1">28346.9396218729*(RANDBETWEEN(2890,3282))</f>
        <v>91815737.435246333</v>
      </c>
      <c r="B1619">
        <v>216018951.44479585</v>
      </c>
    </row>
    <row r="1620" spans="1:2" x14ac:dyDescent="0.25">
      <c r="A1620">
        <f ca="1">30330.0881409301*(RANDBETWEEN(2890,3282))</f>
        <v>97359582.932385504</v>
      </c>
      <c r="B1620">
        <v>234695453.52593517</v>
      </c>
    </row>
    <row r="1621" spans="1:2" x14ac:dyDescent="0.25">
      <c r="A1621">
        <f ca="1">33284.0117879088*(RANDBETWEEN(2890,3282))</f>
        <v>109005138.60540144</v>
      </c>
      <c r="B1621">
        <v>257875455.91348287</v>
      </c>
    </row>
    <row r="1622" spans="1:2" x14ac:dyDescent="0.25">
      <c r="A1622">
        <f ca="1">29696.500491099*(RANDBETWEEN(2890,3282))</f>
        <v>93039136.03861326</v>
      </c>
      <c r="B1622">
        <v>256860854.31770563</v>
      </c>
    </row>
    <row r="1623" spans="1:2" x14ac:dyDescent="0.25">
      <c r="A1623">
        <f ca="1">30713.5365156396*(RANDBETWEEN(2890,3282))</f>
        <v>100402550.86962579</v>
      </c>
      <c r="B1623">
        <v>257590941.0541034</v>
      </c>
    </row>
    <row r="1624" spans="1:2" x14ac:dyDescent="0.25">
      <c r="A1624">
        <f ca="1">28895.9343036861*(RANDBETWEEN(2890,3282))</f>
        <v>88912789.85244216</v>
      </c>
      <c r="B1624">
        <v>237310636.81913874</v>
      </c>
    </row>
    <row r="1625" spans="1:2" x14ac:dyDescent="0.25">
      <c r="A1625">
        <f ca="1">32061.2050880857*(RANDBETWEEN(2890,3282))</f>
        <v>94580555.009852678</v>
      </c>
      <c r="B1625">
        <v>244365190.27183035</v>
      </c>
    </row>
    <row r="1626" spans="1:2" x14ac:dyDescent="0.25">
      <c r="A1626">
        <f ca="1">34413.6227198417*(RANDBETWEEN(2890,3282))</f>
        <v>108815875.04013959</v>
      </c>
      <c r="B1626">
        <v>261496957.25649941</v>
      </c>
    </row>
    <row r="1627" spans="1:2" x14ac:dyDescent="0.25">
      <c r="A1627">
        <f ca="1">30621.1752208884*(RANDBETWEEN(2890,3282))</f>
        <v>98998259.489132047</v>
      </c>
      <c r="B1627">
        <v>225152743.53753972</v>
      </c>
    </row>
    <row r="1628" spans="1:2" x14ac:dyDescent="0.25">
      <c r="A1628">
        <f ca="1">29930.1480981899*(RANDBETWEEN(2890,3282))</f>
        <v>88862609.703525811</v>
      </c>
      <c r="B1628">
        <v>234175955.04466149</v>
      </c>
    </row>
    <row r="1629" spans="1:2" x14ac:dyDescent="0.25">
      <c r="A1629">
        <f ca="1">28700.1461080389*(RANDBETWEEN(2890,3282))</f>
        <v>92959773.243937939</v>
      </c>
      <c r="B1629">
        <v>241345220.2086882</v>
      </c>
    </row>
    <row r="1630" spans="1:2" x14ac:dyDescent="0.25">
      <c r="A1630">
        <f ca="1">32468.1865631403*(RANDBETWEEN(2890,3282))</f>
        <v>102437128.60670769</v>
      </c>
      <c r="B1630">
        <v>204829843.27356935</v>
      </c>
    </row>
    <row r="1631" spans="1:2" x14ac:dyDescent="0.25">
      <c r="A1631">
        <f ca="1">29720.0861200937*(RANDBETWEEN(2890,3282))</f>
        <v>89962700.685523614</v>
      </c>
      <c r="B1631">
        <v>230885420.28169751</v>
      </c>
    </row>
    <row r="1632" spans="1:2" x14ac:dyDescent="0.25">
      <c r="A1632">
        <f ca="1">31057.7457567997*(RANDBETWEEN(2890,3282))</f>
        <v>99788537.116597548</v>
      </c>
      <c r="B1632">
        <v>225122341.86779514</v>
      </c>
    </row>
    <row r="1633" spans="1:2" x14ac:dyDescent="0.25">
      <c r="A1633">
        <f ca="1">29609.670566994*(RANDBETWEEN(2890,3282))</f>
        <v>90368714.570465714</v>
      </c>
      <c r="B1633">
        <v>229094269.71451634</v>
      </c>
    </row>
    <row r="1634" spans="1:2" x14ac:dyDescent="0.25">
      <c r="A1634">
        <f ca="1">29186.8839348349*(RANDBETWEEN(2890,3282))</f>
        <v>93602336.779015601</v>
      </c>
      <c r="B1634">
        <v>232536220.14587268</v>
      </c>
    </row>
    <row r="1635" spans="1:2" x14ac:dyDescent="0.25">
      <c r="A1635">
        <f ca="1">32814.2271281002*(RANDBETWEEN(2890,3282))</f>
        <v>99131780.153990805</v>
      </c>
      <c r="B1635">
        <v>257818204.33723298</v>
      </c>
    </row>
    <row r="1636" spans="1:2" x14ac:dyDescent="0.25">
      <c r="A1636">
        <f ca="1">28868.318434288*(RANDBETWEEN(2890,3282))</f>
        <v>93360141.816487402</v>
      </c>
      <c r="B1636">
        <v>259230439.91204041</v>
      </c>
    </row>
    <row r="1637" spans="1:2" x14ac:dyDescent="0.25">
      <c r="A1637">
        <f ca="1">32430.1925185425*(RANDBETWEEN(2890,3282))</f>
        <v>100112004.30474085</v>
      </c>
      <c r="B1637">
        <v>259217748.31677556</v>
      </c>
    </row>
    <row r="1638" spans="1:2" x14ac:dyDescent="0.25">
      <c r="A1638">
        <f ca="1">32011.0431343855*(RANDBETWEEN(2890,3282))</f>
        <v>98626023.897041634</v>
      </c>
      <c r="B1638">
        <v>262596775.47457743</v>
      </c>
    </row>
    <row r="1639" spans="1:2" x14ac:dyDescent="0.25">
      <c r="A1639">
        <f ca="1">26508.9145441629*(RANDBETWEEN(2890,3282))</f>
        <v>77008396.750793114</v>
      </c>
      <c r="B1639">
        <v>238796506.76212931</v>
      </c>
    </row>
    <row r="1640" spans="1:2" x14ac:dyDescent="0.25">
      <c r="A1640">
        <f ca="1">28287.5940930224*(RANDBETWEEN(2890,3282))</f>
        <v>88738182.669811338</v>
      </c>
      <c r="B1640">
        <v>225126272.21398884</v>
      </c>
    </row>
    <row r="1641" spans="1:2" x14ac:dyDescent="0.25">
      <c r="A1641">
        <f ca="1">28009.7846324295*(RANDBETWEEN(2890,3282))</f>
        <v>89827379.316201523</v>
      </c>
      <c r="B1641">
        <v>259723187.75763482</v>
      </c>
    </row>
    <row r="1642" spans="1:2" x14ac:dyDescent="0.25">
      <c r="A1642">
        <f ca="1">32529.7032180572*(RANDBETWEEN(2890,3282))</f>
        <v>103737223.56238443</v>
      </c>
      <c r="B1642">
        <v>244837881.57896662</v>
      </c>
    </row>
    <row r="1643" spans="1:2" x14ac:dyDescent="0.25">
      <c r="A1643">
        <f ca="1">27462.5446333395*(RANDBETWEEN(2890,3282))</f>
        <v>88566706.442519754</v>
      </c>
      <c r="B1643">
        <v>217212153.09359014</v>
      </c>
    </row>
    <row r="1644" spans="1:2" x14ac:dyDescent="0.25">
      <c r="A1644">
        <f ca="1">24803.9494195019*(RANDBETWEEN(2890,3282))</f>
        <v>72229100.709589422</v>
      </c>
      <c r="B1644">
        <v>209912607.79727986</v>
      </c>
    </row>
    <row r="1645" spans="1:2" x14ac:dyDescent="0.25">
      <c r="A1645">
        <f ca="1">31420.3573849214*(RANDBETWEEN(2890,3282))</f>
        <v>94166811.082609549</v>
      </c>
      <c r="B1645">
        <v>255554708.89502743</v>
      </c>
    </row>
    <row r="1646" spans="1:2" x14ac:dyDescent="0.25">
      <c r="A1646">
        <f ca="1">28892.4552561426*(RANDBETWEEN(2890,3282))</f>
        <v>87890848.889185786</v>
      </c>
      <c r="B1646">
        <v>236245722.78864166</v>
      </c>
    </row>
    <row r="1647" spans="1:2" x14ac:dyDescent="0.25">
      <c r="A1647">
        <f ca="1">32026.7354261127*(RANDBETWEEN(2890,3282))</f>
        <v>95311564.628111348</v>
      </c>
      <c r="B1647">
        <v>251963570.24330151</v>
      </c>
    </row>
    <row r="1648" spans="1:2" x14ac:dyDescent="0.25">
      <c r="A1648">
        <f ca="1">32074.3543559749*(RANDBETWEEN(2890,3282))</f>
        <v>101387034.11923671</v>
      </c>
      <c r="B1648">
        <v>257720061.68299055</v>
      </c>
    </row>
    <row r="1649" spans="1:2" x14ac:dyDescent="0.25">
      <c r="A1649">
        <f ca="1">28998.6438803122*(RANDBETWEEN(2890,3282))</f>
        <v>88416865.191071853</v>
      </c>
      <c r="B1649">
        <v>211805067.46826231</v>
      </c>
    </row>
    <row r="1650" spans="1:2" x14ac:dyDescent="0.25">
      <c r="A1650">
        <f ca="1">27047.1519087714*(RANDBETWEEN(2890,3282))</f>
        <v>81844681.675942242</v>
      </c>
      <c r="B1650">
        <v>234703963.68098634</v>
      </c>
    </row>
    <row r="1651" spans="1:2" x14ac:dyDescent="0.25">
      <c r="A1651">
        <f ca="1">31402.2828317212*(RANDBETWEEN(2890,3282))</f>
        <v>95023307.84878847</v>
      </c>
      <c r="B1651">
        <v>233749508.4961049</v>
      </c>
    </row>
    <row r="1652" spans="1:2" x14ac:dyDescent="0.25">
      <c r="A1652">
        <f ca="1">31925.8975516073*(RANDBETWEEN(2890,3282))</f>
        <v>92521251.104557827</v>
      </c>
      <c r="B1652">
        <v>233250443.19661239</v>
      </c>
    </row>
    <row r="1653" spans="1:2" x14ac:dyDescent="0.25">
      <c r="A1653">
        <f ca="1">27287.1675792365*(RANDBETWEEN(2890,3282))</f>
        <v>80306134.185692891</v>
      </c>
      <c r="B1653">
        <v>208179842.81071618</v>
      </c>
    </row>
    <row r="1654" spans="1:2" x14ac:dyDescent="0.25">
      <c r="A1654">
        <f ca="1">26964.2232914588*(RANDBETWEEN(2890,3282))</f>
        <v>80245528.515381351</v>
      </c>
      <c r="B1654">
        <v>262082045.65948412</v>
      </c>
    </row>
    <row r="1655" spans="1:2" x14ac:dyDescent="0.25">
      <c r="A1655">
        <f ca="1">31048.6425221351*(RANDBETWEEN(2890,3282))</f>
        <v>99479850.640920922</v>
      </c>
      <c r="B1655">
        <v>239597004.56205395</v>
      </c>
    </row>
    <row r="1656" spans="1:2" x14ac:dyDescent="0.25">
      <c r="A1656">
        <f ca="1">30870.7175140622*(RANDBETWEEN(2890,3282))</f>
        <v>95174422.09585388</v>
      </c>
      <c r="B1656">
        <v>217688944.25718272</v>
      </c>
    </row>
    <row r="1657" spans="1:2" x14ac:dyDescent="0.25">
      <c r="A1657">
        <f ca="1">31749.9518820572*(RANDBETWEEN(2890,3282))</f>
        <v>98996349.968254223</v>
      </c>
      <c r="B1657">
        <v>254001950.420057</v>
      </c>
    </row>
    <row r="1658" spans="1:2" x14ac:dyDescent="0.25">
      <c r="A1658">
        <f ca="1">30372.5014935665*(RANDBETWEEN(2890,3282))</f>
        <v>94063637.125575408</v>
      </c>
      <c r="B1658">
        <v>228205825.75204799</v>
      </c>
    </row>
    <row r="1659" spans="1:2" x14ac:dyDescent="0.25">
      <c r="A1659">
        <f ca="1">32743.6606674031*(RANDBETWEEN(2890,3282))</f>
        <v>100654012.89159706</v>
      </c>
      <c r="B1659">
        <v>220618056.35630932</v>
      </c>
    </row>
    <row r="1660" spans="1:2" x14ac:dyDescent="0.25">
      <c r="A1660">
        <f ca="1">28521.1851298982*(RANDBETWEEN(2890,3282))</f>
        <v>90925538.194115371</v>
      </c>
      <c r="B1660">
        <v>242068524.58240828</v>
      </c>
    </row>
    <row r="1661" spans="1:2" x14ac:dyDescent="0.25">
      <c r="A1661">
        <f ca="1">28970.1847198949*(RANDBETWEEN(2890,3282))</f>
        <v>91140201.128789395</v>
      </c>
      <c r="B1661">
        <v>259367946.8963899</v>
      </c>
    </row>
    <row r="1662" spans="1:2" x14ac:dyDescent="0.25">
      <c r="A1662">
        <f ca="1">32419.5875301488*(RANDBETWEEN(2890,3282))</f>
        <v>103029449.17081273</v>
      </c>
      <c r="B1662">
        <v>218960531.86757672</v>
      </c>
    </row>
    <row r="1663" spans="1:2" x14ac:dyDescent="0.25">
      <c r="A1663">
        <f ca="1">27095.4830389806*(RANDBETWEEN(2890,3282))</f>
        <v>81042589.769590855</v>
      </c>
      <c r="B1663">
        <v>231647933.61643639</v>
      </c>
    </row>
    <row r="1664" spans="1:2" x14ac:dyDescent="0.25">
      <c r="A1664">
        <f ca="1">27602.6163695537*(RANDBETWEEN(2890,3282))</f>
        <v>83635927.599747807</v>
      </c>
      <c r="B1664">
        <v>217758994.24056596</v>
      </c>
    </row>
    <row r="1665" spans="1:2" x14ac:dyDescent="0.25">
      <c r="A1665">
        <f ca="1">27927.5122779639*(RANDBETWEEN(2890,3282))</f>
        <v>81073568.142929211</v>
      </c>
      <c r="B1665">
        <v>211994898.51498842</v>
      </c>
    </row>
    <row r="1666" spans="1:2" x14ac:dyDescent="0.25">
      <c r="A1666">
        <f ca="1">30429.2416516231*(RANDBETWEEN(2890,3282))</f>
        <v>99686195.650717229</v>
      </c>
      <c r="B1666">
        <v>230823952.32194257</v>
      </c>
    </row>
    <row r="1667" spans="1:2" x14ac:dyDescent="0.25">
      <c r="A1667">
        <f ca="1">30677.8327780053*(RANDBETWEEN(2890,3282))</f>
        <v>96082972.260712564</v>
      </c>
      <c r="B1667">
        <v>255268664.53949222</v>
      </c>
    </row>
    <row r="1668" spans="1:2" x14ac:dyDescent="0.25">
      <c r="A1668">
        <f ca="1">32574.4308579218*(RANDBETWEEN(2890,3282))</f>
        <v>102479159.47902188</v>
      </c>
      <c r="B1668">
        <v>240493916.17760628</v>
      </c>
    </row>
    <row r="1669" spans="1:2" x14ac:dyDescent="0.25">
      <c r="A1669">
        <f ca="1">29132.8293278633*(RANDBETWEEN(2890,3282))</f>
        <v>94914757.950178549</v>
      </c>
      <c r="B1669">
        <v>235221561.16896921</v>
      </c>
    </row>
    <row r="1670" spans="1:2" x14ac:dyDescent="0.25">
      <c r="A1670">
        <f ca="1">26942.7515418603*(RANDBETWEEN(2890,3282))</f>
        <v>80208571.3401182</v>
      </c>
      <c r="B1670">
        <v>214175874.79685938</v>
      </c>
    </row>
    <row r="1671" spans="1:2" x14ac:dyDescent="0.25">
      <c r="A1671">
        <f ca="1">28558.1233721932*(RANDBETWEEN(2890,3282))</f>
        <v>90700599.830085531</v>
      </c>
      <c r="B1671">
        <v>232382570.57810879</v>
      </c>
    </row>
    <row r="1672" spans="1:2" x14ac:dyDescent="0.25">
      <c r="A1672">
        <f ca="1">27869.833486997*(RANDBETWEEN(2890,3282))</f>
        <v>85058731.802315012</v>
      </c>
      <c r="B1672">
        <v>262344783.64367294</v>
      </c>
    </row>
    <row r="1673" spans="1:2" x14ac:dyDescent="0.25">
      <c r="A1673">
        <f ca="1">32101.9312828588*(RANDBETWEEN(2890,3282))</f>
        <v>95182226.253676221</v>
      </c>
      <c r="B1673">
        <v>227481888.28236899</v>
      </c>
    </row>
    <row r="1674" spans="1:2" x14ac:dyDescent="0.25">
      <c r="A1674">
        <f ca="1">28699.2970761591*(RANDBETWEEN(2890,3282))</f>
        <v>91636855.564176112</v>
      </c>
      <c r="B1674">
        <v>216913631.59529364</v>
      </c>
    </row>
    <row r="1675" spans="1:2" x14ac:dyDescent="0.25">
      <c r="A1675">
        <f ca="1">32587.4007227838*(RANDBETWEEN(2890,3282))</f>
        <v>104605556.3201361</v>
      </c>
      <c r="B1675">
        <v>209312936.68122792</v>
      </c>
    </row>
    <row r="1676" spans="1:2" x14ac:dyDescent="0.25">
      <c r="A1676">
        <f ca="1">29744.308695546*(RANDBETWEEN(2890,3282))</f>
        <v>97085423.582262009</v>
      </c>
      <c r="B1676">
        <v>251347265.04567131</v>
      </c>
    </row>
    <row r="1677" spans="1:2" x14ac:dyDescent="0.25">
      <c r="A1677">
        <f ca="1">28011.3005557706*(RANDBETWEEN(2890,3282))</f>
        <v>90196387.789581195</v>
      </c>
      <c r="B1677">
        <v>231103846.35734296</v>
      </c>
    </row>
    <row r="1678" spans="1:2" x14ac:dyDescent="0.25">
      <c r="A1678">
        <f ca="1">28758.3640213317*(RANDBETWEEN(2890,3282))</f>
        <v>84377040.038587198</v>
      </c>
      <c r="B1678">
        <v>256807568.63954782</v>
      </c>
    </row>
    <row r="1679" spans="1:2" x14ac:dyDescent="0.25">
      <c r="A1679">
        <f ca="1">32626.785289086*(RANDBETWEEN(2890,3282))</f>
        <v>106624334.3247332</v>
      </c>
      <c r="B1679">
        <v>222473547.80449766</v>
      </c>
    </row>
    <row r="1680" spans="1:2" x14ac:dyDescent="0.25">
      <c r="A1680">
        <f ca="1">25828.4965137905*(RANDBETWEEN(2890,3282))</f>
        <v>75961608.247057751</v>
      </c>
      <c r="B1680">
        <v>210039518.12052804</v>
      </c>
    </row>
    <row r="1681" spans="1:2" x14ac:dyDescent="0.25">
      <c r="A1681">
        <f ca="1">30270.6431262207*(RANDBETWEEN(2890,3282))</f>
        <v>93324392.758138508</v>
      </c>
      <c r="B1681">
        <v>238518761.65062559</v>
      </c>
    </row>
    <row r="1682" spans="1:2" x14ac:dyDescent="0.25">
      <c r="A1682">
        <f ca="1">33990.8913712187*(RANDBETWEEN(2890,3282))</f>
        <v>106663417.12288436</v>
      </c>
      <c r="B1682">
        <v>255692540.5002794</v>
      </c>
    </row>
    <row r="1683" spans="1:2" x14ac:dyDescent="0.25">
      <c r="A1683">
        <f ca="1">31001.3265217749*(RANDBETWEEN(2890,3282))</f>
        <v>95701094.972719237</v>
      </c>
      <c r="B1683">
        <v>262661652.31488562</v>
      </c>
    </row>
    <row r="1684" spans="1:2" x14ac:dyDescent="0.25">
      <c r="A1684">
        <f ca="1">27983.9331100925*(RANDBETWEEN(2890,3282))</f>
        <v>91591413.069332749</v>
      </c>
      <c r="B1684">
        <v>205104138.27095538</v>
      </c>
    </row>
    <row r="1685" spans="1:2" x14ac:dyDescent="0.25">
      <c r="A1685">
        <f ca="1">27029.0470772655*(RANDBETWEEN(2890,3282))</f>
        <v>85087440.199231863</v>
      </c>
      <c r="B1685">
        <v>240443164.93304557</v>
      </c>
    </row>
    <row r="1686" spans="1:2" x14ac:dyDescent="0.25">
      <c r="A1686">
        <f ca="1">32136.022153725*(RANDBETWEEN(2890,3282))</f>
        <v>93901456.733184546</v>
      </c>
      <c r="B1686">
        <v>208422397.88610268</v>
      </c>
    </row>
    <row r="1687" spans="1:2" x14ac:dyDescent="0.25">
      <c r="A1687">
        <f ca="1">28827.8718281004*(RANDBETWEEN(2890,3282))</f>
        <v>87867353.33205007</v>
      </c>
      <c r="B1687">
        <v>241147053.13206202</v>
      </c>
    </row>
    <row r="1688" spans="1:2" x14ac:dyDescent="0.25">
      <c r="A1688">
        <f ca="1">33237.4419607754*(RANDBETWEEN(2890,3282))</f>
        <v>97684841.922718823</v>
      </c>
      <c r="B1688">
        <v>267802849.51136276</v>
      </c>
    </row>
    <row r="1689" spans="1:2" x14ac:dyDescent="0.25">
      <c r="A1689">
        <f ca="1">28764.8447268153*(RANDBETWEEN(2890,3282))</f>
        <v>93428215.672696128</v>
      </c>
      <c r="B1689">
        <v>264002877.76195705</v>
      </c>
    </row>
    <row r="1690" spans="1:2" x14ac:dyDescent="0.25">
      <c r="A1690">
        <f ca="1">28053.4384487711*(RANDBETWEEN(2890,3282))</f>
        <v>89069667.074848145</v>
      </c>
      <c r="B1690">
        <v>210003838.06393448</v>
      </c>
    </row>
    <row r="1691" spans="1:2" x14ac:dyDescent="0.25">
      <c r="A1691">
        <f ca="1">32225.5319690827*(RANDBETWEEN(2890,3282))</f>
        <v>104346272.51588988</v>
      </c>
      <c r="B1691">
        <v>221986767.28296721</v>
      </c>
    </row>
    <row r="1692" spans="1:2" x14ac:dyDescent="0.25">
      <c r="A1692">
        <f ca="1">32844.1871143027*(RANDBETWEEN(2890,3282))</f>
        <v>102867994.04199594</v>
      </c>
      <c r="B1692">
        <v>254079962.88985941</v>
      </c>
    </row>
    <row r="1693" spans="1:2" x14ac:dyDescent="0.25">
      <c r="A1693">
        <f ca="1">26652.147818861*(RANDBETWEEN(2890,3282))</f>
        <v>85899872.420189142</v>
      </c>
      <c r="B1693">
        <v>259283597.51025882</v>
      </c>
    </row>
    <row r="1694" spans="1:2" x14ac:dyDescent="0.25">
      <c r="A1694">
        <f ca="1">31781.7194175546*(RANDBETWEEN(2890,3282))</f>
        <v>96457518.432278335</v>
      </c>
      <c r="B1694">
        <v>237011229.89055029</v>
      </c>
    </row>
    <row r="1695" spans="1:2" x14ac:dyDescent="0.25">
      <c r="A1695">
        <f ca="1">27901.4166304982*(RANDBETWEEN(2890,3282))</f>
        <v>81723249.310729355</v>
      </c>
      <c r="B1695">
        <v>253146080.16642907</v>
      </c>
    </row>
    <row r="1696" spans="1:2" x14ac:dyDescent="0.25">
      <c r="A1696">
        <f ca="1">26669.9745762176*(RANDBETWEEN(2890,3282))</f>
        <v>85450598.542201102</v>
      </c>
      <c r="B1696">
        <v>218028954.72306475</v>
      </c>
    </row>
    <row r="1697" spans="1:2" x14ac:dyDescent="0.25">
      <c r="A1697">
        <f ca="1">26627.5889246459*(RANDBETWEEN(2890,3282))</f>
        <v>77193380.292548552</v>
      </c>
      <c r="B1697">
        <v>217103138.87798178</v>
      </c>
    </row>
    <row r="1698" spans="1:2" x14ac:dyDescent="0.25">
      <c r="A1698">
        <f ca="1">27469.8844112296*(RANDBETWEEN(2890,3282))</f>
        <v>86749894.970663115</v>
      </c>
      <c r="B1698">
        <v>212383599.08385521</v>
      </c>
    </row>
    <row r="1699" spans="1:2" x14ac:dyDescent="0.25">
      <c r="A1699">
        <f ca="1">31856.7872904275*(RANDBETWEEN(2890,3282))</f>
        <v>103948696.92866482</v>
      </c>
      <c r="B1699">
        <v>246595004.38442975</v>
      </c>
    </row>
    <row r="1700" spans="1:2" x14ac:dyDescent="0.25">
      <c r="A1700">
        <f ca="1">28100.7213898326*(RANDBETWEEN(2890,3282))</f>
        <v>91495948.845294952</v>
      </c>
      <c r="B1700">
        <v>260643810.21458972</v>
      </c>
    </row>
    <row r="1701" spans="1:2" x14ac:dyDescent="0.25">
      <c r="A1701">
        <f ca="1">27827.4334477907*(RANDBETWEEN(2890,3282))</f>
        <v>84038849.01232782</v>
      </c>
      <c r="B1701">
        <v>262120176.03786865</v>
      </c>
    </row>
    <row r="1702" spans="1:2" x14ac:dyDescent="0.25">
      <c r="A1702">
        <f ca="1">27220.3929598514*(RANDBETWEEN(2890,3282))</f>
        <v>84410438.568499118</v>
      </c>
      <c r="B1702">
        <v>217056422.19045952</v>
      </c>
    </row>
    <row r="1703" spans="1:2" x14ac:dyDescent="0.25">
      <c r="A1703">
        <f ca="1">32593.1262745163*(RANDBETWEEN(2890,3282))</f>
        <v>104754307.8462953</v>
      </c>
      <c r="B1703">
        <v>262340941.46991998</v>
      </c>
    </row>
    <row r="1704" spans="1:2" x14ac:dyDescent="0.25">
      <c r="A1704">
        <f ca="1">27113.5341200684*(RANDBETWEEN(2890,3282))</f>
        <v>87712282.878421247</v>
      </c>
      <c r="B1704">
        <v>252587687.27543458</v>
      </c>
    </row>
    <row r="1705" spans="1:2" x14ac:dyDescent="0.25">
      <c r="A1705">
        <f ca="1">34507.3511500009*(RANDBETWEEN(2890,3282))</f>
        <v>112010861.83290307</v>
      </c>
      <c r="B1705">
        <v>231107460.65306097</v>
      </c>
    </row>
    <row r="1706" spans="1:2" x14ac:dyDescent="0.25">
      <c r="A1706">
        <f ca="1">28367.076764082*(RANDBETWEEN(2890,3282))</f>
        <v>88164874.58276692</v>
      </c>
      <c r="B1706">
        <v>263031901.97015429</v>
      </c>
    </row>
    <row r="1707" spans="1:2" x14ac:dyDescent="0.25">
      <c r="A1707">
        <f ca="1">27727.0079480019*(RANDBETWEEN(2890,3282))</f>
        <v>86480537.78981781</v>
      </c>
      <c r="B1707">
        <v>253775998.65227944</v>
      </c>
    </row>
    <row r="1708" spans="1:2" x14ac:dyDescent="0.25">
      <c r="A1708">
        <f ca="1">31317.589112934*(RANDBETWEEN(2890,3282))</f>
        <v>100466825.87429227</v>
      </c>
      <c r="B1708">
        <v>252544158.96498054</v>
      </c>
    </row>
    <row r="1709" spans="1:2" x14ac:dyDescent="0.25">
      <c r="A1709">
        <f ca="1">34168.1937557487*(RANDBETWEEN(2890,3282))</f>
        <v>105067195.79892731</v>
      </c>
      <c r="B1709">
        <v>221612777.53707168</v>
      </c>
    </row>
    <row r="1710" spans="1:2" x14ac:dyDescent="0.25">
      <c r="A1710">
        <f ca="1">31705.7949817585*(RANDBETWEEN(2890,3282))</f>
        <v>103836478.56525919</v>
      </c>
      <c r="B1710">
        <v>213581163.61336169</v>
      </c>
    </row>
    <row r="1711" spans="1:2" x14ac:dyDescent="0.25">
      <c r="A1711">
        <f ca="1">30263.774619067*(RANDBETWEEN(2890,3282))</f>
        <v>87462308.649103716</v>
      </c>
      <c r="B1711">
        <v>262101023.7724309</v>
      </c>
    </row>
    <row r="1712" spans="1:2" x14ac:dyDescent="0.25">
      <c r="A1712">
        <f ca="1">29106.3546118228*(RANDBETWEEN(2890,3282))</f>
        <v>93460504.658563107</v>
      </c>
      <c r="B1712">
        <v>219488600.65034682</v>
      </c>
    </row>
    <row r="1713" spans="1:2" x14ac:dyDescent="0.25">
      <c r="A1713">
        <f ca="1">30412.6362395108*(RANDBETWEEN(2890,3282))</f>
        <v>93975045.980088502</v>
      </c>
      <c r="B1713">
        <v>234580990.82136673</v>
      </c>
    </row>
    <row r="1714" spans="1:2" x14ac:dyDescent="0.25">
      <c r="A1714">
        <f ca="1">33964.6725063994*(RANDBETWEEN(2890,3282))</f>
        <v>107158541.75768995</v>
      </c>
      <c r="B1714">
        <v>255080269.62864295</v>
      </c>
    </row>
    <row r="1715" spans="1:2" x14ac:dyDescent="0.25">
      <c r="A1715">
        <f ca="1">29358.6601077814*(RANDBETWEEN(2890,3282))</f>
        <v>91070563.654337987</v>
      </c>
      <c r="B1715">
        <v>243416511.77641383</v>
      </c>
    </row>
    <row r="1716" spans="1:2" x14ac:dyDescent="0.25">
      <c r="A1716">
        <f ca="1">26580.5374292772*(RANDBETWEEN(2890,3282))</f>
        <v>83622370.752505958</v>
      </c>
      <c r="B1716">
        <v>232734991.77913481</v>
      </c>
    </row>
    <row r="1717" spans="1:2" x14ac:dyDescent="0.25">
      <c r="A1717">
        <f ca="1">27870.6374074606*(RANDBETWEEN(2890,3282))</f>
        <v>81270778.680155203</v>
      </c>
      <c r="B1717">
        <v>259360104.84477648</v>
      </c>
    </row>
    <row r="1718" spans="1:2" x14ac:dyDescent="0.25">
      <c r="A1718">
        <f ca="1">25810.8972266465*(RANDBETWEEN(2890,3282))</f>
        <v>78258640.391192079</v>
      </c>
      <c r="B1718">
        <v>260144941.79036254</v>
      </c>
    </row>
    <row r="1719" spans="1:2" x14ac:dyDescent="0.25">
      <c r="A1719">
        <f ca="1">27149.2788965801*(RANDBETWEEN(2890,3282))</f>
        <v>88425201.366161436</v>
      </c>
      <c r="B1719">
        <v>235808362.98051998</v>
      </c>
    </row>
    <row r="1720" spans="1:2" x14ac:dyDescent="0.25">
      <c r="A1720">
        <f ca="1">27841.405498842*(RANDBETWEEN(2890,3282))</f>
        <v>88062365.59283717</v>
      </c>
      <c r="B1720">
        <v>215387672.92305633</v>
      </c>
    </row>
    <row r="1721" spans="1:2" x14ac:dyDescent="0.25">
      <c r="A1721">
        <f ca="1">33233.2062928726*(RANDBETWEEN(2890,3282))</f>
        <v>100862781.09886847</v>
      </c>
      <c r="B1721">
        <v>242150232.03815126</v>
      </c>
    </row>
    <row r="1722" spans="1:2" x14ac:dyDescent="0.25">
      <c r="A1722">
        <f ca="1">28399.1256967399*(RANDBETWEEN(2890,3282))</f>
        <v>92013167.257437408</v>
      </c>
      <c r="B1722">
        <v>218673172.76593062</v>
      </c>
    </row>
    <row r="1723" spans="1:2" x14ac:dyDescent="0.25">
      <c r="A1723">
        <f ca="1">29383.8071046866*(RANDBETWEEN(2890,3282))</f>
        <v>94733394.105509698</v>
      </c>
      <c r="B1723">
        <v>232125120.30396706</v>
      </c>
    </row>
    <row r="1724" spans="1:2" x14ac:dyDescent="0.25">
      <c r="A1724">
        <f ca="1">29412.5561227787*(RANDBETWEEN(2890,3282))</f>
        <v>89178870.164265126</v>
      </c>
      <c r="B1724">
        <v>247102408.92914808</v>
      </c>
    </row>
    <row r="1725" spans="1:2" x14ac:dyDescent="0.25">
      <c r="A1725">
        <f ca="1">28812.2985387847*(RANDBETWEEN(2890,3282))</f>
        <v>83786164.150785848</v>
      </c>
      <c r="B1725">
        <v>212134781.82759535</v>
      </c>
    </row>
    <row r="1726" spans="1:2" x14ac:dyDescent="0.25">
      <c r="A1726">
        <f ca="1">30798.2823516667*(RANDBETWEEN(2890,3282))</f>
        <v>94119550.866693512</v>
      </c>
      <c r="B1726">
        <v>235350783.34696651</v>
      </c>
    </row>
    <row r="1727" spans="1:2" x14ac:dyDescent="0.25">
      <c r="A1727">
        <f ca="1">33487.433501089*(RANDBETWEEN(2890,3282))</f>
        <v>101902260.14381382</v>
      </c>
      <c r="B1727">
        <v>250235733.6946615</v>
      </c>
    </row>
    <row r="1728" spans="1:2" x14ac:dyDescent="0.25">
      <c r="A1728">
        <f ca="1">31297.3313851829*(RANDBETWEEN(2890,3282))</f>
        <v>99337729.816570505</v>
      </c>
      <c r="B1728">
        <v>244311973.11135429</v>
      </c>
    </row>
    <row r="1729" spans="1:2" x14ac:dyDescent="0.25">
      <c r="A1729">
        <f ca="1">29166.7408364657*(RANDBETWEEN(2890,3282))</f>
        <v>92429401.710759923</v>
      </c>
      <c r="B1729">
        <v>213084267.36260986</v>
      </c>
    </row>
    <row r="1730" spans="1:2" x14ac:dyDescent="0.25">
      <c r="A1730">
        <f ca="1">29388.4028817494*(RANDBETWEEN(2890,3282))</f>
        <v>95042094.91957745</v>
      </c>
      <c r="B1730">
        <v>267070914.52970555</v>
      </c>
    </row>
    <row r="1731" spans="1:2" x14ac:dyDescent="0.25">
      <c r="A1731">
        <f ca="1">32687.125986253*(RANDBETWEEN(2890,3282))</f>
        <v>102278017.21098553</v>
      </c>
      <c r="B1731">
        <v>231009588.20504043</v>
      </c>
    </row>
    <row r="1732" spans="1:2" x14ac:dyDescent="0.25">
      <c r="A1732">
        <f ca="1">32798.4420087756*(RANDBETWEEN(2890,3282))</f>
        <v>99969651.242747992</v>
      </c>
      <c r="B1732">
        <v>232604253.05464309</v>
      </c>
    </row>
    <row r="1733" spans="1:2" x14ac:dyDescent="0.25">
      <c r="A1733">
        <f ca="1">30974.985127723*(RANDBETWEEN(2890,3282))</f>
        <v>101257226.38252659</v>
      </c>
      <c r="B1733">
        <v>235001710.16051105</v>
      </c>
    </row>
    <row r="1734" spans="1:2" x14ac:dyDescent="0.25">
      <c r="A1734">
        <f ca="1">27969.6862776359*(RANDBETWEEN(2890,3282))</f>
        <v>87880754.284331903</v>
      </c>
      <c r="B1734">
        <v>208107245.71078247</v>
      </c>
    </row>
    <row r="1735" spans="1:2" x14ac:dyDescent="0.25">
      <c r="A1735">
        <f ca="1">31053.8103616693*(RANDBETWEEN(2890,3282))</f>
        <v>92416139.636327758</v>
      </c>
      <c r="B1735">
        <v>204320507.9754298</v>
      </c>
    </row>
    <row r="1736" spans="1:2" x14ac:dyDescent="0.25">
      <c r="A1736">
        <f ca="1">28153.098128658*(RANDBETWEEN(2890,3282))</f>
        <v>90258832.600477621</v>
      </c>
      <c r="B1736">
        <v>253592786.26495451</v>
      </c>
    </row>
    <row r="1737" spans="1:2" x14ac:dyDescent="0.25">
      <c r="A1737">
        <f ca="1">34229.0392915519*(RANDBETWEEN(2890,3282))</f>
        <v>102105224.20669945</v>
      </c>
      <c r="B1737">
        <v>244176593.59700012</v>
      </c>
    </row>
    <row r="1738" spans="1:2" x14ac:dyDescent="0.25">
      <c r="A1738">
        <f ca="1">32817.243296345*(RANDBETWEEN(2890,3282))</f>
        <v>102192895.62481841</v>
      </c>
      <c r="B1738">
        <v>264191561.24253786</v>
      </c>
    </row>
    <row r="1739" spans="1:2" x14ac:dyDescent="0.25">
      <c r="A1739">
        <f ca="1">30126.8411413942*(RANDBETWEEN(2890,3282))</f>
        <v>89506845.031082317</v>
      </c>
      <c r="B1739">
        <v>225658113.01930928</v>
      </c>
    </row>
    <row r="1740" spans="1:2" x14ac:dyDescent="0.25">
      <c r="A1740">
        <f ca="1">28041.9777735244*(RANDBETWEEN(2890,3282))</f>
        <v>91108385.78618072</v>
      </c>
      <c r="B1740">
        <v>212771854.80797029</v>
      </c>
    </row>
    <row r="1741" spans="1:2" x14ac:dyDescent="0.25">
      <c r="A1741">
        <f ca="1">29617.3648131141*(RANDBETWEEN(2890,3282))</f>
        <v>91428805.178083107</v>
      </c>
      <c r="B1741">
        <v>221979481.22488302</v>
      </c>
    </row>
    <row r="1742" spans="1:2" x14ac:dyDescent="0.25">
      <c r="A1742">
        <f ca="1">28361.1225244869*(RANDBETWEEN(2890,3282))</f>
        <v>86756673.802405328</v>
      </c>
      <c r="B1742">
        <v>247620719.3935501</v>
      </c>
    </row>
    <row r="1743" spans="1:2" x14ac:dyDescent="0.25">
      <c r="A1743">
        <f ca="1">29421.654483666*(RANDBETWEEN(2890,3282))</f>
        <v>92943006.51390104</v>
      </c>
      <c r="B1743">
        <v>249048529.38863739</v>
      </c>
    </row>
    <row r="1744" spans="1:2" x14ac:dyDescent="0.25">
      <c r="A1744">
        <f ca="1">29708.359300164*(RANDBETWEEN(2890,3282))</f>
        <v>93670456.873417065</v>
      </c>
      <c r="B1744">
        <v>206535933.69354594</v>
      </c>
    </row>
    <row r="1745" spans="1:2" x14ac:dyDescent="0.25">
      <c r="A1745">
        <f ca="1">26921.6254642333*(RANDBETWEEN(2890,3282))</f>
        <v>82810919.927981779</v>
      </c>
      <c r="B1745">
        <v>246420456.91699886</v>
      </c>
    </row>
    <row r="1746" spans="1:2" x14ac:dyDescent="0.25">
      <c r="A1746">
        <f ca="1">32686.8433891904*(RANDBETWEEN(2890,3282))</f>
        <v>101950264.53088488</v>
      </c>
      <c r="B1746">
        <v>206244826.27858323</v>
      </c>
    </row>
    <row r="1747" spans="1:2" x14ac:dyDescent="0.25">
      <c r="A1747">
        <f ca="1">31130.8923131018*(RANDBETWEEN(2890,3282))</f>
        <v>99712248.078864962</v>
      </c>
      <c r="B1747">
        <v>218954978.84144998</v>
      </c>
    </row>
    <row r="1748" spans="1:2" x14ac:dyDescent="0.25">
      <c r="A1748">
        <f ca="1">27947.4593795385*(RANDBETWEEN(2890,3282))</f>
        <v>84401327.326206163</v>
      </c>
      <c r="B1748">
        <v>228125877.45919549</v>
      </c>
    </row>
    <row r="1749" spans="1:2" x14ac:dyDescent="0.25">
      <c r="A1749">
        <f ca="1">30125.7137442722*(RANDBETWEEN(2890,3282))</f>
        <v>94775495.439480424</v>
      </c>
      <c r="B1749">
        <v>203720309.02051201</v>
      </c>
    </row>
    <row r="1750" spans="1:2" x14ac:dyDescent="0.25">
      <c r="A1750">
        <f ca="1">28253.5007127322*(RANDBETWEEN(2890,3282))</f>
        <v>91456581.807114273</v>
      </c>
      <c r="B1750">
        <v>254159597.34288999</v>
      </c>
    </row>
    <row r="1751" spans="1:2" x14ac:dyDescent="0.25">
      <c r="A1751">
        <f ca="1">33765.5965491472*(RANDBETWEEN(2890,3282))</f>
        <v>98966963.485550404</v>
      </c>
      <c r="B1751">
        <v>222047602.83669341</v>
      </c>
    </row>
    <row r="1752" spans="1:2" x14ac:dyDescent="0.25">
      <c r="A1752">
        <f ca="1">26864.9915775476*(RANDBETWEEN(2890,3282))</f>
        <v>80863624.648418337</v>
      </c>
      <c r="B1752">
        <v>248154644.69928455</v>
      </c>
    </row>
    <row r="1753" spans="1:2" x14ac:dyDescent="0.25">
      <c r="A1753">
        <f ca="1">27426.1986590178*(RANDBETWEEN(2890,3282))</f>
        <v>84911511.048319191</v>
      </c>
      <c r="B1753">
        <v>221801883.80848739</v>
      </c>
    </row>
    <row r="1754" spans="1:2" x14ac:dyDescent="0.25">
      <c r="A1754">
        <f ca="1">27298.8813537227*(RANDBETWEEN(2890,3282))</f>
        <v>89158146.501258478</v>
      </c>
      <c r="B1754">
        <v>216664176.94919509</v>
      </c>
    </row>
    <row r="1755" spans="1:2" x14ac:dyDescent="0.25">
      <c r="A1755">
        <f ca="1">29725.4827937387*(RANDBETWEEN(2890,3282))</f>
        <v>91970643.763827547</v>
      </c>
      <c r="B1755">
        <v>225237890.71631747</v>
      </c>
    </row>
    <row r="1756" spans="1:2" x14ac:dyDescent="0.25">
      <c r="A1756">
        <f ca="1">33666.8005855057*(RANDBETWEEN(2890,3282))</f>
        <v>98138723.706749052</v>
      </c>
      <c r="B1756">
        <v>218617357.52037653</v>
      </c>
    </row>
    <row r="1757" spans="1:2" x14ac:dyDescent="0.25">
      <c r="A1757">
        <f ca="1">31569.7273257942*(RANDBETWEEN(2890,3282))</f>
        <v>99665629.167532206</v>
      </c>
      <c r="B1757">
        <v>238092153.21179733</v>
      </c>
    </row>
    <row r="1758" spans="1:2" x14ac:dyDescent="0.25">
      <c r="A1758">
        <f ca="1">24905.532795901*(RANDBETWEEN(2890,3282))</f>
        <v>78801105.766230911</v>
      </c>
      <c r="B1758">
        <v>238318434.32627794</v>
      </c>
    </row>
    <row r="1759" spans="1:2" x14ac:dyDescent="0.25">
      <c r="A1759">
        <f ca="1">27350.3487678139*(RANDBETWEEN(2890,3282))</f>
        <v>87767269.195914805</v>
      </c>
      <c r="B1759">
        <v>257942911.26474136</v>
      </c>
    </row>
    <row r="1760" spans="1:2" x14ac:dyDescent="0.25">
      <c r="A1760">
        <f ca="1">28001.0834022803*(RANDBETWEEN(2890,3282))</f>
        <v>86075330.378609583</v>
      </c>
      <c r="B1760">
        <v>260865271.8470327</v>
      </c>
    </row>
    <row r="1761" spans="1:2" x14ac:dyDescent="0.25">
      <c r="A1761">
        <f ca="1">26715.68868446*(RANDBETWEEN(2890,3282))</f>
        <v>83593389.893675283</v>
      </c>
      <c r="B1761">
        <v>221135512.05205679</v>
      </c>
    </row>
    <row r="1762" spans="1:2" x14ac:dyDescent="0.25">
      <c r="A1762">
        <f ca="1">29216.8406920981*(RANDBETWEEN(2890,3282))</f>
        <v>90192387.216506913</v>
      </c>
      <c r="B1762">
        <v>207508763.54747686</v>
      </c>
    </row>
    <row r="1763" spans="1:2" x14ac:dyDescent="0.25">
      <c r="A1763">
        <f ca="1">28646.8294138046*(RANDBETWEEN(2890,3282))</f>
        <v>90237512.653484389</v>
      </c>
      <c r="B1763">
        <v>245888114.0401451</v>
      </c>
    </row>
    <row r="1764" spans="1:2" x14ac:dyDescent="0.25">
      <c r="A1764">
        <f ca="1">30844.7786585424*(RANDBETWEEN(2890,3282))</f>
        <v>90807028.370748878</v>
      </c>
      <c r="B1764">
        <v>205838035.37696108</v>
      </c>
    </row>
    <row r="1765" spans="1:2" x14ac:dyDescent="0.25">
      <c r="A1765">
        <f ca="1">32197.0703901764*(RANDBETWEEN(2890,3282))</f>
        <v>103706763.72675829</v>
      </c>
      <c r="B1765">
        <v>228600762.03995675</v>
      </c>
    </row>
    <row r="1766" spans="1:2" x14ac:dyDescent="0.25">
      <c r="A1766">
        <f ca="1">31040.0449519841*(RANDBETWEEN(2890,3282))</f>
        <v>94827337.328311428</v>
      </c>
      <c r="B1766">
        <v>232131388.06484741</v>
      </c>
    </row>
    <row r="1767" spans="1:2" x14ac:dyDescent="0.25">
      <c r="A1767">
        <f ca="1">33516.8280340008*(RANDBETWEEN(2890,3282))</f>
        <v>109465960.35904652</v>
      </c>
      <c r="B1767">
        <v>234922286.23603529</v>
      </c>
    </row>
    <row r="1768" spans="1:2" x14ac:dyDescent="0.25">
      <c r="A1768">
        <f ca="1">27340.4013429524*(RANDBETWEEN(2890,3282))</f>
        <v>83388224.096004829</v>
      </c>
      <c r="B1768">
        <v>246796094.2969259</v>
      </c>
    </row>
    <row r="1769" spans="1:2" x14ac:dyDescent="0.25">
      <c r="A1769">
        <f ca="1">28244.6636362663*(RANDBETWEEN(2890,3282))</f>
        <v>92444784.081499755</v>
      </c>
      <c r="B1769">
        <v>244397404.20315066</v>
      </c>
    </row>
    <row r="1770" spans="1:2" x14ac:dyDescent="0.25">
      <c r="A1770">
        <f ca="1">32123.6409134843*(RANDBETWEEN(2890,3282))</f>
        <v>95664202.640356317</v>
      </c>
      <c r="B1770">
        <v>214853652.63885593</v>
      </c>
    </row>
    <row r="1771" spans="1:2" x14ac:dyDescent="0.25">
      <c r="A1771">
        <f ca="1">28255.8293930507*(RANDBETWEEN(2890,3282))</f>
        <v>85445628.084585473</v>
      </c>
      <c r="B1771">
        <v>217672341.74549532</v>
      </c>
    </row>
    <row r="1772" spans="1:2" x14ac:dyDescent="0.25">
      <c r="A1772">
        <f ca="1">32819.8899641182*(RANDBETWEEN(2890,3282))</f>
        <v>98787868.791995868</v>
      </c>
      <c r="B1772">
        <v>210918185.09101573</v>
      </c>
    </row>
    <row r="1773" spans="1:2" x14ac:dyDescent="0.25">
      <c r="A1773">
        <f ca="1">28882.2567440123*(RANDBETWEEN(2890,3282))</f>
        <v>92423221.580839336</v>
      </c>
      <c r="B1773">
        <v>252127251.4247877</v>
      </c>
    </row>
    <row r="1774" spans="1:2" x14ac:dyDescent="0.25">
      <c r="A1774">
        <f ca="1">27930.3156205267*(RANDBETWEEN(2890,3282))</f>
        <v>82785455.499241248</v>
      </c>
      <c r="B1774">
        <v>236676896.13177246</v>
      </c>
    </row>
    <row r="1775" spans="1:2" x14ac:dyDescent="0.25">
      <c r="A1775">
        <f ca="1">26244.9971060057*(RANDBETWEEN(2890,3282))</f>
        <v>82409290.91285789</v>
      </c>
      <c r="B1775">
        <v>205482803.20958573</v>
      </c>
    </row>
    <row r="1776" spans="1:2" x14ac:dyDescent="0.25">
      <c r="A1776">
        <f ca="1">28234.0123306957*(RANDBETWEEN(2890,3282))</f>
        <v>86876055.941550806</v>
      </c>
      <c r="B1776">
        <v>245380171.62992167</v>
      </c>
    </row>
    <row r="1777" spans="1:2" x14ac:dyDescent="0.25">
      <c r="A1777">
        <f ca="1">26891.7994615697*(RANDBETWEEN(2890,3282))</f>
        <v>86537810.667331412</v>
      </c>
      <c r="B1777">
        <v>257278763.29849729</v>
      </c>
    </row>
    <row r="1778" spans="1:2" x14ac:dyDescent="0.25">
      <c r="A1778">
        <f ca="1">28889.5710263107*(RANDBETWEEN(2890,3282))</f>
        <v>83981982.973485306</v>
      </c>
      <c r="B1778">
        <v>211704847.41359341</v>
      </c>
    </row>
    <row r="1779" spans="1:2" x14ac:dyDescent="0.25">
      <c r="A1779">
        <f ca="1">30782.8472006923*(RANDBETWEEN(2890,3282))</f>
        <v>94872735.072533965</v>
      </c>
      <c r="B1779">
        <v>218200866.36539915</v>
      </c>
    </row>
    <row r="1780" spans="1:2" x14ac:dyDescent="0.25">
      <c r="A1780">
        <f ca="1">28122.4285642524*(RANDBETWEEN(2890,3282))</f>
        <v>89879281.691350549</v>
      </c>
      <c r="B1780">
        <v>227384304.44946355</v>
      </c>
    </row>
    <row r="1781" spans="1:2" x14ac:dyDescent="0.25">
      <c r="A1781">
        <f ca="1">27630.568745865*(RANDBETWEEN(2890,3282))</f>
        <v>86262635.624590501</v>
      </c>
      <c r="B1781">
        <v>228816387.58811677</v>
      </c>
    </row>
    <row r="1782" spans="1:2" x14ac:dyDescent="0.25">
      <c r="A1782">
        <f ca="1">28241.856258693*(RANDBETWEEN(2890,3282))</f>
        <v>91729549.128234804</v>
      </c>
      <c r="B1782">
        <v>219360656.52601525</v>
      </c>
    </row>
    <row r="1783" spans="1:2" x14ac:dyDescent="0.25">
      <c r="A1783">
        <f ca="1">30851.9835121396*(RANDBETWEEN(2890,3282))</f>
        <v>91476131.113493919</v>
      </c>
      <c r="B1783">
        <v>260489274.41624391</v>
      </c>
    </row>
    <row r="1784" spans="1:2" x14ac:dyDescent="0.25">
      <c r="A1784">
        <f ca="1">31961.5878323981*(RANDBETWEEN(2890,3282))</f>
        <v>94606299.983898222</v>
      </c>
      <c r="B1784">
        <v>265937343.44236743</v>
      </c>
    </row>
    <row r="1785" spans="1:2" x14ac:dyDescent="0.25">
      <c r="A1785">
        <f ca="1">31071.9949048922*(RANDBETWEEN(2890,3282))</f>
        <v>92345968.85733974</v>
      </c>
      <c r="B1785">
        <v>204179844.17498267</v>
      </c>
    </row>
    <row r="1786" spans="1:2" x14ac:dyDescent="0.25">
      <c r="A1786">
        <f ca="1">29819.04177421*(RANDBETWEEN(2890,3282))</f>
        <v>90232420.40875949</v>
      </c>
      <c r="B1786">
        <v>226302657.64266142</v>
      </c>
    </row>
    <row r="1787" spans="1:2" x14ac:dyDescent="0.25">
      <c r="A1787">
        <f ca="1">31285.0533088798*(RANDBETWEEN(2890,3282))</f>
        <v>100737871.65459296</v>
      </c>
      <c r="B1787">
        <v>224778091.35980189</v>
      </c>
    </row>
    <row r="1788" spans="1:2" x14ac:dyDescent="0.25">
      <c r="A1788">
        <f ca="1">30333.7687558064*(RANDBETWEEN(2890,3282))</f>
        <v>93640344.149174258</v>
      </c>
      <c r="B1788">
        <v>223252362.47226071</v>
      </c>
    </row>
    <row r="1789" spans="1:2" x14ac:dyDescent="0.25">
      <c r="A1789">
        <f ca="1">31257.7692405353*(RANDBETWEEN(2890,3282))</f>
        <v>99587252.800345346</v>
      </c>
      <c r="B1789">
        <v>259956541.47857574</v>
      </c>
    </row>
    <row r="1790" spans="1:2" x14ac:dyDescent="0.25">
      <c r="A1790">
        <f ca="1">30646.1537397157*(RANDBETWEEN(2890,3282))</f>
        <v>95186953.515556931</v>
      </c>
      <c r="B1790">
        <v>222343678.26961961</v>
      </c>
    </row>
    <row r="1791" spans="1:2" x14ac:dyDescent="0.25">
      <c r="A1791">
        <f ca="1">32236.5869422285*(RANDBETWEEN(2890,3282))</f>
        <v>102157744.01992223</v>
      </c>
      <c r="B1791">
        <v>257335359.88437045</v>
      </c>
    </row>
    <row r="1792" spans="1:2" x14ac:dyDescent="0.25">
      <c r="A1792">
        <f ca="1">31094.3773212468*(RANDBETWEEN(2890,3282))</f>
        <v>95677399.01747632</v>
      </c>
      <c r="B1792">
        <v>247611453.48796383</v>
      </c>
    </row>
    <row r="1793" spans="1:2" x14ac:dyDescent="0.25">
      <c r="A1793">
        <f ca="1">31763.2916343405*(RANDBETWEEN(2890,3282))</f>
        <v>96496879.985126525</v>
      </c>
      <c r="B1793">
        <v>264634617.01411143</v>
      </c>
    </row>
    <row r="1794" spans="1:2" x14ac:dyDescent="0.25">
      <c r="A1794">
        <f ca="1">29328.5827793532*(RANDBETWEEN(2890,3282))</f>
        <v>88161719.834735587</v>
      </c>
      <c r="B1794">
        <v>260588976.3878099</v>
      </c>
    </row>
    <row r="1795" spans="1:2" x14ac:dyDescent="0.25">
      <c r="A1795">
        <f ca="1">30975.1906576419*(RANDBETWEEN(2890,3282))</f>
        <v>99771089.108264551</v>
      </c>
      <c r="B1795">
        <v>249179016.24133456</v>
      </c>
    </row>
    <row r="1796" spans="1:2" x14ac:dyDescent="0.25">
      <c r="A1796">
        <f ca="1">27059.5207999156*(RANDBETWEEN(2890,3282))</f>
        <v>81151502.878946766</v>
      </c>
      <c r="B1796">
        <v>260393236.7697514</v>
      </c>
    </row>
    <row r="1797" spans="1:2" x14ac:dyDescent="0.25">
      <c r="A1797">
        <f ca="1">31557.0046566053*(RANDBETWEEN(2890,3282))</f>
        <v>95081255.030351818</v>
      </c>
      <c r="B1797">
        <v>266578850.13491541</v>
      </c>
    </row>
    <row r="1798" spans="1:2" x14ac:dyDescent="0.25">
      <c r="A1798">
        <f ca="1">30770.0532744265*(RANDBETWEEN(2890,3282))</f>
        <v>95541015.417094156</v>
      </c>
      <c r="B1798">
        <v>227652489.5805274</v>
      </c>
    </row>
    <row r="1799" spans="1:2" x14ac:dyDescent="0.25">
      <c r="A1799">
        <f ca="1">33097.0279711496*(RANDBETWEEN(2890,3282))</f>
        <v>98265076.046343237</v>
      </c>
      <c r="B1799">
        <v>237989001.32041609</v>
      </c>
    </row>
    <row r="1800" spans="1:2" x14ac:dyDescent="0.25">
      <c r="A1800">
        <f ca="1">33536.0160564266*(RANDBETWEEN(2890,3282))</f>
        <v>99937327.848151237</v>
      </c>
      <c r="B1800">
        <v>224619743.31834394</v>
      </c>
    </row>
    <row r="1801" spans="1:2" x14ac:dyDescent="0.25">
      <c r="A1801">
        <f ca="1">35831.5197904995*(RANDBETWEEN(2890,3282))</f>
        <v>106527108.33715488</v>
      </c>
      <c r="B1801">
        <v>237718313.53131858</v>
      </c>
    </row>
    <row r="1802" spans="1:2" x14ac:dyDescent="0.25">
      <c r="A1802">
        <f ca="1">30173.8543640603*(RANDBETWEEN(2890,3282))</f>
        <v>95047641.246790037</v>
      </c>
      <c r="B1802">
        <v>217227638.02380741</v>
      </c>
    </row>
    <row r="1803" spans="1:2" x14ac:dyDescent="0.25">
      <c r="A1803">
        <f ca="1">28453.7513126777*(RANDBETWEEN(2890,3282))</f>
        <v>92503145.517515197</v>
      </c>
      <c r="B1803">
        <v>220055212.22080225</v>
      </c>
    </row>
    <row r="1804" spans="1:2" x14ac:dyDescent="0.25">
      <c r="A1804">
        <f ca="1">27139.9553771399*(RANDBETWEEN(2890,3282))</f>
        <v>83238243.141688004</v>
      </c>
      <c r="B1804">
        <v>214596227.83182937</v>
      </c>
    </row>
    <row r="1805" spans="1:2" x14ac:dyDescent="0.25">
      <c r="A1805">
        <f ca="1">28812.5034715991*(RANDBETWEEN(2890,3282))</f>
        <v>93899948.813941777</v>
      </c>
      <c r="B1805">
        <v>259763719.14229059</v>
      </c>
    </row>
    <row r="1806" spans="1:2" x14ac:dyDescent="0.25">
      <c r="A1806">
        <f ca="1">29720.9418127666*(RANDBETWEEN(2890,3282))</f>
        <v>97157758.785934001</v>
      </c>
      <c r="B1806">
        <v>241188215.38353056</v>
      </c>
    </row>
    <row r="1807" spans="1:2" x14ac:dyDescent="0.25">
      <c r="A1807">
        <f ca="1">27934.8437387245*(RANDBETWEEN(2890,3282))</f>
        <v>80843437.779868707</v>
      </c>
      <c r="B1807">
        <v>216595233.67473662</v>
      </c>
    </row>
    <row r="1808" spans="1:2" x14ac:dyDescent="0.25">
      <c r="A1808">
        <f ca="1">28728.5176920262*(RANDBETWEEN(2890,3282))</f>
        <v>83657443.519180149</v>
      </c>
      <c r="B1808">
        <v>235196044.54295632</v>
      </c>
    </row>
    <row r="1809" spans="1:2" x14ac:dyDescent="0.25">
      <c r="A1809">
        <f ca="1">31058.7647660664*(RANDBETWEEN(2890,3282))</f>
        <v>89759830.173931912</v>
      </c>
      <c r="B1809">
        <v>263227681.79421782</v>
      </c>
    </row>
    <row r="1810" spans="1:2" x14ac:dyDescent="0.25">
      <c r="A1810">
        <f ca="1">27729.5693123396*(RANDBETWEEN(2890,3282))</f>
        <v>89261483.616421074</v>
      </c>
      <c r="B1810">
        <v>219178706.47392964</v>
      </c>
    </row>
    <row r="1811" spans="1:2" x14ac:dyDescent="0.25">
      <c r="A1811">
        <f ca="1">28579.9809774502*(RANDBETWEEN(2890,3282))</f>
        <v>88197821.296411425</v>
      </c>
      <c r="B1811">
        <v>234482937.19554579</v>
      </c>
    </row>
    <row r="1812" spans="1:2" x14ac:dyDescent="0.25">
      <c r="A1812">
        <f ca="1">27691.5842019169*(RANDBETWEEN(2890,3282))</f>
        <v>86314667.95737493</v>
      </c>
      <c r="B1812">
        <v>219073314.08522114</v>
      </c>
    </row>
    <row r="1813" spans="1:2" x14ac:dyDescent="0.25">
      <c r="A1813">
        <f ca="1">31859.7661128975*(RANDBETWEEN(2890,3282))</f>
        <v>99243171.441675782</v>
      </c>
      <c r="B1813">
        <v>259729587.36781502</v>
      </c>
    </row>
    <row r="1814" spans="1:2" x14ac:dyDescent="0.25">
      <c r="A1814">
        <f ca="1">30473.7023238875*(RANDBETWEEN(2890,3282))</f>
        <v>100014691.0269988</v>
      </c>
      <c r="B1814">
        <v>248980224.19996095</v>
      </c>
    </row>
    <row r="1815" spans="1:2" x14ac:dyDescent="0.25">
      <c r="A1815">
        <f ca="1">29463.6722886119*(RANDBETWEEN(2890,3282))</f>
        <v>88214234.832104057</v>
      </c>
      <c r="B1815">
        <v>256801483.75651693</v>
      </c>
    </row>
    <row r="1816" spans="1:2" x14ac:dyDescent="0.25">
      <c r="A1816">
        <f ca="1">30721.7386084573*(RANDBETWEEN(2890,3282))</f>
        <v>93394085.369710222</v>
      </c>
      <c r="B1816">
        <v>263691980.52703285</v>
      </c>
    </row>
    <row r="1817" spans="1:2" x14ac:dyDescent="0.25">
      <c r="A1817">
        <f ca="1">31427.7156814373*(RANDBETWEEN(2890,3282))</f>
        <v>101920081.95490123</v>
      </c>
      <c r="B1817">
        <v>235324100.78870708</v>
      </c>
    </row>
    <row r="1818" spans="1:2" x14ac:dyDescent="0.25">
      <c r="A1818">
        <f ca="1">25871.4263765243*(RANDBETWEEN(2890,3282))</f>
        <v>79735736.092447907</v>
      </c>
      <c r="B1818">
        <v>207668564.2753157</v>
      </c>
    </row>
    <row r="1819" spans="1:2" x14ac:dyDescent="0.25">
      <c r="A1819">
        <f ca="1">30548.1899442641*(RANDBETWEEN(2890,3282))</f>
        <v>94485551.497608766</v>
      </c>
      <c r="B1819">
        <v>267347196.5382688</v>
      </c>
    </row>
    <row r="1820" spans="1:2" x14ac:dyDescent="0.25">
      <c r="A1820">
        <f ca="1">34220.4404485089*(RANDBETWEEN(2890,3282))</f>
        <v>102763982.66687223</v>
      </c>
      <c r="B1820">
        <v>266804471.43742767</v>
      </c>
    </row>
    <row r="1821" spans="1:2" x14ac:dyDescent="0.25">
      <c r="A1821">
        <f ca="1">29077.1123341869*(RANDBETWEEN(2890,3282))</f>
        <v>93599224.603747725</v>
      </c>
      <c r="B1821">
        <v>246233267.580827</v>
      </c>
    </row>
    <row r="1822" spans="1:2" x14ac:dyDescent="0.25">
      <c r="A1822">
        <f ca="1">32047.0111577658*(RANDBETWEEN(2890,3282))</f>
        <v>102486341.68253496</v>
      </c>
      <c r="B1822">
        <v>243492842.03323689</v>
      </c>
    </row>
    <row r="1823" spans="1:2" x14ac:dyDescent="0.25">
      <c r="A1823">
        <f ca="1">26411.1099624488*(RANDBETWEEN(2890,3282))</f>
        <v>80474652.055581465</v>
      </c>
      <c r="B1823">
        <v>251357068.25202918</v>
      </c>
    </row>
    <row r="1824" spans="1:2" x14ac:dyDescent="0.25">
      <c r="A1824">
        <f ca="1">26525.922311051*(RANDBETWEEN(2890,3282))</f>
        <v>77137382.080536366</v>
      </c>
      <c r="B1824">
        <v>251727064.66513661</v>
      </c>
    </row>
    <row r="1825" spans="1:2" x14ac:dyDescent="0.25">
      <c r="A1825">
        <f ca="1">28150.1591705969*(RANDBETWEEN(2890,3282))</f>
        <v>91544317.622781232</v>
      </c>
      <c r="B1825">
        <v>231136187.25585935</v>
      </c>
    </row>
    <row r="1826" spans="1:2" x14ac:dyDescent="0.25">
      <c r="A1826">
        <f ca="1">29105.5100211489*(RANDBETWEEN(2890,3282))</f>
        <v>92264466.767041892</v>
      </c>
      <c r="B1826">
        <v>249355134.15252158</v>
      </c>
    </row>
    <row r="1827" spans="1:2" x14ac:dyDescent="0.25">
      <c r="A1827">
        <f ca="1">25982.1100276864*(RANDBETWEEN(2890,3282))</f>
        <v>81817664.477184445</v>
      </c>
      <c r="B1827">
        <v>233438003.73068237</v>
      </c>
    </row>
    <row r="1828" spans="1:2" x14ac:dyDescent="0.25">
      <c r="A1828">
        <f ca="1">32525.3061456647*(RANDBETWEEN(2890,3282))</f>
        <v>95917127.823565289</v>
      </c>
      <c r="B1828">
        <v>223428913.79924431</v>
      </c>
    </row>
    <row r="1829" spans="1:2" x14ac:dyDescent="0.25">
      <c r="A1829">
        <f ca="1">27654.4645093827*(RANDBETWEEN(2890,3282))</f>
        <v>86724400.701424167</v>
      </c>
      <c r="B1829">
        <v>241064804.13696742</v>
      </c>
    </row>
    <row r="1830" spans="1:2" x14ac:dyDescent="0.25">
      <c r="A1830">
        <f ca="1">27772.6026489344*(RANDBETWEEN(2890,3282))</f>
        <v>82762355.893824592</v>
      </c>
      <c r="B1830">
        <v>233207041.72769397</v>
      </c>
    </row>
    <row r="1831" spans="1:2" x14ac:dyDescent="0.25">
      <c r="A1831">
        <f ca="1">27990.2876904109*(RANDBETWEEN(2890,3282))</f>
        <v>81535708.042167008</v>
      </c>
      <c r="B1831">
        <v>210111098.95263076</v>
      </c>
    </row>
    <row r="1832" spans="1:2" x14ac:dyDescent="0.25">
      <c r="A1832">
        <f ca="1">27076.6570913605*(RANDBETWEEN(2890,3282))</f>
        <v>81527814.502086341</v>
      </c>
      <c r="B1832">
        <v>240267452.11195895</v>
      </c>
    </row>
    <row r="1833" spans="1:2" x14ac:dyDescent="0.25">
      <c r="A1833">
        <f ca="1">29063.2766774174*(RANDBETWEEN(2890,3282))</f>
        <v>89049879.739606991</v>
      </c>
      <c r="B1833">
        <v>264566504.342087</v>
      </c>
    </row>
    <row r="1834" spans="1:2" x14ac:dyDescent="0.25">
      <c r="A1834">
        <f ca="1">31748.5219932972*(RANDBETWEEN(2890,3282))</f>
        <v>96293267.205670401</v>
      </c>
      <c r="B1834">
        <v>234580593.8031961</v>
      </c>
    </row>
    <row r="1835" spans="1:2" x14ac:dyDescent="0.25">
      <c r="A1835">
        <f ca="1">26511.643048015*(RANDBETWEEN(2890,3282))</f>
        <v>84969815.968888178</v>
      </c>
      <c r="B1835">
        <v>242587224.80012777</v>
      </c>
    </row>
    <row r="1836" spans="1:2" x14ac:dyDescent="0.25">
      <c r="A1836">
        <f ca="1">30778.8647291583*(RANDBETWEEN(2890,3282))</f>
        <v>95291365.201473981</v>
      </c>
      <c r="B1836">
        <v>222010911.62137985</v>
      </c>
    </row>
    <row r="1837" spans="1:2" x14ac:dyDescent="0.25">
      <c r="A1837">
        <f ca="1">32851.2331399015*(RANDBETWEEN(2890,3282))</f>
        <v>104893987.41570547</v>
      </c>
      <c r="B1837">
        <v>241366235.23713541</v>
      </c>
    </row>
    <row r="1838" spans="1:2" x14ac:dyDescent="0.25">
      <c r="A1838">
        <f ca="1">29357.4814926907*(RANDBETWEEN(2890,3282))</f>
        <v>95969606.999606013</v>
      </c>
      <c r="B1838">
        <v>224187986.87836722</v>
      </c>
    </row>
    <row r="1839" spans="1:2" x14ac:dyDescent="0.25">
      <c r="A1839">
        <f ca="1">30794.2623552935*(RANDBETWEEN(2890,3282))</f>
        <v>91951667.392906278</v>
      </c>
      <c r="B1839">
        <v>258588481.10054922</v>
      </c>
    </row>
    <row r="1840" spans="1:2" x14ac:dyDescent="0.25">
      <c r="A1840">
        <f ca="1">30948.9812499588*(RANDBETWEEN(2890,3282))</f>
        <v>94487239.756124079</v>
      </c>
      <c r="B1840">
        <v>256941924.73513222</v>
      </c>
    </row>
    <row r="1841" spans="1:2" x14ac:dyDescent="0.25">
      <c r="A1841">
        <f ca="1">25012.8795983465*(RANDBETWEEN(2890,3282))</f>
        <v>77765042.671259224</v>
      </c>
      <c r="B1841">
        <v>256358453.13854128</v>
      </c>
    </row>
    <row r="1842" spans="1:2" x14ac:dyDescent="0.25">
      <c r="A1842">
        <f ca="1">29203.879007421*(RANDBETWEEN(2890,3282))</f>
        <v>91816995.599331543</v>
      </c>
      <c r="B1842">
        <v>229201800.66405815</v>
      </c>
    </row>
    <row r="1843" spans="1:2" x14ac:dyDescent="0.25">
      <c r="A1843">
        <f ca="1">31885.0724511031*(RANDBETWEEN(2890,3282))</f>
        <v>102765588.50990531</v>
      </c>
      <c r="B1843">
        <v>218452835.63246644</v>
      </c>
    </row>
    <row r="1844" spans="1:2" x14ac:dyDescent="0.25">
      <c r="A1844">
        <f ca="1">27407.8157513513*(RANDBETWEEN(2890,3282))</f>
        <v>89322071.533653796</v>
      </c>
      <c r="B1844">
        <v>218224829.93131024</v>
      </c>
    </row>
    <row r="1845" spans="1:2" x14ac:dyDescent="0.25">
      <c r="A1845">
        <f ca="1">31024.3693339243*(RANDBETWEEN(2890,3282))</f>
        <v>97106276.01518321</v>
      </c>
      <c r="B1845">
        <v>258099731.99578342</v>
      </c>
    </row>
    <row r="1846" spans="1:2" x14ac:dyDescent="0.25">
      <c r="A1846">
        <f ca="1">32148.5253279772*(RANDBETWEEN(2890,3282))</f>
        <v>99403240.314105555</v>
      </c>
      <c r="B1846">
        <v>248601542.70013067</v>
      </c>
    </row>
    <row r="1847" spans="1:2" x14ac:dyDescent="0.25">
      <c r="A1847">
        <f ca="1">29579.5831924838*(RANDBETWEEN(2890,3282))</f>
        <v>86224485.006090373</v>
      </c>
      <c r="B1847">
        <v>262275099.65088302</v>
      </c>
    </row>
    <row r="1848" spans="1:2" x14ac:dyDescent="0.25">
      <c r="A1848">
        <f ca="1">27980.2699594307*(RANDBETWEEN(2890,3282))</f>
        <v>82653717.460158244</v>
      </c>
      <c r="B1848">
        <v>205144857.19221854</v>
      </c>
    </row>
    <row r="1849" spans="1:2" x14ac:dyDescent="0.25">
      <c r="A1849">
        <f ca="1">27551.889759495*(RANDBETWEEN(2890,3282))</f>
        <v>83950608.097181246</v>
      </c>
      <c r="B1849">
        <v>233856157.66353866</v>
      </c>
    </row>
    <row r="1850" spans="1:2" x14ac:dyDescent="0.25">
      <c r="A1850">
        <f ca="1">27921.6130292879*(RANDBETWEEN(2890,3282))</f>
        <v>84686252.317830086</v>
      </c>
      <c r="B1850">
        <v>223666054.290061</v>
      </c>
    </row>
    <row r="1851" spans="1:2" x14ac:dyDescent="0.25">
      <c r="A1851">
        <f ca="1">32421.7660704836*(RANDBETWEEN(2890,3282))</f>
        <v>104787147.93980296</v>
      </c>
      <c r="B1851">
        <v>257778769.77724868</v>
      </c>
    </row>
    <row r="1852" spans="1:2" x14ac:dyDescent="0.25">
      <c r="A1852">
        <f ca="1">32207.5290914947*(RANDBETWEEN(2890,3282))</f>
        <v>94045984.94716455</v>
      </c>
      <c r="B1852">
        <v>265499565.54667905</v>
      </c>
    </row>
    <row r="1853" spans="1:2" x14ac:dyDescent="0.25">
      <c r="A1853">
        <f ca="1">31490.540158624*(RANDBETWEEN(2890,3282))</f>
        <v>95573789.381423727</v>
      </c>
      <c r="B1853">
        <v>224025939.58235589</v>
      </c>
    </row>
    <row r="1854" spans="1:2" x14ac:dyDescent="0.25">
      <c r="A1854">
        <f ca="1">28913.4312427921*(RANDBETWEEN(2890,3282))</f>
        <v>91366442.72722289</v>
      </c>
      <c r="B1854">
        <v>229805324.50386709</v>
      </c>
    </row>
    <row r="1855" spans="1:2" x14ac:dyDescent="0.25">
      <c r="A1855">
        <f ca="1">29798.4961835453*(RANDBETWEEN(2890,3282))</f>
        <v>87607578.779623196</v>
      </c>
      <c r="B1855">
        <v>262860374.38619608</v>
      </c>
    </row>
    <row r="1856" spans="1:2" x14ac:dyDescent="0.25">
      <c r="A1856">
        <f ca="1">28035.1542968713*(RANDBETWEEN(2890,3282))</f>
        <v>86320240.080066741</v>
      </c>
      <c r="B1856">
        <v>218098952.768742</v>
      </c>
    </row>
    <row r="1857" spans="1:2" x14ac:dyDescent="0.25">
      <c r="A1857">
        <f ca="1">32408.7265587206*(RANDBETWEEN(2890,3282))</f>
        <v>106235805.65948616</v>
      </c>
      <c r="B1857">
        <v>217470575.36261904</v>
      </c>
    </row>
    <row r="1858" spans="1:2" x14ac:dyDescent="0.25">
      <c r="A1858">
        <f ca="1">27548.6855630155*(RANDBETWEEN(2890,3282))</f>
        <v>85841704.214356378</v>
      </c>
      <c r="B1858">
        <v>215637845.55540329</v>
      </c>
    </row>
    <row r="1859" spans="1:2" x14ac:dyDescent="0.25">
      <c r="A1859">
        <f ca="1">30535.3759393784*(RANDBETWEEN(2890,3282))</f>
        <v>96705535.600011528</v>
      </c>
      <c r="B1859">
        <v>209923103.84167528</v>
      </c>
    </row>
    <row r="1860" spans="1:2" x14ac:dyDescent="0.25">
      <c r="A1860">
        <f ca="1">30775.2233189201*(RANDBETWEEN(2890,3282))</f>
        <v>93248926.656327754</v>
      </c>
      <c r="B1860">
        <v>256895864.86916968</v>
      </c>
    </row>
    <row r="1861" spans="1:2" x14ac:dyDescent="0.25">
      <c r="A1861">
        <f ca="1">26874.3961310141*(RANDBETWEEN(2890,3282))</f>
        <v>82477521.726082191</v>
      </c>
      <c r="B1861">
        <v>260468742.8109585</v>
      </c>
    </row>
    <row r="1862" spans="1:2" x14ac:dyDescent="0.25">
      <c r="A1862">
        <f ca="1">29047.5825482136*(RANDBETWEEN(2890,3282))</f>
        <v>84644655.545494497</v>
      </c>
      <c r="B1862">
        <v>203979645.26756915</v>
      </c>
    </row>
    <row r="1863" spans="1:2" x14ac:dyDescent="0.25">
      <c r="A1863">
        <f ca="1">31509.3029352287*(RANDBETWEEN(2890,3282))</f>
        <v>98151478.643237278</v>
      </c>
      <c r="B1863">
        <v>265035724.80400127</v>
      </c>
    </row>
    <row r="1864" spans="1:2" x14ac:dyDescent="0.25">
      <c r="A1864">
        <f ca="1">28959.3130474089*(RANDBETWEEN(2890,3282))</f>
        <v>85806444.559472606</v>
      </c>
      <c r="B1864">
        <v>220695410.76352292</v>
      </c>
    </row>
    <row r="1865" spans="1:2" x14ac:dyDescent="0.25">
      <c r="A1865">
        <f ca="1">28268.6436108124*(RANDBETWEEN(2890,3282))</f>
        <v>84042677.454945192</v>
      </c>
      <c r="B1865">
        <v>234496595.47510961</v>
      </c>
    </row>
    <row r="1866" spans="1:2" x14ac:dyDescent="0.25">
      <c r="A1866">
        <f ca="1">30953.0953423754*(RANDBETWEEN(2890,3282))</f>
        <v>98307030.807384208</v>
      </c>
      <c r="B1866">
        <v>237333965.03029877</v>
      </c>
    </row>
    <row r="1867" spans="1:2" x14ac:dyDescent="0.25">
      <c r="A1867">
        <f ca="1">25741.3228384362*(RANDBETWEEN(2890,3282))</f>
        <v>83401885.996533439</v>
      </c>
      <c r="B1867">
        <v>254783143.03002459</v>
      </c>
    </row>
    <row r="1868" spans="1:2" x14ac:dyDescent="0.25">
      <c r="A1868">
        <f ca="1">31800.6394925466*(RANDBETWEEN(2890,3282))</f>
        <v>101730245.73665667</v>
      </c>
      <c r="B1868">
        <v>260472024.47466061</v>
      </c>
    </row>
    <row r="1869" spans="1:2" x14ac:dyDescent="0.25">
      <c r="A1869">
        <f ca="1">29279.8452996617*(RANDBETWEEN(2890,3282))</f>
        <v>90884639.810149923</v>
      </c>
      <c r="B1869">
        <v>223051343.35758334</v>
      </c>
    </row>
    <row r="1870" spans="1:2" x14ac:dyDescent="0.25">
      <c r="A1870">
        <f ca="1">27232.6617874235*(RANDBETWEEN(2890,3282))</f>
        <v>85347162.041785195</v>
      </c>
      <c r="B1870">
        <v>239150220.85077384</v>
      </c>
    </row>
    <row r="1871" spans="1:2" x14ac:dyDescent="0.25">
      <c r="A1871">
        <f ca="1">27407.1123088636*(RANDBETWEEN(2890,3282))</f>
        <v>86250182.43599382</v>
      </c>
      <c r="B1871">
        <v>267356826.01780704</v>
      </c>
    </row>
    <row r="1872" spans="1:2" x14ac:dyDescent="0.25">
      <c r="A1872">
        <f ca="1">27353.5897999737*(RANDBETWEEN(2890,3282))</f>
        <v>82936084.273520127</v>
      </c>
      <c r="B1872">
        <v>256891706.18563437</v>
      </c>
    </row>
    <row r="1873" spans="1:2" x14ac:dyDescent="0.25">
      <c r="A1873">
        <f ca="1">33164.9139131064*(RANDBETWEEN(2890,3282))</f>
        <v>98964103.116709605</v>
      </c>
      <c r="B1873">
        <v>235338700.58273214</v>
      </c>
    </row>
    <row r="1874" spans="1:2" x14ac:dyDescent="0.25">
      <c r="A1874">
        <f ca="1">33957.9288274191*(RANDBETWEEN(2890,3282))</f>
        <v>103401893.27949125</v>
      </c>
      <c r="B1874">
        <v>208316974.1534884</v>
      </c>
    </row>
    <row r="1875" spans="1:2" x14ac:dyDescent="0.25">
      <c r="A1875">
        <f ca="1">31332.8610008991*(RANDBETWEEN(2890,3282))</f>
        <v>96693209.048774585</v>
      </c>
      <c r="B1875">
        <v>231208356.80844128</v>
      </c>
    </row>
    <row r="1876" spans="1:2" x14ac:dyDescent="0.25">
      <c r="A1876">
        <f ca="1">30012.3911762167*(RANDBETWEEN(2890,3282))</f>
        <v>89917123.96394524</v>
      </c>
      <c r="B1876">
        <v>214186862.25430548</v>
      </c>
    </row>
    <row r="1877" spans="1:2" x14ac:dyDescent="0.25">
      <c r="A1877">
        <f ca="1">30172.2311457273*(RANDBETWEEN(2890,3282))</f>
        <v>91723582.683010891</v>
      </c>
      <c r="B1877">
        <v>218940389.06258875</v>
      </c>
    </row>
    <row r="1878" spans="1:2" x14ac:dyDescent="0.25">
      <c r="A1878">
        <f ca="1">29948.790716177*(RANDBETWEEN(2890,3282))</f>
        <v>97034081.920413375</v>
      </c>
      <c r="B1878">
        <v>232928135.48653728</v>
      </c>
    </row>
    <row r="1879" spans="1:2" x14ac:dyDescent="0.25">
      <c r="A1879">
        <f ca="1">29043.3026172786*(RANDBETWEEN(2890,3282))</f>
        <v>94855426.348031983</v>
      </c>
      <c r="B1879">
        <v>222132193.13147062</v>
      </c>
    </row>
    <row r="1880" spans="1:2" x14ac:dyDescent="0.25">
      <c r="A1880">
        <f ca="1">28266.6307144138*(RANDBETWEEN(2890,3282))</f>
        <v>86665489.770392567</v>
      </c>
      <c r="B1880">
        <v>258270357.78630769</v>
      </c>
    </row>
    <row r="1881" spans="1:2" x14ac:dyDescent="0.25">
      <c r="A1881">
        <f ca="1">31161.4300823081*(RANDBETWEEN(2890,3282))</f>
        <v>98563603.350340649</v>
      </c>
      <c r="B1881">
        <v>262460762.3498674</v>
      </c>
    </row>
    <row r="1882" spans="1:2" x14ac:dyDescent="0.25">
      <c r="A1882">
        <f ca="1">28207.8473489436*(RANDBETWEEN(2890,3282))</f>
        <v>84679957.741528779</v>
      </c>
      <c r="B1882">
        <v>207661630.4056195</v>
      </c>
    </row>
    <row r="1883" spans="1:2" x14ac:dyDescent="0.25">
      <c r="A1883">
        <f ca="1">30072.7060780696*(RANDBETWEEN(2890,3282))</f>
        <v>96653677.334915668</v>
      </c>
      <c r="B1883">
        <v>213806315.13273308</v>
      </c>
    </row>
    <row r="1884" spans="1:2" x14ac:dyDescent="0.25">
      <c r="A1884">
        <f ca="1">27992.980915117*(RANDBETWEEN(2890,3282))</f>
        <v>85434577.752937138</v>
      </c>
      <c r="B1884">
        <v>241253421.65385589</v>
      </c>
    </row>
    <row r="1885" spans="1:2" x14ac:dyDescent="0.25">
      <c r="A1885">
        <f ca="1">34657.3951250996*(RANDBETWEEN(2890,3282))</f>
        <v>113260367.2688255</v>
      </c>
      <c r="B1885">
        <v>262102025.52135828</v>
      </c>
    </row>
    <row r="1886" spans="1:2" x14ac:dyDescent="0.25">
      <c r="A1886">
        <f ca="1">27714.0112947032*(RANDBETWEEN(2890,3282))</f>
        <v>82837179.759867951</v>
      </c>
      <c r="B1886">
        <v>243564869.8832528</v>
      </c>
    </row>
    <row r="1887" spans="1:2" x14ac:dyDescent="0.25">
      <c r="A1887">
        <f ca="1">29477.9484990223*(RANDBETWEEN(2890,3282))</f>
        <v>92472324.441433012</v>
      </c>
      <c r="B1887">
        <v>210514232.22643137</v>
      </c>
    </row>
    <row r="1888" spans="1:2" x14ac:dyDescent="0.25">
      <c r="A1888">
        <f ca="1">26207.1155508219*(RANDBETWEEN(2890,3282))</f>
        <v>79093074.732380375</v>
      </c>
      <c r="B1888">
        <v>211543244.6152716</v>
      </c>
    </row>
    <row r="1889" spans="1:2" x14ac:dyDescent="0.25">
      <c r="A1889">
        <f ca="1">31709.6184924886*(RANDBETWEEN(2890,3282))</f>
        <v>102453777.3492308</v>
      </c>
      <c r="B1889">
        <v>221134287.72980326</v>
      </c>
    </row>
    <row r="1890" spans="1:2" x14ac:dyDescent="0.25">
      <c r="A1890">
        <f ca="1">34891.110833921*(RANDBETWEEN(2890,3282))</f>
        <v>100905092.53169964</v>
      </c>
      <c r="B1890">
        <v>218549654.31837165</v>
      </c>
    </row>
    <row r="1891" spans="1:2" x14ac:dyDescent="0.25">
      <c r="A1891">
        <f ca="1">34056.3782485196*(RANDBETWEEN(2890,3282))</f>
        <v>104689306.7359492</v>
      </c>
      <c r="B1891">
        <v>257863221.83310395</v>
      </c>
    </row>
    <row r="1892" spans="1:2" x14ac:dyDescent="0.25">
      <c r="A1892">
        <f ca="1">29255.9049291007*(RANDBETWEEN(2890,3282))</f>
        <v>92302380.051312849</v>
      </c>
      <c r="B1892">
        <v>225300795.81387618</v>
      </c>
    </row>
    <row r="1893" spans="1:2" x14ac:dyDescent="0.25">
      <c r="A1893">
        <f ca="1">32560.5246449742*(RANDBETWEEN(2890,3282))</f>
        <v>99700326.462910905</v>
      </c>
      <c r="B1893">
        <v>266117239.3906486</v>
      </c>
    </row>
    <row r="1894" spans="1:2" x14ac:dyDescent="0.25">
      <c r="A1894">
        <f ca="1">29767.6121905952*(RANDBETWEEN(2890,3282))</f>
        <v>90463773.447218731</v>
      </c>
      <c r="B1894">
        <v>244537776.25573653</v>
      </c>
    </row>
    <row r="1895" spans="1:2" x14ac:dyDescent="0.25">
      <c r="A1895">
        <f ca="1">29770.0018930588*(RANDBETWEEN(2890,3282))</f>
        <v>93001485.913915634</v>
      </c>
      <c r="B1895">
        <v>264922405.11276516</v>
      </c>
    </row>
    <row r="1896" spans="1:2" x14ac:dyDescent="0.25">
      <c r="A1896">
        <f ca="1">31055.5242922821*(RANDBETWEEN(2890,3282))</f>
        <v>95309404.053013712</v>
      </c>
      <c r="B1896">
        <v>220664110.595844</v>
      </c>
    </row>
    <row r="1897" spans="1:2" x14ac:dyDescent="0.25">
      <c r="A1897">
        <f ca="1">30480.867929409*(RANDBETWEEN(2890,3282))</f>
        <v>90863467.297568336</v>
      </c>
      <c r="B1897">
        <v>247908112.12424225</v>
      </c>
    </row>
    <row r="1898" spans="1:2" x14ac:dyDescent="0.25">
      <c r="A1898">
        <f ca="1">31043.6101273102*(RANDBETWEEN(2890,3282))</f>
        <v>92447870.9591299</v>
      </c>
      <c r="B1898">
        <v>224304613.73146388</v>
      </c>
    </row>
    <row r="1899" spans="1:2" x14ac:dyDescent="0.25">
      <c r="A1899">
        <f ca="1">30780.1021710513*(RANDBETWEEN(2890,3282))</f>
        <v>92124845.79795666</v>
      </c>
      <c r="B1899">
        <v>237671717.22573778</v>
      </c>
    </row>
    <row r="1900" spans="1:2" x14ac:dyDescent="0.25">
      <c r="A1900">
        <f ca="1">29957.2054054391*(RANDBETWEEN(2890,3282))</f>
        <v>90051359.448749781</v>
      </c>
      <c r="B1900">
        <v>233732623.15292171</v>
      </c>
    </row>
    <row r="1901" spans="1:2" x14ac:dyDescent="0.25">
      <c r="A1901">
        <f ca="1">30027.7667336122*(RANDBETWEEN(2890,3282))</f>
        <v>96749464.415698618</v>
      </c>
      <c r="B1901">
        <v>207545539.53164902</v>
      </c>
    </row>
    <row r="1902" spans="1:2" x14ac:dyDescent="0.25">
      <c r="A1902">
        <f ca="1">26275.7747145981*(RANDBETWEEN(2890,3282))</f>
        <v>83478136.268278077</v>
      </c>
      <c r="B1902">
        <v>230906873.119892</v>
      </c>
    </row>
    <row r="1903" spans="1:2" x14ac:dyDescent="0.25">
      <c r="A1903">
        <f ca="1">30075.4271097236*(RANDBETWEEN(2890,3282))</f>
        <v>86978135.201320514</v>
      </c>
      <c r="B1903">
        <v>225720965.67350027</v>
      </c>
    </row>
    <row r="1904" spans="1:2" x14ac:dyDescent="0.25">
      <c r="A1904">
        <f ca="1">27890.9155446631*(RANDBETWEEN(2890,3282))</f>
        <v>89641402.560547039</v>
      </c>
      <c r="B1904">
        <v>263958655.8957485</v>
      </c>
    </row>
    <row r="1905" spans="1:2" x14ac:dyDescent="0.25">
      <c r="A1905">
        <f ca="1">28744.4555669215*(RANDBETWEEN(2890,3282))</f>
        <v>86434577.889733046</v>
      </c>
      <c r="B1905">
        <v>218504992.45283517</v>
      </c>
    </row>
    <row r="1906" spans="1:2" x14ac:dyDescent="0.25">
      <c r="A1906">
        <f ca="1">28085.7423738716*(RANDBETWEEN(2890,3282))</f>
        <v>91671863.108316794</v>
      </c>
      <c r="B1906">
        <v>231442284.70073718</v>
      </c>
    </row>
    <row r="1907" spans="1:2" x14ac:dyDescent="0.25">
      <c r="A1907">
        <f ca="1">30813.4793962887*(RANDBETWEEN(2890,3282))</f>
        <v>92563692.106451228</v>
      </c>
      <c r="B1907">
        <v>254254852.43943658</v>
      </c>
    </row>
    <row r="1908" spans="1:2" x14ac:dyDescent="0.25">
      <c r="A1908">
        <f ca="1">32696.948657935*(RANDBETWEEN(2890,3282))</f>
        <v>98875572.741595432</v>
      </c>
      <c r="B1908">
        <v>215853420.88227972</v>
      </c>
    </row>
    <row r="1909" spans="1:2" x14ac:dyDescent="0.25">
      <c r="A1909">
        <f ca="1">28659.4182559032*(RANDBETWEEN(2890,3282))</f>
        <v>92054051.437960997</v>
      </c>
      <c r="B1909">
        <v>226183633.44497064</v>
      </c>
    </row>
    <row r="1910" spans="1:2" x14ac:dyDescent="0.25">
      <c r="A1910">
        <f ca="1">32787.3166641808*(RANDBETWEEN(2890,3282))</f>
        <v>104919413.32537843</v>
      </c>
      <c r="B1910">
        <v>239590564.84242836</v>
      </c>
    </row>
    <row r="1911" spans="1:2" x14ac:dyDescent="0.25">
      <c r="A1911">
        <f ca="1">33007.9282170389*(RANDBETWEEN(2890,3282))</f>
        <v>107374790.49002752</v>
      </c>
      <c r="B1911">
        <v>266062213.92451</v>
      </c>
    </row>
    <row r="1912" spans="1:2" x14ac:dyDescent="0.25">
      <c r="A1912">
        <f ca="1">29698.8415201917*(RANDBETWEEN(2890,3282))</f>
        <v>93581049.630123943</v>
      </c>
      <c r="B1912">
        <v>219776655.70362651</v>
      </c>
    </row>
    <row r="1913" spans="1:2" x14ac:dyDescent="0.25">
      <c r="A1913">
        <f ca="1">31972.9888207879*(RANDBETWEEN(2890,3282))</f>
        <v>92945478.502030551</v>
      </c>
      <c r="B1913">
        <v>245736126.80973694</v>
      </c>
    </row>
    <row r="1914" spans="1:2" x14ac:dyDescent="0.25">
      <c r="A1914">
        <f ca="1">27524.550040341*(RANDBETWEEN(2890,3282))</f>
        <v>82298404.620619491</v>
      </c>
      <c r="B1914">
        <v>240127507.29613459</v>
      </c>
    </row>
    <row r="1915" spans="1:2" x14ac:dyDescent="0.25">
      <c r="A1915">
        <f ca="1">27746.2232636587*(RANDBETWEEN(2890,3282))</f>
        <v>82711491.548966527</v>
      </c>
      <c r="B1915">
        <v>204334755.54497606</v>
      </c>
    </row>
    <row r="1916" spans="1:2" x14ac:dyDescent="0.25">
      <c r="A1916">
        <f ca="1">32119.2483146875*(RANDBETWEEN(2890,3282))</f>
        <v>101464705.42609796</v>
      </c>
      <c r="B1916">
        <v>240893874.89814049</v>
      </c>
    </row>
    <row r="1917" spans="1:2" x14ac:dyDescent="0.25">
      <c r="A1917">
        <f ca="1">27057.2554620335*(RANDBETWEEN(2890,3282))</f>
        <v>83228117.801214918</v>
      </c>
      <c r="B1917">
        <v>219542551.87999523</v>
      </c>
    </row>
    <row r="1918" spans="1:2" x14ac:dyDescent="0.25">
      <c r="A1918">
        <f ca="1">33951.2675992156*(RANDBETWEEN(2890,3282))</f>
        <v>100971069.8400673</v>
      </c>
      <c r="B1918">
        <v>265349276.49383163</v>
      </c>
    </row>
    <row r="1919" spans="1:2" x14ac:dyDescent="0.25">
      <c r="A1919">
        <f ca="1">27939.0310052297*(RANDBETWEEN(2890,3282))</f>
        <v>88203520.883510187</v>
      </c>
      <c r="B1919">
        <v>233675681.33779287</v>
      </c>
    </row>
    <row r="1920" spans="1:2" x14ac:dyDescent="0.25">
      <c r="A1920">
        <f ca="1">34253.3651518347*(RANDBETWEEN(2890,3282))</f>
        <v>98992225.288802415</v>
      </c>
      <c r="B1920">
        <v>233218191.5495584</v>
      </c>
    </row>
    <row r="1921" spans="1:2" x14ac:dyDescent="0.25">
      <c r="A1921">
        <f ca="1">32609.5936866848*(RANDBETWEEN(2890,3282))</f>
        <v>95676547.876733214</v>
      </c>
      <c r="B1921">
        <v>209497568.86868054</v>
      </c>
    </row>
    <row r="1922" spans="1:2" x14ac:dyDescent="0.25">
      <c r="A1922">
        <f ca="1">28168.2902693543*(RANDBETWEEN(2890,3282))</f>
        <v>88363926.574964568</v>
      </c>
      <c r="B1922">
        <v>214580640.04270589</v>
      </c>
    </row>
    <row r="1923" spans="1:2" x14ac:dyDescent="0.25">
      <c r="A1923">
        <f ca="1">29622.4824749715*(RANDBETWEEN(2890,3282))</f>
        <v>95621373.429207906</v>
      </c>
      <c r="B1923">
        <v>242909846.53799471</v>
      </c>
    </row>
    <row r="1924" spans="1:2" x14ac:dyDescent="0.25">
      <c r="A1924">
        <f ca="1">28468.6554292762*(RANDBETWEEN(2890,3282))</f>
        <v>84067939.482652664</v>
      </c>
      <c r="B1924">
        <v>212433027.59727156</v>
      </c>
    </row>
    <row r="1925" spans="1:2" x14ac:dyDescent="0.25">
      <c r="A1925">
        <f ca="1">27460.4740607898*(RANDBETWEEN(2890,3282))</f>
        <v>81996975.545518473</v>
      </c>
      <c r="B1925">
        <v>250201621.52275735</v>
      </c>
    </row>
    <row r="1926" spans="1:2" x14ac:dyDescent="0.25">
      <c r="A1926">
        <f ca="1">30689.378141726*(RANDBETWEEN(2890,3282))</f>
        <v>94523284.676515996</v>
      </c>
      <c r="B1926">
        <v>252777170.91369712</v>
      </c>
    </row>
    <row r="1927" spans="1:2" x14ac:dyDescent="0.25">
      <c r="A1927">
        <f ca="1">28274.9765069408*(RANDBETWEEN(2890,3282))</f>
        <v>81856056.98759374</v>
      </c>
      <c r="B1927">
        <v>223182122.23729286</v>
      </c>
    </row>
    <row r="1928" spans="1:2" x14ac:dyDescent="0.25">
      <c r="A1928">
        <f ca="1">32379.5970807335*(RANDBETWEEN(2890,3282))</f>
        <v>94969358.237791464</v>
      </c>
      <c r="B1928">
        <v>223808828.08384329</v>
      </c>
    </row>
    <row r="1929" spans="1:2" x14ac:dyDescent="0.25">
      <c r="A1929">
        <f ca="1">32948.862602116*(RANDBETWEEN(2890,3282))</f>
        <v>100559928.66165803</v>
      </c>
      <c r="B1929">
        <v>245161973.72850826</v>
      </c>
    </row>
    <row r="1930" spans="1:2" x14ac:dyDescent="0.25">
      <c r="A1930">
        <f ca="1">25801.4080390187*(RANDBETWEEN(2890,3282))</f>
        <v>77172011.444704995</v>
      </c>
      <c r="B1930">
        <v>222367316.84894219</v>
      </c>
    </row>
    <row r="1931" spans="1:2" x14ac:dyDescent="0.25">
      <c r="A1931">
        <f ca="1">26831.2154179809*(RANDBETWEEN(2890,3282))</f>
        <v>81083932.993138164</v>
      </c>
      <c r="B1931">
        <v>215148567.79980934</v>
      </c>
    </row>
    <row r="1932" spans="1:2" x14ac:dyDescent="0.25">
      <c r="A1932">
        <f ca="1">29474.6169990999*(RANDBETWEEN(2890,3282))</f>
        <v>89367038.741270781</v>
      </c>
      <c r="B1932">
        <v>219550521.93176103</v>
      </c>
    </row>
    <row r="1933" spans="1:2" x14ac:dyDescent="0.25">
      <c r="A1933">
        <f ca="1">31337.7713896237*(RANDBETWEEN(2890,3282))</f>
        <v>99591437.47622402</v>
      </c>
      <c r="B1933">
        <v>264962698.16968846</v>
      </c>
    </row>
    <row r="1934" spans="1:2" x14ac:dyDescent="0.25">
      <c r="A1934">
        <f ca="1">32906.1802515324*(RANDBETWEEN(2890,3282))</f>
        <v>105924994.22968277</v>
      </c>
      <c r="B1934">
        <v>242096063.20272022</v>
      </c>
    </row>
    <row r="1935" spans="1:2" x14ac:dyDescent="0.25">
      <c r="A1935">
        <f ca="1">31467.7998282412*(RANDBETWEEN(2890,3282))</f>
        <v>102459156.24075329</v>
      </c>
      <c r="B1935">
        <v>215345233.36501896</v>
      </c>
    </row>
    <row r="1936" spans="1:2" x14ac:dyDescent="0.25">
      <c r="A1936">
        <f ca="1">30434.0843568744*(RANDBETWEEN(2890,3282))</f>
        <v>90815307.720913261</v>
      </c>
      <c r="B1936">
        <v>231724925.99989378</v>
      </c>
    </row>
    <row r="1937" spans="1:2" x14ac:dyDescent="0.25">
      <c r="A1937">
        <f ca="1">28372.7566607606*(RANDBETWEEN(2890,3282))</f>
        <v>84210341.769137383</v>
      </c>
      <c r="B1937">
        <v>237031495.32798731</v>
      </c>
    </row>
    <row r="1938" spans="1:2" x14ac:dyDescent="0.25">
      <c r="A1938">
        <f ca="1">26496.8560995267*(RANDBETWEEN(2890,3282))</f>
        <v>82352228.757328883</v>
      </c>
      <c r="B1938">
        <v>210350962.31081218</v>
      </c>
    </row>
    <row r="1939" spans="1:2" x14ac:dyDescent="0.25">
      <c r="A1939">
        <f ca="1">30727.620122889*(RANDBETWEEN(2890,3282))</f>
        <v>99158030.136562988</v>
      </c>
      <c r="B1939">
        <v>265734185.90153337</v>
      </c>
    </row>
    <row r="1940" spans="1:2" x14ac:dyDescent="0.25">
      <c r="A1940">
        <f ca="1">28942.9534375217*(RANDBETWEEN(2890,3282))</f>
        <v>89867870.423504785</v>
      </c>
      <c r="B1940">
        <v>207912483.64457971</v>
      </c>
    </row>
    <row r="1941" spans="1:2" x14ac:dyDescent="0.25">
      <c r="A1941">
        <f ca="1">31491.3012073811*(RANDBETWEEN(2890,3282))</f>
        <v>94914781.839046627</v>
      </c>
      <c r="B1941">
        <v>255887662.42941284</v>
      </c>
    </row>
    <row r="1942" spans="1:2" x14ac:dyDescent="0.25">
      <c r="A1942">
        <f ca="1">32059.5936898151*(RANDBETWEEN(2890,3282))</f>
        <v>94800218.540783226</v>
      </c>
      <c r="B1942">
        <v>232546836.43396404</v>
      </c>
    </row>
    <row r="1943" spans="1:2" x14ac:dyDescent="0.25">
      <c r="A1943">
        <f ca="1">32088.084809352*(RANDBETWEEN(2890,3282))</f>
        <v>95879197.410343751</v>
      </c>
      <c r="B1943">
        <v>258499563.50239265</v>
      </c>
    </row>
    <row r="1944" spans="1:2" x14ac:dyDescent="0.25">
      <c r="A1944">
        <f ca="1">31921.3730883365*(RANDBETWEEN(2890,3282))</f>
        <v>92571981.956175745</v>
      </c>
      <c r="B1944">
        <v>245024608.74191427</v>
      </c>
    </row>
    <row r="1945" spans="1:2" x14ac:dyDescent="0.25">
      <c r="A1945">
        <f ca="1">31092.5850593339*(RANDBETWEEN(2890,3282))</f>
        <v>92904644.157289594</v>
      </c>
      <c r="B1945">
        <v>220031833.37622333</v>
      </c>
    </row>
    <row r="1946" spans="1:2" x14ac:dyDescent="0.25">
      <c r="A1946">
        <f ca="1">28068.3747361708*(RANDBETWEEN(2890,3282))</f>
        <v>88443448.79367426</v>
      </c>
      <c r="B1946">
        <v>257460879.87486637</v>
      </c>
    </row>
    <row r="1947" spans="1:2" x14ac:dyDescent="0.25">
      <c r="A1947">
        <f ca="1">28271.7070281029*(RANDBETWEEN(2890,3282))</f>
        <v>89084148.845552236</v>
      </c>
      <c r="B1947">
        <v>263092321.20722187</v>
      </c>
    </row>
    <row r="1948" spans="1:2" x14ac:dyDescent="0.25">
      <c r="A1948">
        <f ca="1">29903.0991573534*(RANDBETWEEN(2890,3282))</f>
        <v>97364490.856342509</v>
      </c>
      <c r="B1948">
        <v>237741365.02458659</v>
      </c>
    </row>
    <row r="1949" spans="1:2" x14ac:dyDescent="0.25">
      <c r="A1949">
        <f ca="1">31450.429985018*(RANDBETWEEN(2890,3282))</f>
        <v>96238315.754155174</v>
      </c>
      <c r="B1949">
        <v>215489455.93500313</v>
      </c>
    </row>
    <row r="1950" spans="1:2" x14ac:dyDescent="0.25">
      <c r="A1950">
        <f ca="1">29855.3285121932*(RANDBETWEEN(2890,3282))</f>
        <v>95208642.625384256</v>
      </c>
      <c r="B1950">
        <v>263958212.43674305</v>
      </c>
    </row>
    <row r="1951" spans="1:2" x14ac:dyDescent="0.25">
      <c r="A1951">
        <f ca="1">27559.800229309*(RANDBETWEEN(2890,3282))</f>
        <v>89128393.941585198</v>
      </c>
      <c r="B1951">
        <v>254387487.67934334</v>
      </c>
    </row>
    <row r="1952" spans="1:2" x14ac:dyDescent="0.25">
      <c r="A1952">
        <f ca="1">31647.2980702869*(RANDBETWEEN(2890,3282))</f>
        <v>99815578.113685012</v>
      </c>
      <c r="B1952">
        <v>231011980.32352373</v>
      </c>
    </row>
    <row r="1953" spans="1:2" x14ac:dyDescent="0.25">
      <c r="A1953">
        <f ca="1">29978.8064607729*(RANDBETWEEN(2890,3282))</f>
        <v>88137690.994672403</v>
      </c>
      <c r="B1953">
        <v>239134982.26259902</v>
      </c>
    </row>
    <row r="1954" spans="1:2" x14ac:dyDescent="0.25">
      <c r="A1954">
        <f ca="1">32208.8061838377*(RANDBETWEEN(2890,3282))</f>
        <v>97206177.062822178</v>
      </c>
      <c r="B1954">
        <v>241670225.30052495</v>
      </c>
    </row>
    <row r="1955" spans="1:2" x14ac:dyDescent="0.25">
      <c r="A1955">
        <f ca="1">29435.5830840478*(RANDBETWEEN(2890,3282))</f>
        <v>88247878.085975185</v>
      </c>
      <c r="B1955">
        <v>263215245.8557443</v>
      </c>
    </row>
    <row r="1956" spans="1:2" x14ac:dyDescent="0.25">
      <c r="A1956">
        <f ca="1">29144.0685299533*(RANDBETWEEN(2890,3282))</f>
        <v>87140764.904560432</v>
      </c>
      <c r="B1956">
        <v>249190628.51670778</v>
      </c>
    </row>
    <row r="1957" spans="1:2" x14ac:dyDescent="0.25">
      <c r="A1957">
        <f ca="1">33727.1547876541*(RANDBETWEEN(2890,3282))</f>
        <v>110186614.691266</v>
      </c>
      <c r="B1957">
        <v>210248043.52140892</v>
      </c>
    </row>
    <row r="1958" spans="1:2" x14ac:dyDescent="0.25">
      <c r="A1958">
        <f ca="1">27313.7813215998*(RANDBETWEEN(2890,3282))</f>
        <v>87103648.634581804</v>
      </c>
      <c r="B1958">
        <v>248640440.02782172</v>
      </c>
    </row>
    <row r="1959" spans="1:2" x14ac:dyDescent="0.25">
      <c r="A1959">
        <f ca="1">32459.3020760931*(RANDBETWEEN(2890,3282))</f>
        <v>105297975.93484603</v>
      </c>
      <c r="B1959">
        <v>252977854.25340897</v>
      </c>
    </row>
    <row r="1960" spans="1:2" x14ac:dyDescent="0.25">
      <c r="A1960">
        <f ca="1">25971.6768876717*(RANDBETWEEN(2890,3282))</f>
        <v>79057784.446072683</v>
      </c>
      <c r="B1960">
        <v>218862234.88618851</v>
      </c>
    </row>
    <row r="1961" spans="1:2" x14ac:dyDescent="0.25">
      <c r="A1961">
        <f ca="1">31603.5010298759*(RANDBETWEEN(2890,3282))</f>
        <v>97054351.662748784</v>
      </c>
      <c r="B1961">
        <v>220600588.45143315</v>
      </c>
    </row>
    <row r="1962" spans="1:2" x14ac:dyDescent="0.25">
      <c r="A1962">
        <f ca="1">32753.5906739888*(RANDBETWEEN(2890,3282))</f>
        <v>96754106.850962818</v>
      </c>
      <c r="B1962">
        <v>251936543.8849487</v>
      </c>
    </row>
    <row r="1963" spans="1:2" x14ac:dyDescent="0.25">
      <c r="A1963">
        <f ca="1">25795.4519633711*(RANDBETWEEN(2890,3282))</f>
        <v>78314992.160794541</v>
      </c>
      <c r="B1963">
        <v>235943438.85323054</v>
      </c>
    </row>
    <row r="1964" spans="1:2" x14ac:dyDescent="0.25">
      <c r="A1964">
        <f ca="1">28327.6089197882*(RANDBETWEEN(2890,3282))</f>
        <v>86144258.725075886</v>
      </c>
      <c r="B1964">
        <v>204391437.46688139</v>
      </c>
    </row>
    <row r="1965" spans="1:2" x14ac:dyDescent="0.25">
      <c r="A1965">
        <f ca="1">26402.0640396458*(RANDBETWEEN(2890,3282))</f>
        <v>79866243.719928652</v>
      </c>
      <c r="B1965">
        <v>243072815.94992766</v>
      </c>
    </row>
    <row r="1966" spans="1:2" x14ac:dyDescent="0.25">
      <c r="A1966">
        <f ca="1">26338.259629706*(RANDBETWEEN(2890,3282))</f>
        <v>85968079.431360528</v>
      </c>
      <c r="B1966">
        <v>232483355.40708107</v>
      </c>
    </row>
    <row r="1967" spans="1:2" x14ac:dyDescent="0.25">
      <c r="A1967">
        <f ca="1">26781.4730557369*(RANDBETWEEN(2890,3282))</f>
        <v>85218647.263354748</v>
      </c>
      <c r="B1967">
        <v>215010062.58866239</v>
      </c>
    </row>
    <row r="1968" spans="1:2" x14ac:dyDescent="0.25">
      <c r="A1968">
        <f ca="1">26155.985503606*(RANDBETWEEN(2890,3282))</f>
        <v>82443666.307366103</v>
      </c>
      <c r="B1968">
        <v>256540311.31100482</v>
      </c>
    </row>
    <row r="1969" spans="1:2" x14ac:dyDescent="0.25">
      <c r="A1969">
        <f ca="1">29247.4167514511*(RANDBETWEEN(2890,3282))</f>
        <v>94118187.106169671</v>
      </c>
      <c r="B1969">
        <v>261772623.57021159</v>
      </c>
    </row>
    <row r="1970" spans="1:2" x14ac:dyDescent="0.25">
      <c r="A1970">
        <f ca="1">31338.7337698057*(RANDBETWEEN(2890,3282))</f>
        <v>101694191.08301963</v>
      </c>
      <c r="B1970">
        <v>233797328.62912419</v>
      </c>
    </row>
    <row r="1971" spans="1:2" x14ac:dyDescent="0.25">
      <c r="A1971">
        <f ca="1">27418.0195173261*(RANDBETWEEN(2890,3282))</f>
        <v>88450530.962893963</v>
      </c>
      <c r="B1971">
        <v>232774611.69009176</v>
      </c>
    </row>
    <row r="1972" spans="1:2" x14ac:dyDescent="0.25">
      <c r="A1972">
        <f ca="1">31592.700926952*(RANDBETWEEN(2890,3282))</f>
        <v>96010218.117007047</v>
      </c>
      <c r="B1972">
        <v>206142344.85144585</v>
      </c>
    </row>
    <row r="1973" spans="1:2" x14ac:dyDescent="0.25">
      <c r="A1973">
        <f ca="1">28669.8629114149*(RANDBETWEEN(2890,3282))</f>
        <v>92947695.558807015</v>
      </c>
      <c r="B1973">
        <v>207450720.36235613</v>
      </c>
    </row>
    <row r="1974" spans="1:2" x14ac:dyDescent="0.25">
      <c r="A1974">
        <f ca="1">29121.4690954564*(RANDBETWEEN(2890,3282))</f>
        <v>84277531.562250763</v>
      </c>
      <c r="B1974">
        <v>245118383.10231781</v>
      </c>
    </row>
    <row r="1975" spans="1:2" x14ac:dyDescent="0.25">
      <c r="A1975">
        <f ca="1">26435.4577181462*(RANDBETWEEN(2890,3282))</f>
        <v>79650034.104774639</v>
      </c>
      <c r="B1975">
        <v>221128295.70297658</v>
      </c>
    </row>
    <row r="1976" spans="1:2" x14ac:dyDescent="0.25">
      <c r="A1976">
        <f ca="1">29750.9091077517*(RANDBETWEEN(2890,3282))</f>
        <v>96184689.145361289</v>
      </c>
      <c r="B1976">
        <v>263527200.64922634</v>
      </c>
    </row>
    <row r="1977" spans="1:2" x14ac:dyDescent="0.25">
      <c r="A1977">
        <f ca="1">27967.0122382423*(RANDBETWEEN(2890,3282))</f>
        <v>86529935.865121707</v>
      </c>
      <c r="B1977">
        <v>225818288.9463037</v>
      </c>
    </row>
    <row r="1978" spans="1:2" x14ac:dyDescent="0.25">
      <c r="A1978">
        <f ca="1">34635.4016406026*(RANDBETWEEN(2890,3282))</f>
        <v>100685112.56923182</v>
      </c>
      <c r="B1978">
        <v>258889140.41056663</v>
      </c>
    </row>
    <row r="1979" spans="1:2" x14ac:dyDescent="0.25">
      <c r="A1979">
        <f ca="1">27598.3033129389*(RANDBETWEEN(2890,3282))</f>
        <v>87210638.468887046</v>
      </c>
      <c r="B1979">
        <v>251269590.59664679</v>
      </c>
    </row>
    <row r="1980" spans="1:2" x14ac:dyDescent="0.25">
      <c r="A1980">
        <f ca="1">29910.2338473992*(RANDBETWEEN(2890,3282))</f>
        <v>95114543.634729505</v>
      </c>
      <c r="B1980">
        <v>218865707.71384341</v>
      </c>
    </row>
    <row r="1981" spans="1:2" x14ac:dyDescent="0.25">
      <c r="A1981">
        <f ca="1">26801.2222685843*(RANDBETWEEN(2890,3282))</f>
        <v>80135654.583067089</v>
      </c>
      <c r="B1981">
        <v>226923865.55442271</v>
      </c>
    </row>
    <row r="1982" spans="1:2" x14ac:dyDescent="0.25">
      <c r="A1982">
        <f ca="1">31868.8295724746*(RANDBETWEEN(2890,3282))</f>
        <v>96976848.389040068</v>
      </c>
      <c r="B1982">
        <v>246978486.21604198</v>
      </c>
    </row>
    <row r="1983" spans="1:2" x14ac:dyDescent="0.25">
      <c r="A1983">
        <f ca="1">27307.2515789769*(RANDBETWEEN(2890,3282))</f>
        <v>82495207.020089209</v>
      </c>
      <c r="B1983">
        <v>215699036.80540177</v>
      </c>
    </row>
    <row r="1984" spans="1:2" x14ac:dyDescent="0.25">
      <c r="A1984">
        <f ca="1">28200.706737759*(RANDBETWEEN(2890,3282))</f>
        <v>82233260.847305298</v>
      </c>
      <c r="B1984">
        <v>259844978.17542213</v>
      </c>
    </row>
    <row r="1985" spans="1:2" x14ac:dyDescent="0.25">
      <c r="A1985">
        <f ca="1">32390.3397532926*(RANDBETWEEN(2890,3282))</f>
        <v>101446544.10731253</v>
      </c>
      <c r="B1985">
        <v>261740580.0364213</v>
      </c>
    </row>
    <row r="1986" spans="1:2" x14ac:dyDescent="0.25">
      <c r="A1986">
        <f ca="1">30641.1374599455*(RANDBETWEEN(2890,3282))</f>
        <v>99093438.545463651</v>
      </c>
      <c r="B1986">
        <v>231662301.60240752</v>
      </c>
    </row>
    <row r="1987" spans="1:2" x14ac:dyDescent="0.25">
      <c r="A1987">
        <f ca="1">30650.545499118*(RANDBETWEEN(2890,3282))</f>
        <v>91093421.223378614</v>
      </c>
      <c r="B1987">
        <v>229739031.76616704</v>
      </c>
    </row>
    <row r="1988" spans="1:2" x14ac:dyDescent="0.25">
      <c r="A1988">
        <f ca="1">29027.787608115*(RANDBETWEEN(2890,3282))</f>
        <v>84093500.700709045</v>
      </c>
      <c r="B1988">
        <v>247185559.64471948</v>
      </c>
    </row>
    <row r="1989" spans="1:2" x14ac:dyDescent="0.25">
      <c r="A1989">
        <f ca="1">27130.9302359409*(RANDBETWEEN(2890,3282))</f>
        <v>85815132.336281106</v>
      </c>
      <c r="B1989">
        <v>227870584.22823468</v>
      </c>
    </row>
    <row r="1990" spans="1:2" x14ac:dyDescent="0.25">
      <c r="A1990">
        <f ca="1">27328.29819336*(RANDBETWEEN(2890,3282))</f>
        <v>84389784.821095601</v>
      </c>
      <c r="B1990">
        <v>233782052.556777</v>
      </c>
    </row>
    <row r="1991" spans="1:2" x14ac:dyDescent="0.25">
      <c r="A1991">
        <f ca="1">26715.3581343932*(RANDBETWEEN(2890,3282))</f>
        <v>80333081.910120204</v>
      </c>
      <c r="B1991">
        <v>250674880.41976744</v>
      </c>
    </row>
    <row r="1992" spans="1:2" x14ac:dyDescent="0.25">
      <c r="A1992">
        <f ca="1">32657.0108701297*(RANDBETWEEN(2890,3282))</f>
        <v>101563303.8061033</v>
      </c>
      <c r="B1992">
        <v>244585713.07921135</v>
      </c>
    </row>
    <row r="1993" spans="1:2" x14ac:dyDescent="0.25">
      <c r="A1993">
        <f ca="1">27612.3445133654*(RANDBETWEEN(2890,3282))</f>
        <v>89491608.567817181</v>
      </c>
      <c r="B1993">
        <v>239459450.20695353</v>
      </c>
    </row>
    <row r="1994" spans="1:2" x14ac:dyDescent="0.25">
      <c r="A1994">
        <f ca="1">27473.25404228*(RANDBETWEEN(2890,3282))</f>
        <v>90029853.496551484</v>
      </c>
      <c r="B1994">
        <v>224958573.79449433</v>
      </c>
    </row>
    <row r="1995" spans="1:2" x14ac:dyDescent="0.25">
      <c r="A1995">
        <f ca="1">29351.8697004343*(RANDBETWEEN(2890,3282))</f>
        <v>95599039.614314646</v>
      </c>
      <c r="B1995">
        <v>240896610.60596919</v>
      </c>
    </row>
    <row r="1996" spans="1:2" x14ac:dyDescent="0.25">
      <c r="A1996">
        <f ca="1">29209.4308819303*(RANDBETWEEN(2890,3282))</f>
        <v>88884298.173713773</v>
      </c>
      <c r="B1996">
        <v>243063483.00418419</v>
      </c>
    </row>
    <row r="1997" spans="1:2" x14ac:dyDescent="0.25">
      <c r="A1997">
        <f ca="1">26329.2414649618*(RANDBETWEEN(2890,3282))</f>
        <v>78487468.807051271</v>
      </c>
      <c r="B1997">
        <v>210516972.1650649</v>
      </c>
    </row>
    <row r="1998" spans="1:2" x14ac:dyDescent="0.25">
      <c r="A1998">
        <f ca="1">29132.3048028139*(RANDBETWEEN(2890,3282))</f>
        <v>86319019.130737439</v>
      </c>
      <c r="B1998">
        <v>213314945.96448037</v>
      </c>
    </row>
    <row r="1999" spans="1:2" x14ac:dyDescent="0.25">
      <c r="A1999">
        <f ca="1">28160.3332654183*(RANDBETWEEN(2890,3282))</f>
        <v>88705049.786067694</v>
      </c>
      <c r="B1999">
        <v>240246973.64430985</v>
      </c>
    </row>
    <row r="2000" spans="1:2" x14ac:dyDescent="0.25">
      <c r="A2000">
        <f ca="1">28710.5688668144*(RANDBETWEEN(2890,3282))</f>
        <v>88773078.936190173</v>
      </c>
      <c r="B2000">
        <v>234497911.06892985</v>
      </c>
    </row>
    <row r="2001" spans="1:2" x14ac:dyDescent="0.25">
      <c r="A2001">
        <f ca="1">30710.3351074527*(RANDBETWEEN(2890,3282))</f>
        <v>100607057.81201518</v>
      </c>
      <c r="B2001">
        <v>245246613.22638214</v>
      </c>
    </row>
    <row r="2002" spans="1:2" x14ac:dyDescent="0.25">
      <c r="A2002">
        <f ca="1">27811.0638115051*(RANDBETWEEN(2890,3282))</f>
        <v>87465795.687183633</v>
      </c>
      <c r="B2002">
        <v>221757223.06568301</v>
      </c>
    </row>
    <row r="2003" spans="1:2" x14ac:dyDescent="0.25">
      <c r="A2003">
        <f ca="1">31933.1850531127*(RANDBETWEEN(2890,3282))</f>
        <v>102856789.05607596</v>
      </c>
      <c r="B2003">
        <v>247821866.69445595</v>
      </c>
    </row>
    <row r="2004" spans="1:2" x14ac:dyDescent="0.25">
      <c r="A2004">
        <f ca="1">27795.2369530245*(RANDBETWEEN(2890,3282))</f>
        <v>89472867.751785904</v>
      </c>
      <c r="B2004">
        <v>232067239.51972508</v>
      </c>
    </row>
    <row r="2005" spans="1:2" x14ac:dyDescent="0.25">
      <c r="A2005">
        <f ca="1">28541.389924203*(RANDBETWEEN(2890,3282))</f>
        <v>89619964.361997262</v>
      </c>
      <c r="B2005">
        <v>226146963.82536715</v>
      </c>
    </row>
    <row r="2006" spans="1:2" x14ac:dyDescent="0.25">
      <c r="A2006">
        <f ca="1">30204.8223780051*(RANDBETWEEN(2890,3282))</f>
        <v>95266009.780228108</v>
      </c>
      <c r="B2006">
        <v>263048888.19802654</v>
      </c>
    </row>
    <row r="2007" spans="1:2" x14ac:dyDescent="0.25">
      <c r="A2007">
        <f ca="1">30212.4509526646*(RANDBETWEEN(2890,3282))</f>
        <v>93054348.934207112</v>
      </c>
      <c r="B2007">
        <v>238804700.7404941</v>
      </c>
    </row>
    <row r="2008" spans="1:2" x14ac:dyDescent="0.25">
      <c r="A2008">
        <f ca="1">31402.030192549*(RANDBETWEEN(2890,3282))</f>
        <v>97534705.778057203</v>
      </c>
      <c r="B2008">
        <v>224541532.21926126</v>
      </c>
    </row>
    <row r="2009" spans="1:2" x14ac:dyDescent="0.25">
      <c r="A2009">
        <f ca="1">29969.6103940196*(RANDBETWEEN(2890,3282))</f>
        <v>92216491.182398453</v>
      </c>
      <c r="B2009">
        <v>249300332.93608129</v>
      </c>
    </row>
    <row r="2010" spans="1:2" x14ac:dyDescent="0.25">
      <c r="A2010">
        <f ca="1">28199.3655464552*(RANDBETWEEN(2890,3282))</f>
        <v>84316102.983901039</v>
      </c>
      <c r="B2010">
        <v>224197600.699527</v>
      </c>
    </row>
    <row r="2011" spans="1:2" x14ac:dyDescent="0.25">
      <c r="A2011">
        <f ca="1">32608.9829207925*(RANDBETWEEN(2890,3282))</f>
        <v>105294405.85123897</v>
      </c>
      <c r="B2011">
        <v>263325166.87221658</v>
      </c>
    </row>
    <row r="2012" spans="1:2" x14ac:dyDescent="0.25">
      <c r="A2012">
        <f ca="1">29071.4116476508*(RANDBETWEEN(2890,3282))</f>
        <v>94482087.854865149</v>
      </c>
      <c r="B2012">
        <v>207987995.440916</v>
      </c>
    </row>
    <row r="2013" spans="1:2" x14ac:dyDescent="0.25">
      <c r="A2013">
        <f ca="1">28710.2732738033*(RANDBETWEEN(2890,3282))</f>
        <v>92762892.94765839</v>
      </c>
      <c r="B2013">
        <v>265593767.79500896</v>
      </c>
    </row>
    <row r="2014" spans="1:2" x14ac:dyDescent="0.25">
      <c r="A2014">
        <f ca="1">31913.1545916634*(RANDBETWEEN(2890,3282))</f>
        <v>104419841.82392257</v>
      </c>
      <c r="B2014">
        <v>265672511.55354744</v>
      </c>
    </row>
    <row r="2015" spans="1:2" x14ac:dyDescent="0.25">
      <c r="A2015">
        <f ca="1">27511.7312746829*(RANDBETWEEN(2890,3282))</f>
        <v>87762422.766238466</v>
      </c>
      <c r="B2015">
        <v>265272750.46863058</v>
      </c>
    </row>
    <row r="2016" spans="1:2" x14ac:dyDescent="0.25">
      <c r="A2016">
        <f ca="1">28956.3328264898*(RANDBETWEEN(2890,3282))</f>
        <v>93731649.359347537</v>
      </c>
      <c r="B2016">
        <v>207120861.68204841</v>
      </c>
    </row>
    <row r="2017" spans="1:2" x14ac:dyDescent="0.25">
      <c r="A2017">
        <f ca="1">26379.548026053*(RANDBETWEEN(2890,3282))</f>
        <v>84757487.807708338</v>
      </c>
      <c r="B2017">
        <v>263847973.65056056</v>
      </c>
    </row>
    <row r="2018" spans="1:2" x14ac:dyDescent="0.25">
      <c r="A2018">
        <f ca="1">30252.1832599544*(RANDBETWEEN(2890,3282))</f>
        <v>88941418.784265846</v>
      </c>
      <c r="B2018">
        <v>266715847.60601741</v>
      </c>
    </row>
    <row r="2019" spans="1:2" x14ac:dyDescent="0.25">
      <c r="A2019">
        <f ca="1">32522.0263323168*(RANDBETWEEN(2890,3282))</f>
        <v>105143711.13238037</v>
      </c>
      <c r="B2019">
        <v>255925888.38995332</v>
      </c>
    </row>
    <row r="2020" spans="1:2" x14ac:dyDescent="0.25">
      <c r="A2020">
        <f ca="1">30151.1413803126*(RANDBETWEEN(2890,3282))</f>
        <v>90362970.716796756</v>
      </c>
      <c r="B2020">
        <v>238187380.76461923</v>
      </c>
    </row>
    <row r="2021" spans="1:2" x14ac:dyDescent="0.25">
      <c r="A2021">
        <f ca="1">27638.2028573721*(RANDBETWEEN(2890,3282))</f>
        <v>88138228.912159592</v>
      </c>
      <c r="B2021">
        <v>249883409.89375508</v>
      </c>
    </row>
    <row r="2022" spans="1:2" x14ac:dyDescent="0.25">
      <c r="A2022">
        <f ca="1">26536.9202587585*(RANDBETWEEN(2890,3282))</f>
        <v>82211378.961633936</v>
      </c>
      <c r="B2022">
        <v>212931017.89272711</v>
      </c>
    </row>
    <row r="2023" spans="1:2" x14ac:dyDescent="0.25">
      <c r="A2023">
        <f ca="1">29243.7253358958*(RANDBETWEEN(2890,3282))</f>
        <v>92030003.632064134</v>
      </c>
      <c r="B2023">
        <v>228261921.13395908</v>
      </c>
    </row>
    <row r="2024" spans="1:2" x14ac:dyDescent="0.25">
      <c r="A2024">
        <f ca="1">28661.097579105*(RANDBETWEEN(2890,3282))</f>
        <v>91113629.203974813</v>
      </c>
      <c r="B2024">
        <v>210188693.90226775</v>
      </c>
    </row>
    <row r="2025" spans="1:2" x14ac:dyDescent="0.25">
      <c r="A2025">
        <f ca="1">30707.9681772413*(RANDBETWEEN(2890,3282))</f>
        <v>99002489.403426066</v>
      </c>
      <c r="B2025">
        <v>250067108.23359853</v>
      </c>
    </row>
    <row r="2026" spans="1:2" x14ac:dyDescent="0.25">
      <c r="A2026">
        <f ca="1">27592.9107541279*(RANDBETWEEN(2890,3282))</f>
        <v>82254466.958055139</v>
      </c>
      <c r="B2026">
        <v>230462677.14252019</v>
      </c>
    </row>
    <row r="2027" spans="1:2" x14ac:dyDescent="0.25">
      <c r="A2027">
        <f ca="1">27339.6242876206*(RANDBETWEEN(2890,3282))</f>
        <v>89045156.304780364</v>
      </c>
      <c r="B2027">
        <v>221631792.61284417</v>
      </c>
    </row>
    <row r="2028" spans="1:2" x14ac:dyDescent="0.25">
      <c r="A2028">
        <f ca="1">26730.0221513786*(RANDBETWEEN(2890,3282))</f>
        <v>80350446.587043986</v>
      </c>
      <c r="B2028">
        <v>244146669.98595241</v>
      </c>
    </row>
    <row r="2029" spans="1:2" x14ac:dyDescent="0.25">
      <c r="A2029">
        <f ca="1">33856.8921381433*(RANDBETWEEN(2890,3282))</f>
        <v>106412211.99018425</v>
      </c>
      <c r="B2029">
        <v>257908396.90417916</v>
      </c>
    </row>
    <row r="2030" spans="1:2" x14ac:dyDescent="0.25">
      <c r="A2030">
        <f ca="1">28002.905990433*(RANDBETWEEN(2890,3282))</f>
        <v>84820802.245021567</v>
      </c>
      <c r="B2030">
        <v>238239181.65023884</v>
      </c>
    </row>
    <row r="2031" spans="1:2" x14ac:dyDescent="0.25">
      <c r="A2031">
        <f ca="1">27481.6242437971*(RANDBETWEEN(2890,3282))</f>
        <v>90029801.02267924</v>
      </c>
      <c r="B2031">
        <v>229161675.12783143</v>
      </c>
    </row>
    <row r="2032" spans="1:2" x14ac:dyDescent="0.25">
      <c r="A2032">
        <f ca="1">32994.5696240173*(RANDBETWEEN(2890,3282))</f>
        <v>104130861.73339875</v>
      </c>
      <c r="B2032">
        <v>244594617.14405271</v>
      </c>
    </row>
    <row r="2033" spans="1:2" x14ac:dyDescent="0.25">
      <c r="A2033">
        <f ca="1">28464.2931337017*(RANDBETWEEN(2890,3282))</f>
        <v>91284988.079781413</v>
      </c>
      <c r="B2033">
        <v>242487407.25027737</v>
      </c>
    </row>
    <row r="2034" spans="1:2" x14ac:dyDescent="0.25">
      <c r="A2034">
        <f ca="1">27891.9274053359*(RANDBETWEEN(2890,3282))</f>
        <v>90258277.083666965</v>
      </c>
      <c r="B2034">
        <v>203978583.6884487</v>
      </c>
    </row>
    <row r="2035" spans="1:2" x14ac:dyDescent="0.25">
      <c r="A2035">
        <f ca="1">30265.9653397876*(RANDBETWEEN(2890,3282))</f>
        <v>92674385.870429561</v>
      </c>
      <c r="B2035">
        <v>240689505.17213517</v>
      </c>
    </row>
    <row r="2036" spans="1:2" x14ac:dyDescent="0.25">
      <c r="A2036">
        <f ca="1">33424.2587422684*(RANDBETWEEN(2890,3282))</f>
        <v>102345080.26882593</v>
      </c>
      <c r="B2036">
        <v>219255093.90749812</v>
      </c>
    </row>
    <row r="2037" spans="1:2" x14ac:dyDescent="0.25">
      <c r="A2037">
        <f ca="1">30387.3082931717*(RANDBETWEEN(2890,3282))</f>
        <v>91465797.962446839</v>
      </c>
      <c r="B2037">
        <v>244789262.46305418</v>
      </c>
    </row>
    <row r="2038" spans="1:2" x14ac:dyDescent="0.25">
      <c r="A2038">
        <f ca="1">28087.0811033861*(RANDBETWEEN(2890,3282))</f>
        <v>82098538.065197498</v>
      </c>
      <c r="B2038">
        <v>219661022.62321994</v>
      </c>
    </row>
    <row r="2039" spans="1:2" x14ac:dyDescent="0.25">
      <c r="A2039">
        <f ca="1">26400.9200560165*(RANDBETWEEN(2890,3282))</f>
        <v>79783580.409281954</v>
      </c>
      <c r="B2039">
        <v>204680300.94043538</v>
      </c>
    </row>
    <row r="2040" spans="1:2" x14ac:dyDescent="0.25">
      <c r="A2040">
        <f ca="1">28393.6236165766*(RANDBETWEEN(2890,3282))</f>
        <v>92534819.366423279</v>
      </c>
      <c r="B2040">
        <v>203928295.54723865</v>
      </c>
    </row>
    <row r="2041" spans="1:2" x14ac:dyDescent="0.25">
      <c r="A2041">
        <f ca="1">26822.7829132935*(RANDBETWEEN(2890,3282))</f>
        <v>84679525.65726763</v>
      </c>
      <c r="B2041">
        <v>252812555.95180231</v>
      </c>
    </row>
    <row r="2042" spans="1:2" x14ac:dyDescent="0.25">
      <c r="A2042">
        <f ca="1">26784.4577213079*(RANDBETWEEN(2890,3282))</f>
        <v>81719380.507710353</v>
      </c>
      <c r="B2042">
        <v>230187003.445696</v>
      </c>
    </row>
    <row r="2043" spans="1:2" x14ac:dyDescent="0.25">
      <c r="A2043">
        <f ca="1">30624.0652509585*(RANDBETWEEN(2890,3282))</f>
        <v>97507023.759051755</v>
      </c>
      <c r="B2043">
        <v>252890606.86818904</v>
      </c>
    </row>
    <row r="2044" spans="1:2" x14ac:dyDescent="0.25">
      <c r="A2044">
        <f ca="1">30350.8793116679*(RANDBETWEEN(2890,3282))</f>
        <v>88867374.624563694</v>
      </c>
      <c r="B2044">
        <v>207999765.23686445</v>
      </c>
    </row>
    <row r="2045" spans="1:2" x14ac:dyDescent="0.25">
      <c r="A2045">
        <f ca="1">30365.1017903552*(RANDBETWEEN(2890,3282))</f>
        <v>88271350.904562548</v>
      </c>
      <c r="B2045">
        <v>267045887.83258912</v>
      </c>
    </row>
    <row r="2046" spans="1:2" x14ac:dyDescent="0.25">
      <c r="A2046">
        <f ca="1">32205.0324543771*(RANDBETWEEN(2890,3282))</f>
        <v>96615097.363131315</v>
      </c>
      <c r="B2046">
        <v>228854671.8542074</v>
      </c>
    </row>
    <row r="2047" spans="1:2" x14ac:dyDescent="0.25">
      <c r="A2047">
        <f ca="1">29843.5532212548*(RANDBETWEEN(2890,3282))</f>
        <v>97916698.118936896</v>
      </c>
      <c r="B2047">
        <v>266622208.13852352</v>
      </c>
    </row>
    <row r="2048" spans="1:2" x14ac:dyDescent="0.25">
      <c r="A2048">
        <f ca="1">28822.366151384*(RANDBETWEEN(2890,3282))</f>
        <v>89032289.041625172</v>
      </c>
      <c r="B2048">
        <v>241087458.81837356</v>
      </c>
    </row>
    <row r="2049" spans="1:2" x14ac:dyDescent="0.25">
      <c r="A2049">
        <f ca="1">31096.3978630867*(RANDBETWEEN(2890,3282))</f>
        <v>92884940.417040065</v>
      </c>
      <c r="B2049">
        <v>217379290.44791543</v>
      </c>
    </row>
    <row r="2050" spans="1:2" x14ac:dyDescent="0.25">
      <c r="A2050">
        <f ca="1">26114.8085309805*(RANDBETWEEN(2890,3282))</f>
        <v>81086480.488694549</v>
      </c>
      <c r="B2050">
        <v>210652759.08720604</v>
      </c>
    </row>
    <row r="2051" spans="1:2" x14ac:dyDescent="0.25">
      <c r="A2051">
        <f ca="1">28340.5956317489*(RANDBETWEEN(2890,3282))</f>
        <v>90378159.469647095</v>
      </c>
      <c r="B2051">
        <v>205992026.19306466</v>
      </c>
    </row>
    <row r="2052" spans="1:2" x14ac:dyDescent="0.25">
      <c r="A2052">
        <f ca="1">30629.2811038625*(RANDBETWEEN(2890,3282))</f>
        <v>99637051.430864573</v>
      </c>
      <c r="B2052">
        <v>219666225.53986305</v>
      </c>
    </row>
    <row r="2053" spans="1:2" x14ac:dyDescent="0.25">
      <c r="A2053">
        <f ca="1">33062.8804079115*(RANDBETWEEN(2890,3282))</f>
        <v>104081947.5241054</v>
      </c>
      <c r="B2053">
        <v>249352973.67372718</v>
      </c>
    </row>
    <row r="2054" spans="1:2" x14ac:dyDescent="0.25">
      <c r="A2054">
        <f ca="1">28850.9751857652*(RANDBETWEEN(2890,3282))</f>
        <v>89870787.703658685</v>
      </c>
      <c r="B2054">
        <v>232320394.62717006</v>
      </c>
    </row>
    <row r="2055" spans="1:2" x14ac:dyDescent="0.25">
      <c r="A2055">
        <f ca="1">32621.2231507369*(RANDBETWEEN(2890,3282))</f>
        <v>98450851.46892409</v>
      </c>
      <c r="B2055">
        <v>204951727.759698</v>
      </c>
    </row>
    <row r="2056" spans="1:2" x14ac:dyDescent="0.25">
      <c r="A2056">
        <f ca="1">32163.242277795*(RANDBETWEEN(2890,3282))</f>
        <v>103469150.40766656</v>
      </c>
      <c r="B2056">
        <v>256514107.95536545</v>
      </c>
    </row>
    <row r="2057" spans="1:2" x14ac:dyDescent="0.25">
      <c r="A2057">
        <f ca="1">30412.5881315636*(RANDBETWEEN(2890,3282))</f>
        <v>94370260.972241715</v>
      </c>
      <c r="B2057">
        <v>243297391.79281345</v>
      </c>
    </row>
    <row r="2058" spans="1:2" x14ac:dyDescent="0.25">
      <c r="A2058">
        <f ca="1">30936.9577459396*(RANDBETWEEN(2890,3282))</f>
        <v>101535095.32217374</v>
      </c>
      <c r="B2058">
        <v>220184016.14233556</v>
      </c>
    </row>
    <row r="2059" spans="1:2" x14ac:dyDescent="0.25">
      <c r="A2059">
        <f ca="1">26532.5678325827*(RANDBETWEEN(2890,3282))</f>
        <v>78191477.402621329</v>
      </c>
      <c r="B2059">
        <v>242131597.62033224</v>
      </c>
    </row>
    <row r="2060" spans="1:2" x14ac:dyDescent="0.25">
      <c r="A2060">
        <f ca="1">26964.6127387473*(RANDBETWEEN(2890,3282))</f>
        <v>81837599.662098035</v>
      </c>
      <c r="B2060">
        <v>219797832.53073451</v>
      </c>
    </row>
    <row r="2061" spans="1:2" x14ac:dyDescent="0.25">
      <c r="A2061">
        <f ca="1">28366.9556171364*(RANDBETWEEN(2890,3282))</f>
        <v>83171913.869443923</v>
      </c>
      <c r="B2061">
        <v>240730189.00560626</v>
      </c>
    </row>
    <row r="2062" spans="1:2" x14ac:dyDescent="0.25">
      <c r="A2062">
        <f ca="1">28207.043672826*(RANDBETWEEN(2890,3282))</f>
        <v>83013329.529127017</v>
      </c>
      <c r="B2062">
        <v>247612209.40205619</v>
      </c>
    </row>
    <row r="2063" spans="1:2" x14ac:dyDescent="0.25">
      <c r="A2063">
        <f ca="1">33748.8948842552*(RANDBETWEEN(2890,3282))</f>
        <v>109008930.47614439</v>
      </c>
      <c r="B2063">
        <v>263672498.05973321</v>
      </c>
    </row>
    <row r="2064" spans="1:2" x14ac:dyDescent="0.25">
      <c r="A2064">
        <f ca="1">27183.5638813832*(RANDBETWEEN(2890,3282))</f>
        <v>88210664.795088634</v>
      </c>
      <c r="B2064">
        <v>262181267.43888995</v>
      </c>
    </row>
    <row r="2065" spans="1:2" x14ac:dyDescent="0.25">
      <c r="A2065">
        <f ca="1">26201.1957358022*(RANDBETWEEN(2890,3282))</f>
        <v>77869953.726803988</v>
      </c>
      <c r="B2065">
        <v>264793572.2041246</v>
      </c>
    </row>
    <row r="2066" spans="1:2" x14ac:dyDescent="0.25">
      <c r="A2066">
        <f ca="1">26989.0245167945*(RANDBETWEEN(2890,3282))</f>
        <v>84124789.418848559</v>
      </c>
      <c r="B2066">
        <v>242848081.90347776</v>
      </c>
    </row>
    <row r="2067" spans="1:2" x14ac:dyDescent="0.25">
      <c r="A2067">
        <f ca="1">30746.941580311*(RANDBETWEEN(2890,3282))</f>
        <v>91072440.960881323</v>
      </c>
      <c r="B2067">
        <v>258218739.66438252</v>
      </c>
    </row>
    <row r="2068" spans="1:2" x14ac:dyDescent="0.25">
      <c r="A2068">
        <f ca="1">31223.5827356429*(RANDBETWEEN(2890,3282))</f>
        <v>93701971.789664268</v>
      </c>
      <c r="B2068">
        <v>261425469.18008775</v>
      </c>
    </row>
    <row r="2069" spans="1:2" x14ac:dyDescent="0.25">
      <c r="A2069">
        <f ca="1">27728.0852415056*(RANDBETWEEN(2890,3282))</f>
        <v>90005364.693927124</v>
      </c>
      <c r="B2069">
        <v>238419639.43247503</v>
      </c>
    </row>
    <row r="2070" spans="1:2" x14ac:dyDescent="0.25">
      <c r="A2070">
        <f ca="1">31288.3435123756*(RANDBETWEEN(2890,3282))</f>
        <v>99403067.338817179</v>
      </c>
      <c r="B2070">
        <v>229557702.14982137</v>
      </c>
    </row>
    <row r="2071" spans="1:2" x14ac:dyDescent="0.25">
      <c r="A2071">
        <f ca="1">34053.9941551782*(RANDBETWEEN(2890,3282))</f>
        <v>111356560.88743263</v>
      </c>
      <c r="B2071">
        <v>259163156.46345058</v>
      </c>
    </row>
    <row r="2072" spans="1:2" x14ac:dyDescent="0.25">
      <c r="A2072">
        <f ca="1">27360.7649523706*(RANDBETWEEN(2890,3282))</f>
        <v>83942826.873873129</v>
      </c>
      <c r="B2072">
        <v>216144990.84922245</v>
      </c>
    </row>
    <row r="2073" spans="1:2" x14ac:dyDescent="0.25">
      <c r="A2073">
        <f ca="1">29639.3901430256*(RANDBETWEEN(2890,3282))</f>
        <v>95142442.359112248</v>
      </c>
      <c r="B2073">
        <v>259023578.91313726</v>
      </c>
    </row>
    <row r="2074" spans="1:2" x14ac:dyDescent="0.25">
      <c r="A2074">
        <f ca="1">33064.4638910228*(RANDBETWEEN(2890,3282))</f>
        <v>101706290.92878601</v>
      </c>
      <c r="B2074">
        <v>259532386.38070002</v>
      </c>
    </row>
    <row r="2075" spans="1:2" x14ac:dyDescent="0.25">
      <c r="A2075">
        <f ca="1">31423.8352231237*(RANDBETWEEN(2890,3282))</f>
        <v>96125511.947535485</v>
      </c>
      <c r="B2075">
        <v>246485900.90828037</v>
      </c>
    </row>
    <row r="2076" spans="1:2" x14ac:dyDescent="0.25">
      <c r="A2076">
        <f ca="1">24764.459880868*(RANDBETWEEN(2890,3282))</f>
        <v>80905490.43079564</v>
      </c>
      <c r="B2076">
        <v>245203753.08609658</v>
      </c>
    </row>
    <row r="2077" spans="1:2" x14ac:dyDescent="0.25">
      <c r="A2077">
        <f ca="1">33617.8706065158*(RANDBETWEEN(2890,3282))</f>
        <v>103509423.59746209</v>
      </c>
      <c r="B2077">
        <v>250446489.6097036</v>
      </c>
    </row>
    <row r="2078" spans="1:2" x14ac:dyDescent="0.25">
      <c r="A2078">
        <f ca="1">31628.2077917022*(RANDBETWEEN(2890,3282))</f>
        <v>103329354.85549098</v>
      </c>
      <c r="B2078">
        <v>250139833.02284476</v>
      </c>
    </row>
    <row r="2079" spans="1:2" x14ac:dyDescent="0.25">
      <c r="A2079">
        <f ca="1">26164.0898026442*(RANDBETWEEN(2890,3282))</f>
        <v>83934400.086882561</v>
      </c>
      <c r="B2079">
        <v>212246683.06896898</v>
      </c>
    </row>
    <row r="2080" spans="1:2" x14ac:dyDescent="0.25">
      <c r="A2080">
        <f ca="1">30519.7423308443*(RANDBETWEEN(2890,3282))</f>
        <v>93024174.624413341</v>
      </c>
      <c r="B2080">
        <v>221767656.65239236</v>
      </c>
    </row>
    <row r="2081" spans="1:2" x14ac:dyDescent="0.25">
      <c r="A2081">
        <f ca="1">32800.8439535083*(RANDBETWEEN(2890,3282))</f>
        <v>100796993.46913099</v>
      </c>
      <c r="B2081">
        <v>251176512.7631588</v>
      </c>
    </row>
    <row r="2082" spans="1:2" x14ac:dyDescent="0.25">
      <c r="A2082">
        <f ca="1">31376.1449608706*(RANDBETWEEN(2890,3282))</f>
        <v>94536324.76710315</v>
      </c>
      <c r="B2082">
        <v>218175591.79344389</v>
      </c>
    </row>
    <row r="2083" spans="1:2" x14ac:dyDescent="0.25">
      <c r="A2083">
        <f ca="1">32271.0142501755*(RANDBETWEEN(2890,3282))</f>
        <v>94876781.895515919</v>
      </c>
      <c r="B2083">
        <v>266277658.80459911</v>
      </c>
    </row>
    <row r="2084" spans="1:2" x14ac:dyDescent="0.25">
      <c r="A2084">
        <f ca="1">32374.3735015633*(RANDBETWEEN(2890,3282))</f>
        <v>103565620.83150113</v>
      </c>
      <c r="B2084">
        <v>228166024.08488083</v>
      </c>
    </row>
    <row r="2085" spans="1:2" x14ac:dyDescent="0.25">
      <c r="A2085">
        <f ca="1">30396.8534660077*(RANDBETWEEN(2890,3282))</f>
        <v>90856195.009896979</v>
      </c>
      <c r="B2085">
        <v>229638973.18744335</v>
      </c>
    </row>
    <row r="2086" spans="1:2" x14ac:dyDescent="0.25">
      <c r="A2086">
        <f ca="1">30182.0114843985*(RANDBETWEEN(2890,3282))</f>
        <v>94228239.854292154</v>
      </c>
      <c r="B2086">
        <v>250402748.21305692</v>
      </c>
    </row>
    <row r="2087" spans="1:2" x14ac:dyDescent="0.25">
      <c r="A2087">
        <f ca="1">25598.9284796515*(RANDBETWEEN(2890,3282))</f>
        <v>77974336.149018571</v>
      </c>
      <c r="B2087">
        <v>208988459.85453254</v>
      </c>
    </row>
    <row r="2088" spans="1:2" x14ac:dyDescent="0.25">
      <c r="A2088">
        <f ca="1">30706.5244882804*(RANDBETWEEN(2890,3282))</f>
        <v>99980443.733841062</v>
      </c>
      <c r="B2088">
        <v>254441173.76372924</v>
      </c>
    </row>
    <row r="2089" spans="1:2" x14ac:dyDescent="0.25">
      <c r="A2089">
        <f ca="1">29824.84202429*(RANDBETWEEN(2890,3282))</f>
        <v>92427185.433274686</v>
      </c>
      <c r="B2089">
        <v>217207385.78994235</v>
      </c>
    </row>
    <row r="2090" spans="1:2" x14ac:dyDescent="0.25">
      <c r="A2090">
        <f ca="1">30182.0180849115*(RANDBETWEEN(2890,3282))</f>
        <v>91240240.670687333</v>
      </c>
      <c r="B2090">
        <v>243572791.57476169</v>
      </c>
    </row>
    <row r="2091" spans="1:2" x14ac:dyDescent="0.25">
      <c r="A2091">
        <f ca="1">27740.5419413971*(RANDBETWEEN(2890,3282))</f>
        <v>81252047.346352026</v>
      </c>
      <c r="B2091">
        <v>247577759.0373601</v>
      </c>
    </row>
    <row r="2092" spans="1:2" x14ac:dyDescent="0.25">
      <c r="A2092">
        <f ca="1">28083.6765635394*(RANDBETWEEN(2890,3282))</f>
        <v>87761489.261060655</v>
      </c>
      <c r="B2092">
        <v>253313648.15052095</v>
      </c>
    </row>
    <row r="2093" spans="1:2" x14ac:dyDescent="0.25">
      <c r="A2093">
        <f ca="1">30244.71840125*(RANDBETWEEN(2890,3282))</f>
        <v>93970340.072683766</v>
      </c>
      <c r="B2093">
        <v>235926115.69121087</v>
      </c>
    </row>
    <row r="2094" spans="1:2" x14ac:dyDescent="0.25">
      <c r="A2094">
        <f ca="1">32469.4073284083*(RANDBETWEEN(2890,3282))</f>
        <v>101304550.86463398</v>
      </c>
      <c r="B2094">
        <v>259792149.08919623</v>
      </c>
    </row>
    <row r="2095" spans="1:2" x14ac:dyDescent="0.25">
      <c r="A2095">
        <f ca="1">34632.9536503099*(RANDBETWEEN(2890,3282))</f>
        <v>112418567.54890582</v>
      </c>
      <c r="B2095">
        <v>247371116.01839745</v>
      </c>
    </row>
    <row r="2096" spans="1:2" x14ac:dyDescent="0.25">
      <c r="A2096">
        <f ca="1">27874.8970336636*(RANDBETWEEN(2890,3282))</f>
        <v>83680440.89505817</v>
      </c>
      <c r="B2096">
        <v>214217276.60766089</v>
      </c>
    </row>
    <row r="2097" spans="1:2" x14ac:dyDescent="0.25">
      <c r="A2097">
        <f ca="1">27864.4227440167*(RANDBETWEEN(2890,3282))</f>
        <v>87215643.188772321</v>
      </c>
      <c r="B2097">
        <v>217962520.66017032</v>
      </c>
    </row>
    <row r="2098" spans="1:2" x14ac:dyDescent="0.25">
      <c r="A2098">
        <f ca="1">26768.8199379401*(RANDBETWEEN(2890,3282))</f>
        <v>77816959.559591815</v>
      </c>
      <c r="B2098">
        <v>266543914.97539058</v>
      </c>
    </row>
    <row r="2099" spans="1:2" x14ac:dyDescent="0.25">
      <c r="A2099">
        <f ca="1">28386.1401528833*(RANDBETWEEN(2890,3282))</f>
        <v>89842133.583875731</v>
      </c>
      <c r="B2099">
        <v>236786618.87812397</v>
      </c>
    </row>
    <row r="2100" spans="1:2" x14ac:dyDescent="0.25">
      <c r="A2100">
        <f ca="1">27290.6035697941*(RANDBETWEEN(2890,3282))</f>
        <v>84327965.030663654</v>
      </c>
      <c r="B2100">
        <v>204133144.81133872</v>
      </c>
    </row>
    <row r="2101" spans="1:2" x14ac:dyDescent="0.25">
      <c r="A2101">
        <f ca="1">27769.7341470737*(RANDBETWEEN(2890,3282))</f>
        <v>84364452.338809833</v>
      </c>
      <c r="B2101">
        <v>241326520.8045544</v>
      </c>
    </row>
    <row r="2102" spans="1:2" x14ac:dyDescent="0.25">
      <c r="A2102">
        <f ca="1">28299.9949238053*(RANDBETWEEN(2890,3282))</f>
        <v>92031583.492214859</v>
      </c>
      <c r="B2102">
        <v>240722481.51858819</v>
      </c>
    </row>
    <row r="2103" spans="1:2" x14ac:dyDescent="0.25">
      <c r="A2103">
        <f ca="1">29333.75503866*(RANDBETWEEN(2890,3282))</f>
        <v>93662679.838441357</v>
      </c>
      <c r="B2103">
        <v>216101140.29075372</v>
      </c>
    </row>
    <row r="2104" spans="1:2" x14ac:dyDescent="0.25">
      <c r="A2104">
        <f ca="1">34295.2155368504*(RANDBETWEEN(2890,3282))</f>
        <v>101651018.85122472</v>
      </c>
      <c r="B2104">
        <v>218744214.85847163</v>
      </c>
    </row>
    <row r="2105" spans="1:2" x14ac:dyDescent="0.25">
      <c r="A2105">
        <f ca="1">25429.7796861085*(RANDBETWEEN(2890,3282))</f>
        <v>80841269.622139007</v>
      </c>
      <c r="B2105">
        <v>253402762.3413586</v>
      </c>
    </row>
    <row r="2106" spans="1:2" x14ac:dyDescent="0.25">
      <c r="A2106">
        <f ca="1">31360.6326314214*(RANDBETWEEN(2890,3282))</f>
        <v>92639308.793218881</v>
      </c>
      <c r="B2106">
        <v>243363253.84311503</v>
      </c>
    </row>
    <row r="2107" spans="1:2" x14ac:dyDescent="0.25">
      <c r="A2107">
        <f ca="1">28718.7399262322*(RANDBETWEEN(2890,3282))</f>
        <v>92158436.423279271</v>
      </c>
      <c r="B2107">
        <v>209413672.12021193</v>
      </c>
    </row>
    <row r="2108" spans="1:2" x14ac:dyDescent="0.25">
      <c r="A2108">
        <f ca="1">29715.2999671067*(RANDBETWEEN(2890,3282))</f>
        <v>96634155.493031114</v>
      </c>
      <c r="B2108">
        <v>218773582.57788056</v>
      </c>
    </row>
    <row r="2109" spans="1:2" x14ac:dyDescent="0.25">
      <c r="A2109">
        <f ca="1">34784.0759712322*(RANDBETWEEN(2890,3282))</f>
        <v>101812990.3677966</v>
      </c>
      <c r="B2109">
        <v>229585251.55595389</v>
      </c>
    </row>
    <row r="2110" spans="1:2" x14ac:dyDescent="0.25">
      <c r="A2110">
        <f ca="1">32017.1432238226*(RANDBETWEEN(2890,3282))</f>
        <v>96243532.530810788</v>
      </c>
      <c r="B2110">
        <v>259242127.2605131</v>
      </c>
    </row>
    <row r="2111" spans="1:2" x14ac:dyDescent="0.25">
      <c r="A2111">
        <f ca="1">30999.744926295*(RANDBETWEEN(2890,3282))</f>
        <v>92069242.431096196</v>
      </c>
      <c r="B2111">
        <v>221518648.21341354</v>
      </c>
    </row>
    <row r="2112" spans="1:2" x14ac:dyDescent="0.25">
      <c r="A2112">
        <f ca="1">32501.5276678487*(RANDBETWEEN(2890,3282))</f>
        <v>95912008.147821531</v>
      </c>
      <c r="B2112">
        <v>213117468.9909794</v>
      </c>
    </row>
    <row r="2113" spans="1:2" x14ac:dyDescent="0.25">
      <c r="A2113">
        <f ca="1">31941.2822767897*(RANDBETWEEN(2890,3282))</f>
        <v>92470012.191306055</v>
      </c>
      <c r="B2113">
        <v>256112916.82140902</v>
      </c>
    </row>
    <row r="2114" spans="1:2" x14ac:dyDescent="0.25">
      <c r="A2114">
        <f ca="1">29611.0300332165*(RANDBETWEEN(2890,3282))</f>
        <v>94340741.685827881</v>
      </c>
      <c r="B2114">
        <v>254001828.63205385</v>
      </c>
    </row>
    <row r="2115" spans="1:2" x14ac:dyDescent="0.25">
      <c r="A2115">
        <f ca="1">31405.6938949213*(RANDBETWEEN(2890,3282))</f>
        <v>102696619.03639263</v>
      </c>
      <c r="B2115">
        <v>233623645.77733111</v>
      </c>
    </row>
    <row r="2116" spans="1:2" x14ac:dyDescent="0.25">
      <c r="A2116">
        <f ca="1">32542.7384503085*(RANDBETWEEN(2890,3282))</f>
        <v>106544925.68630993</v>
      </c>
      <c r="B2116">
        <v>215683972.67193487</v>
      </c>
    </row>
    <row r="2117" spans="1:2" x14ac:dyDescent="0.25">
      <c r="A2117">
        <f ca="1">29380.1728640746*(RANDBETWEEN(2890,3282))</f>
        <v>85731344.417369545</v>
      </c>
      <c r="B2117">
        <v>266791648.68393171</v>
      </c>
    </row>
    <row r="2118" spans="1:2" x14ac:dyDescent="0.25">
      <c r="A2118">
        <f ca="1">30272.4292192159*(RANDBETWEEN(2890,3282))</f>
        <v>89424755.913563624</v>
      </c>
      <c r="B2118">
        <v>251473292.02164036</v>
      </c>
    </row>
    <row r="2119" spans="1:2" x14ac:dyDescent="0.25">
      <c r="A2119">
        <f ca="1">30195.8679439019*(RANDBETWEEN(2890,3282))</f>
        <v>96234231.137215361</v>
      </c>
      <c r="B2119">
        <v>264143159.00571436</v>
      </c>
    </row>
    <row r="2120" spans="1:2" x14ac:dyDescent="0.25">
      <c r="A2120">
        <f ca="1">29865.5897270274*(RANDBETWEEN(2890,3282))</f>
        <v>95540021.536760703</v>
      </c>
      <c r="B2120">
        <v>215998945.29030058</v>
      </c>
    </row>
    <row r="2121" spans="1:2" x14ac:dyDescent="0.25">
      <c r="A2121">
        <f ca="1">28469.204069707*(RANDBETWEEN(2890,3282))</f>
        <v>82902322.250986844</v>
      </c>
      <c r="B2121">
        <v>223822158.29309285</v>
      </c>
    </row>
    <row r="2122" spans="1:2" x14ac:dyDescent="0.25">
      <c r="A2122">
        <f ca="1">26240.7891641363*(RANDBETWEEN(2890,3282))</f>
        <v>83708117.433594763</v>
      </c>
      <c r="B2122">
        <v>229894958.96322528</v>
      </c>
    </row>
    <row r="2123" spans="1:2" x14ac:dyDescent="0.25">
      <c r="A2123">
        <f ca="1">27982.195588435*(RANDBETWEEN(2890,3282))</f>
        <v>87052610.475621164</v>
      </c>
      <c r="B2123">
        <v>242272271.50912803</v>
      </c>
    </row>
    <row r="2124" spans="1:2" x14ac:dyDescent="0.25">
      <c r="A2124">
        <f ca="1">32450.4765883247*(RANDBETWEEN(2890,3282))</f>
        <v>106340211.77994011</v>
      </c>
      <c r="B2124">
        <v>238229039.70179614</v>
      </c>
    </row>
    <row r="2125" spans="1:2" x14ac:dyDescent="0.25">
      <c r="A2125">
        <f ca="1">26968.8799147201*(RANDBETWEEN(2890,3282))</f>
        <v>78317627.272347122</v>
      </c>
      <c r="B2125">
        <v>216831576.53962463</v>
      </c>
    </row>
    <row r="2126" spans="1:2" x14ac:dyDescent="0.25">
      <c r="A2126">
        <f ca="1">32048.0940173403*(RANDBETWEEN(2890,3282))</f>
        <v>97330061.530662626</v>
      </c>
      <c r="B2126">
        <v>238697985.59577048</v>
      </c>
    </row>
    <row r="2127" spans="1:2" x14ac:dyDescent="0.25">
      <c r="A2127">
        <f ca="1">31837.9689994315*(RANDBETWEEN(2890,3282))</f>
        <v>95959638.564286396</v>
      </c>
      <c r="B2127">
        <v>218136199.31039521</v>
      </c>
    </row>
    <row r="2128" spans="1:2" x14ac:dyDescent="0.25">
      <c r="A2128">
        <f ca="1">30324.5121153994*(RANDBETWEEN(2890,3282))</f>
        <v>97614604.49947077</v>
      </c>
      <c r="B2128">
        <v>250523120.24916127</v>
      </c>
    </row>
    <row r="2129" spans="1:2" x14ac:dyDescent="0.25">
      <c r="A2129">
        <f ca="1">26710.1523613659*(RANDBETWEEN(2890,3282))</f>
        <v>85766299.232346043</v>
      </c>
      <c r="B2129">
        <v>211487312.94772345</v>
      </c>
    </row>
    <row r="2130" spans="1:2" x14ac:dyDescent="0.25">
      <c r="A2130">
        <f ca="1">28269.0861560507*(RANDBETWEEN(2890,3282))</f>
        <v>83111113.298789203</v>
      </c>
      <c r="B2130">
        <v>245005396.21590731</v>
      </c>
    </row>
    <row r="2131" spans="1:2" x14ac:dyDescent="0.25">
      <c r="A2131">
        <f ca="1">26425.0027364533*(RANDBETWEEN(2890,3282))</f>
        <v>85194208.822325304</v>
      </c>
      <c r="B2131">
        <v>204478549.34231305</v>
      </c>
    </row>
    <row r="2132" spans="1:2" x14ac:dyDescent="0.25">
      <c r="A2132">
        <f ca="1">31177.9461134801*(RANDBETWEEN(2890,3282))</f>
        <v>91101958.543588743</v>
      </c>
      <c r="B2132">
        <v>266516993.78264207</v>
      </c>
    </row>
    <row r="2133" spans="1:2" x14ac:dyDescent="0.25">
      <c r="A2133">
        <f ca="1">34547.0670569441*(RANDBETWEEN(2890,3282))</f>
        <v>103226636.36614908</v>
      </c>
      <c r="B2133">
        <v>211239740.37480348</v>
      </c>
    </row>
    <row r="2134" spans="1:2" x14ac:dyDescent="0.25">
      <c r="A2134">
        <f ca="1">32478.9592065482*(RANDBETWEEN(2890,3282))</f>
        <v>97209524.905198634</v>
      </c>
      <c r="B2134">
        <v>265482745.786318</v>
      </c>
    </row>
    <row r="2135" spans="1:2" x14ac:dyDescent="0.25">
      <c r="A2135">
        <f ca="1">29252.3573880274*(RANDBETWEEN(2890,3282))</f>
        <v>95216423.298029438</v>
      </c>
      <c r="B2135">
        <v>224551102.87813267</v>
      </c>
    </row>
    <row r="2136" spans="1:2" x14ac:dyDescent="0.25">
      <c r="A2136">
        <f ca="1">30794.9921383544*(RANDBETWEEN(2890,3282))</f>
        <v>93031671.249968633</v>
      </c>
      <c r="B2136">
        <v>232145987.08309671</v>
      </c>
    </row>
    <row r="2137" spans="1:2" x14ac:dyDescent="0.25">
      <c r="A2137">
        <f ca="1">33680.6355225053*(RANDBETWEEN(2890,3282))</f>
        <v>101345032.28721853</v>
      </c>
      <c r="B2137">
        <v>256962498.709158</v>
      </c>
    </row>
    <row r="2138" spans="1:2" x14ac:dyDescent="0.25">
      <c r="A2138">
        <f ca="1">28586.6057860356*(RANDBETWEEN(2890,3282))</f>
        <v>86131443.233325318</v>
      </c>
      <c r="B2138">
        <v>210806749.51168555</v>
      </c>
    </row>
    <row r="2139" spans="1:2" x14ac:dyDescent="0.25">
      <c r="A2139">
        <f ca="1">31014.8838427025*(RANDBETWEEN(2890,3282))</f>
        <v>91028684.078331932</v>
      </c>
      <c r="B2139">
        <v>210137445.73093486</v>
      </c>
    </row>
    <row r="2140" spans="1:2" x14ac:dyDescent="0.25">
      <c r="A2140">
        <f ca="1">33339.371105267*(RANDBETWEEN(2890,3282))</f>
        <v>100918276.33564308</v>
      </c>
      <c r="B2140">
        <v>228823937.75098172</v>
      </c>
    </row>
    <row r="2141" spans="1:2" x14ac:dyDescent="0.25">
      <c r="A2141">
        <f ca="1">28056.4564542696*(RANDBETWEEN(2890,3282))</f>
        <v>88181442.635769352</v>
      </c>
      <c r="B2141">
        <v>224735974.36648941</v>
      </c>
    </row>
    <row r="2142" spans="1:2" x14ac:dyDescent="0.25">
      <c r="A2142">
        <f ca="1">30255.0891204066*(RANDBETWEEN(2890,3282))</f>
        <v>93034399.045250416</v>
      </c>
      <c r="B2142">
        <v>253070236.50783253</v>
      </c>
    </row>
    <row r="2143" spans="1:2" x14ac:dyDescent="0.25">
      <c r="A2143">
        <f ca="1">26938.4105460951*(RANDBETWEEN(2890,3282))</f>
        <v>85583330.304944232</v>
      </c>
      <c r="B2143">
        <v>232899220.55393115</v>
      </c>
    </row>
    <row r="2144" spans="1:2" x14ac:dyDescent="0.25">
      <c r="A2144">
        <f ca="1">30699.3867382877*(RANDBETWEEN(2890,3282))</f>
        <v>95382994.595860034</v>
      </c>
      <c r="B2144">
        <v>255940328.78459185</v>
      </c>
    </row>
    <row r="2145" spans="1:2" x14ac:dyDescent="0.25">
      <c r="A2145">
        <f ca="1">28440.9899800406*(RANDBETWEEN(2890,3282))</f>
        <v>87029429.338924333</v>
      </c>
      <c r="B2145">
        <v>264105571.06279802</v>
      </c>
    </row>
    <row r="2146" spans="1:2" x14ac:dyDescent="0.25">
      <c r="A2146">
        <f ca="1">26353.8077809177*(RANDBETWEEN(2890,3282))</f>
        <v>76531457.79578492</v>
      </c>
      <c r="B2146">
        <v>235623748.34968132</v>
      </c>
    </row>
    <row r="2147" spans="1:2" x14ac:dyDescent="0.25">
      <c r="A2147">
        <f ca="1">27102.6950055661*(RANDBETWEEN(2890,3282))</f>
        <v>86078159.337677956</v>
      </c>
      <c r="B2147">
        <v>259088363.46352601</v>
      </c>
    </row>
    <row r="2148" spans="1:2" x14ac:dyDescent="0.25">
      <c r="A2148">
        <f ca="1">29691.926119641*(RANDBETWEEN(2890,3282))</f>
        <v>89194546.063401505</v>
      </c>
      <c r="B2148">
        <v>211175163.3604323</v>
      </c>
    </row>
    <row r="2149" spans="1:2" x14ac:dyDescent="0.25">
      <c r="A2149">
        <f ca="1">30669.5334452029*(RANDBETWEEN(2890,3282))</f>
        <v>98449202.35910131</v>
      </c>
      <c r="B2149">
        <v>220718033.37651533</v>
      </c>
    </row>
    <row r="2150" spans="1:2" x14ac:dyDescent="0.25">
      <c r="A2150">
        <f ca="1">28088.8243197998*(RANDBETWEEN(2890,3282))</f>
        <v>85923713.594267577</v>
      </c>
      <c r="B2150">
        <v>261136968.40032646</v>
      </c>
    </row>
    <row r="2151" spans="1:2" x14ac:dyDescent="0.25">
      <c r="A2151">
        <f ca="1">29557.1577508379*(RANDBETWEEN(2890,3282))</f>
        <v>85627086.004177451</v>
      </c>
      <c r="B2151">
        <v>215121735.78010041</v>
      </c>
    </row>
    <row r="2152" spans="1:2" x14ac:dyDescent="0.25">
      <c r="A2152">
        <f ca="1">27604.0601190212*(RANDBETWEEN(2890,3282))</f>
        <v>85821022.910037011</v>
      </c>
      <c r="B2152">
        <v>216677174.03816518</v>
      </c>
    </row>
    <row r="2153" spans="1:2" x14ac:dyDescent="0.25">
      <c r="A2153">
        <f ca="1">30668.6508230759*(RANDBETWEEN(2890,3282))</f>
        <v>88785744.132804766</v>
      </c>
      <c r="B2153">
        <v>250091813.94464254</v>
      </c>
    </row>
    <row r="2154" spans="1:2" x14ac:dyDescent="0.25">
      <c r="A2154">
        <f ca="1">27203.4406657826*(RANDBETWEEN(2890,3282))</f>
        <v>82780069.945976481</v>
      </c>
      <c r="B2154">
        <v>207008252.56054538</v>
      </c>
    </row>
    <row r="2155" spans="1:2" x14ac:dyDescent="0.25">
      <c r="A2155">
        <f ca="1">32867.5707161426*(RANDBETWEEN(2890,3282))</f>
        <v>99654474.411344483</v>
      </c>
      <c r="B2155">
        <v>261924541.44022498</v>
      </c>
    </row>
    <row r="2156" spans="1:2" x14ac:dyDescent="0.25">
      <c r="A2156">
        <f ca="1">26497.3546267824*(RANDBETWEEN(2890,3282))</f>
        <v>82009312.569891512</v>
      </c>
      <c r="B2156">
        <v>204053435.20495754</v>
      </c>
    </row>
    <row r="2157" spans="1:2" x14ac:dyDescent="0.25">
      <c r="A2157">
        <f ca="1">30778.8441951679*(RANDBETWEEN(2890,3282))</f>
        <v>97353484.18931596</v>
      </c>
      <c r="B2157">
        <v>212100722.51635081</v>
      </c>
    </row>
    <row r="2158" spans="1:2" x14ac:dyDescent="0.25">
      <c r="A2158">
        <f ca="1">29323.7115957969*(RANDBETWEEN(2890,3282))</f>
        <v>91695246.160056874</v>
      </c>
      <c r="B2158">
        <v>221361775.47745928</v>
      </c>
    </row>
    <row r="2159" spans="1:2" x14ac:dyDescent="0.25">
      <c r="A2159">
        <f ca="1">28189.8613439007*(RANDBETWEEN(2890,3282))</f>
        <v>87811418.086250722</v>
      </c>
      <c r="B2159">
        <v>243907201.32540962</v>
      </c>
    </row>
    <row r="2160" spans="1:2" x14ac:dyDescent="0.25">
      <c r="A2160">
        <f ca="1">32998.5064404336*(RANDBETWEEN(2890,3282))</f>
        <v>100315459.57891813</v>
      </c>
      <c r="B2160">
        <v>230326280.60628986</v>
      </c>
    </row>
    <row r="2161" spans="1:2" x14ac:dyDescent="0.25">
      <c r="A2161">
        <f ca="1">28890.3773979508*(RANDBETWEEN(2890,3282))</f>
        <v>85082161.436964989</v>
      </c>
      <c r="B2161">
        <v>217582260.92562342</v>
      </c>
    </row>
    <row r="2162" spans="1:2" x14ac:dyDescent="0.25">
      <c r="A2162">
        <f ca="1">32522.072361246*(RANDBETWEEN(2890,3282))</f>
        <v>103875499.12181973</v>
      </c>
      <c r="B2162">
        <v>264733854.60142815</v>
      </c>
    </row>
    <row r="2163" spans="1:2" x14ac:dyDescent="0.25">
      <c r="A2163">
        <f ca="1">32400.2117760931*(RANDBETWEEN(2890,3282))</f>
        <v>95224222.409937561</v>
      </c>
      <c r="B2163">
        <v>253306791.5142096</v>
      </c>
    </row>
    <row r="2164" spans="1:2" x14ac:dyDescent="0.25">
      <c r="A2164">
        <f ca="1">33464.9088020995*(RANDBETWEEN(2890,3282))</f>
        <v>106050295.99385346</v>
      </c>
      <c r="B2164">
        <v>243594451.82814944</v>
      </c>
    </row>
    <row r="2165" spans="1:2" x14ac:dyDescent="0.25">
      <c r="A2165">
        <f ca="1">29342.1225994721*(RANDBETWEEN(2890,3282))</f>
        <v>96007425.145472631</v>
      </c>
      <c r="B2165">
        <v>234940081.94871396</v>
      </c>
    </row>
    <row r="2166" spans="1:2" x14ac:dyDescent="0.25">
      <c r="A2166">
        <f ca="1">27570.4288989762*(RANDBETWEEN(2890,3282))</f>
        <v>89217907.917087033</v>
      </c>
      <c r="B2166">
        <v>237025459.15825325</v>
      </c>
    </row>
    <row r="2167" spans="1:2" x14ac:dyDescent="0.25">
      <c r="A2167">
        <f ca="1">26567.6827782701*(RANDBETWEEN(2890,3282))</f>
        <v>84750908.06268166</v>
      </c>
      <c r="B2167">
        <v>240728186.71559852</v>
      </c>
    </row>
    <row r="2168" spans="1:2" x14ac:dyDescent="0.25">
      <c r="A2168">
        <f ca="1">28690.5763460267*(RANDBETWEEN(2890,3282))</f>
        <v>83919935.812128007</v>
      </c>
      <c r="B2168">
        <v>262281640.52258</v>
      </c>
    </row>
    <row r="2169" spans="1:2" x14ac:dyDescent="0.25">
      <c r="A2169">
        <f ca="1">28505.2744987718*(RANDBETWEEN(2890,3282))</f>
        <v>83520454.281401247</v>
      </c>
      <c r="B2169">
        <v>236200917.96853113</v>
      </c>
    </row>
    <row r="2170" spans="1:2" x14ac:dyDescent="0.25">
      <c r="A2170">
        <f ca="1">32365.7498512044*(RANDBETWEEN(2890,3282))</f>
        <v>102728890.02772276</v>
      </c>
      <c r="B2170">
        <v>206773471.96267354</v>
      </c>
    </row>
    <row r="2171" spans="1:2" x14ac:dyDescent="0.25">
      <c r="A2171">
        <f ca="1">32511.4567676264*(RANDBETWEEN(2890,3282))</f>
        <v>96851629.710759088</v>
      </c>
      <c r="B2171">
        <v>241863290.1578165</v>
      </c>
    </row>
    <row r="2172" spans="1:2" x14ac:dyDescent="0.25">
      <c r="A2172">
        <f ca="1">28693.5336372467*(RANDBETWEEN(2890,3282))</f>
        <v>85391956.104446173</v>
      </c>
      <c r="B2172">
        <v>206584012.7042129</v>
      </c>
    </row>
    <row r="2173" spans="1:2" x14ac:dyDescent="0.25">
      <c r="A2173">
        <f ca="1">28798.4492906215*(RANDBETWEEN(2890,3282))</f>
        <v>92097440.831407696</v>
      </c>
      <c r="B2173">
        <v>245660468.37085137</v>
      </c>
    </row>
    <row r="2174" spans="1:2" x14ac:dyDescent="0.25">
      <c r="A2174">
        <f ca="1">29879.7088617695*(RANDBETWEEN(2890,3282))</f>
        <v>88473817.939699367</v>
      </c>
      <c r="B2174">
        <v>264297866.58970618</v>
      </c>
    </row>
    <row r="2175" spans="1:2" x14ac:dyDescent="0.25">
      <c r="A2175">
        <f ca="1">28377.9984704977*(RANDBETWEEN(2890,3282))</f>
        <v>92483897.015351996</v>
      </c>
      <c r="B2175">
        <v>253665440.625963</v>
      </c>
    </row>
    <row r="2176" spans="1:2" x14ac:dyDescent="0.25">
      <c r="A2176">
        <f ca="1">31397.8207656758*(RANDBETWEEN(2890,3282))</f>
        <v>97553029.118954733</v>
      </c>
      <c r="B2176">
        <v>259414203.58471447</v>
      </c>
    </row>
    <row r="2177" spans="1:2" x14ac:dyDescent="0.25">
      <c r="A2177">
        <f ca="1">31028.8191771379*(RANDBETWEEN(2890,3282))</f>
        <v>95879051.257356033</v>
      </c>
      <c r="B2177">
        <v>246883701.7845459</v>
      </c>
    </row>
    <row r="2178" spans="1:2" x14ac:dyDescent="0.25">
      <c r="A2178">
        <f ca="1">31719.7494008189*(RANDBETWEEN(2890,3282))</f>
        <v>102359631.3164427</v>
      </c>
      <c r="B2178">
        <v>238716103.61275271</v>
      </c>
    </row>
    <row r="2179" spans="1:2" x14ac:dyDescent="0.25">
      <c r="A2179">
        <f ca="1">31831.4681117637*(RANDBETWEEN(2890,3282))</f>
        <v>95207921.122285202</v>
      </c>
      <c r="B2179">
        <v>215897826.13638818</v>
      </c>
    </row>
    <row r="2180" spans="1:2" x14ac:dyDescent="0.25">
      <c r="A2180">
        <f ca="1">27565.4130492606*(RANDBETWEEN(2890,3282))</f>
        <v>83909117.321949229</v>
      </c>
      <c r="B2180">
        <v>250499441.38136846</v>
      </c>
    </row>
    <row r="2181" spans="1:2" x14ac:dyDescent="0.25">
      <c r="A2181">
        <f ca="1">32084.1762429231*(RANDBETWEEN(2890,3282))</f>
        <v>96701707.19617036</v>
      </c>
      <c r="B2181">
        <v>255386681.23759979</v>
      </c>
    </row>
    <row r="2182" spans="1:2" x14ac:dyDescent="0.25">
      <c r="A2182">
        <f ca="1">28988.55466189*(RANDBETWEEN(2890,3282))</f>
        <v>89719576.678549409</v>
      </c>
      <c r="B2182">
        <v>220669966.31267694</v>
      </c>
    </row>
    <row r="2183" spans="1:2" x14ac:dyDescent="0.25">
      <c r="A2183">
        <f ca="1">25083.1030979162*(RANDBETWEEN(2890,3282))</f>
        <v>81595334.377521366</v>
      </c>
      <c r="B2183">
        <v>218578981.6009627</v>
      </c>
    </row>
    <row r="2184" spans="1:2" x14ac:dyDescent="0.25">
      <c r="A2184">
        <f ca="1">31755.4987038549*(RANDBETWEEN(2890,3282))</f>
        <v>96504960.561015114</v>
      </c>
      <c r="B2184">
        <v>246898212.00300163</v>
      </c>
    </row>
    <row r="2185" spans="1:2" x14ac:dyDescent="0.25">
      <c r="A2185">
        <f ca="1">33633.5415776593*(RANDBETWEEN(2890,3282))</f>
        <v>100799724.10824494</v>
      </c>
      <c r="B2185">
        <v>233255612.91834152</v>
      </c>
    </row>
    <row r="2186" spans="1:2" x14ac:dyDescent="0.25">
      <c r="A2186">
        <f ca="1">29041.1782005011*(RANDBETWEEN(2890,3282))</f>
        <v>95051776.250239983</v>
      </c>
      <c r="B2186">
        <v>221605927.970801</v>
      </c>
    </row>
    <row r="2187" spans="1:2" x14ac:dyDescent="0.25">
      <c r="A2187">
        <f ca="1">30858.1389856634*(RANDBETWEEN(2890,3282))</f>
        <v>93253296.014674917</v>
      </c>
      <c r="B2187">
        <v>207993261.74513328</v>
      </c>
    </row>
    <row r="2188" spans="1:2" x14ac:dyDescent="0.25">
      <c r="A2188">
        <f ca="1">27962.0872536962*(RANDBETWEEN(2890,3282))</f>
        <v>90121807.218662784</v>
      </c>
      <c r="B2188">
        <v>205993423.34464598</v>
      </c>
    </row>
    <row r="2189" spans="1:2" x14ac:dyDescent="0.25">
      <c r="A2189">
        <f ca="1">27141.85002975*(RANDBETWEEN(2890,3282))</f>
        <v>85795387.944039777</v>
      </c>
      <c r="B2189">
        <v>227866641.80006182</v>
      </c>
    </row>
    <row r="2190" spans="1:2" x14ac:dyDescent="0.25">
      <c r="A2190">
        <f ca="1">31156.2686643779*(RANDBETWEEN(2890,3282))</f>
        <v>94995463.15768823</v>
      </c>
      <c r="B2190">
        <v>245347001.98442501</v>
      </c>
    </row>
    <row r="2191" spans="1:2" x14ac:dyDescent="0.25">
      <c r="A2191">
        <f ca="1">29771.8785435708*(RANDBETWEEN(2890,3282))</f>
        <v>97205183.444758534</v>
      </c>
      <c r="B2191">
        <v>264864480.16377792</v>
      </c>
    </row>
    <row r="2192" spans="1:2" x14ac:dyDescent="0.25">
      <c r="A2192">
        <f ca="1">27813.8900801301*(RANDBETWEEN(2890,3282))</f>
        <v>85694595.336880773</v>
      </c>
      <c r="B2192">
        <v>218496652.02675781</v>
      </c>
    </row>
    <row r="2193" spans="1:2" x14ac:dyDescent="0.25">
      <c r="A2193">
        <f ca="1">28413.4649119615*(RANDBETWEEN(2890,3282))</f>
        <v>86632654.516570583</v>
      </c>
      <c r="B2193">
        <v>232791341.72588313</v>
      </c>
    </row>
    <row r="2194" spans="1:2" x14ac:dyDescent="0.25">
      <c r="A2194">
        <f ca="1">30256.586127591*(RANDBETWEEN(2890,3282))</f>
        <v>96669792.677653119</v>
      </c>
      <c r="B2194">
        <v>209497581.6229423</v>
      </c>
    </row>
    <row r="2195" spans="1:2" x14ac:dyDescent="0.25">
      <c r="A2195">
        <f ca="1">29674.5097784772*(RANDBETWEEN(2890,3282))</f>
        <v>87895897.96384944</v>
      </c>
      <c r="B2195">
        <v>209115197.97803035</v>
      </c>
    </row>
    <row r="2196" spans="1:2" x14ac:dyDescent="0.25">
      <c r="A2196">
        <f ca="1">27837.620885909*(RANDBETWEEN(2890,3282))</f>
        <v>87159590.99378109</v>
      </c>
      <c r="B2196">
        <v>215030301.1824536</v>
      </c>
    </row>
    <row r="2197" spans="1:2" x14ac:dyDescent="0.25">
      <c r="A2197">
        <f ca="1">29462.8389786729*(RANDBETWEEN(2890,3282))</f>
        <v>93603439.43524386</v>
      </c>
      <c r="B2197">
        <v>207645417.32848057</v>
      </c>
    </row>
    <row r="2198" spans="1:2" x14ac:dyDescent="0.25">
      <c r="A2198">
        <f ca="1">26413.4732458357*(RANDBETWEEN(2890,3282))</f>
        <v>76678312.832661003</v>
      </c>
      <c r="B2198">
        <v>224556486.09483767</v>
      </c>
    </row>
    <row r="2199" spans="1:2" x14ac:dyDescent="0.25">
      <c r="A2199">
        <f ca="1">29745.4809382914*(RANDBETWEEN(2890,3282))</f>
        <v>88195350.982033938</v>
      </c>
      <c r="B2199">
        <v>224842168.24401039</v>
      </c>
    </row>
    <row r="2200" spans="1:2" x14ac:dyDescent="0.25">
      <c r="A2200">
        <f ca="1">29300.0931543847*(RANDBETWEEN(2890,3282))</f>
        <v>86874776.202750608</v>
      </c>
      <c r="B2200">
        <v>235973241.82312286</v>
      </c>
    </row>
    <row r="2201" spans="1:2" x14ac:dyDescent="0.25">
      <c r="A2201">
        <f ca="1">30039.1629438079*(RANDBETWEEN(2890,3282))</f>
        <v>97477083.75265649</v>
      </c>
      <c r="B2201">
        <v>224106241.30751783</v>
      </c>
    </row>
    <row r="2202" spans="1:2" x14ac:dyDescent="0.25">
      <c r="A2202">
        <f ca="1">29534.7914364732*(RANDBETWEEN(2890,3282))</f>
        <v>95220167.591189563</v>
      </c>
      <c r="B2202">
        <v>209243914.18241006</v>
      </c>
    </row>
    <row r="2203" spans="1:2" x14ac:dyDescent="0.25">
      <c r="A2203">
        <f ca="1">31876.3266709487*(RANDBETWEEN(2890,3282))</f>
        <v>99135375.946650565</v>
      </c>
      <c r="B2203">
        <v>247729423.72484684</v>
      </c>
    </row>
    <row r="2204" spans="1:2" x14ac:dyDescent="0.25">
      <c r="A2204">
        <f ca="1">28228.5991332023*(RANDBETWEEN(2890,3282))</f>
        <v>88609572.679121897</v>
      </c>
      <c r="B2204">
        <v>260101943.76091436</v>
      </c>
    </row>
    <row r="2205" spans="1:2" x14ac:dyDescent="0.25">
      <c r="A2205">
        <f ca="1">30797.8729650988*(RANDBETWEEN(2890,3282))</f>
        <v>98430001.996455669</v>
      </c>
      <c r="B2205">
        <v>217175165.84616625</v>
      </c>
    </row>
    <row r="2206" spans="1:2" x14ac:dyDescent="0.25">
      <c r="A2206">
        <f ca="1">31922.8206011852*(RANDBETWEEN(2890,3282))</f>
        <v>94587317.441311643</v>
      </c>
      <c r="B2206">
        <v>243543728.72285527</v>
      </c>
    </row>
    <row r="2207" spans="1:2" x14ac:dyDescent="0.25">
      <c r="A2207">
        <f ca="1">26435.6535266538*(RANDBETWEEN(2890,3282))</f>
        <v>80575871.949240714</v>
      </c>
      <c r="B2207">
        <v>231744194.00629073</v>
      </c>
    </row>
    <row r="2208" spans="1:2" x14ac:dyDescent="0.25">
      <c r="A2208">
        <f ca="1">34101.5636185702*(RANDBETWEEN(2890,3282))</f>
        <v>100701917.3656379</v>
      </c>
      <c r="B2208">
        <v>242433135.11534965</v>
      </c>
    </row>
    <row r="2209" spans="1:2" x14ac:dyDescent="0.25">
      <c r="A2209">
        <f ca="1">26563.3028335424*(RANDBETWEEN(2890,3282))</f>
        <v>80779003.916802406</v>
      </c>
      <c r="B2209">
        <v>222072582.28516778</v>
      </c>
    </row>
    <row r="2210" spans="1:2" x14ac:dyDescent="0.25">
      <c r="A2210">
        <f ca="1">30063.103057145*(RANDBETWEEN(2890,3282))</f>
        <v>92323789.488492221</v>
      </c>
      <c r="B2210">
        <v>207738898.67565438</v>
      </c>
    </row>
    <row r="2211" spans="1:2" x14ac:dyDescent="0.25">
      <c r="A2211">
        <f ca="1">32991.8134426903*(RANDBETWEEN(2890,3282))</f>
        <v>96830972.454295978</v>
      </c>
      <c r="B2211">
        <v>229015435.46060699</v>
      </c>
    </row>
    <row r="2212" spans="1:2" x14ac:dyDescent="0.25">
      <c r="A2212">
        <f ca="1">28603.8315932762*(RANDBETWEEN(2890,3282))</f>
        <v>82779488.630941346</v>
      </c>
      <c r="B2212">
        <v>224793469.43766251</v>
      </c>
    </row>
    <row r="2213" spans="1:2" x14ac:dyDescent="0.25">
      <c r="A2213">
        <f ca="1">28287.851661264*(RANDBETWEEN(2890,3282))</f>
        <v>88767278.513046339</v>
      </c>
      <c r="B2213">
        <v>253473277.06417769</v>
      </c>
    </row>
    <row r="2214" spans="1:2" x14ac:dyDescent="0.25">
      <c r="A2214">
        <f ca="1">28395.0363643486*(RANDBETWEEN(2890,3282))</f>
        <v>92085102.929582477</v>
      </c>
      <c r="B2214">
        <v>254494835.34877929</v>
      </c>
    </row>
    <row r="2215" spans="1:2" x14ac:dyDescent="0.25">
      <c r="A2215">
        <f ca="1">28757.4087938566*(RANDBETWEEN(2890,3282))</f>
        <v>90413293.247885033</v>
      </c>
      <c r="B2215">
        <v>238305657.60240534</v>
      </c>
    </row>
    <row r="2216" spans="1:2" x14ac:dyDescent="0.25">
      <c r="A2216">
        <f ca="1">31431.6725669524*(RANDBETWEEN(2890,3282))</f>
        <v>95866601.329204857</v>
      </c>
      <c r="B2216">
        <v>218643834.64593822</v>
      </c>
    </row>
    <row r="2217" spans="1:2" x14ac:dyDescent="0.25">
      <c r="A2217">
        <f ca="1">27520.9436548466*(RANDBETWEEN(2890,3282))</f>
        <v>86966181.949315205</v>
      </c>
      <c r="B2217">
        <v>226938603.83465728</v>
      </c>
    </row>
    <row r="2218" spans="1:2" x14ac:dyDescent="0.25">
      <c r="A2218">
        <f ca="1">30736.3106695839*(RANDBETWEEN(2890,3282))</f>
        <v>97618522.686598569</v>
      </c>
      <c r="B2218">
        <v>244013496.99656561</v>
      </c>
    </row>
    <row r="2219" spans="1:2" x14ac:dyDescent="0.25">
      <c r="A2219">
        <f ca="1">31995.5068508516*(RANDBETWEEN(2890,3282))</f>
        <v>101585734.25145374</v>
      </c>
      <c r="B2219">
        <v>220786593.65826225</v>
      </c>
    </row>
    <row r="2220" spans="1:2" x14ac:dyDescent="0.25">
      <c r="A2220">
        <f ca="1">26253.5760681987*(RANDBETWEEN(2890,3282))</f>
        <v>84378993.483190507</v>
      </c>
      <c r="B2220">
        <v>242833257.76987752</v>
      </c>
    </row>
    <row r="2221" spans="1:2" x14ac:dyDescent="0.25">
      <c r="A2221">
        <f ca="1">29464.7615652576*(RANDBETWEEN(2890,3282))</f>
        <v>85565667.585508019</v>
      </c>
      <c r="B2221">
        <v>226164472.58156809</v>
      </c>
    </row>
    <row r="2222" spans="1:2" x14ac:dyDescent="0.25">
      <c r="A2222">
        <f ca="1">32519.6186986934*(RANDBETWEEN(2890,3282))</f>
        <v>104648132.97239541</v>
      </c>
      <c r="B2222">
        <v>248234228.91025472</v>
      </c>
    </row>
    <row r="2223" spans="1:2" x14ac:dyDescent="0.25">
      <c r="A2223">
        <f ca="1">31847.6815710712*(RANDBETWEEN(2890,3282))</f>
        <v>98441183.736181006</v>
      </c>
      <c r="B2223">
        <v>239159856.20788708</v>
      </c>
    </row>
    <row r="2224" spans="1:2" x14ac:dyDescent="0.25">
      <c r="A2224">
        <f ca="1">28496.1683211811*(RANDBETWEEN(2890,3282))</f>
        <v>91472700.310991213</v>
      </c>
      <c r="B2224">
        <v>230719435.47671372</v>
      </c>
    </row>
    <row r="2225" spans="1:2" x14ac:dyDescent="0.25">
      <c r="A2225">
        <f ca="1">26426.466877245*(RANDBETWEEN(2890,3282))</f>
        <v>79490812.366752908</v>
      </c>
      <c r="B2225">
        <v>236941548.46988636</v>
      </c>
    </row>
    <row r="2226" spans="1:2" x14ac:dyDescent="0.25">
      <c r="A2226">
        <f ca="1">27357.6108534506*(RANDBETWEEN(2890,3282))</f>
        <v>87407566.676774561</v>
      </c>
      <c r="B2226">
        <v>259029090.53136358</v>
      </c>
    </row>
    <row r="2227" spans="1:2" x14ac:dyDescent="0.25">
      <c r="A2227">
        <f ca="1">29691.9903950692*(RANDBETWEEN(2890,3282))</f>
        <v>94212685.523554608</v>
      </c>
      <c r="B2227">
        <v>252612253.27289188</v>
      </c>
    </row>
    <row r="2228" spans="1:2" x14ac:dyDescent="0.25">
      <c r="A2228">
        <f ca="1">32925.3253528977*(RANDBETWEEN(2890,3282))</f>
        <v>105031787.87574373</v>
      </c>
      <c r="B2228">
        <v>251167554.21674284</v>
      </c>
    </row>
    <row r="2229" spans="1:2" x14ac:dyDescent="0.25">
      <c r="A2229">
        <f ca="1">29665.0539258028*(RANDBETWEEN(2890,3282))</f>
        <v>94364536.537978724</v>
      </c>
      <c r="B2229">
        <v>234619425.72793081</v>
      </c>
    </row>
    <row r="2230" spans="1:2" x14ac:dyDescent="0.25">
      <c r="A2230">
        <f ca="1">27921.9275262833*(RANDBETWEEN(2890,3282))</f>
        <v>84519674.62205942</v>
      </c>
      <c r="B2230">
        <v>239676938.86778378</v>
      </c>
    </row>
    <row r="2231" spans="1:2" x14ac:dyDescent="0.25">
      <c r="A2231">
        <f ca="1">26968.2504301875*(RANDBETWEEN(2890,3282))</f>
        <v>82037417.808630243</v>
      </c>
      <c r="B2231">
        <v>260021417.86734319</v>
      </c>
    </row>
    <row r="2232" spans="1:2" x14ac:dyDescent="0.25">
      <c r="A2232">
        <f ca="1">32352.4166449*(RANDBETWEEN(2890,3282))</f>
        <v>103624790.51361462</v>
      </c>
      <c r="B2232">
        <v>262744074.17028347</v>
      </c>
    </row>
    <row r="2233" spans="1:2" x14ac:dyDescent="0.25">
      <c r="A2233">
        <f ca="1">27661.2123564723*(RANDBETWEEN(2890,3282))</f>
        <v>83481538.891833425</v>
      </c>
      <c r="B2233">
        <v>250740661.75239259</v>
      </c>
    </row>
    <row r="2234" spans="1:2" x14ac:dyDescent="0.25">
      <c r="A2234">
        <f ca="1">29963.7911220185*(RANDBETWEEN(2890,3282))</f>
        <v>95075109.230164856</v>
      </c>
      <c r="B2234">
        <v>213605905.05907339</v>
      </c>
    </row>
    <row r="2235" spans="1:2" x14ac:dyDescent="0.25">
      <c r="A2235">
        <f ca="1">28142.3657107928*(RANDBETWEEN(2890,3282))</f>
        <v>83442114.332500607</v>
      </c>
      <c r="B2235">
        <v>212340443.93505001</v>
      </c>
    </row>
    <row r="2236" spans="1:2" x14ac:dyDescent="0.25">
      <c r="A2236">
        <f ca="1">31212.4442728105*(RANDBETWEEN(2890,3282))</f>
        <v>99786184.340175048</v>
      </c>
      <c r="B2236">
        <v>259355699.82078871</v>
      </c>
    </row>
    <row r="2237" spans="1:2" x14ac:dyDescent="0.25">
      <c r="A2237">
        <f ca="1">30702.3003184613*(RANDBETWEEN(2890,3282))</f>
        <v>89620014.629588649</v>
      </c>
      <c r="B2237">
        <v>241296559.5740577</v>
      </c>
    </row>
    <row r="2238" spans="1:2" x14ac:dyDescent="0.25">
      <c r="A2238">
        <f ca="1">29959.484310726*(RANDBETWEEN(2890,3282))</f>
        <v>94761848.874826327</v>
      </c>
      <c r="B2238">
        <v>260626651.30652618</v>
      </c>
    </row>
    <row r="2239" spans="1:2" x14ac:dyDescent="0.25">
      <c r="A2239">
        <f ca="1">30232.2849381886*(RANDBETWEEN(2890,3282))</f>
        <v>97468886.640720159</v>
      </c>
      <c r="B2239">
        <v>258454040.71436098</v>
      </c>
    </row>
    <row r="2240" spans="1:2" x14ac:dyDescent="0.25">
      <c r="A2240">
        <f ca="1">30727.9122980474*(RANDBETWEEN(2890,3282))</f>
        <v>90124966.770173013</v>
      </c>
      <c r="B2240">
        <v>229366305.61816099</v>
      </c>
    </row>
    <row r="2241" spans="1:2" x14ac:dyDescent="0.25">
      <c r="A2241">
        <f ca="1">31693.7336537696*(RANDBETWEEN(2890,3282))</f>
        <v>99866954.74302806</v>
      </c>
      <c r="B2241">
        <v>247548699.60860273</v>
      </c>
    </row>
    <row r="2242" spans="1:2" x14ac:dyDescent="0.25">
      <c r="A2242">
        <f ca="1">28401.0965077564*(RANDBETWEEN(2890,3282))</f>
        <v>84777273.075652882</v>
      </c>
      <c r="B2242">
        <v>207288833.26660317</v>
      </c>
    </row>
    <row r="2243" spans="1:2" x14ac:dyDescent="0.25">
      <c r="A2243">
        <f ca="1">26927.594772385*(RANDBETWEEN(2890,3282))</f>
        <v>84552647.585288942</v>
      </c>
      <c r="B2243">
        <v>255644452.84265947</v>
      </c>
    </row>
    <row r="2244" spans="1:2" x14ac:dyDescent="0.25">
      <c r="A2244">
        <f ca="1">32580.1669055438*(RANDBETWEEN(2890,3282))</f>
        <v>96567614.708031699</v>
      </c>
      <c r="B2244">
        <v>205166801.05617484</v>
      </c>
    </row>
    <row r="2245" spans="1:2" x14ac:dyDescent="0.25">
      <c r="A2245">
        <f ca="1">27283.8892407195*(RANDBETWEEN(2890,3282))</f>
        <v>83597836.633564472</v>
      </c>
      <c r="B2245">
        <v>222780332.99066865</v>
      </c>
    </row>
    <row r="2246" spans="1:2" x14ac:dyDescent="0.25">
      <c r="A2246">
        <f ca="1">29440.4723195826*(RANDBETWEEN(2890,3282))</f>
        <v>93061333.002200603</v>
      </c>
      <c r="B2246">
        <v>206345126.36742577</v>
      </c>
    </row>
    <row r="2247" spans="1:2" x14ac:dyDescent="0.25">
      <c r="A2247">
        <f ca="1">32836.6506912719*(RANDBETWEEN(2890,3282))</f>
        <v>94897920.497775659</v>
      </c>
      <c r="B2247">
        <v>223062874.47010022</v>
      </c>
    </row>
    <row r="2248" spans="1:2" x14ac:dyDescent="0.25">
      <c r="A2248">
        <f ca="1">32211.2545810943*(RANDBETWEEN(2890,3282))</f>
        <v>98759706.545635089</v>
      </c>
      <c r="B2248">
        <v>212636040.4199338</v>
      </c>
    </row>
    <row r="2249" spans="1:2" x14ac:dyDescent="0.25">
      <c r="A2249">
        <f ca="1">26700.6746153219*(RANDBETWEEN(2890,3282))</f>
        <v>87391308.015948683</v>
      </c>
      <c r="B2249">
        <v>262856617.80473948</v>
      </c>
    </row>
    <row r="2250" spans="1:2" x14ac:dyDescent="0.25">
      <c r="A2250">
        <f ca="1">27834.091490134*(RANDBETWEEN(2890,3282))</f>
        <v>90015451.879093304</v>
      </c>
      <c r="B2250">
        <v>251507100.68323559</v>
      </c>
    </row>
    <row r="2251" spans="1:2" x14ac:dyDescent="0.25">
      <c r="A2251">
        <f ca="1">28602.4679190123*(RANDBETWEEN(2890,3282))</f>
        <v>87895383.915124834</v>
      </c>
      <c r="B2251">
        <v>236067127.20233774</v>
      </c>
    </row>
    <row r="2252" spans="1:2" x14ac:dyDescent="0.25">
      <c r="A2252">
        <f ca="1">28222.8870101774*(RANDBETWEEN(2890,3282))</f>
        <v>81959263.877555147</v>
      </c>
      <c r="B2252">
        <v>203857263.40657741</v>
      </c>
    </row>
    <row r="2253" spans="1:2" x14ac:dyDescent="0.25">
      <c r="A2253">
        <f ca="1">27642.9421022879*(RANDBETWEEN(2890,3282))</f>
        <v>80081603.270328</v>
      </c>
      <c r="B2253">
        <v>258309068.37551659</v>
      </c>
    </row>
    <row r="2254" spans="1:2" x14ac:dyDescent="0.25">
      <c r="A2254">
        <f ca="1">28298.808366938*(RANDBETWEEN(2890,3282))</f>
        <v>81953349.030652389</v>
      </c>
      <c r="B2254">
        <v>258501439.78047326</v>
      </c>
    </row>
    <row r="2255" spans="1:2" x14ac:dyDescent="0.25">
      <c r="A2255">
        <f ca="1">31674.7048052757*(RANDBETWEEN(2890,3282))</f>
        <v>98413307.829991713</v>
      </c>
      <c r="B2255">
        <v>221181510.75869301</v>
      </c>
    </row>
    <row r="2256" spans="1:2" x14ac:dyDescent="0.25">
      <c r="A2256">
        <f ca="1">29068.296732753*(RANDBETWEEN(2890,3282))</f>
        <v>88280417.177370995</v>
      </c>
      <c r="B2256">
        <v>204824161.77467567</v>
      </c>
    </row>
    <row r="2257" spans="1:2" x14ac:dyDescent="0.25">
      <c r="A2257">
        <f ca="1">29940.7760148883*(RANDBETWEEN(2890,3282))</f>
        <v>94912259.967195839</v>
      </c>
      <c r="B2257">
        <v>259159036.0263083</v>
      </c>
    </row>
    <row r="2258" spans="1:2" x14ac:dyDescent="0.25">
      <c r="A2258">
        <f ca="1">29447.3665321377*(RANDBETWEEN(2890,3282))</f>
        <v>90727336.285516188</v>
      </c>
      <c r="B2258">
        <v>223713656.3685289</v>
      </c>
    </row>
    <row r="2259" spans="1:2" x14ac:dyDescent="0.25">
      <c r="A2259">
        <f ca="1">31576.012622928*(RANDBETWEEN(2890,3282))</f>
        <v>96464718.563045144</v>
      </c>
      <c r="B2259">
        <v>232782711.94363749</v>
      </c>
    </row>
    <row r="2260" spans="1:2" x14ac:dyDescent="0.25">
      <c r="A2260">
        <f ca="1">27897.993996202*(RANDBETWEEN(2890,3282))</f>
        <v>88827212.883907303</v>
      </c>
      <c r="B2260">
        <v>255597937.27449819</v>
      </c>
    </row>
    <row r="2261" spans="1:2" x14ac:dyDescent="0.25">
      <c r="A2261">
        <f ca="1">29116.8912578418*(RANDBETWEEN(2890,3282))</f>
        <v>89971193.986731142</v>
      </c>
      <c r="B2261">
        <v>217891903.13478696</v>
      </c>
    </row>
    <row r="2262" spans="1:2" x14ac:dyDescent="0.25">
      <c r="A2262">
        <f ca="1">33257.4339047394*(RANDBETWEEN(2890,3282))</f>
        <v>108352719.66164081</v>
      </c>
      <c r="B2262">
        <v>252584550.55763927</v>
      </c>
    </row>
    <row r="2263" spans="1:2" x14ac:dyDescent="0.25">
      <c r="A2263">
        <f ca="1">29467.2631476928*(RANDBETWEEN(2890,3282))</f>
        <v>92615608.073198453</v>
      </c>
      <c r="B2263">
        <v>258439352.93401837</v>
      </c>
    </row>
    <row r="2264" spans="1:2" x14ac:dyDescent="0.25">
      <c r="A2264">
        <f ca="1">31428.2657389649*(RANDBETWEEN(2890,3282))</f>
        <v>92964810.05585821</v>
      </c>
      <c r="B2264">
        <v>235884439.78160059</v>
      </c>
    </row>
    <row r="2265" spans="1:2" x14ac:dyDescent="0.25">
      <c r="A2265">
        <f ca="1">28268.4023305239*(RANDBETWEEN(2890,3282))</f>
        <v>87660315.626954466</v>
      </c>
      <c r="B2265">
        <v>224509380.53634226</v>
      </c>
    </row>
    <row r="2266" spans="1:2" x14ac:dyDescent="0.25">
      <c r="A2266">
        <f ca="1">29145.0002728265*(RANDBETWEEN(2890,3282))</f>
        <v>95216715.891324028</v>
      </c>
      <c r="B2266">
        <v>264936661.01067713</v>
      </c>
    </row>
    <row r="2267" spans="1:2" x14ac:dyDescent="0.25">
      <c r="A2267">
        <f ca="1">26840.8978363999*(RANDBETWEEN(2890,3282))</f>
        <v>79583262.084925756</v>
      </c>
      <c r="B2267">
        <v>247026061.8369984</v>
      </c>
    </row>
    <row r="2268" spans="1:2" x14ac:dyDescent="0.25">
      <c r="A2268">
        <f ca="1">34110.0231001526*(RANDBETWEEN(2890,3282))</f>
        <v>100931558.35335167</v>
      </c>
      <c r="B2268">
        <v>243833441.5981667</v>
      </c>
    </row>
    <row r="2269" spans="1:2" x14ac:dyDescent="0.25">
      <c r="A2269">
        <f ca="1">29486.024551702*(RANDBETWEEN(2890,3282))</f>
        <v>96478272.333169088</v>
      </c>
      <c r="B2269">
        <v>212560149.62171304</v>
      </c>
    </row>
    <row r="2270" spans="1:2" x14ac:dyDescent="0.25">
      <c r="A2270">
        <f ca="1">30106.8499491072*(RANDBETWEEN(2890,3282))</f>
        <v>89868947.098084942</v>
      </c>
      <c r="B2270">
        <v>226900359.15456617</v>
      </c>
    </row>
    <row r="2271" spans="1:2" x14ac:dyDescent="0.25">
      <c r="A2271">
        <f ca="1">26983.0708204995*(RANDBETWEEN(2890,3282))</f>
        <v>87560064.812520877</v>
      </c>
      <c r="B2271">
        <v>246887988.76559964</v>
      </c>
    </row>
    <row r="2272" spans="1:2" x14ac:dyDescent="0.25">
      <c r="A2272">
        <f ca="1">31454.9218642437*(RANDBETWEEN(2890,3282))</f>
        <v>97006979.029327556</v>
      </c>
      <c r="B2272">
        <v>259514271.7188679</v>
      </c>
    </row>
    <row r="2273" spans="1:2" x14ac:dyDescent="0.25">
      <c r="A2273">
        <f ca="1">29502.7924677349*(RANDBETWEEN(2890,3282))</f>
        <v>85528595.363963425</v>
      </c>
      <c r="B2273">
        <v>218923140.49542338</v>
      </c>
    </row>
    <row r="2274" spans="1:2" x14ac:dyDescent="0.25">
      <c r="A2274">
        <f ca="1">28014.4880522295*(RANDBETWEEN(2890,3282))</f>
        <v>83259058.491225943</v>
      </c>
      <c r="B2274">
        <v>262911735.19555905</v>
      </c>
    </row>
    <row r="2275" spans="1:2" x14ac:dyDescent="0.25">
      <c r="A2275">
        <f ca="1">31860.391501961*(RANDBETWEEN(2890,3282))</f>
        <v>99850466.967145845</v>
      </c>
      <c r="B2275">
        <v>215603770.40529901</v>
      </c>
    </row>
    <row r="2276" spans="1:2" x14ac:dyDescent="0.25">
      <c r="A2276">
        <f ca="1">30599.2199573261*(RANDBETWEEN(2890,3282))</f>
        <v>92501441.930996791</v>
      </c>
      <c r="B2276">
        <v>204100326.07322934</v>
      </c>
    </row>
    <row r="2277" spans="1:2" x14ac:dyDescent="0.25">
      <c r="A2277">
        <f ca="1">29905.6516551916*(RANDBETWEEN(2890,3282))</f>
        <v>95339217.47675094</v>
      </c>
      <c r="B2277">
        <v>266665066.4296388</v>
      </c>
    </row>
    <row r="2278" spans="1:2" x14ac:dyDescent="0.25">
      <c r="A2278">
        <f ca="1">28339.4863790072*(RANDBETWEEN(2890,3282))</f>
        <v>87370636.506479129</v>
      </c>
      <c r="B2278">
        <v>255953316.37889591</v>
      </c>
    </row>
    <row r="2279" spans="1:2" x14ac:dyDescent="0.25">
      <c r="A2279">
        <f ca="1">33799.3498812977*(RANDBETWEEN(2890,3282))</f>
        <v>109543692.9652857</v>
      </c>
      <c r="B2279">
        <v>250466569.47939259</v>
      </c>
    </row>
    <row r="2280" spans="1:2" x14ac:dyDescent="0.25">
      <c r="A2280">
        <f ca="1">32000.7511696935*(RANDBETWEEN(2890,3282))</f>
        <v>99650339.142425448</v>
      </c>
      <c r="B2280">
        <v>255639473.6844748</v>
      </c>
    </row>
    <row r="2281" spans="1:2" x14ac:dyDescent="0.25">
      <c r="A2281">
        <f ca="1">33107.7112762298*(RANDBETWEEN(2890,3282))</f>
        <v>97601532.842325509</v>
      </c>
      <c r="B2281">
        <v>238832730.7456727</v>
      </c>
    </row>
    <row r="2282" spans="1:2" x14ac:dyDescent="0.25">
      <c r="A2282">
        <f ca="1">28032.8587038651*(RANDBETWEEN(2890,3282))</f>
        <v>88247439.199767485</v>
      </c>
      <c r="B2282">
        <v>206911444.97638768</v>
      </c>
    </row>
    <row r="2283" spans="1:2" x14ac:dyDescent="0.25">
      <c r="A2283">
        <f ca="1">29243.7387225276*(RANDBETWEEN(2890,3282))</f>
        <v>89134915.626263991</v>
      </c>
      <c r="B2283">
        <v>255279058.5623686</v>
      </c>
    </row>
    <row r="2284" spans="1:2" x14ac:dyDescent="0.25">
      <c r="A2284">
        <f ca="1">27819.8603964129*(RANDBETWEEN(2890,3282))</f>
        <v>86825784.297204509</v>
      </c>
      <c r="B2284">
        <v>251720181.12215361</v>
      </c>
    </row>
    <row r="2285" spans="1:2" x14ac:dyDescent="0.25">
      <c r="A2285">
        <f ca="1">26449.3531757308*(RANDBETWEEN(2890,3282))</f>
        <v>82918722.205916122</v>
      </c>
      <c r="B2285">
        <v>211171093.87919992</v>
      </c>
    </row>
    <row r="2286" spans="1:2" x14ac:dyDescent="0.25">
      <c r="A2286">
        <f ca="1">28410.8935790344*(RANDBETWEEN(2890,3282))</f>
        <v>82420002.272778749</v>
      </c>
      <c r="B2286">
        <v>257725647.13544127</v>
      </c>
    </row>
    <row r="2287" spans="1:2" x14ac:dyDescent="0.25">
      <c r="A2287">
        <f ca="1">27872.0445335869*(RANDBETWEEN(2890,3282))</f>
        <v>89106926.373877287</v>
      </c>
      <c r="B2287">
        <v>214445769.55404839</v>
      </c>
    </row>
    <row r="2288" spans="1:2" x14ac:dyDescent="0.25">
      <c r="A2288">
        <f ca="1">27393.9149070994*(RANDBETWEEN(2890,3282))</f>
        <v>79195807.996424496</v>
      </c>
      <c r="B2288">
        <v>208238626.84895816</v>
      </c>
    </row>
    <row r="2289" spans="1:2" x14ac:dyDescent="0.25">
      <c r="A2289">
        <f ca="1">28753.5889810992*(RANDBETWEEN(2890,3282))</f>
        <v>90056240.688802615</v>
      </c>
      <c r="B2289">
        <v>249510494.73767245</v>
      </c>
    </row>
    <row r="2290" spans="1:2" x14ac:dyDescent="0.25">
      <c r="A2290">
        <f ca="1">34153.41114278*(RANDBETWEEN(2890,3282))</f>
        <v>111920728.31489007</v>
      </c>
      <c r="B2290">
        <v>261551082.10336259</v>
      </c>
    </row>
    <row r="2291" spans="1:2" x14ac:dyDescent="0.25">
      <c r="A2291">
        <f ca="1">26918.7491214659*(RANDBETWEEN(2890,3282))</f>
        <v>79356472.410081401</v>
      </c>
      <c r="B2291">
        <v>234602078.703637</v>
      </c>
    </row>
    <row r="2292" spans="1:2" x14ac:dyDescent="0.25">
      <c r="A2292">
        <f ca="1">26536.4475403133*(RANDBETWEEN(2890,3282))</f>
        <v>81944550.004487351</v>
      </c>
      <c r="B2292">
        <v>207561933.2447471</v>
      </c>
    </row>
    <row r="2293" spans="1:2" x14ac:dyDescent="0.25">
      <c r="A2293">
        <f ca="1">26691.873269183*(RANDBETWEEN(2890,3282))</f>
        <v>80262462.920433208</v>
      </c>
      <c r="B2293">
        <v>219020063.81100878</v>
      </c>
    </row>
    <row r="2294" spans="1:2" x14ac:dyDescent="0.25">
      <c r="A2294">
        <f ca="1">31854.2785374382*(RANDBETWEEN(2890,3282))</f>
        <v>102666339.72616328</v>
      </c>
      <c r="B2294">
        <v>222600200.54311675</v>
      </c>
    </row>
    <row r="2295" spans="1:2" x14ac:dyDescent="0.25">
      <c r="A2295">
        <f ca="1">27812.634573572*(RANDBETWEEN(2890,3282))</f>
        <v>85662914.486601904</v>
      </c>
      <c r="B2295">
        <v>243307398.48203173</v>
      </c>
    </row>
    <row r="2296" spans="1:2" x14ac:dyDescent="0.25">
      <c r="A2296">
        <f ca="1">29193.5478853686*(RANDBETWEEN(2890,3282))</f>
        <v>85537095.304129943</v>
      </c>
      <c r="B2296">
        <v>247803123.53145847</v>
      </c>
    </row>
    <row r="2297" spans="1:2" x14ac:dyDescent="0.25">
      <c r="A2297">
        <f ca="1">26562.2784589712*(RANDBETWEEN(2890,3282))</f>
        <v>80324330.059928998</v>
      </c>
      <c r="B2297">
        <v>265847636.67229185</v>
      </c>
    </row>
    <row r="2298" spans="1:2" x14ac:dyDescent="0.25">
      <c r="A2298">
        <f ca="1">34033.554819776*(RANDBETWEEN(2890,3282))</f>
        <v>104619147.51599137</v>
      </c>
      <c r="B2298">
        <v>258915241.495372</v>
      </c>
    </row>
    <row r="2299" spans="1:2" x14ac:dyDescent="0.25">
      <c r="A2299">
        <f ca="1">31323.6718769112*(RANDBETWEEN(2890,3282))</f>
        <v>93595131.568210557</v>
      </c>
      <c r="B2299">
        <v>207629309.52522659</v>
      </c>
    </row>
    <row r="2300" spans="1:2" x14ac:dyDescent="0.25">
      <c r="A2300">
        <f ca="1">29560.1767555895*(RANDBETWEEN(2890,3282))</f>
        <v>94533445.264375135</v>
      </c>
      <c r="B2300">
        <v>230922337.90540701</v>
      </c>
    </row>
    <row r="2301" spans="1:2" x14ac:dyDescent="0.25">
      <c r="A2301">
        <f ca="1">33555.4650611095*(RANDBETWEEN(2890,3282))</f>
        <v>104894383.78102833</v>
      </c>
      <c r="B2301">
        <v>258167137.02787492</v>
      </c>
    </row>
    <row r="2302" spans="1:2" x14ac:dyDescent="0.25">
      <c r="A2302">
        <f ca="1">27725.4479225925*(RANDBETWEEN(2890,3282))</f>
        <v>82899089.288551435</v>
      </c>
      <c r="B2302">
        <v>215030258.09657258</v>
      </c>
    </row>
    <row r="2303" spans="1:2" x14ac:dyDescent="0.25">
      <c r="A2303">
        <f ca="1">32661.4617319724*(RANDBETWEEN(2890,3282))</f>
        <v>102263036.68280564</v>
      </c>
      <c r="B2303">
        <v>248869084.99687713</v>
      </c>
    </row>
    <row r="2304" spans="1:2" x14ac:dyDescent="0.25">
      <c r="A2304">
        <f ca="1">28037.0181587589*(RANDBETWEEN(2890,3282))</f>
        <v>90896012.870696336</v>
      </c>
      <c r="B2304">
        <v>258601056.03067353</v>
      </c>
    </row>
    <row r="2305" spans="1:2" x14ac:dyDescent="0.25">
      <c r="A2305">
        <f ca="1">30967.2233782418*(RANDBETWEEN(2890,3282))</f>
        <v>94604867.420528665</v>
      </c>
      <c r="B2305">
        <v>235506279.3175405</v>
      </c>
    </row>
    <row r="2306" spans="1:2" x14ac:dyDescent="0.25">
      <c r="A2306">
        <f ca="1">27631.8178993789*(RANDBETWEEN(2890,3282))</f>
        <v>85492844.580678269</v>
      </c>
      <c r="B2306">
        <v>221020291.67726701</v>
      </c>
    </row>
    <row r="2307" spans="1:2" x14ac:dyDescent="0.25">
      <c r="A2307">
        <f ca="1">28618.8966846511*(RANDBETWEEN(2890,3282))</f>
        <v>92152847.324576572</v>
      </c>
      <c r="B2307">
        <v>226972752.06842795</v>
      </c>
    </row>
    <row r="2308" spans="1:2" x14ac:dyDescent="0.25">
      <c r="A2308">
        <f ca="1">31171.7836456258*(RANDBETWEEN(2890,3282))</f>
        <v>97318308.541643873</v>
      </c>
      <c r="B2308">
        <v>243986195.99889481</v>
      </c>
    </row>
    <row r="2309" spans="1:2" x14ac:dyDescent="0.25">
      <c r="A2309">
        <f ca="1">28241.1947523739*(RANDBETWEEN(2890,3282))</f>
        <v>87801874.485130444</v>
      </c>
      <c r="B2309">
        <v>245719771.43340224</v>
      </c>
    </row>
    <row r="2310" spans="1:2" x14ac:dyDescent="0.25">
      <c r="A2310">
        <f ca="1">27198.3819933657*(RANDBETWEEN(2890,3282))</f>
        <v>82084716.85597764</v>
      </c>
      <c r="B2310">
        <v>212515694.34478796</v>
      </c>
    </row>
    <row r="2311" spans="1:2" x14ac:dyDescent="0.25">
      <c r="A2311">
        <f ca="1">30970.3786978351*(RANDBETWEEN(2890,3282))</f>
        <v>95357796.010634288</v>
      </c>
      <c r="B2311">
        <v>254173204.7177341</v>
      </c>
    </row>
    <row r="2312" spans="1:2" x14ac:dyDescent="0.25">
      <c r="A2312">
        <f ca="1">26929.3579006103*(RANDBETWEEN(2890,3282))</f>
        <v>78041279.195968568</v>
      </c>
      <c r="B2312">
        <v>267177550.45840177</v>
      </c>
    </row>
    <row r="2313" spans="1:2" x14ac:dyDescent="0.25">
      <c r="A2313">
        <f ca="1">30530.9930566832*(RANDBETWEEN(2890,3282))</f>
        <v>93760679.677074209</v>
      </c>
      <c r="B2313">
        <v>248700744.08992013</v>
      </c>
    </row>
    <row r="2314" spans="1:2" x14ac:dyDescent="0.25">
      <c r="A2314">
        <f ca="1">28197.6604806758*(RANDBETWEEN(2890,3282))</f>
        <v>82167982.640689313</v>
      </c>
      <c r="B2314">
        <v>239455553.87148511</v>
      </c>
    </row>
    <row r="2315" spans="1:2" x14ac:dyDescent="0.25">
      <c r="A2315">
        <f ca="1">30026.4445430355*(RANDBETWEEN(2890,3282))</f>
        <v>95454067.202309877</v>
      </c>
      <c r="B2315">
        <v>263730849.62637505</v>
      </c>
    </row>
    <row r="2316" spans="1:2" x14ac:dyDescent="0.25">
      <c r="A2316">
        <f ca="1">31279.7765857508*(RANDBETWEEN(2890,3282))</f>
        <v>101221357.03148943</v>
      </c>
      <c r="B2316">
        <v>266893536.2491219</v>
      </c>
    </row>
    <row r="2317" spans="1:2" x14ac:dyDescent="0.25">
      <c r="A2317">
        <f ca="1">30709.1904955638*(RANDBETWEEN(2890,3282))</f>
        <v>100695435.6349538</v>
      </c>
      <c r="B2317">
        <v>250627028.26106504</v>
      </c>
    </row>
    <row r="2318" spans="1:2" x14ac:dyDescent="0.25">
      <c r="A2318">
        <f ca="1">27825.6738291414*(RANDBETWEEN(2890,3282))</f>
        <v>88736073.841131926</v>
      </c>
      <c r="B2318">
        <v>239919132.72987527</v>
      </c>
    </row>
    <row r="2319" spans="1:2" x14ac:dyDescent="0.25">
      <c r="A2319">
        <f ca="1">26463.6994788723*(RANDBETWEEN(2890,3282))</f>
        <v>85980559.606856093</v>
      </c>
      <c r="B2319">
        <v>205196490.91344497</v>
      </c>
    </row>
    <row r="2320" spans="1:2" x14ac:dyDescent="0.25">
      <c r="A2320">
        <f ca="1">27048.9475600001*(RANDBETWEEN(2890,3282))</f>
        <v>84473863.229880199</v>
      </c>
      <c r="B2320">
        <v>262574123.90352386</v>
      </c>
    </row>
    <row r="2321" spans="1:2" x14ac:dyDescent="0.25">
      <c r="A2321">
        <f ca="1">29767.6783197778*(RANDBETWEEN(2890,3282))</f>
        <v>96328207.042800859</v>
      </c>
      <c r="B2321">
        <v>214753497.95072609</v>
      </c>
    </row>
    <row r="2322" spans="1:2" x14ac:dyDescent="0.25">
      <c r="A2322">
        <f ca="1">27458.9596299607*(RANDBETWEEN(2890,3282))</f>
        <v>82459255.768771842</v>
      </c>
      <c r="B2322">
        <v>215501242.37382185</v>
      </c>
    </row>
    <row r="2323" spans="1:2" x14ac:dyDescent="0.25">
      <c r="A2323">
        <f ca="1">28475.5339999196*(RANDBETWEEN(2890,3282))</f>
        <v>83888923.163763106</v>
      </c>
      <c r="B2323">
        <v>259763297.82526112</v>
      </c>
    </row>
    <row r="2324" spans="1:2" x14ac:dyDescent="0.25">
      <c r="A2324">
        <f ca="1">28503.7711835297*(RANDBETWEEN(2890,3282))</f>
        <v>83573057.110109046</v>
      </c>
      <c r="B2324">
        <v>260103218.1024819</v>
      </c>
    </row>
    <row r="2325" spans="1:2" x14ac:dyDescent="0.25">
      <c r="A2325">
        <f ca="1">29430.8697769486*(RANDBETWEEN(2890,3282))</f>
        <v>92560085.448503405</v>
      </c>
      <c r="B2325">
        <v>212325705.75792179</v>
      </c>
    </row>
    <row r="2326" spans="1:2" x14ac:dyDescent="0.25">
      <c r="A2326">
        <f ca="1">28480.3777033765*(RANDBETWEEN(2890,3282))</f>
        <v>88289170.880467042</v>
      </c>
      <c r="B2326">
        <v>252432641.07900059</v>
      </c>
    </row>
    <row r="2327" spans="1:2" x14ac:dyDescent="0.25">
      <c r="A2327">
        <f ca="1">32112.8425247509*(RANDBETWEEN(2890,3282))</f>
        <v>94829223.975589305</v>
      </c>
      <c r="B2327">
        <v>226437998.22365844</v>
      </c>
    </row>
    <row r="2328" spans="1:2" x14ac:dyDescent="0.25">
      <c r="A2328">
        <f ca="1">29777.8313527784*(RANDBETWEEN(2890,3282))</f>
        <v>90733052.131915778</v>
      </c>
      <c r="B2328">
        <v>224255846.97996491</v>
      </c>
    </row>
    <row r="2329" spans="1:2" x14ac:dyDescent="0.25">
      <c r="A2329">
        <f ca="1">32412.7844408399*(RANDBETWEEN(2890,3282))</f>
        <v>96201144.220412731</v>
      </c>
      <c r="B2329">
        <v>257007241.84250411</v>
      </c>
    </row>
    <row r="2330" spans="1:2" x14ac:dyDescent="0.25">
      <c r="A2330">
        <f ca="1">27124.1971404781*(RANDBETWEEN(2890,3282))</f>
        <v>84166383.726903617</v>
      </c>
      <c r="B2330">
        <v>246903186.37692884</v>
      </c>
    </row>
    <row r="2331" spans="1:2" x14ac:dyDescent="0.25">
      <c r="A2331">
        <f ca="1">28035.0718070567*(RANDBETWEEN(2890,3282))</f>
        <v>84189320.636591271</v>
      </c>
      <c r="B2331">
        <v>226139802.37049747</v>
      </c>
    </row>
    <row r="2332" spans="1:2" x14ac:dyDescent="0.25">
      <c r="A2332">
        <f ca="1">30463.6659934078*(RANDBETWEEN(2890,3282))</f>
        <v>88222776.716908902</v>
      </c>
      <c r="B2332">
        <v>222568384.6429981</v>
      </c>
    </row>
    <row r="2333" spans="1:2" x14ac:dyDescent="0.25">
      <c r="A2333">
        <f ca="1">25811.5817343671*(RANDBETWEEN(2890,3282))</f>
        <v>82003395.170084342</v>
      </c>
      <c r="B2333">
        <v>254318482.44448814</v>
      </c>
    </row>
    <row r="2334" spans="1:2" x14ac:dyDescent="0.25">
      <c r="A2334">
        <f ca="1">33248.2185625392*(RANDBETWEEN(2890,3282))</f>
        <v>98148741.196615726</v>
      </c>
      <c r="B2334">
        <v>220490338.54483801</v>
      </c>
    </row>
    <row r="2335" spans="1:2" x14ac:dyDescent="0.25">
      <c r="A2335">
        <f ca="1">30130.7082068047*(RANDBETWEEN(2890,3282))</f>
        <v>90904346.659929886</v>
      </c>
      <c r="B2335">
        <v>206184417.73762199</v>
      </c>
    </row>
    <row r="2336" spans="1:2" x14ac:dyDescent="0.25">
      <c r="A2336">
        <f ca="1">32086.1929858321*(RANDBETWEEN(2890,3282))</f>
        <v>95263906.974935576</v>
      </c>
      <c r="B2336">
        <v>218196652.18393368</v>
      </c>
    </row>
    <row r="2337" spans="1:2" x14ac:dyDescent="0.25">
      <c r="A2337">
        <f ca="1">31018.3075655058*(RANDBETWEEN(2890,3282))</f>
        <v>98203961.752391249</v>
      </c>
      <c r="B2337">
        <v>246544693.98327714</v>
      </c>
    </row>
    <row r="2338" spans="1:2" x14ac:dyDescent="0.25">
      <c r="A2338">
        <f ca="1">30589.4996587338*(RANDBETWEEN(2890,3282))</f>
        <v>90391971.491558388</v>
      </c>
      <c r="B2338">
        <v>233482868.81908447</v>
      </c>
    </row>
    <row r="2339" spans="1:2" x14ac:dyDescent="0.25">
      <c r="A2339">
        <f ca="1">27648.6034432175*(RANDBETWEEN(2890,3282))</f>
        <v>80761570.657638207</v>
      </c>
      <c r="B2339">
        <v>238414619.85712412</v>
      </c>
    </row>
    <row r="2340" spans="1:2" x14ac:dyDescent="0.25">
      <c r="A2340">
        <f ca="1">31723.2702635214*(RANDBETWEEN(2890,3282))</f>
        <v>99991747.870619461</v>
      </c>
      <c r="B2340">
        <v>239073502.39371592</v>
      </c>
    </row>
    <row r="2341" spans="1:2" x14ac:dyDescent="0.25">
      <c r="A2341">
        <f ca="1">28533.2242883746*(RANDBETWEEN(2890,3282))</f>
        <v>91249251.274222016</v>
      </c>
      <c r="B2341">
        <v>257287665.42187274</v>
      </c>
    </row>
    <row r="2342" spans="1:2" x14ac:dyDescent="0.25">
      <c r="A2342">
        <f ca="1">25930.8935805814*(RANDBETWEEN(2890,3282))</f>
        <v>77118477.508649036</v>
      </c>
      <c r="B2342">
        <v>225704275.08294371</v>
      </c>
    </row>
    <row r="2343" spans="1:2" x14ac:dyDescent="0.25">
      <c r="A2343">
        <f ca="1">26293.3277543233*(RANDBETWEEN(2890,3282))</f>
        <v>82692515.787347004</v>
      </c>
      <c r="B2343">
        <v>212495813.74195465</v>
      </c>
    </row>
    <row r="2344" spans="1:2" x14ac:dyDescent="0.25">
      <c r="A2344">
        <f ca="1">29762.1185558379*(RANDBETWEEN(2890,3282))</f>
        <v>93929246.162224501</v>
      </c>
      <c r="B2344">
        <v>231698526.21050268</v>
      </c>
    </row>
    <row r="2345" spans="1:2" x14ac:dyDescent="0.25">
      <c r="A2345">
        <f ca="1">25595.6364692097*(RANDBETWEEN(2890,3282))</f>
        <v>74816045.399500251</v>
      </c>
      <c r="B2345">
        <v>263209146.33928967</v>
      </c>
    </row>
    <row r="2346" spans="1:2" x14ac:dyDescent="0.25">
      <c r="A2346">
        <f ca="1">31720.7471716939*(RANDBETWEEN(2890,3282))</f>
        <v>100301002.556896</v>
      </c>
      <c r="B2346">
        <v>245600087.44756359</v>
      </c>
    </row>
    <row r="2347" spans="1:2" x14ac:dyDescent="0.25">
      <c r="A2347">
        <f ca="1">27191.8595027689*(RANDBETWEEN(2890,3282))</f>
        <v>88101624.788971394</v>
      </c>
      <c r="B2347">
        <v>224024586.10004985</v>
      </c>
    </row>
    <row r="2348" spans="1:2" x14ac:dyDescent="0.25">
      <c r="A2348">
        <f ca="1">32175.8690685689*(RANDBETWEEN(2890,3282))</f>
        <v>98007697.182860941</v>
      </c>
      <c r="B2348">
        <v>207419250.93251333</v>
      </c>
    </row>
    <row r="2349" spans="1:2" x14ac:dyDescent="0.25">
      <c r="A2349">
        <f ca="1">28959.2264384688*(RANDBETWEEN(2890,3282))</f>
        <v>92669524.603100106</v>
      </c>
      <c r="B2349">
        <v>250672290.91455549</v>
      </c>
    </row>
    <row r="2350" spans="1:2" x14ac:dyDescent="0.25">
      <c r="A2350">
        <f ca="1">31510.5587975715*(RANDBETWEEN(2890,3282))</f>
        <v>93208232.923216447</v>
      </c>
      <c r="B2350">
        <v>257593216.52803582</v>
      </c>
    </row>
    <row r="2351" spans="1:2" x14ac:dyDescent="0.25">
      <c r="A2351">
        <f ca="1">31893.6470136828*(RANDBETWEEN(2890,3282))</f>
        <v>101070967.38636076</v>
      </c>
      <c r="B2351">
        <v>231180826.33709118</v>
      </c>
    </row>
    <row r="2352" spans="1:2" x14ac:dyDescent="0.25">
      <c r="A2352">
        <f ca="1">31005.5378882994*(RANDBETWEEN(2890,3282))</f>
        <v>90102093.103398025</v>
      </c>
      <c r="B2352">
        <v>227808082.735901</v>
      </c>
    </row>
    <row r="2353" spans="1:2" x14ac:dyDescent="0.25">
      <c r="A2353">
        <f ca="1">27713.1774070252*(RANDBETWEEN(2890,3282))</f>
        <v>82446702.785899982</v>
      </c>
      <c r="B2353">
        <v>234662301.97066963</v>
      </c>
    </row>
    <row r="2354" spans="1:2" x14ac:dyDescent="0.25">
      <c r="A2354">
        <f ca="1">29007.7889775363*(RANDBETWEEN(2890,3282))</f>
        <v>91258504.123329207</v>
      </c>
      <c r="B2354">
        <v>220542428.04324147</v>
      </c>
    </row>
    <row r="2355" spans="1:2" x14ac:dyDescent="0.25">
      <c r="A2355">
        <f ca="1">27419.1292044023*(RANDBETWEEN(2890,3282))</f>
        <v>84258984.045128167</v>
      </c>
      <c r="B2355">
        <v>213214342.32915062</v>
      </c>
    </row>
    <row r="2356" spans="1:2" x14ac:dyDescent="0.25">
      <c r="A2356">
        <f ca="1">29899.1716620682*(RANDBETWEEN(2890,3282))</f>
        <v>89189229.067949384</v>
      </c>
      <c r="B2356">
        <v>259401618.4080849</v>
      </c>
    </row>
    <row r="2357" spans="1:2" x14ac:dyDescent="0.25">
      <c r="A2357">
        <f ca="1">30347.5345433536*(RANDBETWEEN(2890,3282))</f>
        <v>88463063.1938757</v>
      </c>
      <c r="B2357">
        <v>217676719.7340301</v>
      </c>
    </row>
    <row r="2358" spans="1:2" x14ac:dyDescent="0.25">
      <c r="A2358">
        <f ca="1">32098.6819668074*(RANDBETWEEN(2890,3282))</f>
        <v>93631855.297177255</v>
      </c>
      <c r="B2358">
        <v>264449270.65900639</v>
      </c>
    </row>
    <row r="2359" spans="1:2" x14ac:dyDescent="0.25">
      <c r="A2359">
        <f ca="1">32347.4384046282*(RANDBETWEEN(2890,3282))</f>
        <v>96524756.199410409</v>
      </c>
      <c r="B2359">
        <v>259465525.37484744</v>
      </c>
    </row>
    <row r="2360" spans="1:2" x14ac:dyDescent="0.25">
      <c r="A2360">
        <f ca="1">30541.6951492195*(RANDBETWEEN(2890,3282))</f>
        <v>92663503.082731903</v>
      </c>
      <c r="B2360">
        <v>212145095.96583781</v>
      </c>
    </row>
    <row r="2361" spans="1:2" x14ac:dyDescent="0.25">
      <c r="A2361">
        <f ca="1">32941.2920084779*(RANDBETWEEN(2890,3282))</f>
        <v>101063883.8820101</v>
      </c>
      <c r="B2361">
        <v>212272651.81134355</v>
      </c>
    </row>
    <row r="2362" spans="1:2" x14ac:dyDescent="0.25">
      <c r="A2362">
        <f ca="1">29732.1469048729*(RANDBETWEEN(2890,3282))</f>
        <v>86580011.786989957</v>
      </c>
      <c r="B2362">
        <v>213256231.12923172</v>
      </c>
    </row>
    <row r="2363" spans="1:2" x14ac:dyDescent="0.25">
      <c r="A2363">
        <f ca="1">28397.0918142721*(RANDBETWEEN(2890,3282))</f>
        <v>85390055.085516214</v>
      </c>
      <c r="B2363">
        <v>226430428.68690464</v>
      </c>
    </row>
    <row r="2364" spans="1:2" x14ac:dyDescent="0.25">
      <c r="A2364">
        <f ca="1">32201.4426592711*(RANDBETWEEN(2890,3282))</f>
        <v>99405853.489169896</v>
      </c>
      <c r="B2364">
        <v>249248780.62800774</v>
      </c>
    </row>
    <row r="2365" spans="1:2" x14ac:dyDescent="0.25">
      <c r="A2365">
        <f ca="1">32191.7130696883*(RANDBETWEEN(2890,3282))</f>
        <v>96349797.21757713</v>
      </c>
      <c r="B2365">
        <v>247753742.52827197</v>
      </c>
    </row>
    <row r="2366" spans="1:2" x14ac:dyDescent="0.25">
      <c r="A2366">
        <f ca="1">26779.5818557283*(RANDBETWEEN(2890,3282))</f>
        <v>83927209.535852626</v>
      </c>
      <c r="B2366">
        <v>259658919.07912651</v>
      </c>
    </row>
    <row r="2367" spans="1:2" x14ac:dyDescent="0.25">
      <c r="A2367">
        <f ca="1">31598.2806957241*(RANDBETWEEN(2890,3282))</f>
        <v>92140586.508731604</v>
      </c>
      <c r="B2367">
        <v>248461501.0223386</v>
      </c>
    </row>
    <row r="2368" spans="1:2" x14ac:dyDescent="0.25">
      <c r="A2368">
        <f ca="1">30134.69356998*(RANDBETWEEN(2890,3282))</f>
        <v>90524619.484219953</v>
      </c>
      <c r="B2368">
        <v>264468127.36150485</v>
      </c>
    </row>
    <row r="2369" spans="1:2" x14ac:dyDescent="0.25">
      <c r="A2369">
        <f ca="1">28808.1161769926*(RANDBETWEEN(2890,3282))</f>
        <v>94116115.550234795</v>
      </c>
      <c r="B2369">
        <v>237944642.80498579</v>
      </c>
    </row>
    <row r="2370" spans="1:2" x14ac:dyDescent="0.25">
      <c r="A2370">
        <f ca="1">30156.6303942872*(RANDBETWEEN(2890,3282))</f>
        <v>90228638.139707372</v>
      </c>
      <c r="B2370">
        <v>236722654.51042938</v>
      </c>
    </row>
    <row r="2371" spans="1:2" x14ac:dyDescent="0.25">
      <c r="A2371">
        <f ca="1">32224.57947007*(RANDBETWEEN(2890,3282))</f>
        <v>96415941.774449587</v>
      </c>
      <c r="B2371">
        <v>237734155.32684886</v>
      </c>
    </row>
    <row r="2372" spans="1:2" x14ac:dyDescent="0.25">
      <c r="A2372">
        <f ca="1">26916.8180989503*(RANDBETWEEN(2890,3282))</f>
        <v>82311629.746590108</v>
      </c>
      <c r="B2372">
        <v>222032458.05831686</v>
      </c>
    </row>
    <row r="2373" spans="1:2" x14ac:dyDescent="0.25">
      <c r="A2373">
        <f ca="1">31016.7545798151*(RANDBETWEEN(2890,3282))</f>
        <v>97113458.589401007</v>
      </c>
      <c r="B2373">
        <v>251742523.85714257</v>
      </c>
    </row>
    <row r="2374" spans="1:2" x14ac:dyDescent="0.25">
      <c r="A2374">
        <f ca="1">29633.7167448556*(RANDBETWEEN(2890,3282))</f>
        <v>95272399.334710896</v>
      </c>
      <c r="B2374">
        <v>257441549.24688447</v>
      </c>
    </row>
    <row r="2375" spans="1:2" x14ac:dyDescent="0.25">
      <c r="A2375">
        <f ca="1">28432.6544833465*(RANDBETWEEN(2890,3282))</f>
        <v>88795179.951491058</v>
      </c>
      <c r="B2375">
        <v>222769636.61826491</v>
      </c>
    </row>
    <row r="2376" spans="1:2" x14ac:dyDescent="0.25">
      <c r="A2376">
        <f ca="1">33043.5806728802*(RANDBETWEEN(2890,3282))</f>
        <v>96718560.629520431</v>
      </c>
      <c r="B2376">
        <v>222731668.64314795</v>
      </c>
    </row>
    <row r="2377" spans="1:2" x14ac:dyDescent="0.25">
      <c r="A2377">
        <f ca="1">32124.0153184207*(RANDBETWEEN(2890,3282))</f>
        <v>104338801.75423034</v>
      </c>
      <c r="B2377">
        <v>240099297.94803736</v>
      </c>
    </row>
    <row r="2378" spans="1:2" x14ac:dyDescent="0.25">
      <c r="A2378">
        <f ca="1">27981.7090209783*(RANDBETWEEN(2890,3282))</f>
        <v>87023115.055242553</v>
      </c>
      <c r="B2378">
        <v>237512904.25684911</v>
      </c>
    </row>
    <row r="2379" spans="1:2" x14ac:dyDescent="0.25">
      <c r="A2379">
        <f ca="1">29220.4134943169*(RANDBETWEEN(2890,3282))</f>
        <v>89063820.330677837</v>
      </c>
      <c r="B2379">
        <v>227612971.91896439</v>
      </c>
    </row>
    <row r="2380" spans="1:2" x14ac:dyDescent="0.25">
      <c r="A2380">
        <f ca="1">31971.3487082676*(RANDBETWEEN(2890,3282))</f>
        <v>92940710.694933817</v>
      </c>
      <c r="B2380">
        <v>258566667.00011826</v>
      </c>
    </row>
    <row r="2381" spans="1:2" x14ac:dyDescent="0.25">
      <c r="A2381">
        <f ca="1">31764.3843576897*(RANDBETWEEN(2890,3282))</f>
        <v>95674325.6853614</v>
      </c>
      <c r="B2381">
        <v>247970797.79173568</v>
      </c>
    </row>
    <row r="2382" spans="1:2" x14ac:dyDescent="0.25">
      <c r="A2382">
        <f ca="1">30459.4576318491*(RANDBETWEEN(2890,3282))</f>
        <v>98932318.388246015</v>
      </c>
      <c r="B2382">
        <v>262354811.35737395</v>
      </c>
    </row>
    <row r="2383" spans="1:2" x14ac:dyDescent="0.25">
      <c r="A2383">
        <f ca="1">33011.8284644664*(RANDBETWEEN(2890,3282))</f>
        <v>96724657.400886431</v>
      </c>
      <c r="B2383">
        <v>258817486.49327582</v>
      </c>
    </row>
    <row r="2384" spans="1:2" x14ac:dyDescent="0.25">
      <c r="A2384">
        <f ca="1">27866.0959558162*(RANDBETWEEN(2890,3282))</f>
        <v>84462136.842078954</v>
      </c>
      <c r="B2384">
        <v>209678106.65513581</v>
      </c>
    </row>
    <row r="2385" spans="1:2" x14ac:dyDescent="0.25">
      <c r="A2385">
        <f ca="1">33984.4748764075*(RANDBETWEEN(2890,3282))</f>
        <v>99948340.611514494</v>
      </c>
      <c r="B2385">
        <v>204776465.91400954</v>
      </c>
    </row>
    <row r="2386" spans="1:2" x14ac:dyDescent="0.25">
      <c r="A2386">
        <f ca="1">27483.8111959323*(RANDBETWEEN(2890,3282))</f>
        <v>89707159.743522972</v>
      </c>
      <c r="B2386">
        <v>207408205.11550868</v>
      </c>
    </row>
    <row r="2387" spans="1:2" x14ac:dyDescent="0.25">
      <c r="A2387">
        <f ca="1">32170.323446485*(RANDBETWEEN(2890,3282))</f>
        <v>105325638.96379185</v>
      </c>
      <c r="B2387">
        <v>214605832.69842324</v>
      </c>
    </row>
    <row r="2388" spans="1:2" x14ac:dyDescent="0.25">
      <c r="A2388">
        <f ca="1">29454.8238830945*(RANDBETWEEN(2890,3282))</f>
        <v>86332088.801349923</v>
      </c>
      <c r="B2388">
        <v>262197667.88881645</v>
      </c>
    </row>
    <row r="2389" spans="1:2" x14ac:dyDescent="0.25">
      <c r="A2389">
        <f ca="1">31023.7645864336*(RANDBETWEEN(2890,3282))</f>
        <v>91892390.705016285</v>
      </c>
      <c r="B2389">
        <v>254223762.28538567</v>
      </c>
    </row>
    <row r="2390" spans="1:2" x14ac:dyDescent="0.25">
      <c r="A2390">
        <f ca="1">29482.1398283451*(RANDBETWEEN(2890,3282))</f>
        <v>86471116.116536155</v>
      </c>
      <c r="B2390">
        <v>232076984.9506641</v>
      </c>
    </row>
    <row r="2391" spans="1:2" x14ac:dyDescent="0.25">
      <c r="A2391">
        <f ca="1">32880.5586491745*(RANDBETWEEN(2890,3282))</f>
        <v>95846828.462343603</v>
      </c>
      <c r="B2391">
        <v>234473587.11975521</v>
      </c>
    </row>
    <row r="2392" spans="1:2" x14ac:dyDescent="0.25">
      <c r="A2392">
        <f ca="1">31031.7583760434*(RANDBETWEEN(2890,3282))</f>
        <v>98029324.709921226</v>
      </c>
      <c r="B2392">
        <v>224060031.63852113</v>
      </c>
    </row>
    <row r="2393" spans="1:2" x14ac:dyDescent="0.25">
      <c r="A2393">
        <f ca="1">28746.5070136402*(RANDBETWEEN(2890,3282))</f>
        <v>88539241.602011755</v>
      </c>
      <c r="B2393">
        <v>207035530.81890398</v>
      </c>
    </row>
    <row r="2394" spans="1:2" x14ac:dyDescent="0.25">
      <c r="A2394">
        <f ca="1">26318.3605614308*(RANDBETWEEN(2890,3282))</f>
        <v>81244779.053136766</v>
      </c>
      <c r="B2394">
        <v>210213334.42027751</v>
      </c>
    </row>
    <row r="2395" spans="1:2" x14ac:dyDescent="0.25">
      <c r="A2395">
        <f ca="1">28769.8628904944*(RANDBETWEEN(2890,3282))</f>
        <v>92754037.958954081</v>
      </c>
      <c r="B2395">
        <v>259743335.91019279</v>
      </c>
    </row>
    <row r="2396" spans="1:2" x14ac:dyDescent="0.25">
      <c r="A2396">
        <f ca="1">28337.6441245774*(RANDBETWEEN(2890,3282))</f>
        <v>83709400.744001776</v>
      </c>
      <c r="B2396">
        <v>218827923.37469205</v>
      </c>
    </row>
    <row r="2397" spans="1:2" x14ac:dyDescent="0.25">
      <c r="A2397">
        <f ca="1">26954.3338282381*(RANDBETWEEN(2890,3282))</f>
        <v>88437169.290449083</v>
      </c>
      <c r="B2397">
        <v>235612383.45736706</v>
      </c>
    </row>
    <row r="2398" spans="1:2" x14ac:dyDescent="0.25">
      <c r="A2398">
        <f ca="1">29336.9277111487*(RANDBETWEEN(2890,3282))</f>
        <v>88656195.543091252</v>
      </c>
      <c r="B2398">
        <v>239153355.79300496</v>
      </c>
    </row>
    <row r="2399" spans="1:2" x14ac:dyDescent="0.25">
      <c r="A2399">
        <f ca="1">32687.4187545927*(RANDBETWEEN(2890,3282))</f>
        <v>104632427.43345121</v>
      </c>
      <c r="B2399">
        <v>231221094.49404353</v>
      </c>
    </row>
    <row r="2400" spans="1:2" x14ac:dyDescent="0.25">
      <c r="A2400">
        <f ca="1">28386.0309635837*(RANDBETWEEN(2890,3282))</f>
        <v>90977229.238285631</v>
      </c>
      <c r="B2400">
        <v>262036599.55835974</v>
      </c>
    </row>
    <row r="2401" spans="1:2" x14ac:dyDescent="0.25">
      <c r="A2401">
        <f ca="1">32919.9000910652*(RANDBETWEEN(2890,3282))</f>
        <v>97739183.370372653</v>
      </c>
      <c r="B2401">
        <v>210249660.60559788</v>
      </c>
    </row>
    <row r="2402" spans="1:2" x14ac:dyDescent="0.25">
      <c r="A2402">
        <f ca="1">27795.4946108803*(RANDBETWEEN(2890,3282))</f>
        <v>87277853.07816413</v>
      </c>
      <c r="B2402">
        <v>211741654.67155305</v>
      </c>
    </row>
    <row r="2403" spans="1:2" x14ac:dyDescent="0.25">
      <c r="A2403">
        <f ca="1">27935.2590813889*(RANDBETWEEN(2890,3282))</f>
        <v>84643835.016608447</v>
      </c>
      <c r="B2403">
        <v>247169431.94984087</v>
      </c>
    </row>
    <row r="2404" spans="1:2" x14ac:dyDescent="0.25">
      <c r="A2404">
        <f ca="1">29199.0061279893*(RANDBETWEEN(2890,3282))</f>
        <v>86370660.126592606</v>
      </c>
      <c r="B2404">
        <v>211265190.12220016</v>
      </c>
    </row>
    <row r="2405" spans="1:2" x14ac:dyDescent="0.25">
      <c r="A2405">
        <f ca="1">29916.0922004857*(RANDBETWEEN(2890,3282))</f>
        <v>96030655.963559061</v>
      </c>
      <c r="B2405">
        <v>228024509.75932473</v>
      </c>
    </row>
    <row r="2406" spans="1:2" x14ac:dyDescent="0.25">
      <c r="A2406">
        <f ca="1">31057.2010867156*(RANDBETWEEN(2890,3282))</f>
        <v>96587895.379685596</v>
      </c>
      <c r="B2406">
        <v>250600709.08701599</v>
      </c>
    </row>
    <row r="2407" spans="1:2" x14ac:dyDescent="0.25">
      <c r="A2407">
        <f ca="1">30324.1485443729*(RANDBETWEEN(2890,3282))</f>
        <v>92882866.991414189</v>
      </c>
      <c r="B2407">
        <v>263131845.87604076</v>
      </c>
    </row>
    <row r="2408" spans="1:2" x14ac:dyDescent="0.25">
      <c r="A2408">
        <f ca="1">28176.8170041206*(RANDBETWEEN(2890,3282))</f>
        <v>87319955.895769641</v>
      </c>
      <c r="B2408">
        <v>204612199.60654029</v>
      </c>
    </row>
    <row r="2409" spans="1:2" x14ac:dyDescent="0.25">
      <c r="A2409">
        <f ca="1">30015.2831028405*(RANDBETWEEN(2890,3282))</f>
        <v>96138951.778398141</v>
      </c>
      <c r="B2409">
        <v>204446120.57295722</v>
      </c>
    </row>
    <row r="2410" spans="1:2" x14ac:dyDescent="0.25">
      <c r="A2410">
        <f ca="1">27580.9451367384*(RANDBETWEEN(2890,3282))</f>
        <v>82853159.190762103</v>
      </c>
      <c r="B2410">
        <v>230155889.46426329</v>
      </c>
    </row>
    <row r="2411" spans="1:2" x14ac:dyDescent="0.25">
      <c r="A2411">
        <f ca="1">27015.6480702028*(RANDBETWEEN(2890,3282))</f>
        <v>78075222.922885969</v>
      </c>
      <c r="B2411">
        <v>237477350.76226828</v>
      </c>
    </row>
    <row r="2412" spans="1:2" x14ac:dyDescent="0.25">
      <c r="A2412">
        <f ca="1">33145.5031744203*(RANDBETWEEN(2890,3282))</f>
        <v>96221395.715342134</v>
      </c>
      <c r="B2412">
        <v>210713677.39220881</v>
      </c>
    </row>
    <row r="2413" spans="1:2" x14ac:dyDescent="0.25">
      <c r="A2413">
        <f ca="1">27723.429200934*(RANDBETWEEN(2890,3282))</f>
        <v>88354568.863376796</v>
      </c>
      <c r="B2413">
        <v>228376049.05413345</v>
      </c>
    </row>
    <row r="2414" spans="1:2" x14ac:dyDescent="0.25">
      <c r="A2414">
        <f ca="1">29575.3404265217*(RANDBETWEEN(2890,3282))</f>
        <v>88607719.917859092</v>
      </c>
      <c r="B2414">
        <v>218919612.30810899</v>
      </c>
    </row>
    <row r="2415" spans="1:2" x14ac:dyDescent="0.25">
      <c r="A2415">
        <f ca="1">29488.1993346889*(RANDBETWEEN(2890,3282))</f>
        <v>90174913.565478742</v>
      </c>
      <c r="B2415">
        <v>226361684.16773692</v>
      </c>
    </row>
    <row r="2416" spans="1:2" x14ac:dyDescent="0.25">
      <c r="A2416">
        <f ca="1">27041.2255998781*(RANDBETWEEN(2890,3282))</f>
        <v>87883983.199603915</v>
      </c>
      <c r="B2416">
        <v>229329264.82117486</v>
      </c>
    </row>
    <row r="2417" spans="1:2" x14ac:dyDescent="0.25">
      <c r="A2417">
        <f ca="1">27074.4566894751*(RANDBETWEEN(2890,3282))</f>
        <v>79517679.296988264</v>
      </c>
      <c r="B2417">
        <v>244964028.77193606</v>
      </c>
    </row>
    <row r="2418" spans="1:2" x14ac:dyDescent="0.25">
      <c r="A2418">
        <f ca="1">30160.8960404648*(RANDBETWEEN(2890,3282))</f>
        <v>91085906.042203754</v>
      </c>
      <c r="B2418">
        <v>235316681.02775857</v>
      </c>
    </row>
    <row r="2419" spans="1:2" x14ac:dyDescent="0.25">
      <c r="A2419">
        <f ca="1">33684.7916850838*(RANDBETWEEN(2890,3282))</f>
        <v>108262920.47585943</v>
      </c>
      <c r="B2419">
        <v>267657967.23554122</v>
      </c>
    </row>
    <row r="2420" spans="1:2" x14ac:dyDescent="0.25">
      <c r="A2420">
        <f ca="1">30898.145032231*(RANDBETWEEN(2890,3282))</f>
        <v>92663536.951660842</v>
      </c>
      <c r="B2420">
        <v>257444184.40415606</v>
      </c>
    </row>
    <row r="2421" spans="1:2" x14ac:dyDescent="0.25">
      <c r="A2421">
        <f ca="1">29047.1663487092*(RANDBETWEEN(2890,3282))</f>
        <v>86182942.556620076</v>
      </c>
      <c r="B2421">
        <v>233246994.67887911</v>
      </c>
    </row>
    <row r="2422" spans="1:2" x14ac:dyDescent="0.25">
      <c r="A2422">
        <f ca="1">33321.6827516585*(RANDBETWEEN(2890,3282))</f>
        <v>98798789.358667597</v>
      </c>
      <c r="B2422">
        <v>264423928.46606982</v>
      </c>
    </row>
    <row r="2423" spans="1:2" x14ac:dyDescent="0.25">
      <c r="A2423">
        <f ca="1">30176.8862964901*(RANDBETWEEN(2890,3282))</f>
        <v>88750222.597977281</v>
      </c>
      <c r="B2423">
        <v>265929482.08636665</v>
      </c>
    </row>
    <row r="2424" spans="1:2" x14ac:dyDescent="0.25">
      <c r="A2424">
        <f ca="1">28275.0998372284*(RANDBETWEEN(2890,3282))</f>
        <v>89943092.582223624</v>
      </c>
      <c r="B2424">
        <v>232885841.85393441</v>
      </c>
    </row>
    <row r="2425" spans="1:2" x14ac:dyDescent="0.25">
      <c r="A2425">
        <f ca="1">31856.4052458994*(RANDBETWEEN(2890,3282))</f>
        <v>101558219.92392723</v>
      </c>
      <c r="B2425">
        <v>260210884.89117569</v>
      </c>
    </row>
    <row r="2426" spans="1:2" x14ac:dyDescent="0.25">
      <c r="A2426">
        <f ca="1">32139.8289766144*(RANDBETWEEN(2890,3282))</f>
        <v>95969529.32417056</v>
      </c>
      <c r="B2426">
        <v>240975991.22654715</v>
      </c>
    </row>
    <row r="2427" spans="1:2" x14ac:dyDescent="0.25">
      <c r="A2427">
        <f ca="1">27729.6092274892*(RANDBETWEEN(2890,3282))</f>
        <v>82440128.233325452</v>
      </c>
      <c r="B2427">
        <v>254541377.08513159</v>
      </c>
    </row>
    <row r="2428" spans="1:2" x14ac:dyDescent="0.25">
      <c r="A2428">
        <f ca="1">27674.6118196748*(RANDBETWEEN(2890,3282))</f>
        <v>81501731.808942333</v>
      </c>
      <c r="B2428">
        <v>204247584.59934056</v>
      </c>
    </row>
    <row r="2429" spans="1:2" x14ac:dyDescent="0.25">
      <c r="A2429">
        <f ca="1">27836.8364326562*(RANDBETWEEN(2890,3282))</f>
        <v>80448457.29037638</v>
      </c>
      <c r="B2429">
        <v>235405862.20175332</v>
      </c>
    </row>
    <row r="2430" spans="1:2" x14ac:dyDescent="0.25">
      <c r="A2430">
        <f ca="1">29039.0259878202*(RANDBETWEEN(2890,3282))</f>
        <v>93447585.628805518</v>
      </c>
      <c r="B2430">
        <v>205463197.71177366</v>
      </c>
    </row>
    <row r="2431" spans="1:2" x14ac:dyDescent="0.25">
      <c r="A2431">
        <f ca="1">29842.3366258399*(RANDBETWEEN(2890,3282))</f>
        <v>90899757.362308472</v>
      </c>
      <c r="B2431">
        <v>226976756.60381234</v>
      </c>
    </row>
    <row r="2432" spans="1:2" x14ac:dyDescent="0.25">
      <c r="A2432">
        <f ca="1">28291.9301047388*(RANDBETWEEN(2890,3282))</f>
        <v>91411226.16841121</v>
      </c>
      <c r="B2432">
        <v>205642016.60434046</v>
      </c>
    </row>
    <row r="2433" spans="1:2" x14ac:dyDescent="0.25">
      <c r="A2433">
        <f ca="1">30531.7065295556*(RANDBETWEEN(2890,3282))</f>
        <v>93091173.208614975</v>
      </c>
      <c r="B2433">
        <v>231587618.65048373</v>
      </c>
    </row>
    <row r="2434" spans="1:2" x14ac:dyDescent="0.25">
      <c r="A2434">
        <f ca="1">30524.8860350451*(RANDBETWEEN(2890,3282))</f>
        <v>92246205.597906306</v>
      </c>
      <c r="B2434">
        <v>222361142.87233502</v>
      </c>
    </row>
    <row r="2435" spans="1:2" x14ac:dyDescent="0.25">
      <c r="A2435">
        <f ca="1">32067.8298685289*(RANDBETWEEN(2890,3282))</f>
        <v>96460032.244534999</v>
      </c>
      <c r="B2435">
        <v>250492156.2702682</v>
      </c>
    </row>
    <row r="2436" spans="1:2" x14ac:dyDescent="0.25">
      <c r="A2436">
        <f ca="1">32443.5649648026*(RANDBETWEEN(2890,3282))</f>
        <v>103430085.1077906</v>
      </c>
      <c r="B2436">
        <v>258364138.75257272</v>
      </c>
    </row>
    <row r="2437" spans="1:2" x14ac:dyDescent="0.25">
      <c r="A2437">
        <f ca="1">32720.4538510549*(RANDBETWEEN(2890,3282))</f>
        <v>102938547.81541862</v>
      </c>
      <c r="B2437">
        <v>243439478.39523351</v>
      </c>
    </row>
    <row r="2438" spans="1:2" x14ac:dyDescent="0.25">
      <c r="A2438">
        <f ca="1">31643.0883695505*(RANDBETWEEN(2890,3282))</f>
        <v>101574313.66625696</v>
      </c>
      <c r="B2438">
        <v>211454351.42529273</v>
      </c>
    </row>
    <row r="2439" spans="1:2" x14ac:dyDescent="0.25">
      <c r="A2439">
        <f ca="1">31258.767232289*(RANDBETWEEN(2890,3282))</f>
        <v>97089731.023489535</v>
      </c>
      <c r="B2439">
        <v>223236722.82879156</v>
      </c>
    </row>
    <row r="2440" spans="1:2" x14ac:dyDescent="0.25">
      <c r="A2440">
        <f ca="1">29780.9608346583*(RANDBETWEEN(2890,3282))</f>
        <v>92797473.960795254</v>
      </c>
      <c r="B2440">
        <v>264114578.12408856</v>
      </c>
    </row>
    <row r="2441" spans="1:2" x14ac:dyDescent="0.25">
      <c r="A2441">
        <f ca="1">32431.5859310763*(RANDBETWEEN(2890,3282))</f>
        <v>98267705.371161088</v>
      </c>
      <c r="B2441">
        <v>242970627.73043826</v>
      </c>
    </row>
    <row r="2442" spans="1:2" x14ac:dyDescent="0.25">
      <c r="A2442">
        <f ca="1">28381.4255636498*(RANDBETWEEN(2890,3282))</f>
        <v>82306134.134584561</v>
      </c>
      <c r="B2442">
        <v>231617048.8591193</v>
      </c>
    </row>
    <row r="2443" spans="1:2" x14ac:dyDescent="0.25">
      <c r="A2443">
        <f ca="1">26404.1669612843*(RANDBETWEEN(2890,3282))</f>
        <v>85259055.117987156</v>
      </c>
      <c r="B2443">
        <v>212430299.7002745</v>
      </c>
    </row>
    <row r="2444" spans="1:2" x14ac:dyDescent="0.25">
      <c r="A2444">
        <f ca="1">33147.8015330758*(RANDBETWEEN(2890,3282))</f>
        <v>95962885.438254505</v>
      </c>
      <c r="B2444">
        <v>266947810.11399162</v>
      </c>
    </row>
    <row r="2445" spans="1:2" x14ac:dyDescent="0.25">
      <c r="A2445">
        <f ca="1">29056.5257097874*(RANDBETWEEN(2890,3282))</f>
        <v>92283525.654284805</v>
      </c>
      <c r="B2445">
        <v>241268748.03271973</v>
      </c>
    </row>
    <row r="2446" spans="1:2" x14ac:dyDescent="0.25">
      <c r="A2446">
        <f ca="1">33929.7798253327*(RANDBETWEEN(2890,3282))</f>
        <v>107285963.80770208</v>
      </c>
      <c r="B2446">
        <v>229071360.37914833</v>
      </c>
    </row>
    <row r="2447" spans="1:2" x14ac:dyDescent="0.25">
      <c r="A2447">
        <f ca="1">27728.5318928715*(RANDBETWEEN(2890,3282))</f>
        <v>90616842.225904122</v>
      </c>
      <c r="B2447">
        <v>241563625.96834242</v>
      </c>
    </row>
    <row r="2448" spans="1:2" x14ac:dyDescent="0.25">
      <c r="A2448">
        <f ca="1">28561.2966872034*(RANDBETWEEN(2890,3282))</f>
        <v>86083748.215230927</v>
      </c>
      <c r="B2448">
        <v>223497555.71266782</v>
      </c>
    </row>
    <row r="2449" spans="1:2" x14ac:dyDescent="0.25">
      <c r="A2449">
        <f ca="1">33628.7741479461*(RANDBETWEEN(2890,3282))</f>
        <v>100919951.2179864</v>
      </c>
      <c r="B2449">
        <v>249633845.90255496</v>
      </c>
    </row>
    <row r="2450" spans="1:2" x14ac:dyDescent="0.25">
      <c r="A2450">
        <f ca="1">31562.0175165786*(RANDBETWEEN(2890,3282))</f>
        <v>95380416.935100585</v>
      </c>
      <c r="B2450">
        <v>227536311.18455848</v>
      </c>
    </row>
    <row r="2451" spans="1:2" x14ac:dyDescent="0.25">
      <c r="A2451">
        <f ca="1">29532.0578035222*(RANDBETWEEN(2890,3282))</f>
        <v>95920123.745840132</v>
      </c>
      <c r="B2451">
        <v>207435892.507305</v>
      </c>
    </row>
    <row r="2452" spans="1:2" x14ac:dyDescent="0.25">
      <c r="A2452">
        <f ca="1">27675.9159544513*(RANDBETWEEN(2890,3282))</f>
        <v>80813674.586997777</v>
      </c>
      <c r="B2452">
        <v>204288714.98959762</v>
      </c>
    </row>
    <row r="2453" spans="1:2" x14ac:dyDescent="0.25">
      <c r="A2453">
        <f ca="1">28741.5551961851*(RANDBETWEEN(2890,3282))</f>
        <v>86454598.030124843</v>
      </c>
      <c r="B2453">
        <v>249444107.67394769</v>
      </c>
    </row>
    <row r="2454" spans="1:2" x14ac:dyDescent="0.25">
      <c r="A2454">
        <f ca="1">26404.670742673*(RANDBETWEEN(2890,3282))</f>
        <v>84864611.766950935</v>
      </c>
      <c r="B2454">
        <v>233970363.69053331</v>
      </c>
    </row>
    <row r="2455" spans="1:2" x14ac:dyDescent="0.25">
      <c r="A2455">
        <f ca="1">29195.9867820153*(RANDBETWEEN(2890,3282))</f>
        <v>93835901.517397255</v>
      </c>
      <c r="B2455">
        <v>234631108.17475438</v>
      </c>
    </row>
    <row r="2456" spans="1:2" x14ac:dyDescent="0.25">
      <c r="A2456">
        <f ca="1">29954.9296757564*(RANDBETWEEN(2890,3282))</f>
        <v>86899250.989369407</v>
      </c>
      <c r="B2456">
        <v>239216266.94551504</v>
      </c>
    </row>
    <row r="2457" spans="1:2" x14ac:dyDescent="0.25">
      <c r="A2457">
        <f ca="1">28015.3685349464*(RANDBETWEEN(2890,3282))</f>
        <v>84130151.710443944</v>
      </c>
      <c r="B2457">
        <v>245001345.2049253</v>
      </c>
    </row>
    <row r="2458" spans="1:2" x14ac:dyDescent="0.25">
      <c r="A2458">
        <f ca="1">29576.3262985435*(RANDBETWEEN(2890,3282))</f>
        <v>95708991.902086735</v>
      </c>
      <c r="B2458">
        <v>223225170.55989832</v>
      </c>
    </row>
    <row r="2459" spans="1:2" x14ac:dyDescent="0.25">
      <c r="A2459">
        <f ca="1">29584.9822763648*(RANDBETWEEN(2890,3282))</f>
        <v>95589077.734934539</v>
      </c>
      <c r="B2459">
        <v>207626525.12758499</v>
      </c>
    </row>
    <row r="2460" spans="1:2" x14ac:dyDescent="0.25">
      <c r="A2460">
        <f ca="1">29607.4991883929*(RANDBETWEEN(2890,3282))</f>
        <v>95928297.370393023</v>
      </c>
      <c r="B2460">
        <v>215548045.82906014</v>
      </c>
    </row>
    <row r="2461" spans="1:2" x14ac:dyDescent="0.25">
      <c r="A2461">
        <f ca="1">30829.1636983332*(RANDBETWEEN(2890,3282))</f>
        <v>97204353.140844584</v>
      </c>
      <c r="B2461">
        <v>208291728.30845904</v>
      </c>
    </row>
    <row r="2462" spans="1:2" x14ac:dyDescent="0.25">
      <c r="A2462">
        <f ca="1">28435.76289044*(RANDBETWEEN(2890,3282))</f>
        <v>84027679.341250315</v>
      </c>
      <c r="B2462">
        <v>206911187.9009338</v>
      </c>
    </row>
    <row r="2463" spans="1:2" x14ac:dyDescent="0.25">
      <c r="A2463">
        <f ca="1">30884.0190814824*(RANDBETWEEN(2890,3282))</f>
        <v>94690402.503825143</v>
      </c>
      <c r="B2463">
        <v>210636416.0836527</v>
      </c>
    </row>
    <row r="2464" spans="1:2" x14ac:dyDescent="0.25">
      <c r="A2464">
        <f ca="1">25597.6516951543*(RANDBETWEEN(2890,3282))</f>
        <v>74309982.871033013</v>
      </c>
      <c r="B2464">
        <v>244126500.82434905</v>
      </c>
    </row>
    <row r="2465" spans="1:2" x14ac:dyDescent="0.25">
      <c r="A2465">
        <f ca="1">26637.6743604088*(RANDBETWEEN(2890,3282))</f>
        <v>86678992.368770286</v>
      </c>
      <c r="B2465">
        <v>205397954.19060019</v>
      </c>
    </row>
    <row r="2466" spans="1:2" x14ac:dyDescent="0.25">
      <c r="A2466">
        <f ca="1">30796.3293190852*(RANDBETWEEN(2890,3282))</f>
        <v>95253046.583930671</v>
      </c>
      <c r="B2466">
        <v>234491581.02332228</v>
      </c>
    </row>
    <row r="2467" spans="1:2" x14ac:dyDescent="0.25">
      <c r="A2467">
        <f ca="1">29316.633930426*(RANDBETWEEN(2890,3282))</f>
        <v>89826166.3628252</v>
      </c>
      <c r="B2467">
        <v>207103088.34268409</v>
      </c>
    </row>
    <row r="2468" spans="1:2" x14ac:dyDescent="0.25">
      <c r="A2468">
        <f ca="1">35379.3172036876*(RANDBETWEEN(2890,3282))</f>
        <v>111975538.94967142</v>
      </c>
      <c r="B2468">
        <v>204987220.2112211</v>
      </c>
    </row>
    <row r="2469" spans="1:2" x14ac:dyDescent="0.25">
      <c r="A2469">
        <f ca="1">25284.1679416127*(RANDBETWEEN(2890,3282))</f>
        <v>81541441.611700967</v>
      </c>
      <c r="B2469">
        <v>209619809.69104427</v>
      </c>
    </row>
    <row r="2470" spans="1:2" x14ac:dyDescent="0.25">
      <c r="A2470">
        <f ca="1">28654.442358995*(RANDBETWEEN(2890,3282))</f>
        <v>87940483.599755555</v>
      </c>
      <c r="B2470">
        <v>260145121.30464894</v>
      </c>
    </row>
    <row r="2471" spans="1:2" x14ac:dyDescent="0.25">
      <c r="A2471">
        <f ca="1">31731.0870181001*(RANDBETWEEN(2890,3282))</f>
        <v>98969260.409454063</v>
      </c>
      <c r="B2471">
        <v>233531374.52978566</v>
      </c>
    </row>
    <row r="2472" spans="1:2" x14ac:dyDescent="0.25">
      <c r="A2472">
        <f ca="1">27633.1934052153*(RANDBETWEEN(2890,3282))</f>
        <v>89227581.505440325</v>
      </c>
      <c r="B2472">
        <v>260281623.00446135</v>
      </c>
    </row>
    <row r="2473" spans="1:2" x14ac:dyDescent="0.25">
      <c r="A2473">
        <f ca="1">29280.7269303154*(RANDBETWEEN(2890,3282))</f>
        <v>87344408.433130786</v>
      </c>
      <c r="B2473">
        <v>254386888.48062381</v>
      </c>
    </row>
    <row r="2474" spans="1:2" x14ac:dyDescent="0.25">
      <c r="A2474">
        <f ca="1">30265.0580735912*(RANDBETWEEN(2890,3282))</f>
        <v>92036041.601790771</v>
      </c>
      <c r="B2474">
        <v>212897056.2234377</v>
      </c>
    </row>
    <row r="2475" spans="1:2" x14ac:dyDescent="0.25">
      <c r="A2475">
        <f ca="1">30665.7947198358*(RANDBETWEEN(2890,3282))</f>
        <v>92794694.822223231</v>
      </c>
      <c r="B2475">
        <v>216947769.77423725</v>
      </c>
    </row>
    <row r="2476" spans="1:2" x14ac:dyDescent="0.25">
      <c r="A2476">
        <f ca="1">30959.8522995542*(RANDBETWEEN(2890,3282))</f>
        <v>92817637.194063455</v>
      </c>
      <c r="B2476">
        <v>259998187.81035706</v>
      </c>
    </row>
    <row r="2477" spans="1:2" x14ac:dyDescent="0.25">
      <c r="A2477">
        <f ca="1">28947.0222982171*(RANDBETWEEN(2890,3282))</f>
        <v>84091099.776320651</v>
      </c>
      <c r="B2477">
        <v>258153872.71448249</v>
      </c>
    </row>
    <row r="2478" spans="1:2" x14ac:dyDescent="0.25">
      <c r="A2478">
        <f ca="1">31920.7179862144*(RANDBETWEEN(2890,3282))</f>
        <v>103391205.55734845</v>
      </c>
      <c r="B2478">
        <v>249208182.75301039</v>
      </c>
    </row>
    <row r="2479" spans="1:2" x14ac:dyDescent="0.25">
      <c r="A2479">
        <f ca="1">29444.1320727973*(RANDBETWEEN(2890,3282))</f>
        <v>89392384.973012596</v>
      </c>
      <c r="B2479">
        <v>224548633.69159883</v>
      </c>
    </row>
    <row r="2480" spans="1:2" x14ac:dyDescent="0.25">
      <c r="A2480">
        <f ca="1">28636.4998092976*(RANDBETWEEN(2890,3282))</f>
        <v>88429511.411111057</v>
      </c>
      <c r="B2480">
        <v>215071483.87111753</v>
      </c>
    </row>
    <row r="2481" spans="1:2" x14ac:dyDescent="0.25">
      <c r="A2481">
        <f ca="1">27153.0539797661*(RANDBETWEEN(2890,3282))</f>
        <v>80508805.050006375</v>
      </c>
      <c r="B2481">
        <v>217804503.62716913</v>
      </c>
    </row>
    <row r="2482" spans="1:2" x14ac:dyDescent="0.25">
      <c r="A2482">
        <f ca="1">25571.4955193149*(RANDBETWEEN(2890,3282))</f>
        <v>74540909.438803032</v>
      </c>
      <c r="B2482">
        <v>235340957.54101485</v>
      </c>
    </row>
    <row r="2483" spans="1:2" x14ac:dyDescent="0.25">
      <c r="A2483">
        <f ca="1">27403.316204201*(RANDBETWEEN(2890,3282))</f>
        <v>86950722.315929756</v>
      </c>
      <c r="B2483">
        <v>233322386.99629498</v>
      </c>
    </row>
    <row r="2484" spans="1:2" x14ac:dyDescent="0.25">
      <c r="A2484">
        <f ca="1">33842.3855175957*(RANDBETWEEN(2890,3282))</f>
        <v>104200705.00867715</v>
      </c>
      <c r="B2484">
        <v>229938134.24989447</v>
      </c>
    </row>
    <row r="2485" spans="1:2" x14ac:dyDescent="0.25">
      <c r="A2485">
        <f ca="1">29443.6010497813*(RANDBETWEEN(2890,3282))</f>
        <v>92217358.48791495</v>
      </c>
      <c r="B2485">
        <v>249492459.69480139</v>
      </c>
    </row>
    <row r="2486" spans="1:2" x14ac:dyDescent="0.25">
      <c r="A2486">
        <f ca="1">30463.2619577751*(RANDBETWEEN(2890,3282))</f>
        <v>90536814.538507611</v>
      </c>
      <c r="B2486">
        <v>221506538.94944394</v>
      </c>
    </row>
    <row r="2487" spans="1:2" x14ac:dyDescent="0.25">
      <c r="A2487">
        <f ca="1">27492.7754883884*(RANDBETWEEN(2890,3282))</f>
        <v>84265356.871910319</v>
      </c>
      <c r="B2487">
        <v>249257546.02592486</v>
      </c>
    </row>
    <row r="2488" spans="1:2" x14ac:dyDescent="0.25">
      <c r="A2488">
        <f ca="1">26496.3254286548*(RANDBETWEEN(2890,3282))</f>
        <v>79462479.960535765</v>
      </c>
      <c r="B2488">
        <v>211094896.90395492</v>
      </c>
    </row>
    <row r="2489" spans="1:2" x14ac:dyDescent="0.25">
      <c r="A2489">
        <f ca="1">31384.0696591288*(RANDBETWEEN(2890,3282))</f>
        <v>102186530.81012341</v>
      </c>
      <c r="B2489">
        <v>227502807.28758869</v>
      </c>
    </row>
    <row r="2490" spans="1:2" x14ac:dyDescent="0.25">
      <c r="A2490">
        <f ca="1">28773.6412901386*(RANDBETWEEN(2890,3282))</f>
        <v>91730368.432962</v>
      </c>
      <c r="B2490">
        <v>260574027.83541006</v>
      </c>
    </row>
    <row r="2491" spans="1:2" x14ac:dyDescent="0.25">
      <c r="A2491">
        <f ca="1">32938.9453557428*(RANDBETWEEN(2890,3282))</f>
        <v>99541492.865054607</v>
      </c>
      <c r="B2491">
        <v>226269710.75221723</v>
      </c>
    </row>
    <row r="2492" spans="1:2" x14ac:dyDescent="0.25">
      <c r="A2492">
        <f ca="1">29793.6295374671*(RANDBETWEEN(2890,3282))</f>
        <v>96561153.330930814</v>
      </c>
      <c r="B2492">
        <v>225679944.73818788</v>
      </c>
    </row>
    <row r="2493" spans="1:2" x14ac:dyDescent="0.25">
      <c r="A2493">
        <f ca="1">31283.6000488293*(RANDBETWEEN(2890,3282))</f>
        <v>91723515.343167618</v>
      </c>
      <c r="B2493">
        <v>207848182.25614062</v>
      </c>
    </row>
    <row r="2494" spans="1:2" x14ac:dyDescent="0.25">
      <c r="A2494">
        <f ca="1">31149.5924948426*(RANDBETWEEN(2890,3282))</f>
        <v>100270538.2408984</v>
      </c>
      <c r="B2494">
        <v>217281384.85544509</v>
      </c>
    </row>
    <row r="2495" spans="1:2" x14ac:dyDescent="0.25">
      <c r="A2495">
        <f ca="1">27167.0818118114*(RANDBETWEEN(2890,3282))</f>
        <v>83348606.998637363</v>
      </c>
      <c r="B2495">
        <v>231887647.89732185</v>
      </c>
    </row>
    <row r="2496" spans="1:2" x14ac:dyDescent="0.25">
      <c r="A2496">
        <f ca="1">29744.161916179*(RANDBETWEEN(2890,3282))</f>
        <v>90987391.301591679</v>
      </c>
      <c r="B2496">
        <v>250550230.95939592</v>
      </c>
    </row>
    <row r="2497" spans="1:2" x14ac:dyDescent="0.25">
      <c r="A2497">
        <f ca="1">28332.8705790829*(RANDBETWEEN(2890,3282))</f>
        <v>88936880.747741356</v>
      </c>
      <c r="B2497">
        <v>214726040.97416699</v>
      </c>
    </row>
    <row r="2498" spans="1:2" x14ac:dyDescent="0.25">
      <c r="A2498">
        <f ca="1">31699.1855867648*(RANDBETWEEN(2890,3282))</f>
        <v>102039678.40379573</v>
      </c>
      <c r="B2498">
        <v>230347367.8833057</v>
      </c>
    </row>
    <row r="2499" spans="1:2" x14ac:dyDescent="0.25">
      <c r="A2499">
        <f ca="1">29968.7060160286*(RANDBETWEEN(2890,3282))</f>
        <v>97967699.966397375</v>
      </c>
      <c r="B2499">
        <v>217286797.04587123</v>
      </c>
    </row>
    <row r="2500" spans="1:2" x14ac:dyDescent="0.25">
      <c r="A2500">
        <f ca="1">28298.5430137786*(RANDBETWEEN(2890,3282))</f>
        <v>91772174.993684068</v>
      </c>
      <c r="B2500">
        <v>213378109.59485704</v>
      </c>
    </row>
    <row r="2501" spans="1:2" x14ac:dyDescent="0.25">
      <c r="A2501">
        <f ca="1">28869.1810750869*(RANDBETWEEN(2890,3282))</f>
        <v>94373352.934459046</v>
      </c>
      <c r="B2501">
        <v>235372367.98173106</v>
      </c>
    </row>
    <row r="2502" spans="1:2" x14ac:dyDescent="0.25">
      <c r="A2502">
        <f ca="1">29888.515086187*(RANDBETWEEN(2890,3282))</f>
        <v>87573349.20252791</v>
      </c>
      <c r="B2502">
        <v>224227287.66047096</v>
      </c>
    </row>
    <row r="2503" spans="1:2" x14ac:dyDescent="0.25">
      <c r="A2503">
        <f ca="1">27038.9974913023*(RANDBETWEEN(2890,3282))</f>
        <v>87498195.881854221</v>
      </c>
      <c r="B2503">
        <v>230954295.70742998</v>
      </c>
    </row>
    <row r="2504" spans="1:2" x14ac:dyDescent="0.25">
      <c r="A2504">
        <f ca="1">27053.4662066579*(RANDBETWEEN(2890,3282))</f>
        <v>81268612.484800294</v>
      </c>
      <c r="B2504">
        <v>214784329.64275408</v>
      </c>
    </row>
    <row r="2505" spans="1:2" x14ac:dyDescent="0.25">
      <c r="A2505">
        <f ca="1">28523.5179366409*(RANDBETWEEN(2890,3282))</f>
        <v>85427936.22023955</v>
      </c>
      <c r="B2505">
        <v>252455932.1112504</v>
      </c>
    </row>
    <row r="2506" spans="1:2" x14ac:dyDescent="0.25">
      <c r="A2506">
        <f ca="1">26992.7360468767*(RANDBETWEEN(2890,3282))</f>
        <v>78521869.160364419</v>
      </c>
      <c r="B2506">
        <v>242787974.33202139</v>
      </c>
    </row>
    <row r="2507" spans="1:2" x14ac:dyDescent="0.25">
      <c r="A2507">
        <f ca="1">31969.9301509735*(RANDBETWEEN(2890,3282))</f>
        <v>92968556.879030943</v>
      </c>
      <c r="B2507">
        <v>238385541.84292471</v>
      </c>
    </row>
    <row r="2508" spans="1:2" x14ac:dyDescent="0.25">
      <c r="A2508">
        <f ca="1">29529.1038794173*(RANDBETWEEN(2890,3282))</f>
        <v>85339110.211515993</v>
      </c>
      <c r="B2508">
        <v>208296371.56744808</v>
      </c>
    </row>
    <row r="2509" spans="1:2" x14ac:dyDescent="0.25">
      <c r="A2509">
        <f ca="1">29077.3551709125*(RANDBETWEEN(2890,3282))</f>
        <v>91448282.012519956</v>
      </c>
      <c r="B2509">
        <v>246373042.60477093</v>
      </c>
    </row>
    <row r="2510" spans="1:2" x14ac:dyDescent="0.25">
      <c r="A2510">
        <f ca="1">33173.1173989056*(RANDBETWEEN(2890,3282))</f>
        <v>99054928.553132266</v>
      </c>
      <c r="B2510">
        <v>221215269.50451273</v>
      </c>
    </row>
    <row r="2511" spans="1:2" x14ac:dyDescent="0.25">
      <c r="A2511">
        <f ca="1">31655.7732650921*(RANDBETWEEN(2890,3282))</f>
        <v>95790369.900168687</v>
      </c>
      <c r="B2511">
        <v>263776427.46765047</v>
      </c>
    </row>
    <row r="2512" spans="1:2" x14ac:dyDescent="0.25">
      <c r="A2512">
        <f ca="1">29770.9070224986*(RANDBETWEEN(2890,3282))</f>
        <v>90205848.278170869</v>
      </c>
      <c r="B2512">
        <v>260647648.86768743</v>
      </c>
    </row>
    <row r="2513" spans="1:2" x14ac:dyDescent="0.25">
      <c r="A2513">
        <f ca="1">32765.1458998146*(RANDBETWEEN(2890,3282))</f>
        <v>105864186.40230089</v>
      </c>
      <c r="B2513">
        <v>235863822.6123549</v>
      </c>
    </row>
    <row r="2514" spans="1:2" x14ac:dyDescent="0.25">
      <c r="A2514">
        <f ca="1">32399.3886038141*(RANDBETWEEN(2890,3282))</f>
        <v>96355781.707743138</v>
      </c>
      <c r="B2514">
        <v>230760643.46130651</v>
      </c>
    </row>
    <row r="2515" spans="1:2" x14ac:dyDescent="0.25">
      <c r="A2515">
        <f ca="1">30707.3329135212*(RANDBETWEEN(2890,3282))</f>
        <v>89818948.772049502</v>
      </c>
      <c r="B2515">
        <v>214295446.12908006</v>
      </c>
    </row>
    <row r="2516" spans="1:2" x14ac:dyDescent="0.25">
      <c r="A2516">
        <f ca="1">28430.4613619062*(RANDBETWEEN(2890,3282))</f>
        <v>90181423.4399665</v>
      </c>
      <c r="B2516">
        <v>240954508.62516773</v>
      </c>
    </row>
    <row r="2517" spans="1:2" x14ac:dyDescent="0.25">
      <c r="A2517">
        <f ca="1">31739.0512169134*(RANDBETWEEN(2890,3282))</f>
        <v>102072788.71359348</v>
      </c>
      <c r="B2517">
        <v>219758020.06313127</v>
      </c>
    </row>
    <row r="2518" spans="1:2" x14ac:dyDescent="0.25">
      <c r="A2518">
        <f ca="1">28773.531006174*(RANDBETWEEN(2890,3282))</f>
        <v>89830963.801275209</v>
      </c>
      <c r="B2518">
        <v>245593459.83049148</v>
      </c>
    </row>
    <row r="2519" spans="1:2" x14ac:dyDescent="0.25">
      <c r="A2519">
        <f ca="1">28304.2614914999*(RANDBETWEEN(2890,3282))</f>
        <v>92271892.462289616</v>
      </c>
      <c r="B2519">
        <v>203949270.01455182</v>
      </c>
    </row>
    <row r="2520" spans="1:2" x14ac:dyDescent="0.25">
      <c r="A2520">
        <f ca="1">29268.7959600198*(RANDBETWEEN(2890,3282))</f>
        <v>85786840.958817959</v>
      </c>
      <c r="B2520">
        <v>204153374.76131564</v>
      </c>
    </row>
    <row r="2521" spans="1:2" x14ac:dyDescent="0.25">
      <c r="A2521">
        <f ca="1">31983.915985067*(RANDBETWEEN(2890,3282))</f>
        <v>104779308.76707964</v>
      </c>
      <c r="B2521">
        <v>209255108.21959972</v>
      </c>
    </row>
    <row r="2522" spans="1:2" x14ac:dyDescent="0.25">
      <c r="A2522">
        <f ca="1">31297.0151585238*(RANDBETWEEN(2890,3282))</f>
        <v>100119151.49211764</v>
      </c>
      <c r="B2522">
        <v>251679470.71331111</v>
      </c>
    </row>
    <row r="2523" spans="1:2" x14ac:dyDescent="0.25">
      <c r="A2523">
        <f ca="1">28439.8380757839*(RANDBETWEEN(2890,3282))</f>
        <v>89215772.043734238</v>
      </c>
      <c r="B2523">
        <v>252863871.52978507</v>
      </c>
    </row>
    <row r="2524" spans="1:2" x14ac:dyDescent="0.25">
      <c r="A2524">
        <f ca="1">28207.6185622729*(RANDBETWEEN(2890,3282))</f>
        <v>85920406.140683368</v>
      </c>
      <c r="B2524">
        <v>247646092.44284225</v>
      </c>
    </row>
    <row r="2525" spans="1:2" x14ac:dyDescent="0.25">
      <c r="A2525">
        <f ca="1">32296.7535351412*(RANDBETWEEN(2890,3282))</f>
        <v>104383107.4255764</v>
      </c>
      <c r="B2525">
        <v>221571162.36351877</v>
      </c>
    </row>
    <row r="2526" spans="1:2" x14ac:dyDescent="0.25">
      <c r="A2526">
        <f ca="1">31910.5142353887*(RANDBETWEEN(2890,3282))</f>
        <v>93625448.766630307</v>
      </c>
      <c r="B2526">
        <v>251841659.81713596</v>
      </c>
    </row>
    <row r="2527" spans="1:2" x14ac:dyDescent="0.25">
      <c r="A2527">
        <f ca="1">30285.6514947225*(RANDBETWEEN(2890,3282))</f>
        <v>87646675.425726935</v>
      </c>
      <c r="B2527">
        <v>267552750.5331237</v>
      </c>
    </row>
    <row r="2528" spans="1:2" x14ac:dyDescent="0.25">
      <c r="A2528">
        <f ca="1">29493.6726205897*(RANDBETWEEN(2890,3282))</f>
        <v>94822157.475195915</v>
      </c>
      <c r="B2528">
        <v>256337868.93251649</v>
      </c>
    </row>
    <row r="2529" spans="1:2" x14ac:dyDescent="0.25">
      <c r="A2529">
        <f ca="1">31446.0651274874*(RANDBETWEEN(2890,3282))</f>
        <v>93457705.558892533</v>
      </c>
      <c r="B2529">
        <v>235546671.22390187</v>
      </c>
    </row>
    <row r="2530" spans="1:2" x14ac:dyDescent="0.25">
      <c r="A2530">
        <f ca="1">27369.0513242008*(RANDBETWEEN(2890,3282))</f>
        <v>85665130.644748524</v>
      </c>
      <c r="B2530">
        <v>206082115.88830024</v>
      </c>
    </row>
    <row r="2531" spans="1:2" x14ac:dyDescent="0.25">
      <c r="A2531">
        <f ca="1">28628.5220929642*(RANDBETWEEN(2890,3282))</f>
        <v>84625911.306802288</v>
      </c>
      <c r="B2531">
        <v>221713004.8980782</v>
      </c>
    </row>
    <row r="2532" spans="1:2" x14ac:dyDescent="0.25">
      <c r="A2532">
        <f ca="1">34199.8124244142*(RANDBETWEEN(2890,3282))</f>
        <v>101983840.64960326</v>
      </c>
      <c r="B2532">
        <v>238207130.13792187</v>
      </c>
    </row>
    <row r="2533" spans="1:2" x14ac:dyDescent="0.25">
      <c r="A2533">
        <f ca="1">29329.3793671936*(RANDBETWEEN(2890,3282))</f>
        <v>94968530.390972748</v>
      </c>
      <c r="B2533">
        <v>204797035.70775643</v>
      </c>
    </row>
    <row r="2534" spans="1:2" x14ac:dyDescent="0.25">
      <c r="A2534">
        <f ca="1">27784.5642461276*(RANDBETWEEN(2890,3282))</f>
        <v>86937901.526133403</v>
      </c>
      <c r="B2534">
        <v>213265948.67885372</v>
      </c>
    </row>
    <row r="2535" spans="1:2" x14ac:dyDescent="0.25">
      <c r="A2535">
        <f ca="1">27938.7832460675*(RANDBETWEEN(2890,3282))</f>
        <v>90074637.185321689</v>
      </c>
      <c r="B2535">
        <v>241508382.94242021</v>
      </c>
    </row>
    <row r="2536" spans="1:2" x14ac:dyDescent="0.25">
      <c r="A2536">
        <f ca="1">26014.2505545854*(RANDBETWEEN(2890,3282))</f>
        <v>76585953.632699355</v>
      </c>
      <c r="B2536">
        <v>244046202.91779989</v>
      </c>
    </row>
    <row r="2537" spans="1:2" x14ac:dyDescent="0.25">
      <c r="A2537">
        <f ca="1">27571.9069976767*(RANDBETWEEN(2890,3282))</f>
        <v>82164282.853076622</v>
      </c>
      <c r="B2537">
        <v>232463839.60618368</v>
      </c>
    </row>
    <row r="2538" spans="1:2" x14ac:dyDescent="0.25">
      <c r="A2538">
        <f ca="1">27103.6648959229*(RANDBETWEEN(2890,3282))</f>
        <v>87571941.278726801</v>
      </c>
      <c r="B2538">
        <v>264107434.22660118</v>
      </c>
    </row>
    <row r="2539" spans="1:2" x14ac:dyDescent="0.25">
      <c r="A2539">
        <f ca="1">27230.9019041766*(RANDBETWEEN(2890,3282))</f>
        <v>81856091.123954818</v>
      </c>
      <c r="B2539">
        <v>226271822.13867611</v>
      </c>
    </row>
    <row r="2540" spans="1:2" x14ac:dyDescent="0.25">
      <c r="A2540">
        <f ca="1">32996.4001286992*(RANDBETWEEN(2890,3282))</f>
        <v>103839671.20501646</v>
      </c>
      <c r="B2540">
        <v>212387756.49476692</v>
      </c>
    </row>
    <row r="2541" spans="1:2" x14ac:dyDescent="0.25">
      <c r="A2541">
        <f ca="1">31490.4479213311*(RANDBETWEEN(2890,3282))</f>
        <v>94408362.868150741</v>
      </c>
      <c r="B2541">
        <v>267511746.33206931</v>
      </c>
    </row>
    <row r="2542" spans="1:2" x14ac:dyDescent="0.25">
      <c r="A2542">
        <f ca="1">31833.8123361875*(RANDBETWEEN(2890,3282))</f>
        <v>101709030.41411912</v>
      </c>
      <c r="B2542">
        <v>223808789.0092423</v>
      </c>
    </row>
    <row r="2543" spans="1:2" x14ac:dyDescent="0.25">
      <c r="A2543">
        <f ca="1">30702.6565845731*(RANDBETWEEN(2890,3282))</f>
        <v>91463213.965443119</v>
      </c>
      <c r="B2543">
        <v>266793767.60710248</v>
      </c>
    </row>
    <row r="2544" spans="1:2" x14ac:dyDescent="0.25">
      <c r="A2544">
        <f ca="1">27992.8623975831*(RANDBETWEEN(2890,3282))</f>
        <v>84006580.055146933</v>
      </c>
      <c r="B2544">
        <v>259745108.95193481</v>
      </c>
    </row>
    <row r="2545" spans="1:2" x14ac:dyDescent="0.25">
      <c r="A2545">
        <f ca="1">26038.1218045742*(RANDBETWEEN(2890,3282))</f>
        <v>84129171.550579295</v>
      </c>
      <c r="B2545">
        <v>238410271.71692556</v>
      </c>
    </row>
    <row r="2546" spans="1:2" x14ac:dyDescent="0.25">
      <c r="A2546">
        <f ca="1">34079.6845799065*(RANDBETWEEN(2890,3282))</f>
        <v>107487325.16502525</v>
      </c>
      <c r="B2546">
        <v>240652627.86268711</v>
      </c>
    </row>
    <row r="2547" spans="1:2" x14ac:dyDescent="0.25">
      <c r="A2547">
        <f ca="1">27680.6603424866*(RANDBETWEEN(2890,3282))</f>
        <v>89353171.585546821</v>
      </c>
      <c r="B2547">
        <v>244341444.32130951</v>
      </c>
    </row>
    <row r="2548" spans="1:2" x14ac:dyDescent="0.25">
      <c r="A2548">
        <f ca="1">33334.0185597019*(RANDBETWEEN(2890,3282))</f>
        <v>98502024.843919143</v>
      </c>
      <c r="B2548">
        <v>209392968.20172107</v>
      </c>
    </row>
    <row r="2549" spans="1:2" x14ac:dyDescent="0.25">
      <c r="A2549">
        <f ca="1">31095.2192814925*(RANDBETWEEN(2890,3282))</f>
        <v>95400132.755618885</v>
      </c>
      <c r="B2549">
        <v>251455772.40574387</v>
      </c>
    </row>
    <row r="2550" spans="1:2" x14ac:dyDescent="0.25">
      <c r="A2550">
        <f ca="1">26430.4492349556*(RANDBETWEEN(2890,3282))</f>
        <v>78075547.040058702</v>
      </c>
      <c r="B2550">
        <v>221486195.80496794</v>
      </c>
    </row>
    <row r="2551" spans="1:2" x14ac:dyDescent="0.25">
      <c r="A2551">
        <f ca="1">28693.1866120451*(RANDBETWEEN(2890,3282))</f>
        <v>84931832.371653557</v>
      </c>
      <c r="B2551">
        <v>248012529.02464014</v>
      </c>
    </row>
    <row r="2552" spans="1:2" x14ac:dyDescent="0.25">
      <c r="A2552">
        <f ca="1">29753.5513135331*(RANDBETWEEN(2890,3282))</f>
        <v>91938473.558817193</v>
      </c>
      <c r="B2552">
        <v>263902331.23976746</v>
      </c>
    </row>
    <row r="2553" spans="1:2" x14ac:dyDescent="0.25">
      <c r="A2553">
        <f ca="1">28826.2933835968*(RANDBETWEEN(2890,3282))</f>
        <v>86651837.911091879</v>
      </c>
      <c r="B2553">
        <v>263373904.30371597</v>
      </c>
    </row>
    <row r="2554" spans="1:2" x14ac:dyDescent="0.25">
      <c r="A2554">
        <f ca="1">27660.8512271356*(RANDBETWEEN(2890,3282))</f>
        <v>82263371.549501285</v>
      </c>
      <c r="B2554">
        <v>264270144.87268329</v>
      </c>
    </row>
    <row r="2555" spans="1:2" x14ac:dyDescent="0.25">
      <c r="A2555">
        <f ca="1">30719.2959236881*(RANDBETWEEN(2890,3282))</f>
        <v>89577466.913474604</v>
      </c>
      <c r="B2555">
        <v>220373223.94433656</v>
      </c>
    </row>
    <row r="2556" spans="1:2" x14ac:dyDescent="0.25">
      <c r="A2556">
        <f ca="1">28151.8934355705*(RANDBETWEEN(2890,3282))</f>
        <v>81387123.922234371</v>
      </c>
      <c r="B2556">
        <v>221949516.86750701</v>
      </c>
    </row>
    <row r="2557" spans="1:2" x14ac:dyDescent="0.25">
      <c r="A2557">
        <f ca="1">27005.9037193023*(RANDBETWEEN(2890,3282))</f>
        <v>78992268.378959268</v>
      </c>
      <c r="B2557">
        <v>237973547.01952597</v>
      </c>
    </row>
    <row r="2558" spans="1:2" x14ac:dyDescent="0.25">
      <c r="A2558">
        <f ca="1">28658.6853592857*(RANDBETWEEN(2890,3282))</f>
        <v>91621817.093636483</v>
      </c>
      <c r="B2558">
        <v>235335494.80799088</v>
      </c>
    </row>
    <row r="2559" spans="1:2" x14ac:dyDescent="0.25">
      <c r="A2559">
        <f ca="1">29630.633098309*(RANDBETWEEN(2890,3282))</f>
        <v>88417809.165354177</v>
      </c>
      <c r="B2559">
        <v>216850284.86024672</v>
      </c>
    </row>
    <row r="2560" spans="1:2" x14ac:dyDescent="0.25">
      <c r="A2560">
        <f ca="1">33717.6749577002*(RANDBETWEEN(2890,3282))</f>
        <v>101119307.19814283</v>
      </c>
      <c r="B2560">
        <v>266773289.08011803</v>
      </c>
    </row>
    <row r="2561" spans="1:2" x14ac:dyDescent="0.25">
      <c r="A2561">
        <f ca="1">29411.676951416*(RANDBETWEEN(2890,3282))</f>
        <v>88735029.362421945</v>
      </c>
      <c r="B2561">
        <v>238713060.50564864</v>
      </c>
    </row>
    <row r="2562" spans="1:2" x14ac:dyDescent="0.25">
      <c r="A2562">
        <f ca="1">26572.444916317*(RANDBETWEEN(2890,3282))</f>
        <v>86307301.088197514</v>
      </c>
      <c r="B2562">
        <v>218005518.10226816</v>
      </c>
    </row>
    <row r="2563" spans="1:2" x14ac:dyDescent="0.25">
      <c r="A2563">
        <f ca="1">26977.4472103617*(RANDBETWEEN(2890,3282))</f>
        <v>83953815.718645573</v>
      </c>
      <c r="B2563">
        <v>229613311.39882389</v>
      </c>
    </row>
    <row r="2564" spans="1:2" x14ac:dyDescent="0.25">
      <c r="A2564">
        <f ca="1">27841.5567317613*(RANDBETWEEN(2890,3282))</f>
        <v>80796197.635571256</v>
      </c>
      <c r="B2564">
        <v>218012044.671803</v>
      </c>
    </row>
    <row r="2565" spans="1:2" x14ac:dyDescent="0.25">
      <c r="A2565">
        <f ca="1">27067.0441915346*(RANDBETWEEN(2890,3282))</f>
        <v>84232641.52405563</v>
      </c>
      <c r="B2565">
        <v>206876302.07720295</v>
      </c>
    </row>
    <row r="2566" spans="1:2" x14ac:dyDescent="0.25">
      <c r="A2566">
        <f ca="1">29678.0085359392*(RANDBETWEEN(2890,3282))</f>
        <v>90874062.137045816</v>
      </c>
      <c r="B2566">
        <v>227969153.43344378</v>
      </c>
    </row>
    <row r="2567" spans="1:2" x14ac:dyDescent="0.25">
      <c r="A2567">
        <f ca="1">26609.5377397428*(RANDBETWEEN(2890,3282))</f>
        <v>83287853.125394851</v>
      </c>
      <c r="B2567">
        <v>264564315.98789591</v>
      </c>
    </row>
    <row r="2568" spans="1:2" x14ac:dyDescent="0.25">
      <c r="A2568">
        <f ca="1">29883.2513421623*(RANDBETWEEN(2890,3282))</f>
        <v>86512012.635559812</v>
      </c>
      <c r="B2568">
        <v>228741721.734698</v>
      </c>
    </row>
    <row r="2569" spans="1:2" x14ac:dyDescent="0.25">
      <c r="A2569">
        <f ca="1">31863.2571095818*(RANDBETWEEN(2890,3282))</f>
        <v>94761326.643896252</v>
      </c>
      <c r="B2569">
        <v>230880178.62480584</v>
      </c>
    </row>
    <row r="2570" spans="1:2" x14ac:dyDescent="0.25">
      <c r="A2570">
        <f ca="1">28284.5975533081*(RANDBETWEEN(2890,3282))</f>
        <v>84061823.92843172</v>
      </c>
      <c r="B2570">
        <v>212121083.34136957</v>
      </c>
    </row>
    <row r="2571" spans="1:2" x14ac:dyDescent="0.25">
      <c r="A2571">
        <f ca="1">31336.5733815355*(RANDBETWEEN(2890,3282))</f>
        <v>91628140.567609936</v>
      </c>
      <c r="B2571">
        <v>245239495.83458412</v>
      </c>
    </row>
    <row r="2572" spans="1:2" x14ac:dyDescent="0.25">
      <c r="A2572">
        <f ca="1">28507.7436339104*(RANDBETWEEN(2890,3282))</f>
        <v>86663540.647087663</v>
      </c>
      <c r="B2572">
        <v>240495670.17712775</v>
      </c>
    </row>
    <row r="2573" spans="1:2" x14ac:dyDescent="0.25">
      <c r="A2573">
        <f ca="1">31347.7225463995*(RANDBETWEEN(2890,3282))</f>
        <v>90720309.049280211</v>
      </c>
      <c r="B2573">
        <v>237057967.17973635</v>
      </c>
    </row>
    <row r="2574" spans="1:2" x14ac:dyDescent="0.25">
      <c r="A2574">
        <f ca="1">26425.0211540781*(RANDBETWEEN(2890,3282))</f>
        <v>83714467.01611957</v>
      </c>
      <c r="B2574">
        <v>227557357.96894175</v>
      </c>
    </row>
    <row r="2575" spans="1:2" x14ac:dyDescent="0.25">
      <c r="A2575">
        <f ca="1">32598.8254297952*(RANDBETWEEN(2890,3282))</f>
        <v>96948906.828210801</v>
      </c>
      <c r="B2575">
        <v>237094863.14366311</v>
      </c>
    </row>
    <row r="2576" spans="1:2" x14ac:dyDescent="0.25">
      <c r="A2576">
        <f ca="1">29326.8219797561*(RANDBETWEEN(2890,3282))</f>
        <v>85370378.783070117</v>
      </c>
      <c r="B2576">
        <v>253100658.84687668</v>
      </c>
    </row>
    <row r="2577" spans="1:2" x14ac:dyDescent="0.25">
      <c r="A2577">
        <f ca="1">29383.6265806552*(RANDBETWEEN(2890,3282))</f>
        <v>94615277.589709759</v>
      </c>
      <c r="B2577">
        <v>250999416.41613978</v>
      </c>
    </row>
    <row r="2578" spans="1:2" x14ac:dyDescent="0.25">
      <c r="A2578">
        <f ca="1">31951.9733676461*(RANDBETWEEN(2890,3282))</f>
        <v>104514904.88557048</v>
      </c>
      <c r="B2578">
        <v>257163873.51883647</v>
      </c>
    </row>
    <row r="2579" spans="1:2" x14ac:dyDescent="0.25">
      <c r="A2579">
        <f ca="1">34299.2301436318*(RANDBETWEEN(2890,3282))</f>
        <v>105127140.39023158</v>
      </c>
      <c r="B2579">
        <v>251730910.66307163</v>
      </c>
    </row>
    <row r="2580" spans="1:2" x14ac:dyDescent="0.25">
      <c r="A2580">
        <f ca="1">30421.7235658025*(RANDBETWEEN(2890,3282))</f>
        <v>88101311.446564019</v>
      </c>
      <c r="B2580">
        <v>226348748.80836165</v>
      </c>
    </row>
    <row r="2581" spans="1:2" x14ac:dyDescent="0.25">
      <c r="A2581">
        <f ca="1">30503.7001713321*(RANDBETWEEN(2890,3282))</f>
        <v>96147662.940038741</v>
      </c>
      <c r="B2581">
        <v>247399164.236296</v>
      </c>
    </row>
    <row r="2582" spans="1:2" x14ac:dyDescent="0.25">
      <c r="A2582">
        <f ca="1">30044.9109188696*(RANDBETWEEN(2890,3282))</f>
        <v>92508280.719199553</v>
      </c>
      <c r="B2582">
        <v>239012359.36148965</v>
      </c>
    </row>
    <row r="2583" spans="1:2" x14ac:dyDescent="0.25">
      <c r="A2583">
        <f ca="1">32268.5796261618*(RANDBETWEEN(2890,3282))</f>
        <v>93675686.654747725</v>
      </c>
      <c r="B2583">
        <v>236112852.09908354</v>
      </c>
    </row>
    <row r="2584" spans="1:2" x14ac:dyDescent="0.25">
      <c r="A2584">
        <f ca="1">26685.2352846682*(RANDBETWEEN(2890,3282))</f>
        <v>79175093.089610547</v>
      </c>
      <c r="B2584">
        <v>220871705.40033662</v>
      </c>
    </row>
    <row r="2585" spans="1:2" x14ac:dyDescent="0.25">
      <c r="A2585">
        <f ca="1">28309.8693935664*(RANDBETWEEN(2890,3282))</f>
        <v>83768903.535562888</v>
      </c>
      <c r="B2585">
        <v>248908812.88805002</v>
      </c>
    </row>
    <row r="2586" spans="1:2" x14ac:dyDescent="0.25">
      <c r="A2586">
        <f ca="1">32994.7023082965*(RANDBETWEEN(2890,3282))</f>
        <v>100402879.12414619</v>
      </c>
      <c r="B2586">
        <v>231620850.75094873</v>
      </c>
    </row>
    <row r="2587" spans="1:2" x14ac:dyDescent="0.25">
      <c r="A2587">
        <f ca="1">29335.2816346455*(RANDBETWEEN(2890,3282))</f>
        <v>85893704.626241937</v>
      </c>
      <c r="B2587">
        <v>256339877.34314767</v>
      </c>
    </row>
    <row r="2588" spans="1:2" x14ac:dyDescent="0.25">
      <c r="A2588">
        <f ca="1">30463.4892793892*(RANDBETWEEN(2890,3282))</f>
        <v>96691114.972781315</v>
      </c>
      <c r="B2588">
        <v>214612146.41643962</v>
      </c>
    </row>
    <row r="2589" spans="1:2" x14ac:dyDescent="0.25">
      <c r="A2589">
        <f ca="1">29800.8714371872*(RANDBETWEEN(2890,3282))</f>
        <v>88508588.16844587</v>
      </c>
      <c r="B2589">
        <v>250383347.67616183</v>
      </c>
    </row>
    <row r="2590" spans="1:2" x14ac:dyDescent="0.25">
      <c r="A2590">
        <f ca="1">28088.2770986862*(RANDBETWEEN(2890,3282))</f>
        <v>88225278.366973236</v>
      </c>
      <c r="B2590">
        <v>265696865.33731374</v>
      </c>
    </row>
    <row r="2591" spans="1:2" x14ac:dyDescent="0.25">
      <c r="A2591">
        <f ca="1">33750.8704605395*(RANDBETWEEN(2890,3282))</f>
        <v>102771400.5523428</v>
      </c>
      <c r="B2591">
        <v>205316422.87805361</v>
      </c>
    </row>
    <row r="2592" spans="1:2" x14ac:dyDescent="0.25">
      <c r="A2592">
        <f ca="1">30378.2927249676*(RANDBETWEEN(2890,3282))</f>
        <v>94446112.08192426</v>
      </c>
      <c r="B2592">
        <v>216138064.00257677</v>
      </c>
    </row>
    <row r="2593" spans="1:2" x14ac:dyDescent="0.25">
      <c r="A2593">
        <f ca="1">30283.3173523176*(RANDBETWEEN(2890,3282))</f>
        <v>98663047.933850706</v>
      </c>
      <c r="B2593">
        <v>266971804.58338133</v>
      </c>
    </row>
    <row r="2594" spans="1:2" x14ac:dyDescent="0.25">
      <c r="A2594">
        <f ca="1">31124.722290318*(RANDBETWEEN(2890,3282))</f>
        <v>98167374.103663027</v>
      </c>
      <c r="B2594">
        <v>267795450.02333874</v>
      </c>
    </row>
    <row r="2595" spans="1:2" x14ac:dyDescent="0.25">
      <c r="A2595">
        <f ca="1">28444.7883149324*(RANDBETWEEN(2890,3282))</f>
        <v>91137101.761043534</v>
      </c>
      <c r="B2595">
        <v>215733913.40686959</v>
      </c>
    </row>
    <row r="2596" spans="1:2" x14ac:dyDescent="0.25">
      <c r="A2596">
        <f ca="1">29916.2710997746*(RANDBETWEEN(2890,3282))</f>
        <v>90466803.805718288</v>
      </c>
      <c r="B2596">
        <v>263230977.7383872</v>
      </c>
    </row>
    <row r="2597" spans="1:2" x14ac:dyDescent="0.25">
      <c r="A2597">
        <f ca="1">29768.0882146051*(RANDBETWEEN(2890,3282))</f>
        <v>90524756.260614052</v>
      </c>
      <c r="B2597">
        <v>251424488.41743332</v>
      </c>
    </row>
    <row r="2598" spans="1:2" x14ac:dyDescent="0.25">
      <c r="A2598">
        <f ca="1">32638.8181824132*(RANDBETWEEN(2890,3282))</f>
        <v>106141436.72920786</v>
      </c>
      <c r="B2598">
        <v>249970700.36950877</v>
      </c>
    </row>
    <row r="2599" spans="1:2" x14ac:dyDescent="0.25">
      <c r="A2599">
        <f ca="1">33465.8487278244*(RANDBETWEEN(2890,3282))</f>
        <v>100832602.21693479</v>
      </c>
      <c r="B2599">
        <v>241896304.6745618</v>
      </c>
    </row>
    <row r="2600" spans="1:2" x14ac:dyDescent="0.25">
      <c r="A2600">
        <f ca="1">28778.9673567929*(RANDBETWEEN(2890,3282))</f>
        <v>85387196.147604436</v>
      </c>
      <c r="B2600">
        <v>212823528.53197092</v>
      </c>
    </row>
    <row r="2601" spans="1:2" x14ac:dyDescent="0.25">
      <c r="A2601">
        <f ca="1">28791.1766717369*(RANDBETWEEN(2890,3282))</f>
        <v>91584732.992795154</v>
      </c>
      <c r="B2601">
        <v>249381789.80735478</v>
      </c>
    </row>
    <row r="2602" spans="1:2" x14ac:dyDescent="0.25">
      <c r="A2602">
        <f ca="1">32017.4946376774*(RANDBETWEEN(2890,3282))</f>
        <v>92882751.943902284</v>
      </c>
      <c r="B2602">
        <v>224164529.92627406</v>
      </c>
    </row>
    <row r="2603" spans="1:2" x14ac:dyDescent="0.25">
      <c r="A2603">
        <f ca="1">31510.2764273979*(RANDBETWEEN(2890,3282))</f>
        <v>99667004.339859635</v>
      </c>
      <c r="B2603">
        <v>264944087.73115367</v>
      </c>
    </row>
    <row r="2604" spans="1:2" x14ac:dyDescent="0.25">
      <c r="A2604">
        <f ca="1">30566.3823899072*(RANDBETWEEN(2890,3282))</f>
        <v>93777661.172235399</v>
      </c>
      <c r="B2604">
        <v>211399976.6517432</v>
      </c>
    </row>
    <row r="2605" spans="1:2" x14ac:dyDescent="0.25">
      <c r="A2605">
        <f ca="1">26453.0356588205*(RANDBETWEEN(2890,3282))</f>
        <v>80126245.010567188</v>
      </c>
      <c r="B2605">
        <v>237393194.5289655</v>
      </c>
    </row>
    <row r="2606" spans="1:2" x14ac:dyDescent="0.25">
      <c r="A2606">
        <f ca="1">30565.4591992465*(RANDBETWEEN(2890,3282))</f>
        <v>99276611.479152694</v>
      </c>
      <c r="B2606">
        <v>234895248.23691845</v>
      </c>
    </row>
    <row r="2607" spans="1:2" x14ac:dyDescent="0.25">
      <c r="A2607">
        <f ca="1">31941.2367123632*(RANDBETWEEN(2890,3282))</f>
        <v>96526417.344761714</v>
      </c>
      <c r="B2607">
        <v>253962886.20008594</v>
      </c>
    </row>
    <row r="2608" spans="1:2" x14ac:dyDescent="0.25">
      <c r="A2608">
        <f ca="1">29621.1899248088*(RANDBETWEEN(2890,3282))</f>
        <v>88508115.495328605</v>
      </c>
      <c r="B2608">
        <v>206065614.52558464</v>
      </c>
    </row>
    <row r="2609" spans="1:2" x14ac:dyDescent="0.25">
      <c r="A2609">
        <f ca="1">27230.2464119784*(RANDBETWEEN(2890,3282))</f>
        <v>86319881.125971437</v>
      </c>
      <c r="B2609">
        <v>264743661.56096128</v>
      </c>
    </row>
    <row r="2610" spans="1:2" x14ac:dyDescent="0.25">
      <c r="A2610">
        <f ca="1">31539.3332216933*(RANDBETWEEN(2890,3282))</f>
        <v>96510359.658381596</v>
      </c>
      <c r="B2610">
        <v>266327439.97523052</v>
      </c>
    </row>
    <row r="2611" spans="1:2" x14ac:dyDescent="0.25">
      <c r="A2611">
        <f ca="1">30493.6098094914*(RANDBETWEEN(2890,3282))</f>
        <v>99409167.978942022</v>
      </c>
      <c r="B2611">
        <v>254426719.95653301</v>
      </c>
    </row>
    <row r="2612" spans="1:2" x14ac:dyDescent="0.25">
      <c r="A2612">
        <f ca="1">32061.1796242616*(RANDBETWEEN(2890,3282))</f>
        <v>104295017.31772298</v>
      </c>
      <c r="B2612">
        <v>256723917.17858088</v>
      </c>
    </row>
    <row r="2613" spans="1:2" x14ac:dyDescent="0.25">
      <c r="A2613">
        <f ca="1">30943.8003491561*(RANDBETWEEN(2890,3282))</f>
        <v>97070701.695302755</v>
      </c>
      <c r="B2613">
        <v>207185999.25459972</v>
      </c>
    </row>
    <row r="2614" spans="1:2" x14ac:dyDescent="0.25">
      <c r="A2614">
        <f ca="1">31458.5731649193*(RANDBETWEEN(2890,3282))</f>
        <v>95130725.250715926</v>
      </c>
      <c r="B2614">
        <v>220411821.19017017</v>
      </c>
    </row>
    <row r="2615" spans="1:2" x14ac:dyDescent="0.25">
      <c r="A2615">
        <f ca="1">27442.4638729474*(RANDBETWEEN(2890,3282))</f>
        <v>89846626.720029846</v>
      </c>
      <c r="B2615">
        <v>249450286.51150376</v>
      </c>
    </row>
    <row r="2616" spans="1:2" x14ac:dyDescent="0.25">
      <c r="A2616">
        <f ca="1">31203.3094895798*(RANDBETWEEN(2890,3282))</f>
        <v>100755486.34185325</v>
      </c>
      <c r="B2616">
        <v>233618188.10749745</v>
      </c>
    </row>
    <row r="2617" spans="1:2" x14ac:dyDescent="0.25">
      <c r="A2617">
        <f ca="1">28160.6829662858*(RANDBETWEEN(2890,3282))</f>
        <v>86819385.585059181</v>
      </c>
      <c r="B2617">
        <v>263210270.70124358</v>
      </c>
    </row>
    <row r="2618" spans="1:2" x14ac:dyDescent="0.25">
      <c r="A2618">
        <f ca="1">27144.2878242522*(RANDBETWEEN(2890,3282))</f>
        <v>83088665.030035973</v>
      </c>
      <c r="B2618">
        <v>263652536.59199119</v>
      </c>
    </row>
    <row r="2619" spans="1:2" x14ac:dyDescent="0.25">
      <c r="A2619">
        <f ca="1">29470.7146620463*(RANDBETWEEN(2890,3282))</f>
        <v>88264790.412828639</v>
      </c>
      <c r="B2619">
        <v>235165650.6498695</v>
      </c>
    </row>
    <row r="2620" spans="1:2" x14ac:dyDescent="0.25">
      <c r="A2620">
        <f ca="1">32250.4328198265*(RANDBETWEEN(2890,3282))</f>
        <v>99331333.085065588</v>
      </c>
      <c r="B2620">
        <v>250911892.20013937</v>
      </c>
    </row>
    <row r="2621" spans="1:2" x14ac:dyDescent="0.25">
      <c r="A2621">
        <f ca="1">30609.2860231071*(RANDBETWEEN(2890,3282))</f>
        <v>93909289.518892631</v>
      </c>
      <c r="B2621">
        <v>250536675.74672183</v>
      </c>
    </row>
    <row r="2622" spans="1:2" x14ac:dyDescent="0.25">
      <c r="A2622">
        <f ca="1">27146.9839445791*(RANDBETWEEN(2890,3282))</f>
        <v>84019915.308472276</v>
      </c>
      <c r="B2622">
        <v>251404385.72795129</v>
      </c>
    </row>
    <row r="2623" spans="1:2" x14ac:dyDescent="0.25">
      <c r="A2623">
        <f ca="1">31497.8334534424*(RANDBETWEEN(2890,3282))</f>
        <v>98997690.544169411</v>
      </c>
      <c r="B2623">
        <v>255996160.53708234</v>
      </c>
    </row>
    <row r="2624" spans="1:2" x14ac:dyDescent="0.25">
      <c r="A2624">
        <f ca="1">30609.6034835022*(RANDBETWEEN(2890,3282))</f>
        <v>92716488.951528072</v>
      </c>
      <c r="B2624">
        <v>234311904.68067318</v>
      </c>
    </row>
    <row r="2625" spans="1:2" x14ac:dyDescent="0.25">
      <c r="A2625">
        <f ca="1">32013.7922920281*(RANDBETWEEN(2890,3282))</f>
        <v>97225887.190889373</v>
      </c>
      <c r="B2625">
        <v>224671890.25343373</v>
      </c>
    </row>
    <row r="2626" spans="1:2" x14ac:dyDescent="0.25">
      <c r="A2626">
        <f ca="1">26823.9886393157*(RANDBETWEEN(2890,3282))</f>
        <v>81196213.611208528</v>
      </c>
      <c r="B2626">
        <v>255813983.61813354</v>
      </c>
    </row>
    <row r="2627" spans="1:2" x14ac:dyDescent="0.25">
      <c r="A2627">
        <f ca="1">30522.9160103352*(RANDBETWEEN(2890,3282))</f>
        <v>93980058.395822063</v>
      </c>
      <c r="B2627">
        <v>208709183.0284881</v>
      </c>
    </row>
    <row r="2628" spans="1:2" x14ac:dyDescent="0.25">
      <c r="A2628">
        <f ca="1">25980.6927355022*(RANDBETWEEN(2890,3282))</f>
        <v>81033780.642031223</v>
      </c>
      <c r="B2628">
        <v>210615945.5361855</v>
      </c>
    </row>
    <row r="2629" spans="1:2" x14ac:dyDescent="0.25">
      <c r="A2629">
        <f ca="1">32716.8468750192*(RANDBETWEEN(2890,3282))</f>
        <v>97986956.390682608</v>
      </c>
      <c r="B2629">
        <v>212511280.21839592</v>
      </c>
    </row>
    <row r="2630" spans="1:2" x14ac:dyDescent="0.25">
      <c r="A2630">
        <f ca="1">29513.7902711405*(RANDBETWEEN(2890,3282))</f>
        <v>90548308.551859036</v>
      </c>
      <c r="B2630">
        <v>239124658.47207156</v>
      </c>
    </row>
    <row r="2631" spans="1:2" x14ac:dyDescent="0.25">
      <c r="A2631">
        <f ca="1">27151.7757727353*(RANDBETWEEN(2890,3282))</f>
        <v>88487637.243344307</v>
      </c>
      <c r="B2631">
        <v>224167915.64141175</v>
      </c>
    </row>
    <row r="2632" spans="1:2" x14ac:dyDescent="0.25">
      <c r="A2632">
        <f ca="1">29520.7117111693*(RANDBETWEEN(2890,3282))</f>
        <v>85993833.214636147</v>
      </c>
      <c r="B2632">
        <v>230489801.73118019</v>
      </c>
    </row>
    <row r="2633" spans="1:2" x14ac:dyDescent="0.25">
      <c r="A2633">
        <f ca="1">28809.6507227295*(RANDBETWEEN(2890,3282))</f>
        <v>88157531.211552411</v>
      </c>
      <c r="B2633">
        <v>262355741.62074512</v>
      </c>
    </row>
    <row r="2634" spans="1:2" x14ac:dyDescent="0.25">
      <c r="A2634">
        <f ca="1">33025.7642521199*(RANDBETWEEN(2890,3282))</f>
        <v>106045729.01355688</v>
      </c>
      <c r="B2634">
        <v>211666925.98256317</v>
      </c>
    </row>
    <row r="2635" spans="1:2" x14ac:dyDescent="0.25">
      <c r="A2635">
        <f ca="1">26986.8528995607*(RANDBETWEEN(2890,3282))</f>
        <v>80636716.463887423</v>
      </c>
      <c r="B2635">
        <v>229421478.14659303</v>
      </c>
    </row>
    <row r="2636" spans="1:2" x14ac:dyDescent="0.25">
      <c r="A2636">
        <f ca="1">32207.1169908652*(RANDBETWEEN(2890,3282))</f>
        <v>93819331.794390395</v>
      </c>
      <c r="B2636">
        <v>266640792.05530763</v>
      </c>
    </row>
    <row r="2637" spans="1:2" x14ac:dyDescent="0.25">
      <c r="A2637">
        <f ca="1">26509.4336081155*(RANDBETWEEN(2890,3282))</f>
        <v>79104149.886616588</v>
      </c>
      <c r="B2637">
        <v>224677198.07963702</v>
      </c>
    </row>
    <row r="2638" spans="1:2" x14ac:dyDescent="0.25">
      <c r="A2638">
        <f ca="1">30769.7189920907*(RANDBETWEEN(2890,3282))</f>
        <v>91632223.158446163</v>
      </c>
      <c r="B2638">
        <v>205123692.33155286</v>
      </c>
    </row>
    <row r="2639" spans="1:2" x14ac:dyDescent="0.25">
      <c r="A2639">
        <f ca="1">31292.6454745601*(RANDBETWEEN(2890,3282))</f>
        <v>101043952.2373545</v>
      </c>
      <c r="B2639">
        <v>263908855.72083101</v>
      </c>
    </row>
    <row r="2640" spans="1:2" x14ac:dyDescent="0.25">
      <c r="A2640">
        <f ca="1">26724.6518164188*(RANDBETWEEN(2890,3282))</f>
        <v>79853259.627459362</v>
      </c>
      <c r="B2640">
        <v>240091877.26835269</v>
      </c>
    </row>
    <row r="2641" spans="1:2" x14ac:dyDescent="0.25">
      <c r="A2641">
        <f ca="1">27292.2916212579*(RANDBETWEEN(2890,3282))</f>
        <v>80484967.991089627</v>
      </c>
      <c r="B2641">
        <v>222947304.94534647</v>
      </c>
    </row>
    <row r="2642" spans="1:2" x14ac:dyDescent="0.25">
      <c r="A2642">
        <f ca="1">28009.7422406874*(RANDBETWEEN(2890,3282))</f>
        <v>89631175.170199707</v>
      </c>
      <c r="B2642">
        <v>207251313.04270214</v>
      </c>
    </row>
    <row r="2643" spans="1:2" x14ac:dyDescent="0.25">
      <c r="A2643">
        <f ca="1">28830.316252622*(RANDBETWEEN(2890,3282))</f>
        <v>89835265.443170011</v>
      </c>
      <c r="B2643">
        <v>256080422.45482314</v>
      </c>
    </row>
    <row r="2644" spans="1:2" x14ac:dyDescent="0.25">
      <c r="A2644">
        <f ca="1">30892.004880107*(RANDBETWEEN(2890,3282))</f>
        <v>92428878.601280034</v>
      </c>
      <c r="B2644">
        <v>262192434.83214808</v>
      </c>
    </row>
    <row r="2645" spans="1:2" x14ac:dyDescent="0.25">
      <c r="A2645">
        <f ca="1">30223.1616281906*(RANDBETWEEN(2890,3282))</f>
        <v>96955902.503235504</v>
      </c>
      <c r="B2645">
        <v>267681562.01697019</v>
      </c>
    </row>
    <row r="2646" spans="1:2" x14ac:dyDescent="0.25">
      <c r="A2646">
        <f ca="1">26373.3345930586*(RANDBETWEEN(2890,3282))</f>
        <v>83339737.314065188</v>
      </c>
      <c r="B2646">
        <v>215450570.68162322</v>
      </c>
    </row>
    <row r="2647" spans="1:2" x14ac:dyDescent="0.25">
      <c r="A2647">
        <f ca="1">28279.8047678683*(RANDBETWEEN(2890,3282))</f>
        <v>88968265.799713612</v>
      </c>
      <c r="B2647">
        <v>243397050.36976659</v>
      </c>
    </row>
    <row r="2648" spans="1:2" x14ac:dyDescent="0.25">
      <c r="A2648">
        <f ca="1">28977.8044621585*(RANDBETWEEN(2890,3282))</f>
        <v>93540352.803847507</v>
      </c>
      <c r="B2648">
        <v>248238214.63400206</v>
      </c>
    </row>
    <row r="2649" spans="1:2" x14ac:dyDescent="0.25">
      <c r="A2649">
        <f ca="1">31199.3970133907*(RANDBETWEEN(2890,3282))</f>
        <v>99182883.105569154</v>
      </c>
      <c r="B2649">
        <v>266434481.56838214</v>
      </c>
    </row>
    <row r="2650" spans="1:2" x14ac:dyDescent="0.25">
      <c r="A2650">
        <f ca="1">27102.9941737561*(RANDBETWEEN(2890,3282))</f>
        <v>87542671.18123205</v>
      </c>
      <c r="B2650">
        <v>226635039.3453005</v>
      </c>
    </row>
    <row r="2651" spans="1:2" x14ac:dyDescent="0.25">
      <c r="A2651">
        <f ca="1">27239.2809210736*(RANDBETWEEN(2890,3282))</f>
        <v>82943610.404669181</v>
      </c>
      <c r="B2651">
        <v>235706811.60423887</v>
      </c>
    </row>
    <row r="2652" spans="1:2" x14ac:dyDescent="0.25">
      <c r="A2652">
        <f ca="1">34211.5027242568*(RANDBETWEEN(2890,3282))</f>
        <v>100923933.03655747</v>
      </c>
      <c r="B2652">
        <v>217775235.1072877</v>
      </c>
    </row>
    <row r="2653" spans="1:2" x14ac:dyDescent="0.25">
      <c r="A2653">
        <f ca="1">31502.8344307265*(RANDBETWEEN(2890,3282))</f>
        <v>96682198.867899582</v>
      </c>
      <c r="B2653">
        <v>238570025.35636181</v>
      </c>
    </row>
    <row r="2654" spans="1:2" x14ac:dyDescent="0.25">
      <c r="A2654">
        <f ca="1">27064.2671208514*(RANDBETWEEN(2890,3282))</f>
        <v>85414827.033407003</v>
      </c>
      <c r="B2654">
        <v>234275862.99032322</v>
      </c>
    </row>
    <row r="2655" spans="1:2" x14ac:dyDescent="0.25">
      <c r="A2655">
        <f ca="1">26030.5463229135*(RANDBETWEEN(2890,3282))</f>
        <v>84208817.3546253</v>
      </c>
      <c r="B2655">
        <v>220619304.7774502</v>
      </c>
    </row>
    <row r="2656" spans="1:2" x14ac:dyDescent="0.25">
      <c r="A2656">
        <f ca="1">32392.5120964811*(RANDBETWEEN(2890,3282))</f>
        <v>101453347.88617894</v>
      </c>
      <c r="B2656">
        <v>266872725.26104918</v>
      </c>
    </row>
    <row r="2657" spans="1:2" x14ac:dyDescent="0.25">
      <c r="A2657">
        <f ca="1">31532.497651748*(RANDBETWEEN(2890,3282))</f>
        <v>103363527.30242987</v>
      </c>
      <c r="B2657">
        <v>219074566.21689901</v>
      </c>
    </row>
    <row r="2658" spans="1:2" x14ac:dyDescent="0.25">
      <c r="A2658">
        <f ca="1">30917.6959415009*(RANDBETWEEN(2890,3282))</f>
        <v>97730836.871084347</v>
      </c>
      <c r="B2658">
        <v>257815706.50952137</v>
      </c>
    </row>
    <row r="2659" spans="1:2" x14ac:dyDescent="0.25">
      <c r="A2659">
        <f ca="1">32924.1792187272*(RANDBETWEEN(2890,3282))</f>
        <v>106476795.59336387</v>
      </c>
      <c r="B2659">
        <v>218495701.26698095</v>
      </c>
    </row>
    <row r="2660" spans="1:2" x14ac:dyDescent="0.25">
      <c r="A2660">
        <f ca="1">31059.8356428053*(RANDBETWEEN(2890,3282))</f>
        <v>96937747.041195333</v>
      </c>
      <c r="B2660">
        <v>218756972.35098323</v>
      </c>
    </row>
    <row r="2661" spans="1:2" x14ac:dyDescent="0.25">
      <c r="A2661">
        <f ca="1">30660.60238285*(RANDBETWEEN(2890,3282))</f>
        <v>92349734.377144307</v>
      </c>
      <c r="B2661">
        <v>210823158.82242262</v>
      </c>
    </row>
    <row r="2662" spans="1:2" x14ac:dyDescent="0.25">
      <c r="A2662">
        <f ca="1">27883.6043376905*(RANDBETWEEN(2890,3282))</f>
        <v>84487321.14320226</v>
      </c>
      <c r="B2662">
        <v>230646144.62330455</v>
      </c>
    </row>
    <row r="2663" spans="1:2" x14ac:dyDescent="0.25">
      <c r="A2663">
        <f ca="1">32050.2899073071*(RANDBETWEEN(2890,3282))</f>
        <v>101246865.817183</v>
      </c>
      <c r="B2663">
        <v>245311893.12987679</v>
      </c>
    </row>
    <row r="2664" spans="1:2" x14ac:dyDescent="0.25">
      <c r="A2664">
        <f ca="1">29041.3083809818*(RANDBETWEEN(2890,3282))</f>
        <v>86397892.433420837</v>
      </c>
      <c r="B2664">
        <v>217384962.51826516</v>
      </c>
    </row>
    <row r="2665" spans="1:2" x14ac:dyDescent="0.25">
      <c r="A2665">
        <f ca="1">33599.7853030644*(RANDBETWEEN(2890,3282))</f>
        <v>99320965.355858251</v>
      </c>
      <c r="B2665">
        <v>240056642.05566496</v>
      </c>
    </row>
    <row r="2666" spans="1:2" x14ac:dyDescent="0.25">
      <c r="A2666">
        <f ca="1">31602.0715115044*(RANDBETWEEN(2890,3282))</f>
        <v>98535258.972870857</v>
      </c>
      <c r="B2666">
        <v>214666296.01732099</v>
      </c>
    </row>
    <row r="2667" spans="1:2" x14ac:dyDescent="0.25">
      <c r="A2667">
        <f ca="1">30815.8291273594*(RANDBETWEEN(2890,3282))</f>
        <v>99812470.543517008</v>
      </c>
      <c r="B2667">
        <v>243678805.44754511</v>
      </c>
    </row>
    <row r="2668" spans="1:2" x14ac:dyDescent="0.25">
      <c r="A2668">
        <f ca="1">29595.9303178514*(RANDBETWEEN(2890,3282))</f>
        <v>86716075.83130461</v>
      </c>
      <c r="B2668">
        <v>204145152.32667643</v>
      </c>
    </row>
    <row r="2669" spans="1:2" x14ac:dyDescent="0.25">
      <c r="A2669">
        <f ca="1">28440.7137866852*(RANDBETWEEN(2890,3282))</f>
        <v>85663429.925495848</v>
      </c>
      <c r="B2669">
        <v>234266683.1194447</v>
      </c>
    </row>
    <row r="2670" spans="1:2" x14ac:dyDescent="0.25">
      <c r="A2670">
        <f ca="1">26910.5066949926*(RANDBETWEEN(2890,3282))</f>
        <v>78686321.576158285</v>
      </c>
      <c r="B2670">
        <v>230542923.02666596</v>
      </c>
    </row>
    <row r="2671" spans="1:2" x14ac:dyDescent="0.25">
      <c r="A2671">
        <f ca="1">30895.2425198516*(RANDBETWEEN(2890,3282))</f>
        <v>94786604.050904781</v>
      </c>
      <c r="B2671">
        <v>248792320.91490746</v>
      </c>
    </row>
    <row r="2672" spans="1:2" x14ac:dyDescent="0.25">
      <c r="A2672">
        <f ca="1">33698.787586101*(RANDBETWEEN(2890,3282))</f>
        <v>109082975.41620925</v>
      </c>
      <c r="B2672">
        <v>249390555.39195102</v>
      </c>
    </row>
    <row r="2673" spans="1:2" x14ac:dyDescent="0.25">
      <c r="A2673">
        <f ca="1">26559.6090949251*(RANDBETWEEN(2890,3282))</f>
        <v>82680063.112501711</v>
      </c>
      <c r="B2673">
        <v>258836769.19165158</v>
      </c>
    </row>
    <row r="2674" spans="1:2" x14ac:dyDescent="0.25">
      <c r="A2674">
        <f ca="1">29954.1843648071*(RANDBETWEEN(2890,3282))</f>
        <v>90791132.809730262</v>
      </c>
      <c r="B2674">
        <v>224267157.86297181</v>
      </c>
    </row>
    <row r="2675" spans="1:2" x14ac:dyDescent="0.25">
      <c r="A2675">
        <f ca="1">26076.993563507*(RANDBETWEEN(2890,3282))</f>
        <v>84802383.068524793</v>
      </c>
      <c r="B2675">
        <v>259390686.37581849</v>
      </c>
    </row>
    <row r="2676" spans="1:2" x14ac:dyDescent="0.25">
      <c r="A2676">
        <f ca="1">30488.6291488551*(RANDBETWEEN(2890,3282))</f>
        <v>96008693.189744771</v>
      </c>
      <c r="B2676">
        <v>263642770.38422194</v>
      </c>
    </row>
    <row r="2677" spans="1:2" x14ac:dyDescent="0.25">
      <c r="A2677">
        <f ca="1">30751.5401444421*(RANDBETWEEN(2890,3282))</f>
        <v>89732994.14148204</v>
      </c>
      <c r="B2677">
        <v>261869396.96431157</v>
      </c>
    </row>
    <row r="2678" spans="1:2" x14ac:dyDescent="0.25">
      <c r="A2678">
        <f ca="1">26339.422051396*(RANDBETWEEN(2890,3282))</f>
        <v>79650412.283421636</v>
      </c>
      <c r="B2678">
        <v>247862571.82491767</v>
      </c>
    </row>
    <row r="2679" spans="1:2" x14ac:dyDescent="0.25">
      <c r="A2679">
        <f ca="1">26836.7117171961*(RANDBETWEEN(2890,3282))</f>
        <v>77719117.132999867</v>
      </c>
      <c r="B2679">
        <v>231387885.18801355</v>
      </c>
    </row>
    <row r="2680" spans="1:2" x14ac:dyDescent="0.25">
      <c r="A2680">
        <f ca="1">31640.5010578011*(RANDBETWEEN(2890,3282))</f>
        <v>98686722.799281716</v>
      </c>
      <c r="B2680">
        <v>241766938.5754624</v>
      </c>
    </row>
    <row r="2681" spans="1:2" x14ac:dyDescent="0.25">
      <c r="A2681">
        <f ca="1">26797.9557572693*(RANDBETWEEN(2890,3282))</f>
        <v>85619468.6444754</v>
      </c>
      <c r="B2681">
        <v>243830421.48055884</v>
      </c>
    </row>
    <row r="2682" spans="1:2" x14ac:dyDescent="0.25">
      <c r="A2682">
        <f ca="1">28396.3690047049*(RANDBETWEEN(2890,3282))</f>
        <v>91720271.88519679</v>
      </c>
      <c r="B2682">
        <v>214674801.69300017</v>
      </c>
    </row>
    <row r="2683" spans="1:2" x14ac:dyDescent="0.25">
      <c r="A2683">
        <f ca="1">27721.7244199797*(RANDBETWEEN(2890,3282))</f>
        <v>85521519.835637227</v>
      </c>
      <c r="B2683">
        <v>205966225.49592933</v>
      </c>
    </row>
    <row r="2684" spans="1:2" x14ac:dyDescent="0.25">
      <c r="A2684">
        <f ca="1">32734.9812330732*(RANDBETWEEN(2890,3282))</f>
        <v>103115190.88418062</v>
      </c>
      <c r="B2684">
        <v>210752686.82824558</v>
      </c>
    </row>
    <row r="2685" spans="1:2" x14ac:dyDescent="0.25">
      <c r="A2685">
        <f ca="1">28437.675039996*(RANDBETWEEN(2890,3282))</f>
        <v>90829934.077747226</v>
      </c>
      <c r="B2685">
        <v>254744861.9700686</v>
      </c>
    </row>
    <row r="2686" spans="1:2" x14ac:dyDescent="0.25">
      <c r="A2686">
        <f ca="1">26302.7182186928*(RANDBETWEEN(2890,3282))</f>
        <v>82459021.615602046</v>
      </c>
      <c r="B2686">
        <v>219521165.96940377</v>
      </c>
    </row>
    <row r="2687" spans="1:2" x14ac:dyDescent="0.25">
      <c r="A2687">
        <f ca="1">30815.1785644484*(RANDBETWEEN(2890,3282))</f>
        <v>95249716.942710117</v>
      </c>
      <c r="B2687">
        <v>261371098.24126109</v>
      </c>
    </row>
    <row r="2688" spans="1:2" x14ac:dyDescent="0.25">
      <c r="A2688">
        <f ca="1">28734.0777236686*(RANDBETWEEN(2890,3282))</f>
        <v>91345633.083542466</v>
      </c>
      <c r="B2688">
        <v>257496514.87268138</v>
      </c>
    </row>
    <row r="2689" spans="1:2" x14ac:dyDescent="0.25">
      <c r="A2689">
        <f ca="1">31590.1690438467*(RANDBETWEEN(2890,3282))</f>
        <v>102636459.22345778</v>
      </c>
      <c r="B2689">
        <v>232411134.56803665</v>
      </c>
    </row>
    <row r="2690" spans="1:2" x14ac:dyDescent="0.25">
      <c r="A2690">
        <f ca="1">30712.0144381326*(RANDBETWEEN(2890,3282))</f>
        <v>94500868.426133901</v>
      </c>
      <c r="B2690">
        <v>244848270.51117614</v>
      </c>
    </row>
    <row r="2691" spans="1:2" x14ac:dyDescent="0.25">
      <c r="A2691">
        <f ca="1">29833.6788553881*(RANDBETWEEN(2890,3282))</f>
        <v>88039186.302250326</v>
      </c>
      <c r="B2691">
        <v>227951307.21967191</v>
      </c>
    </row>
    <row r="2692" spans="1:2" x14ac:dyDescent="0.25">
      <c r="A2692">
        <f ca="1">26540.7447692384*(RANDBETWEEN(2890,3282))</f>
        <v>82249768.039869756</v>
      </c>
      <c r="B2692">
        <v>232715866.07762471</v>
      </c>
    </row>
    <row r="2693" spans="1:2" x14ac:dyDescent="0.25">
      <c r="A2693">
        <f ca="1">32466.2347143972*(RANDBETWEEN(2890,3282))</f>
        <v>98242826.245765969</v>
      </c>
      <c r="B2693">
        <v>232239598.56979668</v>
      </c>
    </row>
    <row r="2694" spans="1:2" x14ac:dyDescent="0.25">
      <c r="A2694">
        <f ca="1">29985.8161219415*(RANDBETWEEN(2890,3282))</f>
        <v>91336795.907433674</v>
      </c>
      <c r="B2694">
        <v>206840934.23139656</v>
      </c>
    </row>
    <row r="2695" spans="1:2" x14ac:dyDescent="0.25">
      <c r="A2695">
        <f ca="1">29479.0298447374*(RANDBETWEEN(2890,3282))</f>
        <v>89793124.907070205</v>
      </c>
      <c r="B2695">
        <v>204133961.1744588</v>
      </c>
    </row>
    <row r="2696" spans="1:2" x14ac:dyDescent="0.25">
      <c r="A2696">
        <f ca="1">27541.2811551432*(RANDBETWEEN(2890,3282))</f>
        <v>79649385.100674137</v>
      </c>
      <c r="B2696">
        <v>222667485.29632047</v>
      </c>
    </row>
    <row r="2697" spans="1:2" x14ac:dyDescent="0.25">
      <c r="A2697">
        <f ca="1">31595.9736194696*(RANDBETWEEN(2890,3282))</f>
        <v>102686914.26327604</v>
      </c>
      <c r="B2697">
        <v>227991872.66471565</v>
      </c>
    </row>
    <row r="2698" spans="1:2" x14ac:dyDescent="0.25">
      <c r="A2698">
        <f ca="1">30110.3998435181*(RANDBETWEEN(2890,3282))</f>
        <v>88313802.741038591</v>
      </c>
      <c r="B2698">
        <v>208621503.03251263</v>
      </c>
    </row>
    <row r="2699" spans="1:2" x14ac:dyDescent="0.25">
      <c r="A2699">
        <f ca="1">31695.2072065825*(RANDBETWEEN(2890,3282))</f>
        <v>101805005.54754315</v>
      </c>
      <c r="B2699">
        <v>262905910.27647358</v>
      </c>
    </row>
    <row r="2700" spans="1:2" x14ac:dyDescent="0.25">
      <c r="A2700">
        <f ca="1">28340.6567436924*(RANDBETWEEN(2890,3282))</f>
        <v>87969398.532421052</v>
      </c>
      <c r="B2700">
        <v>232440837.96737069</v>
      </c>
    </row>
    <row r="2701" spans="1:2" x14ac:dyDescent="0.25">
      <c r="A2701">
        <f ca="1">30057.4045244733*(RANDBETWEEN(2890,3282))</f>
        <v>91554854.18154563</v>
      </c>
      <c r="B2701">
        <v>262508975.66391355</v>
      </c>
    </row>
    <row r="2702" spans="1:2" x14ac:dyDescent="0.25">
      <c r="A2702">
        <f ca="1">31398.7759398918*(RANDBETWEEN(2890,3282))</f>
        <v>93160168.213659078</v>
      </c>
      <c r="B2702">
        <v>217457284.1417585</v>
      </c>
    </row>
    <row r="2703" spans="1:2" x14ac:dyDescent="0.25">
      <c r="A2703">
        <f ca="1">31155.2655077112*(RANDBETWEEN(2890,3282))</f>
        <v>91752256.920209348</v>
      </c>
      <c r="B2703">
        <v>255732314.99653906</v>
      </c>
    </row>
    <row r="2704" spans="1:2" x14ac:dyDescent="0.25">
      <c r="A2704">
        <f ca="1">29289.6228852234*(RANDBETWEEN(2890,3282))</f>
        <v>85613567.69350788</v>
      </c>
      <c r="B2704">
        <v>232566852.35192817</v>
      </c>
    </row>
    <row r="2705" spans="1:2" x14ac:dyDescent="0.25">
      <c r="A2705">
        <f ca="1">32139.784244938*(RANDBETWEEN(2890,3282))</f>
        <v>96419352.734813854</v>
      </c>
      <c r="B2705">
        <v>266804025.010254</v>
      </c>
    </row>
    <row r="2706" spans="1:2" x14ac:dyDescent="0.25">
      <c r="A2706">
        <f ca="1">30355.2137756115*(RANDBETWEEN(2890,3282))</f>
        <v>97592012.288591057</v>
      </c>
      <c r="B2706">
        <v>214930670.03708923</v>
      </c>
    </row>
    <row r="2707" spans="1:2" x14ac:dyDescent="0.25">
      <c r="A2707">
        <f ca="1">31936.8765606337*(RANDBETWEEN(2890,3282))</f>
        <v>92712752.655519694</v>
      </c>
      <c r="B2707">
        <v>260233730.54434139</v>
      </c>
    </row>
    <row r="2708" spans="1:2" x14ac:dyDescent="0.25">
      <c r="A2708">
        <f ca="1">30723.3204524366*(RANDBETWEEN(2890,3282))</f>
        <v>93245277.573144957</v>
      </c>
      <c r="B2708">
        <v>253097913.85748467</v>
      </c>
    </row>
    <row r="2709" spans="1:2" x14ac:dyDescent="0.25">
      <c r="A2709">
        <f ca="1">27784.1085126193*(RANDBETWEEN(2890,3282))</f>
        <v>81657494.918588191</v>
      </c>
      <c r="B2709">
        <v>210717904.03355452</v>
      </c>
    </row>
    <row r="2710" spans="1:2" x14ac:dyDescent="0.25">
      <c r="A2710">
        <f ca="1">26758.0248811876*(RANDBETWEEN(2890,3282))</f>
        <v>83672343.803473577</v>
      </c>
      <c r="B2710">
        <v>212042419.71891415</v>
      </c>
    </row>
    <row r="2711" spans="1:2" x14ac:dyDescent="0.25">
      <c r="A2711">
        <f ca="1">27387.5108901515*(RANDBETWEEN(2890,3282))</f>
        <v>86051559.216855988</v>
      </c>
      <c r="B2711">
        <v>234554210.05128467</v>
      </c>
    </row>
    <row r="2712" spans="1:2" x14ac:dyDescent="0.25">
      <c r="A2712">
        <f ca="1">30661.7725215028*(RANDBETWEEN(2890,3282))</f>
        <v>89624361.08035256</v>
      </c>
      <c r="B2712">
        <v>249759890.69383478</v>
      </c>
    </row>
    <row r="2713" spans="1:2" x14ac:dyDescent="0.25">
      <c r="A2713">
        <f ca="1">27636.3385643064*(RANDBETWEEN(2890,3282))</f>
        <v>84235559.944005862</v>
      </c>
      <c r="B2713">
        <v>215431221.9594661</v>
      </c>
    </row>
    <row r="2714" spans="1:2" x14ac:dyDescent="0.25">
      <c r="A2714">
        <f ca="1">26965.0425152999*(RANDBETWEEN(2890,3282))</f>
        <v>82297309.756695345</v>
      </c>
      <c r="B2714">
        <v>242461379.41370332</v>
      </c>
    </row>
    <row r="2715" spans="1:2" x14ac:dyDescent="0.25">
      <c r="A2715">
        <f ca="1">30260.4024912735*(RANDBETWEEN(2890,3282))</f>
        <v>93353341.685578898</v>
      </c>
      <c r="B2715">
        <v>260723441.05817685</v>
      </c>
    </row>
    <row r="2716" spans="1:2" x14ac:dyDescent="0.25">
      <c r="A2716">
        <f ca="1">27771.2669676513*(RANDBETWEEN(2890,3282))</f>
        <v>80814386.87586531</v>
      </c>
      <c r="B2716">
        <v>260039796.14864391</v>
      </c>
    </row>
    <row r="2717" spans="1:2" x14ac:dyDescent="0.25">
      <c r="A2717">
        <f ca="1">29216.2508776076*(RANDBETWEEN(2890,3282))</f>
        <v>90336647.713562801</v>
      </c>
      <c r="B2717">
        <v>241163250.24441352</v>
      </c>
    </row>
    <row r="2718" spans="1:2" x14ac:dyDescent="0.25">
      <c r="A2718">
        <f ca="1">32304.7254248811*(RANDBETWEEN(2890,3282))</f>
        <v>99143202.328959957</v>
      </c>
      <c r="B2718">
        <v>240831367.05820355</v>
      </c>
    </row>
    <row r="2719" spans="1:2" x14ac:dyDescent="0.25">
      <c r="A2719">
        <f ca="1">27024.9040785803*(RANDBETWEEN(2890,3282))</f>
        <v>83912327.163991764</v>
      </c>
      <c r="B2719">
        <v>232245214.26573148</v>
      </c>
    </row>
    <row r="2720" spans="1:2" x14ac:dyDescent="0.25">
      <c r="A2720">
        <f ca="1">27942.3036528431*(RANDBETWEEN(2890,3282))</f>
        <v>84609295.460808948</v>
      </c>
      <c r="B2720">
        <v>214672655.20810062</v>
      </c>
    </row>
    <row r="2721" spans="1:2" x14ac:dyDescent="0.25">
      <c r="A2721">
        <f ca="1">30966.8272896972*(RANDBETWEEN(2890,3282))</f>
        <v>99651250.218245506</v>
      </c>
      <c r="B2721">
        <v>248498757.18410212</v>
      </c>
    </row>
    <row r="2722" spans="1:2" x14ac:dyDescent="0.25">
      <c r="A2722">
        <f ca="1">31259.2176569574*(RANDBETWEEN(2890,3282))</f>
        <v>90714249.640490487</v>
      </c>
      <c r="B2722">
        <v>219460763.45533115</v>
      </c>
    </row>
    <row r="2723" spans="1:2" x14ac:dyDescent="0.25">
      <c r="A2723">
        <f ca="1">27107.6104374012*(RANDBETWEEN(2890,3282))</f>
        <v>83545655.368070424</v>
      </c>
      <c r="B2723">
        <v>254533660.83299503</v>
      </c>
    </row>
    <row r="2724" spans="1:2" x14ac:dyDescent="0.25">
      <c r="A2724">
        <f ca="1">26931.6191846337*(RANDBETWEEN(2890,3282))</f>
        <v>80390883.266131535</v>
      </c>
      <c r="B2724">
        <v>245328281.6980181</v>
      </c>
    </row>
    <row r="2725" spans="1:2" x14ac:dyDescent="0.25">
      <c r="A2725">
        <f ca="1">31170.9665092935*(RANDBETWEEN(2890,3282))</f>
        <v>94385686.59014073</v>
      </c>
      <c r="B2725">
        <v>207972503.88205227</v>
      </c>
    </row>
    <row r="2726" spans="1:2" x14ac:dyDescent="0.25">
      <c r="A2726">
        <f ca="1">27981.8462299995*(RANDBETWEEN(2890,3282))</f>
        <v>89681817.167148501</v>
      </c>
      <c r="B2726">
        <v>235117928.03654027</v>
      </c>
    </row>
    <row r="2727" spans="1:2" x14ac:dyDescent="0.25">
      <c r="A2727">
        <f ca="1">30667.9979764313*(RANDBETWEEN(2890,3282))</f>
        <v>88661182.14986296</v>
      </c>
      <c r="B2727">
        <v>266556755.53577727</v>
      </c>
    </row>
    <row r="2728" spans="1:2" x14ac:dyDescent="0.25">
      <c r="A2728">
        <f ca="1">29860.5582413242*(RANDBETWEEN(2890,3282))</f>
        <v>91014981.519556224</v>
      </c>
      <c r="B2728">
        <v>258720695.45252526</v>
      </c>
    </row>
    <row r="2729" spans="1:2" x14ac:dyDescent="0.25">
      <c r="A2729">
        <f ca="1">27307.1898699273*(RANDBETWEEN(2890,3282))</f>
        <v>83969608.850026354</v>
      </c>
      <c r="B2729">
        <v>210986289.0120616</v>
      </c>
    </row>
    <row r="2730" spans="1:2" x14ac:dyDescent="0.25">
      <c r="A2730">
        <f ca="1">30280.6425759606*(RANDBETWEEN(2890,3282))</f>
        <v>87844144.112861723</v>
      </c>
      <c r="B2730">
        <v>267767601.02188921</v>
      </c>
    </row>
    <row r="2731" spans="1:2" x14ac:dyDescent="0.25">
      <c r="A2731">
        <f ca="1">30933.3096627231*(RANDBETWEEN(2890,3282))</f>
        <v>96883125.863648877</v>
      </c>
      <c r="B2731">
        <v>257404472.0706667</v>
      </c>
    </row>
    <row r="2732" spans="1:2" x14ac:dyDescent="0.25">
      <c r="A2732">
        <f ca="1">28099.2125330708*(RANDBETWEEN(2890,3282))</f>
        <v>81234823.433107704</v>
      </c>
      <c r="B2732">
        <v>231132304.30785263</v>
      </c>
    </row>
    <row r="2733" spans="1:2" x14ac:dyDescent="0.25">
      <c r="A2733">
        <f ca="1">33531.5507318121*(RANDBETWEEN(2890,3282))</f>
        <v>101500004.0651951</v>
      </c>
      <c r="B2733">
        <v>242105300.46209586</v>
      </c>
    </row>
    <row r="2734" spans="1:2" x14ac:dyDescent="0.25">
      <c r="A2734">
        <f ca="1">28849.0454640552*(RANDBETWEEN(2890,3282))</f>
        <v>87614551.07433562</v>
      </c>
      <c r="B2734">
        <v>241232783.47014666</v>
      </c>
    </row>
    <row r="2735" spans="1:2" x14ac:dyDescent="0.25">
      <c r="A2735">
        <f ca="1">27135.6095119671*(RANDBETWEEN(2890,3282))</f>
        <v>84527423.629777402</v>
      </c>
      <c r="B2735">
        <v>203812610.61597055</v>
      </c>
    </row>
    <row r="2736" spans="1:2" x14ac:dyDescent="0.25">
      <c r="A2736">
        <f ca="1">30816.2397337029*(RANDBETWEEN(2890,3282))</f>
        <v>96886257.722761959</v>
      </c>
      <c r="B2736">
        <v>220191572.8073194</v>
      </c>
    </row>
    <row r="2737" spans="1:2" x14ac:dyDescent="0.25">
      <c r="A2737">
        <f ca="1">30388.1624783814*(RANDBETWEEN(2890,3282))</f>
        <v>97272508.093298927</v>
      </c>
      <c r="B2737">
        <v>239743067.44250348</v>
      </c>
    </row>
    <row r="2738" spans="1:2" x14ac:dyDescent="0.25">
      <c r="A2738">
        <f ca="1">30897.8511318753*(RANDBETWEEN(2890,3282))</f>
        <v>97699005.278989673</v>
      </c>
      <c r="B2738">
        <v>233497738.07851842</v>
      </c>
    </row>
    <row r="2739" spans="1:2" x14ac:dyDescent="0.25">
      <c r="A2739">
        <f ca="1">30857.4119823411*(RANDBETWEEN(2890,3282))</f>
        <v>97046560.684462622</v>
      </c>
      <c r="B2739">
        <v>256504848.95379174</v>
      </c>
    </row>
    <row r="2740" spans="1:2" x14ac:dyDescent="0.25">
      <c r="A2740">
        <f ca="1">27358.6687214759*(RANDBETWEEN(2890,3282))</f>
        <v>81939212.820820451</v>
      </c>
      <c r="B2740">
        <v>212045909.10094893</v>
      </c>
    </row>
    <row r="2741" spans="1:2" x14ac:dyDescent="0.25">
      <c r="A2741">
        <f ca="1">30650.7255068217*(RANDBETWEEN(2890,3282))</f>
        <v>92319985.226546928</v>
      </c>
      <c r="B2741">
        <v>261323431.39476204</v>
      </c>
    </row>
    <row r="2742" spans="1:2" x14ac:dyDescent="0.25">
      <c r="A2742">
        <f ca="1">29873.2583841745*(RANDBETWEEN(2890,3282))</f>
        <v>95923032.671584457</v>
      </c>
      <c r="B2742">
        <v>225214513.28364334</v>
      </c>
    </row>
    <row r="2743" spans="1:2" x14ac:dyDescent="0.25">
      <c r="A2743">
        <f ca="1">31031.405606857*(RANDBETWEEN(2890,3282))</f>
        <v>91480583.729014322</v>
      </c>
      <c r="B2743">
        <v>228975844.92715698</v>
      </c>
    </row>
    <row r="2744" spans="1:2" x14ac:dyDescent="0.25">
      <c r="A2744">
        <f ca="1">32100.9598296751*(RANDBETWEEN(2890,3282))</f>
        <v>99641379.311311468</v>
      </c>
      <c r="B2744">
        <v>207416404.63831958</v>
      </c>
    </row>
    <row r="2745" spans="1:2" x14ac:dyDescent="0.25">
      <c r="A2745">
        <f ca="1">27275.7915736767*(RANDBETWEEN(2890,3282))</f>
        <v>80899997.807525158</v>
      </c>
      <c r="B2745">
        <v>205519866.22059122</v>
      </c>
    </row>
    <row r="2746" spans="1:2" x14ac:dyDescent="0.25">
      <c r="A2746">
        <f ca="1">31108.4357993507*(RANDBETWEEN(2890,3282))</f>
        <v>90370005.99711366</v>
      </c>
      <c r="B2746">
        <v>243688654.78224304</v>
      </c>
    </row>
    <row r="2747" spans="1:2" x14ac:dyDescent="0.25">
      <c r="A2747">
        <f ca="1">28425.7829765182*(RANDBETWEEN(2890,3282))</f>
        <v>90848802.392952234</v>
      </c>
      <c r="B2747">
        <v>210115446.68557331</v>
      </c>
    </row>
    <row r="2748" spans="1:2" x14ac:dyDescent="0.25">
      <c r="A2748">
        <f ca="1">31008.1057009642*(RANDBETWEEN(2890,3282))</f>
        <v>95628997.981773615</v>
      </c>
      <c r="B2748">
        <v>243489518.62993786</v>
      </c>
    </row>
    <row r="2749" spans="1:2" x14ac:dyDescent="0.25">
      <c r="A2749">
        <f ca="1">28820.0947243292*(RANDBETWEEN(2890,3282))</f>
        <v>88247130.04589586</v>
      </c>
      <c r="B2749">
        <v>205733545.81273243</v>
      </c>
    </row>
    <row r="2750" spans="1:2" x14ac:dyDescent="0.25">
      <c r="A2750">
        <f ca="1">29191.6180058354*(RANDBETWEEN(2890,3282))</f>
        <v>84626500.598916724</v>
      </c>
      <c r="B2750">
        <v>224485179.09877995</v>
      </c>
    </row>
    <row r="2751" spans="1:2" x14ac:dyDescent="0.25">
      <c r="A2751">
        <f ca="1">26184.4045588227*(RANDBETWEEN(2890,3282))</f>
        <v>85701556.12102668</v>
      </c>
      <c r="B2751">
        <v>222417157.4123491</v>
      </c>
    </row>
    <row r="2752" spans="1:2" x14ac:dyDescent="0.25">
      <c r="A2752">
        <f ca="1">29917.8256010133*(RANDBETWEEN(2890,3282))</f>
        <v>97950961.01771754</v>
      </c>
      <c r="B2752">
        <v>242527560.39622223</v>
      </c>
    </row>
    <row r="2753" spans="1:2" x14ac:dyDescent="0.25">
      <c r="A2753">
        <f ca="1">29743.4996374288*(RANDBETWEEN(2890,3282))</f>
        <v>92115618.377116963</v>
      </c>
      <c r="B2753">
        <v>225856878.35633007</v>
      </c>
    </row>
    <row r="2754" spans="1:2" x14ac:dyDescent="0.25">
      <c r="A2754">
        <f ca="1">33895.0890951262*(RANDBETWEEN(2890,3282))</f>
        <v>107650802.96612071</v>
      </c>
      <c r="B2754">
        <v>244384025.98318249</v>
      </c>
    </row>
    <row r="2755" spans="1:2" x14ac:dyDescent="0.25">
      <c r="A2755">
        <f ca="1">32116.0352563021*(RANDBETWEEN(2890,3282))</f>
        <v>93939403.124683723</v>
      </c>
      <c r="B2755">
        <v>235943103.0226711</v>
      </c>
    </row>
    <row r="2756" spans="1:2" x14ac:dyDescent="0.25">
      <c r="A2756">
        <f ca="1">30980.2780459817*(RANDBETWEEN(2890,3282))</f>
        <v>96968270.283922866</v>
      </c>
      <c r="B2756">
        <v>256277790.40627223</v>
      </c>
    </row>
    <row r="2757" spans="1:2" x14ac:dyDescent="0.25">
      <c r="A2757">
        <f ca="1">29961.7086295276*(RANDBETWEEN(2890,3282))</f>
        <v>91562981.571836337</v>
      </c>
      <c r="B2757">
        <v>209742052.44781187</v>
      </c>
    </row>
    <row r="2758" spans="1:2" x14ac:dyDescent="0.25">
      <c r="A2758">
        <f ca="1">27134.5556957034*(RANDBETWEEN(2890,3282))</f>
        <v>85663792.331335694</v>
      </c>
      <c r="B2758">
        <v>225226202.67266166</v>
      </c>
    </row>
    <row r="2759" spans="1:2" x14ac:dyDescent="0.25">
      <c r="A2759">
        <f ca="1">25734.2898662119*(RANDBETWEEN(2890,3282))</f>
        <v>77666086.816227555</v>
      </c>
      <c r="B2759">
        <v>222120536.63439739</v>
      </c>
    </row>
    <row r="2760" spans="1:2" x14ac:dyDescent="0.25">
      <c r="A2760">
        <f ca="1">28451.4486774782*(RANDBETWEEN(2890,3282))</f>
        <v>83789516.355173171</v>
      </c>
      <c r="B2760">
        <v>233038254.97774568</v>
      </c>
    </row>
    <row r="2761" spans="1:2" x14ac:dyDescent="0.25">
      <c r="A2761">
        <f ca="1">28255.9566895242*(RANDBETWEEN(2890,3282))</f>
        <v>84683102.198503911</v>
      </c>
      <c r="B2761">
        <v>217800883.10895774</v>
      </c>
    </row>
    <row r="2762" spans="1:2" x14ac:dyDescent="0.25">
      <c r="A2762">
        <f ca="1">26689.6914094124*(RANDBETWEEN(2890,3282))</f>
        <v>85353633.127300754</v>
      </c>
      <c r="B2762">
        <v>221795115.32585675</v>
      </c>
    </row>
    <row r="2763" spans="1:2" x14ac:dyDescent="0.25">
      <c r="A2763">
        <f ca="1">29328.2377755606*(RANDBETWEEN(2890,3282))</f>
        <v>86019721.39571926</v>
      </c>
      <c r="B2763">
        <v>238411050.07375315</v>
      </c>
    </row>
    <row r="2764" spans="1:2" x14ac:dyDescent="0.25">
      <c r="A2764">
        <f ca="1">31755.4844439269*(RANDBETWEEN(2890,3282))</f>
        <v>97965669.509514555</v>
      </c>
      <c r="B2764">
        <v>226619784.05919325</v>
      </c>
    </row>
    <row r="2765" spans="1:2" x14ac:dyDescent="0.25">
      <c r="A2765">
        <f ca="1">33583.5405914228*(RANDBETWEEN(2890,3282))</f>
        <v>104310477.07695936</v>
      </c>
      <c r="B2765">
        <v>261263628.53019395</v>
      </c>
    </row>
    <row r="2766" spans="1:2" x14ac:dyDescent="0.25">
      <c r="A2766">
        <f ca="1">31856.3933979291*(RANDBETWEEN(2890,3282))</f>
        <v>100347639.20347658</v>
      </c>
      <c r="B2766">
        <v>247520867.66149837</v>
      </c>
    </row>
    <row r="2767" spans="1:2" x14ac:dyDescent="0.25">
      <c r="A2767">
        <f ca="1">29978.5522920194*(RANDBETWEEN(2890,3282))</f>
        <v>91014884.758570954</v>
      </c>
      <c r="B2767">
        <v>211304628.06605214</v>
      </c>
    </row>
    <row r="2768" spans="1:2" x14ac:dyDescent="0.25">
      <c r="A2768">
        <f ca="1">27824.9782321368*(RANDBETWEEN(2890,3282))</f>
        <v>88093881.082945228</v>
      </c>
      <c r="B2768">
        <v>253630486.75275004</v>
      </c>
    </row>
    <row r="2769" spans="1:2" x14ac:dyDescent="0.25">
      <c r="A2769">
        <f ca="1">31609.0745755354*(RANDBETWEEN(2890,3282))</f>
        <v>95491014.292692482</v>
      </c>
      <c r="B2769">
        <v>248905195.52004755</v>
      </c>
    </row>
    <row r="2770" spans="1:2" x14ac:dyDescent="0.25">
      <c r="A2770">
        <f ca="1">26743.8320800482*(RANDBETWEEN(2890,3282))</f>
        <v>87666281.558397889</v>
      </c>
      <c r="B2770">
        <v>247194176.6231426</v>
      </c>
    </row>
    <row r="2771" spans="1:2" x14ac:dyDescent="0.25">
      <c r="A2771">
        <f ca="1">29803.7638235012*(RANDBETWEEN(2890,3282))</f>
        <v>93315584.531382114</v>
      </c>
      <c r="B2771">
        <v>244825832.23236892</v>
      </c>
    </row>
    <row r="2772" spans="1:2" x14ac:dyDescent="0.25">
      <c r="A2772">
        <f ca="1">30494.8065349293*(RANDBETWEEN(2890,3282))</f>
        <v>91850357.283207133</v>
      </c>
      <c r="B2772">
        <v>219345677.39774287</v>
      </c>
    </row>
    <row r="2773" spans="1:2" x14ac:dyDescent="0.25">
      <c r="A2773">
        <f ca="1">29827.7561606041*(RANDBETWEEN(2890,3282))</f>
        <v>88081363.942263767</v>
      </c>
      <c r="B2773">
        <v>211453205.81876528</v>
      </c>
    </row>
    <row r="2774" spans="1:2" x14ac:dyDescent="0.25">
      <c r="A2774">
        <f ca="1">30034.7152492427*(RANDBETWEEN(2890,3282))</f>
        <v>93648242.147138774</v>
      </c>
      <c r="B2774">
        <v>253842950.21867317</v>
      </c>
    </row>
    <row r="2775" spans="1:2" x14ac:dyDescent="0.25">
      <c r="A2775">
        <f ca="1">26420.4931549482*(RANDBETWEEN(2890,3282))</f>
        <v>78336762.204421565</v>
      </c>
      <c r="B2775">
        <v>230829787.57558835</v>
      </c>
    </row>
    <row r="2776" spans="1:2" x14ac:dyDescent="0.25">
      <c r="A2776">
        <f ca="1">26659.993863851*(RANDBETWEEN(2890,3282))</f>
        <v>84992060.437957197</v>
      </c>
      <c r="B2776">
        <v>245091587.77924213</v>
      </c>
    </row>
    <row r="2777" spans="1:2" x14ac:dyDescent="0.25">
      <c r="A2777">
        <f ca="1">30090.4286677954*(RANDBETWEEN(2890,3282))</f>
        <v>95266297.162240118</v>
      </c>
      <c r="B2777">
        <v>242591824.38607436</v>
      </c>
    </row>
    <row r="2778" spans="1:2" x14ac:dyDescent="0.25">
      <c r="A2778">
        <f ca="1">32959.4557563506*(RANDBETWEEN(2890,3282))</f>
        <v>98252137.609681204</v>
      </c>
      <c r="B2778">
        <v>253875184.02679574</v>
      </c>
    </row>
    <row r="2779" spans="1:2" x14ac:dyDescent="0.25">
      <c r="A2779">
        <f ca="1">30644.5274200116*(RANDBETWEEN(2890,3282))</f>
        <v>99839870.334397912</v>
      </c>
      <c r="B2779">
        <v>223828591.67261103</v>
      </c>
    </row>
    <row r="2780" spans="1:2" x14ac:dyDescent="0.25">
      <c r="A2780">
        <f ca="1">29780.197605885*(RANDBETWEEN(2890,3282))</f>
        <v>97738608.542514592</v>
      </c>
      <c r="B2780">
        <v>216088492.22696215</v>
      </c>
    </row>
    <row r="2781" spans="1:2" x14ac:dyDescent="0.25">
      <c r="A2781">
        <f ca="1">33053.9694997653*(RANDBETWEEN(2890,3282))</f>
        <v>107557616.75223628</v>
      </c>
      <c r="B2781">
        <v>217686127.17911065</v>
      </c>
    </row>
    <row r="2782" spans="1:2" x14ac:dyDescent="0.25">
      <c r="A2782">
        <f ca="1">34647.1249281424*(RANDBETWEEN(2890,3282))</f>
        <v>110697564.14541507</v>
      </c>
      <c r="B2782">
        <v>211541273.4347752</v>
      </c>
    </row>
    <row r="2783" spans="1:2" x14ac:dyDescent="0.25">
      <c r="A2783">
        <f ca="1">32266.5050757739*(RANDBETWEEN(2890,3282))</f>
        <v>94508593.36694175</v>
      </c>
      <c r="B2783">
        <v>203923811.00773969</v>
      </c>
    </row>
    <row r="2784" spans="1:2" x14ac:dyDescent="0.25">
      <c r="A2784">
        <f ca="1">32481.8476799787*(RANDBETWEEN(2890,3282))</f>
        <v>101635701.39065328</v>
      </c>
      <c r="B2784">
        <v>211383010.26738614</v>
      </c>
    </row>
    <row r="2785" spans="1:2" x14ac:dyDescent="0.25">
      <c r="A2785">
        <f ca="1">31815.0792342964*(RANDBETWEEN(2890,3282))</f>
        <v>92072839.304053858</v>
      </c>
      <c r="B2785">
        <v>205192327.81552735</v>
      </c>
    </row>
    <row r="2786" spans="1:2" x14ac:dyDescent="0.25">
      <c r="A2786">
        <f ca="1">30688.7112244843*(RANDBETWEEN(2890,3282))</f>
        <v>91329604.604065195</v>
      </c>
      <c r="B2786">
        <v>236922020.50920451</v>
      </c>
    </row>
    <row r="2787" spans="1:2" x14ac:dyDescent="0.25">
      <c r="A2787">
        <f ca="1">33783.0350193342*(RANDBETWEEN(2890,3282))</f>
        <v>99626170.272016406</v>
      </c>
      <c r="B2787">
        <v>244515900.87183964</v>
      </c>
    </row>
    <row r="2788" spans="1:2" x14ac:dyDescent="0.25">
      <c r="A2788">
        <f ca="1">27685.8825597978*(RANDBETWEEN(2890,3282))</f>
        <v>80372117.071092904</v>
      </c>
      <c r="B2788">
        <v>240232524.35516587</v>
      </c>
    </row>
    <row r="2789" spans="1:2" x14ac:dyDescent="0.25">
      <c r="A2789">
        <f ca="1">28043.77667102*(RANDBETWEEN(2890,3282))</f>
        <v>88141590.077015966</v>
      </c>
      <c r="B2789">
        <v>206665868.44912079</v>
      </c>
    </row>
    <row r="2790" spans="1:2" x14ac:dyDescent="0.25">
      <c r="A2790">
        <f ca="1">26358.5851757942*(RANDBETWEEN(2890,3282))</f>
        <v>85639043.236155421</v>
      </c>
      <c r="B2790">
        <v>245152500.09637716</v>
      </c>
    </row>
    <row r="2791" spans="1:2" x14ac:dyDescent="0.25">
      <c r="A2791">
        <f ca="1">29814.8970690037*(RANDBETWEEN(2890,3282))</f>
        <v>92992663.958222643</v>
      </c>
      <c r="B2791">
        <v>213090115.30204493</v>
      </c>
    </row>
    <row r="2792" spans="1:2" x14ac:dyDescent="0.25">
      <c r="A2792">
        <f ca="1">27307.4080364041*(RANDBETWEEN(2890,3282))</f>
        <v>80857235.195792541</v>
      </c>
      <c r="B2792">
        <v>209137462.15278327</v>
      </c>
    </row>
    <row r="2793" spans="1:2" x14ac:dyDescent="0.25">
      <c r="A2793">
        <f ca="1">29710.4973686339*(RANDBETWEEN(2890,3282))</f>
        <v>93498935.219091132</v>
      </c>
      <c r="B2793">
        <v>235479804.93754241</v>
      </c>
    </row>
    <row r="2794" spans="1:2" x14ac:dyDescent="0.25">
      <c r="A2794">
        <f ca="1">27025.3884237555*(RANDBETWEEN(2890,3282))</f>
        <v>86021811.352813706</v>
      </c>
      <c r="B2794">
        <v>250625845.7294212</v>
      </c>
    </row>
    <row r="2795" spans="1:2" x14ac:dyDescent="0.25">
      <c r="A2795">
        <f ca="1">30753.1880594221*(RANDBETWEEN(2890,3282))</f>
        <v>96595763.694644928</v>
      </c>
      <c r="B2795">
        <v>259437938.15133223</v>
      </c>
    </row>
    <row r="2796" spans="1:2" x14ac:dyDescent="0.25">
      <c r="A2796">
        <f ca="1">28459.1238613007*(RANDBETWEEN(2890,3282))</f>
        <v>86117308.804296002</v>
      </c>
      <c r="B2796">
        <v>235862114.30605191</v>
      </c>
    </row>
    <row r="2797" spans="1:2" x14ac:dyDescent="0.25">
      <c r="A2797">
        <f ca="1">30671.0605400569*(RANDBETWEEN(2890,3282))</f>
        <v>98484775.394122779</v>
      </c>
      <c r="B2797">
        <v>252835679.88447714</v>
      </c>
    </row>
    <row r="2798" spans="1:2" x14ac:dyDescent="0.25">
      <c r="A2798">
        <f ca="1">29410.0181584564*(RANDBETWEEN(2890,3282))</f>
        <v>86141943.186118856</v>
      </c>
      <c r="B2798">
        <v>230428611.95929366</v>
      </c>
    </row>
    <row r="2799" spans="1:2" x14ac:dyDescent="0.25">
      <c r="A2799">
        <f ca="1">33175.0067697364*(RANDBETWEEN(2890,3282))</f>
        <v>107088921.8527091</v>
      </c>
      <c r="B2799">
        <v>234659728.98497662</v>
      </c>
    </row>
    <row r="2800" spans="1:2" x14ac:dyDescent="0.25">
      <c r="A2800">
        <f ca="1">29744.5897106852*(RANDBETWEEN(2890,3282))</f>
        <v>88430665.209867015</v>
      </c>
      <c r="B2800">
        <v>254016532.52737939</v>
      </c>
    </row>
    <row r="2801" spans="1:2" x14ac:dyDescent="0.25">
      <c r="A2801">
        <f ca="1">28145.2696128768*(RANDBETWEEN(2890,3282))</f>
        <v>90318170.187721774</v>
      </c>
      <c r="B2801">
        <v>215887545.37253168</v>
      </c>
    </row>
    <row r="2802" spans="1:2" x14ac:dyDescent="0.25">
      <c r="A2802">
        <f ca="1">30194.3216997473*(RANDBETWEEN(2890,3282))</f>
        <v>93813757.521114752</v>
      </c>
      <c r="B2802">
        <v>217471727.39741433</v>
      </c>
    </row>
    <row r="2803" spans="1:2" x14ac:dyDescent="0.25">
      <c r="A2803">
        <f ca="1">28506.5411018533*(RANDBETWEEN(2890,3282))</f>
        <v>87857159.675912023</v>
      </c>
      <c r="B2803">
        <v>233005314.01753569</v>
      </c>
    </row>
    <row r="2804" spans="1:2" x14ac:dyDescent="0.25">
      <c r="A2804">
        <f ca="1">31018.4063339129*(RANDBETWEEN(2890,3282))</f>
        <v>98018164.015164793</v>
      </c>
      <c r="B2804">
        <v>256700626.69719693</v>
      </c>
    </row>
    <row r="2805" spans="1:2" x14ac:dyDescent="0.25">
      <c r="A2805">
        <f ca="1">27696.9244076278*(RANDBETWEEN(2890,3282))</f>
        <v>83256954.769329295</v>
      </c>
      <c r="B2805">
        <v>225530929.0154866</v>
      </c>
    </row>
    <row r="2806" spans="1:2" x14ac:dyDescent="0.25">
      <c r="A2806">
        <f ca="1">31303.7995788264*(RANDBETWEEN(2890,3282))</f>
        <v>95820930.510787696</v>
      </c>
      <c r="B2806">
        <v>266201224.72250205</v>
      </c>
    </row>
    <row r="2807" spans="1:2" x14ac:dyDescent="0.25">
      <c r="A2807">
        <f ca="1">30071.6626185388*(RANDBETWEEN(2890,3282))</f>
        <v>93793515.707222655</v>
      </c>
      <c r="B2807">
        <v>241756546.09423453</v>
      </c>
    </row>
    <row r="2808" spans="1:2" x14ac:dyDescent="0.25">
      <c r="A2808">
        <f ca="1">33514.0932859659*(RANDBETWEEN(2890,3282))</f>
        <v>102117442.24233808</v>
      </c>
      <c r="B2808">
        <v>206008877.37561506</v>
      </c>
    </row>
    <row r="2809" spans="1:2" x14ac:dyDescent="0.25">
      <c r="A2809">
        <f ca="1">30713.5167615265*(RANDBETWEEN(2890,3282))</f>
        <v>99143232.10620752</v>
      </c>
      <c r="B2809">
        <v>239592005.96447721</v>
      </c>
    </row>
    <row r="2810" spans="1:2" x14ac:dyDescent="0.25">
      <c r="A2810">
        <f ca="1">32081.3350860144*(RANDBETWEEN(2890,3282))</f>
        <v>100510822.82448319</v>
      </c>
      <c r="B2810">
        <v>206268669.37175563</v>
      </c>
    </row>
    <row r="2811" spans="1:2" x14ac:dyDescent="0.25">
      <c r="A2811">
        <f ca="1">30454.7852715442*(RANDBETWEEN(2890,3282))</f>
        <v>96511214.525523558</v>
      </c>
      <c r="B2811">
        <v>246800046.53671134</v>
      </c>
    </row>
    <row r="2812" spans="1:2" x14ac:dyDescent="0.25">
      <c r="A2812">
        <f ca="1">29853.7390813467*(RANDBETWEEN(2890,3282))</f>
        <v>91382295.328002274</v>
      </c>
      <c r="B2812">
        <v>267819499.1523549</v>
      </c>
    </row>
    <row r="2813" spans="1:2" x14ac:dyDescent="0.25">
      <c r="A2813">
        <f ca="1">28506.0037956181*(RANDBETWEEN(2890,3282))</f>
        <v>83465579.113569915</v>
      </c>
      <c r="B2813">
        <v>266731628.12454653</v>
      </c>
    </row>
    <row r="2814" spans="1:2" x14ac:dyDescent="0.25">
      <c r="A2814">
        <f ca="1">27387.4572293433*(RANDBETWEEN(2890,3282))</f>
        <v>84134268.608542681</v>
      </c>
      <c r="B2814">
        <v>212199644.7229614</v>
      </c>
    </row>
    <row r="2815" spans="1:2" x14ac:dyDescent="0.25">
      <c r="A2815">
        <f ca="1">31043.5113860919*(RANDBETWEEN(2890,3282))</f>
        <v>94434361.636491627</v>
      </c>
      <c r="B2815">
        <v>245154961.69790217</v>
      </c>
    </row>
    <row r="2816" spans="1:2" x14ac:dyDescent="0.25">
      <c r="A2816">
        <f ca="1">33093.1487906957*(RANDBETWEEN(2890,3282))</f>
        <v>104309604.98827279</v>
      </c>
      <c r="B2816">
        <v>265453543.79236051</v>
      </c>
    </row>
    <row r="2817" spans="1:2" x14ac:dyDescent="0.25">
      <c r="A2817">
        <f ca="1">30794.0644843205*(RANDBETWEEN(2890,3282))</f>
        <v>94168249.193052202</v>
      </c>
      <c r="B2817">
        <v>241513206.71380764</v>
      </c>
    </row>
    <row r="2818" spans="1:2" x14ac:dyDescent="0.25">
      <c r="A2818">
        <f ca="1">26902.5710480707*(RANDBETWEEN(2890,3282))</f>
        <v>78501702.318270281</v>
      </c>
      <c r="B2818">
        <v>210486834.09786209</v>
      </c>
    </row>
    <row r="2819" spans="1:2" x14ac:dyDescent="0.25">
      <c r="A2819">
        <f ca="1">29345.8649090799*(RANDBETWEEN(2890,3282))</f>
        <v>91588444.381238431</v>
      </c>
      <c r="B2819">
        <v>234623983.87145701</v>
      </c>
    </row>
    <row r="2820" spans="1:2" x14ac:dyDescent="0.25">
      <c r="A2820">
        <f ca="1">32591.8642813614*(RANDBETWEEN(2890,3282))</f>
        <v>104782843.66457681</v>
      </c>
      <c r="B2820">
        <v>228702175.04972351</v>
      </c>
    </row>
    <row r="2821" spans="1:2" x14ac:dyDescent="0.25">
      <c r="A2821">
        <f ca="1">26634.9252489387*(RANDBETWEEN(2890,3282))</f>
        <v>86057443.479321092</v>
      </c>
      <c r="B2821">
        <v>232743803.38895151</v>
      </c>
    </row>
    <row r="2822" spans="1:2" x14ac:dyDescent="0.25">
      <c r="A2822">
        <f ca="1">28118.6866247425*(RANDBETWEEN(2890,3282))</f>
        <v>90739001.738044038</v>
      </c>
      <c r="B2822">
        <v>207651573.4478893</v>
      </c>
    </row>
    <row r="2823" spans="1:2" x14ac:dyDescent="0.25">
      <c r="A2823">
        <f ca="1">29272.7978310593*(RANDBETWEEN(2890,3282))</f>
        <v>93380225.0810792</v>
      </c>
      <c r="B2823">
        <v>256078860.79922855</v>
      </c>
    </row>
    <row r="2824" spans="1:2" x14ac:dyDescent="0.25">
      <c r="A2824">
        <f ca="1">30434.879705241*(RANDBETWEEN(2890,3282))</f>
        <v>98274226.568223327</v>
      </c>
      <c r="B2824">
        <v>262372167.35692763</v>
      </c>
    </row>
    <row r="2825" spans="1:2" x14ac:dyDescent="0.25">
      <c r="A2825">
        <f ca="1">29302.1541767205*(RANDBETWEEN(2890,3282))</f>
        <v>93913404.136389136</v>
      </c>
      <c r="B2825">
        <v>241766675.07410032</v>
      </c>
    </row>
    <row r="2826" spans="1:2" x14ac:dyDescent="0.25">
      <c r="A2826">
        <f ca="1">32462.5216399207*(RANDBETWEEN(2890,3282))</f>
        <v>97355102.3981224</v>
      </c>
      <c r="B2826">
        <v>231964596.97718492</v>
      </c>
    </row>
    <row r="2827" spans="1:2" x14ac:dyDescent="0.25">
      <c r="A2827">
        <f ca="1">28927.6884842545*(RANDBETWEEN(2890,3282))</f>
        <v>86869848.518216312</v>
      </c>
      <c r="B2827">
        <v>265728265.99273077</v>
      </c>
    </row>
    <row r="2828" spans="1:2" x14ac:dyDescent="0.25">
      <c r="A2828">
        <f ca="1">26863.9100124153*(RANDBETWEEN(2890,3282))</f>
        <v>81424511.247630835</v>
      </c>
      <c r="B2828">
        <v>246071324.56323951</v>
      </c>
    </row>
    <row r="2829" spans="1:2" x14ac:dyDescent="0.25">
      <c r="A2829">
        <f ca="1">31227.709518142*(RANDBETWEEN(2890,3282))</f>
        <v>90591585.312129855</v>
      </c>
      <c r="B2829">
        <v>265739387.80104446</v>
      </c>
    </row>
    <row r="2830" spans="1:2" x14ac:dyDescent="0.25">
      <c r="A2830">
        <f ca="1">27431.9049524169*(RANDBETWEEN(2890,3282))</f>
        <v>79360501.027342051</v>
      </c>
      <c r="B2830">
        <v>236169278.88655266</v>
      </c>
    </row>
    <row r="2831" spans="1:2" x14ac:dyDescent="0.25">
      <c r="A2831">
        <f ca="1">33996.4185329699*(RANDBETWEEN(2890,3282))</f>
        <v>106952732.70472336</v>
      </c>
      <c r="B2831">
        <v>230120495.33655807</v>
      </c>
    </row>
    <row r="2832" spans="1:2" x14ac:dyDescent="0.25">
      <c r="A2832">
        <f ca="1">28119.5242287519*(RANDBETWEEN(2890,3282))</f>
        <v>85877026.994608343</v>
      </c>
      <c r="B2832">
        <v>256829274.94561815</v>
      </c>
    </row>
    <row r="2833" spans="1:2" x14ac:dyDescent="0.25">
      <c r="A2833">
        <f ca="1">26636.6609247257*(RANDBETWEEN(2890,3282))</f>
        <v>77645866.595575511</v>
      </c>
      <c r="B2833">
        <v>210163949.33851531</v>
      </c>
    </row>
    <row r="2834" spans="1:2" x14ac:dyDescent="0.25">
      <c r="A2834">
        <f ca="1">28682.5446759892*(RANDBETWEEN(2890,3282))</f>
        <v>82978601.74763681</v>
      </c>
      <c r="B2834">
        <v>231208982.99870422</v>
      </c>
    </row>
    <row r="2835" spans="1:2" x14ac:dyDescent="0.25">
      <c r="A2835">
        <f ca="1">27966.5225806307*(RANDBETWEEN(2890,3282))</f>
        <v>84710596.896730363</v>
      </c>
      <c r="B2835">
        <v>209209833.33877411</v>
      </c>
    </row>
    <row r="2836" spans="1:2" x14ac:dyDescent="0.25">
      <c r="A2836">
        <f ca="1">28572.3386873803*(RANDBETWEEN(2890,3282))</f>
        <v>85088424.611018643</v>
      </c>
      <c r="B2836">
        <v>241983004.08332539</v>
      </c>
    </row>
    <row r="2837" spans="1:2" x14ac:dyDescent="0.25">
      <c r="A2837">
        <f ca="1">32060.4335724076*(RANDBETWEEN(2890,3282))</f>
        <v>95796575.514353991</v>
      </c>
      <c r="B2837">
        <v>216782914.89782366</v>
      </c>
    </row>
    <row r="2838" spans="1:2" x14ac:dyDescent="0.25">
      <c r="A2838">
        <f ca="1">27755.9566641063*(RANDBETWEEN(2890,3282))</f>
        <v>85599370.352103949</v>
      </c>
      <c r="B2838">
        <v>226397823.34833804</v>
      </c>
    </row>
    <row r="2839" spans="1:2" x14ac:dyDescent="0.25">
      <c r="A2839">
        <f ca="1">30885.5463384895*(RANDBETWEEN(2890,3282))</f>
        <v>89815168.752327502</v>
      </c>
      <c r="B2839">
        <v>259888810.5443297</v>
      </c>
    </row>
    <row r="2840" spans="1:2" x14ac:dyDescent="0.25">
      <c r="A2840">
        <f ca="1">28704.5050380873*(RANDBETWEEN(2890,3282))</f>
        <v>88524693.537461087</v>
      </c>
      <c r="B2840">
        <v>227714991.09939593</v>
      </c>
    </row>
    <row r="2841" spans="1:2" x14ac:dyDescent="0.25">
      <c r="A2841">
        <f ca="1">31810.1952192487*(RANDBETWEEN(2890,3282))</f>
        <v>104210199.53825858</v>
      </c>
      <c r="B2841">
        <v>227553146.96823695</v>
      </c>
    </row>
    <row r="2842" spans="1:2" x14ac:dyDescent="0.25">
      <c r="A2842">
        <f ca="1">27788.5641457057*(RANDBETWEEN(2890,3282))</f>
        <v>84115983.669051036</v>
      </c>
      <c r="B2842">
        <v>227041498.76405379</v>
      </c>
    </row>
    <row r="2843" spans="1:2" x14ac:dyDescent="0.25">
      <c r="A2843">
        <f ca="1">30309.2874348678*(RANDBETWEEN(2890,3282))</f>
        <v>93504151.736567199</v>
      </c>
      <c r="B2843">
        <v>216441109.18444127</v>
      </c>
    </row>
    <row r="2844" spans="1:2" x14ac:dyDescent="0.25">
      <c r="A2844">
        <f ca="1">27596.3775483167*(RANDBETWEEN(2890,3282))</f>
        <v>82099223.206242204</v>
      </c>
      <c r="B2844">
        <v>240811571.14036077</v>
      </c>
    </row>
    <row r="2845" spans="1:2" x14ac:dyDescent="0.25">
      <c r="A2845">
        <f ca="1">29034.441683741*(RANDBETWEEN(2890,3282))</f>
        <v>92155317.904193878</v>
      </c>
      <c r="B2845">
        <v>211094331.54269716</v>
      </c>
    </row>
    <row r="2846" spans="1:2" x14ac:dyDescent="0.25">
      <c r="A2846">
        <f ca="1">25630.2927378672*(RANDBETWEEN(2890,3282))</f>
        <v>78479956.363349259</v>
      </c>
      <c r="B2846">
        <v>213359287.75870332</v>
      </c>
    </row>
    <row r="2847" spans="1:2" x14ac:dyDescent="0.25">
      <c r="A2847">
        <f ca="1">31046.4657577024*(RANDBETWEEN(2890,3282))</f>
        <v>90376261.820671692</v>
      </c>
      <c r="B2847">
        <v>267325425.40153784</v>
      </c>
    </row>
    <row r="2848" spans="1:2" x14ac:dyDescent="0.25">
      <c r="A2848">
        <f ca="1">31625.400679034*(RANDBETWEEN(2890,3282))</f>
        <v>95065954.441176161</v>
      </c>
      <c r="B2848">
        <v>259303983.84698436</v>
      </c>
    </row>
    <row r="2849" spans="1:2" x14ac:dyDescent="0.25">
      <c r="A2849">
        <f ca="1">28843.5133039682*(RANDBETWEEN(2890,3282))</f>
        <v>88030402.603710964</v>
      </c>
      <c r="B2849">
        <v>224080916.57746756</v>
      </c>
    </row>
    <row r="2850" spans="1:2" x14ac:dyDescent="0.25">
      <c r="A2850">
        <f ca="1">32330.3957145795*(RANDBETWEEN(2890,3282))</f>
        <v>105203107.65524171</v>
      </c>
      <c r="B2850">
        <v>236886220.267129</v>
      </c>
    </row>
    <row r="2851" spans="1:2" x14ac:dyDescent="0.25">
      <c r="A2851">
        <f ca="1">30496.9668990424*(RANDBETWEEN(2890,3282))</f>
        <v>91368912.829530954</v>
      </c>
      <c r="B2851">
        <v>234252520.50717327</v>
      </c>
    </row>
    <row r="2852" spans="1:2" x14ac:dyDescent="0.25">
      <c r="A2852">
        <f ca="1">31773.8608516333*(RANDBETWEEN(2890,3282))</f>
        <v>96370119.963003784</v>
      </c>
      <c r="B2852">
        <v>230355656.44664991</v>
      </c>
    </row>
    <row r="2853" spans="1:2" x14ac:dyDescent="0.25">
      <c r="A2853">
        <f ca="1">28018.2051366048*(RANDBETWEEN(2890,3282))</f>
        <v>82597668.742711037</v>
      </c>
      <c r="B2853">
        <v>207160944.49692172</v>
      </c>
    </row>
    <row r="2854" spans="1:2" x14ac:dyDescent="0.25">
      <c r="A2854">
        <f ca="1">30198.6278082677*(RANDBETWEEN(2890,3282))</f>
        <v>92437999.721107453</v>
      </c>
      <c r="B2854">
        <v>221937861.78622752</v>
      </c>
    </row>
    <row r="2855" spans="1:2" x14ac:dyDescent="0.25">
      <c r="A2855">
        <f ca="1">30986.2698923528*(RANDBETWEEN(2890,3282))</f>
        <v>98598310.797466636</v>
      </c>
      <c r="B2855">
        <v>256312908.24516681</v>
      </c>
    </row>
    <row r="2856" spans="1:2" x14ac:dyDescent="0.25">
      <c r="A2856">
        <f ca="1">32844.504437003*(RANDBETWEEN(2890,3282))</f>
        <v>104215612.57861066</v>
      </c>
      <c r="B2856">
        <v>206691186.48881125</v>
      </c>
    </row>
    <row r="2857" spans="1:2" x14ac:dyDescent="0.25">
      <c r="A2857">
        <f ca="1">28699.4988019745*(RANDBETWEEN(2890,3282))</f>
        <v>90374721.727417618</v>
      </c>
      <c r="B2857">
        <v>254526143.57089096</v>
      </c>
    </row>
    <row r="2858" spans="1:2" x14ac:dyDescent="0.25">
      <c r="A2858">
        <f ca="1">28460.9439652819*(RANDBETWEEN(2890,3282))</f>
        <v>86948183.813936114</v>
      </c>
      <c r="B2858">
        <v>209856207.1463089</v>
      </c>
    </row>
    <row r="2859" spans="1:2" x14ac:dyDescent="0.25">
      <c r="A2859">
        <f ca="1">27810.0785079262*(RANDBETWEEN(2890,3282))</f>
        <v>84959789.841714606</v>
      </c>
      <c r="B2859">
        <v>239771869.04103464</v>
      </c>
    </row>
    <row r="2860" spans="1:2" x14ac:dyDescent="0.25">
      <c r="A2860">
        <f ca="1">28938.6766928717*(RANDBETWEEN(2890,3282))</f>
        <v>91909237.176560655</v>
      </c>
      <c r="B2860">
        <v>243373524.49254221</v>
      </c>
    </row>
    <row r="2861" spans="1:2" x14ac:dyDescent="0.25">
      <c r="A2861">
        <f ca="1">31243.3178963835*(RANDBETWEEN(2890,3282))</f>
        <v>90449405.310030341</v>
      </c>
      <c r="B2861">
        <v>253776570.72056559</v>
      </c>
    </row>
    <row r="2862" spans="1:2" x14ac:dyDescent="0.25">
      <c r="A2862">
        <f ca="1">28995.9007362806*(RANDBETWEEN(2890,3282))</f>
        <v>93888726.584076583</v>
      </c>
      <c r="B2862">
        <v>250868624.03346539</v>
      </c>
    </row>
    <row r="2863" spans="1:2" x14ac:dyDescent="0.25">
      <c r="A2863">
        <f ca="1">25836.969980362*(RANDBETWEEN(2890,3282))</f>
        <v>84125174.256058723</v>
      </c>
      <c r="B2863">
        <v>235620970.69535956</v>
      </c>
    </row>
    <row r="2864" spans="1:2" x14ac:dyDescent="0.25">
      <c r="A2864">
        <f ca="1">27695.8003005663*(RANDBETWEEN(2890,3282))</f>
        <v>87712599.551893339</v>
      </c>
      <c r="B2864">
        <v>217687721.68253025</v>
      </c>
    </row>
    <row r="2865" spans="1:2" x14ac:dyDescent="0.25">
      <c r="A2865">
        <f ca="1">29241.685071921*(RANDBETWEEN(2890,3282))</f>
        <v>88397613.972417295</v>
      </c>
      <c r="B2865">
        <v>264105644.66649216</v>
      </c>
    </row>
    <row r="2866" spans="1:2" x14ac:dyDescent="0.25">
      <c r="A2866">
        <f ca="1">30361.2868368743*(RANDBETWEEN(2890,3282))</f>
        <v>99433214.390763298</v>
      </c>
      <c r="B2866">
        <v>247711766.77689433</v>
      </c>
    </row>
    <row r="2867" spans="1:2" x14ac:dyDescent="0.25">
      <c r="A2867">
        <f ca="1">33289.6464004813*(RANDBETWEEN(2890,3282))</f>
        <v>101067366.47186118</v>
      </c>
      <c r="B2867">
        <v>218681202.12870383</v>
      </c>
    </row>
    <row r="2868" spans="1:2" x14ac:dyDescent="0.25">
      <c r="A2868">
        <f ca="1">26645.7740047275*(RANDBETWEEN(2890,3282))</f>
        <v>80789986.782333732</v>
      </c>
      <c r="B2868">
        <v>207035186.33280924</v>
      </c>
    </row>
    <row r="2869" spans="1:2" x14ac:dyDescent="0.25">
      <c r="A2869">
        <f ca="1">28211.6386143623*(RANDBETWEEN(2890,3282))</f>
        <v>92026365.160049886</v>
      </c>
      <c r="B2869">
        <v>248613800.9845764</v>
      </c>
    </row>
    <row r="2870" spans="1:2" x14ac:dyDescent="0.25">
      <c r="A2870">
        <f ca="1">30202.2088866474*(RANDBETWEEN(2890,3282))</f>
        <v>95016149.157392651</v>
      </c>
      <c r="B2870">
        <v>216256137.36446685</v>
      </c>
    </row>
    <row r="2871" spans="1:2" x14ac:dyDescent="0.25">
      <c r="A2871">
        <f ca="1">31566.1987931581*(RANDBETWEEN(2890,3282))</f>
        <v>95203655.560164928</v>
      </c>
      <c r="B2871">
        <v>208673009.05497795</v>
      </c>
    </row>
    <row r="2872" spans="1:2" x14ac:dyDescent="0.25">
      <c r="A2872">
        <f ca="1">26114.8229440068*(RANDBETWEEN(2890,3282))</f>
        <v>77952746.487860233</v>
      </c>
      <c r="B2872">
        <v>204022407.41622043</v>
      </c>
    </row>
    <row r="2873" spans="1:2" x14ac:dyDescent="0.25">
      <c r="A2873">
        <f ca="1">26567.1439457892*(RANDBETWEEN(2890,3282))</f>
        <v>81295460.47411485</v>
      </c>
      <c r="B2873">
        <v>219551749.29333979</v>
      </c>
    </row>
    <row r="2874" spans="1:2" x14ac:dyDescent="0.25">
      <c r="A2874">
        <f ca="1">32100.2519914137*(RANDBETWEEN(2890,3282))</f>
        <v>96685958.9981381</v>
      </c>
      <c r="B2874">
        <v>267458652.55465353</v>
      </c>
    </row>
    <row r="2875" spans="1:2" x14ac:dyDescent="0.25">
      <c r="A2875">
        <f ca="1">32958.9128632636*(RANDBETWEEN(2890,3282))</f>
        <v>98415313.809705019</v>
      </c>
      <c r="B2875">
        <v>207399187.3166756</v>
      </c>
    </row>
    <row r="2876" spans="1:2" x14ac:dyDescent="0.25">
      <c r="A2876">
        <f ca="1">30985.0580103258*(RANDBETWEEN(2890,3282))</f>
        <v>95464963.729813784</v>
      </c>
      <c r="B2876">
        <v>252539073.10962462</v>
      </c>
    </row>
    <row r="2877" spans="1:2" x14ac:dyDescent="0.25">
      <c r="A2877">
        <f ca="1">32699.8508595578*(RANDBETWEEN(2890,3282))</f>
        <v>107288210.67020898</v>
      </c>
      <c r="B2877">
        <v>219940419.40175021</v>
      </c>
    </row>
    <row r="2878" spans="1:2" x14ac:dyDescent="0.25">
      <c r="A2878">
        <f ca="1">30007.9780384226*(RANDBETWEEN(2890,3282))</f>
        <v>96145561.635105968</v>
      </c>
      <c r="B2878">
        <v>230818549.43932721</v>
      </c>
    </row>
    <row r="2879" spans="1:2" x14ac:dyDescent="0.25">
      <c r="A2879">
        <f ca="1">28301.0179377655*(RANDBETWEEN(2890,3282))</f>
        <v>85214365.010612026</v>
      </c>
      <c r="B2879">
        <v>266804271.86046296</v>
      </c>
    </row>
    <row r="2880" spans="1:2" x14ac:dyDescent="0.25">
      <c r="A2880">
        <f ca="1">32245.3032045255*(RANDBETWEEN(2890,3282))</f>
        <v>93866077.628373757</v>
      </c>
      <c r="B2880">
        <v>217575720.352999</v>
      </c>
    </row>
    <row r="2881" spans="1:2" x14ac:dyDescent="0.25">
      <c r="A2881">
        <f ca="1">31683.0476143057*(RANDBETWEEN(2890,3282))</f>
        <v>93781820.938344762</v>
      </c>
      <c r="B2881">
        <v>227731345.84447718</v>
      </c>
    </row>
    <row r="2882" spans="1:2" x14ac:dyDescent="0.25">
      <c r="A2882">
        <f ca="1">27686.7307861107*(RANDBETWEEN(2890,3282))</f>
        <v>89843441.400929227</v>
      </c>
      <c r="B2882">
        <v>226484680.13266322</v>
      </c>
    </row>
    <row r="2883" spans="1:2" x14ac:dyDescent="0.25">
      <c r="A2883">
        <f ca="1">27774.7395079824*(RANDBETWEEN(2890,3282))</f>
        <v>86157241.953761429</v>
      </c>
      <c r="B2883">
        <v>236930058.41869339</v>
      </c>
    </row>
    <row r="2884" spans="1:2" x14ac:dyDescent="0.25">
      <c r="A2884">
        <f ca="1">30573.7093147755*(RANDBETWEEN(2890,3282))</f>
        <v>96490626.597431347</v>
      </c>
      <c r="B2884">
        <v>231182971.67315397</v>
      </c>
    </row>
    <row r="2885" spans="1:2" x14ac:dyDescent="0.25">
      <c r="A2885">
        <f ca="1">28318.2224919028*(RANDBETWEEN(2890,3282))</f>
        <v>82009572.336550459</v>
      </c>
      <c r="B2885">
        <v>207835681.20573461</v>
      </c>
    </row>
    <row r="2886" spans="1:2" x14ac:dyDescent="0.25">
      <c r="A2886">
        <f ca="1">29598.9978118886*(RANDBETWEEN(2890,3282))</f>
        <v>87317043.545071334</v>
      </c>
      <c r="B2886">
        <v>211382091.45515642</v>
      </c>
    </row>
    <row r="2887" spans="1:2" x14ac:dyDescent="0.25">
      <c r="A2887">
        <f ca="1">29463.2117229395*(RANDBETWEEN(2890,3282))</f>
        <v>90540449.624593213</v>
      </c>
      <c r="B2887">
        <v>207924040.39313906</v>
      </c>
    </row>
    <row r="2888" spans="1:2" x14ac:dyDescent="0.25">
      <c r="A2888">
        <f ca="1">31021.5845816038*(RANDBETWEEN(2890,3282))</f>
        <v>96322020.125879958</v>
      </c>
      <c r="B2888">
        <v>227957437.15892032</v>
      </c>
    </row>
    <row r="2889" spans="1:2" x14ac:dyDescent="0.25">
      <c r="A2889">
        <f ca="1">28797.7524937198*(RANDBETWEEN(2890,3282))</f>
        <v>86854021.521058843</v>
      </c>
      <c r="B2889">
        <v>221228573.11673698</v>
      </c>
    </row>
    <row r="2890" spans="1:2" x14ac:dyDescent="0.25">
      <c r="A2890">
        <f ca="1">29152.4453542294*(RANDBETWEEN(2890,3282))</f>
        <v>88681738.767565817</v>
      </c>
      <c r="B2890">
        <v>208001771.8150135</v>
      </c>
    </row>
    <row r="2891" spans="1:2" x14ac:dyDescent="0.25">
      <c r="A2891">
        <f ca="1">28522.9843383263*(RANDBETWEEN(2890,3282))</f>
        <v>89219895.010284752</v>
      </c>
      <c r="B2891">
        <v>261901865.71669823</v>
      </c>
    </row>
    <row r="2892" spans="1:2" x14ac:dyDescent="0.25">
      <c r="A2892">
        <f ca="1">34820.8499531182*(RANDBETWEEN(2890,3282))</f>
        <v>103243820.11099553</v>
      </c>
      <c r="B2892">
        <v>256743019.61356023</v>
      </c>
    </row>
    <row r="2893" spans="1:2" x14ac:dyDescent="0.25">
      <c r="A2893">
        <f ca="1">30213.3627822331*(RANDBETWEEN(2890,3282))</f>
        <v>90912008.611739337</v>
      </c>
      <c r="B2893">
        <v>249172049.75471187</v>
      </c>
    </row>
    <row r="2894" spans="1:2" x14ac:dyDescent="0.25">
      <c r="A2894">
        <f ca="1">32322.3384484539*(RANDBETWEEN(2890,3282))</f>
        <v>95868055.838114381</v>
      </c>
      <c r="B2894">
        <v>251174606.5259766</v>
      </c>
    </row>
    <row r="2895" spans="1:2" x14ac:dyDescent="0.25">
      <c r="A2895">
        <f ca="1">30034.2821727439*(RANDBETWEEN(2890,3282))</f>
        <v>89862572.260849819</v>
      </c>
      <c r="B2895">
        <v>211683477.00390542</v>
      </c>
    </row>
    <row r="2896" spans="1:2" x14ac:dyDescent="0.25">
      <c r="A2896">
        <f ca="1">30455.178831316*(RANDBETWEEN(2890,3282))</f>
        <v>90482336.307839826</v>
      </c>
      <c r="B2896">
        <v>257775570.90983471</v>
      </c>
    </row>
    <row r="2897" spans="1:2" x14ac:dyDescent="0.25">
      <c r="A2897">
        <f ca="1">27253.8763339968*(RANDBETWEEN(2890,3282))</f>
        <v>81679867.372988403</v>
      </c>
      <c r="B2897">
        <v>224466376.99822119</v>
      </c>
    </row>
    <row r="2898" spans="1:2" x14ac:dyDescent="0.25">
      <c r="A2898">
        <f ca="1">26082.379030761*(RANDBETWEEN(2890,3282))</f>
        <v>85419791.32574217</v>
      </c>
      <c r="B2898">
        <v>217220499.34538725</v>
      </c>
    </row>
    <row r="2899" spans="1:2" x14ac:dyDescent="0.25">
      <c r="A2899">
        <f ca="1">26811.6207658831*(RANDBETWEEN(2890,3282))</f>
        <v>84188489.204872862</v>
      </c>
      <c r="B2899">
        <v>219222689.33168501</v>
      </c>
    </row>
    <row r="2900" spans="1:2" x14ac:dyDescent="0.25">
      <c r="A2900">
        <f ca="1">31972.927876341*(RANDBETWEEN(2890,3282))</f>
        <v>99020157.633027926</v>
      </c>
      <c r="B2900">
        <v>265328946.40499794</v>
      </c>
    </row>
    <row r="2901" spans="1:2" x14ac:dyDescent="0.25">
      <c r="A2901">
        <f ca="1">34299.3183317641*(RANDBETWEEN(2890,3282))</f>
        <v>106053492.28181469</v>
      </c>
      <c r="B2901">
        <v>227102113.47552291</v>
      </c>
    </row>
    <row r="2902" spans="1:2" x14ac:dyDescent="0.25">
      <c r="A2902">
        <f ca="1">31632.4258011758*(RANDBETWEEN(2890,3282))</f>
        <v>92904434.57805346</v>
      </c>
      <c r="B2902">
        <v>240118640.96656173</v>
      </c>
    </row>
    <row r="2903" spans="1:2" x14ac:dyDescent="0.25">
      <c r="A2903">
        <f ca="1">27755.3633190847*(RANDBETWEEN(2890,3282))</f>
        <v>90787793.416726157</v>
      </c>
      <c r="B2903">
        <v>229702213.31078583</v>
      </c>
    </row>
    <row r="2904" spans="1:2" x14ac:dyDescent="0.25">
      <c r="A2904">
        <f ca="1">26940.0792499934*(RANDBETWEEN(2890,3282))</f>
        <v>79850394.896980464</v>
      </c>
      <c r="B2904">
        <v>259689491.28195423</v>
      </c>
    </row>
    <row r="2905" spans="1:2" x14ac:dyDescent="0.25">
      <c r="A2905">
        <f ca="1">27010.8191997952*(RANDBETWEEN(2890,3282))</f>
        <v>79114689.436200082</v>
      </c>
      <c r="B2905">
        <v>217040605.57121801</v>
      </c>
    </row>
    <row r="2906" spans="1:2" x14ac:dyDescent="0.25">
      <c r="A2906">
        <f ca="1">33940.296122966*(RANDBETWEEN(2890,3282))</f>
        <v>109423514.70044233</v>
      </c>
      <c r="B2906">
        <v>254646238.64462918</v>
      </c>
    </row>
    <row r="2907" spans="1:2" x14ac:dyDescent="0.25">
      <c r="A2907">
        <f ca="1">28060.1320647768*(RANDBETWEEN(2890,3282))</f>
        <v>84376817.118783921</v>
      </c>
      <c r="B2907">
        <v>206852472.13382727</v>
      </c>
    </row>
    <row r="2908" spans="1:2" x14ac:dyDescent="0.25">
      <c r="A2908">
        <f ca="1">27534.861671644*(RANDBETWEEN(2890,3282))</f>
        <v>86542070.233977184</v>
      </c>
      <c r="B2908">
        <v>246745158.16867003</v>
      </c>
    </row>
    <row r="2909" spans="1:2" x14ac:dyDescent="0.25">
      <c r="A2909">
        <f ca="1">28066.0704836686*(RANDBETWEEN(2890,3282))</f>
        <v>84254343.591973186</v>
      </c>
      <c r="B2909">
        <v>235784472.41729438</v>
      </c>
    </row>
    <row r="2910" spans="1:2" x14ac:dyDescent="0.25">
      <c r="A2910">
        <f ca="1">29865.7642601536*(RANDBETWEEN(2890,3282))</f>
        <v>87476823.517989755</v>
      </c>
      <c r="B2910">
        <v>215744192.13776428</v>
      </c>
    </row>
    <row r="2911" spans="1:2" x14ac:dyDescent="0.25">
      <c r="A2911">
        <f ca="1">29614.2074530337*(RANDBETWEEN(2890,3282))</f>
        <v>94410093.360271573</v>
      </c>
      <c r="B2911">
        <v>260641129.61946851</v>
      </c>
    </row>
    <row r="2912" spans="1:2" x14ac:dyDescent="0.25">
      <c r="A2912">
        <f ca="1">29731.0363514666*(RANDBETWEEN(2890,3282))</f>
        <v>88925529.727236614</v>
      </c>
      <c r="B2912">
        <v>221407864.98196474</v>
      </c>
    </row>
    <row r="2913" spans="1:2" x14ac:dyDescent="0.25">
      <c r="A2913">
        <f ca="1">32847.73266536*(RANDBETWEEN(2890,3282))</f>
        <v>103667444.29187612</v>
      </c>
      <c r="B2913">
        <v>220519230.78871346</v>
      </c>
    </row>
    <row r="2914" spans="1:2" x14ac:dyDescent="0.25">
      <c r="A2914">
        <f ca="1">32539.6688253203*(RANDBETWEEN(2890,3282))</f>
        <v>106079320.37054409</v>
      </c>
      <c r="B2914">
        <v>244867855.24404731</v>
      </c>
    </row>
    <row r="2915" spans="1:2" x14ac:dyDescent="0.25">
      <c r="A2915">
        <f ca="1">32522.7473442895*(RANDBETWEEN(2890,3282))</f>
        <v>99454561.378837258</v>
      </c>
      <c r="B2915">
        <v>233859222.66392782</v>
      </c>
    </row>
    <row r="2916" spans="1:2" x14ac:dyDescent="0.25">
      <c r="A2916">
        <f ca="1">33082.62076444*(RANDBETWEEN(2890,3282))</f>
        <v>95873434.975347131</v>
      </c>
      <c r="B2916">
        <v>225860106.94786066</v>
      </c>
    </row>
    <row r="2917" spans="1:2" x14ac:dyDescent="0.25">
      <c r="A2917">
        <f ca="1">31356.2395625439*(RANDBETWEEN(2890,3282))</f>
        <v>92218700.553441569</v>
      </c>
      <c r="B2917">
        <v>248493936.72940382</v>
      </c>
    </row>
    <row r="2918" spans="1:2" x14ac:dyDescent="0.25">
      <c r="A2918">
        <f ca="1">30096.2915381443*(RANDBETWEEN(2890,3282))</f>
        <v>90589837.529814288</v>
      </c>
      <c r="B2918">
        <v>213736121.26269409</v>
      </c>
    </row>
    <row r="2919" spans="1:2" x14ac:dyDescent="0.25">
      <c r="A2919">
        <f ca="1">29236.5096378053*(RANDBETWEEN(2890,3282))</f>
        <v>91685694.224157408</v>
      </c>
      <c r="B2919">
        <v>247988126.70125026</v>
      </c>
    </row>
    <row r="2920" spans="1:2" x14ac:dyDescent="0.25">
      <c r="A2920">
        <f ca="1">33203.5162899964*(RANDBETWEEN(2890,3282))</f>
        <v>102565661.81979904</v>
      </c>
      <c r="B2920">
        <v>216506155.33010036</v>
      </c>
    </row>
    <row r="2921" spans="1:2" x14ac:dyDescent="0.25">
      <c r="A2921">
        <f ca="1">28652.5459474845*(RANDBETWEEN(2890,3282))</f>
        <v>93693825.248274207</v>
      </c>
      <c r="B2921">
        <v>250036398.11120087</v>
      </c>
    </row>
    <row r="2922" spans="1:2" x14ac:dyDescent="0.25">
      <c r="A2922">
        <f ca="1">32736.0098387468*(RANDBETWEEN(2890,3282))</f>
        <v>102987486.95269741</v>
      </c>
      <c r="B2922">
        <v>267353396.13944608</v>
      </c>
    </row>
    <row r="2923" spans="1:2" x14ac:dyDescent="0.25">
      <c r="A2923">
        <f ca="1">29723.9446907177*(RANDBETWEEN(2890,3282))</f>
        <v>90093276.357565403</v>
      </c>
      <c r="B2923">
        <v>214525665.54126841</v>
      </c>
    </row>
    <row r="2924" spans="1:2" x14ac:dyDescent="0.25">
      <c r="A2924">
        <f ca="1">29100.6600785951*(RANDBETWEEN(2890,3282))</f>
        <v>94198836.674412444</v>
      </c>
      <c r="B2924">
        <v>244131650.11602354</v>
      </c>
    </row>
    <row r="2925" spans="1:2" x14ac:dyDescent="0.25">
      <c r="A2925">
        <f ca="1">27282.7884550488*(RANDBETWEEN(2890,3282))</f>
        <v>88914607.575003907</v>
      </c>
      <c r="B2925">
        <v>220385536.75583419</v>
      </c>
    </row>
    <row r="2926" spans="1:2" x14ac:dyDescent="0.25">
      <c r="A2926">
        <f ca="1">30121.7852033934*(RANDBETWEEN(2890,3282))</f>
        <v>88256830.645942554</v>
      </c>
      <c r="B2926">
        <v>242929625.24448377</v>
      </c>
    </row>
    <row r="2927" spans="1:2" x14ac:dyDescent="0.25">
      <c r="A2927">
        <f ca="1">29766.1413273437*(RANDBETWEEN(2890,3282))</f>
        <v>92572699.528038859</v>
      </c>
      <c r="B2927">
        <v>247626723.76938707</v>
      </c>
    </row>
    <row r="2928" spans="1:2" x14ac:dyDescent="0.25">
      <c r="A2928">
        <f ca="1">29042.3616552252*(RANDBETWEEN(2890,3282))</f>
        <v>94387675.379481792</v>
      </c>
      <c r="B2928">
        <v>250678971.75291681</v>
      </c>
    </row>
    <row r="2929" spans="1:2" x14ac:dyDescent="0.25">
      <c r="A2929">
        <f ca="1">31896.9889315161*(RANDBETWEEN(2890,3282))</f>
        <v>103441935.10490674</v>
      </c>
      <c r="B2929">
        <v>238302605.19391611</v>
      </c>
    </row>
    <row r="2930" spans="1:2" x14ac:dyDescent="0.25">
      <c r="A2930">
        <f ca="1">27615.5146375043*(RANDBETWEEN(2890,3282))</f>
        <v>80112607.963399991</v>
      </c>
      <c r="B2930">
        <v>220975864.31543207</v>
      </c>
    </row>
    <row r="2931" spans="1:2" x14ac:dyDescent="0.25">
      <c r="A2931">
        <f ca="1">29069.2360556536*(RANDBETWEEN(2890,3282))</f>
        <v>87789092.888073981</v>
      </c>
      <c r="B2931">
        <v>234877102.50169069</v>
      </c>
    </row>
    <row r="2932" spans="1:2" x14ac:dyDescent="0.25">
      <c r="A2932">
        <f ca="1">32375.6930156796*(RANDBETWEEN(2890,3282))</f>
        <v>105900891.85428791</v>
      </c>
      <c r="B2932">
        <v>257023924.07364666</v>
      </c>
    </row>
    <row r="2933" spans="1:2" x14ac:dyDescent="0.25">
      <c r="A2933">
        <f ca="1">31053.5605343906*(RANDBETWEEN(2890,3282))</f>
        <v>98998750.983637363</v>
      </c>
      <c r="B2933">
        <v>207726631.64693093</v>
      </c>
    </row>
    <row r="2934" spans="1:2" x14ac:dyDescent="0.25">
      <c r="A2934">
        <f ca="1">31513.7098218086*(RANDBETWEEN(2890,3282))</f>
        <v>102923776.27802676</v>
      </c>
      <c r="B2934">
        <v>225825655.12768364</v>
      </c>
    </row>
    <row r="2935" spans="1:2" x14ac:dyDescent="0.25">
      <c r="A2935">
        <f ca="1">28783.6842462439*(RANDBETWEEN(2890,3282))</f>
        <v>83501467.998353541</v>
      </c>
      <c r="B2935">
        <v>214562473.19990382</v>
      </c>
    </row>
    <row r="2936" spans="1:2" x14ac:dyDescent="0.25">
      <c r="A2936">
        <f ca="1">26623.098633511*(RANDBETWEEN(2890,3282))</f>
        <v>84448468.865496933</v>
      </c>
      <c r="B2936">
        <v>237800761.68359348</v>
      </c>
    </row>
    <row r="2937" spans="1:2" x14ac:dyDescent="0.25">
      <c r="A2937">
        <f ca="1">32137.7113011866*(RANDBETWEEN(2890,3282))</f>
        <v>96316720.769656241</v>
      </c>
      <c r="B2937">
        <v>249397518.13724801</v>
      </c>
    </row>
    <row r="2938" spans="1:2" x14ac:dyDescent="0.25">
      <c r="A2938">
        <f ca="1">28996.1054341744*(RANDBETWEEN(2890,3282))</f>
        <v>91047771.063307628</v>
      </c>
      <c r="B2938">
        <v>213211180.32473212</v>
      </c>
    </row>
    <row r="2939" spans="1:2" x14ac:dyDescent="0.25">
      <c r="A2939">
        <f ca="1">33657.2088728331*(RANDBETWEEN(2890,3282))</f>
        <v>99389737.801476032</v>
      </c>
      <c r="B2939">
        <v>254400141.99263838</v>
      </c>
    </row>
    <row r="2940" spans="1:2" x14ac:dyDescent="0.25">
      <c r="A2940">
        <f ca="1">28267.9437029249*(RANDBETWEEN(2890,3282))</f>
        <v>85736673.250971273</v>
      </c>
      <c r="B2940">
        <v>210733485.69801515</v>
      </c>
    </row>
    <row r="2941" spans="1:2" x14ac:dyDescent="0.25">
      <c r="A2941">
        <f ca="1">25715.9054201771*(RANDBETWEEN(2890,3282))</f>
        <v>84373885.683600962</v>
      </c>
      <c r="B2941">
        <v>261588831.439421</v>
      </c>
    </row>
    <row r="2942" spans="1:2" x14ac:dyDescent="0.25">
      <c r="A2942">
        <f ca="1">27620.3457754371*(RANDBETWEEN(2890,3282))</f>
        <v>90539493.451882675</v>
      </c>
      <c r="B2942">
        <v>255721483.11581019</v>
      </c>
    </row>
    <row r="2943" spans="1:2" x14ac:dyDescent="0.25">
      <c r="A2943">
        <f ca="1">31726.2991235541*(RANDBETWEEN(2890,3282))</f>
        <v>99430221.453218669</v>
      </c>
      <c r="B2943">
        <v>210779695.7806142</v>
      </c>
    </row>
    <row r="2944" spans="1:2" x14ac:dyDescent="0.25">
      <c r="A2944">
        <f ca="1">28126.9790442718*(RANDBETWEEN(2890,3282))</f>
        <v>86181063.79164879</v>
      </c>
      <c r="B2944">
        <v>226053723.83319438</v>
      </c>
    </row>
    <row r="2945" spans="1:2" x14ac:dyDescent="0.25">
      <c r="A2945">
        <f ca="1">29819.4348957638*(RANDBETWEEN(2890,3282))</f>
        <v>89696860.166457489</v>
      </c>
      <c r="B2945">
        <v>239247505.13769221</v>
      </c>
    </row>
    <row r="2946" spans="1:2" x14ac:dyDescent="0.25">
      <c r="A2946">
        <f ca="1">32259.1318952482*(RANDBETWEEN(2890,3282))</f>
        <v>105874470.88020463</v>
      </c>
      <c r="B2946">
        <v>226464421.9159871</v>
      </c>
    </row>
    <row r="2947" spans="1:2" x14ac:dyDescent="0.25">
      <c r="A2947">
        <f ca="1">31945.3174379024*(RANDBETWEEN(2890,3282))</f>
        <v>101043039.05608515</v>
      </c>
      <c r="B2947">
        <v>258637266.4155595</v>
      </c>
    </row>
    <row r="2948" spans="1:2" x14ac:dyDescent="0.25">
      <c r="A2948">
        <f ca="1">28852.2187501543*(RANDBETWEEN(2890,3282))</f>
        <v>94346755.313004687</v>
      </c>
      <c r="B2948">
        <v>204521015.75278956</v>
      </c>
    </row>
    <row r="2949" spans="1:2" x14ac:dyDescent="0.25">
      <c r="A2949">
        <f ca="1">31949.893810068*(RANDBETWEEN(2890,3282))</f>
        <v>101984061.04173696</v>
      </c>
      <c r="B2949">
        <v>240797371.82537636</v>
      </c>
    </row>
    <row r="2950" spans="1:2" x14ac:dyDescent="0.25">
      <c r="A2950">
        <f ca="1">31663.9869266325*(RANDBETWEEN(2890,3282))</f>
        <v>92047209.995720625</v>
      </c>
      <c r="B2950">
        <v>234453574.10648286</v>
      </c>
    </row>
    <row r="2951" spans="1:2" x14ac:dyDescent="0.25">
      <c r="A2951">
        <f ca="1">26749.8047215044*(RANDBETWEEN(2890,3282))</f>
        <v>85759873.937143043</v>
      </c>
      <c r="B2951">
        <v>226925798.63968155</v>
      </c>
    </row>
    <row r="2952" spans="1:2" x14ac:dyDescent="0.25">
      <c r="A2952">
        <f ca="1">32786.3773915869*(RANDBETWEEN(2890,3282))</f>
        <v>98424704.929543898</v>
      </c>
      <c r="B2952">
        <v>208373404.41818005</v>
      </c>
    </row>
    <row r="2953" spans="1:2" x14ac:dyDescent="0.25">
      <c r="A2953">
        <f ca="1">28400.122864472*(RANDBETWEEN(2890,3282))</f>
        <v>84490365.521804243</v>
      </c>
      <c r="B2953">
        <v>221760899.99544549</v>
      </c>
    </row>
    <row r="2954" spans="1:2" x14ac:dyDescent="0.25">
      <c r="A2954">
        <f ca="1">30471.454454027*(RANDBETWEEN(2890,3282))</f>
        <v>99794013.336938545</v>
      </c>
      <c r="B2954">
        <v>230098075.52013195</v>
      </c>
    </row>
    <row r="2955" spans="1:2" x14ac:dyDescent="0.25">
      <c r="A2955">
        <f ca="1">28060.1117860387*(RANDBETWEEN(2890,3282))</f>
        <v>85471100.500273868</v>
      </c>
      <c r="B2955">
        <v>226646965.32205194</v>
      </c>
    </row>
    <row r="2956" spans="1:2" x14ac:dyDescent="0.25">
      <c r="A2956">
        <f ca="1">26835.5727273132*(RANDBETWEEN(2890,3282))</f>
        <v>87618144.954677448</v>
      </c>
      <c r="B2956">
        <v>231139461.0840162</v>
      </c>
    </row>
    <row r="2957" spans="1:2" x14ac:dyDescent="0.25">
      <c r="A2957">
        <f ca="1">27984.0911869078*(RANDBETWEEN(2890,3282))</f>
        <v>90612487.263207346</v>
      </c>
      <c r="B2957">
        <v>221410514.6139859</v>
      </c>
    </row>
    <row r="2958" spans="1:2" x14ac:dyDescent="0.25">
      <c r="A2958">
        <f ca="1">28339.9505594446*(RANDBETWEEN(2890,3282))</f>
        <v>88647365.349942788</v>
      </c>
      <c r="B2958">
        <v>249083659.16326103</v>
      </c>
    </row>
    <row r="2959" spans="1:2" x14ac:dyDescent="0.25">
      <c r="A2959">
        <f ca="1">28614.7951066737*(RANDBETWEEN(2890,3282))</f>
        <v>85873000.115127817</v>
      </c>
      <c r="B2959">
        <v>242590846.61747786</v>
      </c>
    </row>
    <row r="2960" spans="1:2" x14ac:dyDescent="0.25">
      <c r="A2960">
        <f ca="1">27393.1499678242*(RANDBETWEEN(2890,3282))</f>
        <v>82042484.153633624</v>
      </c>
      <c r="B2960">
        <v>214791220.52769935</v>
      </c>
    </row>
    <row r="2961" spans="1:2" x14ac:dyDescent="0.25">
      <c r="A2961">
        <f ca="1">27811.535946732*(RANDBETWEEN(2890,3282))</f>
        <v>87773207.447886035</v>
      </c>
      <c r="B2961">
        <v>256749834.87839603</v>
      </c>
    </row>
    <row r="2962" spans="1:2" x14ac:dyDescent="0.25">
      <c r="A2962">
        <f ca="1">29504.0607017293*(RANDBETWEEN(2890,3282))</f>
        <v>88718710.530099913</v>
      </c>
      <c r="B2962">
        <v>208799741.33497906</v>
      </c>
    </row>
    <row r="2963" spans="1:2" x14ac:dyDescent="0.25">
      <c r="A2963">
        <f ca="1">27865.1847737171*(RANDBETWEEN(2890,3282))</f>
        <v>89837355.710463911</v>
      </c>
      <c r="B2963">
        <v>236260811.10705367</v>
      </c>
    </row>
    <row r="2964" spans="1:2" x14ac:dyDescent="0.25">
      <c r="A2964">
        <f ca="1">26286.8594857499*(RANDBETWEEN(2890,3282))</f>
        <v>80542937.464337781</v>
      </c>
      <c r="B2964">
        <v>225495233.56177765</v>
      </c>
    </row>
    <row r="2965" spans="1:2" x14ac:dyDescent="0.25">
      <c r="A2965">
        <f ca="1">28394.5416404052*(RANDBETWEEN(2890,3282))</f>
        <v>82912061.589983255</v>
      </c>
      <c r="B2965">
        <v>218512087.05313611</v>
      </c>
    </row>
    <row r="2966" spans="1:2" x14ac:dyDescent="0.25">
      <c r="A2966">
        <f ca="1">28500.5774687416*(RANDBETWEEN(2890,3282))</f>
        <v>83677695.448225215</v>
      </c>
      <c r="B2966">
        <v>211458165.16527709</v>
      </c>
    </row>
    <row r="2967" spans="1:2" x14ac:dyDescent="0.25">
      <c r="A2967">
        <f ca="1">28181.865573456*(RANDBETWEEN(2890,3282))</f>
        <v>92239246.021921322</v>
      </c>
      <c r="B2967">
        <v>232699998.35065579</v>
      </c>
    </row>
    <row r="2968" spans="1:2" x14ac:dyDescent="0.25">
      <c r="A2968">
        <f ca="1">25679.0215574998*(RANDBETWEEN(2890,3282))</f>
        <v>79091386.397099376</v>
      </c>
      <c r="B2968">
        <v>220486878.87844622</v>
      </c>
    </row>
    <row r="2969" spans="1:2" x14ac:dyDescent="0.25">
      <c r="A2969">
        <f ca="1">30064.4818285897*(RANDBETWEEN(2890,3282))</f>
        <v>88028802.794110522</v>
      </c>
      <c r="B2969">
        <v>228358064.50666189</v>
      </c>
    </row>
    <row r="2970" spans="1:2" x14ac:dyDescent="0.25">
      <c r="A2970">
        <f ca="1">26889.8809392861*(RANDBETWEEN(2890,3282))</f>
        <v>79889836.270619124</v>
      </c>
      <c r="B2970">
        <v>218266389.41254148</v>
      </c>
    </row>
    <row r="2971" spans="1:2" x14ac:dyDescent="0.25">
      <c r="A2971">
        <f ca="1">29020.3525426792*(RANDBETWEEN(2890,3282))</f>
        <v>88337953.1399156</v>
      </c>
      <c r="B2971">
        <v>214230854.13164961</v>
      </c>
    </row>
    <row r="2972" spans="1:2" x14ac:dyDescent="0.25">
      <c r="A2972">
        <f ca="1">29228.5162365765*(RANDBETWEEN(2890,3282))</f>
        <v>89556173.748870417</v>
      </c>
      <c r="B2972">
        <v>249881346.44752601</v>
      </c>
    </row>
    <row r="2973" spans="1:2" x14ac:dyDescent="0.25">
      <c r="A2973">
        <f ca="1">28872.9717471144*(RANDBETWEEN(2890,3282))</f>
        <v>85146393.682240486</v>
      </c>
      <c r="B2973">
        <v>212912084.00982603</v>
      </c>
    </row>
    <row r="2974" spans="1:2" x14ac:dyDescent="0.25">
      <c r="A2974">
        <f ca="1">29559.639159235*(RANDBETWEEN(2890,3282))</f>
        <v>95684551.958443671</v>
      </c>
      <c r="B2974">
        <v>260000305.33588621</v>
      </c>
    </row>
    <row r="2975" spans="1:2" x14ac:dyDescent="0.25">
      <c r="A2975">
        <f ca="1">29530.3739741939*(RANDBETWEEN(2890,3282))</f>
        <v>85638084.525162205</v>
      </c>
      <c r="B2975">
        <v>219607922.38830176</v>
      </c>
    </row>
    <row r="2976" spans="1:2" x14ac:dyDescent="0.25">
      <c r="A2976">
        <f ca="1">31466.4767883792*(RANDBETWEEN(2890,3282))</f>
        <v>92039444.606009215</v>
      </c>
      <c r="B2976">
        <v>256813712.18834299</v>
      </c>
    </row>
    <row r="2977" spans="1:2" x14ac:dyDescent="0.25">
      <c r="A2977">
        <f ca="1">33614.1796998818*(RANDBETWEEN(2890,3282))</f>
        <v>106825863.08622447</v>
      </c>
      <c r="B2977">
        <v>225753528.11996081</v>
      </c>
    </row>
    <row r="2978" spans="1:2" x14ac:dyDescent="0.25">
      <c r="A2978">
        <f ca="1">29969.6853196804*(RANDBETWEEN(2890,3282))</f>
        <v>88740238.231573671</v>
      </c>
      <c r="B2978">
        <v>260110138.68432379</v>
      </c>
    </row>
    <row r="2979" spans="1:2" x14ac:dyDescent="0.25">
      <c r="A2979">
        <f ca="1">27352.8556825254*(RANDBETWEEN(2890,3282))</f>
        <v>80827688.541862503</v>
      </c>
      <c r="B2979">
        <v>216132724.02830207</v>
      </c>
    </row>
    <row r="2980" spans="1:2" x14ac:dyDescent="0.25">
      <c r="A2980">
        <f ca="1">30549.509388431*(RANDBETWEEN(2890,3282))</f>
        <v>95253370.273127764</v>
      </c>
      <c r="B2980">
        <v>227057777.01102045</v>
      </c>
    </row>
    <row r="2981" spans="1:2" x14ac:dyDescent="0.25">
      <c r="A2981">
        <f ca="1">33596.5275566025*(RANDBETWEEN(2890,3282))</f>
        <v>106366606.24420357</v>
      </c>
      <c r="B2981">
        <v>228639652.96771353</v>
      </c>
    </row>
    <row r="2982" spans="1:2" x14ac:dyDescent="0.25">
      <c r="A2982">
        <f ca="1">27103.2334407119*(RANDBETWEEN(2890,3282))</f>
        <v>82122797.325357035</v>
      </c>
      <c r="B2982">
        <v>226750723.23710868</v>
      </c>
    </row>
    <row r="2983" spans="1:2" x14ac:dyDescent="0.25">
      <c r="A2983">
        <f ca="1">27296.8535113075*(RANDBETWEEN(2890,3282))</f>
        <v>87786680.892365009</v>
      </c>
      <c r="B2983">
        <v>243647883.24243271</v>
      </c>
    </row>
    <row r="2984" spans="1:2" x14ac:dyDescent="0.25">
      <c r="A2984">
        <f ca="1">27633.2472538558*(RANDBETWEEN(2890,3282))</f>
        <v>83397140.212136671</v>
      </c>
      <c r="B2984">
        <v>208307634.59461802</v>
      </c>
    </row>
    <row r="2985" spans="1:2" x14ac:dyDescent="0.25">
      <c r="A2985">
        <f ca="1">29714.2369065736*(RANDBETWEEN(2890,3282))</f>
        <v>97165554.684495687</v>
      </c>
      <c r="B2985">
        <v>266013847.50535244</v>
      </c>
    </row>
    <row r="2986" spans="1:2" x14ac:dyDescent="0.25">
      <c r="A2986">
        <f ca="1">29550.4013218749*(RANDBETWEEN(2890,3282))</f>
        <v>94649935.433965459</v>
      </c>
      <c r="B2986">
        <v>257113675.07841265</v>
      </c>
    </row>
    <row r="2987" spans="1:2" x14ac:dyDescent="0.25">
      <c r="A2987">
        <f ca="1">30310.4268159324*(RANDBETWEEN(2890,3282))</f>
        <v>88112410.75391534</v>
      </c>
      <c r="B2987">
        <v>225827464.66340232</v>
      </c>
    </row>
    <row r="2988" spans="1:2" x14ac:dyDescent="0.25">
      <c r="A2988">
        <f ca="1">27790.4202511253*(RANDBETWEEN(2890,3282))</f>
        <v>88707021.441591829</v>
      </c>
      <c r="B2988">
        <v>204255323.08023328</v>
      </c>
    </row>
    <row r="2989" spans="1:2" x14ac:dyDescent="0.25">
      <c r="A2989">
        <f ca="1">26510.1873720552*(RANDBETWEEN(2890,3282))</f>
        <v>80750030.73528026</v>
      </c>
      <c r="B2989">
        <v>223631824.34670314</v>
      </c>
    </row>
    <row r="2990" spans="1:2" x14ac:dyDescent="0.25">
      <c r="A2990">
        <f ca="1">26301.5671215461*(RANDBETWEEN(2890,3282))</f>
        <v>81035128.301483437</v>
      </c>
      <c r="B2990">
        <v>212902290.99888942</v>
      </c>
    </row>
    <row r="2991" spans="1:2" x14ac:dyDescent="0.25">
      <c r="A2991">
        <f ca="1">32665.124246869*(RANDBETWEEN(2890,3282))</f>
        <v>95806809.416066915</v>
      </c>
      <c r="B2991">
        <v>250884221.56623831</v>
      </c>
    </row>
    <row r="2992" spans="1:2" x14ac:dyDescent="0.25">
      <c r="A2992">
        <f ca="1">31592.4529117149*(RANDBETWEEN(2890,3282))</f>
        <v>98852785.160756066</v>
      </c>
      <c r="B2992">
        <v>223822340.76083976</v>
      </c>
    </row>
    <row r="2993" spans="1:2" x14ac:dyDescent="0.25">
      <c r="A2993">
        <f ca="1">27218.1807162041*(RANDBETWEEN(2890,3282))</f>
        <v>88758487.31554161</v>
      </c>
      <c r="B2993">
        <v>239641325.16275817</v>
      </c>
    </row>
    <row r="2994" spans="1:2" x14ac:dyDescent="0.25">
      <c r="A2994">
        <f ca="1">26514.7803779026*(RANDBETWEEN(2890,3282))</f>
        <v>82779144.339811832</v>
      </c>
      <c r="B2994">
        <v>245068166.97054866</v>
      </c>
    </row>
    <row r="2995" spans="1:2" x14ac:dyDescent="0.25">
      <c r="A2995">
        <f ca="1">31711.2714645723*(RANDBETWEEN(2890,3282))</f>
        <v>102237139.20178109</v>
      </c>
      <c r="B2995">
        <v>224537849.13197434</v>
      </c>
    </row>
    <row r="2996" spans="1:2" x14ac:dyDescent="0.25">
      <c r="A2996">
        <f ca="1">28365.0490659035*(RANDBETWEEN(2890,3282))</f>
        <v>85378797.688369691</v>
      </c>
      <c r="B2996">
        <v>214982523.85985845</v>
      </c>
    </row>
    <row r="2997" spans="1:2" x14ac:dyDescent="0.25">
      <c r="A2997">
        <f ca="1">31715.3423974509*(RANDBETWEEN(2890,3282))</f>
        <v>99427598.416008681</v>
      </c>
      <c r="B2997">
        <v>253234151.05778015</v>
      </c>
    </row>
    <row r="2998" spans="1:2" x14ac:dyDescent="0.25">
      <c r="A2998">
        <f ca="1">28792.9014221083*(RANDBETWEEN(2890,3282))</f>
        <v>92482799.367812023</v>
      </c>
      <c r="B2998">
        <v>265890196.62000623</v>
      </c>
    </row>
    <row r="2999" spans="1:2" x14ac:dyDescent="0.25">
      <c r="A2999">
        <f ca="1">32636.7844332143*(RANDBETWEEN(2890,3282))</f>
        <v>102936418.10235782</v>
      </c>
      <c r="B2999">
        <v>248788214.14706871</v>
      </c>
    </row>
    <row r="3000" spans="1:2" x14ac:dyDescent="0.25">
      <c r="A3000">
        <f ca="1">29515.4654927374*(RANDBETWEEN(2890,3282))</f>
        <v>89166221.253559634</v>
      </c>
      <c r="B3000">
        <v>264761076.61180896</v>
      </c>
    </row>
    <row r="3001" spans="1:2" x14ac:dyDescent="0.25">
      <c r="A3001">
        <f ca="1">31494.4409241813*(RANDBETWEEN(2890,3282))</f>
        <v>99931861.052427337</v>
      </c>
      <c r="B3001">
        <v>225354711.05778503</v>
      </c>
    </row>
    <row r="3002" spans="1:2" x14ac:dyDescent="0.25">
      <c r="A3002">
        <f ca="1">31657.1336260175*(RANDBETWEEN(2890,3282))</f>
        <v>100638027.79710972</v>
      </c>
      <c r="B3002">
        <v>222851370.98137069</v>
      </c>
    </row>
    <row r="3003" spans="1:2" x14ac:dyDescent="0.25">
      <c r="A3003">
        <f ca="1">26440.4466968987*(RANDBETWEEN(2890,3282))</f>
        <v>79770827.684543297</v>
      </c>
      <c r="B3003">
        <v>243433575.95195067</v>
      </c>
    </row>
    <row r="3004" spans="1:2" x14ac:dyDescent="0.25">
      <c r="A3004">
        <f ca="1">26983.9045699423*(RANDBETWEEN(2890,3282))</f>
        <v>78577130.107671916</v>
      </c>
      <c r="B3004">
        <v>267345885.0738456</v>
      </c>
    </row>
    <row r="3005" spans="1:2" x14ac:dyDescent="0.25">
      <c r="A3005">
        <f ca="1">32054.373870401*(RANDBETWEEN(2890,3282))</f>
        <v>94175750.431238174</v>
      </c>
      <c r="B3005">
        <v>228143900.76733232</v>
      </c>
    </row>
    <row r="3006" spans="1:2" x14ac:dyDescent="0.25">
      <c r="A3006">
        <f ca="1">28963.65032661*(RANDBETWEEN(2890,3282))</f>
        <v>89468715.858898342</v>
      </c>
      <c r="B3006">
        <v>238223959.04579133</v>
      </c>
    </row>
    <row r="3007" spans="1:2" x14ac:dyDescent="0.25">
      <c r="A3007">
        <f ca="1">27518.5639913445*(RANDBETWEEN(2890,3282))</f>
        <v>88389627.540198684</v>
      </c>
      <c r="B3007">
        <v>218215568.04193056</v>
      </c>
    </row>
    <row r="3008" spans="1:2" x14ac:dyDescent="0.25">
      <c r="A3008">
        <f ca="1">25729.8729458006*(RANDBETWEEN(2890,3282))</f>
        <v>77189618.837401971</v>
      </c>
      <c r="B3008">
        <v>206988800.69958654</v>
      </c>
    </row>
    <row r="3009" spans="1:2" x14ac:dyDescent="0.25">
      <c r="A3009">
        <f ca="1">28576.2291643517*(RANDBETWEEN(2890,3282))</f>
        <v>83156826.868263334</v>
      </c>
      <c r="B3009">
        <v>237063097.26343244</v>
      </c>
    </row>
    <row r="3010" spans="1:2" x14ac:dyDescent="0.25">
      <c r="A3010">
        <f ca="1">32224.9573036841*(RANDBETWEEN(2890,3282))</f>
        <v>99478443.196472853</v>
      </c>
      <c r="B3010">
        <v>246779666.62319255</v>
      </c>
    </row>
    <row r="3011" spans="1:2" x14ac:dyDescent="0.25">
      <c r="A3011">
        <f ca="1">30142.2328192154*(RANDBETWEEN(2890,3282))</f>
        <v>89823853.801261961</v>
      </c>
      <c r="B3011">
        <v>235661348.28218085</v>
      </c>
    </row>
    <row r="3012" spans="1:2" x14ac:dyDescent="0.25">
      <c r="A3012">
        <f ca="1">31729.9835451317*(RANDBETWEEN(2890,3282))</f>
        <v>94269781.112586245</v>
      </c>
      <c r="B3012">
        <v>257188238.32907838</v>
      </c>
    </row>
    <row r="3013" spans="1:2" x14ac:dyDescent="0.25">
      <c r="A3013">
        <f ca="1">33480.8266331415*(RANDBETWEEN(2890,3282))</f>
        <v>103957966.69590423</v>
      </c>
      <c r="B3013">
        <v>246435375.95598572</v>
      </c>
    </row>
    <row r="3014" spans="1:2" x14ac:dyDescent="0.25">
      <c r="A3014">
        <f ca="1">27436.4878635142*(RANDBETWEEN(2890,3282))</f>
        <v>81458932.466773629</v>
      </c>
      <c r="B3014">
        <v>224130876.28913394</v>
      </c>
    </row>
    <row r="3015" spans="1:2" x14ac:dyDescent="0.25">
      <c r="A3015">
        <f ca="1">29246.5945835893*(RANDBETWEEN(2890,3282))</f>
        <v>91278621.695382237</v>
      </c>
      <c r="B3015">
        <v>264502790.11457521</v>
      </c>
    </row>
    <row r="3016" spans="1:2" x14ac:dyDescent="0.25">
      <c r="A3016">
        <f ca="1">28287.5165038635*(RANDBETWEEN(2890,3282))</f>
        <v>91029228.109432772</v>
      </c>
      <c r="B3016">
        <v>214440989.89802513</v>
      </c>
    </row>
    <row r="3017" spans="1:2" x14ac:dyDescent="0.25">
      <c r="A3017">
        <f ca="1">27222.8820321723*(RANDBETWEEN(2890,3282))</f>
        <v>85697632.637278304</v>
      </c>
      <c r="B3017">
        <v>218052896.69567737</v>
      </c>
    </row>
    <row r="3018" spans="1:2" x14ac:dyDescent="0.25">
      <c r="A3018">
        <f ca="1">32603.6344082627*(RANDBETWEEN(2890,3282))</f>
        <v>100843041.22475666</v>
      </c>
      <c r="B3018">
        <v>267697518.85631675</v>
      </c>
    </row>
    <row r="3019" spans="1:2" x14ac:dyDescent="0.25">
      <c r="A3019">
        <f ca="1">28606.6025692209*(RANDBETWEEN(2890,3282))</f>
        <v>93600803.606490806</v>
      </c>
      <c r="B3019">
        <v>203981768.62589699</v>
      </c>
    </row>
    <row r="3020" spans="1:2" x14ac:dyDescent="0.25">
      <c r="A3020">
        <f ca="1">31259.3020635085*(RANDBETWEEN(2890,3282))</f>
        <v>96653761.980368167</v>
      </c>
      <c r="B3020">
        <v>261561231.97230008</v>
      </c>
    </row>
    <row r="3021" spans="1:2" x14ac:dyDescent="0.25">
      <c r="A3021">
        <f ca="1">31427.9492711324*(RANDBETWEEN(2890,3282))</f>
        <v>91518188.27753754</v>
      </c>
      <c r="B3021">
        <v>211101572.47877324</v>
      </c>
    </row>
    <row r="3022" spans="1:2" x14ac:dyDescent="0.25">
      <c r="A3022">
        <f ca="1">27799.9059367213*(RANDBETWEEN(2890,3282))</f>
        <v>88848499.373761237</v>
      </c>
      <c r="B3022">
        <v>244154232.62713701</v>
      </c>
    </row>
    <row r="3023" spans="1:2" x14ac:dyDescent="0.25">
      <c r="A3023">
        <f ca="1">28754.4638760668*(RANDBETWEEN(2890,3282))</f>
        <v>85314494.320290133</v>
      </c>
      <c r="B3023">
        <v>247714305.66595829</v>
      </c>
    </row>
    <row r="3024" spans="1:2" x14ac:dyDescent="0.25">
      <c r="A3024">
        <f ca="1">28333.8244290706*(RANDBETWEEN(2890,3282))</f>
        <v>89194879.302714258</v>
      </c>
      <c r="B3024">
        <v>264601128.68238789</v>
      </c>
    </row>
    <row r="3025" spans="1:2" x14ac:dyDescent="0.25">
      <c r="A3025">
        <f ca="1">30057.2900087935*(RANDBETWEEN(2890,3282))</f>
        <v>89660896.096231118</v>
      </c>
      <c r="B3025">
        <v>204321323.62084785</v>
      </c>
    </row>
    <row r="3026" spans="1:2" x14ac:dyDescent="0.25">
      <c r="A3026">
        <f ca="1">31991.2466251698*(RANDBETWEEN(2890,3282))</f>
        <v>99684724.484029099</v>
      </c>
      <c r="B3026">
        <v>205863993.3991912</v>
      </c>
    </row>
    <row r="3027" spans="1:2" x14ac:dyDescent="0.25">
      <c r="A3027">
        <f ca="1">28382.4490212631*(RANDBETWEEN(2890,3282))</f>
        <v>87048971.148213997</v>
      </c>
      <c r="B3027">
        <v>227256552.14135504</v>
      </c>
    </row>
    <row r="3028" spans="1:2" x14ac:dyDescent="0.25">
      <c r="A3028">
        <f ca="1">27384.5297356976*(RANDBETWEEN(2890,3282))</f>
        <v>86672036.613482878</v>
      </c>
      <c r="B3028">
        <v>215452337.72664842</v>
      </c>
    </row>
    <row r="3029" spans="1:2" x14ac:dyDescent="0.25">
      <c r="A3029">
        <f ca="1">30060.2807440185*(RANDBETWEEN(2890,3282))</f>
        <v>89068611.844526783</v>
      </c>
      <c r="B3029">
        <v>226126239.40227941</v>
      </c>
    </row>
    <row r="3030" spans="1:2" x14ac:dyDescent="0.25">
      <c r="A3030">
        <f ca="1">27969.5926000594*(RANDBETWEEN(2890,3282))</f>
        <v>83517203.50377728</v>
      </c>
      <c r="B3030">
        <v>214895524.12363029</v>
      </c>
    </row>
    <row r="3031" spans="1:2" x14ac:dyDescent="0.25">
      <c r="A3031">
        <f ca="1">28065.2330550397*(RANDBETWEEN(2890,3282))</f>
        <v>84139568.699008971</v>
      </c>
      <c r="B3031">
        <v>210826048.08610603</v>
      </c>
    </row>
    <row r="3032" spans="1:2" x14ac:dyDescent="0.25">
      <c r="A3032">
        <f ca="1">30830.7875729889*(RANDBETWEEN(2890,3282))</f>
        <v>95482949.113546506</v>
      </c>
      <c r="B3032">
        <v>244140421.62661561</v>
      </c>
    </row>
    <row r="3033" spans="1:2" x14ac:dyDescent="0.25">
      <c r="A3033">
        <f ca="1">33949.6213696155*(RANDBETWEEN(2890,3282))</f>
        <v>101747015.24473774</v>
      </c>
      <c r="B3033">
        <v>219482326.28531989</v>
      </c>
    </row>
    <row r="3034" spans="1:2" x14ac:dyDescent="0.25">
      <c r="A3034">
        <f ca="1">31916.1341227709*(RANDBETWEEN(2890,3282))</f>
        <v>93386608.443227664</v>
      </c>
      <c r="B3034">
        <v>206932602.92817089</v>
      </c>
    </row>
    <row r="3035" spans="1:2" x14ac:dyDescent="0.25">
      <c r="A3035">
        <f ca="1">31124.0276018544*(RANDBETWEEN(2890,3282))</f>
        <v>98974407.773897007</v>
      </c>
      <c r="B3035">
        <v>233413834.33767945</v>
      </c>
    </row>
    <row r="3036" spans="1:2" x14ac:dyDescent="0.25">
      <c r="A3036">
        <f ca="1">31547.434435551*(RANDBETWEEN(2890,3282))</f>
        <v>98554185.176661491</v>
      </c>
      <c r="B3036">
        <v>235905675.63874245</v>
      </c>
    </row>
    <row r="3037" spans="1:2" x14ac:dyDescent="0.25">
      <c r="A3037">
        <f ca="1">28081.7638519413*(RANDBETWEEN(2890,3282))</f>
        <v>89075354.938357651</v>
      </c>
      <c r="B3037">
        <v>232117351.0647451</v>
      </c>
    </row>
    <row r="3038" spans="1:2" x14ac:dyDescent="0.25">
      <c r="A3038">
        <f ca="1">28350.7836692417*(RANDBETWEEN(2890,3282))</f>
        <v>90835910.876250491</v>
      </c>
      <c r="B3038">
        <v>244361970.26381752</v>
      </c>
    </row>
    <row r="3039" spans="1:2" x14ac:dyDescent="0.25">
      <c r="A3039">
        <f ca="1">31095.0700239378*(RANDBETWEEN(2890,3282))</f>
        <v>101121167.71784581</v>
      </c>
      <c r="B3039">
        <v>263626655.54804453</v>
      </c>
    </row>
    <row r="3040" spans="1:2" x14ac:dyDescent="0.25">
      <c r="A3040">
        <f ca="1">31254.9648074449*(RANDBETWEEN(2890,3282))</f>
        <v>101297340.94092883</v>
      </c>
      <c r="B3040">
        <v>244461329.54170421</v>
      </c>
    </row>
    <row r="3041" spans="1:2" x14ac:dyDescent="0.25">
      <c r="A3041">
        <f ca="1">32225.9025297941*(RANDBETWEEN(2890,3282))</f>
        <v>96838837.102031261</v>
      </c>
      <c r="B3041">
        <v>212197745.71783981</v>
      </c>
    </row>
    <row r="3042" spans="1:2" x14ac:dyDescent="0.25">
      <c r="A3042">
        <f ca="1">28254.1874409322*(RANDBETWEEN(2890,3282))</f>
        <v>91374042.183974594</v>
      </c>
      <c r="B3042">
        <v>225162324.21576044</v>
      </c>
    </row>
    <row r="3043" spans="1:2" x14ac:dyDescent="0.25">
      <c r="A3043">
        <f ca="1">33510.589447575*(RANDBETWEEN(2890,3282))</f>
        <v>97046667.040177166</v>
      </c>
      <c r="B3043">
        <v>256424918.59126332</v>
      </c>
    </row>
    <row r="3044" spans="1:2" x14ac:dyDescent="0.25">
      <c r="A3044">
        <f ca="1">27843.2427960077*(RANDBETWEEN(2890,3282))</f>
        <v>86258366.182031855</v>
      </c>
      <c r="B3044">
        <v>245735637.01429364</v>
      </c>
    </row>
    <row r="3045" spans="1:2" x14ac:dyDescent="0.25">
      <c r="A3045">
        <f ca="1">30744.1113815249*(RANDBETWEEN(2890,3282))</f>
        <v>97335856.633907676</v>
      </c>
      <c r="B3045">
        <v>212969713.27703041</v>
      </c>
    </row>
    <row r="3046" spans="1:2" x14ac:dyDescent="0.25">
      <c r="A3046">
        <f ca="1">30238.9522143048*(RANDBETWEEN(2890,3282))</f>
        <v>88842041.605627358</v>
      </c>
      <c r="B3046">
        <v>214393374.02097815</v>
      </c>
    </row>
    <row r="3047" spans="1:2" x14ac:dyDescent="0.25">
      <c r="A3047">
        <f ca="1">31058.7550497043*(RANDBETWEEN(2890,3282))</f>
        <v>96064729.368735522</v>
      </c>
      <c r="B3047">
        <v>230742450.60241801</v>
      </c>
    </row>
    <row r="3048" spans="1:2" x14ac:dyDescent="0.25">
      <c r="A3048">
        <f ca="1">32858.1959666268*(RANDBETWEEN(2890,3282))</f>
        <v>103963332.03840722</v>
      </c>
      <c r="B3048">
        <v>230824833.84222829</v>
      </c>
    </row>
    <row r="3049" spans="1:2" x14ac:dyDescent="0.25">
      <c r="A3049">
        <f ca="1">34055.2604440336*(RANDBETWEEN(2890,3282))</f>
        <v>105707528.41828036</v>
      </c>
      <c r="B3049">
        <v>251389203.37103561</v>
      </c>
    </row>
    <row r="3050" spans="1:2" x14ac:dyDescent="0.25">
      <c r="A3050">
        <f ca="1">28411.0882458072*(RANDBETWEEN(2890,3282))</f>
        <v>87733440.503052711</v>
      </c>
      <c r="B3050">
        <v>219688143.13815504</v>
      </c>
    </row>
    <row r="3051" spans="1:2" x14ac:dyDescent="0.25">
      <c r="A3051">
        <f ca="1">31189.2828501151*(RANDBETWEEN(2890,3282))</f>
        <v>98963594.483415276</v>
      </c>
      <c r="B3051">
        <v>250207555.49872521</v>
      </c>
    </row>
    <row r="3052" spans="1:2" x14ac:dyDescent="0.25">
      <c r="A3052">
        <f ca="1">29358.3798401954*(RANDBETWEEN(2890,3282))</f>
        <v>89308191.47387439</v>
      </c>
      <c r="B3052">
        <v>251738042.60422933</v>
      </c>
    </row>
    <row r="3053" spans="1:2" x14ac:dyDescent="0.25">
      <c r="A3053">
        <f ca="1">29240.6424597118*(RANDBETWEEN(2890,3282))</f>
        <v>84563937.993486598</v>
      </c>
      <c r="B3053">
        <v>240239114.96203494</v>
      </c>
    </row>
    <row r="3054" spans="1:2" x14ac:dyDescent="0.25">
      <c r="A3054">
        <f ca="1">26763.5810389781*(RANDBETWEEN(2890,3282))</f>
        <v>81950085.14135088</v>
      </c>
      <c r="B3054">
        <v>207647359.40762722</v>
      </c>
    </row>
    <row r="3055" spans="1:2" x14ac:dyDescent="0.25">
      <c r="A3055">
        <f ca="1">33591.0935404123*(RANDBETWEEN(2890,3282))</f>
        <v>107323543.86161734</v>
      </c>
      <c r="B3055">
        <v>224416387.96262753</v>
      </c>
    </row>
    <row r="3056" spans="1:2" x14ac:dyDescent="0.25">
      <c r="A3056">
        <f ca="1">25949.1070139263*(RANDBETWEEN(2890,3282))</f>
        <v>80571977.278241023</v>
      </c>
      <c r="B3056">
        <v>204129126.19716275</v>
      </c>
    </row>
    <row r="3057" spans="1:2" x14ac:dyDescent="0.25">
      <c r="A3057">
        <f ca="1">31613.5780240712*(RANDBETWEEN(2890,3282))</f>
        <v>101953789.12762976</v>
      </c>
      <c r="B3057">
        <v>253404086.68815076</v>
      </c>
    </row>
    <row r="3058" spans="1:2" x14ac:dyDescent="0.25">
      <c r="A3058">
        <f ca="1">31469.8884312429*(RANDBETWEEN(2890,3282))</f>
        <v>100546293.53782108</v>
      </c>
      <c r="B3058">
        <v>253933701.9696739</v>
      </c>
    </row>
    <row r="3059" spans="1:2" x14ac:dyDescent="0.25">
      <c r="A3059">
        <f ca="1">33053.1322085334*(RANDBETWEEN(2890,3282))</f>
        <v>99192449.75780876</v>
      </c>
      <c r="B3059">
        <v>211517938.68236324</v>
      </c>
    </row>
    <row r="3060" spans="1:2" x14ac:dyDescent="0.25">
      <c r="A3060">
        <f ca="1">27402.4728719107*(RANDBETWEEN(2890,3282))</f>
        <v>85605325.251848891</v>
      </c>
      <c r="B3060">
        <v>214470736.81775275</v>
      </c>
    </row>
    <row r="3061" spans="1:2" x14ac:dyDescent="0.25">
      <c r="A3061">
        <f ca="1">32007.2053674667*(RANDBETWEEN(2890,3282))</f>
        <v>95637529.637990385</v>
      </c>
      <c r="B3061">
        <v>258986423.73700768</v>
      </c>
    </row>
    <row r="3062" spans="1:2" x14ac:dyDescent="0.25">
      <c r="A3062">
        <f ca="1">31650.2872988703*(RANDBETWEEN(2890,3282))</f>
        <v>94824260.747415572</v>
      </c>
      <c r="B3062">
        <v>232859459.15977019</v>
      </c>
    </row>
    <row r="3063" spans="1:2" x14ac:dyDescent="0.25">
      <c r="A3063">
        <f ca="1">29325.5255645745*(RANDBETWEEN(2890,3282))</f>
        <v>94956051.778092161</v>
      </c>
      <c r="B3063">
        <v>223323029.05746207</v>
      </c>
    </row>
    <row r="3064" spans="1:2" x14ac:dyDescent="0.25">
      <c r="A3064">
        <f ca="1">26661.9861816824*(RANDBETWEEN(2890,3282))</f>
        <v>87238018.78646484</v>
      </c>
      <c r="B3064">
        <v>243300301.08035856</v>
      </c>
    </row>
    <row r="3065" spans="1:2" x14ac:dyDescent="0.25">
      <c r="A3065">
        <f ca="1">27610.3432985631*(RANDBETWEEN(2890,3282))</f>
        <v>89788836.406927049</v>
      </c>
      <c r="B3065">
        <v>266637931.21167025</v>
      </c>
    </row>
    <row r="3066" spans="1:2" x14ac:dyDescent="0.25">
      <c r="A3066">
        <f ca="1">31338.3608035086*(RANDBETWEEN(2890,3282))</f>
        <v>92667532.895974964</v>
      </c>
      <c r="B3066">
        <v>243310002.26019359</v>
      </c>
    </row>
    <row r="3067" spans="1:2" x14ac:dyDescent="0.25">
      <c r="A3067">
        <f ca="1">31214.3887033508*(RANDBETWEEN(2890,3282))</f>
        <v>91676659.621741399</v>
      </c>
      <c r="B3067">
        <v>213107924.55087355</v>
      </c>
    </row>
    <row r="3068" spans="1:2" x14ac:dyDescent="0.25">
      <c r="A3068">
        <f ca="1">32113.2820264307*(RANDBETWEEN(2890,3282))</f>
        <v>103276314.99700099</v>
      </c>
      <c r="B3068">
        <v>264852634.93324625</v>
      </c>
    </row>
    <row r="3069" spans="1:2" x14ac:dyDescent="0.25">
      <c r="A3069">
        <f ca="1">29304.4050731916*(RANDBETWEEN(2890,3282))</f>
        <v>86154950.915183231</v>
      </c>
      <c r="B3069">
        <v>257887850.37000915</v>
      </c>
    </row>
    <row r="3070" spans="1:2" x14ac:dyDescent="0.25">
      <c r="A3070">
        <f ca="1">32196.1956440012*(RANDBETWEEN(2890,3282))</f>
        <v>105217167.36459602</v>
      </c>
      <c r="B3070">
        <v>243210996.52424163</v>
      </c>
    </row>
    <row r="3071" spans="1:2" x14ac:dyDescent="0.25">
      <c r="A3071">
        <f ca="1">30553.5227715257*(RANDBETWEEN(2890,3282))</f>
        <v>99696144.803488344</v>
      </c>
      <c r="B3071">
        <v>210003289.96297717</v>
      </c>
    </row>
    <row r="3072" spans="1:2" x14ac:dyDescent="0.25">
      <c r="A3072">
        <f ca="1">27750.0736811838*(RANDBETWEEN(2890,3282))</f>
        <v>83361221.338276073</v>
      </c>
      <c r="B3072">
        <v>236027399.86514151</v>
      </c>
    </row>
    <row r="3073" spans="1:2" x14ac:dyDescent="0.25">
      <c r="A3073">
        <f ca="1">28777.3908085201*(RANDBETWEEN(2890,3282))</f>
        <v>84461642.023006544</v>
      </c>
      <c r="B3073">
        <v>218284305.31013107</v>
      </c>
    </row>
    <row r="3074" spans="1:2" x14ac:dyDescent="0.25">
      <c r="A3074">
        <f ca="1">32655.0901032933*(RANDBETWEEN(2890,3282))</f>
        <v>95058967.290686905</v>
      </c>
      <c r="B3074">
        <v>245669031.9191494</v>
      </c>
    </row>
    <row r="3075" spans="1:2" x14ac:dyDescent="0.25">
      <c r="A3075">
        <f ca="1">26696.6214837159*(RANDBETWEEN(2890,3282))</f>
        <v>82145504.305393949</v>
      </c>
      <c r="B3075">
        <v>210672968.21908453</v>
      </c>
    </row>
    <row r="3076" spans="1:2" x14ac:dyDescent="0.25">
      <c r="A3076">
        <f ca="1">32640.2017030573*(RANDBETWEEN(2890,3282))</f>
        <v>98475488.538123965</v>
      </c>
      <c r="B3076">
        <v>258663648.72422743</v>
      </c>
    </row>
    <row r="3077" spans="1:2" x14ac:dyDescent="0.25">
      <c r="A3077">
        <f ca="1">33159.6267060927*(RANDBETWEEN(2890,3282))</f>
        <v>96660311.848260283</v>
      </c>
      <c r="B3077">
        <v>230462619.14924741</v>
      </c>
    </row>
    <row r="3078" spans="1:2" x14ac:dyDescent="0.25">
      <c r="A3078">
        <f ca="1">27594.0096572419*(RANDBETWEEN(2890,3282))</f>
        <v>85265489.840877503</v>
      </c>
      <c r="B3078">
        <v>238641406.02927196</v>
      </c>
    </row>
    <row r="3079" spans="1:2" x14ac:dyDescent="0.25">
      <c r="A3079">
        <f ca="1">29158.7032182434*(RANDBETWEEN(2890,3282))</f>
        <v>86455555.042091817</v>
      </c>
      <c r="B3079">
        <v>212961832.67336616</v>
      </c>
    </row>
    <row r="3080" spans="1:2" x14ac:dyDescent="0.25">
      <c r="A3080">
        <f ca="1">31173.7897338618*(RANDBETWEEN(2890,3282))</f>
        <v>97729830.815656707</v>
      </c>
      <c r="B3080">
        <v>227518255.42851907</v>
      </c>
    </row>
    <row r="3081" spans="1:2" x14ac:dyDescent="0.25">
      <c r="A3081">
        <f ca="1">30036.5327988959*(RANDBETWEEN(2890,3282))</f>
        <v>95816539.628477767</v>
      </c>
      <c r="B3081">
        <v>207689575.81718254</v>
      </c>
    </row>
    <row r="3082" spans="1:2" x14ac:dyDescent="0.25">
      <c r="A3082">
        <f ca="1">32422.1737025174*(RANDBETWEEN(2890,3282))</f>
        <v>103524000.63213797</v>
      </c>
      <c r="B3082">
        <v>253106814.68191451</v>
      </c>
    </row>
    <row r="3083" spans="1:2" x14ac:dyDescent="0.25">
      <c r="A3083">
        <f ca="1">30632.2300285492*(RANDBETWEEN(2890,3282))</f>
        <v>95633822.149130613</v>
      </c>
      <c r="B3083">
        <v>244107294.56756467</v>
      </c>
    </row>
    <row r="3084" spans="1:2" x14ac:dyDescent="0.25">
      <c r="A3084">
        <f ca="1">29033.6042692899*(RANDBETWEEN(2890,3282))</f>
        <v>88494425.812795669</v>
      </c>
      <c r="B3084">
        <v>263597649.47626376</v>
      </c>
    </row>
    <row r="3085" spans="1:2" x14ac:dyDescent="0.25">
      <c r="A3085">
        <f ca="1">29200.999005344*(RANDBETWEEN(2890,3282))</f>
        <v>84536892.120470986</v>
      </c>
      <c r="B3085">
        <v>259413684.5351983</v>
      </c>
    </row>
    <row r="3086" spans="1:2" x14ac:dyDescent="0.25">
      <c r="A3086">
        <f ca="1">27249.8899192363*(RANDBETWEEN(2890,3282))</f>
        <v>86136902.034705877</v>
      </c>
      <c r="B3086">
        <v>216362247.56407094</v>
      </c>
    </row>
    <row r="3087" spans="1:2" x14ac:dyDescent="0.25">
      <c r="A3087">
        <f ca="1">28833.5160945127*(RANDBETWEEN(2890,3282))</f>
        <v>93103423.469181746</v>
      </c>
      <c r="B3087">
        <v>231505877.34288251</v>
      </c>
    </row>
    <row r="3088" spans="1:2" x14ac:dyDescent="0.25">
      <c r="A3088">
        <f ca="1">32543.290432441*(RANDBETWEEN(2890,3282))</f>
        <v>100656397.30753995</v>
      </c>
      <c r="B3088">
        <v>224271391.32473415</v>
      </c>
    </row>
    <row r="3089" spans="1:2" x14ac:dyDescent="0.25">
      <c r="A3089">
        <f ca="1">30905.9695436612*(RANDBETWEEN(2890,3282))</f>
        <v>92717908.630983591</v>
      </c>
      <c r="B3089">
        <v>209651769.36330056</v>
      </c>
    </row>
    <row r="3090" spans="1:2" x14ac:dyDescent="0.25">
      <c r="A3090">
        <f ca="1">28020.6798623476*(RANDBETWEEN(2890,3282))</f>
        <v>84426308.425253287</v>
      </c>
      <c r="B3090">
        <v>240542230.1135366</v>
      </c>
    </row>
    <row r="3091" spans="1:2" x14ac:dyDescent="0.25">
      <c r="A3091">
        <f ca="1">29039.9037363428*(RANDBETWEEN(2890,3282))</f>
        <v>91156257.828380138</v>
      </c>
      <c r="B3091">
        <v>215211619.05219626</v>
      </c>
    </row>
    <row r="3092" spans="1:2" x14ac:dyDescent="0.25">
      <c r="A3092">
        <f ca="1">31225.6904548573*(RANDBETWEEN(2890,3282))</f>
        <v>99204018.575081781</v>
      </c>
      <c r="B3092">
        <v>253171088.6547603</v>
      </c>
    </row>
    <row r="3093" spans="1:2" x14ac:dyDescent="0.25">
      <c r="A3093">
        <f ca="1">26476.4189787445*(RANDBETWEEN(2890,3282))</f>
        <v>85280545.530535951</v>
      </c>
      <c r="B3093">
        <v>228654782.39238578</v>
      </c>
    </row>
    <row r="3094" spans="1:2" x14ac:dyDescent="0.25">
      <c r="A3094">
        <f ca="1">30270.6336752073*(RANDBETWEEN(2890,3282))</f>
        <v>88692956.668357402</v>
      </c>
      <c r="B3094">
        <v>255417019.93465513</v>
      </c>
    </row>
    <row r="3095" spans="1:2" x14ac:dyDescent="0.25">
      <c r="A3095">
        <f ca="1">32066.1659927938*(RANDBETWEEN(2890,3282))</f>
        <v>99244783.747696936</v>
      </c>
      <c r="B3095">
        <v>249505456.39486638</v>
      </c>
    </row>
    <row r="3096" spans="1:2" x14ac:dyDescent="0.25">
      <c r="A3096">
        <f ca="1">29072.8349937654*(RANDBETWEEN(2890,3282))</f>
        <v>84282148.646925926</v>
      </c>
      <c r="B3096">
        <v>259559530.86566058</v>
      </c>
    </row>
    <row r="3097" spans="1:2" x14ac:dyDescent="0.25">
      <c r="A3097">
        <f ca="1">29339.0961256657*(RANDBETWEEN(2890,3282))</f>
        <v>86256942.609457046</v>
      </c>
      <c r="B3097">
        <v>235804959.72876516</v>
      </c>
    </row>
    <row r="3098" spans="1:2" x14ac:dyDescent="0.25">
      <c r="A3098">
        <f ca="1">26830.9586248097*(RANDBETWEEN(2890,3282))</f>
        <v>85241955.551020563</v>
      </c>
      <c r="B3098">
        <v>237134095.40962496</v>
      </c>
    </row>
    <row r="3099" spans="1:2" x14ac:dyDescent="0.25">
      <c r="A3099">
        <f ca="1">29487.5361781749*(RANDBETWEEN(2890,3282))</f>
        <v>92119063.02061832</v>
      </c>
      <c r="B3099">
        <v>223300947.07700196</v>
      </c>
    </row>
    <row r="3100" spans="1:2" x14ac:dyDescent="0.25">
      <c r="A3100">
        <f ca="1">28655.6726109152*(RANDBETWEEN(2890,3282))</f>
        <v>83703219.696483165</v>
      </c>
      <c r="B3100">
        <v>225402372.93551707</v>
      </c>
    </row>
    <row r="3101" spans="1:2" x14ac:dyDescent="0.25">
      <c r="A3101">
        <f ca="1">29475.9105603955*(RANDBETWEEN(2890,3282))</f>
        <v>87897165.291099235</v>
      </c>
      <c r="B3101">
        <v>208004549.50103885</v>
      </c>
    </row>
    <row r="3102" spans="1:2" x14ac:dyDescent="0.25">
      <c r="A3102">
        <f ca="1">31433.5539018675*(RANDBETWEEN(2890,3282))</f>
        <v>92791851.118312985</v>
      </c>
      <c r="B3102">
        <v>263029158.59740019</v>
      </c>
    </row>
    <row r="3103" spans="1:2" x14ac:dyDescent="0.25">
      <c r="A3103">
        <f ca="1">27248.5745378573*(RANDBETWEEN(2890,3282))</f>
        <v>88230884.353581905</v>
      </c>
      <c r="B3103">
        <v>210935089.49878573</v>
      </c>
    </row>
    <row r="3104" spans="1:2" x14ac:dyDescent="0.25">
      <c r="A3104">
        <f ca="1">28986.9651380335*(RANDBETWEEN(2890,3282))</f>
        <v>92526392.72060281</v>
      </c>
      <c r="B3104">
        <v>224010105.54044613</v>
      </c>
    </row>
    <row r="3105" spans="1:2" x14ac:dyDescent="0.25">
      <c r="A3105">
        <f ca="1">32236.473407224*(RANDBETWEEN(2890,3282))</f>
        <v>103801444.37126133</v>
      </c>
      <c r="B3105">
        <v>258915443.14364153</v>
      </c>
    </row>
    <row r="3106" spans="1:2" x14ac:dyDescent="0.25">
      <c r="A3106">
        <f ca="1">31582.8525986298*(RANDBETWEEN(2890,3282))</f>
        <v>100180808.44285373</v>
      </c>
      <c r="B3106">
        <v>252914114.41597784</v>
      </c>
    </row>
    <row r="3107" spans="1:2" x14ac:dyDescent="0.25">
      <c r="A3107">
        <f ca="1">27040.1041789147*(RANDBETWEEN(2890,3282))</f>
        <v>79930547.95287174</v>
      </c>
      <c r="B3107">
        <v>260622969.00545534</v>
      </c>
    </row>
    <row r="3108" spans="1:2" x14ac:dyDescent="0.25">
      <c r="A3108">
        <f ca="1">27709.9171587943*(RANDBETWEEN(2890,3282))</f>
        <v>89558452.257223099</v>
      </c>
      <c r="B3108">
        <v>252761442.86636999</v>
      </c>
    </row>
    <row r="3109" spans="1:2" x14ac:dyDescent="0.25">
      <c r="A3109">
        <f ca="1">27801.5153786352*(RANDBETWEEN(2890,3282))</f>
        <v>88436620.419438556</v>
      </c>
      <c r="B3109">
        <v>245831164.80822259</v>
      </c>
    </row>
    <row r="3110" spans="1:2" x14ac:dyDescent="0.25">
      <c r="A3110">
        <f ca="1">31972.6955492293*(RANDBETWEEN(2890,3282))</f>
        <v>102728270.79967377</v>
      </c>
      <c r="B3110">
        <v>230736793.68272939</v>
      </c>
    </row>
    <row r="3111" spans="1:2" x14ac:dyDescent="0.25">
      <c r="A3111">
        <f ca="1">27678.6421540372*(RANDBETWEEN(2890,3282))</f>
        <v>82150209.913182542</v>
      </c>
      <c r="B3111">
        <v>267174684.52432173</v>
      </c>
    </row>
    <row r="3112" spans="1:2" x14ac:dyDescent="0.25">
      <c r="A3112">
        <f ca="1">27885.3659611883*(RANDBETWEEN(2890,3282))</f>
        <v>81341612.508786321</v>
      </c>
      <c r="B3112">
        <v>218280855.89761993</v>
      </c>
    </row>
    <row r="3113" spans="1:2" x14ac:dyDescent="0.25">
      <c r="A3113">
        <f ca="1">32086.7384600027*(RANDBETWEEN(2890,3282))</f>
        <v>94976745.841607943</v>
      </c>
      <c r="B3113">
        <v>244951199.9086248</v>
      </c>
    </row>
    <row r="3114" spans="1:2" x14ac:dyDescent="0.25">
      <c r="A3114">
        <f ca="1">28483.0784996008*(RANDBETWEEN(2890,3282))</f>
        <v>90690121.942728862</v>
      </c>
      <c r="B3114">
        <v>242738822.66867298</v>
      </c>
    </row>
    <row r="3115" spans="1:2" x14ac:dyDescent="0.25">
      <c r="A3115">
        <f ca="1">34175.4595024757*(RANDBETWEEN(2890,3282))</f>
        <v>100749254.61329834</v>
      </c>
      <c r="B3115">
        <v>236271285.72708035</v>
      </c>
    </row>
    <row r="3116" spans="1:2" x14ac:dyDescent="0.25">
      <c r="A3116">
        <f ca="1">27594.0201475164*(RANDBETWEEN(2890,3282))</f>
        <v>83223564.764909446</v>
      </c>
      <c r="B3116">
        <v>212701094.28276017</v>
      </c>
    </row>
    <row r="3117" spans="1:2" x14ac:dyDescent="0.25">
      <c r="A3117">
        <f ca="1">26188.4101774666*(RANDBETWEEN(2890,3282))</f>
        <v>76155896.796072796</v>
      </c>
      <c r="B3117">
        <v>231239157.2158497</v>
      </c>
    </row>
    <row r="3118" spans="1:2" x14ac:dyDescent="0.25">
      <c r="A3118">
        <f ca="1">32045.6954950459*(RANDBETWEEN(2890,3282))</f>
        <v>101777128.89226574</v>
      </c>
      <c r="B3118">
        <v>224372141.88747543</v>
      </c>
    </row>
    <row r="3119" spans="1:2" x14ac:dyDescent="0.25">
      <c r="A3119">
        <f ca="1">30066.3813474297*(RANDBETWEEN(2890,3282))</f>
        <v>87793833.534494758</v>
      </c>
      <c r="B3119">
        <v>205045673.98546174</v>
      </c>
    </row>
    <row r="3120" spans="1:2" x14ac:dyDescent="0.25">
      <c r="A3120">
        <f ca="1">26894.0998234332*(RANDBETWEEN(2890,3282))</f>
        <v>87109989.328100204</v>
      </c>
      <c r="B3120">
        <v>233963743.00352177</v>
      </c>
    </row>
    <row r="3121" spans="1:2" x14ac:dyDescent="0.25">
      <c r="A3121">
        <f ca="1">31455.5897913167*(RANDBETWEEN(2890,3282))</f>
        <v>92919812.243549526</v>
      </c>
      <c r="B3121">
        <v>218467739.02696091</v>
      </c>
    </row>
    <row r="3122" spans="1:2" x14ac:dyDescent="0.25">
      <c r="A3122">
        <f ca="1">31108.3966403582*(RANDBETWEEN(2890,3282))</f>
        <v>90556542.620082825</v>
      </c>
      <c r="B3122">
        <v>210453303.05440986</v>
      </c>
    </row>
    <row r="3123" spans="1:2" x14ac:dyDescent="0.25">
      <c r="A3123">
        <f ca="1">28333.2100196409*(RANDBETWEEN(2890,3282))</f>
        <v>86246291.299786851</v>
      </c>
      <c r="B3123">
        <v>221209300.94087458</v>
      </c>
    </row>
    <row r="3124" spans="1:2" x14ac:dyDescent="0.25">
      <c r="A3124">
        <f ca="1">26214.6944269736*(RANDBETWEEN(2890,3282))</f>
        <v>77254704.476291224</v>
      </c>
      <c r="B3124">
        <v>240877915.12807262</v>
      </c>
    </row>
    <row r="3125" spans="1:2" x14ac:dyDescent="0.25">
      <c r="A3125">
        <f ca="1">30216.7798358057*(RANDBETWEEN(2890,3282))</f>
        <v>88021479.661702126</v>
      </c>
      <c r="B3125">
        <v>225789458.94341964</v>
      </c>
    </row>
    <row r="3126" spans="1:2" x14ac:dyDescent="0.25">
      <c r="A3126">
        <f ca="1">32359.2251694522*(RANDBETWEEN(2890,3282))</f>
        <v>104229064.27080543</v>
      </c>
      <c r="B3126">
        <v>244854921.42059705</v>
      </c>
    </row>
    <row r="3127" spans="1:2" x14ac:dyDescent="0.25">
      <c r="A3127">
        <f ca="1">34453.8197048064*(RANDBETWEEN(2890,3282))</f>
        <v>105738772.67405069</v>
      </c>
      <c r="B3127">
        <v>211666555.31696224</v>
      </c>
    </row>
    <row r="3128" spans="1:2" x14ac:dyDescent="0.25">
      <c r="A3128">
        <f ca="1">31064.4204025995*(RANDBETWEEN(2890,3282))</f>
        <v>97138442.598928615</v>
      </c>
      <c r="B3128">
        <v>247300833.5251894</v>
      </c>
    </row>
    <row r="3129" spans="1:2" x14ac:dyDescent="0.25">
      <c r="A3129">
        <f ca="1">28839.7287320742*(RANDBETWEEN(2890,3282))</f>
        <v>83519854.408086851</v>
      </c>
      <c r="B3129">
        <v>237817245.42624134</v>
      </c>
    </row>
    <row r="3130" spans="1:2" x14ac:dyDescent="0.25">
      <c r="A3130">
        <f ca="1">33026.343459819*(RANDBETWEEN(2890,3282))</f>
        <v>96701133.650350079</v>
      </c>
      <c r="B3130">
        <v>264224282.17705241</v>
      </c>
    </row>
    <row r="3131" spans="1:2" x14ac:dyDescent="0.25">
      <c r="A3131">
        <f ca="1">26760.0488862747*(RANDBETWEEN(2890,3282))</f>
        <v>87532119.907004669</v>
      </c>
      <c r="B3131">
        <v>246391461.75599948</v>
      </c>
    </row>
    <row r="3132" spans="1:2" x14ac:dyDescent="0.25">
      <c r="A3132">
        <f ca="1">30252.2150017191*(RANDBETWEEN(2890,3282))</f>
        <v>98773481.980612814</v>
      </c>
      <c r="B3132">
        <v>243111911.02060902</v>
      </c>
    </row>
    <row r="3133" spans="1:2" x14ac:dyDescent="0.25">
      <c r="A3133">
        <f ca="1">28550.1615510024*(RANDBETWEEN(2890,3282))</f>
        <v>84908180.452681184</v>
      </c>
      <c r="B3133">
        <v>249483703.6963641</v>
      </c>
    </row>
    <row r="3134" spans="1:2" x14ac:dyDescent="0.25">
      <c r="A3134">
        <f ca="1">27662.8228928679*(RANDBETWEEN(2890,3282))</f>
        <v>81052071.076103047</v>
      </c>
      <c r="B3134">
        <v>204046724.32323727</v>
      </c>
    </row>
    <row r="3135" spans="1:2" x14ac:dyDescent="0.25">
      <c r="A3135">
        <f ca="1">29746.6990217318*(RANDBETWEEN(2890,3282))</f>
        <v>92660967.452694654</v>
      </c>
      <c r="B3135">
        <v>249866425.89185825</v>
      </c>
    </row>
    <row r="3136" spans="1:2" x14ac:dyDescent="0.25">
      <c r="A3136">
        <f ca="1">26897.6322243378*(RANDBETWEEN(2890,3282))</f>
        <v>78083826.347252622</v>
      </c>
      <c r="B3136">
        <v>207371118.56088305</v>
      </c>
    </row>
    <row r="3137" spans="1:2" x14ac:dyDescent="0.25">
      <c r="A3137">
        <f ca="1">32822.1785241859*(RANDBETWEEN(2890,3282))</f>
        <v>99845067.070573628</v>
      </c>
      <c r="B3137">
        <v>254261496.64007318</v>
      </c>
    </row>
    <row r="3138" spans="1:2" x14ac:dyDescent="0.25">
      <c r="A3138">
        <f ca="1">27833.9277156986*(RANDBETWEEN(2890,3282))</f>
        <v>85143984.882322162</v>
      </c>
      <c r="B3138">
        <v>258049029.8815335</v>
      </c>
    </row>
    <row r="3139" spans="1:2" x14ac:dyDescent="0.25">
      <c r="A3139">
        <f ca="1">28770.2601081551*(RANDBETWEEN(2890,3282))</f>
        <v>85792915.642518803</v>
      </c>
      <c r="B3139">
        <v>236105691.82727677</v>
      </c>
    </row>
    <row r="3140" spans="1:2" x14ac:dyDescent="0.25">
      <c r="A3140">
        <f ca="1">29351.8295842133*(RANDBETWEEN(2890,3282))</f>
        <v>85325768.601308018</v>
      </c>
      <c r="B3140">
        <v>226437413.45094031</v>
      </c>
    </row>
    <row r="3141" spans="1:2" x14ac:dyDescent="0.25">
      <c r="A3141">
        <f ca="1">29667.2880773482*(RANDBETWEEN(2890,3282))</f>
        <v>91553251.006696433</v>
      </c>
      <c r="B3141">
        <v>229392330.326864</v>
      </c>
    </row>
    <row r="3142" spans="1:2" x14ac:dyDescent="0.25">
      <c r="A3142">
        <f ca="1">30180.9457945014*(RANDBETWEEN(2890,3282))</f>
        <v>92444236.968557909</v>
      </c>
      <c r="B3142">
        <v>221250639.92860293</v>
      </c>
    </row>
    <row r="3143" spans="1:2" x14ac:dyDescent="0.25">
      <c r="A3143">
        <f ca="1">31054.7422993051*(RANDBETWEEN(2890,3282))</f>
        <v>93071062.671017408</v>
      </c>
      <c r="B3143">
        <v>218707609.65219262</v>
      </c>
    </row>
    <row r="3144" spans="1:2" x14ac:dyDescent="0.25">
      <c r="A3144">
        <f ca="1">27525.7629536848*(RANDBETWEEN(2890,3282))</f>
        <v>89596358.414244026</v>
      </c>
      <c r="B3144">
        <v>256745112.37464765</v>
      </c>
    </row>
    <row r="3145" spans="1:2" x14ac:dyDescent="0.25">
      <c r="A3145">
        <f ca="1">30681.8139540444*(RANDBETWEEN(2890,3282))</f>
        <v>91738623.72259289</v>
      </c>
      <c r="B3145">
        <v>236066393.61045635</v>
      </c>
    </row>
    <row r="3146" spans="1:2" x14ac:dyDescent="0.25">
      <c r="A3146">
        <f ca="1">29367.4852385109*(RANDBETWEEN(2890,3282))</f>
        <v>87456371.040285543</v>
      </c>
      <c r="B3146">
        <v>208420634.06518161</v>
      </c>
    </row>
    <row r="3147" spans="1:2" x14ac:dyDescent="0.25">
      <c r="A3147">
        <f ca="1">30783.8652808447*(RANDBETWEEN(2890,3282))</f>
        <v>100694023.33364308</v>
      </c>
      <c r="B3147">
        <v>215413333.24723423</v>
      </c>
    </row>
    <row r="3148" spans="1:2" x14ac:dyDescent="0.25">
      <c r="A3148">
        <f ca="1">33236.115585036*(RANDBETWEEN(2890,3282))</f>
        <v>98412138.24729155</v>
      </c>
      <c r="B3148">
        <v>260184714.5128226</v>
      </c>
    </row>
    <row r="3149" spans="1:2" x14ac:dyDescent="0.25">
      <c r="A3149">
        <f ca="1">26958.6698515346*(RANDBETWEEN(2890,3282))</f>
        <v>84892851.362482443</v>
      </c>
      <c r="B3149">
        <v>250606694.39941174</v>
      </c>
    </row>
    <row r="3150" spans="1:2" x14ac:dyDescent="0.25">
      <c r="A3150">
        <f ca="1">26309.2837305767*(RANDBETWEEN(2890,3282))</f>
        <v>85557790.691835433</v>
      </c>
      <c r="B3150">
        <v>255345297.28914523</v>
      </c>
    </row>
    <row r="3151" spans="1:2" x14ac:dyDescent="0.25">
      <c r="A3151">
        <f ca="1">29140.8572646575*(RANDBETWEEN(2890,3282))</f>
        <v>90365798.377702892</v>
      </c>
      <c r="B3151">
        <v>245067772.22839171</v>
      </c>
    </row>
    <row r="3152" spans="1:2" x14ac:dyDescent="0.25">
      <c r="A3152">
        <f ca="1">32322.3110198296*(RANDBETWEEN(2890,3282))</f>
        <v>104821254.6373073</v>
      </c>
      <c r="B3152">
        <v>214008787.79291075</v>
      </c>
    </row>
    <row r="3153" spans="1:2" x14ac:dyDescent="0.25">
      <c r="A3153">
        <f ca="1">27626.6197885729*(RANDBETWEEN(2890,3282))</f>
        <v>88902462.479627684</v>
      </c>
      <c r="B3153">
        <v>212571621.49754709</v>
      </c>
    </row>
    <row r="3154" spans="1:2" x14ac:dyDescent="0.25">
      <c r="A3154">
        <f ca="1">27751.5341809265*(RANDBETWEEN(2890,3282))</f>
        <v>81894777.367913991</v>
      </c>
      <c r="B3154">
        <v>216858456.40261787</v>
      </c>
    </row>
    <row r="3155" spans="1:2" x14ac:dyDescent="0.25">
      <c r="A3155">
        <f ca="1">26655.9584268883*(RANDBETWEEN(2890,3282))</f>
        <v>80500994.449202552</v>
      </c>
      <c r="B3155">
        <v>254024204.79213148</v>
      </c>
    </row>
    <row r="3156" spans="1:2" x14ac:dyDescent="0.25">
      <c r="A3156">
        <f ca="1">27956.1317761058*(RANDBETWEEN(2890,3282))</f>
        <v>90661735.349911183</v>
      </c>
      <c r="B3156">
        <v>205263287.82480186</v>
      </c>
    </row>
    <row r="3157" spans="1:2" x14ac:dyDescent="0.25">
      <c r="A3157">
        <f ca="1">27834.8216515626*(RANDBETWEEN(2890,3282))</f>
        <v>87512679.272512943</v>
      </c>
      <c r="B3157">
        <v>208748578.26804131</v>
      </c>
    </row>
    <row r="3158" spans="1:2" x14ac:dyDescent="0.25">
      <c r="A3158">
        <f ca="1">28838.9754187599*(RANDBETWEEN(2890,3282))</f>
        <v>88304942.732242718</v>
      </c>
      <c r="B3158">
        <v>221665043.59407455</v>
      </c>
    </row>
    <row r="3159" spans="1:2" x14ac:dyDescent="0.25">
      <c r="A3159">
        <f ca="1">32417.2280012768*(RANDBETWEEN(2890,3282))</f>
        <v>95890160.427776724</v>
      </c>
      <c r="B3159">
        <v>243411065.98175144</v>
      </c>
    </row>
    <row r="3160" spans="1:2" x14ac:dyDescent="0.25">
      <c r="A3160">
        <f ca="1">30560.7260992796*(RANDBETWEEN(2890,3282))</f>
        <v>90826477.967058912</v>
      </c>
      <c r="B3160">
        <v>215796363.677163</v>
      </c>
    </row>
    <row r="3161" spans="1:2" x14ac:dyDescent="0.25">
      <c r="A3161">
        <f ca="1">29013.4027003811*(RANDBETWEEN(2890,3282))</f>
        <v>92088540.171009451</v>
      </c>
      <c r="B3161">
        <v>224586345.74342889</v>
      </c>
    </row>
    <row r="3162" spans="1:2" x14ac:dyDescent="0.25">
      <c r="A3162">
        <f ca="1">31399.7573158507*(RANDBETWEEN(2890,3282))</f>
        <v>96303055.687714025</v>
      </c>
      <c r="B3162">
        <v>248612098.09047031</v>
      </c>
    </row>
    <row r="3163" spans="1:2" x14ac:dyDescent="0.25">
      <c r="A3163">
        <f ca="1">28856.2784457929*(RANDBETWEEN(2890,3282))</f>
        <v>93090354.266128004</v>
      </c>
      <c r="B3163">
        <v>229391671.99744058</v>
      </c>
    </row>
    <row r="3164" spans="1:2" x14ac:dyDescent="0.25">
      <c r="A3164">
        <f ca="1">29036.156892805*(RANDBETWEEN(2890,3282))</f>
        <v>85075939.695918664</v>
      </c>
      <c r="B3164">
        <v>235997656.13291869</v>
      </c>
    </row>
    <row r="3165" spans="1:2" x14ac:dyDescent="0.25">
      <c r="A3165">
        <f ca="1">27096.0099108869*(RANDBETWEEN(2890,3282))</f>
        <v>84864703.040897876</v>
      </c>
      <c r="B3165">
        <v>233622205.80483931</v>
      </c>
    </row>
    <row r="3166" spans="1:2" x14ac:dyDescent="0.25">
      <c r="A3166">
        <f ca="1">30775.1994453741*(RANDBETWEEN(2890,3282))</f>
        <v>93802807.909500182</v>
      </c>
      <c r="B3166">
        <v>231120717.43934488</v>
      </c>
    </row>
    <row r="3167" spans="1:2" x14ac:dyDescent="0.25">
      <c r="A3167">
        <f ca="1">31509.4229299703*(RANDBETWEEN(2890,3282))</f>
        <v>102279586.83068359</v>
      </c>
      <c r="B3167">
        <v>260551073.04379311</v>
      </c>
    </row>
    <row r="3168" spans="1:2" x14ac:dyDescent="0.25">
      <c r="A3168">
        <f ca="1">26860.3222740174*(RANDBETWEEN(2890,3282))</f>
        <v>81762821.002108827</v>
      </c>
      <c r="B3168">
        <v>221004862.89161062</v>
      </c>
    </row>
    <row r="3169" spans="1:2" x14ac:dyDescent="0.25">
      <c r="A3169">
        <f ca="1">33845.6998688881*(RANDBETWEEN(2890,3282))</f>
        <v>110269290.17283729</v>
      </c>
      <c r="B3169">
        <v>246393622.66503826</v>
      </c>
    </row>
    <row r="3170" spans="1:2" x14ac:dyDescent="0.25">
      <c r="A3170">
        <f ca="1">29780.3176926451*(RANDBETWEEN(2890,3282))</f>
        <v>90949090.233338013</v>
      </c>
      <c r="B3170">
        <v>229859733.84925014</v>
      </c>
    </row>
    <row r="3171" spans="1:2" x14ac:dyDescent="0.25">
      <c r="A3171">
        <f ca="1">30399.0741518888*(RANDBETWEEN(2890,3282))</f>
        <v>96486661.358095065</v>
      </c>
      <c r="B3171">
        <v>244999287.55951095</v>
      </c>
    </row>
    <row r="3172" spans="1:2" x14ac:dyDescent="0.25">
      <c r="A3172">
        <f ca="1">31039.4916518933*(RANDBETWEEN(2890,3282))</f>
        <v>90480118.165269077</v>
      </c>
      <c r="B3172">
        <v>206452779.59694019</v>
      </c>
    </row>
    <row r="3173" spans="1:2" x14ac:dyDescent="0.25">
      <c r="A3173">
        <f ca="1">30324.7700429981*(RANDBETWEEN(2890,3282))</f>
        <v>98252254.939313784</v>
      </c>
      <c r="B3173">
        <v>255430693.6916737</v>
      </c>
    </row>
    <row r="3174" spans="1:2" x14ac:dyDescent="0.25">
      <c r="A3174">
        <f ca="1">33541.2022210896*(RANDBETWEEN(2890,3282))</f>
        <v>104178974.09870414</v>
      </c>
      <c r="B3174">
        <v>249105040.98956478</v>
      </c>
    </row>
    <row r="3175" spans="1:2" x14ac:dyDescent="0.25">
      <c r="A3175">
        <f ca="1">31896.1795491651*(RANDBETWEEN(2890,3282))</f>
        <v>100441069.40032104</v>
      </c>
      <c r="B3175">
        <v>251491195.11534107</v>
      </c>
    </row>
    <row r="3176" spans="1:2" x14ac:dyDescent="0.25">
      <c r="A3176">
        <f ca="1">31826.1057018134*(RANDBETWEEN(2890,3282))</f>
        <v>99647536.952377677</v>
      </c>
      <c r="B3176">
        <v>229066619.48573846</v>
      </c>
    </row>
    <row r="3177" spans="1:2" x14ac:dyDescent="0.25">
      <c r="A3177">
        <f ca="1">29811.6207313816*(RANDBETWEEN(2890,3282))</f>
        <v>88838629.779517263</v>
      </c>
      <c r="B3177">
        <v>251282431.17702943</v>
      </c>
    </row>
    <row r="3178" spans="1:2" x14ac:dyDescent="0.25">
      <c r="A3178">
        <f ca="1">28372.9631190028*(RANDBETWEEN(2890,3282))</f>
        <v>91616297.911260039</v>
      </c>
      <c r="B3178">
        <v>208434298.93945092</v>
      </c>
    </row>
    <row r="3179" spans="1:2" x14ac:dyDescent="0.25">
      <c r="A3179">
        <f ca="1">26036.0696054607*(RANDBETWEEN(2890,3282))</f>
        <v>82378124.231677547</v>
      </c>
      <c r="B3179">
        <v>219037003.98286617</v>
      </c>
    </row>
    <row r="3180" spans="1:2" x14ac:dyDescent="0.25">
      <c r="A3180">
        <f ca="1">27702.717316076*(RANDBETWEEN(2890,3282))</f>
        <v>90393966.602355868</v>
      </c>
      <c r="B3180">
        <v>207759872.13044679</v>
      </c>
    </row>
    <row r="3181" spans="1:2" x14ac:dyDescent="0.25">
      <c r="A3181">
        <f ca="1">28523.5482323256*(RANDBETWEEN(2890,3282))</f>
        <v>89449847.256572977</v>
      </c>
      <c r="B3181">
        <v>208439385.73680124</v>
      </c>
    </row>
    <row r="3182" spans="1:2" x14ac:dyDescent="0.25">
      <c r="A3182">
        <f ca="1">31330.6084855522*(RANDBETWEEN(2890,3282))</f>
        <v>93020576.593604505</v>
      </c>
      <c r="B3182">
        <v>252929914.95639282</v>
      </c>
    </row>
    <row r="3183" spans="1:2" x14ac:dyDescent="0.25">
      <c r="A3183">
        <f ca="1">28706.2071020603*(RANDBETWEEN(2890,3282))</f>
        <v>86864982.690834403</v>
      </c>
      <c r="B3183">
        <v>260604876.77114245</v>
      </c>
    </row>
    <row r="3184" spans="1:2" x14ac:dyDescent="0.25">
      <c r="A3184">
        <f ca="1">30320.5390063*(RANDBETWEEN(2890,3282))</f>
        <v>98420469.614449725</v>
      </c>
      <c r="B3184">
        <v>216149693.56277055</v>
      </c>
    </row>
    <row r="3185" spans="1:2" x14ac:dyDescent="0.25">
      <c r="A3185">
        <f ca="1">29791.2014387172*(RANDBETWEEN(2890,3282))</f>
        <v>89939637.14348729</v>
      </c>
      <c r="B3185">
        <v>252404602.06959236</v>
      </c>
    </row>
    <row r="3186" spans="1:2" x14ac:dyDescent="0.25">
      <c r="A3186">
        <f ca="1">31272.6251851521*(RANDBETWEEN(2890,3282))</f>
        <v>98602587.208784699</v>
      </c>
      <c r="B3186">
        <v>260125701.62338543</v>
      </c>
    </row>
    <row r="3187" spans="1:2" x14ac:dyDescent="0.25">
      <c r="A3187">
        <f ca="1">32872.2794758231*(RANDBETWEEN(2890,3282))</f>
        <v>106703419.17852189</v>
      </c>
      <c r="B3187">
        <v>252399066.15229893</v>
      </c>
    </row>
    <row r="3188" spans="1:2" x14ac:dyDescent="0.25">
      <c r="A3188">
        <f ca="1">30314.5896354158*(RANDBETWEEN(2890,3282))</f>
        <v>89033949.7592161</v>
      </c>
      <c r="B3188">
        <v>257751623.84794465</v>
      </c>
    </row>
    <row r="3189" spans="1:2" x14ac:dyDescent="0.25">
      <c r="A3189">
        <f ca="1">27325.6268869837*(RANDBETWEEN(2890,3282))</f>
        <v>82714672.586899742</v>
      </c>
      <c r="B3189">
        <v>220923404.35459977</v>
      </c>
    </row>
    <row r="3190" spans="1:2" x14ac:dyDescent="0.25">
      <c r="A3190">
        <f ca="1">28639.3307709062*(RANDBETWEEN(2890,3282))</f>
        <v>86548057.589678392</v>
      </c>
      <c r="B3190">
        <v>205685442.28686661</v>
      </c>
    </row>
    <row r="3191" spans="1:2" x14ac:dyDescent="0.25">
      <c r="A3191">
        <f ca="1">31145.4913380099*(RANDBETWEEN(2890,3282))</f>
        <v>91972635.921143323</v>
      </c>
      <c r="B3191">
        <v>221052866.36380661</v>
      </c>
    </row>
    <row r="3192" spans="1:2" x14ac:dyDescent="0.25">
      <c r="A3192">
        <f ca="1">26933.0859454996*(RANDBETWEEN(2890,3282))</f>
        <v>87801860.182328805</v>
      </c>
      <c r="B3192">
        <v>267063020.65578371</v>
      </c>
    </row>
    <row r="3193" spans="1:2" x14ac:dyDescent="0.25">
      <c r="A3193">
        <f ca="1">27542.8159639992*(RANDBETWEEN(2890,3282))</f>
        <v>83895417.426341534</v>
      </c>
      <c r="B3193">
        <v>250898107.23732615</v>
      </c>
    </row>
    <row r="3194" spans="1:2" x14ac:dyDescent="0.25">
      <c r="A3194">
        <f ca="1">28308.2269198698*(RANDBETWEEN(2890,3282))</f>
        <v>87897044.586195841</v>
      </c>
      <c r="B3194">
        <v>262349700.46559733</v>
      </c>
    </row>
    <row r="3195" spans="1:2" x14ac:dyDescent="0.25">
      <c r="A3195">
        <f ca="1">32515.9587901852*(RANDBETWEEN(2890,3282))</f>
        <v>103953520.25222193</v>
      </c>
      <c r="B3195">
        <v>267447752.72363567</v>
      </c>
    </row>
    <row r="3196" spans="1:2" x14ac:dyDescent="0.25">
      <c r="A3196">
        <f ca="1">35013.5157625185*(RANDBETWEEN(2890,3282))</f>
        <v>113968993.80699767</v>
      </c>
      <c r="B3196">
        <v>208760412.82476318</v>
      </c>
    </row>
    <row r="3197" spans="1:2" x14ac:dyDescent="0.25">
      <c r="A3197">
        <f ca="1">30983.594528153*(RANDBETWEEN(2890,3282))</f>
        <v>93415537.502381325</v>
      </c>
      <c r="B3197">
        <v>254708807.89168057</v>
      </c>
    </row>
    <row r="3198" spans="1:2" x14ac:dyDescent="0.25">
      <c r="A3198">
        <f ca="1">30466.8527185868*(RANDBETWEEN(2890,3282))</f>
        <v>97311127.583166197</v>
      </c>
      <c r="B3198">
        <v>250775017.6882329</v>
      </c>
    </row>
    <row r="3199" spans="1:2" x14ac:dyDescent="0.25">
      <c r="A3199">
        <f ca="1">27815.0542695992*(RANDBETWEEN(2890,3282))</f>
        <v>90259851.104849517</v>
      </c>
      <c r="B3199">
        <v>234754751.72732407</v>
      </c>
    </row>
    <row r="3200" spans="1:2" x14ac:dyDescent="0.25">
      <c r="A3200">
        <f ca="1">25946.9526723915*(RANDBETWEEN(2890,3282))</f>
        <v>78515478.786656678</v>
      </c>
      <c r="B3200">
        <v>209468455.88495886</v>
      </c>
    </row>
    <row r="3201" spans="1:2" x14ac:dyDescent="0.25">
      <c r="A3201">
        <f ca="1">29515.8912355356*(RANDBETWEEN(2890,3282))</f>
        <v>85979791.169115201</v>
      </c>
      <c r="B3201">
        <v>259558798.25563625</v>
      </c>
    </row>
    <row r="3202" spans="1:2" x14ac:dyDescent="0.25">
      <c r="A3202">
        <f ca="1">28243.6616405761*(RANDBETWEEN(2890,3282))</f>
        <v>89758356.693750769</v>
      </c>
      <c r="B3202">
        <v>232918739.92662221</v>
      </c>
    </row>
    <row r="3203" spans="1:2" x14ac:dyDescent="0.25">
      <c r="A3203">
        <f ca="1">27047.9206219629*(RANDBETWEEN(2890,3282))</f>
        <v>82523205.817608953</v>
      </c>
      <c r="B3203">
        <v>247999495.35473192</v>
      </c>
    </row>
    <row r="3204" spans="1:2" x14ac:dyDescent="0.25">
      <c r="A3204">
        <f ca="1">29506.1599831752*(RANDBETWEEN(2890,3282))</f>
        <v>94980328.985840842</v>
      </c>
      <c r="B3204">
        <v>229470271.40389216</v>
      </c>
    </row>
    <row r="3205" spans="1:2" x14ac:dyDescent="0.25">
      <c r="A3205">
        <f ca="1">32782.7182183537*(RANDBETWEEN(2890,3282))</f>
        <v>97266324.953855366</v>
      </c>
      <c r="B3205">
        <v>226627461.69900596</v>
      </c>
    </row>
    <row r="3206" spans="1:2" x14ac:dyDescent="0.25">
      <c r="A3206">
        <f ca="1">28678.6239886459*(RANDBETWEEN(2890,3282))</f>
        <v>91570846.395746335</v>
      </c>
      <c r="B3206">
        <v>214787508.64699218</v>
      </c>
    </row>
    <row r="3207" spans="1:2" x14ac:dyDescent="0.25">
      <c r="A3207">
        <f ca="1">32025.884803611*(RANDBETWEEN(2890,3282))</f>
        <v>98095285.153460428</v>
      </c>
      <c r="B3207">
        <v>210509257.89757639</v>
      </c>
    </row>
    <row r="3208" spans="1:2" x14ac:dyDescent="0.25">
      <c r="A3208">
        <f ca="1">28762.9722923817*(RANDBETWEEN(2890,3282))</f>
        <v>84390560.705848053</v>
      </c>
      <c r="B3208">
        <v>222665360.3092511</v>
      </c>
    </row>
    <row r="3209" spans="1:2" x14ac:dyDescent="0.25">
      <c r="A3209">
        <f ca="1">27034.7372711693*(RANDBETWEEN(2890,3282))</f>
        <v>78184460.188221678</v>
      </c>
      <c r="B3209">
        <v>234488821.60136998</v>
      </c>
    </row>
    <row r="3210" spans="1:2" x14ac:dyDescent="0.25">
      <c r="A3210">
        <f ca="1">29057.7466267762*(RANDBETWEEN(2890,3282))</f>
        <v>91677190.607479006</v>
      </c>
      <c r="B3210">
        <v>262449164.26619467</v>
      </c>
    </row>
    <row r="3211" spans="1:2" x14ac:dyDescent="0.25">
      <c r="A3211">
        <f ca="1">27822.3994248321*(RANDBETWEEN(2890,3282))</f>
        <v>85804279.826182187</v>
      </c>
      <c r="B3211">
        <v>255185428.23334274</v>
      </c>
    </row>
    <row r="3212" spans="1:2" x14ac:dyDescent="0.25">
      <c r="A3212">
        <f ca="1">32501.9453296988*(RANDBETWEEN(2890,3282))</f>
        <v>104623762.01630031</v>
      </c>
      <c r="B3212">
        <v>229497533.84500572</v>
      </c>
    </row>
    <row r="3213" spans="1:2" x14ac:dyDescent="0.25">
      <c r="A3213">
        <f ca="1">32422.441806102*(RANDBETWEEN(2890,3282))</f>
        <v>100120500.29724304</v>
      </c>
      <c r="B3213">
        <v>247329083.29040843</v>
      </c>
    </row>
    <row r="3214" spans="1:2" x14ac:dyDescent="0.25">
      <c r="A3214">
        <f ca="1">30397.7322647459*(RANDBETWEEN(2890,3282))</f>
        <v>90676435.345737025</v>
      </c>
      <c r="B3214">
        <v>248474544.45261744</v>
      </c>
    </row>
    <row r="3215" spans="1:2" x14ac:dyDescent="0.25">
      <c r="A3215">
        <f ca="1">29183.5815567693*(RANDBETWEEN(2890,3282))</f>
        <v>91928281.903823182</v>
      </c>
      <c r="B3215">
        <v>252843859.91333839</v>
      </c>
    </row>
    <row r="3216" spans="1:2" x14ac:dyDescent="0.25">
      <c r="A3216">
        <f ca="1">27061.4727405424*(RANDBETWEEN(2890,3282))</f>
        <v>79993713.421043381</v>
      </c>
      <c r="B3216">
        <v>210010467.42051485</v>
      </c>
    </row>
    <row r="3217" spans="1:2" x14ac:dyDescent="0.25">
      <c r="A3217">
        <f ca="1">33428.507833415*(RANDBETWEEN(2890,3282))</f>
        <v>108609221.95076534</v>
      </c>
      <c r="B3217">
        <v>210300418.21491864</v>
      </c>
    </row>
    <row r="3218" spans="1:2" x14ac:dyDescent="0.25">
      <c r="A3218">
        <f ca="1">29267.1752432839*(RANDBETWEEN(2890,3282))</f>
        <v>91196518.058072537</v>
      </c>
      <c r="B3218">
        <v>238142803.17793581</v>
      </c>
    </row>
    <row r="3219" spans="1:2" x14ac:dyDescent="0.25">
      <c r="A3219">
        <f ca="1">31608.440761418*(RANDBETWEEN(2890,3282))</f>
        <v>94572454.758162603</v>
      </c>
      <c r="B3219">
        <v>227219173.87925035</v>
      </c>
    </row>
    <row r="3220" spans="1:2" x14ac:dyDescent="0.25">
      <c r="A3220">
        <f ca="1">25890.274560764*(RANDBETWEEN(2890,3282))</f>
        <v>76764664.072665274</v>
      </c>
      <c r="B3220">
        <v>211113484.87481993</v>
      </c>
    </row>
    <row r="3221" spans="1:2" x14ac:dyDescent="0.25">
      <c r="A3221">
        <f ca="1">28127.0627930332*(RANDBETWEEN(2890,3282))</f>
        <v>87897071.228228673</v>
      </c>
      <c r="B3221">
        <v>214896952.62928754</v>
      </c>
    </row>
    <row r="3222" spans="1:2" x14ac:dyDescent="0.25">
      <c r="A3222">
        <f ca="1">26624.6463593745*(RANDBETWEEN(2890,3282))</f>
        <v>87009344.302435905</v>
      </c>
      <c r="B3222">
        <v>210795693.79069504</v>
      </c>
    </row>
    <row r="3223" spans="1:2" x14ac:dyDescent="0.25">
      <c r="A3223">
        <f ca="1">31894.5916771241*(RANDBETWEEN(2890,3282))</f>
        <v>98586182.873990551</v>
      </c>
      <c r="B3223">
        <v>205797842.23546618</v>
      </c>
    </row>
    <row r="3224" spans="1:2" x14ac:dyDescent="0.25">
      <c r="A3224">
        <f ca="1">34034.8164556425*(RANDBETWEEN(2890,3282))</f>
        <v>99551838.13275443</v>
      </c>
      <c r="B3224">
        <v>261326460.62675023</v>
      </c>
    </row>
    <row r="3225" spans="1:2" x14ac:dyDescent="0.25">
      <c r="A3225">
        <f ca="1">28140.5806018025*(RANDBETWEEN(2890,3282))</f>
        <v>85941333.157904714</v>
      </c>
      <c r="B3225">
        <v>233622808.94443053</v>
      </c>
    </row>
    <row r="3226" spans="1:2" x14ac:dyDescent="0.25">
      <c r="A3226">
        <f ca="1">30942.2946159784*(RANDBETWEEN(2890,3282))</f>
        <v>92238980.250231713</v>
      </c>
      <c r="B3226">
        <v>266838932.65342432</v>
      </c>
    </row>
    <row r="3227" spans="1:2" x14ac:dyDescent="0.25">
      <c r="A3227">
        <f ca="1">28759.9030501577*(RANDBETWEEN(2890,3282))</f>
        <v>92031689.760504678</v>
      </c>
      <c r="B3227">
        <v>255156045.84314466</v>
      </c>
    </row>
    <row r="3228" spans="1:2" x14ac:dyDescent="0.25">
      <c r="A3228">
        <f ca="1">30207.8166745986*(RANDBETWEEN(2890,3282))</f>
        <v>90049501.506978557</v>
      </c>
      <c r="B3228">
        <v>233249099.06542885</v>
      </c>
    </row>
    <row r="3229" spans="1:2" x14ac:dyDescent="0.25">
      <c r="A3229">
        <f ca="1">28334.3777301791*(RANDBETWEEN(2890,3282))</f>
        <v>82878054.860773861</v>
      </c>
      <c r="B3229">
        <v>249764351.00980246</v>
      </c>
    </row>
    <row r="3230" spans="1:2" x14ac:dyDescent="0.25">
      <c r="A3230">
        <f ca="1">31870.3160506094*(RANDBETWEEN(2890,3282))</f>
        <v>97841870.27537097</v>
      </c>
      <c r="B3230">
        <v>246240887.85999388</v>
      </c>
    </row>
    <row r="3231" spans="1:2" x14ac:dyDescent="0.25">
      <c r="A3231">
        <f ca="1">32280.6020571085*(RANDBETWEEN(2890,3282))</f>
        <v>105073359.69588804</v>
      </c>
      <c r="B3231">
        <v>216602419.38288537</v>
      </c>
    </row>
    <row r="3232" spans="1:2" x14ac:dyDescent="0.25">
      <c r="A3232">
        <f ca="1">27951.7034651003*(RANDBETWEEN(2890,3282))</f>
        <v>88606899.984367803</v>
      </c>
      <c r="B3232">
        <v>222819971.76563254</v>
      </c>
    </row>
    <row r="3233" spans="1:2" x14ac:dyDescent="0.25">
      <c r="A3233">
        <f ca="1">26655.0045476032*(RANDBETWEEN(2890,3282))</f>
        <v>82097414.006617948</v>
      </c>
      <c r="B3233">
        <v>203971998.5560047</v>
      </c>
    </row>
    <row r="3234" spans="1:2" x14ac:dyDescent="0.25">
      <c r="A3234">
        <f ca="1">32220.4391267583*(RANDBETWEEN(2890,3282))</f>
        <v>103298727.84038717</v>
      </c>
      <c r="B3234">
        <v>228382287.45235458</v>
      </c>
    </row>
    <row r="3235" spans="1:2" x14ac:dyDescent="0.25">
      <c r="A3235">
        <f ca="1">27095.4540468927*(RANDBETWEEN(2890,3282))</f>
        <v>80039971.254520893</v>
      </c>
      <c r="B3235">
        <v>210845845.93027672</v>
      </c>
    </row>
    <row r="3236" spans="1:2" x14ac:dyDescent="0.25">
      <c r="A3236">
        <f ca="1">27606.1585994569*(RANDBETWEEN(2890,3282))</f>
        <v>81355349.392599478</v>
      </c>
      <c r="B3236">
        <v>238589596.36433375</v>
      </c>
    </row>
    <row r="3237" spans="1:2" x14ac:dyDescent="0.25">
      <c r="A3237">
        <f ca="1">30743.5445439701*(RANDBETWEEN(2890,3282))</f>
        <v>94874578.462691844</v>
      </c>
      <c r="B3237">
        <v>254562886.56682932</v>
      </c>
    </row>
    <row r="3238" spans="1:2" x14ac:dyDescent="0.25">
      <c r="A3238">
        <f ca="1">26473.043209747*(RANDBETWEEN(2890,3282))</f>
        <v>82728260.030459478</v>
      </c>
      <c r="B3238">
        <v>239062636.23446575</v>
      </c>
    </row>
    <row r="3239" spans="1:2" x14ac:dyDescent="0.25">
      <c r="A3239">
        <f ca="1">30424.6047723111*(RANDBETWEEN(2890,3282))</f>
        <v>91273814.3169332</v>
      </c>
      <c r="B3239">
        <v>252491727.43560478</v>
      </c>
    </row>
    <row r="3240" spans="1:2" x14ac:dyDescent="0.25">
      <c r="A3240">
        <f ca="1">34008.2238565026*(RANDBETWEEN(2890,3282))</f>
        <v>110254661.74278149</v>
      </c>
      <c r="B3240">
        <v>259196199.13412374</v>
      </c>
    </row>
    <row r="3241" spans="1:2" x14ac:dyDescent="0.25">
      <c r="A3241">
        <f ca="1">27911.1543945789*(RANDBETWEEN(2890,3282))</f>
        <v>88282981.350052997</v>
      </c>
      <c r="B3241">
        <v>262000543.20727444</v>
      </c>
    </row>
    <row r="3242" spans="1:2" x14ac:dyDescent="0.25">
      <c r="A3242">
        <f ca="1">30731.2485467277*(RANDBETWEEN(2890,3282))</f>
        <v>99139007.811743438</v>
      </c>
      <c r="B3242">
        <v>205956501.559569</v>
      </c>
    </row>
    <row r="3243" spans="1:2" x14ac:dyDescent="0.25">
      <c r="A3243">
        <f ca="1">30153.6254383487*(RANDBETWEEN(2890,3282))</f>
        <v>92149479.339593485</v>
      </c>
      <c r="B3243">
        <v>213557169.71307302</v>
      </c>
    </row>
    <row r="3244" spans="1:2" x14ac:dyDescent="0.25">
      <c r="A3244">
        <f ca="1">27668.6299202295*(RANDBETWEEN(2890,3282))</f>
        <v>90089059.020267218</v>
      </c>
      <c r="B3244">
        <v>228198993.02506217</v>
      </c>
    </row>
    <row r="3245" spans="1:2" x14ac:dyDescent="0.25">
      <c r="A3245">
        <f ca="1">28468.576459526*(RANDBETWEEN(2890,3282))</f>
        <v>90473135.988373652</v>
      </c>
      <c r="B3245">
        <v>225270675.27414554</v>
      </c>
    </row>
    <row r="3246" spans="1:2" x14ac:dyDescent="0.25">
      <c r="A3246">
        <f ca="1">30574.771639946*(RANDBETWEEN(2890,3282))</f>
        <v>88758562.070763379</v>
      </c>
      <c r="B3246">
        <v>251005700.78844166</v>
      </c>
    </row>
    <row r="3247" spans="1:2" x14ac:dyDescent="0.25">
      <c r="A3247">
        <f ca="1">33288.4529101772*(RANDBETWEEN(2890,3282))</f>
        <v>96935974.874435976</v>
      </c>
      <c r="B3247">
        <v>254430281.0074915</v>
      </c>
    </row>
    <row r="3248" spans="1:2" x14ac:dyDescent="0.25">
      <c r="A3248">
        <f ca="1">31808.4085445306*(RANDBETWEEN(2890,3282))</f>
        <v>98256173.994055018</v>
      </c>
      <c r="B3248">
        <v>216589475.04651609</v>
      </c>
    </row>
    <row r="3249" spans="1:2" x14ac:dyDescent="0.25">
      <c r="A3249">
        <f ca="1">29645.2006002766*(RANDBETWEEN(2890,3282))</f>
        <v>86504695.351607114</v>
      </c>
      <c r="B3249">
        <v>258618961.16748548</v>
      </c>
    </row>
    <row r="3250" spans="1:2" x14ac:dyDescent="0.25">
      <c r="A3250">
        <f ca="1">29296.0622046613*(RANDBETWEEN(2890,3282))</f>
        <v>94831353.356488481</v>
      </c>
      <c r="B3250">
        <v>258711238.2590031</v>
      </c>
    </row>
    <row r="3251" spans="1:2" x14ac:dyDescent="0.25">
      <c r="A3251">
        <f ca="1">35806.4150603842*(RANDBETWEEN(2890,3282))</f>
        <v>111178918.7624929</v>
      </c>
      <c r="B3251">
        <v>242441598.12145931</v>
      </c>
    </row>
    <row r="3252" spans="1:2" x14ac:dyDescent="0.25">
      <c r="A3252">
        <f ca="1">30758.5747925448*(RANDBETWEEN(2890,3282))</f>
        <v>95351581.856888831</v>
      </c>
      <c r="B3252">
        <v>205119728.17330316</v>
      </c>
    </row>
    <row r="3253" spans="1:2" x14ac:dyDescent="0.25">
      <c r="A3253">
        <f ca="1">31331.6579143335*(RANDBETWEEN(2890,3282))</f>
        <v>92052410.952311948</v>
      </c>
      <c r="B3253">
        <v>262484491.54088196</v>
      </c>
    </row>
    <row r="3254" spans="1:2" x14ac:dyDescent="0.25">
      <c r="A3254">
        <f ca="1">31846.6279903475*(RANDBETWEEN(2890,3282))</f>
        <v>92036754.892104328</v>
      </c>
      <c r="B3254">
        <v>262862068.83183497</v>
      </c>
    </row>
    <row r="3255" spans="1:2" x14ac:dyDescent="0.25">
      <c r="A3255">
        <f ca="1">26539.6166237063*(RANDBETWEEN(2890,3282))</f>
        <v>78079552.106943905</v>
      </c>
      <c r="B3255">
        <v>251222558.23047033</v>
      </c>
    </row>
    <row r="3256" spans="1:2" x14ac:dyDescent="0.25">
      <c r="A3256">
        <f ca="1">30638.8026362176*(RANDBETWEEN(2890,3282))</f>
        <v>90690855.803204075</v>
      </c>
      <c r="B3256">
        <v>238394708.23638624</v>
      </c>
    </row>
    <row r="3257" spans="1:2" x14ac:dyDescent="0.25">
      <c r="A3257">
        <f ca="1">34095.4893149556*(RANDBETWEEN(2890,3282))</f>
        <v>107366695.85279532</v>
      </c>
      <c r="B3257">
        <v>250868051.02242225</v>
      </c>
    </row>
    <row r="3258" spans="1:2" x14ac:dyDescent="0.25">
      <c r="A3258">
        <f ca="1">27737.6145573018*(RANDBETWEEN(2890,3282))</f>
        <v>90840687.675163403</v>
      </c>
      <c r="B3258">
        <v>210628581.7910758</v>
      </c>
    </row>
    <row r="3259" spans="1:2" x14ac:dyDescent="0.25">
      <c r="A3259">
        <f ca="1">28355.0960324322*(RANDBETWEEN(2890,3282))</f>
        <v>87588891.644183055</v>
      </c>
      <c r="B3259">
        <v>209322812.13022643</v>
      </c>
    </row>
    <row r="3260" spans="1:2" x14ac:dyDescent="0.25">
      <c r="A3260">
        <f ca="1">26837.9604373332*(RANDBETWEEN(2890,3282))</f>
        <v>79520876.775818363</v>
      </c>
      <c r="B3260">
        <v>262065615.67574155</v>
      </c>
    </row>
    <row r="3261" spans="1:2" x14ac:dyDescent="0.25">
      <c r="A3261">
        <f ca="1">26759.9063005834*(RANDBETWEEN(2890,3282))</f>
        <v>81296595.341172427</v>
      </c>
      <c r="B3261">
        <v>245898981.10035726</v>
      </c>
    </row>
    <row r="3262" spans="1:2" x14ac:dyDescent="0.25">
      <c r="A3262">
        <f ca="1">27524.3785485633*(RANDBETWEEN(2890,3282))</f>
        <v>82187794.346010074</v>
      </c>
      <c r="B3262">
        <v>265779929.88371509</v>
      </c>
    </row>
    <row r="3263" spans="1:2" x14ac:dyDescent="0.25">
      <c r="A3263">
        <f ca="1">31689.6051598173*(RANDBETWEEN(2890,3282))</f>
        <v>97287087.840639189</v>
      </c>
      <c r="B3263">
        <v>241777424.09302652</v>
      </c>
    </row>
    <row r="3264" spans="1:2" x14ac:dyDescent="0.25">
      <c r="A3264">
        <f ca="1">30536.4360737946*(RANDBETWEEN(2890,3282))</f>
        <v>91456626.04101482</v>
      </c>
      <c r="B3264">
        <v>247207633.05318707</v>
      </c>
    </row>
    <row r="3265" spans="1:2" x14ac:dyDescent="0.25">
      <c r="A3265">
        <f ca="1">30369.5286992636*(RANDBETWEEN(2890,3282))</f>
        <v>97668404.296831891</v>
      </c>
      <c r="B3265">
        <v>264786270.20743054</v>
      </c>
    </row>
    <row r="3266" spans="1:2" x14ac:dyDescent="0.25">
      <c r="A3266">
        <f ca="1">27612.1024466735*(RANDBETWEEN(2890,3282))</f>
        <v>81428090.115240082</v>
      </c>
      <c r="B3266">
        <v>242821354.59441471</v>
      </c>
    </row>
    <row r="3267" spans="1:2" x14ac:dyDescent="0.25">
      <c r="A3267">
        <f ca="1">26854.5075536867*(RANDBETWEEN(2890,3282))</f>
        <v>78227180.503889397</v>
      </c>
      <c r="B3267">
        <v>205951684.19970411</v>
      </c>
    </row>
    <row r="3268" spans="1:2" x14ac:dyDescent="0.25">
      <c r="A3268">
        <f ca="1">27959.7254382554*(RANDBETWEEN(2890,3282))</f>
        <v>84606129.176160723</v>
      </c>
      <c r="B3268">
        <v>218922427.02227393</v>
      </c>
    </row>
    <row r="3269" spans="1:2" x14ac:dyDescent="0.25">
      <c r="A3269">
        <f ca="1">28552.3408563715*(RANDBETWEEN(2890,3282))</f>
        <v>91224729.036106825</v>
      </c>
      <c r="B3269">
        <v>249570368.19330966</v>
      </c>
    </row>
    <row r="3270" spans="1:2" x14ac:dyDescent="0.25">
      <c r="A3270">
        <f ca="1">28942.9995363419*(RANDBETWEEN(2890,3282))</f>
        <v>91228334.538549781</v>
      </c>
      <c r="B3270">
        <v>258575512.0262374</v>
      </c>
    </row>
    <row r="3271" spans="1:2" x14ac:dyDescent="0.25">
      <c r="A3271">
        <f ca="1">32029.5073789437*(RANDBETWEEN(2890,3282))</f>
        <v>97433761.446746722</v>
      </c>
      <c r="B3271">
        <v>214024198.41556013</v>
      </c>
    </row>
    <row r="3272" spans="1:2" x14ac:dyDescent="0.25">
      <c r="A3272">
        <f ca="1">28410.5424416605*(RANDBETWEEN(2890,3282))</f>
        <v>84294079.424406663</v>
      </c>
      <c r="B3272">
        <v>210523154.29432911</v>
      </c>
    </row>
    <row r="3273" spans="1:2" x14ac:dyDescent="0.25">
      <c r="A3273">
        <f ca="1">31345.1665280663*(RANDBETWEEN(2890,3282))</f>
        <v>100335878.05634013</v>
      </c>
      <c r="B3273">
        <v>259242856.91870445</v>
      </c>
    </row>
    <row r="3274" spans="1:2" x14ac:dyDescent="0.25">
      <c r="A3274">
        <f ca="1">31691.6977939092*(RANDBETWEEN(2890,3282))</f>
        <v>93078516.420711219</v>
      </c>
      <c r="B3274">
        <v>236209501.86149555</v>
      </c>
    </row>
    <row r="3275" spans="1:2" x14ac:dyDescent="0.25">
      <c r="A3275">
        <f ca="1">32380.7320124939*(RANDBETWEEN(2890,3282))</f>
        <v>97368861.161569029</v>
      </c>
      <c r="B3275">
        <v>227294075.48997498</v>
      </c>
    </row>
    <row r="3276" spans="1:2" x14ac:dyDescent="0.25">
      <c r="A3276">
        <f ca="1">30947.8163571925*(RANDBETWEEN(2890,3282))</f>
        <v>95938230.707296729</v>
      </c>
      <c r="B3276">
        <v>247882288.48368376</v>
      </c>
    </row>
    <row r="3277" spans="1:2" x14ac:dyDescent="0.25">
      <c r="A3277">
        <f ca="1">33199.8643081726*(RANDBETWEEN(2890,3282))</f>
        <v>104513172.84212729</v>
      </c>
      <c r="B3277">
        <v>250298765.17805654</v>
      </c>
    </row>
    <row r="3278" spans="1:2" x14ac:dyDescent="0.25">
      <c r="A3278">
        <f ca="1">30336.7549960505*(RANDBETWEEN(2890,3282))</f>
        <v>93042827.572886884</v>
      </c>
      <c r="B3278">
        <v>227306361.00069857</v>
      </c>
    </row>
    <row r="3279" spans="1:2" x14ac:dyDescent="0.25">
      <c r="A3279">
        <f ca="1">26357.0866547946*(RANDBETWEEN(2890,3282))</f>
        <v>78623189.491252303</v>
      </c>
      <c r="B3279">
        <v>243427305.80665383</v>
      </c>
    </row>
    <row r="3280" spans="1:2" x14ac:dyDescent="0.25">
      <c r="A3280">
        <f ca="1">28389.1200400135*(RANDBETWEEN(2890,3282))</f>
        <v>89993510.526842907</v>
      </c>
      <c r="B3280">
        <v>263495095.58143222</v>
      </c>
    </row>
    <row r="3281" spans="1:2" x14ac:dyDescent="0.25">
      <c r="A3281">
        <f ca="1">30420.1403305443*(RANDBETWEEN(2890,3282))</f>
        <v>95427980.216917619</v>
      </c>
      <c r="B3281">
        <v>217419241.41854429</v>
      </c>
    </row>
    <row r="3282" spans="1:2" x14ac:dyDescent="0.25">
      <c r="A3282">
        <f ca="1">33815.9603097298*(RANDBETWEEN(2890,3282))</f>
        <v>104491317.35706493</v>
      </c>
      <c r="B3282">
        <v>259496428.8695541</v>
      </c>
    </row>
    <row r="3283" spans="1:2" x14ac:dyDescent="0.25">
      <c r="A3283">
        <f ca="1">29863.0439658792*(RANDBETWEEN(2890,3282))</f>
        <v>91052421.051965684</v>
      </c>
      <c r="B3283">
        <v>219391991.9121252</v>
      </c>
    </row>
    <row r="3284" spans="1:2" x14ac:dyDescent="0.25">
      <c r="A3284">
        <f ca="1">28563.6514185511*(RANDBETWEEN(2890,3282))</f>
        <v>84634099.15316698</v>
      </c>
      <c r="B3284">
        <v>205985732.75736606</v>
      </c>
    </row>
    <row r="3285" spans="1:2" x14ac:dyDescent="0.25">
      <c r="A3285">
        <f ca="1">31163.215600433*(RANDBETWEEN(2890,3282))</f>
        <v>95172460.443722457</v>
      </c>
      <c r="B3285">
        <v>224655110.44132465</v>
      </c>
    </row>
    <row r="3286" spans="1:2" x14ac:dyDescent="0.25">
      <c r="A3286">
        <f ca="1">28288.2878007749*(RANDBETWEEN(2890,3282))</f>
        <v>87325944.440992266</v>
      </c>
      <c r="B3286">
        <v>236780638.53983763</v>
      </c>
    </row>
    <row r="3287" spans="1:2" x14ac:dyDescent="0.25">
      <c r="A3287">
        <f ca="1">30810.2714823829*(RANDBETWEEN(2890,3282))</f>
        <v>90551387.88672322</v>
      </c>
      <c r="B3287">
        <v>238163301.49543303</v>
      </c>
    </row>
    <row r="3288" spans="1:2" x14ac:dyDescent="0.25">
      <c r="A3288">
        <f ca="1">26540.5120551708*(RANDBETWEEN(2890,3282))</f>
        <v>82965640.684463978</v>
      </c>
      <c r="B3288">
        <v>215552149.19355974</v>
      </c>
    </row>
    <row r="3289" spans="1:2" x14ac:dyDescent="0.25">
      <c r="A3289">
        <f ca="1">35681.280106996*(RANDBETWEEN(2890,3282))</f>
        <v>110790374.73222263</v>
      </c>
      <c r="B3289">
        <v>259221543.19069904</v>
      </c>
    </row>
    <row r="3290" spans="1:2" x14ac:dyDescent="0.25">
      <c r="A3290">
        <f ca="1">32639.7997179082*(RANDBETWEEN(2890,3282))</f>
        <v>100954900.52749003</v>
      </c>
      <c r="B3290">
        <v>253788610.55547664</v>
      </c>
    </row>
    <row r="3291" spans="1:2" x14ac:dyDescent="0.25">
      <c r="A3291">
        <f ca="1">26195.8909189231*(RANDBETWEEN(2890,3282))</f>
        <v>79111590.575147733</v>
      </c>
      <c r="B3291">
        <v>206356046.78623861</v>
      </c>
    </row>
    <row r="3292" spans="1:2" x14ac:dyDescent="0.25">
      <c r="A3292">
        <f ca="1">31053.477464754*(RANDBETWEEN(2890,3282))</f>
        <v>92818844.142149717</v>
      </c>
      <c r="B3292">
        <v>262432686.47861695</v>
      </c>
    </row>
    <row r="3293" spans="1:2" x14ac:dyDescent="0.25">
      <c r="A3293">
        <f ca="1">32062.18765667*(RANDBETWEEN(2890,3282))</f>
        <v>99360719.548020348</v>
      </c>
      <c r="B3293">
        <v>233824415.50550652</v>
      </c>
    </row>
    <row r="3294" spans="1:2" x14ac:dyDescent="0.25">
      <c r="A3294">
        <f ca="1">30326.1532507345*(RANDBETWEEN(2890,3282))</f>
        <v>90553893.606693178</v>
      </c>
      <c r="B3294">
        <v>211693936.86898172</v>
      </c>
    </row>
    <row r="3295" spans="1:2" x14ac:dyDescent="0.25">
      <c r="A3295">
        <f ca="1">28090.0740672162*(RANDBETWEEN(2890,3282))</f>
        <v>89466885.904083729</v>
      </c>
      <c r="B3295">
        <v>250059323.23308408</v>
      </c>
    </row>
    <row r="3296" spans="1:2" x14ac:dyDescent="0.25">
      <c r="A3296">
        <f ca="1">29474.3689913042*(RANDBETWEEN(2890,3282))</f>
        <v>93669544.654364809</v>
      </c>
      <c r="B3296">
        <v>254604051.07512313</v>
      </c>
    </row>
    <row r="3297" spans="1:2" x14ac:dyDescent="0.25">
      <c r="A3297">
        <f ca="1">28723.9673771154*(RANDBETWEEN(2890,3282))</f>
        <v>84103776.480193958</v>
      </c>
      <c r="B3297">
        <v>207665133.81123069</v>
      </c>
    </row>
    <row r="3298" spans="1:2" x14ac:dyDescent="0.25">
      <c r="A3298">
        <f ca="1">33798.5623425386*(RANDBETWEEN(2890,3282))</f>
        <v>108560982.24423407</v>
      </c>
      <c r="B3298">
        <v>254177616.25658569</v>
      </c>
    </row>
    <row r="3299" spans="1:2" x14ac:dyDescent="0.25">
      <c r="A3299">
        <f ca="1">28988.1366837592*(RANDBETWEEN(2890,3282))</f>
        <v>87631137.195004106</v>
      </c>
      <c r="B3299">
        <v>245941900.89303508</v>
      </c>
    </row>
    <row r="3300" spans="1:2" x14ac:dyDescent="0.25">
      <c r="A3300">
        <f ca="1">29947.3754338571*(RANDBETWEEN(2890,3282))</f>
        <v>92327758.462581515</v>
      </c>
      <c r="B3300">
        <v>241037214.3450453</v>
      </c>
    </row>
    <row r="3301" spans="1:2" x14ac:dyDescent="0.25">
      <c r="A3301">
        <f ca="1">31674.4637739103*(RANDBETWEEN(2890,3282))</f>
        <v>103385449.75804335</v>
      </c>
      <c r="B3301">
        <v>251317668.51085973</v>
      </c>
    </row>
    <row r="3302" spans="1:2" x14ac:dyDescent="0.25">
      <c r="A3302">
        <f ca="1">32071.9964829327*(RANDBETWEEN(2890,3282))</f>
        <v>95927341.480451852</v>
      </c>
      <c r="B3302">
        <v>242900777.48493457</v>
      </c>
    </row>
    <row r="3303" spans="1:2" x14ac:dyDescent="0.25">
      <c r="A3303">
        <f ca="1">28884.8450500218*(RANDBETWEEN(2890,3282))</f>
        <v>86394571.544615284</v>
      </c>
      <c r="B3303">
        <v>260059943.09863409</v>
      </c>
    </row>
    <row r="3304" spans="1:2" x14ac:dyDescent="0.25">
      <c r="A3304">
        <f ca="1">28947.4743133352*(RANDBETWEEN(2890,3282))</f>
        <v>89852960.268592551</v>
      </c>
      <c r="B3304">
        <v>243980689.05190864</v>
      </c>
    </row>
    <row r="3305" spans="1:2" x14ac:dyDescent="0.25">
      <c r="A3305">
        <f ca="1">29148.6026502884*(RANDBETWEEN(2890,3282))</f>
        <v>92167881.580212012</v>
      </c>
      <c r="B3305">
        <v>245552979.16409102</v>
      </c>
    </row>
    <row r="3306" spans="1:2" x14ac:dyDescent="0.25">
      <c r="A3306">
        <f ca="1">26073.5014352306*(RANDBETWEEN(2890,3282))</f>
        <v>82470485.039634511</v>
      </c>
      <c r="B3306">
        <v>254705913.45025194</v>
      </c>
    </row>
    <row r="3307" spans="1:2" x14ac:dyDescent="0.25">
      <c r="A3307">
        <f ca="1">32734.7838804814*(RANDBETWEEN(2890,3282))</f>
        <v>98335290.776966065</v>
      </c>
      <c r="B3307">
        <v>237034352.91223755</v>
      </c>
    </row>
    <row r="3308" spans="1:2" x14ac:dyDescent="0.25">
      <c r="A3308">
        <f ca="1">28406.8851921509*(RANDBETWEEN(2890,3282))</f>
        <v>91583797.859494358</v>
      </c>
      <c r="B3308">
        <v>248576826.93248644</v>
      </c>
    </row>
    <row r="3309" spans="1:2" x14ac:dyDescent="0.25">
      <c r="A3309">
        <f ca="1">28905.9893643788*(RANDBETWEEN(2890,3282))</f>
        <v>92961661.795842081</v>
      </c>
      <c r="B3309">
        <v>227264415.89131045</v>
      </c>
    </row>
    <row r="3310" spans="1:2" x14ac:dyDescent="0.25">
      <c r="A3310">
        <f ca="1">28904.0863850467*(RANDBETWEEN(2890,3282))</f>
        <v>85527191.613353238</v>
      </c>
      <c r="B3310">
        <v>225605536.74828649</v>
      </c>
    </row>
    <row r="3311" spans="1:2" x14ac:dyDescent="0.25">
      <c r="A3311">
        <f ca="1">27297.0287404297*(RANDBETWEEN(2890,3282))</f>
        <v>84238630.692966029</v>
      </c>
      <c r="B3311">
        <v>249541670.6572946</v>
      </c>
    </row>
    <row r="3312" spans="1:2" x14ac:dyDescent="0.25">
      <c r="A3312">
        <f ca="1">31177.2658258998*(RANDBETWEEN(2890,3282))</f>
        <v>92908252.161181524</v>
      </c>
      <c r="B3312">
        <v>207396101.4468258</v>
      </c>
    </row>
    <row r="3313" spans="1:2" x14ac:dyDescent="0.25">
      <c r="A3313">
        <f ca="1">26157.972679567*(RANDBETWEEN(2890,3282))</f>
        <v>84961095.263233468</v>
      </c>
      <c r="B3313">
        <v>241880178.88983643</v>
      </c>
    </row>
    <row r="3314" spans="1:2" x14ac:dyDescent="0.25">
      <c r="A3314">
        <f ca="1">29122.5608128381*(RANDBETWEEN(2890,3282))</f>
        <v>92464130.580760956</v>
      </c>
      <c r="B3314">
        <v>222571112.3270317</v>
      </c>
    </row>
    <row r="3315" spans="1:2" x14ac:dyDescent="0.25">
      <c r="A3315">
        <f ca="1">27581.021617155*(RANDBETWEEN(2890,3282))</f>
        <v>90217521.709714189</v>
      </c>
      <c r="B3315">
        <v>218600104.82127184</v>
      </c>
    </row>
    <row r="3316" spans="1:2" x14ac:dyDescent="0.25">
      <c r="A3316">
        <f ca="1">31215.5646653516*(RANDBETWEEN(2890,3282))</f>
        <v>97298915.061901003</v>
      </c>
      <c r="B3316">
        <v>265254409.45155734</v>
      </c>
    </row>
    <row r="3317" spans="1:2" x14ac:dyDescent="0.25">
      <c r="A3317">
        <f ca="1">30485.8515374436*(RANDBETWEEN(2890,3282))</f>
        <v>91853870.68231757</v>
      </c>
      <c r="B3317">
        <v>205410165.99766722</v>
      </c>
    </row>
    <row r="3318" spans="1:2" x14ac:dyDescent="0.25">
      <c r="A3318">
        <f ca="1">31878.4723017037*(RANDBETWEEN(2890,3282))</f>
        <v>98345087.050755814</v>
      </c>
      <c r="B3318">
        <v>217485794.30228141</v>
      </c>
    </row>
    <row r="3319" spans="1:2" x14ac:dyDescent="0.25">
      <c r="A3319">
        <f ca="1">31084.6704676647*(RANDBETWEEN(2890,3282))</f>
        <v>100869755.66757195</v>
      </c>
      <c r="B3319">
        <v>220852728.825423</v>
      </c>
    </row>
    <row r="3320" spans="1:2" x14ac:dyDescent="0.25">
      <c r="A3320">
        <f ca="1">29620.4400103792*(RANDBETWEEN(2890,3282))</f>
        <v>96266430.033732489</v>
      </c>
      <c r="B3320">
        <v>245990743.1338872</v>
      </c>
    </row>
    <row r="3321" spans="1:2" x14ac:dyDescent="0.25">
      <c r="A3321">
        <f ca="1">30972.9879526922*(RANDBETWEEN(2890,3282))</f>
        <v>98556047.665466428</v>
      </c>
      <c r="B3321">
        <v>226952504.1446608</v>
      </c>
    </row>
    <row r="3322" spans="1:2" x14ac:dyDescent="0.25">
      <c r="A3322">
        <f ca="1">32007.0982978253*(RANDBETWEEN(2890,3282))</f>
        <v>99830139.59091717</v>
      </c>
      <c r="B3322">
        <v>261875805.07192126</v>
      </c>
    </row>
    <row r="3323" spans="1:2" x14ac:dyDescent="0.25">
      <c r="A3323">
        <f ca="1">29392.8667918761*(RANDBETWEEN(2890,3282))</f>
        <v>85885956.765861973</v>
      </c>
      <c r="B3323">
        <v>210971872.27765691</v>
      </c>
    </row>
    <row r="3324" spans="1:2" x14ac:dyDescent="0.25">
      <c r="A3324">
        <f ca="1">29553.0910310779*(RANDBETWEEN(2890,3282))</f>
        <v>92501174.92727384</v>
      </c>
      <c r="B3324">
        <v>251723973.852359</v>
      </c>
    </row>
    <row r="3325" spans="1:2" x14ac:dyDescent="0.25">
      <c r="A3325">
        <f ca="1">24608.3124196935*(RANDBETWEEN(2890,3282))</f>
        <v>74095628.695697218</v>
      </c>
      <c r="B3325">
        <v>230219250.27324563</v>
      </c>
    </row>
    <row r="3326" spans="1:2" x14ac:dyDescent="0.25">
      <c r="A3326">
        <f ca="1">30402.0744097906*(RANDBETWEEN(2890,3282))</f>
        <v>98137896.194804057</v>
      </c>
      <c r="B3326">
        <v>205728822.03106979</v>
      </c>
    </row>
    <row r="3327" spans="1:2" x14ac:dyDescent="0.25">
      <c r="A3327">
        <f ca="1">28829.0669780766*(RANDBETWEEN(2890,3282))</f>
        <v>90090834.306489468</v>
      </c>
      <c r="B3327">
        <v>207010912.12306857</v>
      </c>
    </row>
    <row r="3328" spans="1:2" x14ac:dyDescent="0.25">
      <c r="A3328">
        <f ca="1">26565.1548628369*(RANDBETWEEN(2890,3282))</f>
        <v>80784635.937887087</v>
      </c>
      <c r="B3328">
        <v>232875304.76425755</v>
      </c>
    </row>
    <row r="3329" spans="1:2" x14ac:dyDescent="0.25">
      <c r="A3329">
        <f ca="1">32306.9311669674*(RANDBETWEEN(2890,3282))</f>
        <v>98374605.403415635</v>
      </c>
      <c r="B3329">
        <v>251277802.5075559</v>
      </c>
    </row>
    <row r="3330" spans="1:2" x14ac:dyDescent="0.25">
      <c r="A3330">
        <f ca="1">30526.143618869*(RANDBETWEEN(2890,3282))</f>
        <v>93196316.46840705</v>
      </c>
      <c r="B3330">
        <v>265533189.6757333</v>
      </c>
    </row>
    <row r="3331" spans="1:2" x14ac:dyDescent="0.25">
      <c r="A3331">
        <f ca="1">30324.4472861231*(RANDBETWEEN(2890,3282))</f>
        <v>93338648.746686876</v>
      </c>
      <c r="B3331">
        <v>255816053.37039939</v>
      </c>
    </row>
    <row r="3332" spans="1:2" x14ac:dyDescent="0.25">
      <c r="A3332">
        <f ca="1">32090.6790597187*(RANDBETWEEN(2890,3282))</f>
        <v>92742062.48258692</v>
      </c>
      <c r="B3332">
        <v>245862531.5229044</v>
      </c>
    </row>
    <row r="3333" spans="1:2" x14ac:dyDescent="0.25">
      <c r="A3333">
        <f ca="1">28066.1650354553*(RANDBETWEEN(2890,3282))</f>
        <v>90288852.919059858</v>
      </c>
      <c r="B3333">
        <v>208794471.72523972</v>
      </c>
    </row>
    <row r="3334" spans="1:2" x14ac:dyDescent="0.25">
      <c r="A3334">
        <f ca="1">31237.8600053873*(RANDBETWEEN(2890,3282))</f>
        <v>93338725.69609724</v>
      </c>
      <c r="B3334">
        <v>204393836.88341355</v>
      </c>
    </row>
    <row r="3335" spans="1:2" x14ac:dyDescent="0.25">
      <c r="A3335">
        <f ca="1">27153.0630373844*(RANDBETWEEN(2890,3282))</f>
        <v>82382393.255424231</v>
      </c>
      <c r="B3335">
        <v>265651511.10162663</v>
      </c>
    </row>
    <row r="3336" spans="1:2" x14ac:dyDescent="0.25">
      <c r="A3336">
        <f ca="1">26880.1128371277*(RANDBETWEEN(2890,3282))</f>
        <v>83408990.133607224</v>
      </c>
      <c r="B3336">
        <v>218043470.99635446</v>
      </c>
    </row>
    <row r="3337" spans="1:2" x14ac:dyDescent="0.25">
      <c r="A3337">
        <f ca="1">25696.8925741182*(RANDBETWEEN(2890,3282))</f>
        <v>78324128.565912217</v>
      </c>
      <c r="B3337">
        <v>230390896.09299228</v>
      </c>
    </row>
    <row r="3338" spans="1:2" x14ac:dyDescent="0.25">
      <c r="A3338">
        <f ca="1">26080.6971533172*(RANDBETWEEN(2890,3282))</f>
        <v>84032006.227988079</v>
      </c>
      <c r="B3338">
        <v>248016975.41497195</v>
      </c>
    </row>
    <row r="3339" spans="1:2" x14ac:dyDescent="0.25">
      <c r="A3339">
        <f ca="1">27675.1196507118*(RANDBETWEEN(2890,3282))</f>
        <v>89030859.916339785</v>
      </c>
      <c r="B3339">
        <v>224980497.87991276</v>
      </c>
    </row>
    <row r="3340" spans="1:2" x14ac:dyDescent="0.25">
      <c r="A3340">
        <f ca="1">27898.348540759*(RANDBETWEEN(2890,3282))</f>
        <v>87210237.538412541</v>
      </c>
      <c r="B3340">
        <v>212955121.5469774</v>
      </c>
    </row>
    <row r="3341" spans="1:2" x14ac:dyDescent="0.25">
      <c r="A3341">
        <f ca="1">27888.0921806504*(RANDBETWEEN(2890,3282))</f>
        <v>88684133.134468123</v>
      </c>
      <c r="B3341">
        <v>257536231.53855646</v>
      </c>
    </row>
    <row r="3342" spans="1:2" x14ac:dyDescent="0.25">
      <c r="A3342">
        <f ca="1">32319.5688811185*(RANDBETWEEN(2890,3282))</f>
        <v>95568965.18146731</v>
      </c>
      <c r="B3342">
        <v>225015622.05195656</v>
      </c>
    </row>
    <row r="3343" spans="1:2" x14ac:dyDescent="0.25">
      <c r="A3343">
        <f ca="1">31555.9550984074*(RANDBETWEEN(2890,3282))</f>
        <v>99874597.886459351</v>
      </c>
      <c r="B3343">
        <v>255579113.74843779</v>
      </c>
    </row>
    <row r="3344" spans="1:2" x14ac:dyDescent="0.25">
      <c r="A3344">
        <f ca="1">30078.2048654719*(RANDBETWEEN(2890,3282))</f>
        <v>96310411.979240909</v>
      </c>
      <c r="B3344">
        <v>228208218.0333952</v>
      </c>
    </row>
    <row r="3345" spans="1:2" x14ac:dyDescent="0.25">
      <c r="A3345">
        <f ca="1">28155.3727322357*(RANDBETWEEN(2890,3282))</f>
        <v>86915635.624411568</v>
      </c>
      <c r="B3345">
        <v>213290506.37887707</v>
      </c>
    </row>
    <row r="3346" spans="1:2" x14ac:dyDescent="0.25">
      <c r="A3346">
        <f ca="1">33924.1595217513*(RANDBETWEEN(2890,3282))</f>
        <v>103909700.61512408</v>
      </c>
      <c r="B3346">
        <v>239195197.23632002</v>
      </c>
    </row>
    <row r="3347" spans="1:2" x14ac:dyDescent="0.25">
      <c r="A3347">
        <f ca="1">29475.3172322816*(RANDBETWEEN(2890,3282))</f>
        <v>87394315.593715087</v>
      </c>
      <c r="B3347">
        <v>231679650.07704589</v>
      </c>
    </row>
    <row r="3348" spans="1:2" x14ac:dyDescent="0.25">
      <c r="A3348">
        <f ca="1">32046.4780436288*(RANDBETWEEN(2890,3282))</f>
        <v>104407425.46614271</v>
      </c>
      <c r="B3348">
        <v>216880685.25395787</v>
      </c>
    </row>
    <row r="3349" spans="1:2" x14ac:dyDescent="0.25">
      <c r="A3349">
        <f ca="1">31728.6984994725*(RANDBETWEEN(2890,3282))</f>
        <v>94900537.211922303</v>
      </c>
      <c r="B3349">
        <v>224305102.4792642</v>
      </c>
    </row>
    <row r="3350" spans="1:2" x14ac:dyDescent="0.25">
      <c r="A3350">
        <f ca="1">30807.389930654*(RANDBETWEEN(2890,3282))</f>
        <v>94116576.238147959</v>
      </c>
      <c r="B3350">
        <v>259461110.71346372</v>
      </c>
    </row>
    <row r="3351" spans="1:2" x14ac:dyDescent="0.25">
      <c r="A3351">
        <f ca="1">28126.3793103833*(RANDBETWEEN(2890,3282))</f>
        <v>84069747.758735582</v>
      </c>
      <c r="B3351">
        <v>254524205.67969221</v>
      </c>
    </row>
    <row r="3352" spans="1:2" x14ac:dyDescent="0.25">
      <c r="A3352">
        <f ca="1">30488.766873946*(RANDBETWEEN(2890,3282))</f>
        <v>95002997.579215795</v>
      </c>
      <c r="B3352">
        <v>264013471.65519398</v>
      </c>
    </row>
    <row r="3353" spans="1:2" x14ac:dyDescent="0.25">
      <c r="A3353">
        <f ca="1">30719.9176364755*(RANDBETWEEN(2890,3282))</f>
        <v>91391754.968514711</v>
      </c>
      <c r="B3353">
        <v>233870419.5213747</v>
      </c>
    </row>
    <row r="3354" spans="1:2" x14ac:dyDescent="0.25">
      <c r="A3354">
        <f ca="1">31638.9073609807*(RANDBETWEEN(2890,3282))</f>
        <v>96751778.709879056</v>
      </c>
      <c r="B3354">
        <v>255651083.73845544</v>
      </c>
    </row>
    <row r="3355" spans="1:2" x14ac:dyDescent="0.25">
      <c r="A3355">
        <f ca="1">27778.5569578383*(RANDBETWEEN(2890,3282))</f>
        <v>89641403.302944168</v>
      </c>
      <c r="B3355">
        <v>234813142.92377257</v>
      </c>
    </row>
    <row r="3356" spans="1:2" x14ac:dyDescent="0.25">
      <c r="A3356">
        <f ca="1">28636.6291624665*(RANDBETWEEN(2890,3282))</f>
        <v>91035844.107480973</v>
      </c>
      <c r="B3356">
        <v>207971117.53333947</v>
      </c>
    </row>
    <row r="3357" spans="1:2" x14ac:dyDescent="0.25">
      <c r="A3357">
        <f ca="1">28792.4393881047*(RANDBETWEEN(2890,3282))</f>
        <v>90581014.314977467</v>
      </c>
      <c r="B3357">
        <v>233224138.63587761</v>
      </c>
    </row>
    <row r="3358" spans="1:2" x14ac:dyDescent="0.25">
      <c r="A3358">
        <f ca="1">28266.0436205562*(RANDBETWEEN(2890,3282))</f>
        <v>84515470.425463155</v>
      </c>
      <c r="B3358">
        <v>221795516.72160494</v>
      </c>
    </row>
    <row r="3359" spans="1:2" x14ac:dyDescent="0.25">
      <c r="A3359">
        <f ca="1">27037.9011209785*(RANDBETWEEN(2890,3282))</f>
        <v>78382875.349716812</v>
      </c>
      <c r="B3359">
        <v>215068774.84886846</v>
      </c>
    </row>
    <row r="3360" spans="1:2" x14ac:dyDescent="0.25">
      <c r="A3360">
        <f ca="1">27413.56662808*(RANDBETWEEN(2890,3282))</f>
        <v>81747255.684934542</v>
      </c>
      <c r="B3360">
        <v>261707527.51886478</v>
      </c>
    </row>
    <row r="3361" spans="1:2" x14ac:dyDescent="0.25">
      <c r="A3361">
        <f ca="1">31807.5288367012*(RANDBETWEEN(2890,3282))</f>
        <v>94754628.40453276</v>
      </c>
      <c r="B3361">
        <v>245094122.24329591</v>
      </c>
    </row>
    <row r="3362" spans="1:2" x14ac:dyDescent="0.25">
      <c r="A3362">
        <f ca="1">30304.0462751662*(RANDBETWEEN(2890,3282))</f>
        <v>98124501.838988185</v>
      </c>
      <c r="B3362">
        <v>204567341.61797681</v>
      </c>
    </row>
    <row r="3363" spans="1:2" x14ac:dyDescent="0.25">
      <c r="A3363">
        <f ca="1">27874.4944953871*(RANDBETWEEN(2890,3282))</f>
        <v>82759374.156804353</v>
      </c>
      <c r="B3363">
        <v>230460493.59806794</v>
      </c>
    </row>
    <row r="3364" spans="1:2" x14ac:dyDescent="0.25">
      <c r="A3364">
        <f ca="1">30935.9974967832*(RANDBETWEEN(2890,3282))</f>
        <v>101067903.82199085</v>
      </c>
      <c r="B3364">
        <v>240646509.73483446</v>
      </c>
    </row>
    <row r="3365" spans="1:2" x14ac:dyDescent="0.25">
      <c r="A3365">
        <f ca="1">27370.3645786902*(RANDBETWEEN(2890,3282))</f>
        <v>81016279.152923062</v>
      </c>
      <c r="B3365">
        <v>254929886.83391523</v>
      </c>
    </row>
    <row r="3366" spans="1:2" x14ac:dyDescent="0.25">
      <c r="A3366">
        <f ca="1">28084.6432029794*(RANDBETWEEN(2890,3282))</f>
        <v>83692236.744878531</v>
      </c>
      <c r="B3366">
        <v>264098315.47318622</v>
      </c>
    </row>
    <row r="3367" spans="1:2" x14ac:dyDescent="0.25">
      <c r="A3367">
        <f ca="1">26572.6253217025*(RANDBETWEEN(2890,3282))</f>
        <v>79930456.96768111</v>
      </c>
      <c r="B3367">
        <v>213719111.0737575</v>
      </c>
    </row>
    <row r="3368" spans="1:2" x14ac:dyDescent="0.25">
      <c r="A3368">
        <f ca="1">27880.7787078437*(RANDBETWEEN(2890,3282))</f>
        <v>86318890.879484132</v>
      </c>
      <c r="B3368">
        <v>204523307.81505129</v>
      </c>
    </row>
    <row r="3369" spans="1:2" x14ac:dyDescent="0.25">
      <c r="A3369">
        <f ca="1">27708.0375824605*(RANDBETWEEN(2890,3282))</f>
        <v>85811792.392880261</v>
      </c>
      <c r="B3369">
        <v>266259779.86280304</v>
      </c>
    </row>
    <row r="3370" spans="1:2" x14ac:dyDescent="0.25">
      <c r="A3370">
        <f ca="1">28361.7803323897*(RANDBETWEEN(2890,3282))</f>
        <v>89793396.532345712</v>
      </c>
      <c r="B3370">
        <v>219490523.69580469</v>
      </c>
    </row>
    <row r="3371" spans="1:2" x14ac:dyDescent="0.25">
      <c r="A3371">
        <f ca="1">28552.4665272697*(RANDBETWEEN(2890,3282))</f>
        <v>84229776.255445644</v>
      </c>
      <c r="B3371">
        <v>244007391.65000635</v>
      </c>
    </row>
    <row r="3372" spans="1:2" x14ac:dyDescent="0.25">
      <c r="A3372">
        <f ca="1">32600.0724597158*(RANDBETWEEN(2890,3282))</f>
        <v>99593221.364431843</v>
      </c>
      <c r="B3372">
        <v>257293278.51494324</v>
      </c>
    </row>
    <row r="3373" spans="1:2" x14ac:dyDescent="0.25">
      <c r="A3373">
        <f ca="1">27578.6026381284*(RANDBETWEEN(2890,3282))</f>
        <v>80557098.305973142</v>
      </c>
      <c r="B3373">
        <v>243298780.0573827</v>
      </c>
    </row>
    <row r="3374" spans="1:2" x14ac:dyDescent="0.25">
      <c r="A3374">
        <f ca="1">24727.1493393213*(RANDBETWEEN(2890,3282))</f>
        <v>74700718.154089645</v>
      </c>
      <c r="B3374">
        <v>203734751.54165834</v>
      </c>
    </row>
    <row r="3375" spans="1:2" x14ac:dyDescent="0.25">
      <c r="A3375">
        <f ca="1">33720.8842883016*(RANDBETWEEN(2890,3282))</f>
        <v>100589397.83200364</v>
      </c>
      <c r="B3375">
        <v>235934421.04926747</v>
      </c>
    </row>
    <row r="3376" spans="1:2" x14ac:dyDescent="0.25">
      <c r="A3376">
        <f ca="1">26271.2293521015*(RANDBETWEEN(2890,3282))</f>
        <v>84435731.137654379</v>
      </c>
      <c r="B3376">
        <v>230299770.08610684</v>
      </c>
    </row>
    <row r="3377" spans="1:2" x14ac:dyDescent="0.25">
      <c r="A3377">
        <f ca="1">29126.0140988694*(RANDBETWEEN(2890,3282))</f>
        <v>88018814.606783181</v>
      </c>
      <c r="B3377">
        <v>213007235.24960428</v>
      </c>
    </row>
    <row r="3378" spans="1:2" x14ac:dyDescent="0.25">
      <c r="A3378">
        <f ca="1">33305.1263507189*(RANDBETWEEN(2890,3282))</f>
        <v>105610555.65812977</v>
      </c>
      <c r="B3378">
        <v>234197681.88500565</v>
      </c>
    </row>
    <row r="3379" spans="1:2" x14ac:dyDescent="0.25">
      <c r="A3379">
        <f ca="1">30555.8496812904*(RANDBETWEEN(2890,3282))</f>
        <v>96434261.594152391</v>
      </c>
      <c r="B3379">
        <v>236438343.39735681</v>
      </c>
    </row>
    <row r="3380" spans="1:2" x14ac:dyDescent="0.25">
      <c r="A3380">
        <f ca="1">28168.6452969545*(RANDBETWEEN(2890,3282))</f>
        <v>83548201.95076713</v>
      </c>
      <c r="B3380">
        <v>221867129.43220139</v>
      </c>
    </row>
    <row r="3381" spans="1:2" x14ac:dyDescent="0.25">
      <c r="A3381">
        <f ca="1">27175.6295966139*(RANDBETWEEN(2890,3282))</f>
        <v>86826136.561181411</v>
      </c>
      <c r="B3381">
        <v>246692302.90124297</v>
      </c>
    </row>
    <row r="3382" spans="1:2" x14ac:dyDescent="0.25">
      <c r="A3382">
        <f ca="1">33461.870676013*(RANDBETWEEN(2890,3282))</f>
        <v>103798722.83699223</v>
      </c>
      <c r="B3382">
        <v>249697180.11628634</v>
      </c>
    </row>
    <row r="3383" spans="1:2" x14ac:dyDescent="0.25">
      <c r="A3383">
        <f ca="1">31056.8556876534*(RANDBETWEEN(2890,3282))</f>
        <v>90965530.309136704</v>
      </c>
      <c r="B3383">
        <v>207417497.52675751</v>
      </c>
    </row>
    <row r="3384" spans="1:2" x14ac:dyDescent="0.25">
      <c r="A3384">
        <f ca="1">28606.5691041578*(RANDBETWEEN(2890,3282))</f>
        <v>88565937.946472675</v>
      </c>
      <c r="B3384">
        <v>258244644.07082298</v>
      </c>
    </row>
    <row r="3385" spans="1:2" x14ac:dyDescent="0.25">
      <c r="A3385">
        <f ca="1">32142.1840852378*(RANDBETWEEN(2890,3282))</f>
        <v>103369264.01812492</v>
      </c>
      <c r="B3385">
        <v>204206837.78234446</v>
      </c>
    </row>
    <row r="3386" spans="1:2" x14ac:dyDescent="0.25">
      <c r="A3386">
        <f ca="1">28447.4001612704*(RANDBETWEEN(2890,3282))</f>
        <v>92880761.526547819</v>
      </c>
      <c r="B3386">
        <v>239415832.16853705</v>
      </c>
    </row>
    <row r="3387" spans="1:2" x14ac:dyDescent="0.25">
      <c r="A3387">
        <f ca="1">27042.6925437814*(RANDBETWEEN(2890,3282))</f>
        <v>83588962.652828321</v>
      </c>
      <c r="B3387">
        <v>206532252.55484915</v>
      </c>
    </row>
    <row r="3388" spans="1:2" x14ac:dyDescent="0.25">
      <c r="A3388">
        <f ca="1">30206.1776546986*(RANDBETWEEN(2890,3282))</f>
        <v>90769563.852369264</v>
      </c>
      <c r="B3388">
        <v>230419729.18965971</v>
      </c>
    </row>
    <row r="3389" spans="1:2" x14ac:dyDescent="0.25">
      <c r="A3389">
        <f ca="1">27634.2131918261*(RANDBETWEEN(2890,3282))</f>
        <v>90308608.710887834</v>
      </c>
      <c r="B3389">
        <v>243044741.45698255</v>
      </c>
    </row>
    <row r="3390" spans="1:2" x14ac:dyDescent="0.25">
      <c r="A3390">
        <f ca="1">27457.3604836539*(RANDBETWEEN(2890,3282))</f>
        <v>87561522.582372367</v>
      </c>
      <c r="B3390">
        <v>229331533.08303237</v>
      </c>
    </row>
    <row r="3391" spans="1:2" x14ac:dyDescent="0.25">
      <c r="A3391">
        <f ca="1">33834.6702639828*(RANDBETWEEN(2890,3282))</f>
        <v>107188235.39629765</v>
      </c>
      <c r="B3391">
        <v>236791067.094221</v>
      </c>
    </row>
    <row r="3392" spans="1:2" x14ac:dyDescent="0.25">
      <c r="A3392">
        <f ca="1">30944.988360964*(RANDBETWEEN(2890,3282))</f>
        <v>99859477.440830976</v>
      </c>
      <c r="B3392">
        <v>250758111.27158046</v>
      </c>
    </row>
    <row r="3393" spans="1:2" x14ac:dyDescent="0.25">
      <c r="A3393">
        <f ca="1">32783.8215575365*(RANDBETWEEN(2890,3282))</f>
        <v>96515570.665387467</v>
      </c>
      <c r="B3393">
        <v>264986073.36939156</v>
      </c>
    </row>
    <row r="3394" spans="1:2" x14ac:dyDescent="0.25">
      <c r="A3394">
        <f ca="1">29696.0730124303*(RANDBETWEEN(2890,3282))</f>
        <v>96334060.852323875</v>
      </c>
      <c r="B3394">
        <v>247839720.95276389</v>
      </c>
    </row>
    <row r="3395" spans="1:2" x14ac:dyDescent="0.25">
      <c r="A3395">
        <f ca="1">25934.5437768275*(RANDBETWEEN(2890,3282))</f>
        <v>77544285.892714292</v>
      </c>
      <c r="B3395">
        <v>236378936.35482484</v>
      </c>
    </row>
    <row r="3396" spans="1:2" x14ac:dyDescent="0.25">
      <c r="A3396">
        <f ca="1">30249.2599946296*(RANDBETWEEN(2890,3282))</f>
        <v>89386563.284130543</v>
      </c>
      <c r="B3396">
        <v>239130621.08143768</v>
      </c>
    </row>
    <row r="3397" spans="1:2" x14ac:dyDescent="0.25">
      <c r="A3397">
        <f ca="1">30358.4783052812*(RANDBETWEEN(2890,3282))</f>
        <v>94779169.269087955</v>
      </c>
      <c r="B3397">
        <v>259422841.31141773</v>
      </c>
    </row>
    <row r="3398" spans="1:2" x14ac:dyDescent="0.25">
      <c r="A3398">
        <f ca="1">28462.242757828*(RANDBETWEEN(2890,3282))</f>
        <v>93242307.274644494</v>
      </c>
      <c r="B3398">
        <v>264827720.90812263</v>
      </c>
    </row>
    <row r="3399" spans="1:2" x14ac:dyDescent="0.25">
      <c r="A3399">
        <f ca="1">28479.1134300708*(RANDBETWEEN(2890,3282))</f>
        <v>90962288.295646191</v>
      </c>
      <c r="B3399">
        <v>205221973.39554495</v>
      </c>
    </row>
    <row r="3400" spans="1:2" x14ac:dyDescent="0.25">
      <c r="A3400">
        <f ca="1">32254.6545635523*(RANDBETWEEN(2890,3282))</f>
        <v>102473037.54840556</v>
      </c>
      <c r="B3400">
        <v>261516667.22132415</v>
      </c>
    </row>
    <row r="3401" spans="1:2" x14ac:dyDescent="0.25">
      <c r="A3401">
        <f ca="1">31829.5941215427*(RANDBETWEEN(2890,3282))</f>
        <v>101472746.05947815</v>
      </c>
      <c r="B3401">
        <v>263735694.62094396</v>
      </c>
    </row>
    <row r="3402" spans="1:2" x14ac:dyDescent="0.25">
      <c r="A3402">
        <f ca="1">30389.7340607235*(RANDBETWEEN(2890,3282))</f>
        <v>98067671.813954711</v>
      </c>
      <c r="B3402">
        <v>207641309.13102639</v>
      </c>
    </row>
    <row r="3403" spans="1:2" x14ac:dyDescent="0.25">
      <c r="A3403">
        <f ca="1">30483.6208594814*(RANDBETWEEN(2890,3282))</f>
        <v>99346120.381049842</v>
      </c>
      <c r="B3403">
        <v>245908479.61047685</v>
      </c>
    </row>
    <row r="3404" spans="1:2" x14ac:dyDescent="0.25">
      <c r="A3404">
        <f ca="1">26535.9346666763*(RANDBETWEEN(2890,3282))</f>
        <v>85339565.888031095</v>
      </c>
      <c r="B3404">
        <v>216836512.95227051</v>
      </c>
    </row>
    <row r="3405" spans="1:2" x14ac:dyDescent="0.25">
      <c r="A3405">
        <f ca="1">29542.5505381776*(RANDBETWEEN(2890,3282))</f>
        <v>86234705.020940438</v>
      </c>
      <c r="B3405">
        <v>260852082.99672741</v>
      </c>
    </row>
    <row r="3406" spans="1:2" x14ac:dyDescent="0.25">
      <c r="A3406">
        <f ca="1">31388.7954759212*(RANDBETWEEN(2890,3282))</f>
        <v>93695554.49562493</v>
      </c>
      <c r="B3406">
        <v>260129095.44033077</v>
      </c>
    </row>
    <row r="3407" spans="1:2" x14ac:dyDescent="0.25">
      <c r="A3407">
        <f ca="1">28609.1971752021*(RANDBETWEEN(2890,3282))</f>
        <v>83252763.7798381</v>
      </c>
      <c r="B3407">
        <v>203693193.16809285</v>
      </c>
    </row>
    <row r="3408" spans="1:2" x14ac:dyDescent="0.25">
      <c r="A3408">
        <f ca="1">34232.6544555885*(RANDBETWEEN(2890,3282))</f>
        <v>99000836.685562015</v>
      </c>
      <c r="B3408">
        <v>263570061.81589967</v>
      </c>
    </row>
    <row r="3409" spans="1:2" x14ac:dyDescent="0.25">
      <c r="A3409">
        <f ca="1">31305.795136049*(RANDBETWEEN(2890,3282))</f>
        <v>101994280.55324766</v>
      </c>
      <c r="B3409">
        <v>234405429.59456229</v>
      </c>
    </row>
    <row r="3410" spans="1:2" x14ac:dyDescent="0.25">
      <c r="A3410">
        <f ca="1">33213.2942011397*(RANDBETWEEN(2890,3282))</f>
        <v>108839965.09713487</v>
      </c>
      <c r="B3410">
        <v>215764426.25549865</v>
      </c>
    </row>
    <row r="3411" spans="1:2" x14ac:dyDescent="0.25">
      <c r="A3411">
        <f ca="1">29901.9699586076*(RANDBETWEEN(2890,3282))</f>
        <v>93114734.451104015</v>
      </c>
      <c r="B3411">
        <v>255377663.11714062</v>
      </c>
    </row>
    <row r="3412" spans="1:2" x14ac:dyDescent="0.25">
      <c r="A3412">
        <f ca="1">27335.8878242817*(RANDBETWEEN(2890,3282))</f>
        <v>89689047.951468199</v>
      </c>
      <c r="B3412">
        <v>214707912.80553314</v>
      </c>
    </row>
    <row r="3413" spans="1:2" x14ac:dyDescent="0.25">
      <c r="A3413">
        <f ca="1">29716.3909490567*(RANDBETWEEN(2890,3282))</f>
        <v>90605276.003674001</v>
      </c>
      <c r="B3413">
        <v>260778922.40400732</v>
      </c>
    </row>
    <row r="3414" spans="1:2" x14ac:dyDescent="0.25">
      <c r="A3414">
        <f ca="1">30543.7748637558*(RANDBETWEEN(2890,3282))</f>
        <v>92181112.538815126</v>
      </c>
      <c r="B3414">
        <v>245328787.08015725</v>
      </c>
    </row>
    <row r="3415" spans="1:2" x14ac:dyDescent="0.25">
      <c r="A3415">
        <f ca="1">30513.6112521886*(RANDBETWEEN(2890,3282))</f>
        <v>93890381.822984323</v>
      </c>
      <c r="B3415">
        <v>242547548.90586692</v>
      </c>
    </row>
    <row r="3416" spans="1:2" x14ac:dyDescent="0.25">
      <c r="A3416">
        <f ca="1">31744.5923221247*(RANDBETWEEN(2890,3282))</f>
        <v>102027119.7233087</v>
      </c>
      <c r="B3416">
        <v>262363930.83350843</v>
      </c>
    </row>
    <row r="3417" spans="1:2" x14ac:dyDescent="0.25">
      <c r="A3417">
        <f ca="1">28952.9470679458*(RANDBETWEEN(2890,3282))</f>
        <v>88682876.869117975</v>
      </c>
      <c r="B3417">
        <v>250737784.70741197</v>
      </c>
    </row>
    <row r="3418" spans="1:2" x14ac:dyDescent="0.25">
      <c r="A3418">
        <f ca="1">31159.5550443659*(RANDBETWEEN(2890,3282))</f>
        <v>101767106.77489887</v>
      </c>
      <c r="B3418">
        <v>225249369.2477324</v>
      </c>
    </row>
    <row r="3419" spans="1:2" x14ac:dyDescent="0.25">
      <c r="A3419">
        <f ca="1">32732.9734716596*(RANDBETWEEN(2890,3282))</f>
        <v>96234942.006679341</v>
      </c>
      <c r="B3419">
        <v>262484718.35053864</v>
      </c>
    </row>
    <row r="3420" spans="1:2" x14ac:dyDescent="0.25">
      <c r="A3420">
        <f ca="1">31446.4153604262*(RANDBETWEEN(2890,3282))</f>
        <v>94936727.973126605</v>
      </c>
      <c r="B3420">
        <v>245998024.33699203</v>
      </c>
    </row>
    <row r="3421" spans="1:2" x14ac:dyDescent="0.25">
      <c r="A3421">
        <f ca="1">27157.1233504446*(RANDBETWEEN(2890,3282))</f>
        <v>87011423.214824572</v>
      </c>
      <c r="B3421">
        <v>226819199.39016134</v>
      </c>
    </row>
    <row r="3422" spans="1:2" x14ac:dyDescent="0.25">
      <c r="A3422">
        <f ca="1">31538.9428156809*(RANDBETWEEN(2890,3282))</f>
        <v>94932217.875199437</v>
      </c>
      <c r="B3422">
        <v>242779073.36598623</v>
      </c>
    </row>
    <row r="3423" spans="1:2" x14ac:dyDescent="0.25">
      <c r="A3423">
        <f ca="1">29749.6444406804*(RANDBETWEEN(2890,3282))</f>
        <v>90081923.3663802</v>
      </c>
      <c r="B3423">
        <v>210683614.6070022</v>
      </c>
    </row>
    <row r="3424" spans="1:2" x14ac:dyDescent="0.25">
      <c r="A3424">
        <f ca="1">31504.4612249565*(RANDBETWEEN(2890,3282))</f>
        <v>94103825.67894493</v>
      </c>
      <c r="B3424">
        <v>238112143.13777924</v>
      </c>
    </row>
    <row r="3425" spans="1:2" x14ac:dyDescent="0.25">
      <c r="A3425">
        <f ca="1">29499.859186799*(RANDBETWEEN(2890,3282))</f>
        <v>90741566.858593822</v>
      </c>
      <c r="B3425">
        <v>221743207.12620991</v>
      </c>
    </row>
    <row r="3426" spans="1:2" x14ac:dyDescent="0.25">
      <c r="A3426">
        <f ca="1">29040.0889808015*(RANDBETWEEN(2890,3282))</f>
        <v>89356353.793926075</v>
      </c>
      <c r="B3426">
        <v>249573463.59632534</v>
      </c>
    </row>
    <row r="3427" spans="1:2" x14ac:dyDescent="0.25">
      <c r="A3427">
        <f ca="1">28049.885707741*(RANDBETWEEN(2890,3282))</f>
        <v>83224010.89486742</v>
      </c>
      <c r="B3427">
        <v>232496271.50926721</v>
      </c>
    </row>
    <row r="3428" spans="1:2" x14ac:dyDescent="0.25">
      <c r="A3428">
        <f ca="1">26695.9291064447*(RANDBETWEEN(2890,3282))</f>
        <v>86441418.44666788</v>
      </c>
      <c r="B3428">
        <v>205404747.73260728</v>
      </c>
    </row>
    <row r="3429" spans="1:2" x14ac:dyDescent="0.25">
      <c r="A3429">
        <f ca="1">28163.6626113058*(RANDBETWEEN(2890,3282))</f>
        <v>83251786.679019853</v>
      </c>
      <c r="B3429">
        <v>205589130.58286229</v>
      </c>
    </row>
    <row r="3430" spans="1:2" x14ac:dyDescent="0.25">
      <c r="A3430">
        <f ca="1">30911.2783818173*(RANDBETWEEN(2890,3282))</f>
        <v>97061414.118906319</v>
      </c>
      <c r="B3430">
        <v>234953073.17881322</v>
      </c>
    </row>
    <row r="3431" spans="1:2" x14ac:dyDescent="0.25">
      <c r="A3431">
        <f ca="1">29324.4929169344*(RANDBETWEEN(2890,3282))</f>
        <v>91345795.436250582</v>
      </c>
      <c r="B3431">
        <v>252935166.56485662</v>
      </c>
    </row>
    <row r="3432" spans="1:2" x14ac:dyDescent="0.25">
      <c r="A3432">
        <f ca="1">34101.5392513156*(RANDBETWEEN(2890,3282))</f>
        <v>111614337.96955587</v>
      </c>
      <c r="B3432">
        <v>209674724.35868967</v>
      </c>
    </row>
    <row r="3433" spans="1:2" x14ac:dyDescent="0.25">
      <c r="A3433">
        <f ca="1">30355.4301209345*(RANDBETWEEN(2890,3282))</f>
        <v>94739297.407436699</v>
      </c>
      <c r="B3433">
        <v>240879043.21221438</v>
      </c>
    </row>
    <row r="3434" spans="1:2" x14ac:dyDescent="0.25">
      <c r="A3434">
        <f ca="1">33329.1321523436*(RANDBETWEEN(2890,3282))</f>
        <v>100720637.36438236</v>
      </c>
      <c r="B3434">
        <v>257968177.64315099</v>
      </c>
    </row>
    <row r="3435" spans="1:2" x14ac:dyDescent="0.25">
      <c r="A3435">
        <f ca="1">28198.031064813*(RANDBETWEEN(2890,3282))</f>
        <v>88513619.512448013</v>
      </c>
      <c r="B3435">
        <v>238783399.36546788</v>
      </c>
    </row>
    <row r="3436" spans="1:2" x14ac:dyDescent="0.25">
      <c r="A3436">
        <f ca="1">29073.5878992552*(RANDBETWEEN(2890,3282))</f>
        <v>91436433.943157688</v>
      </c>
      <c r="B3436">
        <v>204269506.48881653</v>
      </c>
    </row>
    <row r="3437" spans="1:2" x14ac:dyDescent="0.25">
      <c r="A3437">
        <f ca="1">27161.0338724811*(RANDBETWEEN(2890,3282))</f>
        <v>84633781.546651244</v>
      </c>
      <c r="B3437">
        <v>229247004.95454592</v>
      </c>
    </row>
    <row r="3438" spans="1:2" x14ac:dyDescent="0.25">
      <c r="A3438">
        <f ca="1">26644.9713888532*(RANDBETWEEN(2890,3282))</f>
        <v>86862606.727661386</v>
      </c>
      <c r="B3438">
        <v>210032688.17185086</v>
      </c>
    </row>
    <row r="3439" spans="1:2" x14ac:dyDescent="0.25">
      <c r="A3439">
        <f ca="1">31791.1111863814*(RANDBETWEEN(2890,3282))</f>
        <v>95532289.115076244</v>
      </c>
      <c r="B3439">
        <v>217064257.46754315</v>
      </c>
    </row>
    <row r="3440" spans="1:2" x14ac:dyDescent="0.25">
      <c r="A3440">
        <f ca="1">33242.8141334729*(RANDBETWEEN(2890,3282))</f>
        <v>98930614.861215562</v>
      </c>
      <c r="B3440">
        <v>225047099.43927804</v>
      </c>
    </row>
    <row r="3441" spans="1:2" x14ac:dyDescent="0.25">
      <c r="A3441">
        <f ca="1">27365.8409854428*(RANDBETWEEN(2890,3282))</f>
        <v>79525133.903696761</v>
      </c>
      <c r="B3441">
        <v>255267935.55415091</v>
      </c>
    </row>
    <row r="3442" spans="1:2" x14ac:dyDescent="0.25">
      <c r="A3442">
        <f ca="1">31387.2347673542*(RANDBETWEEN(2890,3282))</f>
        <v>98587304.404259488</v>
      </c>
      <c r="B3442">
        <v>210428591.40949932</v>
      </c>
    </row>
    <row r="3443" spans="1:2" x14ac:dyDescent="0.25">
      <c r="A3443">
        <f ca="1">28705.179169853*(RANDBETWEEN(2890,3282))</f>
        <v>92660318.360285446</v>
      </c>
      <c r="B3443">
        <v>225665222.1514957</v>
      </c>
    </row>
    <row r="3444" spans="1:2" x14ac:dyDescent="0.25">
      <c r="A3444">
        <f ca="1">30949.1269307348*(RANDBETWEEN(2890,3282))</f>
        <v>101575034.5866717</v>
      </c>
      <c r="B3444">
        <v>242049360.24076807</v>
      </c>
    </row>
    <row r="3445" spans="1:2" x14ac:dyDescent="0.25">
      <c r="A3445">
        <f ca="1">26985.6050339719*(RANDBETWEEN(2890,3282))</f>
        <v>85031641.462045521</v>
      </c>
      <c r="B3445">
        <v>221234161.09631324</v>
      </c>
    </row>
    <row r="3446" spans="1:2" x14ac:dyDescent="0.25">
      <c r="A3446">
        <f ca="1">31863.9677326645*(RANDBETWEEN(2890,3282))</f>
        <v>99192531.551784709</v>
      </c>
      <c r="B3446">
        <v>224504600.82347992</v>
      </c>
    </row>
    <row r="3447" spans="1:2" x14ac:dyDescent="0.25">
      <c r="A3447">
        <f ca="1">27648.9859300058*(RANDBETWEEN(2890,3282))</f>
        <v>86707219.876498237</v>
      </c>
      <c r="B3447">
        <v>209280261.57778373</v>
      </c>
    </row>
    <row r="3448" spans="1:2" x14ac:dyDescent="0.25">
      <c r="A3448">
        <f ca="1">30389.1109414386*(RANDBETWEEN(2890,3282))</f>
        <v>93081846.813626319</v>
      </c>
      <c r="B3448">
        <v>232773732.51486194</v>
      </c>
    </row>
    <row r="3449" spans="1:2" x14ac:dyDescent="0.25">
      <c r="A3449">
        <f ca="1">32905.4339416323*(RANDBETWEEN(2890,3282))</f>
        <v>101250020.23840266</v>
      </c>
      <c r="B3449">
        <v>248031686.06509703</v>
      </c>
    </row>
    <row r="3450" spans="1:2" x14ac:dyDescent="0.25">
      <c r="A3450">
        <f ca="1">32182.3821639322*(RANDBETWEEN(2890,3282))</f>
        <v>101277956.66989473</v>
      </c>
      <c r="B3450">
        <v>262933269.19015038</v>
      </c>
    </row>
    <row r="3451" spans="1:2" x14ac:dyDescent="0.25">
      <c r="A3451">
        <f ca="1">29699.2769414325*(RANDBETWEEN(2890,3282))</f>
        <v>86038805.299330041</v>
      </c>
      <c r="B3451">
        <v>229552071.76561221</v>
      </c>
    </row>
    <row r="3452" spans="1:2" x14ac:dyDescent="0.25">
      <c r="A3452">
        <f ca="1">29768.506605786*(RANDBETWEEN(2890,3282))</f>
        <v>93502879.248773798</v>
      </c>
      <c r="B3452">
        <v>247515724.54145208</v>
      </c>
    </row>
    <row r="3453" spans="1:2" x14ac:dyDescent="0.25">
      <c r="A3453">
        <f ca="1">28218.8612149557*(RANDBETWEEN(2890,3282))</f>
        <v>87817096.100942045</v>
      </c>
      <c r="B3453">
        <v>235508544.15258834</v>
      </c>
    </row>
    <row r="3454" spans="1:2" x14ac:dyDescent="0.25">
      <c r="A3454">
        <f ca="1">34968.7094699962*(RANDBETWEEN(2890,3282))</f>
        <v>107144125.81606846</v>
      </c>
      <c r="B3454">
        <v>212578880.48696402</v>
      </c>
    </row>
    <row r="3455" spans="1:2" x14ac:dyDescent="0.25">
      <c r="A3455">
        <f ca="1">29234.1785479378*(RANDBETWEEN(2890,3282))</f>
        <v>92204599.140195876</v>
      </c>
      <c r="B3455">
        <v>237896860.09009731</v>
      </c>
    </row>
    <row r="3456" spans="1:2" x14ac:dyDescent="0.25">
      <c r="A3456">
        <f ca="1">29278.0692423901*(RANDBETWEEN(2890,3282))</f>
        <v>89883672.574137658</v>
      </c>
      <c r="B3456">
        <v>254106299.65758494</v>
      </c>
    </row>
    <row r="3457" spans="1:2" x14ac:dyDescent="0.25">
      <c r="A3457">
        <f ca="1">29308.3893752451*(RANDBETWEEN(2890,3282))</f>
        <v>85697730.533216566</v>
      </c>
      <c r="B3457">
        <v>220227760.00241724</v>
      </c>
    </row>
    <row r="3458" spans="1:2" x14ac:dyDescent="0.25">
      <c r="A3458">
        <f ca="1">25787.5460973998*(RANDBETWEEN(2890,3282))</f>
        <v>79374066.88779673</v>
      </c>
      <c r="B3458">
        <v>258091190.47756097</v>
      </c>
    </row>
    <row r="3459" spans="1:2" x14ac:dyDescent="0.25">
      <c r="A3459">
        <f ca="1">27485.5208880066*(RANDBETWEEN(2890,3282))</f>
        <v>88365949.654941276</v>
      </c>
      <c r="B3459">
        <v>217311689.82091713</v>
      </c>
    </row>
    <row r="3460" spans="1:2" x14ac:dyDescent="0.25">
      <c r="A3460">
        <f ca="1">31767.1920131198*(RANDBETWEEN(2890,3282))</f>
        <v>102544495.8183507</v>
      </c>
      <c r="B3460">
        <v>237382740.54273343</v>
      </c>
    </row>
    <row r="3461" spans="1:2" x14ac:dyDescent="0.25">
      <c r="A3461">
        <f ca="1">32062.4115983011*(RANDBETWEEN(2890,3282))</f>
        <v>94936800.742569551</v>
      </c>
      <c r="B3461">
        <v>232429009.21934271</v>
      </c>
    </row>
    <row r="3462" spans="1:2" x14ac:dyDescent="0.25">
      <c r="A3462">
        <f ca="1">33101.7007937528*(RANDBETWEEN(2890,3282))</f>
        <v>107580527.57969646</v>
      </c>
      <c r="B3462">
        <v>250485850.80132064</v>
      </c>
    </row>
    <row r="3463" spans="1:2" x14ac:dyDescent="0.25">
      <c r="A3463">
        <f ca="1">28175.5440530246*(RANDBETWEEN(2890,3282))</f>
        <v>82582519.619415164</v>
      </c>
      <c r="B3463">
        <v>215789098.16426817</v>
      </c>
    </row>
    <row r="3464" spans="1:2" x14ac:dyDescent="0.25">
      <c r="A3464">
        <f ca="1">32890.1294234787*(RANDBETWEEN(2890,3282))</f>
        <v>95545825.975205705</v>
      </c>
      <c r="B3464">
        <v>266223633.30594009</v>
      </c>
    </row>
    <row r="3465" spans="1:2" x14ac:dyDescent="0.25">
      <c r="A3465">
        <f ca="1">30456.6616893532*(RANDBETWEEN(2890,3282))</f>
        <v>90760851.834272593</v>
      </c>
      <c r="B3465">
        <v>228694587.87136751</v>
      </c>
    </row>
    <row r="3466" spans="1:2" x14ac:dyDescent="0.25">
      <c r="A3466">
        <f ca="1">30955.0180271096*(RANDBETWEEN(2890,3282))</f>
        <v>100634763.60613342</v>
      </c>
      <c r="B3466">
        <v>217441257.55692449</v>
      </c>
    </row>
    <row r="3467" spans="1:2" x14ac:dyDescent="0.25">
      <c r="A3467">
        <f ca="1">34620.7367105951*(RANDBETWEEN(2890,3282))</f>
        <v>106908834.96231766</v>
      </c>
      <c r="B3467">
        <v>255192633.26396331</v>
      </c>
    </row>
    <row r="3468" spans="1:2" x14ac:dyDescent="0.25">
      <c r="A3468">
        <f ca="1">26055.8012345468*(RANDBETWEEN(2890,3282))</f>
        <v>78454017.517220512</v>
      </c>
      <c r="B3468">
        <v>256688110.89613783</v>
      </c>
    </row>
    <row r="3469" spans="1:2" x14ac:dyDescent="0.25">
      <c r="A3469">
        <f ca="1">28872.1659618713*(RANDBETWEEN(2890,3282))</f>
        <v>88060106.18370761</v>
      </c>
      <c r="B3469">
        <v>229758729.23988822</v>
      </c>
    </row>
    <row r="3470" spans="1:2" x14ac:dyDescent="0.25">
      <c r="A3470">
        <f ca="1">29971.7778325748*(RANDBETWEEN(2890,3282))</f>
        <v>95100451.062759727</v>
      </c>
      <c r="B3470">
        <v>223248967.49325123</v>
      </c>
    </row>
    <row r="3471" spans="1:2" x14ac:dyDescent="0.25">
      <c r="A3471">
        <f ca="1">32139.9922092851*(RANDBETWEEN(2890,3282))</f>
        <v>102815835.07750309</v>
      </c>
      <c r="B3471">
        <v>251388955.53494316</v>
      </c>
    </row>
    <row r="3472" spans="1:2" x14ac:dyDescent="0.25">
      <c r="A3472">
        <f ca="1">27018.9903675076*(RANDBETWEEN(2890,3282))</f>
        <v>80543610.285540223</v>
      </c>
      <c r="B3472">
        <v>208851531.03080338</v>
      </c>
    </row>
    <row r="3473" spans="1:2" x14ac:dyDescent="0.25">
      <c r="A3473">
        <f ca="1">30780.0028529932*(RANDBETWEEN(2890,3282))</f>
        <v>94186808.730159149</v>
      </c>
      <c r="B3473">
        <v>237670687.19601995</v>
      </c>
    </row>
    <row r="3474" spans="1:2" x14ac:dyDescent="0.25">
      <c r="A3474">
        <f ca="1">26739.6211027729*(RANDBETWEEN(2890,3282))</f>
        <v>84283285.715940103</v>
      </c>
      <c r="B3474">
        <v>220338614.02599949</v>
      </c>
    </row>
    <row r="3475" spans="1:2" x14ac:dyDescent="0.25">
      <c r="A3475">
        <f ca="1">29850.1280270847*(RANDBETWEEN(2890,3282))</f>
        <v>87490725.247385204</v>
      </c>
      <c r="B3475">
        <v>244225922.4191573</v>
      </c>
    </row>
    <row r="3476" spans="1:2" x14ac:dyDescent="0.25">
      <c r="A3476">
        <f ca="1">27047.9514308577*(RANDBETWEEN(2890,3282))</f>
        <v>86742780.238760546</v>
      </c>
      <c r="B3476">
        <v>246027329.97861779</v>
      </c>
    </row>
    <row r="3477" spans="1:2" x14ac:dyDescent="0.25">
      <c r="A3477">
        <f ca="1">31445.2756664737*(RANDBETWEEN(2890,3282))</f>
        <v>97417464.014735594</v>
      </c>
      <c r="B3477">
        <v>242165969.16714099</v>
      </c>
    </row>
    <row r="3478" spans="1:2" x14ac:dyDescent="0.25">
      <c r="A3478">
        <f ca="1">27402.3064419883*(RANDBETWEEN(2890,3282))</f>
        <v>84015471.551136062</v>
      </c>
      <c r="B3478">
        <v>254567455.11149418</v>
      </c>
    </row>
    <row r="3479" spans="1:2" x14ac:dyDescent="0.25">
      <c r="A3479">
        <f ca="1">30690.0879486974*(RANDBETWEEN(2890,3282))</f>
        <v>92315784.549681634</v>
      </c>
      <c r="B3479">
        <v>216404310.62259045</v>
      </c>
    </row>
    <row r="3480" spans="1:2" x14ac:dyDescent="0.25">
      <c r="A3480">
        <f ca="1">33604.9084759649*(RANDBETWEEN(2890,3282))</f>
        <v>98966455.461716488</v>
      </c>
      <c r="B3480">
        <v>215948840.09034443</v>
      </c>
    </row>
    <row r="3481" spans="1:2" x14ac:dyDescent="0.25">
      <c r="A3481">
        <f ca="1">33364.3127968272*(RANDBETWEEN(2890,3282))</f>
        <v>96556321.234017968</v>
      </c>
      <c r="B3481">
        <v>210680966.13591909</v>
      </c>
    </row>
    <row r="3482" spans="1:2" x14ac:dyDescent="0.25">
      <c r="A3482">
        <f ca="1">27427.7212470203*(RANDBETWEEN(2890,3282))</f>
        <v>86699026.861831114</v>
      </c>
      <c r="B3482">
        <v>253632948.2545757</v>
      </c>
    </row>
    <row r="3483" spans="1:2" x14ac:dyDescent="0.25">
      <c r="A3483">
        <f ca="1">30463.5432822035*(RANDBETWEEN(2890,3282))</f>
        <v>92517780.948052064</v>
      </c>
      <c r="B3483">
        <v>264153984.11852497</v>
      </c>
    </row>
    <row r="3484" spans="1:2" x14ac:dyDescent="0.25">
      <c r="A3484">
        <f ca="1">31252.3478159632*(RANDBETWEEN(2890,3282))</f>
        <v>92975734.752490655</v>
      </c>
      <c r="B3484">
        <v>210604215.85101941</v>
      </c>
    </row>
    <row r="3485" spans="1:2" x14ac:dyDescent="0.25">
      <c r="A3485">
        <f ca="1">33145.6625898716*(RANDBETWEEN(2890,3282))</f>
        <v>107093635.82787502</v>
      </c>
      <c r="B3485">
        <v>208051532.9067575</v>
      </c>
    </row>
    <row r="3486" spans="1:2" x14ac:dyDescent="0.25">
      <c r="A3486">
        <f ca="1">28423.5436821846*(RANDBETWEEN(2890,3282))</f>
        <v>88823574.006827027</v>
      </c>
      <c r="B3486">
        <v>228059887.06319231</v>
      </c>
    </row>
    <row r="3487" spans="1:2" x14ac:dyDescent="0.25">
      <c r="A3487">
        <f ca="1">31163.21107402*(RANDBETWEEN(2890,3282))</f>
        <v>93489633.222060144</v>
      </c>
      <c r="B3487">
        <v>244228881.72730988</v>
      </c>
    </row>
    <row r="3488" spans="1:2" x14ac:dyDescent="0.25">
      <c r="A3488">
        <f ca="1">32210.4256225676*(RANDBETWEEN(2890,3282))</f>
        <v>99852319.429959431</v>
      </c>
      <c r="B3488">
        <v>261268961.90839419</v>
      </c>
    </row>
    <row r="3489" spans="1:2" x14ac:dyDescent="0.25">
      <c r="A3489">
        <f ca="1">26924.2008499563*(RANDBETWEEN(2890,3282))</f>
        <v>83949658.250163883</v>
      </c>
      <c r="B3489">
        <v>209406786.53356907</v>
      </c>
    </row>
    <row r="3490" spans="1:2" x14ac:dyDescent="0.25">
      <c r="A3490">
        <f ca="1">31349.0060491428*(RANDBETWEEN(2890,3282))</f>
        <v>97213267.758391678</v>
      </c>
      <c r="B3490">
        <v>248241861.02440712</v>
      </c>
    </row>
    <row r="3491" spans="1:2" x14ac:dyDescent="0.25">
      <c r="A3491">
        <f ca="1">27152.6976064375*(RANDBETWEEN(2890,3282))</f>
        <v>81675314.400163889</v>
      </c>
      <c r="B3491">
        <v>215304256.62183705</v>
      </c>
    </row>
    <row r="3492" spans="1:2" x14ac:dyDescent="0.25">
      <c r="A3492">
        <f ca="1">28152.0117394407*(RANDBETWEEN(2890,3282))</f>
        <v>82063114.220469639</v>
      </c>
      <c r="B3492">
        <v>242436784.33215457</v>
      </c>
    </row>
    <row r="3493" spans="1:2" x14ac:dyDescent="0.25">
      <c r="A3493">
        <f ca="1">31414.2173645596*(RANDBETWEEN(2890,3282))</f>
        <v>95185078.614615679</v>
      </c>
      <c r="B3493">
        <v>250913822.87057146</v>
      </c>
    </row>
    <row r="3494" spans="1:2" x14ac:dyDescent="0.25">
      <c r="A3494">
        <f ca="1">27297.2278275204*(RANDBETWEEN(2890,3282))</f>
        <v>78916285.649361476</v>
      </c>
      <c r="B3494">
        <v>258481749.0853855</v>
      </c>
    </row>
    <row r="3495" spans="1:2" x14ac:dyDescent="0.25">
      <c r="A3495">
        <f ca="1">30171.1789109268*(RANDBETWEEN(2890,3282))</f>
        <v>88823950.713768482</v>
      </c>
      <c r="B3495">
        <v>262575434.87069136</v>
      </c>
    </row>
    <row r="3496" spans="1:2" x14ac:dyDescent="0.25">
      <c r="A3496">
        <f ca="1">27163.2953221461*(RANDBETWEEN(2890,3282))</f>
        <v>87683117.299887612</v>
      </c>
      <c r="B3496">
        <v>246796359.00280446</v>
      </c>
    </row>
    <row r="3497" spans="1:2" x14ac:dyDescent="0.25">
      <c r="A3497">
        <f ca="1">27380.6011307294*(RANDBETWEEN(2890,3282))</f>
        <v>82552512.4091492</v>
      </c>
      <c r="B3497">
        <v>238911065.18839473</v>
      </c>
    </row>
    <row r="3498" spans="1:2" x14ac:dyDescent="0.25">
      <c r="A3498">
        <f ca="1">29831.8865247619*(RANDBETWEEN(2890,3282))</f>
        <v>93970442.553000018</v>
      </c>
      <c r="B3498">
        <v>237123451.25920022</v>
      </c>
    </row>
    <row r="3499" spans="1:2" x14ac:dyDescent="0.25">
      <c r="A3499">
        <f ca="1">31974.2177732583*(RANDBETWEEN(2890,3282))</f>
        <v>97169647.81293188</v>
      </c>
      <c r="B3499">
        <v>261081239.61810523</v>
      </c>
    </row>
    <row r="3500" spans="1:2" x14ac:dyDescent="0.25">
      <c r="A3500">
        <f ca="1">28859.1701296109*(RANDBETWEEN(2890,3282))</f>
        <v>90992963.418663204</v>
      </c>
      <c r="B3500">
        <v>220829754.34273303</v>
      </c>
    </row>
    <row r="3501" spans="1:2" x14ac:dyDescent="0.25">
      <c r="A3501">
        <f ca="1">30132.8779170266*(RANDBETWEEN(2890,3282))</f>
        <v>91061557.065254405</v>
      </c>
      <c r="B3501">
        <v>220386995.01340801</v>
      </c>
    </row>
    <row r="3502" spans="1:2" x14ac:dyDescent="0.25">
      <c r="A3502">
        <f ca="1">29761.1522527198*(RANDBETWEEN(2890,3282))</f>
        <v>90027485.564477488</v>
      </c>
      <c r="B3502">
        <v>267387529.20418105</v>
      </c>
    </row>
    <row r="3503" spans="1:2" x14ac:dyDescent="0.25">
      <c r="A3503">
        <f ca="1">30596.5941345131*(RANDBETWEEN(2890,3282))</f>
        <v>97541942.100827873</v>
      </c>
      <c r="B3503">
        <v>262955784.93745998</v>
      </c>
    </row>
    <row r="3504" spans="1:2" x14ac:dyDescent="0.25">
      <c r="A3504">
        <f ca="1">27559.7504773512*(RANDBETWEEN(2890,3282))</f>
        <v>86758094.502701566</v>
      </c>
      <c r="B3504">
        <v>207807326.4548012</v>
      </c>
    </row>
    <row r="3505" spans="1:2" x14ac:dyDescent="0.25">
      <c r="A3505">
        <f ca="1">26498.4026463874*(RANDBETWEEN(2890,3282))</f>
        <v>77905303.780378863</v>
      </c>
      <c r="B3505">
        <v>246602561.82730639</v>
      </c>
    </row>
    <row r="3506" spans="1:2" x14ac:dyDescent="0.25">
      <c r="A3506">
        <f ca="1">26683.6703156639*(RANDBETWEEN(2890,3282))</f>
        <v>79010347.80468069</v>
      </c>
      <c r="B3506">
        <v>250654360.53397882</v>
      </c>
    </row>
    <row r="3507" spans="1:2" x14ac:dyDescent="0.25">
      <c r="A3507">
        <f ca="1">33238.1965961942*(RANDBETWEEN(2890,3282))</f>
        <v>103636696.98693341</v>
      </c>
      <c r="B3507">
        <v>234069344.94992638</v>
      </c>
    </row>
    <row r="3508" spans="1:2" x14ac:dyDescent="0.25">
      <c r="A3508">
        <f ca="1">27475.9931024057*(RANDBETWEEN(2890,3282))</f>
        <v>88774933.713872671</v>
      </c>
      <c r="B3508">
        <v>206550889.01642692</v>
      </c>
    </row>
    <row r="3509" spans="1:2" x14ac:dyDescent="0.25">
      <c r="A3509">
        <f ca="1">27215.0223515498*(RANDBETWEEN(2890,3282))</f>
        <v>79631155.400634602</v>
      </c>
      <c r="B3509">
        <v>235296774.19377369</v>
      </c>
    </row>
    <row r="3510" spans="1:2" x14ac:dyDescent="0.25">
      <c r="A3510">
        <f ca="1">29153.5229329339*(RANDBETWEEN(2890,3282))</f>
        <v>94020111.458711728</v>
      </c>
      <c r="B3510">
        <v>220983779.32348001</v>
      </c>
    </row>
    <row r="3511" spans="1:2" x14ac:dyDescent="0.25">
      <c r="A3511">
        <f ca="1">31500.0262201883*(RANDBETWEEN(2890,3282))</f>
        <v>97839081.439905018</v>
      </c>
      <c r="B3511">
        <v>245307198.83046657</v>
      </c>
    </row>
    <row r="3512" spans="1:2" x14ac:dyDescent="0.25">
      <c r="A3512">
        <f ca="1">32511.4788395329*(RANDBETWEEN(2890,3282))</f>
        <v>99745217.079686895</v>
      </c>
      <c r="B3512">
        <v>261051953.27743518</v>
      </c>
    </row>
    <row r="3513" spans="1:2" x14ac:dyDescent="0.25">
      <c r="A3513">
        <f ca="1">25595.8248395322*(RANDBETWEEN(2890,3282))</f>
        <v>75763641.525015324</v>
      </c>
      <c r="B3513">
        <v>206989988.37956262</v>
      </c>
    </row>
    <row r="3514" spans="1:2" x14ac:dyDescent="0.25">
      <c r="A3514">
        <f ca="1">29012.2410301764*(RANDBETWEEN(2890,3282))</f>
        <v>88893506.516460404</v>
      </c>
      <c r="B3514">
        <v>203925316.46154904</v>
      </c>
    </row>
    <row r="3515" spans="1:2" x14ac:dyDescent="0.25">
      <c r="A3515">
        <f ca="1">28748.4008262228*(RANDBETWEEN(2890,3282))</f>
        <v>87768867.722458184</v>
      </c>
      <c r="B3515">
        <v>217643767.10033497</v>
      </c>
    </row>
    <row r="3516" spans="1:2" x14ac:dyDescent="0.25">
      <c r="A3516">
        <f ca="1">27045.2662627782*(RANDBETWEEN(2890,3282))</f>
        <v>78972177.487312481</v>
      </c>
      <c r="B3516">
        <v>243048063.31943774</v>
      </c>
    </row>
    <row r="3517" spans="1:2" x14ac:dyDescent="0.25">
      <c r="A3517">
        <f ca="1">31663.4318077776*(RANDBETWEEN(2890,3282))</f>
        <v>102304548.17092927</v>
      </c>
      <c r="B3517">
        <v>254677112.48727831</v>
      </c>
    </row>
    <row r="3518" spans="1:2" x14ac:dyDescent="0.25">
      <c r="A3518">
        <f ca="1">27737.9012144317*(RANDBETWEEN(2890,3282))</f>
        <v>90203654.749331996</v>
      </c>
      <c r="B3518">
        <v>224654284.10682142</v>
      </c>
    </row>
    <row r="3519" spans="1:2" x14ac:dyDescent="0.25">
      <c r="A3519">
        <f ca="1">31764.0265333361*(RANDBETWEEN(2890,3282))</f>
        <v>97579089.510408372</v>
      </c>
      <c r="B3519">
        <v>250916885.66217092</v>
      </c>
    </row>
    <row r="3520" spans="1:2" x14ac:dyDescent="0.25">
      <c r="A3520">
        <f ca="1">28555.9796735126*(RANDBETWEEN(2890,3282))</f>
        <v>89208880.500053495</v>
      </c>
      <c r="B3520">
        <v>230229226.94667053</v>
      </c>
    </row>
    <row r="3521" spans="1:2" x14ac:dyDescent="0.25">
      <c r="A3521">
        <f ca="1">28753.7372832531*(RANDBETWEEN(2890,3282))</f>
        <v>84075927.816231996</v>
      </c>
      <c r="B3521">
        <v>206394526.1293824</v>
      </c>
    </row>
    <row r="3522" spans="1:2" x14ac:dyDescent="0.25">
      <c r="A3522">
        <f ca="1">31525.6883405486*(RANDBETWEEN(2890,3282))</f>
        <v>99179815.519365966</v>
      </c>
      <c r="B3522">
        <v>221432642.25567999</v>
      </c>
    </row>
    <row r="3523" spans="1:2" x14ac:dyDescent="0.25">
      <c r="A3523">
        <f ca="1">27227.4629668239*(RANDBETWEEN(2890,3282))</f>
        <v>86147692.827030927</v>
      </c>
      <c r="B3523">
        <v>207110250.71076804</v>
      </c>
    </row>
    <row r="3524" spans="1:2" x14ac:dyDescent="0.25">
      <c r="A3524">
        <f ca="1">30833.3880014255*(RANDBETWEEN(2890,3282))</f>
        <v>98389341.112548634</v>
      </c>
      <c r="B3524">
        <v>244942914.47987059</v>
      </c>
    </row>
    <row r="3525" spans="1:2" x14ac:dyDescent="0.25">
      <c r="A3525">
        <f ca="1">32240.9947288556*(RANDBETWEEN(2890,3282))</f>
        <v>93724571.676783189</v>
      </c>
      <c r="B3525">
        <v>203875712.43472567</v>
      </c>
    </row>
    <row r="3526" spans="1:2" x14ac:dyDescent="0.25">
      <c r="A3526">
        <f ca="1">29678.4383759404*(RANDBETWEEN(2890,3282))</f>
        <v>87581071.64740023</v>
      </c>
      <c r="B3526">
        <v>255073902.8162995</v>
      </c>
    </row>
    <row r="3527" spans="1:2" x14ac:dyDescent="0.25">
      <c r="A3527">
        <f ca="1">28884.2498151229*(RANDBETWEEN(2890,3282))</f>
        <v>90263280.672259107</v>
      </c>
      <c r="B3527">
        <v>236693109.82097554</v>
      </c>
    </row>
    <row r="3528" spans="1:2" x14ac:dyDescent="0.25">
      <c r="A3528">
        <f ca="1">28606.1627355441*(RANDBETWEEN(2890,3282))</f>
        <v>90195231.105170637</v>
      </c>
      <c r="B3528">
        <v>229341433.40261334</v>
      </c>
    </row>
    <row r="3529" spans="1:2" x14ac:dyDescent="0.25">
      <c r="A3529">
        <f ca="1">28426.1025075084*(RANDBETWEEN(2890,3282))</f>
        <v>86187942.802765504</v>
      </c>
      <c r="B3529">
        <v>248125851.092897</v>
      </c>
    </row>
    <row r="3530" spans="1:2" x14ac:dyDescent="0.25">
      <c r="A3530">
        <f ca="1">27953.4338399439*(RANDBETWEEN(2890,3282))</f>
        <v>88304897.50038296</v>
      </c>
      <c r="B3530">
        <v>221902155.94331318</v>
      </c>
    </row>
    <row r="3531" spans="1:2" x14ac:dyDescent="0.25">
      <c r="A3531">
        <f ca="1">31054.8138180335*(RANDBETWEEN(2890,3282))</f>
        <v>94686127.331184253</v>
      </c>
      <c r="B3531">
        <v>250800370.07352304</v>
      </c>
    </row>
    <row r="3532" spans="1:2" x14ac:dyDescent="0.25">
      <c r="A3532">
        <f ca="1">29342.062349784*(RANDBETWEEN(2890,3282))</f>
        <v>94862887.576851726</v>
      </c>
      <c r="B3532">
        <v>262364937.48526445</v>
      </c>
    </row>
    <row r="3533" spans="1:2" x14ac:dyDescent="0.25">
      <c r="A3533">
        <f ca="1">30769.8229184475*(RANDBETWEEN(2890,3282))</f>
        <v>94555665.828389078</v>
      </c>
      <c r="B3533">
        <v>253507067.72857267</v>
      </c>
    </row>
    <row r="3534" spans="1:2" x14ac:dyDescent="0.25">
      <c r="A3534">
        <f ca="1">27853.3712577863*(RANDBETWEEN(2890,3282))</f>
        <v>87960946.432089165</v>
      </c>
      <c r="B3534">
        <v>243795312.16462743</v>
      </c>
    </row>
    <row r="3535" spans="1:2" x14ac:dyDescent="0.25">
      <c r="A3535">
        <f ca="1">28103.4637701587*(RANDBETWEEN(2890,3282))</f>
        <v>87795220.817975879</v>
      </c>
      <c r="B3535">
        <v>231360631.46333605</v>
      </c>
    </row>
    <row r="3536" spans="1:2" x14ac:dyDescent="0.25">
      <c r="A3536">
        <f ca="1">29388.8490183735*(RANDBETWEEN(2890,3282))</f>
        <v>96160313.988118127</v>
      </c>
      <c r="B3536">
        <v>243496530.55860126</v>
      </c>
    </row>
    <row r="3537" spans="1:2" x14ac:dyDescent="0.25">
      <c r="A3537">
        <f ca="1">32146.7444360777*(RANDBETWEEN(2890,3282))</f>
        <v>95765151.675075531</v>
      </c>
      <c r="B3537">
        <v>222038920.60130975</v>
      </c>
    </row>
    <row r="3538" spans="1:2" x14ac:dyDescent="0.25">
      <c r="A3538">
        <f ca="1">27847.7417007485*(RANDBETWEEN(2890,3282))</f>
        <v>86606476.689327717</v>
      </c>
      <c r="B3538">
        <v>213135032.41339475</v>
      </c>
    </row>
    <row r="3539" spans="1:2" x14ac:dyDescent="0.25">
      <c r="A3539">
        <f ca="1">29818.2162621276*(RANDBETWEEN(2890,3282))</f>
        <v>91482287.492207348</v>
      </c>
      <c r="B3539">
        <v>212448104.74276367</v>
      </c>
    </row>
    <row r="3540" spans="1:2" x14ac:dyDescent="0.25">
      <c r="A3540">
        <f ca="1">31422.1383959531*(RANDBETWEEN(2890,3282))</f>
        <v>100362310.03667422</v>
      </c>
      <c r="B3540">
        <v>258415822.22196183</v>
      </c>
    </row>
    <row r="3541" spans="1:2" x14ac:dyDescent="0.25">
      <c r="A3541">
        <f ca="1">30854.126873341*(RANDBETWEEN(2890,3282))</f>
        <v>91914443.955682859</v>
      </c>
      <c r="B3541">
        <v>256261474.55688971</v>
      </c>
    </row>
    <row r="3542" spans="1:2" x14ac:dyDescent="0.25">
      <c r="A3542">
        <f ca="1">30466.308449965*(RANDBETWEEN(2890,3282))</f>
        <v>94049494.185042009</v>
      </c>
      <c r="B3542">
        <v>236476454.86521485</v>
      </c>
    </row>
    <row r="3543" spans="1:2" x14ac:dyDescent="0.25">
      <c r="A3543">
        <f ca="1">29215.9064285892*(RANDBETWEEN(2890,3282))</f>
        <v>91562650.747198686</v>
      </c>
      <c r="B3543">
        <v>215061227.26137978</v>
      </c>
    </row>
    <row r="3544" spans="1:2" x14ac:dyDescent="0.25">
      <c r="A3544">
        <f ca="1">30400.1356227645*(RANDBETWEEN(2890,3282))</f>
        <v>93784418.396228343</v>
      </c>
      <c r="B3544">
        <v>239926854.46419027</v>
      </c>
    </row>
    <row r="3545" spans="1:2" x14ac:dyDescent="0.25">
      <c r="A3545">
        <f ca="1">26441.3874066126*(RANDBETWEEN(2890,3282))</f>
        <v>82999515.069357008</v>
      </c>
      <c r="B3545">
        <v>236501313.08698696</v>
      </c>
    </row>
    <row r="3546" spans="1:2" x14ac:dyDescent="0.25">
      <c r="A3546">
        <f ca="1">28325.2399475906*(RANDBETWEEN(2890,3282))</f>
        <v>92850136.548202083</v>
      </c>
      <c r="B3546">
        <v>217642943.54411936</v>
      </c>
    </row>
    <row r="3547" spans="1:2" x14ac:dyDescent="0.25">
      <c r="A3547">
        <f ca="1">27332.0798307604*(RANDBETWEEN(2890,3282))</f>
        <v>86642693.063510567</v>
      </c>
      <c r="B3547">
        <v>213532911.83539936</v>
      </c>
    </row>
    <row r="3548" spans="1:2" x14ac:dyDescent="0.25">
      <c r="A3548">
        <f ca="1">30670.8592617318*(RANDBETWEEN(2890,3282))</f>
        <v>99772305.17841351</v>
      </c>
      <c r="B3548">
        <v>246426957.88228455</v>
      </c>
    </row>
    <row r="3549" spans="1:2" x14ac:dyDescent="0.25">
      <c r="A3549">
        <f ca="1">28597.9789690957*(RANDBETWEEN(2890,3282))</f>
        <v>84564223.811615914</v>
      </c>
      <c r="B3549">
        <v>264507547.36827159</v>
      </c>
    </row>
    <row r="3550" spans="1:2" x14ac:dyDescent="0.25">
      <c r="A3550">
        <f ca="1">28847.12879026*(RANDBETWEEN(2890,3282))</f>
        <v>90262665.984723523</v>
      </c>
      <c r="B3550">
        <v>214007189.78937164</v>
      </c>
    </row>
    <row r="3551" spans="1:2" x14ac:dyDescent="0.25">
      <c r="A3551">
        <f ca="1">28704.9511777014*(RANDBETWEEN(2890,3282))</f>
        <v>87090821.873146087</v>
      </c>
      <c r="B3551">
        <v>243131785.87455055</v>
      </c>
    </row>
    <row r="3552" spans="1:2" x14ac:dyDescent="0.25">
      <c r="A3552">
        <f ca="1">29200.3565477476*(RANDBETWEEN(2890,3282))</f>
        <v>87747071.425981626</v>
      </c>
      <c r="B3552">
        <v>237101510.85447055</v>
      </c>
    </row>
    <row r="3553" spans="1:2" x14ac:dyDescent="0.25">
      <c r="A3553">
        <f ca="1">26266.8019764238*(RANDBETWEEN(2890,3282))</f>
        <v>84237633.93839106</v>
      </c>
      <c r="B3553">
        <v>219707704.76783943</v>
      </c>
    </row>
    <row r="3554" spans="1:2" x14ac:dyDescent="0.25">
      <c r="A3554">
        <f ca="1">31331.2490177862*(RANDBETWEEN(2890,3282))</f>
        <v>100698634.34316488</v>
      </c>
      <c r="B3554">
        <v>258030170.34895906</v>
      </c>
    </row>
    <row r="3555" spans="1:2" x14ac:dyDescent="0.25">
      <c r="A3555">
        <f ca="1">28008.5199818263*(RANDBETWEEN(2890,3282))</f>
        <v>87358573.823316172</v>
      </c>
      <c r="B3555">
        <v>213828467.62232161</v>
      </c>
    </row>
    <row r="3556" spans="1:2" x14ac:dyDescent="0.25">
      <c r="A3556">
        <f ca="1">29855.0086404673*(RANDBETWEEN(2890,3282))</f>
        <v>92341541.724965408</v>
      </c>
      <c r="B3556">
        <v>208040138.77586859</v>
      </c>
    </row>
    <row r="3557" spans="1:2" x14ac:dyDescent="0.25">
      <c r="A3557">
        <f ca="1">32219.411190957*(RANDBETWEEN(2890,3282))</f>
        <v>98559178.833137438</v>
      </c>
      <c r="B3557">
        <v>252401533.34946996</v>
      </c>
    </row>
    <row r="3558" spans="1:2" x14ac:dyDescent="0.25">
      <c r="A3558">
        <f ca="1">30426.4540965588*(RANDBETWEEN(2890,3282))</f>
        <v>89179936.95701398</v>
      </c>
      <c r="B3558">
        <v>246349951.21677652</v>
      </c>
    </row>
    <row r="3559" spans="1:2" x14ac:dyDescent="0.25">
      <c r="A3559">
        <f ca="1">32354.0244412724*(RANDBETWEEN(2890,3282))</f>
        <v>100847494.18344623</v>
      </c>
      <c r="B3559">
        <v>264646180.7675932</v>
      </c>
    </row>
    <row r="3560" spans="1:2" x14ac:dyDescent="0.25">
      <c r="A3560">
        <f ca="1">30893.7015370977*(RANDBETWEEN(2890,3282))</f>
        <v>97654990.558765918</v>
      </c>
      <c r="B3560">
        <v>233812851.10515648</v>
      </c>
    </row>
    <row r="3561" spans="1:2" x14ac:dyDescent="0.25">
      <c r="A3561">
        <f ca="1">26641.0997944763*(RANDBETWEEN(2890,3282))</f>
        <v>86290522.234308854</v>
      </c>
      <c r="B3561">
        <v>216734215.54058376</v>
      </c>
    </row>
    <row r="3562" spans="1:2" x14ac:dyDescent="0.25">
      <c r="A3562">
        <f ca="1">33425.6684008672*(RANDBETWEEN(2890,3282))</f>
        <v>104822896.10511945</v>
      </c>
      <c r="B3562">
        <v>252372019.28370726</v>
      </c>
    </row>
    <row r="3563" spans="1:2" x14ac:dyDescent="0.25">
      <c r="A3563">
        <f ca="1">30522.6707157047*(RANDBETWEEN(2890,3282))</f>
        <v>92849964.317173675</v>
      </c>
      <c r="B3563">
        <v>211887691.69242501</v>
      </c>
    </row>
    <row r="3564" spans="1:2" x14ac:dyDescent="0.25">
      <c r="A3564">
        <f ca="1">27972.4451444207*(RANDBETWEEN(2890,3282))</f>
        <v>90099245.810179099</v>
      </c>
      <c r="B3564">
        <v>262774876.99249443</v>
      </c>
    </row>
    <row r="3565" spans="1:2" x14ac:dyDescent="0.25">
      <c r="A3565">
        <f ca="1">33522.5032495552*(RANDBETWEEN(2890,3282))</f>
        <v>101439094.83315396</v>
      </c>
      <c r="B3565">
        <v>219780080.52936184</v>
      </c>
    </row>
    <row r="3566" spans="1:2" x14ac:dyDescent="0.25">
      <c r="A3566">
        <f ca="1">29813.5857850004*(RANDBETWEEN(2890,3282))</f>
        <v>97400984.759596169</v>
      </c>
      <c r="B3566">
        <v>227299880.33643439</v>
      </c>
    </row>
    <row r="3567" spans="1:2" x14ac:dyDescent="0.25">
      <c r="A3567">
        <f ca="1">30065.9920196311*(RANDBETWEEN(2890,3282))</f>
        <v>91340483.75563924</v>
      </c>
      <c r="B3567">
        <v>234211345.10067657</v>
      </c>
    </row>
    <row r="3568" spans="1:2" x14ac:dyDescent="0.25">
      <c r="A3568">
        <f ca="1">26215.3416664633*(RANDBETWEEN(2890,3282))</f>
        <v>81634573.949366808</v>
      </c>
      <c r="B3568">
        <v>216051504.02430996</v>
      </c>
    </row>
    <row r="3569" spans="1:2" x14ac:dyDescent="0.25">
      <c r="A3569">
        <f ca="1">33596.6589155667*(RANDBETWEEN(2890,3282))</f>
        <v>98774177.211766213</v>
      </c>
      <c r="B3569">
        <v>211575302.42062467</v>
      </c>
    </row>
    <row r="3570" spans="1:2" x14ac:dyDescent="0.25">
      <c r="A3570">
        <f ca="1">30612.4563451173*(RANDBETWEEN(2890,3282))</f>
        <v>94010853.43585518</v>
      </c>
      <c r="B3570">
        <v>260254008.6592586</v>
      </c>
    </row>
    <row r="3571" spans="1:2" x14ac:dyDescent="0.25">
      <c r="A3571">
        <f ca="1">28485.1483933934*(RANDBETWEEN(2890,3282))</f>
        <v>85512415.476967007</v>
      </c>
      <c r="B3571">
        <v>253686371.42594355</v>
      </c>
    </row>
    <row r="3572" spans="1:2" x14ac:dyDescent="0.25">
      <c r="A3572">
        <f ca="1">28401.3284579676*(RANDBETWEEN(2890,3282))</f>
        <v>86567249.139885321</v>
      </c>
      <c r="B3572">
        <v>266985516.08939922</v>
      </c>
    </row>
    <row r="3573" spans="1:2" x14ac:dyDescent="0.25">
      <c r="A3573">
        <f ca="1">32180.1462027546*(RANDBETWEEN(2890,3282))</f>
        <v>96347357.731047273</v>
      </c>
      <c r="B3573">
        <v>233848635.38955447</v>
      </c>
    </row>
    <row r="3574" spans="1:2" x14ac:dyDescent="0.25">
      <c r="A3574">
        <f ca="1">32183.3240335166*(RANDBETWEEN(2890,3282))</f>
        <v>104467069.81279492</v>
      </c>
      <c r="B3574">
        <v>256674062.46818331</v>
      </c>
    </row>
    <row r="3575" spans="1:2" x14ac:dyDescent="0.25">
      <c r="A3575">
        <f ca="1">33250.9982172046*(RANDBETWEEN(2890,3282))</f>
        <v>102911839.48224814</v>
      </c>
      <c r="B3575">
        <v>219070645.7109288</v>
      </c>
    </row>
    <row r="3576" spans="1:2" x14ac:dyDescent="0.25">
      <c r="A3576">
        <f ca="1">28519.2626346287*(RANDBETWEEN(2890,3282))</f>
        <v>89008618.682676107</v>
      </c>
      <c r="B3576">
        <v>230110984.38398051</v>
      </c>
    </row>
    <row r="3577" spans="1:2" x14ac:dyDescent="0.25">
      <c r="A3577">
        <f ca="1">25054.5539499118*(RANDBETWEEN(2890,3282))</f>
        <v>72833588.332393706</v>
      </c>
      <c r="B3577">
        <v>207583025.48198292</v>
      </c>
    </row>
    <row r="3578" spans="1:2" x14ac:dyDescent="0.25">
      <c r="A3578">
        <f ca="1">27591.4914499742*(RANDBETWEEN(2890,3282))</f>
        <v>89368840.80646646</v>
      </c>
      <c r="B3578">
        <v>231828720.50575069</v>
      </c>
    </row>
    <row r="3579" spans="1:2" x14ac:dyDescent="0.25">
      <c r="A3579">
        <f ca="1">26630.7001747661*(RANDBETWEEN(2890,3282))</f>
        <v>83247568.746318862</v>
      </c>
      <c r="B3579">
        <v>233134434.04589182</v>
      </c>
    </row>
    <row r="3580" spans="1:2" x14ac:dyDescent="0.25">
      <c r="A3580">
        <f ca="1">26811.4272204797*(RANDBETWEEN(2890,3282))</f>
        <v>83598030.073455587</v>
      </c>
      <c r="B3580">
        <v>265795828.58328757</v>
      </c>
    </row>
    <row r="3581" spans="1:2" x14ac:dyDescent="0.25">
      <c r="A3581">
        <f ca="1">32565.9073076538*(RANDBETWEEN(2890,3282))</f>
        <v>103038530.7214167</v>
      </c>
      <c r="B3581">
        <v>230688700.82462543</v>
      </c>
    </row>
    <row r="3582" spans="1:2" x14ac:dyDescent="0.25">
      <c r="A3582">
        <f ca="1">30367.48854842*(RANDBETWEEN(2890,3282))</f>
        <v>94291051.942844242</v>
      </c>
      <c r="B3582">
        <v>264691767.33017609</v>
      </c>
    </row>
    <row r="3583" spans="1:2" x14ac:dyDescent="0.25">
      <c r="A3583">
        <f ca="1">30844.1622331313*(RANDBETWEEN(2890,3282))</f>
        <v>101107163.80020455</v>
      </c>
      <c r="B3583">
        <v>219746567.34979379</v>
      </c>
    </row>
    <row r="3584" spans="1:2" x14ac:dyDescent="0.25">
      <c r="A3584">
        <f ca="1">29342.5357479878*(RANDBETWEEN(2890,3282))</f>
        <v>86941933.421287924</v>
      </c>
      <c r="B3584">
        <v>264456539.43774897</v>
      </c>
    </row>
    <row r="3585" spans="1:2" x14ac:dyDescent="0.25">
      <c r="A3585">
        <f ca="1">29736.8684892113*(RANDBETWEEN(2890,3282))</f>
        <v>96763770.063893676</v>
      </c>
      <c r="B3585">
        <v>237283994.33743265</v>
      </c>
    </row>
    <row r="3586" spans="1:2" x14ac:dyDescent="0.25">
      <c r="A3586">
        <f ca="1">27871.773384245*(RANDBETWEEN(2890,3282))</f>
        <v>85259754.782405362</v>
      </c>
      <c r="B3586">
        <v>228255631.68328452</v>
      </c>
    </row>
    <row r="3587" spans="1:2" x14ac:dyDescent="0.25">
      <c r="A3587">
        <f ca="1">29002.6401537553*(RANDBETWEEN(2890,3282))</f>
        <v>89502147.514488816</v>
      </c>
      <c r="B3587">
        <v>207000023.15062284</v>
      </c>
    </row>
    <row r="3588" spans="1:2" x14ac:dyDescent="0.25">
      <c r="A3588">
        <f ca="1">30369.6754394102*(RANDBETWEEN(2890,3282))</f>
        <v>93113424.897231713</v>
      </c>
      <c r="B3588">
        <v>204881089.02295512</v>
      </c>
    </row>
    <row r="3589" spans="1:2" x14ac:dyDescent="0.25">
      <c r="A3589">
        <f ca="1">35088.5050459854*(RANDBETWEEN(2890,3282))</f>
        <v>108388392.08704899</v>
      </c>
      <c r="B3589">
        <v>224032689.51329893</v>
      </c>
    </row>
    <row r="3590" spans="1:2" x14ac:dyDescent="0.25">
      <c r="A3590">
        <f ca="1">27745.1151467784*(RANDBETWEEN(2890,3282))</f>
        <v>80738285.077125013</v>
      </c>
      <c r="B3590">
        <v>204750937.02153853</v>
      </c>
    </row>
    <row r="3591" spans="1:2" x14ac:dyDescent="0.25">
      <c r="A3591">
        <f ca="1">30655.3028067271*(RANDBETWEEN(2890,3282))</f>
        <v>88716446.32266818</v>
      </c>
      <c r="B3591">
        <v>235487793.42302126</v>
      </c>
    </row>
    <row r="3592" spans="1:2" x14ac:dyDescent="0.25">
      <c r="A3592">
        <f ca="1">30873.6866482338*(RANDBETWEEN(2890,3282))</f>
        <v>90490775.565973341</v>
      </c>
      <c r="B3592">
        <v>266502227.23174554</v>
      </c>
    </row>
    <row r="3593" spans="1:2" x14ac:dyDescent="0.25">
      <c r="A3593">
        <f ca="1">28351.6721921184*(RANDBETWEEN(2890,3282))</f>
        <v>86586006.874729514</v>
      </c>
      <c r="B3593">
        <v>206788607.24281073</v>
      </c>
    </row>
    <row r="3594" spans="1:2" x14ac:dyDescent="0.25">
      <c r="A3594">
        <f ca="1">28160.7131122247*(RANDBETWEEN(2890,3282))</f>
        <v>88509121.311722115</v>
      </c>
      <c r="B3594">
        <v>219357190.51188153</v>
      </c>
    </row>
    <row r="3595" spans="1:2" x14ac:dyDescent="0.25">
      <c r="A3595">
        <f ca="1">26852.8960937166*(RANDBETWEEN(2890,3282))</f>
        <v>87943234.706921875</v>
      </c>
      <c r="B3595">
        <v>206907421.06443939</v>
      </c>
    </row>
    <row r="3596" spans="1:2" x14ac:dyDescent="0.25">
      <c r="A3596">
        <f ca="1">26924.1848159818*(RANDBETWEEN(2890,3282))</f>
        <v>82764944.124328181</v>
      </c>
      <c r="B3596">
        <v>261702475.88300794</v>
      </c>
    </row>
    <row r="3597" spans="1:2" x14ac:dyDescent="0.25">
      <c r="A3597">
        <f ca="1">30687.6095855526*(RANDBETWEEN(2890,3282))</f>
        <v>91172888.078676715</v>
      </c>
      <c r="B3597">
        <v>232376101.90076098</v>
      </c>
    </row>
    <row r="3598" spans="1:2" x14ac:dyDescent="0.25">
      <c r="A3598">
        <f ca="1">30124.0585576051*(RANDBETWEEN(2890,3282))</f>
        <v>97330833.199622095</v>
      </c>
      <c r="B3598">
        <v>221469221.89591441</v>
      </c>
    </row>
    <row r="3599" spans="1:2" x14ac:dyDescent="0.25">
      <c r="A3599">
        <f ca="1">29816.3070938465*(RANDBETWEEN(2890,3282))</f>
        <v>95024570.708088666</v>
      </c>
      <c r="B3599">
        <v>240974434.2051841</v>
      </c>
    </row>
    <row r="3600" spans="1:2" x14ac:dyDescent="0.25">
      <c r="A3600">
        <f ca="1">29298.1730393897*(RANDBETWEEN(2890,3282))</f>
        <v>88216799.021602333</v>
      </c>
      <c r="B3600">
        <v>232628430.11034292</v>
      </c>
    </row>
    <row r="3601" spans="1:2" x14ac:dyDescent="0.25">
      <c r="A3601">
        <f ca="1">29629.0965230028*(RANDBETWEEN(2890,3282))</f>
        <v>95435319.900591925</v>
      </c>
      <c r="B3601">
        <v>227384657.78848058</v>
      </c>
    </row>
    <row r="3602" spans="1:2" x14ac:dyDescent="0.25">
      <c r="A3602">
        <f ca="1">28549.7600247627*(RANDBETWEEN(2890,3282))</f>
        <v>93386265.040998891</v>
      </c>
      <c r="B3602">
        <v>233747294.32970947</v>
      </c>
    </row>
    <row r="3603" spans="1:2" x14ac:dyDescent="0.25">
      <c r="A3603">
        <f ca="1">34068.9472847301*(RANDBETWEEN(2890,3282))</f>
        <v>105613736.58266333</v>
      </c>
      <c r="B3603">
        <v>232557429.77087414</v>
      </c>
    </row>
    <row r="3604" spans="1:2" x14ac:dyDescent="0.25">
      <c r="A3604">
        <f ca="1">28153.1335305971*(RANDBETWEEN(2890,3282))</f>
        <v>90343405.499686122</v>
      </c>
      <c r="B3604">
        <v>232253792.87454301</v>
      </c>
    </row>
    <row r="3605" spans="1:2" x14ac:dyDescent="0.25">
      <c r="A3605">
        <f ca="1">29419.6254815923*(RANDBETWEEN(2890,3282))</f>
        <v>91200838.992935985</v>
      </c>
      <c r="B3605">
        <v>251103782.87713376</v>
      </c>
    </row>
    <row r="3606" spans="1:2" x14ac:dyDescent="0.25">
      <c r="A3606">
        <f ca="1">33227.6863641164*(RANDBETWEEN(2890,3282))</f>
        <v>102507412.43329914</v>
      </c>
      <c r="B3606">
        <v>267305883.26375818</v>
      </c>
    </row>
    <row r="3607" spans="1:2" x14ac:dyDescent="0.25">
      <c r="A3607">
        <f ca="1">31492.2941177521*(RANDBETWEEN(2890,3282))</f>
        <v>94508374.647374138</v>
      </c>
      <c r="B3607">
        <v>259555529.65169901</v>
      </c>
    </row>
    <row r="3608" spans="1:2" x14ac:dyDescent="0.25">
      <c r="A3608">
        <f ca="1">30143.6686639526*(RANDBETWEEN(2890,3282))</f>
        <v>89586983.269266978</v>
      </c>
      <c r="B3608">
        <v>210573772.48026764</v>
      </c>
    </row>
    <row r="3609" spans="1:2" x14ac:dyDescent="0.25">
      <c r="A3609">
        <f ca="1">29723.9346102857*(RANDBETWEEN(2890,3282))</f>
        <v>87001956.604306117</v>
      </c>
      <c r="B3609">
        <v>260913545.90414333</v>
      </c>
    </row>
    <row r="3610" spans="1:2" x14ac:dyDescent="0.25">
      <c r="A3610">
        <f ca="1">27909.4760052733*(RANDBETWEEN(2890,3282))</f>
        <v>89114956.884837672</v>
      </c>
      <c r="B3610">
        <v>216645049.63947341</v>
      </c>
    </row>
    <row r="3611" spans="1:2" x14ac:dyDescent="0.25">
      <c r="A3611">
        <f ca="1">30198.254942117*(RANDBETWEEN(2890,3282))</f>
        <v>98174526.81682235</v>
      </c>
      <c r="B3611">
        <v>237468177.49920556</v>
      </c>
    </row>
    <row r="3612" spans="1:2" x14ac:dyDescent="0.25">
      <c r="A3612">
        <f ca="1">33147.2085605863*(RANDBETWEEN(2890,3282))</f>
        <v>97220762.708199754</v>
      </c>
      <c r="B3612">
        <v>266729769.34543172</v>
      </c>
    </row>
    <row r="3613" spans="1:2" x14ac:dyDescent="0.25">
      <c r="A3613">
        <f ca="1">29438.1502349844*(RANDBETWEEN(2890,3282))</f>
        <v>87755125.850488484</v>
      </c>
      <c r="B3613">
        <v>220045293.08698991</v>
      </c>
    </row>
    <row r="3614" spans="1:2" x14ac:dyDescent="0.25">
      <c r="A3614">
        <f ca="1">29573.8508139036*(RANDBETWEEN(2890,3282))</f>
        <v>94695470.306119263</v>
      </c>
      <c r="B3614">
        <v>256330539.9986746</v>
      </c>
    </row>
    <row r="3615" spans="1:2" x14ac:dyDescent="0.25">
      <c r="A3615">
        <f ca="1">26783.475547467*(RANDBETWEEN(2890,3282))</f>
        <v>81689600.419774324</v>
      </c>
      <c r="B3615">
        <v>252143348.71289778</v>
      </c>
    </row>
    <row r="3616" spans="1:2" x14ac:dyDescent="0.25">
      <c r="A3616">
        <f ca="1">30745.6906604382*(RANDBETWEEN(2890,3282))</f>
        <v>89746671.037819102</v>
      </c>
      <c r="B3616">
        <v>248549384.65626919</v>
      </c>
    </row>
    <row r="3617" spans="1:2" x14ac:dyDescent="0.25">
      <c r="A3617">
        <f ca="1">30264.1805520828*(RANDBETWEEN(2890,3282))</f>
        <v>95604546.364029571</v>
      </c>
      <c r="B3617">
        <v>260624295.1793617</v>
      </c>
    </row>
    <row r="3618" spans="1:2" x14ac:dyDescent="0.25">
      <c r="A3618">
        <f ca="1">29256.8629086949*(RANDBETWEEN(2890,3282))</f>
        <v>92539457.380201966</v>
      </c>
      <c r="B3618">
        <v>206309686.83521354</v>
      </c>
    </row>
    <row r="3619" spans="1:2" x14ac:dyDescent="0.25">
      <c r="A3619">
        <f ca="1">34784.5314407226*(RANDBETWEEN(2890,3282))</f>
        <v>105292776.67106736</v>
      </c>
      <c r="B3619">
        <v>229078961.44475311</v>
      </c>
    </row>
    <row r="3620" spans="1:2" x14ac:dyDescent="0.25">
      <c r="A3620">
        <f ca="1">29795.0322034123*(RANDBETWEEN(2890,3282))</f>
        <v>86792928.808540121</v>
      </c>
      <c r="B3620">
        <v>254174578.99344832</v>
      </c>
    </row>
    <row r="3621" spans="1:2" x14ac:dyDescent="0.25">
      <c r="A3621">
        <f ca="1">29661.8654991346*(RANDBETWEEN(2890,3282))</f>
        <v>88629654.111414179</v>
      </c>
      <c r="B3621">
        <v>206797996.43562537</v>
      </c>
    </row>
    <row r="3622" spans="1:2" x14ac:dyDescent="0.25">
      <c r="A3622">
        <f ca="1">32102.6928978119*(RANDBETWEEN(2890,3282))</f>
        <v>95344997.906501293</v>
      </c>
      <c r="B3622">
        <v>262385943.31091511</v>
      </c>
    </row>
    <row r="3623" spans="1:2" x14ac:dyDescent="0.25">
      <c r="A3623">
        <f ca="1">28503.0603084827*(RANDBETWEEN(2890,3282))</f>
        <v>92036381.73609075</v>
      </c>
      <c r="B3623">
        <v>260116794.89325958</v>
      </c>
    </row>
    <row r="3624" spans="1:2" x14ac:dyDescent="0.25">
      <c r="A3624">
        <f ca="1">31507.3451907966*(RANDBETWEEN(2890,3282))</f>
        <v>91497330.43407324</v>
      </c>
      <c r="B3624">
        <v>264012966.41991013</v>
      </c>
    </row>
    <row r="3625" spans="1:2" x14ac:dyDescent="0.25">
      <c r="A3625">
        <f ca="1">30416.0800273638*(RANDBETWEEN(2890,3282))</f>
        <v>98548099.288658753</v>
      </c>
      <c r="B3625">
        <v>238842191.74710613</v>
      </c>
    </row>
    <row r="3626" spans="1:2" x14ac:dyDescent="0.25">
      <c r="A3626">
        <f ca="1">27350.5700946659*(RANDBETWEEN(2890,3282))</f>
        <v>88697898.817001626</v>
      </c>
      <c r="B3626">
        <v>216218307.54822686</v>
      </c>
    </row>
    <row r="3627" spans="1:2" x14ac:dyDescent="0.25">
      <c r="A3627">
        <f ca="1">32966.4289544182*(RANDBETWEEN(2890,3282))</f>
        <v>107239793.38872239</v>
      </c>
      <c r="B3627">
        <v>211508548.45658472</v>
      </c>
    </row>
    <row r="3628" spans="1:2" x14ac:dyDescent="0.25">
      <c r="A3628">
        <f ca="1">26996.1422936895*(RANDBETWEEN(2890,3282))</f>
        <v>87818450.881372005</v>
      </c>
      <c r="B3628">
        <v>245518599.05871922</v>
      </c>
    </row>
    <row r="3629" spans="1:2" x14ac:dyDescent="0.25">
      <c r="A3629">
        <f ca="1">32229.0058197383*(RANDBETWEEN(2890,3282))</f>
        <v>95977979.331180528</v>
      </c>
      <c r="B3629">
        <v>242776598.19604093</v>
      </c>
    </row>
    <row r="3630" spans="1:2" x14ac:dyDescent="0.25">
      <c r="A3630">
        <f ca="1">31288.1219217239*(RANDBETWEEN(2890,3282))</f>
        <v>101436091.27022894</v>
      </c>
      <c r="B3630">
        <v>263728657.86094773</v>
      </c>
    </row>
    <row r="3631" spans="1:2" x14ac:dyDescent="0.25">
      <c r="A3631">
        <f ca="1">27333.6455392426*(RANDBETWEEN(2890,3282))</f>
        <v>80497586.113069385</v>
      </c>
      <c r="B3631">
        <v>267164141.84513968</v>
      </c>
    </row>
    <row r="3632" spans="1:2" x14ac:dyDescent="0.25">
      <c r="A3632">
        <f ca="1">28175.7939737488*(RANDBETWEEN(2890,3282))</f>
        <v>90979638.741234839</v>
      </c>
      <c r="B3632">
        <v>203763048.58827397</v>
      </c>
    </row>
    <row r="3633" spans="1:2" x14ac:dyDescent="0.25">
      <c r="A3633">
        <f ca="1">27713.0535479955*(RANDBETWEEN(2890,3282))</f>
        <v>83610282.554302394</v>
      </c>
      <c r="B3633">
        <v>209449895.09936261</v>
      </c>
    </row>
    <row r="3634" spans="1:2" x14ac:dyDescent="0.25">
      <c r="A3634">
        <f ca="1">33726.5932831642*(RANDBETWEEN(2890,3282))</f>
        <v>100235435.23756389</v>
      </c>
      <c r="B3634">
        <v>252943407.22881711</v>
      </c>
    </row>
    <row r="3635" spans="1:2" x14ac:dyDescent="0.25">
      <c r="A3635">
        <f ca="1">30518.5993821458*(RANDBETWEEN(2890,3282))</f>
        <v>92379800.329755276</v>
      </c>
      <c r="B3635">
        <v>229413183.63549045</v>
      </c>
    </row>
    <row r="3636" spans="1:2" x14ac:dyDescent="0.25">
      <c r="A3636">
        <f ca="1">25923.8973390138*(RANDBETWEEN(2890,3282))</f>
        <v>74945987.207088858</v>
      </c>
      <c r="B3636">
        <v>204393841.49148449</v>
      </c>
    </row>
    <row r="3637" spans="1:2" x14ac:dyDescent="0.25">
      <c r="A3637">
        <f ca="1">28219.5723676233*(RANDBETWEEN(2890,3282))</f>
        <v>81977857.727945551</v>
      </c>
      <c r="B3637">
        <v>231277759.72830713</v>
      </c>
    </row>
    <row r="3638" spans="1:2" x14ac:dyDescent="0.25">
      <c r="A3638">
        <f ca="1">29427.4680591913*(RANDBETWEEN(2890,3282))</f>
        <v>92637669.450334236</v>
      </c>
      <c r="B3638">
        <v>258808763.85052186</v>
      </c>
    </row>
    <row r="3639" spans="1:2" x14ac:dyDescent="0.25">
      <c r="A3639">
        <f ca="1">32928.9647982286*(RANDBETWEEN(2890,3282))</f>
        <v>101717572.261728</v>
      </c>
      <c r="B3639">
        <v>213262291.07853407</v>
      </c>
    </row>
    <row r="3640" spans="1:2" x14ac:dyDescent="0.25">
      <c r="A3640">
        <f ca="1">30282.9349471552*(RANDBETWEEN(2890,3282))</f>
        <v>96057469.65237622</v>
      </c>
      <c r="B3640">
        <v>218004687.21235934</v>
      </c>
    </row>
    <row r="3641" spans="1:2" x14ac:dyDescent="0.25">
      <c r="A3641">
        <f ca="1">30842.7558873182*(RANDBETWEEN(2890,3282))</f>
        <v>99899686.319023639</v>
      </c>
      <c r="B3641">
        <v>246308061.56531662</v>
      </c>
    </row>
    <row r="3642" spans="1:2" x14ac:dyDescent="0.25">
      <c r="A3642">
        <f ca="1">27344.5304401958*(RANDBETWEEN(2890,3282))</f>
        <v>89608026.252521738</v>
      </c>
      <c r="B3642">
        <v>204010482.71833611</v>
      </c>
    </row>
    <row r="3643" spans="1:2" x14ac:dyDescent="0.25">
      <c r="A3643">
        <f ca="1">28240.4444313717*(RANDBETWEEN(2890,3282))</f>
        <v>83450513.294703379</v>
      </c>
      <c r="B3643">
        <v>249120373.05247271</v>
      </c>
    </row>
    <row r="3644" spans="1:2" x14ac:dyDescent="0.25">
      <c r="A3644">
        <f ca="1">31519.3553668144*(RANDBETWEEN(2890,3282))</f>
        <v>100924975.88453971</v>
      </c>
      <c r="B3644">
        <v>247507238.8432495</v>
      </c>
    </row>
    <row r="3645" spans="1:2" x14ac:dyDescent="0.25">
      <c r="A3645">
        <f ca="1">30157.3231454582*(RANDBETWEEN(2890,3282))</f>
        <v>88210170.200465113</v>
      </c>
      <c r="B3645">
        <v>244980385.31068754</v>
      </c>
    </row>
    <row r="3646" spans="1:2" x14ac:dyDescent="0.25">
      <c r="A3646">
        <f ca="1">27365.6365136621*(RANDBETWEEN(2890,3282))</f>
        <v>84532451.190702125</v>
      </c>
      <c r="B3646">
        <v>230173017.64566022</v>
      </c>
    </row>
    <row r="3647" spans="1:2" x14ac:dyDescent="0.25">
      <c r="A3647">
        <f ca="1">30886.7503576676*(RANDBETWEEN(2890,3282))</f>
        <v>96026906.86198847</v>
      </c>
      <c r="B3647">
        <v>259860347.76292574</v>
      </c>
    </row>
    <row r="3648" spans="1:2" x14ac:dyDescent="0.25">
      <c r="A3648">
        <f ca="1">29716.1794781515*(RANDBETWEEN(2890,3282))</f>
        <v>86414649.922464699</v>
      </c>
      <c r="B3648">
        <v>248583391.70837939</v>
      </c>
    </row>
    <row r="3649" spans="1:2" x14ac:dyDescent="0.25">
      <c r="A3649">
        <f ca="1">27144.368715779*(RANDBETWEEN(2890,3282))</f>
        <v>84690430.393230528</v>
      </c>
      <c r="B3649">
        <v>216459127.70254716</v>
      </c>
    </row>
    <row r="3650" spans="1:2" x14ac:dyDescent="0.25">
      <c r="A3650">
        <f ca="1">28675.4046432398*(RANDBETWEEN(2890,3282))</f>
        <v>87890115.2315301</v>
      </c>
      <c r="B3650">
        <v>241670003.69281435</v>
      </c>
    </row>
    <row r="3651" spans="1:2" x14ac:dyDescent="0.25">
      <c r="A3651">
        <f ca="1">34057.3582570801*(RANDBETWEEN(2890,3282))</f>
        <v>110209611.31991109</v>
      </c>
      <c r="B3651">
        <v>253312811.25361425</v>
      </c>
    </row>
    <row r="3652" spans="1:2" x14ac:dyDescent="0.25">
      <c r="A3652">
        <f ca="1">27984.4353039824*(RANDBETWEEN(2890,3282))</f>
        <v>90361741.596559256</v>
      </c>
      <c r="B3652">
        <v>219104566.95018938</v>
      </c>
    </row>
    <row r="3653" spans="1:2" x14ac:dyDescent="0.25">
      <c r="A3653">
        <f ca="1">27206.6696140193*(RANDBETWEEN(2890,3282))</f>
        <v>82436208.930478603</v>
      </c>
      <c r="B3653">
        <v>251834839.28087661</v>
      </c>
    </row>
    <row r="3654" spans="1:2" x14ac:dyDescent="0.25">
      <c r="A3654">
        <f ca="1">31956.7902063886*(RANDBETWEEN(2890,3282))</f>
        <v>94528185.430497527</v>
      </c>
      <c r="B3654">
        <v>240655448.73971802</v>
      </c>
    </row>
    <row r="3655" spans="1:2" x14ac:dyDescent="0.25">
      <c r="A3655">
        <f ca="1">29992.6983957833*(RANDBETWEEN(2890,3282))</f>
        <v>94387021.851530001</v>
      </c>
      <c r="B3655">
        <v>258835299.83058116</v>
      </c>
    </row>
    <row r="3656" spans="1:2" x14ac:dyDescent="0.25">
      <c r="A3656">
        <f ca="1">29874.6630876571*(RANDBETWEEN(2890,3282))</f>
        <v>88488752.06564042</v>
      </c>
      <c r="B3656">
        <v>247569628.44947922</v>
      </c>
    </row>
    <row r="3657" spans="1:2" x14ac:dyDescent="0.25">
      <c r="A3657">
        <f ca="1">30808.0363634217*(RANDBETWEEN(2890,3282))</f>
        <v>96706426.144780666</v>
      </c>
      <c r="B3657">
        <v>263322040.10056171</v>
      </c>
    </row>
    <row r="3658" spans="1:2" x14ac:dyDescent="0.25">
      <c r="A3658">
        <f ca="1">27188.579066436*(RANDBETWEEN(2890,3282))</f>
        <v>85589646.90114066</v>
      </c>
      <c r="B3658">
        <v>218141340.18810821</v>
      </c>
    </row>
    <row r="3659" spans="1:2" x14ac:dyDescent="0.25">
      <c r="A3659">
        <f ca="1">26083.8349917802*(RANDBETWEEN(2890,3282))</f>
        <v>78590594.830233887</v>
      </c>
      <c r="B3659">
        <v>247424063.23404172</v>
      </c>
    </row>
    <row r="3660" spans="1:2" x14ac:dyDescent="0.25">
      <c r="A3660">
        <f ca="1">27338.37878138*(RANDBETWEEN(2890,3282))</f>
        <v>88357640.221420035</v>
      </c>
      <c r="B3660">
        <v>231284173.12188751</v>
      </c>
    </row>
    <row r="3661" spans="1:2" x14ac:dyDescent="0.25">
      <c r="A3661">
        <f ca="1">30170.2455244824*(RANDBETWEEN(2890,3282))</f>
        <v>92924356.215405896</v>
      </c>
      <c r="B3661">
        <v>239841009.9385277</v>
      </c>
    </row>
    <row r="3662" spans="1:2" x14ac:dyDescent="0.25">
      <c r="A3662">
        <f ca="1">26701.4554760976*(RANDBETWEEN(2890,3282))</f>
        <v>79650441.685199112</v>
      </c>
      <c r="B3662">
        <v>238394072.20369822</v>
      </c>
    </row>
    <row r="3663" spans="1:2" x14ac:dyDescent="0.25">
      <c r="A3663">
        <f ca="1">32468.9326371538*(RANDBETWEEN(2890,3282))</f>
        <v>103868115.50625497</v>
      </c>
      <c r="B3663">
        <v>265120809.73525232</v>
      </c>
    </row>
    <row r="3664" spans="1:2" x14ac:dyDescent="0.25">
      <c r="A3664">
        <f ca="1">32992.2106450291*(RANDBETWEEN(2890,3282))</f>
        <v>103760502.47861643</v>
      </c>
      <c r="B3664">
        <v>252255350.85674223</v>
      </c>
    </row>
    <row r="3665" spans="1:2" x14ac:dyDescent="0.25">
      <c r="A3665">
        <f ca="1">31194.1447664667*(RANDBETWEEN(2890,3282))</f>
        <v>99946039.831759408</v>
      </c>
      <c r="B3665">
        <v>227555678.89087671</v>
      </c>
    </row>
    <row r="3666" spans="1:2" x14ac:dyDescent="0.25">
      <c r="A3666">
        <f ca="1">27166.6585144213*(RANDBETWEEN(2890,3282))</f>
        <v>81309808.933662876</v>
      </c>
      <c r="B3666">
        <v>265229645.49329925</v>
      </c>
    </row>
    <row r="3667" spans="1:2" x14ac:dyDescent="0.25">
      <c r="A3667">
        <f ca="1">27225.834155972*(RANDBETWEEN(2890,3282))</f>
        <v>80969630.779860809</v>
      </c>
      <c r="B3667">
        <v>214438215.64230996</v>
      </c>
    </row>
    <row r="3668" spans="1:2" x14ac:dyDescent="0.25">
      <c r="A3668">
        <f ca="1">26770.0216616363*(RANDBETWEEN(2890,3282))</f>
        <v>87082880.465303019</v>
      </c>
      <c r="B3668">
        <v>249542626.73942059</v>
      </c>
    </row>
    <row r="3669" spans="1:2" x14ac:dyDescent="0.25">
      <c r="A3669">
        <f ca="1">26363.0157172733*(RANDBETWEEN(2890,3282))</f>
        <v>82094430.943589032</v>
      </c>
      <c r="B3669">
        <v>205323069.8744458</v>
      </c>
    </row>
    <row r="3670" spans="1:2" x14ac:dyDescent="0.25">
      <c r="A3670">
        <f ca="1">29424.9321691856*(RANDBETWEEN(2890,3282))</f>
        <v>92982785.654626399</v>
      </c>
      <c r="B3670">
        <v>233303258.42643031</v>
      </c>
    </row>
    <row r="3671" spans="1:2" x14ac:dyDescent="0.25">
      <c r="A3671">
        <f ca="1">28571.2195277021*(RANDBETWEEN(2890,3282))</f>
        <v>90370767.366121903</v>
      </c>
      <c r="B3671">
        <v>252168547.16881305</v>
      </c>
    </row>
    <row r="3672" spans="1:2" x14ac:dyDescent="0.25">
      <c r="A3672">
        <f ca="1">32730.1562241048*(RANDBETWEEN(2890,3282))</f>
        <v>98812341.640572488</v>
      </c>
      <c r="B3672">
        <v>230974006.89518964</v>
      </c>
    </row>
    <row r="3673" spans="1:2" x14ac:dyDescent="0.25">
      <c r="A3673">
        <f ca="1">28020.7401871205*(RANDBETWEEN(2890,3282))</f>
        <v>88489497.510926411</v>
      </c>
      <c r="B3673">
        <v>233915874.82634613</v>
      </c>
    </row>
    <row r="3674" spans="1:2" x14ac:dyDescent="0.25">
      <c r="A3674">
        <f ca="1">31245.8309630302*(RANDBETWEEN(2890,3282))</f>
        <v>97143288.464060754</v>
      </c>
      <c r="B3674">
        <v>267184060.96988112</v>
      </c>
    </row>
    <row r="3675" spans="1:2" x14ac:dyDescent="0.25">
      <c r="A3675">
        <f ca="1">30352.37663977*(RANDBETWEEN(2890,3282))</f>
        <v>91330301.309067801</v>
      </c>
      <c r="B3675">
        <v>250859757.29686484</v>
      </c>
    </row>
    <row r="3676" spans="1:2" x14ac:dyDescent="0.25">
      <c r="A3676">
        <f ca="1">26140.1551746072*(RANDBETWEEN(2890,3282))</f>
        <v>77714681.334107146</v>
      </c>
      <c r="B3676">
        <v>222924243.71122667</v>
      </c>
    </row>
    <row r="3677" spans="1:2" x14ac:dyDescent="0.25">
      <c r="A3677">
        <f ca="1">28595.2634433655*(RANDBETWEEN(2890,3282))</f>
        <v>91104509.330562413</v>
      </c>
      <c r="B3677">
        <v>267786825.07309052</v>
      </c>
    </row>
    <row r="3678" spans="1:2" x14ac:dyDescent="0.25">
      <c r="A3678">
        <f ca="1">28099.0637990405*(RANDBETWEEN(2890,3282))</f>
        <v>83398021.355552182</v>
      </c>
      <c r="B3678">
        <v>252568429.50703439</v>
      </c>
    </row>
    <row r="3679" spans="1:2" x14ac:dyDescent="0.25">
      <c r="A3679">
        <f ca="1">30500.2887804401*(RANDBETWEEN(2890,3282))</f>
        <v>96258911.39106898</v>
      </c>
      <c r="B3679">
        <v>204026264.23410812</v>
      </c>
    </row>
    <row r="3680" spans="1:2" x14ac:dyDescent="0.25">
      <c r="A3680">
        <f ca="1">31790.5817019455*(RANDBETWEEN(2890,3282))</f>
        <v>103001484.71430354</v>
      </c>
      <c r="B3680">
        <v>209110470.66592494</v>
      </c>
    </row>
    <row r="3681" spans="1:2" x14ac:dyDescent="0.25">
      <c r="A3681">
        <f ca="1">25793.4648658249*(RANDBETWEEN(2890,3282))</f>
        <v>75703819.381196007</v>
      </c>
      <c r="B3681">
        <v>259196229.81076008</v>
      </c>
    </row>
    <row r="3682" spans="1:2" x14ac:dyDescent="0.25">
      <c r="A3682">
        <f ca="1">29895.1425506925*(RANDBETWEEN(2890,3282))</f>
        <v>97906591.853517935</v>
      </c>
      <c r="B3682">
        <v>245883257.55670422</v>
      </c>
    </row>
    <row r="3683" spans="1:2" x14ac:dyDescent="0.25">
      <c r="A3683">
        <f ca="1">28907.0546114666*(RANDBETWEEN(2890,3282))</f>
        <v>84177343.028590783</v>
      </c>
      <c r="B3683">
        <v>251919994.68101692</v>
      </c>
    </row>
    <row r="3684" spans="1:2" x14ac:dyDescent="0.25">
      <c r="A3684">
        <f ca="1">32352.3467352407*(RANDBETWEEN(2890,3282))</f>
        <v>94565909.507108644</v>
      </c>
      <c r="B3684">
        <v>267758282.03695691</v>
      </c>
    </row>
    <row r="3685" spans="1:2" x14ac:dyDescent="0.25">
      <c r="A3685">
        <f ca="1">27602.0982469764*(RANDBETWEEN(2890,3282))</f>
        <v>82861498.93742311</v>
      </c>
      <c r="B3685">
        <v>230776103.14895916</v>
      </c>
    </row>
    <row r="3686" spans="1:2" x14ac:dyDescent="0.25">
      <c r="A3686">
        <f ca="1">27192.698836006*(RANDBETWEEN(2890,3282))</f>
        <v>81605289.20685409</v>
      </c>
      <c r="B3686">
        <v>245805585.6019755</v>
      </c>
    </row>
    <row r="3687" spans="1:2" x14ac:dyDescent="0.25">
      <c r="A3687">
        <f ca="1">26257.0591538827*(RANDBETWEEN(2890,3282))</f>
        <v>81948281.619267762</v>
      </c>
      <c r="B3687">
        <v>209289383.27032959</v>
      </c>
    </row>
    <row r="3688" spans="1:2" x14ac:dyDescent="0.25">
      <c r="A3688">
        <f ca="1">28528.1238467135*(RANDBETWEEN(2890,3282))</f>
        <v>85184977.806286529</v>
      </c>
      <c r="B3688">
        <v>261462144.33151102</v>
      </c>
    </row>
    <row r="3689" spans="1:2" x14ac:dyDescent="0.25">
      <c r="A3689">
        <f ca="1">29336.5072550311*(RANDBETWEEN(2890,3282))</f>
        <v>86806724.967637122</v>
      </c>
      <c r="B3689">
        <v>242979345.14597803</v>
      </c>
    </row>
    <row r="3690" spans="1:2" x14ac:dyDescent="0.25">
      <c r="A3690">
        <f ca="1">28724.2239204383*(RANDBETWEEN(2890,3282))</f>
        <v>89878096.647051379</v>
      </c>
      <c r="B3690">
        <v>225429483.44577891</v>
      </c>
    </row>
    <row r="3691" spans="1:2" x14ac:dyDescent="0.25">
      <c r="A3691">
        <f ca="1">28568.4500667052*(RANDBETWEEN(2890,3282))</f>
        <v>88590763.656852722</v>
      </c>
      <c r="B3691">
        <v>246635203.19777483</v>
      </c>
    </row>
    <row r="3692" spans="1:2" x14ac:dyDescent="0.25">
      <c r="A3692">
        <f ca="1">28961.925681202*(RANDBETWEEN(2890,3282))</f>
        <v>92272695.2203096</v>
      </c>
      <c r="B3692">
        <v>247430581.20279247</v>
      </c>
    </row>
    <row r="3693" spans="1:2" x14ac:dyDescent="0.25">
      <c r="A3693">
        <f ca="1">32546.2394797888*(RANDBETWEEN(2890,3282))</f>
        <v>105580000.87243484</v>
      </c>
      <c r="B3693">
        <v>228890640.55692104</v>
      </c>
    </row>
    <row r="3694" spans="1:2" x14ac:dyDescent="0.25">
      <c r="A3694">
        <f ca="1">31104.7297328241*(RANDBETWEEN(2890,3282))</f>
        <v>99628449.334235623</v>
      </c>
      <c r="B3694">
        <v>233485318.09008071</v>
      </c>
    </row>
    <row r="3695" spans="1:2" x14ac:dyDescent="0.25">
      <c r="A3695">
        <f ca="1">28665.5874382637*(RANDBETWEEN(2890,3282))</f>
        <v>86742067.588185981</v>
      </c>
      <c r="B3695">
        <v>224125332.85660198</v>
      </c>
    </row>
    <row r="3696" spans="1:2" x14ac:dyDescent="0.25">
      <c r="A3696">
        <f ca="1">28920.2384170916*(RANDBETWEEN(2890,3282))</f>
        <v>93238848.656703457</v>
      </c>
      <c r="B3696">
        <v>221319167.41052908</v>
      </c>
    </row>
    <row r="3697" spans="1:2" x14ac:dyDescent="0.25">
      <c r="A3697">
        <f ca="1">30151.5922094655*(RANDBETWEEN(2890,3282))</f>
        <v>87349162.63082169</v>
      </c>
      <c r="B3697">
        <v>233108017.22433028</v>
      </c>
    </row>
    <row r="3698" spans="1:2" x14ac:dyDescent="0.25">
      <c r="A3698">
        <f ca="1">30368.6470099632*(RANDBETWEEN(2890,3282))</f>
        <v>94173174.377895892</v>
      </c>
      <c r="B3698">
        <v>204439440.38225976</v>
      </c>
    </row>
    <row r="3699" spans="1:2" x14ac:dyDescent="0.25">
      <c r="A3699">
        <f ca="1">28354.7071577257*(RANDBETWEEN(2890,3282))</f>
        <v>92011024.726819888</v>
      </c>
      <c r="B3699">
        <v>206630705.40744293</v>
      </c>
    </row>
    <row r="3700" spans="1:2" x14ac:dyDescent="0.25">
      <c r="A3700">
        <f ca="1">28427.4537074958*(RANDBETWEEN(2890,3282))</f>
        <v>91081561.678816468</v>
      </c>
      <c r="B3700">
        <v>214044975.95085832</v>
      </c>
    </row>
    <row r="3701" spans="1:2" x14ac:dyDescent="0.25">
      <c r="A3701">
        <f ca="1">27728.3819617083*(RANDBETWEEN(2890,3282))</f>
        <v>82491936.33608228</v>
      </c>
      <c r="B3701">
        <v>207683052.2781499</v>
      </c>
    </row>
    <row r="3702" spans="1:2" x14ac:dyDescent="0.25">
      <c r="A3702">
        <f ca="1">28886.7687552346*(RANDBETWEEN(2890,3282))</f>
        <v>94719714.748414099</v>
      </c>
      <c r="B3702">
        <v>264583072.81250483</v>
      </c>
    </row>
    <row r="3703" spans="1:2" x14ac:dyDescent="0.25">
      <c r="A3703">
        <f ca="1">30349.6641567438*(RANDBETWEEN(2890,3282))</f>
        <v>91716685.081679687</v>
      </c>
      <c r="B3703">
        <v>240729289.54154563</v>
      </c>
    </row>
    <row r="3704" spans="1:2" x14ac:dyDescent="0.25">
      <c r="A3704">
        <f ca="1">32166.7182068996*(RANDBETWEEN(2890,3282))</f>
        <v>102193663.74331988</v>
      </c>
      <c r="B3704">
        <v>244020829.08081871</v>
      </c>
    </row>
    <row r="3705" spans="1:2" x14ac:dyDescent="0.25">
      <c r="A3705">
        <f ca="1">30831.7007797237*(RANDBETWEEN(2890,3282))</f>
        <v>95732430.921041951</v>
      </c>
      <c r="B3705">
        <v>260238860.01760858</v>
      </c>
    </row>
    <row r="3706" spans="1:2" x14ac:dyDescent="0.25">
      <c r="A3706">
        <f ca="1">27096.7861897245*(RANDBETWEEN(2890,3282))</f>
        <v>85923909.007616341</v>
      </c>
      <c r="B3706">
        <v>208644985.64565325</v>
      </c>
    </row>
    <row r="3707" spans="1:2" x14ac:dyDescent="0.25">
      <c r="A3707">
        <f ca="1">32595.6208142246*(RANDBETWEEN(2890,3282))</f>
        <v>102285058.11503665</v>
      </c>
      <c r="B3707">
        <v>246235419.02101052</v>
      </c>
    </row>
    <row r="3708" spans="1:2" x14ac:dyDescent="0.25">
      <c r="A3708">
        <f ca="1">31226.5343317016*(RANDBETWEEN(2890,3282))</f>
        <v>100237175.20476215</v>
      </c>
      <c r="B3708">
        <v>228890498.33519375</v>
      </c>
    </row>
    <row r="3709" spans="1:2" x14ac:dyDescent="0.25">
      <c r="A3709">
        <f ca="1">27341.0275515518*(RANDBETWEEN(2890,3282))</f>
        <v>80191233.808701321</v>
      </c>
      <c r="B3709">
        <v>267013365.35003793</v>
      </c>
    </row>
    <row r="3710" spans="1:2" x14ac:dyDescent="0.25">
      <c r="A3710">
        <f ca="1">27427.7608721063*(RANDBETWEEN(2890,3282))</f>
        <v>81844438.442365199</v>
      </c>
      <c r="B3710">
        <v>218925962.42797613</v>
      </c>
    </row>
    <row r="3711" spans="1:2" x14ac:dyDescent="0.25">
      <c r="A3711">
        <f ca="1">27489.7238324244*(RANDBETWEEN(2890,3282))</f>
        <v>83321352.936078399</v>
      </c>
      <c r="B3711">
        <v>259186231.55066514</v>
      </c>
    </row>
    <row r="3712" spans="1:2" x14ac:dyDescent="0.25">
      <c r="A3712">
        <f ca="1">28135.9601843033*(RANDBETWEEN(2890,3282))</f>
        <v>84914327.836227298</v>
      </c>
      <c r="B3712">
        <v>213163788.8295303</v>
      </c>
    </row>
    <row r="3713" spans="1:2" x14ac:dyDescent="0.25">
      <c r="A3713">
        <f ca="1">25806.01576281*(RANDBETWEEN(2890,3282))</f>
        <v>80050260.896236584</v>
      </c>
      <c r="B3713">
        <v>211054851.48481539</v>
      </c>
    </row>
    <row r="3714" spans="1:2" x14ac:dyDescent="0.25">
      <c r="A3714">
        <f ca="1">31139.1401057039*(RANDBETWEEN(2890,3282))</f>
        <v>91393376.21024105</v>
      </c>
      <c r="B3714">
        <v>258702155.56008807</v>
      </c>
    </row>
    <row r="3715" spans="1:2" x14ac:dyDescent="0.25">
      <c r="A3715">
        <f ca="1">32576.4311615703*(RANDBETWEEN(2890,3282))</f>
        <v>97370952.741933525</v>
      </c>
      <c r="B3715">
        <v>249815711.80547726</v>
      </c>
    </row>
    <row r="3716" spans="1:2" x14ac:dyDescent="0.25">
      <c r="A3716">
        <f ca="1">29151.6186769094*(RANDBETWEEN(2890,3282))</f>
        <v>89145649.913988888</v>
      </c>
      <c r="B3716">
        <v>246696437.64194298</v>
      </c>
    </row>
    <row r="3717" spans="1:2" x14ac:dyDescent="0.25">
      <c r="A3717">
        <f ca="1">27054.8462063679*(RANDBETWEEN(2890,3282))</f>
        <v>84438175.010074243</v>
      </c>
      <c r="B3717">
        <v>257537374.08491331</v>
      </c>
    </row>
    <row r="3718" spans="1:2" x14ac:dyDescent="0.25">
      <c r="A3718">
        <f ca="1">31948.0801707381*(RANDBETWEEN(2890,3282))</f>
        <v>98048658.043995291</v>
      </c>
      <c r="B3718">
        <v>258183090.8863796</v>
      </c>
    </row>
    <row r="3719" spans="1:2" x14ac:dyDescent="0.25">
      <c r="A3719">
        <f ca="1">32592.5425095491*(RANDBETWEEN(2890,3282))</f>
        <v>99993920.419296786</v>
      </c>
      <c r="B3719">
        <v>257686044.48232147</v>
      </c>
    </row>
    <row r="3720" spans="1:2" x14ac:dyDescent="0.25">
      <c r="A3720">
        <f ca="1">29367.9447484135*(RANDBETWEEN(2890,3282))</f>
        <v>88338777.803227767</v>
      </c>
      <c r="B3720">
        <v>212203828.72845519</v>
      </c>
    </row>
    <row r="3721" spans="1:2" x14ac:dyDescent="0.25">
      <c r="A3721">
        <f ca="1">28868.5165860812*(RANDBETWEEN(2890,3282))</f>
        <v>83603224.033291101</v>
      </c>
      <c r="B3721">
        <v>262106596.63512838</v>
      </c>
    </row>
    <row r="3722" spans="1:2" x14ac:dyDescent="0.25">
      <c r="A3722">
        <f ca="1">33466.6519825433*(RANDBETWEEN(2890,3282))</f>
        <v>100901955.727368</v>
      </c>
      <c r="B3722">
        <v>233355304.32939008</v>
      </c>
    </row>
    <row r="3723" spans="1:2" x14ac:dyDescent="0.25">
      <c r="A3723">
        <f ca="1">32226.1865624019*(RANDBETWEEN(2890,3282))</f>
        <v>98579904.694387332</v>
      </c>
      <c r="B3723">
        <v>219035641.57094136</v>
      </c>
    </row>
    <row r="3724" spans="1:2" x14ac:dyDescent="0.25">
      <c r="A3724">
        <f ca="1">33629.4479842262*(RANDBETWEEN(2890,3282))</f>
        <v>100787455.60872588</v>
      </c>
      <c r="B3724">
        <v>259086480.7352125</v>
      </c>
    </row>
    <row r="3725" spans="1:2" x14ac:dyDescent="0.25">
      <c r="A3725">
        <f ca="1">28770.9308504636*(RANDBETWEEN(2890,3282))</f>
        <v>86542959.99819462</v>
      </c>
      <c r="B3725">
        <v>230761887.43300247</v>
      </c>
    </row>
    <row r="3726" spans="1:2" x14ac:dyDescent="0.25">
      <c r="A3726">
        <f ca="1">31708.2906483075*(RANDBETWEEN(2890,3282))</f>
        <v>102956819.73505461</v>
      </c>
      <c r="B3726">
        <v>250335291.81691334</v>
      </c>
    </row>
    <row r="3727" spans="1:2" x14ac:dyDescent="0.25">
      <c r="A3727">
        <f ca="1">30803.1432372322*(RANDBETWEEN(2890,3282))</f>
        <v>95705366.038080394</v>
      </c>
      <c r="B3727">
        <v>234280012.07650876</v>
      </c>
    </row>
    <row r="3728" spans="1:2" x14ac:dyDescent="0.25">
      <c r="A3728">
        <f ca="1">27432.9121244133*(RANDBETWEEN(2890,3282))</f>
        <v>83642949.067336142</v>
      </c>
      <c r="B3728">
        <v>228293228.26307446</v>
      </c>
    </row>
    <row r="3729" spans="1:2" x14ac:dyDescent="0.25">
      <c r="A3729">
        <f ca="1">30284.6419258191*(RANDBETWEEN(2890,3282))</f>
        <v>89612255.45849885</v>
      </c>
      <c r="B3729">
        <v>264576032.60624802</v>
      </c>
    </row>
    <row r="3730" spans="1:2" x14ac:dyDescent="0.25">
      <c r="A3730">
        <f ca="1">29558.2312873044*(RANDBETWEEN(2890,3282))</f>
        <v>92103448.691240489</v>
      </c>
      <c r="B3730">
        <v>254382263.96283326</v>
      </c>
    </row>
    <row r="3731" spans="1:2" x14ac:dyDescent="0.25">
      <c r="A3731">
        <f ca="1">30597.0398449396*(RANDBETWEEN(2890,3282))</f>
        <v>89863506.024587587</v>
      </c>
      <c r="B3731">
        <v>263340942.95366886</v>
      </c>
    </row>
    <row r="3732" spans="1:2" x14ac:dyDescent="0.25">
      <c r="A3732">
        <f ca="1">30257.0093524216*(RANDBETWEEN(2890,3282))</f>
        <v>96005490.675233722</v>
      </c>
      <c r="B3732">
        <v>240634215.74664557</v>
      </c>
    </row>
    <row r="3733" spans="1:2" x14ac:dyDescent="0.25">
      <c r="A3733">
        <f ca="1">26418.6336087381*(RANDBETWEEN(2890,3282))</f>
        <v>83905580.341352299</v>
      </c>
      <c r="B3733">
        <v>258693185.0232566</v>
      </c>
    </row>
    <row r="3734" spans="1:2" x14ac:dyDescent="0.25">
      <c r="A3734">
        <f ca="1">27295.584018318*(RANDBETWEEN(2890,3282))</f>
        <v>81504613.87869741</v>
      </c>
      <c r="B3734">
        <v>254282059.08934033</v>
      </c>
    </row>
    <row r="3735" spans="1:2" x14ac:dyDescent="0.25">
      <c r="A3735">
        <f ca="1">31859.3191672863*(RANDBETWEEN(2890,3282))</f>
        <v>92423884.904297695</v>
      </c>
      <c r="B3735">
        <v>207160911.95019656</v>
      </c>
    </row>
    <row r="3736" spans="1:2" x14ac:dyDescent="0.25">
      <c r="A3736">
        <f ca="1">29146.0918274882*(RANDBETWEEN(2890,3282))</f>
        <v>90994098.685418233</v>
      </c>
      <c r="B3736">
        <v>231369414.94137445</v>
      </c>
    </row>
    <row r="3737" spans="1:2" x14ac:dyDescent="0.25">
      <c r="A3737">
        <f ca="1">27835.0005252681*(RANDBETWEEN(2890,3282))</f>
        <v>84868916.601542369</v>
      </c>
      <c r="B3737">
        <v>230526764.97571012</v>
      </c>
    </row>
    <row r="3738" spans="1:2" x14ac:dyDescent="0.25">
      <c r="A3738">
        <f ca="1">30516.2416611317*(RANDBETWEEN(2890,3282))</f>
        <v>95698933.849308908</v>
      </c>
      <c r="B3738">
        <v>258213167.91740593</v>
      </c>
    </row>
    <row r="3739" spans="1:2" x14ac:dyDescent="0.25">
      <c r="A3739">
        <f ca="1">31995.1232152686*(RANDBETWEEN(2890,3282))</f>
        <v>102768335.76744263</v>
      </c>
      <c r="B3739">
        <v>229712274.12179419</v>
      </c>
    </row>
    <row r="3740" spans="1:2" x14ac:dyDescent="0.25">
      <c r="A3740">
        <f ca="1">32691.5717899878*(RANDBETWEEN(2890,3282))</f>
        <v>105822617.88419066</v>
      </c>
      <c r="B3740">
        <v>215530558.25539535</v>
      </c>
    </row>
    <row r="3741" spans="1:2" x14ac:dyDescent="0.25">
      <c r="A3741">
        <f ca="1">35240.4198812449*(RANDBETWEEN(2890,3282))</f>
        <v>114496124.19416478</v>
      </c>
      <c r="B3741">
        <v>224150538.00698099</v>
      </c>
    </row>
    <row r="3742" spans="1:2" x14ac:dyDescent="0.25">
      <c r="A3742">
        <f ca="1">31457.4841439091*(RANDBETWEEN(2890,3282))</f>
        <v>98682127.759442896</v>
      </c>
      <c r="B3742">
        <v>260322787.37280887</v>
      </c>
    </row>
    <row r="3743" spans="1:2" x14ac:dyDescent="0.25">
      <c r="A3743">
        <f ca="1">29894.8483984979*(RANDBETWEEN(2890,3282))</f>
        <v>97008783.053125694</v>
      </c>
      <c r="B3743">
        <v>267866801.90177163</v>
      </c>
    </row>
    <row r="3744" spans="1:2" x14ac:dyDescent="0.25">
      <c r="A3744">
        <f ca="1">28620.9080470271*(RANDBETWEEN(2890,3282))</f>
        <v>86377900.485927761</v>
      </c>
      <c r="B3744">
        <v>239944645.56567764</v>
      </c>
    </row>
    <row r="3745" spans="1:2" x14ac:dyDescent="0.25">
      <c r="A3745">
        <f ca="1">26821.9486866137*(RANDBETWEEN(2890,3282))</f>
        <v>82209272.724471122</v>
      </c>
      <c r="B3745">
        <v>210215734.97479028</v>
      </c>
    </row>
    <row r="3746" spans="1:2" x14ac:dyDescent="0.25">
      <c r="A3746">
        <f ca="1">34527.8766465586*(RANDBETWEEN(2890,3282))</f>
        <v>104446826.85583982</v>
      </c>
      <c r="B3746">
        <v>219913199.44376755</v>
      </c>
    </row>
    <row r="3747" spans="1:2" x14ac:dyDescent="0.25">
      <c r="A3747">
        <f ca="1">30754.4726492724*(RANDBETWEEN(2890,3282))</f>
        <v>96845834.372558936</v>
      </c>
      <c r="B3747">
        <v>265182931.77485153</v>
      </c>
    </row>
    <row r="3748" spans="1:2" x14ac:dyDescent="0.25">
      <c r="A3748">
        <f ca="1">33233.3159605829*(RANDBETWEEN(2890,3282))</f>
        <v>104651711.95987569</v>
      </c>
      <c r="B3748">
        <v>244046652.59572297</v>
      </c>
    </row>
    <row r="3749" spans="1:2" x14ac:dyDescent="0.25">
      <c r="A3749">
        <f ca="1">31332.4769343605*(RANDBETWEEN(2890,3282))</f>
        <v>97475335.742795438</v>
      </c>
      <c r="B3749">
        <v>251352160.94984978</v>
      </c>
    </row>
    <row r="3750" spans="1:2" x14ac:dyDescent="0.25">
      <c r="A3750">
        <f ca="1">27902.032891502*(RANDBETWEEN(2890,3282))</f>
        <v>84989592.18751502</v>
      </c>
      <c r="B3750">
        <v>231834347.21594867</v>
      </c>
    </row>
    <row r="3751" spans="1:2" x14ac:dyDescent="0.25">
      <c r="A3751">
        <f ca="1">29914.379710907*(RANDBETWEEN(2890,3282))</f>
        <v>87529475.034114003</v>
      </c>
      <c r="B3751">
        <v>247255977.6271061</v>
      </c>
    </row>
    <row r="3752" spans="1:2" x14ac:dyDescent="0.25">
      <c r="A3752">
        <f ca="1">31044.0382275944*(RANDBETWEEN(2890,3282))</f>
        <v>100924168.27790926</v>
      </c>
      <c r="B3752">
        <v>254841454.96498695</v>
      </c>
    </row>
    <row r="3753" spans="1:2" x14ac:dyDescent="0.25">
      <c r="A3753">
        <f ca="1">33186.3518152898*(RANDBETWEEN(2890,3282))</f>
        <v>99028073.816824749</v>
      </c>
      <c r="B3753">
        <v>235061835.7309587</v>
      </c>
    </row>
    <row r="3754" spans="1:2" x14ac:dyDescent="0.25">
      <c r="A3754">
        <f ca="1">33175.1236219072*(RANDBETWEEN(2890,3282))</f>
        <v>105928169.7247497</v>
      </c>
      <c r="B3754">
        <v>216374743.56196672</v>
      </c>
    </row>
    <row r="3755" spans="1:2" x14ac:dyDescent="0.25">
      <c r="A3755">
        <f ca="1">32505.2551512538*(RANDBETWEEN(2890,3282))</f>
        <v>95045366.062266082</v>
      </c>
      <c r="B3755">
        <v>223845387.21238616</v>
      </c>
    </row>
    <row r="3756" spans="1:2" x14ac:dyDescent="0.25">
      <c r="A3756">
        <f ca="1">30509.6437441297*(RANDBETWEEN(2890,3282))</f>
        <v>92444220.54471311</v>
      </c>
      <c r="B3756">
        <v>236031407.01276743</v>
      </c>
    </row>
    <row r="3757" spans="1:2" x14ac:dyDescent="0.25">
      <c r="A3757">
        <f ca="1">26173.3044262513*(RANDBETWEEN(2890,3282))</f>
        <v>75640849.791866273</v>
      </c>
      <c r="B3757">
        <v>216226610.11682653</v>
      </c>
    </row>
    <row r="3758" spans="1:2" x14ac:dyDescent="0.25">
      <c r="A3758">
        <f ca="1">31308.6538195607*(RANDBETWEEN(2890,3282))</f>
        <v>93738109.535764635</v>
      </c>
      <c r="B3758">
        <v>237487089.31230351</v>
      </c>
    </row>
    <row r="3759" spans="1:2" x14ac:dyDescent="0.25">
      <c r="A3759">
        <f ca="1">29618.6605944152*(RANDBETWEEN(2890,3282))</f>
        <v>90366533.473560661</v>
      </c>
      <c r="B3759">
        <v>212077514.52385554</v>
      </c>
    </row>
    <row r="3760" spans="1:2" x14ac:dyDescent="0.25">
      <c r="A3760">
        <f ca="1">31664.0104103938*(RANDBETWEEN(2890,3282))</f>
        <v>97588480.084833771</v>
      </c>
      <c r="B3760">
        <v>246332501.57116574</v>
      </c>
    </row>
    <row r="3761" spans="1:2" x14ac:dyDescent="0.25">
      <c r="A3761">
        <f ca="1">30438.9487421267*(RANDBETWEEN(2890,3282))</f>
        <v>93356255.792102695</v>
      </c>
      <c r="B3761">
        <v>267682042.82411283</v>
      </c>
    </row>
    <row r="3762" spans="1:2" x14ac:dyDescent="0.25">
      <c r="A3762">
        <f ca="1">31199.8130042926*(RANDBETWEEN(2890,3282))</f>
        <v>97281016.947384194</v>
      </c>
      <c r="B3762">
        <v>215103862.16170111</v>
      </c>
    </row>
    <row r="3763" spans="1:2" x14ac:dyDescent="0.25">
      <c r="A3763">
        <f ca="1">33250.5702843043*(RANDBETWEEN(2890,3282))</f>
        <v>108330357.98626335</v>
      </c>
      <c r="B3763">
        <v>261553944.32299596</v>
      </c>
    </row>
    <row r="3764" spans="1:2" x14ac:dyDescent="0.25">
      <c r="A3764">
        <f ca="1">27019.2940363512*(RANDBETWEEN(2890,3282))</f>
        <v>87299339.031450585</v>
      </c>
      <c r="B3764">
        <v>267333670.36958534</v>
      </c>
    </row>
    <row r="3765" spans="1:2" x14ac:dyDescent="0.25">
      <c r="A3765">
        <f ca="1">32941.3128872547*(RANDBETWEEN(2890,3282))</f>
        <v>106334558.00005825</v>
      </c>
      <c r="B3765">
        <v>243277080.77070749</v>
      </c>
    </row>
    <row r="3766" spans="1:2" x14ac:dyDescent="0.25">
      <c r="A3766">
        <f ca="1">31447.1207975466*(RANDBETWEEN(2890,3282))</f>
        <v>92517429.386382207</v>
      </c>
      <c r="B3766">
        <v>205714864.99211666</v>
      </c>
    </row>
    <row r="3767" spans="1:2" x14ac:dyDescent="0.25">
      <c r="A3767">
        <f ca="1">29246.2547531969*(RANDBETWEEN(2890,3282))</f>
        <v>90809621.00867632</v>
      </c>
      <c r="B3767">
        <v>250159153.28087205</v>
      </c>
    </row>
    <row r="3768" spans="1:2" x14ac:dyDescent="0.25">
      <c r="A3768">
        <f ca="1">30521.6529447058*(RANDBETWEEN(2890,3282))</f>
        <v>94708689.087422132</v>
      </c>
      <c r="B3768">
        <v>236855861.79624113</v>
      </c>
    </row>
    <row r="3769" spans="1:2" x14ac:dyDescent="0.25">
      <c r="A3769">
        <f ca="1">28467.9684901421*(RANDBETWEEN(2890,3282))</f>
        <v>86343348.430600882</v>
      </c>
      <c r="B3769">
        <v>234529509.45724243</v>
      </c>
    </row>
    <row r="3770" spans="1:2" x14ac:dyDescent="0.25">
      <c r="A3770">
        <f ca="1">31985.3167705729*(RANDBETWEEN(2890,3282))</f>
        <v>97555216.15024735</v>
      </c>
      <c r="B3770">
        <v>250806381.99221069</v>
      </c>
    </row>
    <row r="3771" spans="1:2" x14ac:dyDescent="0.25">
      <c r="A3771">
        <f ca="1">30443.6714791254*(RANDBETWEEN(2890,3282))</f>
        <v>96354220.231431872</v>
      </c>
      <c r="B3771">
        <v>218052459.92398912</v>
      </c>
    </row>
    <row r="3772" spans="1:2" x14ac:dyDescent="0.25">
      <c r="A3772">
        <f ca="1">26401.8472196609*(RANDBETWEEN(2890,3282))</f>
        <v>86228433.019412443</v>
      </c>
      <c r="B3772">
        <v>218649356.30969569</v>
      </c>
    </row>
    <row r="3773" spans="1:2" x14ac:dyDescent="0.25">
      <c r="A3773">
        <f ca="1">30217.273418629*(RANDBETWEEN(2890,3282))</f>
        <v>91951163.012887925</v>
      </c>
      <c r="B3773">
        <v>244920413.26113781</v>
      </c>
    </row>
    <row r="3774" spans="1:2" x14ac:dyDescent="0.25">
      <c r="A3774">
        <f ca="1">33794.1932099251*(RANDBETWEEN(2890,3282))</f>
        <v>109121449.87484823</v>
      </c>
      <c r="B3774">
        <v>262204684.78123575</v>
      </c>
    </row>
    <row r="3775" spans="1:2" x14ac:dyDescent="0.25">
      <c r="A3775">
        <f ca="1">31765.6038554275*(RANDBETWEEN(2890,3282))</f>
        <v>91897891.953751862</v>
      </c>
      <c r="B3775">
        <v>246575983.32252425</v>
      </c>
    </row>
    <row r="3776" spans="1:2" x14ac:dyDescent="0.25">
      <c r="A3776">
        <f ca="1">27364.4417595804*(RANDBETWEEN(2890,3282))</f>
        <v>89536453.437347174</v>
      </c>
      <c r="B3776">
        <v>218772689.38490146</v>
      </c>
    </row>
    <row r="3777" spans="1:2" x14ac:dyDescent="0.25">
      <c r="A3777">
        <f ca="1">29685.1742408823*(RANDBETWEEN(2890,3282))</f>
        <v>92884910.199720591</v>
      </c>
      <c r="B3777">
        <v>267170688.73226836</v>
      </c>
    </row>
    <row r="3778" spans="1:2" x14ac:dyDescent="0.25">
      <c r="A3778">
        <f ca="1">31409.1761583495*(RANDBETWEEN(2890,3282))</f>
        <v>99252996.660384491</v>
      </c>
      <c r="B3778">
        <v>227996419.72443342</v>
      </c>
    </row>
    <row r="3779" spans="1:2" x14ac:dyDescent="0.25">
      <c r="A3779">
        <f ca="1">32628.6176918527*(RANDBETWEEN(2890,3282))</f>
        <v>98375282.340936035</v>
      </c>
      <c r="B3779">
        <v>228949675.00966963</v>
      </c>
    </row>
    <row r="3780" spans="1:2" x14ac:dyDescent="0.25">
      <c r="A3780">
        <f ca="1">28365.2454624032*(RANDBETWEEN(2890,3282))</f>
        <v>92527430.698359266</v>
      </c>
      <c r="B3780">
        <v>232624565.64691013</v>
      </c>
    </row>
    <row r="3781" spans="1:2" x14ac:dyDescent="0.25">
      <c r="A3781">
        <f ca="1">30173.7894753918*(RANDBETWEEN(2890,3282))</f>
        <v>91034322.847257167</v>
      </c>
      <c r="B3781">
        <v>249120422.8475917</v>
      </c>
    </row>
    <row r="3782" spans="1:2" x14ac:dyDescent="0.25">
      <c r="A3782">
        <f ca="1">28584.897083447*(RANDBETWEEN(2890,3282))</f>
        <v>87955728.325766429</v>
      </c>
      <c r="B3782">
        <v>211286530.8986336</v>
      </c>
    </row>
    <row r="3783" spans="1:2" x14ac:dyDescent="0.25">
      <c r="A3783">
        <f ca="1">26455.286376884*(RANDBETWEEN(2890,3282))</f>
        <v>80000786.003697067</v>
      </c>
      <c r="B3783">
        <v>242470627.1317113</v>
      </c>
    </row>
    <row r="3784" spans="1:2" x14ac:dyDescent="0.25">
      <c r="A3784">
        <f ca="1">32746.2609724706*(RANDBETWEEN(2890,3282))</f>
        <v>97452872.654072419</v>
      </c>
      <c r="B3784">
        <v>239952020.62753326</v>
      </c>
    </row>
    <row r="3785" spans="1:2" x14ac:dyDescent="0.25">
      <c r="A3785">
        <f ca="1">26607.6272070958*(RANDBETWEEN(2890,3282))</f>
        <v>82749720.614068016</v>
      </c>
      <c r="B3785">
        <v>252052031.9850609</v>
      </c>
    </row>
    <row r="3786" spans="1:2" x14ac:dyDescent="0.25">
      <c r="A3786">
        <f ca="1">29311.3317228542*(RANDBETWEEN(2890,3282))</f>
        <v>84739060.010771602</v>
      </c>
      <c r="B3786">
        <v>210083196.53535146</v>
      </c>
    </row>
    <row r="3787" spans="1:2" x14ac:dyDescent="0.25">
      <c r="A3787">
        <f ca="1">27009.0013346557*(RANDBETWEEN(2890,3282))</f>
        <v>80783922.991955236</v>
      </c>
      <c r="B3787">
        <v>214800946.79205418</v>
      </c>
    </row>
    <row r="3788" spans="1:2" x14ac:dyDescent="0.25">
      <c r="A3788">
        <f ca="1">31800.2525784889*(RANDBETWEEN(2890,3282))</f>
        <v>102619415.07078384</v>
      </c>
      <c r="B3788">
        <v>254782584.00018805</v>
      </c>
    </row>
    <row r="3789" spans="1:2" x14ac:dyDescent="0.25">
      <c r="A3789">
        <f ca="1">32894.769405115*(RANDBETWEEN(2890,3282))</f>
        <v>98651413.445939898</v>
      </c>
      <c r="B3789">
        <v>238666156.45267174</v>
      </c>
    </row>
    <row r="3790" spans="1:2" x14ac:dyDescent="0.25">
      <c r="A3790">
        <f ca="1">31386.1489706483*(RANDBETWEEN(2890,3282))</f>
        <v>91051218.163850799</v>
      </c>
      <c r="B3790">
        <v>216550831.18179867</v>
      </c>
    </row>
    <row r="3791" spans="1:2" x14ac:dyDescent="0.25">
      <c r="A3791">
        <f ca="1">26954.714836055*(RANDBETWEEN(2890,3282))</f>
        <v>79570318.196034506</v>
      </c>
      <c r="B3791">
        <v>204344192.32152295</v>
      </c>
    </row>
    <row r="3792" spans="1:2" x14ac:dyDescent="0.25">
      <c r="A3792">
        <f ca="1">28099.9549929647*(RANDBETWEEN(2890,3282))</f>
        <v>88514858.227838919</v>
      </c>
      <c r="B3792">
        <v>257688951.58365893</v>
      </c>
    </row>
    <row r="3793" spans="1:2" x14ac:dyDescent="0.25">
      <c r="A3793">
        <f ca="1">29884.4094431435*(RANDBETWEEN(2890,3282))</f>
        <v>87411897.621194884</v>
      </c>
      <c r="B3793">
        <v>266083618.72902414</v>
      </c>
    </row>
    <row r="3794" spans="1:2" x14ac:dyDescent="0.25">
      <c r="A3794">
        <f ca="1">27209.9763295411*(RANDBETWEEN(2890,3282))</f>
        <v>82691118.065475285</v>
      </c>
      <c r="B3794">
        <v>239917947.86860594</v>
      </c>
    </row>
    <row r="3795" spans="1:2" x14ac:dyDescent="0.25">
      <c r="A3795">
        <f ca="1">31819.4028555365*(RANDBETWEEN(2890,3282))</f>
        <v>101694811.52629472</v>
      </c>
      <c r="B3795">
        <v>241794590.29528302</v>
      </c>
    </row>
    <row r="3796" spans="1:2" x14ac:dyDescent="0.25">
      <c r="A3796">
        <f ca="1">29603.2389553448*(RANDBETWEEN(2890,3282))</f>
        <v>90289878.813801736</v>
      </c>
      <c r="B3796">
        <v>227916703.42742157</v>
      </c>
    </row>
    <row r="3797" spans="1:2" x14ac:dyDescent="0.25">
      <c r="A3797">
        <f ca="1">27057.4464581158*(RANDBETWEEN(2890,3282))</f>
        <v>78845398.978949517</v>
      </c>
      <c r="B3797">
        <v>246343638.04635933</v>
      </c>
    </row>
    <row r="3798" spans="1:2" x14ac:dyDescent="0.25">
      <c r="A3798">
        <f ca="1">31871.1512404728*(RANDBETWEEN(2890,3282))</f>
        <v>96983913.2247587</v>
      </c>
      <c r="B3798">
        <v>259805685.46760997</v>
      </c>
    </row>
    <row r="3799" spans="1:2" x14ac:dyDescent="0.25">
      <c r="A3799">
        <f ca="1">31295.5209997148*(RANDBETWEEN(2890,3282))</f>
        <v>100145667.1990875</v>
      </c>
      <c r="B3799">
        <v>235734253.58946359</v>
      </c>
    </row>
    <row r="3800" spans="1:2" x14ac:dyDescent="0.25">
      <c r="A3800">
        <f ca="1">29158.6058653128*(RANDBETWEEN(2890,3282))</f>
        <v>93569966.221788734</v>
      </c>
      <c r="B3800">
        <v>215643402.68864608</v>
      </c>
    </row>
    <row r="3801" spans="1:2" x14ac:dyDescent="0.25">
      <c r="A3801">
        <f ca="1">28307.7681124187*(RANDBETWEEN(2890,3282))</f>
        <v>85574383.003841877</v>
      </c>
      <c r="B3801">
        <v>209767379.90884361</v>
      </c>
    </row>
    <row r="3802" spans="1:2" x14ac:dyDescent="0.25">
      <c r="A3802">
        <f ca="1">32382.1125668726*(RANDBETWEEN(2890,3282))</f>
        <v>102748443.17468661</v>
      </c>
      <c r="B3802">
        <v>241805386.38892648</v>
      </c>
    </row>
    <row r="3803" spans="1:2" x14ac:dyDescent="0.25">
      <c r="A3803">
        <f ca="1">27715.1184940541*(RANDBETWEEN(2890,3282))</f>
        <v>83782803.207525402</v>
      </c>
      <c r="B3803">
        <v>254860756.12060404</v>
      </c>
    </row>
    <row r="3804" spans="1:2" x14ac:dyDescent="0.25">
      <c r="A3804">
        <f ca="1">29431.2224138007*(RANDBETWEEN(2890,3282))</f>
        <v>90265559.14312689</v>
      </c>
      <c r="B3804">
        <v>223442539.57921737</v>
      </c>
    </row>
    <row r="3805" spans="1:2" x14ac:dyDescent="0.25">
      <c r="A3805">
        <f ca="1">27253.5785905702*(RANDBETWEEN(2890,3282))</f>
        <v>85439968.881437734</v>
      </c>
      <c r="B3805">
        <v>235870117.70536369</v>
      </c>
    </row>
    <row r="3806" spans="1:2" x14ac:dyDescent="0.25">
      <c r="A3806">
        <f ca="1">27001.0663205899*(RANDBETWEEN(2890,3282))</f>
        <v>82515258.675722659</v>
      </c>
      <c r="B3806">
        <v>219409715.90820441</v>
      </c>
    </row>
    <row r="3807" spans="1:2" x14ac:dyDescent="0.25">
      <c r="A3807">
        <f ca="1">29716.368162393*(RANDBETWEEN(2890,3282))</f>
        <v>91466981.203845769</v>
      </c>
      <c r="B3807">
        <v>242444090.72911343</v>
      </c>
    </row>
    <row r="3808" spans="1:2" x14ac:dyDescent="0.25">
      <c r="A3808">
        <f ca="1">29843.7608555148*(RANDBETWEEN(2890,3282))</f>
        <v>94425659.346848831</v>
      </c>
      <c r="B3808">
        <v>244421259.2530635</v>
      </c>
    </row>
    <row r="3809" spans="1:2" x14ac:dyDescent="0.25">
      <c r="A3809">
        <f ca="1">28424.897605291*(RANDBETWEEN(2890,3282))</f>
        <v>83000701.00744985</v>
      </c>
      <c r="B3809">
        <v>247233406.42088991</v>
      </c>
    </row>
    <row r="3810" spans="1:2" x14ac:dyDescent="0.25">
      <c r="A3810">
        <f ca="1">30995.2799531956*(RANDBETWEEN(2890,3282))</f>
        <v>100858640.96769838</v>
      </c>
      <c r="B3810">
        <v>242648054.65897161</v>
      </c>
    </row>
    <row r="3811" spans="1:2" x14ac:dyDescent="0.25">
      <c r="A3811">
        <f ca="1">31026.0722760026*(RANDBETWEEN(2890,3282))</f>
        <v>98755988.054516405</v>
      </c>
      <c r="B3811">
        <v>253777934.13308915</v>
      </c>
    </row>
    <row r="3812" spans="1:2" x14ac:dyDescent="0.25">
      <c r="A3812">
        <f ca="1">30307.2919010899*(RANDBETWEEN(2890,3282))</f>
        <v>95740735.115542859</v>
      </c>
      <c r="B3812">
        <v>206471822.05772364</v>
      </c>
    </row>
    <row r="3813" spans="1:2" x14ac:dyDescent="0.25">
      <c r="A3813">
        <f ca="1">30833.3999265361*(RANDBETWEEN(2890,3282))</f>
        <v>96107707.571012899</v>
      </c>
      <c r="B3813">
        <v>247607620.66648808</v>
      </c>
    </row>
    <row r="3814" spans="1:2" x14ac:dyDescent="0.25">
      <c r="A3814">
        <f ca="1">28987.0152736253*(RANDBETWEEN(2890,3282))</f>
        <v>88526344.645651773</v>
      </c>
      <c r="B3814">
        <v>234397367.22868615</v>
      </c>
    </row>
    <row r="3815" spans="1:2" x14ac:dyDescent="0.25">
      <c r="A3815">
        <f ca="1">31999.2464933467*(RANDBETWEEN(2890,3282))</f>
        <v>103837554.87091011</v>
      </c>
      <c r="B3815">
        <v>243322948.31529877</v>
      </c>
    </row>
    <row r="3816" spans="1:2" x14ac:dyDescent="0.25">
      <c r="A3816">
        <f ca="1">29541.4917574771*(RANDBETWEEN(2890,3282))</f>
        <v>89067597.648793444</v>
      </c>
      <c r="B3816">
        <v>217298989.8787941</v>
      </c>
    </row>
    <row r="3817" spans="1:2" x14ac:dyDescent="0.25">
      <c r="A3817">
        <f ca="1">26456.2617341513*(RANDBETWEEN(2890,3282))</f>
        <v>78998397.538175896</v>
      </c>
      <c r="B3817">
        <v>240626777.99976116</v>
      </c>
    </row>
    <row r="3818" spans="1:2" x14ac:dyDescent="0.25">
      <c r="A3818">
        <f ca="1">31063.6044100498*(RANDBETWEEN(2890,3282))</f>
        <v>92072523.471387506</v>
      </c>
      <c r="B3818">
        <v>257394692.08320308</v>
      </c>
    </row>
    <row r="3819" spans="1:2" x14ac:dyDescent="0.25">
      <c r="A3819">
        <f ca="1">31491.5778617192*(RANDBETWEEN(2890,3282))</f>
        <v>102064203.84983206</v>
      </c>
      <c r="B3819">
        <v>221204438.78198805</v>
      </c>
    </row>
    <row r="3820" spans="1:2" x14ac:dyDescent="0.25">
      <c r="A3820">
        <f ca="1">29332.6085170867*(RANDBETWEEN(2890,3282))</f>
        <v>95037651.595360905</v>
      </c>
      <c r="B3820">
        <v>242008828.80910552</v>
      </c>
    </row>
    <row r="3821" spans="1:2" x14ac:dyDescent="0.25">
      <c r="A3821">
        <f ca="1">30634.9263282073*(RANDBETWEEN(2890,3282))</f>
        <v>99900494.756283954</v>
      </c>
      <c r="B3821">
        <v>225433347.04007322</v>
      </c>
    </row>
    <row r="3822" spans="1:2" x14ac:dyDescent="0.25">
      <c r="A3822">
        <f ca="1">29297.5461969326*(RANDBETWEEN(2890,3282))</f>
        <v>85197264.340679944</v>
      </c>
      <c r="B3822">
        <v>231625302.64167559</v>
      </c>
    </row>
    <row r="3823" spans="1:2" x14ac:dyDescent="0.25">
      <c r="A3823">
        <f ca="1">26339.6333937818*(RANDBETWEEN(2890,3282))</f>
        <v>78386748.979894653</v>
      </c>
      <c r="B3823">
        <v>205483526.31585866</v>
      </c>
    </row>
    <row r="3824" spans="1:2" x14ac:dyDescent="0.25">
      <c r="A3824">
        <f ca="1">32992.4898487429*(RANDBETWEEN(2890,3282))</f>
        <v>100363154.11987585</v>
      </c>
      <c r="B3824">
        <v>239238162.06531543</v>
      </c>
    </row>
    <row r="3825" spans="1:2" x14ac:dyDescent="0.25">
      <c r="A3825">
        <f ca="1">26263.7418194439*(RANDBETWEEN(2890,3282))</f>
        <v>81548918.349373445</v>
      </c>
      <c r="B3825">
        <v>231256448.84381312</v>
      </c>
    </row>
    <row r="3826" spans="1:2" x14ac:dyDescent="0.25">
      <c r="A3826">
        <f ca="1">27597.2928695905*(RANDBETWEEN(2890,3282))</f>
        <v>84033756.787903115</v>
      </c>
      <c r="B3826">
        <v>262241167.38127515</v>
      </c>
    </row>
    <row r="3827" spans="1:2" x14ac:dyDescent="0.25">
      <c r="A3827">
        <f ca="1">31014.8933899452*(RANDBETWEEN(2890,3282))</f>
        <v>97045601.417138442</v>
      </c>
      <c r="B3827">
        <v>264626337.00526825</v>
      </c>
    </row>
    <row r="3828" spans="1:2" x14ac:dyDescent="0.25">
      <c r="A3828">
        <f ca="1">28548.9228974461*(RANDBETWEEN(2890,3282))</f>
        <v>83619795.166619524</v>
      </c>
      <c r="B3828">
        <v>239212285.31779289</v>
      </c>
    </row>
    <row r="3829" spans="1:2" x14ac:dyDescent="0.25">
      <c r="A3829">
        <f ca="1">26949.5937301024*(RANDBETWEEN(2890,3282))</f>
        <v>87074137.341960877</v>
      </c>
      <c r="B3829">
        <v>250770145.24105635</v>
      </c>
    </row>
    <row r="3830" spans="1:2" x14ac:dyDescent="0.25">
      <c r="A3830">
        <f ca="1">29684.2401292604*(RANDBETWEEN(2890,3282))</f>
        <v>96800307.061518252</v>
      </c>
      <c r="B3830">
        <v>206725310.6728254</v>
      </c>
    </row>
    <row r="3831" spans="1:2" x14ac:dyDescent="0.25">
      <c r="A3831">
        <f ca="1">27128.8718998775*(RANDBETWEEN(2890,3282))</f>
        <v>82444641.703727826</v>
      </c>
      <c r="B3831">
        <v>238044974.44670334</v>
      </c>
    </row>
    <row r="3832" spans="1:2" x14ac:dyDescent="0.25">
      <c r="A3832">
        <f ca="1">30719.5738310984*(RANDBETWEEN(2890,3282))</f>
        <v>95998668.222182646</v>
      </c>
      <c r="B3832">
        <v>235020563.63845152</v>
      </c>
    </row>
    <row r="3833" spans="1:2" x14ac:dyDescent="0.25">
      <c r="A3833">
        <f ca="1">29285.8622258077*(RANDBETWEEN(2890,3282))</f>
        <v>94564049.127133086</v>
      </c>
      <c r="B3833">
        <v>251214620.2362448</v>
      </c>
    </row>
    <row r="3834" spans="1:2" x14ac:dyDescent="0.25">
      <c r="A3834">
        <f ca="1">26249.624909285*(RANDBETWEEN(2890,3282))</f>
        <v>77383894.232572243</v>
      </c>
      <c r="B3834">
        <v>253134357.20485753</v>
      </c>
    </row>
    <row r="3835" spans="1:2" x14ac:dyDescent="0.25">
      <c r="A3835">
        <f ca="1">30723.3375028936*(RANDBETWEEN(2890,3282))</f>
        <v>96286939.734068513</v>
      </c>
      <c r="B3835">
        <v>262639568.47064584</v>
      </c>
    </row>
    <row r="3836" spans="1:2" x14ac:dyDescent="0.25">
      <c r="A3836">
        <f ca="1">30037.2354282302*(RANDBETWEEN(2890,3282))</f>
        <v>97320642.7874659</v>
      </c>
      <c r="B3836">
        <v>210845346.98818362</v>
      </c>
    </row>
    <row r="3837" spans="1:2" x14ac:dyDescent="0.25">
      <c r="A3837">
        <f ca="1">27857.1914712803*(RANDBETWEEN(2890,3282))</f>
        <v>90535872.281661138</v>
      </c>
      <c r="B3837">
        <v>228504473.32595482</v>
      </c>
    </row>
    <row r="3838" spans="1:2" x14ac:dyDescent="0.25">
      <c r="A3838">
        <f ca="1">27208.4706278153*(RANDBETWEEN(2890,3282))</f>
        <v>82223998.237257943</v>
      </c>
      <c r="B3838">
        <v>222372756.25473496</v>
      </c>
    </row>
    <row r="3839" spans="1:2" x14ac:dyDescent="0.25">
      <c r="A3839">
        <f ca="1">27394.9074066381*(RANDBETWEEN(2890,3282))</f>
        <v>82349091.66435416</v>
      </c>
      <c r="B3839">
        <v>241015806.02333081</v>
      </c>
    </row>
    <row r="3840" spans="1:2" x14ac:dyDescent="0.25">
      <c r="A3840">
        <f ca="1">27925.7958352013*(RANDBETWEEN(2890,3282))</f>
        <v>89613878.835160956</v>
      </c>
      <c r="B3840">
        <v>263059299.98916608</v>
      </c>
    </row>
    <row r="3841" spans="1:2" x14ac:dyDescent="0.25">
      <c r="A3841">
        <f ca="1">26981.95952911*(RANDBETWEEN(2890,3282))</f>
        <v>88284971.579247966</v>
      </c>
      <c r="B3841">
        <v>235624281.52800184</v>
      </c>
    </row>
    <row r="3842" spans="1:2" x14ac:dyDescent="0.25">
      <c r="A3842">
        <f ca="1">29563.2989559604*(RANDBETWEEN(2890,3282))</f>
        <v>86177016.456624463</v>
      </c>
      <c r="B3842">
        <v>212064936.66476402</v>
      </c>
    </row>
    <row r="3843" spans="1:2" x14ac:dyDescent="0.25">
      <c r="A3843">
        <f ca="1">29715.0366931891*(RANDBETWEEN(2890,3282))</f>
        <v>88639954.455783084</v>
      </c>
      <c r="B3843">
        <v>216192579.88545406</v>
      </c>
    </row>
    <row r="3844" spans="1:2" x14ac:dyDescent="0.25">
      <c r="A3844">
        <f ca="1">27246.373852454*(RANDBETWEEN(2890,3282))</f>
        <v>87215642.701705396</v>
      </c>
      <c r="B3844">
        <v>205772678.95853809</v>
      </c>
    </row>
    <row r="3845" spans="1:2" x14ac:dyDescent="0.25">
      <c r="A3845">
        <f ca="1">26713.0685327937*(RANDBETWEEN(2890,3282))</f>
        <v>85481819.304939836</v>
      </c>
      <c r="B3845">
        <v>235092295.9317942</v>
      </c>
    </row>
    <row r="3846" spans="1:2" x14ac:dyDescent="0.25">
      <c r="A3846">
        <f ca="1">29844.0994132489*(RANDBETWEEN(2890,3282))</f>
        <v>97679737.379563689</v>
      </c>
      <c r="B3846">
        <v>258327121.89041075</v>
      </c>
    </row>
    <row r="3847" spans="1:2" x14ac:dyDescent="0.25">
      <c r="A3847">
        <f ca="1">29433.6431652075*(RANDBETWEEN(2890,3282))</f>
        <v>96248013.15022856</v>
      </c>
      <c r="B3847">
        <v>259693911.72995889</v>
      </c>
    </row>
    <row r="3848" spans="1:2" x14ac:dyDescent="0.25">
      <c r="A3848">
        <f ca="1">28926.3787357654*(RANDBETWEEN(2890,3282))</f>
        <v>93576835.21020107</v>
      </c>
      <c r="B3848">
        <v>253358970.93546972</v>
      </c>
    </row>
    <row r="3849" spans="1:2" x14ac:dyDescent="0.25">
      <c r="A3849">
        <f ca="1">26548.9219343391*(RANDBETWEEN(2890,3282))</f>
        <v>86390191.97433947</v>
      </c>
      <c r="B3849">
        <v>255151418.8951045</v>
      </c>
    </row>
    <row r="3850" spans="1:2" x14ac:dyDescent="0.25">
      <c r="A3850">
        <f ca="1">30547.8254556537*(RANDBETWEEN(2890,3282))</f>
        <v>94637163.261615023</v>
      </c>
      <c r="B3850">
        <v>255262199.81946108</v>
      </c>
    </row>
    <row r="3851" spans="1:2" x14ac:dyDescent="0.25">
      <c r="A3851">
        <f ca="1">30824.6254872201*(RANDBETWEEN(2890,3282))</f>
        <v>94292529.365406275</v>
      </c>
      <c r="B3851">
        <v>249153232.74850705</v>
      </c>
    </row>
    <row r="3852" spans="1:2" x14ac:dyDescent="0.25">
      <c r="A3852">
        <f ca="1">25341.8379976112*(RANDBETWEEN(2890,3282))</f>
        <v>83095886.794167116</v>
      </c>
      <c r="B3852">
        <v>204721728.64301139</v>
      </c>
    </row>
    <row r="3853" spans="1:2" x14ac:dyDescent="0.25">
      <c r="A3853">
        <f ca="1">30838.8078886218*(RANDBETWEEN(2890,3282))</f>
        <v>100904579.41157055</v>
      </c>
      <c r="B3853">
        <v>259198063.24899468</v>
      </c>
    </row>
    <row r="3854" spans="1:2" x14ac:dyDescent="0.25">
      <c r="A3854">
        <f ca="1">32909.347014136*(RANDBETWEEN(2890,3282))</f>
        <v>102348069.21396282</v>
      </c>
      <c r="B3854">
        <v>239351303.11330709</v>
      </c>
    </row>
    <row r="3855" spans="1:2" x14ac:dyDescent="0.25">
      <c r="A3855">
        <f ca="1">31171.0999918354*(RANDBETWEEN(2890,3282))</f>
        <v>97534371.874452859</v>
      </c>
      <c r="B3855">
        <v>231966549.48910075</v>
      </c>
    </row>
    <row r="3856" spans="1:2" x14ac:dyDescent="0.25">
      <c r="A3856">
        <f ca="1">30741.8599545813*(RANDBETWEEN(2890,3282))</f>
        <v>97789856.51552324</v>
      </c>
      <c r="B3856">
        <v>264113709.90320408</v>
      </c>
    </row>
    <row r="3857" spans="1:2" x14ac:dyDescent="0.25">
      <c r="A3857">
        <f ca="1">26395.4028973635*(RANDBETWEEN(2890,3282))</f>
        <v>84386103.062870994</v>
      </c>
      <c r="B3857">
        <v>212949923.50960428</v>
      </c>
    </row>
    <row r="3858" spans="1:2" x14ac:dyDescent="0.25">
      <c r="A3858">
        <f ca="1">32813.509518529*(RANDBETWEEN(2890,3282))</f>
        <v>97521750.289068088</v>
      </c>
      <c r="B3858">
        <v>213490078.31008664</v>
      </c>
    </row>
    <row r="3859" spans="1:2" x14ac:dyDescent="0.25">
      <c r="A3859">
        <f ca="1">28495.4686332913*(RANDBETWEEN(2890,3282))</f>
        <v>84774019.184041753</v>
      </c>
      <c r="B3859">
        <v>209241827.34008771</v>
      </c>
    </row>
    <row r="3860" spans="1:2" x14ac:dyDescent="0.25">
      <c r="A3860">
        <f ca="1">31133.7898819822*(RANDBETWEEN(2890,3282))</f>
        <v>90910666.45538789</v>
      </c>
      <c r="B3860">
        <v>264769090.27125713</v>
      </c>
    </row>
    <row r="3861" spans="1:2" x14ac:dyDescent="0.25">
      <c r="A3861">
        <f ca="1">27545.9544202621*(RANDBETWEEN(2890,3282))</f>
        <v>81012651.949990883</v>
      </c>
      <c r="B3861">
        <v>221750120.60226479</v>
      </c>
    </row>
    <row r="3862" spans="1:2" x14ac:dyDescent="0.25">
      <c r="A3862">
        <f ca="1">31199.6183632104*(RANDBETWEEN(2890,3282))</f>
        <v>99058788.303193092</v>
      </c>
      <c r="B3862">
        <v>253359786.29312199</v>
      </c>
    </row>
    <row r="3863" spans="1:2" x14ac:dyDescent="0.25">
      <c r="A3863">
        <f ca="1">32267.1998330507*(RANDBETWEEN(2890,3282))</f>
        <v>102222489.07110457</v>
      </c>
      <c r="B3863">
        <v>234028833.31220144</v>
      </c>
    </row>
    <row r="3864" spans="1:2" x14ac:dyDescent="0.25">
      <c r="A3864">
        <f ca="1">28763.6753723406*(RANDBETWEEN(2890,3282))</f>
        <v>89253684.680372879</v>
      </c>
      <c r="B3864">
        <v>237683016.23598084</v>
      </c>
    </row>
    <row r="3865" spans="1:2" x14ac:dyDescent="0.25">
      <c r="A3865">
        <f ca="1">34754.6689878587*(RANDBETWEEN(2890,3282))</f>
        <v>112396599.50673513</v>
      </c>
      <c r="B3865">
        <v>225245654.68075216</v>
      </c>
    </row>
    <row r="3866" spans="1:2" x14ac:dyDescent="0.25">
      <c r="A3866">
        <f ca="1">29505.1417976988*(RANDBETWEEN(2890,3282))</f>
        <v>94180412.618254483</v>
      </c>
      <c r="B3866">
        <v>223050976.98584694</v>
      </c>
    </row>
    <row r="3867" spans="1:2" x14ac:dyDescent="0.25">
      <c r="A3867">
        <f ca="1">33819.8765439215*(RANDBETWEEN(2890,3282))</f>
        <v>103590281.85403141</v>
      </c>
      <c r="B3867">
        <v>231871453.78299987</v>
      </c>
    </row>
    <row r="3868" spans="1:2" x14ac:dyDescent="0.25">
      <c r="A3868">
        <f ca="1">32296.7313653574*(RANDBETWEEN(2890,3282))</f>
        <v>99247855.485743314</v>
      </c>
      <c r="B3868">
        <v>257304204.5586136</v>
      </c>
    </row>
    <row r="3869" spans="1:2" x14ac:dyDescent="0.25">
      <c r="A3869">
        <f ca="1">31122.1838039962*(RANDBETWEEN(2890,3282))</f>
        <v>90129844.296372965</v>
      </c>
      <c r="B3869">
        <v>222520670.39020115</v>
      </c>
    </row>
    <row r="3870" spans="1:2" x14ac:dyDescent="0.25">
      <c r="A3870">
        <f ca="1">29245.4898137783*(RANDBETWEEN(2890,3282))</f>
        <v>87531751.012638554</v>
      </c>
      <c r="B3870">
        <v>248379698.36345726</v>
      </c>
    </row>
    <row r="3871" spans="1:2" x14ac:dyDescent="0.25">
      <c r="A3871">
        <f ca="1">31484.232508126*(RANDBETWEEN(2890,3282))</f>
        <v>101977429.0938202</v>
      </c>
      <c r="B3871">
        <v>222338913.93245858</v>
      </c>
    </row>
    <row r="3872" spans="1:2" x14ac:dyDescent="0.25">
      <c r="A3872">
        <f ca="1">28526.8500484733*(RANDBETWEEN(2890,3282))</f>
        <v>84382422.443383932</v>
      </c>
      <c r="B3872">
        <v>256696607.3549642</v>
      </c>
    </row>
    <row r="3873" spans="1:2" x14ac:dyDescent="0.25">
      <c r="A3873">
        <f ca="1">31265.3037103354*(RANDBETWEEN(2890,3282))</f>
        <v>97172563.931722522</v>
      </c>
      <c r="B3873">
        <v>236961840.39620852</v>
      </c>
    </row>
    <row r="3874" spans="1:2" x14ac:dyDescent="0.25">
      <c r="A3874">
        <f ca="1">27867.9767902259*(RANDBETWEEN(2890,3282))</f>
        <v>82210531.531166315</v>
      </c>
      <c r="B3874">
        <v>220285329.58115306</v>
      </c>
    </row>
    <row r="3875" spans="1:2" x14ac:dyDescent="0.25">
      <c r="A3875">
        <f ca="1">29697.0918813336*(RANDBETWEEN(2890,3282))</f>
        <v>94199175.447590068</v>
      </c>
      <c r="B3875">
        <v>250785241.388693</v>
      </c>
    </row>
    <row r="3876" spans="1:2" x14ac:dyDescent="0.25">
      <c r="A3876">
        <f ca="1">26568.3006593539*(RANDBETWEEN(2890,3282))</f>
        <v>86187567.338943973</v>
      </c>
      <c r="B3876">
        <v>241169413.17987552</v>
      </c>
    </row>
    <row r="3877" spans="1:2" x14ac:dyDescent="0.25">
      <c r="A3877">
        <f ca="1">28278.1995949905*(RANDBETWEEN(2890,3282))</f>
        <v>89641892.716120154</v>
      </c>
      <c r="B3877">
        <v>217907458.93949527</v>
      </c>
    </row>
    <row r="3878" spans="1:2" x14ac:dyDescent="0.25">
      <c r="A3878">
        <f ca="1">30420.5526116563*(RANDBETWEEN(2890,3282))</f>
        <v>99140580.961387843</v>
      </c>
      <c r="B3878">
        <v>258095210.05885836</v>
      </c>
    </row>
    <row r="3879" spans="1:2" x14ac:dyDescent="0.25">
      <c r="A3879">
        <f ca="1">29728.5144857976*(RANDBETWEEN(2890,3282))</f>
        <v>90047670.377480879</v>
      </c>
      <c r="B3879">
        <v>212870024.6546199</v>
      </c>
    </row>
    <row r="3880" spans="1:2" x14ac:dyDescent="0.25">
      <c r="A3880">
        <f ca="1">31352.4909620751*(RANDBETWEEN(2890,3282))</f>
        <v>93712595.485642567</v>
      </c>
      <c r="B3880">
        <v>237944392.86164382</v>
      </c>
    </row>
    <row r="3881" spans="1:2" x14ac:dyDescent="0.25">
      <c r="A3881">
        <f ca="1">32001.4220750198*(RANDBETWEEN(2890,3282))</f>
        <v>93604159.56943281</v>
      </c>
      <c r="B3881">
        <v>264679221.95465115</v>
      </c>
    </row>
    <row r="3882" spans="1:2" x14ac:dyDescent="0.25">
      <c r="A3882">
        <f ca="1">28956.6318666575*(RANDBETWEEN(2890,3282))</f>
        <v>83974232.413306653</v>
      </c>
      <c r="B3882">
        <v>212008883.43992943</v>
      </c>
    </row>
    <row r="3883" spans="1:2" x14ac:dyDescent="0.25">
      <c r="A3883">
        <f ca="1">29187.1654260338*(RANDBETWEEN(2890,3282))</f>
        <v>91676886.603172243</v>
      </c>
      <c r="B3883">
        <v>207203443.45614669</v>
      </c>
    </row>
    <row r="3884" spans="1:2" x14ac:dyDescent="0.25">
      <c r="A3884">
        <f ca="1">27476.9574443811*(RANDBETWEEN(2890,3282))</f>
        <v>88475802.970907256</v>
      </c>
      <c r="B3884">
        <v>218837791.51527405</v>
      </c>
    </row>
    <row r="3885" spans="1:2" x14ac:dyDescent="0.25">
      <c r="A3885">
        <f ca="1">27076.1054318888*(RANDBETWEEN(2890,3282))</f>
        <v>83394404.730217636</v>
      </c>
      <c r="B3885">
        <v>248174306.18397105</v>
      </c>
    </row>
    <row r="3886" spans="1:2" x14ac:dyDescent="0.25">
      <c r="A3886">
        <f ca="1">26890.3122243549*(RANDBETWEEN(2890,3282))</f>
        <v>83709541.954416752</v>
      </c>
      <c r="B3886">
        <v>204504835.15533808</v>
      </c>
    </row>
    <row r="3887" spans="1:2" x14ac:dyDescent="0.25">
      <c r="A3887">
        <f ca="1">28005.2665446305*(RANDBETWEEN(2890,3282))</f>
        <v>87908531.683595136</v>
      </c>
      <c r="B3887">
        <v>225673529.24564651</v>
      </c>
    </row>
    <row r="3888" spans="1:2" x14ac:dyDescent="0.25">
      <c r="A3888">
        <f ca="1">29687.2193476334*(RANDBETWEEN(2890,3282))</f>
        <v>93128807.09352608</v>
      </c>
      <c r="B3888">
        <v>266373967.97424307</v>
      </c>
    </row>
    <row r="3889" spans="1:2" x14ac:dyDescent="0.25">
      <c r="A3889">
        <f ca="1">26533.7700678863*(RANDBETWEEN(2890,3282))</f>
        <v>79601310.203658864</v>
      </c>
      <c r="B3889">
        <v>211344331.19408813</v>
      </c>
    </row>
    <row r="3890" spans="1:2" x14ac:dyDescent="0.25">
      <c r="A3890">
        <f ca="1">27661.7264222883*(RANDBETWEEN(2890,3282))</f>
        <v>86774835.786718443</v>
      </c>
      <c r="B3890">
        <v>242059665.02241805</v>
      </c>
    </row>
    <row r="3891" spans="1:2" x14ac:dyDescent="0.25">
      <c r="A3891">
        <f ca="1">32394.6432455011*(RANDBETWEEN(2890,3282))</f>
        <v>96536036.871593267</v>
      </c>
      <c r="B3891">
        <v>212545563.87655705</v>
      </c>
    </row>
    <row r="3892" spans="1:2" x14ac:dyDescent="0.25">
      <c r="A3892">
        <f ca="1">28061.0181183956*(RANDBETWEEN(2890,3282))</f>
        <v>86596301.913368955</v>
      </c>
      <c r="B3892">
        <v>265649950.76112819</v>
      </c>
    </row>
    <row r="3893" spans="1:2" x14ac:dyDescent="0.25">
      <c r="A3893">
        <f ca="1">29265.4719663129*(RANDBETWEEN(2890,3282))</f>
        <v>94322616.147426426</v>
      </c>
      <c r="B3893">
        <v>243393780.17113751</v>
      </c>
    </row>
    <row r="3894" spans="1:2" x14ac:dyDescent="0.25">
      <c r="A3894">
        <f ca="1">32534.0445669585*(RANDBETWEEN(2890,3282))</f>
        <v>97504531.567174494</v>
      </c>
      <c r="B3894">
        <v>234916575.81771064</v>
      </c>
    </row>
    <row r="3895" spans="1:2" x14ac:dyDescent="0.25">
      <c r="A3895">
        <f ca="1">27989.7983158822*(RANDBETWEEN(2890,3282))</f>
        <v>89847252.593981788</v>
      </c>
      <c r="B3895">
        <v>221518748.75441682</v>
      </c>
    </row>
    <row r="3896" spans="1:2" x14ac:dyDescent="0.25">
      <c r="A3896">
        <f ca="1">28361.7508197949*(RANDBETWEEN(2890,3282))</f>
        <v>84120952.931511685</v>
      </c>
      <c r="B3896">
        <v>238398529.06063175</v>
      </c>
    </row>
    <row r="3897" spans="1:2" x14ac:dyDescent="0.25">
      <c r="A3897">
        <f ca="1">26904.5924989686*(RANDBETWEEN(2890,3282))</f>
        <v>86148505.181697518</v>
      </c>
      <c r="B3897">
        <v>241417700.25683314</v>
      </c>
    </row>
    <row r="3898" spans="1:2" x14ac:dyDescent="0.25">
      <c r="A3898">
        <f ca="1">27905.8098040943*(RANDBETWEEN(2890,3282))</f>
        <v>87010314.96916607</v>
      </c>
      <c r="B3898">
        <v>224637683.06159666</v>
      </c>
    </row>
    <row r="3899" spans="1:2" x14ac:dyDescent="0.25">
      <c r="A3899">
        <f ca="1">30563.5825605275*(RANDBETWEEN(2890,3282))</f>
        <v>95816831.327253565</v>
      </c>
      <c r="B3899">
        <v>232470908.15574348</v>
      </c>
    </row>
    <row r="3900" spans="1:2" x14ac:dyDescent="0.25">
      <c r="A3900">
        <f ca="1">32319.1594566316*(RANDBETWEEN(2890,3282))</f>
        <v>99607649.445338681</v>
      </c>
      <c r="B3900">
        <v>218367729.62177038</v>
      </c>
    </row>
    <row r="3901" spans="1:2" x14ac:dyDescent="0.25">
      <c r="A3901">
        <f ca="1">30257.7350643517*(RANDBETWEEN(2890,3282))</f>
        <v>87505369.806105182</v>
      </c>
      <c r="B3901">
        <v>258823937.1843923</v>
      </c>
    </row>
    <row r="3902" spans="1:2" x14ac:dyDescent="0.25">
      <c r="A3902">
        <f ca="1">31158.6054815959*(RANDBETWEEN(2890,3282))</f>
        <v>91201238.244631097</v>
      </c>
      <c r="B3902">
        <v>248607560.09243706</v>
      </c>
    </row>
    <row r="3903" spans="1:2" x14ac:dyDescent="0.25">
      <c r="A3903">
        <f ca="1">30658.9904084595*(RANDBETWEEN(2890,3282))</f>
        <v>92866081.947223753</v>
      </c>
      <c r="B3903">
        <v>256770903.33015344</v>
      </c>
    </row>
    <row r="3904" spans="1:2" x14ac:dyDescent="0.25">
      <c r="A3904">
        <f ca="1">30132.911768729*(RANDBETWEEN(2890,3282))</f>
        <v>93412026.483059883</v>
      </c>
      <c r="B3904">
        <v>231440808.94836512</v>
      </c>
    </row>
    <row r="3905" spans="1:2" x14ac:dyDescent="0.25">
      <c r="A3905">
        <f ca="1">27422.1981968941*(RANDBETWEEN(2890,3282))</f>
        <v>80347040.716899768</v>
      </c>
      <c r="B3905">
        <v>254841016.69995794</v>
      </c>
    </row>
    <row r="3906" spans="1:2" x14ac:dyDescent="0.25">
      <c r="A3906">
        <f ca="1">32828.7854094684*(RANDBETWEEN(2890,3282))</f>
        <v>102852584.68786468</v>
      </c>
      <c r="B3906">
        <v>266234332.69511592</v>
      </c>
    </row>
    <row r="3907" spans="1:2" x14ac:dyDescent="0.25">
      <c r="A3907">
        <f ca="1">32555.7044152869*(RANDBETWEEN(2890,3282))</f>
        <v>95192879.71029897</v>
      </c>
      <c r="B3907">
        <v>266197566.66460034</v>
      </c>
    </row>
    <row r="3908" spans="1:2" x14ac:dyDescent="0.25">
      <c r="A3908">
        <f ca="1">32266.4524999093*(RANDBETWEEN(2890,3282))</f>
        <v>99316140.79472068</v>
      </c>
      <c r="B3908">
        <v>239702444.81800523</v>
      </c>
    </row>
    <row r="3909" spans="1:2" x14ac:dyDescent="0.25">
      <c r="A3909">
        <f ca="1">33017.1037706263*(RANDBETWEEN(2890,3282))</f>
        <v>104433099.22649083</v>
      </c>
      <c r="B3909">
        <v>209002526.63620993</v>
      </c>
    </row>
    <row r="3910" spans="1:2" x14ac:dyDescent="0.25">
      <c r="A3910">
        <f ca="1">27168.7601231072*(RANDBETWEEN(2890,3282))</f>
        <v>85608763.147910789</v>
      </c>
      <c r="B3910">
        <v>213725987.27647191</v>
      </c>
    </row>
    <row r="3911" spans="1:2" x14ac:dyDescent="0.25">
      <c r="A3911">
        <f ca="1">29676.252276358*(RANDBETWEEN(2890,3282))</f>
        <v>88286850.522165179</v>
      </c>
      <c r="B3911">
        <v>233760130.23060435</v>
      </c>
    </row>
    <row r="3912" spans="1:2" x14ac:dyDescent="0.25">
      <c r="A3912">
        <f ca="1">28226.3477035354*(RANDBETWEEN(2890,3282))</f>
        <v>87981525.791919991</v>
      </c>
      <c r="B3912">
        <v>245785128.64023793</v>
      </c>
    </row>
    <row r="3913" spans="1:2" x14ac:dyDescent="0.25">
      <c r="A3913">
        <f ca="1">27354.6651586686*(RANDBETWEEN(2890,3282))</f>
        <v>88984725.761149034</v>
      </c>
      <c r="B3913">
        <v>231629209.31124583</v>
      </c>
    </row>
    <row r="3914" spans="1:2" x14ac:dyDescent="0.25">
      <c r="A3914">
        <f ca="1">30305.8271254422*(RANDBETWEEN(2890,3282))</f>
        <v>92766136.830978617</v>
      </c>
      <c r="B3914">
        <v>264535882.15415719</v>
      </c>
    </row>
    <row r="3915" spans="1:2" x14ac:dyDescent="0.25">
      <c r="A3915">
        <f ca="1">30814.0455403505*(RANDBETWEEN(2890,3282))</f>
        <v>90500851.752009302</v>
      </c>
      <c r="B3915">
        <v>237286534.4202998</v>
      </c>
    </row>
    <row r="3916" spans="1:2" x14ac:dyDescent="0.25">
      <c r="A3916">
        <f ca="1">31999.6051509802*(RANDBETWEEN(2890,3282))</f>
        <v>96126813.873544425</v>
      </c>
      <c r="B3916">
        <v>265961910.74828476</v>
      </c>
    </row>
    <row r="3917" spans="1:2" x14ac:dyDescent="0.25">
      <c r="A3917">
        <f ca="1">29230.7045125875*(RANDBETWEEN(2890,3282))</f>
        <v>87078268.742998093</v>
      </c>
      <c r="B3917">
        <v>240803272.82966059</v>
      </c>
    </row>
    <row r="3918" spans="1:2" x14ac:dyDescent="0.25">
      <c r="A3918">
        <f ca="1">27562.1506862329*(RANDBETWEEN(2890,3282))</f>
        <v>88116195.743886679</v>
      </c>
      <c r="B3918">
        <v>237173684.10827291</v>
      </c>
    </row>
    <row r="3919" spans="1:2" x14ac:dyDescent="0.25">
      <c r="A3919">
        <f ca="1">32785.2390881618*(RANDBETWEEN(2890,3282))</f>
        <v>97700012.482722178</v>
      </c>
      <c r="B3919">
        <v>260048839.76360673</v>
      </c>
    </row>
    <row r="3920" spans="1:2" x14ac:dyDescent="0.25">
      <c r="A3920">
        <f ca="1">27619.1548033005*(RANDBETWEEN(2890,3282))</f>
        <v>87414624.952446014</v>
      </c>
      <c r="B3920">
        <v>256009339.39850888</v>
      </c>
    </row>
    <row r="3921" spans="1:2" x14ac:dyDescent="0.25">
      <c r="A3921">
        <f ca="1">30334.1356152492*(RANDBETWEEN(2890,3282))</f>
        <v>92640450.168970972</v>
      </c>
      <c r="B3921">
        <v>218463812.49283779</v>
      </c>
    </row>
    <row r="3922" spans="1:2" x14ac:dyDescent="0.25">
      <c r="A3922">
        <f ca="1">27348.4143645779*(RANDBETWEEN(2890,3282))</f>
        <v>87460229.13792026</v>
      </c>
      <c r="B3922">
        <v>242917111.34760001</v>
      </c>
    </row>
    <row r="3923" spans="1:2" x14ac:dyDescent="0.25">
      <c r="A3923">
        <f ca="1">32636.0139935911*(RANDBETWEEN(2890,3282))</f>
        <v>97157413.65892081</v>
      </c>
      <c r="B3923">
        <v>263181148.21619466</v>
      </c>
    </row>
    <row r="3924" spans="1:2" x14ac:dyDescent="0.25">
      <c r="A3924">
        <f ca="1">29540.6570485117*(RANDBETWEEN(2890,3282))</f>
        <v>93998370.728364274</v>
      </c>
      <c r="B3924">
        <v>210108184.35004485</v>
      </c>
    </row>
    <row r="3925" spans="1:2" x14ac:dyDescent="0.25">
      <c r="A3925">
        <f ca="1">28159.7762096972*(RANDBETWEEN(2890,3282))</f>
        <v>86281554.306512132</v>
      </c>
      <c r="B3925">
        <v>266667798.23952714</v>
      </c>
    </row>
    <row r="3926" spans="1:2" x14ac:dyDescent="0.25">
      <c r="A3926">
        <f ca="1">28673.2496970099*(RANDBETWEEN(2890,3282))</f>
        <v>94048259.00619249</v>
      </c>
      <c r="B3926">
        <v>210155523.9748264</v>
      </c>
    </row>
    <row r="3927" spans="1:2" x14ac:dyDescent="0.25">
      <c r="A3927">
        <f ca="1">28361.6092500516*(RANDBETWEEN(2890,3282))</f>
        <v>87325394.880909026</v>
      </c>
      <c r="B3927">
        <v>256561713.55849099</v>
      </c>
    </row>
    <row r="3928" spans="1:2" x14ac:dyDescent="0.25">
      <c r="A3928">
        <f ca="1">32968.5956032479*(RANDBETWEEN(2890,3282))</f>
        <v>99894844.677841097</v>
      </c>
      <c r="B3928">
        <v>205568625.86750492</v>
      </c>
    </row>
    <row r="3929" spans="1:2" x14ac:dyDescent="0.25">
      <c r="A3929">
        <f ca="1">29678.9279030922*(RANDBETWEEN(2890,3282))</f>
        <v>97020415.315208331</v>
      </c>
      <c r="B3929">
        <v>249650794.4871687</v>
      </c>
    </row>
    <row r="3930" spans="1:2" x14ac:dyDescent="0.25">
      <c r="A3930">
        <f ca="1">31450.9186339786*(RANDBETWEEN(2890,3282))</f>
        <v>100548586.87282972</v>
      </c>
      <c r="B3930">
        <v>254617965.04735419</v>
      </c>
    </row>
    <row r="3931" spans="1:2" x14ac:dyDescent="0.25">
      <c r="A3931">
        <f ca="1">31800.2535986239*(RANDBETWEEN(2890,3282))</f>
        <v>102651218.61635797</v>
      </c>
      <c r="B3931">
        <v>255461397.09867805</v>
      </c>
    </row>
    <row r="3932" spans="1:2" x14ac:dyDescent="0.25">
      <c r="A3932">
        <f ca="1">32950.936490534*(RANDBETWEEN(2890,3282))</f>
        <v>100665110.97858123</v>
      </c>
      <c r="B3932">
        <v>213247659.92580867</v>
      </c>
    </row>
    <row r="3933" spans="1:2" x14ac:dyDescent="0.25">
      <c r="A3933">
        <f ca="1">31369.2549010389*(RANDBETWEEN(2890,3282))</f>
        <v>97558382.742231056</v>
      </c>
      <c r="B3933">
        <v>244469252.52200389</v>
      </c>
    </row>
    <row r="3934" spans="1:2" x14ac:dyDescent="0.25">
      <c r="A3934">
        <f ca="1">32036.0990512005*(RANDBETWEEN(2890,3282))</f>
        <v>94057986.814324692</v>
      </c>
      <c r="B3934">
        <v>243783797.3934117</v>
      </c>
    </row>
    <row r="3935" spans="1:2" x14ac:dyDescent="0.25">
      <c r="A3935">
        <f ca="1">27026.7414904716*(RANDBETWEEN(2890,3282))</f>
        <v>87566642.42912814</v>
      </c>
      <c r="B3935">
        <v>248240200.74279493</v>
      </c>
    </row>
    <row r="3936" spans="1:2" x14ac:dyDescent="0.25">
      <c r="A3936">
        <f ca="1">30958.8734743691*(RANDBETWEEN(2890,3282))</f>
        <v>101297434.00813554</v>
      </c>
      <c r="B3936">
        <v>227803976.73510897</v>
      </c>
    </row>
    <row r="3937" spans="1:2" x14ac:dyDescent="0.25">
      <c r="A3937">
        <f ca="1">30922.9868986963*(RANDBETWEEN(2890,3282))</f>
        <v>99819401.708991647</v>
      </c>
      <c r="B3937">
        <v>234662216.95036745</v>
      </c>
    </row>
    <row r="3938" spans="1:2" x14ac:dyDescent="0.25">
      <c r="A3938">
        <f ca="1">28676.8857161559*(RANDBETWEEN(2890,3282))</f>
        <v>85055643.034118444</v>
      </c>
      <c r="B3938">
        <v>206808733.46597683</v>
      </c>
    </row>
    <row r="3939" spans="1:2" x14ac:dyDescent="0.25">
      <c r="A3939">
        <f ca="1">28052.4725302573*(RANDBETWEEN(2890,3282))</f>
        <v>90637538.745261416</v>
      </c>
      <c r="B3939">
        <v>207180410.60958084</v>
      </c>
    </row>
    <row r="3940" spans="1:2" x14ac:dyDescent="0.25">
      <c r="A3940">
        <f ca="1">31107.8159009145*(RANDBETWEEN(2890,3282))</f>
        <v>95345455.736303076</v>
      </c>
      <c r="B3940">
        <v>228876917.1647051</v>
      </c>
    </row>
    <row r="3941" spans="1:2" x14ac:dyDescent="0.25">
      <c r="A3941">
        <f ca="1">28602.9279807417*(RANDBETWEEN(2890,3282))</f>
        <v>84578858.039053291</v>
      </c>
      <c r="B3941">
        <v>252353674.02098805</v>
      </c>
    </row>
    <row r="3942" spans="1:2" x14ac:dyDescent="0.25">
      <c r="A3942">
        <f ca="1">31319.0141022122*(RANDBETWEEN(2890,3282))</f>
        <v>100815906.39502119</v>
      </c>
      <c r="B3942">
        <v>252762022.38044843</v>
      </c>
    </row>
    <row r="3943" spans="1:2" x14ac:dyDescent="0.25">
      <c r="A3943">
        <f ca="1">27917.7736484712*(RANDBETWEEN(2890,3282))</f>
        <v>84618771.928516194</v>
      </c>
      <c r="B3943">
        <v>210663054.64892757</v>
      </c>
    </row>
    <row r="3944" spans="1:2" x14ac:dyDescent="0.25">
      <c r="A3944">
        <f ca="1">29083.0316363561*(RANDBETWEEN(2890,3282))</f>
        <v>86114856.675250486</v>
      </c>
      <c r="B3944">
        <v>231489924.81889352</v>
      </c>
    </row>
    <row r="3945" spans="1:2" x14ac:dyDescent="0.25">
      <c r="A3945">
        <f ca="1">29198.476579623*(RANDBETWEEN(2890,3282))</f>
        <v>94048293.062965825</v>
      </c>
      <c r="B3945">
        <v>249875148.54940557</v>
      </c>
    </row>
    <row r="3946" spans="1:2" x14ac:dyDescent="0.25">
      <c r="A3946">
        <f ca="1">32915.963400385*(RANDBETWEEN(2890,3282))</f>
        <v>102006570.57779317</v>
      </c>
      <c r="B3946">
        <v>230247374.93112651</v>
      </c>
    </row>
    <row r="3947" spans="1:2" x14ac:dyDescent="0.25">
      <c r="A3947">
        <f ca="1">29557.3678368436*(RANDBETWEEN(2890,3282))</f>
        <v>88228742.992978156</v>
      </c>
      <c r="B3947">
        <v>240071242.22700739</v>
      </c>
    </row>
    <row r="3948" spans="1:2" x14ac:dyDescent="0.25">
      <c r="A3948">
        <f ca="1">32334.0514893913*(RANDBETWEEN(2890,3282))</f>
        <v>101658257.88264619</v>
      </c>
      <c r="B3948">
        <v>237229696.41159144</v>
      </c>
    </row>
    <row r="3949" spans="1:2" x14ac:dyDescent="0.25">
      <c r="A3949">
        <f ca="1">28119.5819073334*(RANDBETWEEN(2890,3282))</f>
        <v>82643451.225652993</v>
      </c>
      <c r="B3949">
        <v>261691035.03654841</v>
      </c>
    </row>
    <row r="3950" spans="1:2" x14ac:dyDescent="0.25">
      <c r="A3950">
        <f ca="1">33682.0438819529*(RANDBETWEEN(2890,3282))</f>
        <v>97341106.818843827</v>
      </c>
      <c r="B3950">
        <v>264003282.30219567</v>
      </c>
    </row>
    <row r="3951" spans="1:2" x14ac:dyDescent="0.25">
      <c r="A3951">
        <f ca="1">29621.6360860725*(RANDBETWEEN(2890,3282))</f>
        <v>94759613.839345813</v>
      </c>
      <c r="B3951">
        <v>225319433.47946209</v>
      </c>
    </row>
    <row r="3952" spans="1:2" x14ac:dyDescent="0.25">
      <c r="A3952">
        <f ca="1">29395.7656534558*(RANDBETWEEN(2890,3282))</f>
        <v>94213428.919325739</v>
      </c>
      <c r="B3952">
        <v>251724122.02196497</v>
      </c>
    </row>
    <row r="3953" spans="1:2" x14ac:dyDescent="0.25">
      <c r="A3953">
        <f ca="1">27779.6895019586*(RANDBETWEEN(2890,3282))</f>
        <v>85783681.182048231</v>
      </c>
      <c r="B3953">
        <v>213809112.77267855</v>
      </c>
    </row>
    <row r="3954" spans="1:2" x14ac:dyDescent="0.25">
      <c r="A3954">
        <f ca="1">27140.7266641205*(RANDBETWEEN(2890,3282))</f>
        <v>79115218.225911394</v>
      </c>
      <c r="B3954">
        <v>254832892.48361114</v>
      </c>
    </row>
    <row r="3955" spans="1:2" x14ac:dyDescent="0.25">
      <c r="A3955">
        <f ca="1">27270.410660418*(RANDBETWEEN(2890,3282))</f>
        <v>84729165.92191869</v>
      </c>
      <c r="B3955">
        <v>207459777.05120891</v>
      </c>
    </row>
    <row r="3956" spans="1:2" x14ac:dyDescent="0.25">
      <c r="A3956">
        <f ca="1">27012.2592512909*(RANDBETWEEN(2890,3282))</f>
        <v>86007033.456110194</v>
      </c>
      <c r="B3956">
        <v>226436712.23752353</v>
      </c>
    </row>
    <row r="3957" spans="1:2" x14ac:dyDescent="0.25">
      <c r="A3957">
        <f ca="1">29599.6908171678*(RANDBETWEEN(2890,3282))</f>
        <v>94689410.92411992</v>
      </c>
      <c r="B3957">
        <v>242047371.87494797</v>
      </c>
    </row>
    <row r="3958" spans="1:2" x14ac:dyDescent="0.25">
      <c r="A3958">
        <f ca="1">29996.1884829277*(RANDBETWEEN(2890,3282))</f>
        <v>88218790.328290403</v>
      </c>
      <c r="B3958">
        <v>227572840.30198732</v>
      </c>
    </row>
    <row r="3959" spans="1:2" x14ac:dyDescent="0.25">
      <c r="A3959">
        <f ca="1">31493.1632670445*(RANDBETWEEN(2890,3282))</f>
        <v>95140846.229741484</v>
      </c>
      <c r="B3959">
        <v>207854757.95281726</v>
      </c>
    </row>
    <row r="3960" spans="1:2" x14ac:dyDescent="0.25">
      <c r="A3960">
        <f ca="1">26105.9743598616*(RANDBETWEEN(2890,3282))</f>
        <v>79153314.259100407</v>
      </c>
      <c r="B3960">
        <v>219378047.46449134</v>
      </c>
    </row>
    <row r="3961" spans="1:2" x14ac:dyDescent="0.25">
      <c r="A3961">
        <f ca="1">33814.0727725804*(RANDBETWEEN(2890,3282))</f>
        <v>102930037.5197347</v>
      </c>
      <c r="B3961">
        <v>240490014.44040197</v>
      </c>
    </row>
    <row r="3962" spans="1:2" x14ac:dyDescent="0.25">
      <c r="A3962">
        <f ca="1">33957.4351649605*(RANDBETWEEN(2890,3282))</f>
        <v>106762176.15863588</v>
      </c>
      <c r="B3962">
        <v>266601478.4155159</v>
      </c>
    </row>
    <row r="3963" spans="1:2" x14ac:dyDescent="0.25">
      <c r="A3963">
        <f ca="1">29366.8974453167*(RANDBETWEEN(2890,3282))</f>
        <v>88218159.925731331</v>
      </c>
      <c r="B3963">
        <v>260024268.23292509</v>
      </c>
    </row>
    <row r="3964" spans="1:2" x14ac:dyDescent="0.25">
      <c r="A3964">
        <f ca="1">27035.2657372319*(RANDBETWEEN(2890,3282))</f>
        <v>80024386.582206517</v>
      </c>
      <c r="B3964">
        <v>216265517.42445898</v>
      </c>
    </row>
    <row r="3965" spans="1:2" x14ac:dyDescent="0.25">
      <c r="A3965">
        <f ca="1">29032.2882724887*(RANDBETWEEN(2890,3282))</f>
        <v>91045256.022524595</v>
      </c>
      <c r="B3965">
        <v>205178488.26749384</v>
      </c>
    </row>
    <row r="3966" spans="1:2" x14ac:dyDescent="0.25">
      <c r="A3966">
        <f ca="1">29115.2933345465*(RANDBETWEEN(2890,3282))</f>
        <v>94217089.23059231</v>
      </c>
      <c r="B3966">
        <v>228251090.92790717</v>
      </c>
    </row>
    <row r="3967" spans="1:2" x14ac:dyDescent="0.25">
      <c r="A3967">
        <f ca="1">28798.5050394446*(RANDBETWEEN(2890,3282))</f>
        <v>87173074.754398867</v>
      </c>
      <c r="B3967">
        <v>252708206.77306491</v>
      </c>
    </row>
    <row r="3968" spans="1:2" x14ac:dyDescent="0.25">
      <c r="A3968">
        <f ca="1">30070.3788555376*(RANDBETWEEN(2890,3282))</f>
        <v>96586056.883986875</v>
      </c>
      <c r="B3968">
        <v>247541404.68310583</v>
      </c>
    </row>
    <row r="3969" spans="1:2" x14ac:dyDescent="0.25">
      <c r="A3969">
        <f ca="1">31458.7220335748*(RANDBETWEEN(2890,3282))</f>
        <v>92960523.609213471</v>
      </c>
      <c r="B3969">
        <v>262808875.23293057</v>
      </c>
    </row>
    <row r="3970" spans="1:2" x14ac:dyDescent="0.25">
      <c r="A3970">
        <f ca="1">33569.01654711*(RANDBETWEEN(2890,3282))</f>
        <v>101210584.88953651</v>
      </c>
      <c r="B3970">
        <v>241863771.27101514</v>
      </c>
    </row>
    <row r="3971" spans="1:2" x14ac:dyDescent="0.25">
      <c r="A3971">
        <f ca="1">27289.8708741491*(RANDBETWEEN(2890,3282))</f>
        <v>80341379.853495076</v>
      </c>
      <c r="B3971">
        <v>232267978.89864829</v>
      </c>
    </row>
    <row r="3972" spans="1:2" x14ac:dyDescent="0.25">
      <c r="A3972">
        <f ca="1">28772.7462246392*(RANDBETWEEN(2890,3282))</f>
        <v>94115652.90079473</v>
      </c>
      <c r="B3972">
        <v>235332186.14253259</v>
      </c>
    </row>
    <row r="3973" spans="1:2" x14ac:dyDescent="0.25">
      <c r="A3973">
        <f ca="1">26011.1951983823*(RANDBETWEEN(2890,3282))</f>
        <v>81284984.994944632</v>
      </c>
      <c r="B3973">
        <v>213116196.44779855</v>
      </c>
    </row>
    <row r="3974" spans="1:2" x14ac:dyDescent="0.25">
      <c r="A3974">
        <f ca="1">31931.196349042*(RANDBETWEEN(2890,3282))</f>
        <v>97996841.595209941</v>
      </c>
      <c r="B3974">
        <v>237835050.96090475</v>
      </c>
    </row>
    <row r="3975" spans="1:2" x14ac:dyDescent="0.25">
      <c r="A3975">
        <f ca="1">27359.3440888035*(RANDBETWEEN(2890,3282))</f>
        <v>84239420.449425891</v>
      </c>
      <c r="B3975">
        <v>223155708.95248106</v>
      </c>
    </row>
    <row r="3976" spans="1:2" x14ac:dyDescent="0.25">
      <c r="A3976">
        <f ca="1">33929.0711778541*(RANDBETWEEN(2890,3282))</f>
        <v>102703298.45536448</v>
      </c>
      <c r="B3976">
        <v>223581947.07222703</v>
      </c>
    </row>
    <row r="3977" spans="1:2" x14ac:dyDescent="0.25">
      <c r="A3977">
        <f ca="1">31758.1044933083*(RANDBETWEEN(2890,3282))</f>
        <v>98926495.496655345</v>
      </c>
      <c r="B3977">
        <v>247299384.85040307</v>
      </c>
    </row>
    <row r="3978" spans="1:2" x14ac:dyDescent="0.25">
      <c r="A3978">
        <f ca="1">33328.060157738*(RANDBETWEEN(2890,3282))</f>
        <v>104816749.19608612</v>
      </c>
      <c r="B3978">
        <v>241936091.15723071</v>
      </c>
    </row>
    <row r="3979" spans="1:2" x14ac:dyDescent="0.25">
      <c r="A3979">
        <f ca="1">29734.531160705*(RANDBETWEEN(2890,3282))</f>
        <v>96696695.334612742</v>
      </c>
      <c r="B3979">
        <v>210282471.88581514</v>
      </c>
    </row>
    <row r="3980" spans="1:2" x14ac:dyDescent="0.25">
      <c r="A3980">
        <f ca="1">32624.0596402827*(RANDBETWEEN(2890,3282))</f>
        <v>94609772.956819728</v>
      </c>
      <c r="B3980">
        <v>231732327.6681473</v>
      </c>
    </row>
    <row r="3981" spans="1:2" x14ac:dyDescent="0.25">
      <c r="A3981">
        <f ca="1">31378.7983769564*(RANDBETWEEN(2890,3282))</f>
        <v>97839093.33934994</v>
      </c>
      <c r="B3981">
        <v>238057004.78134558</v>
      </c>
    </row>
    <row r="3982" spans="1:2" x14ac:dyDescent="0.25">
      <c r="A3982">
        <f ca="1">29603.2897965934*(RANDBETWEEN(2890,3282))</f>
        <v>90852496.385745063</v>
      </c>
      <c r="B3982">
        <v>221456984.04759955</v>
      </c>
    </row>
    <row r="3983" spans="1:2" x14ac:dyDescent="0.25">
      <c r="A3983">
        <f ca="1">31437.0628930238*(RANDBETWEEN(2890,3282))</f>
        <v>102579136.21993677</v>
      </c>
      <c r="B3983">
        <v>221491967.06308782</v>
      </c>
    </row>
    <row r="3984" spans="1:2" x14ac:dyDescent="0.25">
      <c r="A3984">
        <f ca="1">30120.5080928102*(RANDBETWEEN(2890,3282))</f>
        <v>94939841.508537814</v>
      </c>
      <c r="B3984">
        <v>253102298.08517471</v>
      </c>
    </row>
    <row r="3985" spans="1:2" x14ac:dyDescent="0.25">
      <c r="A3985">
        <f ca="1">28831.5782012768*(RANDBETWEEN(2890,3282))</f>
        <v>89954523.98798354</v>
      </c>
      <c r="B3985">
        <v>263503388.96323118</v>
      </c>
    </row>
    <row r="3986" spans="1:2" x14ac:dyDescent="0.25">
      <c r="A3986">
        <f ca="1">28127.5783130541*(RANDBETWEEN(2890,3282))</f>
        <v>91667777.722243205</v>
      </c>
      <c r="B3986">
        <v>216369278.99908161</v>
      </c>
    </row>
    <row r="3987" spans="1:2" x14ac:dyDescent="0.25">
      <c r="A3987">
        <f ca="1">31263.4674026517*(RANDBETWEEN(2890,3282))</f>
        <v>92821234.718473032</v>
      </c>
      <c r="B3987">
        <v>228312363.93970042</v>
      </c>
    </row>
    <row r="3988" spans="1:2" x14ac:dyDescent="0.25">
      <c r="A3988">
        <f ca="1">31259.0063863533*(RANDBETWEEN(2890,3282))</f>
        <v>94089609.222923532</v>
      </c>
      <c r="B3988">
        <v>244289473.27630299</v>
      </c>
    </row>
    <row r="3989" spans="1:2" x14ac:dyDescent="0.25">
      <c r="A3989">
        <f ca="1">28161.1977376133*(RANDBETWEEN(2890,3282))</f>
        <v>87130745.800175637</v>
      </c>
      <c r="B3989">
        <v>248351736.67291781</v>
      </c>
    </row>
    <row r="3990" spans="1:2" x14ac:dyDescent="0.25">
      <c r="A3990">
        <f ca="1">28844.4909789805*(RANDBETWEEN(2890,3282))</f>
        <v>84600892.041349858</v>
      </c>
      <c r="B3990">
        <v>237912697.96024069</v>
      </c>
    </row>
    <row r="3991" spans="1:2" x14ac:dyDescent="0.25">
      <c r="A3991">
        <f ca="1">28175.8644185988*(RANDBETWEEN(2890,3282))</f>
        <v>85006582.950912639</v>
      </c>
      <c r="B3991">
        <v>216930107.40781915</v>
      </c>
    </row>
    <row r="3992" spans="1:2" x14ac:dyDescent="0.25">
      <c r="A3992">
        <f ca="1">30025.4317403238*(RANDBETWEEN(2890,3282))</f>
        <v>90016244.357490733</v>
      </c>
      <c r="B3992">
        <v>255830870.46416825</v>
      </c>
    </row>
    <row r="3993" spans="1:2" x14ac:dyDescent="0.25">
      <c r="A3993">
        <f ca="1">30605.4515491113*(RANDBETWEEN(2890,3282))</f>
        <v>91693932.841137588</v>
      </c>
      <c r="B3993">
        <v>258642360.56034392</v>
      </c>
    </row>
    <row r="3994" spans="1:2" x14ac:dyDescent="0.25">
      <c r="A3994">
        <f ca="1">30079.0371686563*(RANDBETWEEN(2890,3282))</f>
        <v>87048733.566091299</v>
      </c>
      <c r="B3994">
        <v>252000108.98176649</v>
      </c>
    </row>
    <row r="3995" spans="1:2" x14ac:dyDescent="0.25">
      <c r="A3995">
        <f ca="1">27209.6069476207*(RANDBETWEEN(2890,3282))</f>
        <v>80132292.46074298</v>
      </c>
      <c r="B3995">
        <v>250749412.48509794</v>
      </c>
    </row>
    <row r="3996" spans="1:2" x14ac:dyDescent="0.25">
      <c r="A3996">
        <f ca="1">30020.7149297487*(RANDBETWEEN(2890,3282))</f>
        <v>94775397.033216745</v>
      </c>
      <c r="B3996">
        <v>234880438.39177179</v>
      </c>
    </row>
    <row r="3997" spans="1:2" x14ac:dyDescent="0.25">
      <c r="A3997">
        <f ca="1">28596.3202444175*(RANDBETWEEN(2890,3282))</f>
        <v>84931071.125919983</v>
      </c>
      <c r="B3997">
        <v>257935117.15052584</v>
      </c>
    </row>
    <row r="3998" spans="1:2" x14ac:dyDescent="0.25">
      <c r="A3998">
        <f ca="1">31756.8812348773*(RANDBETWEEN(2890,3282))</f>
        <v>95429428.110806301</v>
      </c>
      <c r="B3998">
        <v>227893029.37268317</v>
      </c>
    </row>
    <row r="3999" spans="1:2" x14ac:dyDescent="0.25">
      <c r="A3999">
        <f ca="1">31905.1174055967*(RANDBETWEEN(2890,3282))</f>
        <v>92748176.298069596</v>
      </c>
      <c r="B3999">
        <v>251121602.2876128</v>
      </c>
    </row>
    <row r="4000" spans="1:2" x14ac:dyDescent="0.25">
      <c r="A4000">
        <f ca="1">27264.267715128*(RANDBETWEEN(2890,3282))</f>
        <v>85009986.735769168</v>
      </c>
      <c r="B4000">
        <v>220894712.41109884</v>
      </c>
    </row>
    <row r="4001" spans="1:2" x14ac:dyDescent="0.25">
      <c r="A4001">
        <f ca="1">27326.2558887486*(RANDBETWEEN(2890,3282))</f>
        <v>81486895.060248181</v>
      </c>
      <c r="B4001">
        <v>205554379.00354046</v>
      </c>
    </row>
    <row r="4002" spans="1:2" x14ac:dyDescent="0.25">
      <c r="A4002">
        <f ca="1">31433.8692058761*(RANDBETWEEN(2890,3282))</f>
        <v>90938183.612599432</v>
      </c>
      <c r="B4002">
        <v>263385856.29265732</v>
      </c>
    </row>
    <row r="4003" spans="1:2" x14ac:dyDescent="0.25">
      <c r="A4003">
        <f ca="1">31225.9481329082*(RANDBETWEEN(2890,3282))</f>
        <v>101640461.17261615</v>
      </c>
      <c r="B4003">
        <v>264397756.59151953</v>
      </c>
    </row>
    <row r="4004" spans="1:2" x14ac:dyDescent="0.25">
      <c r="A4004">
        <f ca="1">29028.6341171774*(RANDBETWEEN(2890,3282))</f>
        <v>87260074.156235367</v>
      </c>
      <c r="B4004">
        <v>228770947.94811314</v>
      </c>
    </row>
    <row r="4005" spans="1:2" x14ac:dyDescent="0.25">
      <c r="A4005">
        <f ca="1">32692.9590424025*(RANDBETWEEN(2890,3282))</f>
        <v>97719254.577741131</v>
      </c>
      <c r="B4005">
        <v>230310749.73523057</v>
      </c>
    </row>
    <row r="4006" spans="1:2" x14ac:dyDescent="0.25">
      <c r="A4006">
        <f ca="1">31187.637236545*(RANDBETWEEN(2890,3282))</f>
        <v>96432174.33539702</v>
      </c>
      <c r="B4006">
        <v>257046870.1305089</v>
      </c>
    </row>
    <row r="4007" spans="1:2" x14ac:dyDescent="0.25">
      <c r="A4007">
        <f ca="1">31849.009591572*(RANDBETWEEN(2890,3282))</f>
        <v>100228833.18467721</v>
      </c>
      <c r="B4007">
        <v>245537097.76611868</v>
      </c>
    </row>
    <row r="4008" spans="1:2" x14ac:dyDescent="0.25">
      <c r="A4008">
        <f ca="1">28657.7194390864*(RANDBETWEEN(2890,3282))</f>
        <v>83565909.884375855</v>
      </c>
      <c r="B4008">
        <v>246553100.06950212</v>
      </c>
    </row>
    <row r="4009" spans="1:2" x14ac:dyDescent="0.25">
      <c r="A4009">
        <f ca="1">25960.6149773571*(RANDBETWEEN(2890,3282))</f>
        <v>76142483.728588492</v>
      </c>
      <c r="B4009">
        <v>232915150.40670851</v>
      </c>
    </row>
    <row r="4010" spans="1:2" x14ac:dyDescent="0.25">
      <c r="A4010">
        <f ca="1">27246.6835882536*(RANDBETWEEN(2890,3282))</f>
        <v>81849037.499113783</v>
      </c>
      <c r="B4010">
        <v>207365216.77468228</v>
      </c>
    </row>
    <row r="4011" spans="1:2" x14ac:dyDescent="0.25">
      <c r="A4011">
        <f ca="1">34760.1377673602*(RANDBETWEEN(2890,3282))</f>
        <v>107860707.49211869</v>
      </c>
      <c r="B4011">
        <v>212275911.58496758</v>
      </c>
    </row>
    <row r="4012" spans="1:2" x14ac:dyDescent="0.25">
      <c r="A4012">
        <f ca="1">31743.5418850478*(RANDBETWEEN(2890,3282))</f>
        <v>97674878.380292222</v>
      </c>
      <c r="B4012">
        <v>254445088.87439811</v>
      </c>
    </row>
    <row r="4013" spans="1:2" x14ac:dyDescent="0.25">
      <c r="A4013">
        <f ca="1">27305.9473413871*(RANDBETWEEN(2890,3282))</f>
        <v>88962776.438239217</v>
      </c>
      <c r="B4013">
        <v>229135135.22703904</v>
      </c>
    </row>
    <row r="4014" spans="1:2" x14ac:dyDescent="0.25">
      <c r="A4014">
        <f ca="1">30357.0582571632*(RANDBETWEEN(2890,3282))</f>
        <v>91344388.295804173</v>
      </c>
      <c r="B4014">
        <v>228371922.08116794</v>
      </c>
    </row>
    <row r="4015" spans="1:2" x14ac:dyDescent="0.25">
      <c r="A4015">
        <f ca="1">27209.2419596904*(RANDBETWEEN(2890,3282))</f>
        <v>83069815.702934861</v>
      </c>
      <c r="B4015">
        <v>251311618.05043387</v>
      </c>
    </row>
    <row r="4016" spans="1:2" x14ac:dyDescent="0.25">
      <c r="A4016">
        <f ca="1">26051.6056233643*(RANDBETWEEN(2890,3282))</f>
        <v>77685887.968872443</v>
      </c>
      <c r="B4016">
        <v>210473964.715718</v>
      </c>
    </row>
    <row r="4017" spans="1:2" x14ac:dyDescent="0.25">
      <c r="A4017">
        <f ca="1">32619.5164727644*(RANDBETWEEN(2890,3282))</f>
        <v>100337632.67022328</v>
      </c>
      <c r="B4017">
        <v>216253293.97260129</v>
      </c>
    </row>
    <row r="4018" spans="1:2" x14ac:dyDescent="0.25">
      <c r="A4018">
        <f ca="1">27613.7180190165*(RANDBETWEEN(2890,3282))</f>
        <v>87894464.454529554</v>
      </c>
      <c r="B4018">
        <v>229492339.16601706</v>
      </c>
    </row>
    <row r="4019" spans="1:2" x14ac:dyDescent="0.25">
      <c r="A4019">
        <f ca="1">30209.0488316407*(RANDBETWEEN(2890,3282))</f>
        <v>89116694.053340077</v>
      </c>
      <c r="B4019">
        <v>265477558.20609063</v>
      </c>
    </row>
    <row r="4020" spans="1:2" x14ac:dyDescent="0.25">
      <c r="A4020">
        <f ca="1">30811.8475193441*(RANDBETWEEN(2890,3282))</f>
        <v>100415811.06554228</v>
      </c>
      <c r="B4020">
        <v>213992691.94280714</v>
      </c>
    </row>
    <row r="4021" spans="1:2" x14ac:dyDescent="0.25">
      <c r="A4021">
        <f ca="1">27202.3879591266*(RANDBETWEEN(2890,3282))</f>
        <v>84789843.268597707</v>
      </c>
      <c r="B4021">
        <v>209221640.6629926</v>
      </c>
    </row>
    <row r="4022" spans="1:2" x14ac:dyDescent="0.25">
      <c r="A4022">
        <f ca="1">30737.3717195061*(RANDBETWEEN(2890,3282))</f>
        <v>93042024.194945067</v>
      </c>
      <c r="B4022">
        <v>254172274.97437644</v>
      </c>
    </row>
    <row r="4023" spans="1:2" x14ac:dyDescent="0.25">
      <c r="A4023">
        <f ca="1">27739.0267238776*(RANDBETWEEN(2890,3282))</f>
        <v>84964638.855237007</v>
      </c>
      <c r="B4023">
        <v>205732028.07398105</v>
      </c>
    </row>
    <row r="4024" spans="1:2" x14ac:dyDescent="0.25">
      <c r="A4024">
        <f ca="1">26950.5132829315*(RANDBETWEEN(2890,3282))</f>
        <v>85675681.726439372</v>
      </c>
      <c r="B4024">
        <v>220479406.90107495</v>
      </c>
    </row>
    <row r="4025" spans="1:2" x14ac:dyDescent="0.25">
      <c r="A4025">
        <f ca="1">30829.6284187784*(RANDBETWEEN(2890,3282))</f>
        <v>93752900.021505252</v>
      </c>
      <c r="B4025">
        <v>210603478.95018575</v>
      </c>
    </row>
    <row r="4026" spans="1:2" x14ac:dyDescent="0.25">
      <c r="A4026">
        <f ca="1">27409.3333970525*(RANDBETWEEN(2890,3282))</f>
        <v>85626757.532391921</v>
      </c>
      <c r="B4026">
        <v>226481601.15181637</v>
      </c>
    </row>
    <row r="4027" spans="1:2" x14ac:dyDescent="0.25">
      <c r="A4027">
        <f ca="1">33359.9674440774*(RANDBETWEEN(2890,3282))</f>
        <v>103182379.30453141</v>
      </c>
      <c r="B4027">
        <v>261533526.79742095</v>
      </c>
    </row>
    <row r="4028" spans="1:2" x14ac:dyDescent="0.25">
      <c r="A4028">
        <f ca="1">27260.2928976413*(RANDBETWEEN(2890,3282))</f>
        <v>83607318.31706588</v>
      </c>
      <c r="B4028">
        <v>261089388.73524928</v>
      </c>
    </row>
    <row r="4029" spans="1:2" x14ac:dyDescent="0.25">
      <c r="A4029">
        <f ca="1">32381.1643152135*(RANDBETWEEN(2890,3282))</f>
        <v>99766367.255172655</v>
      </c>
      <c r="B4029">
        <v>207537177.38680077</v>
      </c>
    </row>
    <row r="4030" spans="1:2" x14ac:dyDescent="0.25">
      <c r="A4030">
        <f ca="1">29253.814127736*(RANDBETWEEN(2890,3282))</f>
        <v>91769214.918707758</v>
      </c>
      <c r="B4030">
        <v>205739989.67769724</v>
      </c>
    </row>
    <row r="4031" spans="1:2" x14ac:dyDescent="0.25">
      <c r="A4031">
        <f ca="1">30201.8777119781*(RANDBETWEEN(2890,3282))</f>
        <v>88280088.552111924</v>
      </c>
      <c r="B4031">
        <v>254677075.27253649</v>
      </c>
    </row>
    <row r="4032" spans="1:2" x14ac:dyDescent="0.25">
      <c r="A4032">
        <f ca="1">26979.6260905084*(RANDBETWEEN(2890,3282))</f>
        <v>86712518.254893869</v>
      </c>
      <c r="B4032">
        <v>250410342.98849732</v>
      </c>
    </row>
    <row r="4033" spans="1:2" x14ac:dyDescent="0.25">
      <c r="A4033">
        <f ca="1">31846.7578215166*(RANDBETWEEN(2890,3282))</f>
        <v>101845931.51321019</v>
      </c>
      <c r="B4033">
        <v>209949543.74658009</v>
      </c>
    </row>
    <row r="4034" spans="1:2" x14ac:dyDescent="0.25">
      <c r="A4034">
        <f ca="1">29927.89166939*(RANDBETWEEN(2890,3282))</f>
        <v>96278027.500427678</v>
      </c>
      <c r="B4034">
        <v>217952329.57749724</v>
      </c>
    </row>
    <row r="4035" spans="1:2" x14ac:dyDescent="0.25">
      <c r="A4035">
        <f ca="1">26812.4737977315*(RANDBETWEEN(2890,3282))</f>
        <v>79204047.598498836</v>
      </c>
      <c r="B4035">
        <v>219726649.29601261</v>
      </c>
    </row>
    <row r="4036" spans="1:2" x14ac:dyDescent="0.25">
      <c r="A4036">
        <f ca="1">28788.7058970057*(RANDBETWEEN(2890,3282))</f>
        <v>84034232.513359517</v>
      </c>
      <c r="B4036">
        <v>262690885.48941663</v>
      </c>
    </row>
    <row r="4037" spans="1:2" x14ac:dyDescent="0.25">
      <c r="A4037">
        <f ca="1">28744.3371164752*(RANDBETWEEN(2890,3282))</f>
        <v>88331347.958928391</v>
      </c>
      <c r="B4037">
        <v>236014317.06883979</v>
      </c>
    </row>
    <row r="4038" spans="1:2" x14ac:dyDescent="0.25">
      <c r="A4038">
        <f ca="1">28210.4139753121*(RANDBETWEEN(2890,3282))</f>
        <v>91571003.763863102</v>
      </c>
      <c r="B4038">
        <v>247823447.86306256</v>
      </c>
    </row>
    <row r="4039" spans="1:2" x14ac:dyDescent="0.25">
      <c r="A4039">
        <f ca="1">30423.3341906665*(RANDBETWEEN(2890,3282))</f>
        <v>94829532.672307432</v>
      </c>
      <c r="B4039">
        <v>207475070.79501295</v>
      </c>
    </row>
    <row r="4040" spans="1:2" x14ac:dyDescent="0.25">
      <c r="A4040">
        <f ca="1">29113.7119904301*(RANDBETWEEN(2890,3282))</f>
        <v>92814513.825491026</v>
      </c>
      <c r="B4040">
        <v>265879722.54254481</v>
      </c>
    </row>
    <row r="4041" spans="1:2" x14ac:dyDescent="0.25">
      <c r="A4041">
        <f ca="1">30334.9392000842*(RANDBETWEEN(2890,3282))</f>
        <v>95797737.993865803</v>
      </c>
      <c r="B4041">
        <v>253534261.35070574</v>
      </c>
    </row>
    <row r="4042" spans="1:2" x14ac:dyDescent="0.25">
      <c r="A4042">
        <f ca="1">29560.6045110137*(RANDBETWEEN(2890,3282))</f>
        <v>86730813.635314077</v>
      </c>
      <c r="B4042">
        <v>249041149.82365531</v>
      </c>
    </row>
    <row r="4043" spans="1:2" x14ac:dyDescent="0.25">
      <c r="A4043">
        <f ca="1">30656.2694997753*(RANDBETWEEN(2890,3282))</f>
        <v>90711901.449835062</v>
      </c>
      <c r="B4043">
        <v>214913221.99648672</v>
      </c>
    </row>
    <row r="4044" spans="1:2" x14ac:dyDescent="0.25">
      <c r="A4044">
        <f ca="1">26412.9836095928*(RANDBETWEEN(2890,3282))</f>
        <v>84204591.747381806</v>
      </c>
      <c r="B4044">
        <v>230477315.11280948</v>
      </c>
    </row>
    <row r="4045" spans="1:2" x14ac:dyDescent="0.25">
      <c r="A4045">
        <f ca="1">33331.3671601899*(RANDBETWEEN(2890,3282))</f>
        <v>106493718.07680658</v>
      </c>
      <c r="B4045">
        <v>247830576.34682387</v>
      </c>
    </row>
    <row r="4046" spans="1:2" x14ac:dyDescent="0.25">
      <c r="A4046">
        <f ca="1">31297.3718245942*(RANDBETWEEN(2890,3282))</f>
        <v>94205089.192028433</v>
      </c>
      <c r="B4046">
        <v>257042923.64325127</v>
      </c>
    </row>
    <row r="4047" spans="1:2" x14ac:dyDescent="0.25">
      <c r="A4047">
        <f ca="1">27430.8762555964*(RANDBETWEEN(2890,3282))</f>
        <v>88025681.904208943</v>
      </c>
      <c r="B4047">
        <v>239250878.38405591</v>
      </c>
    </row>
    <row r="4048" spans="1:2" x14ac:dyDescent="0.25">
      <c r="A4048">
        <f ca="1">28012.5574737446*(RANDBETWEEN(2890,3282))</f>
        <v>87875392.79513678</v>
      </c>
      <c r="B4048">
        <v>220299823.69358742</v>
      </c>
    </row>
    <row r="4049" spans="1:2" x14ac:dyDescent="0.25">
      <c r="A4049">
        <f ca="1">29048.621343683*(RANDBETWEEN(2890,3282))</f>
        <v>94843748.687124968</v>
      </c>
      <c r="B4049">
        <v>212142836.51049808</v>
      </c>
    </row>
    <row r="4050" spans="1:2" x14ac:dyDescent="0.25">
      <c r="A4050">
        <f ca="1">27479.3050496797*(RANDBETWEEN(2890,3282))</f>
        <v>90132120.5629493</v>
      </c>
      <c r="B4050">
        <v>241589647.79567492</v>
      </c>
    </row>
    <row r="4051" spans="1:2" x14ac:dyDescent="0.25">
      <c r="A4051">
        <f ca="1">29444.2735624748*(RANDBETWEEN(2890,3282))</f>
        <v>88715596.24373664</v>
      </c>
      <c r="B4051">
        <v>246379478.38599816</v>
      </c>
    </row>
    <row r="4052" spans="1:2" x14ac:dyDescent="0.25">
      <c r="A4052">
        <f ca="1">32924.2371120314*(RANDBETWEEN(2890,3282))</f>
        <v>103612574.19156279</v>
      </c>
      <c r="B4052">
        <v>207310699.07980332</v>
      </c>
    </row>
    <row r="4053" spans="1:2" x14ac:dyDescent="0.25">
      <c r="A4053">
        <f ca="1">28945.8950438171*(RANDBETWEEN(2890,3282))</f>
        <v>88458655.253905013</v>
      </c>
      <c r="B4053">
        <v>207755573.8922582</v>
      </c>
    </row>
    <row r="4054" spans="1:2" x14ac:dyDescent="0.25">
      <c r="A4054">
        <f ca="1">26882.235888907*(RANDBETWEEN(2890,3282))</f>
        <v>83791929.26572305</v>
      </c>
      <c r="B4054">
        <v>253764388.16191113</v>
      </c>
    </row>
    <row r="4055" spans="1:2" x14ac:dyDescent="0.25">
      <c r="A4055">
        <f ca="1">28504.9125476098*(RANDBETWEEN(2890,3282))</f>
        <v>89647949.962232828</v>
      </c>
      <c r="B4055">
        <v>204351374.23322123</v>
      </c>
    </row>
    <row r="4056" spans="1:2" x14ac:dyDescent="0.25">
      <c r="A4056">
        <f ca="1">27499.9237194691*(RANDBETWEEN(2890,3282))</f>
        <v>87064758.495839015</v>
      </c>
      <c r="B4056">
        <v>219011013.02057919</v>
      </c>
    </row>
    <row r="4057" spans="1:2" x14ac:dyDescent="0.25">
      <c r="A4057">
        <f ca="1">30015.9617447796*(RANDBETWEEN(2890,3282))</f>
        <v>93649800.643712267</v>
      </c>
      <c r="B4057">
        <v>218657666.97455072</v>
      </c>
    </row>
    <row r="4058" spans="1:2" x14ac:dyDescent="0.25">
      <c r="A4058">
        <f ca="1">28486.434616283*(RANDBETWEEN(2890,3282))</f>
        <v>82325796.0410579</v>
      </c>
      <c r="B4058">
        <v>253286750.48183748</v>
      </c>
    </row>
    <row r="4059" spans="1:2" x14ac:dyDescent="0.25">
      <c r="A4059">
        <f ca="1">29376.9106572794*(RANDBETWEEN(2890,3282))</f>
        <v>86191855.868457884</v>
      </c>
      <c r="B4059">
        <v>241632703.89630637</v>
      </c>
    </row>
    <row r="4060" spans="1:2" x14ac:dyDescent="0.25">
      <c r="A4060">
        <f ca="1">30545.7480351535*(RANDBETWEEN(2890,3282))</f>
        <v>98723857.649616182</v>
      </c>
      <c r="B4060">
        <v>228488608.15025681</v>
      </c>
    </row>
    <row r="4061" spans="1:2" x14ac:dyDescent="0.25">
      <c r="A4061">
        <f ca="1">26459.7178076814*(RANDBETWEEN(2890,3282))</f>
        <v>84644637.266772807</v>
      </c>
      <c r="B4061">
        <v>211274817.51664513</v>
      </c>
    </row>
    <row r="4062" spans="1:2" x14ac:dyDescent="0.25">
      <c r="A4062">
        <f ca="1">28130.0640231226*(RANDBETWEEN(2890,3282))</f>
        <v>82786778.420049965</v>
      </c>
      <c r="B4062">
        <v>236258140.39955199</v>
      </c>
    </row>
    <row r="4063" spans="1:2" x14ac:dyDescent="0.25">
      <c r="A4063">
        <f ca="1">29163.6220518399*(RANDBETWEEN(2890,3282))</f>
        <v>87549193.39962326</v>
      </c>
      <c r="B4063">
        <v>236599032.01397473</v>
      </c>
    </row>
    <row r="4064" spans="1:2" x14ac:dyDescent="0.25">
      <c r="A4064">
        <f ca="1">28409.4597499404*(RANDBETWEEN(2890,3282))</f>
        <v>88097734.684565321</v>
      </c>
      <c r="B4064">
        <v>228566167.66061717</v>
      </c>
    </row>
    <row r="4065" spans="1:2" x14ac:dyDescent="0.25">
      <c r="A4065">
        <f ca="1">32774.5154015089*(RANDBETWEEN(2890,3282))</f>
        <v>96848693.011458933</v>
      </c>
      <c r="B4065">
        <v>232707326.43022034</v>
      </c>
    </row>
    <row r="4066" spans="1:2" x14ac:dyDescent="0.25">
      <c r="A4066">
        <f ca="1">32612.8209192999*(RANDBETWEEN(2890,3282))</f>
        <v>94446729.382292509</v>
      </c>
      <c r="B4066">
        <v>259236970.90271002</v>
      </c>
    </row>
    <row r="4067" spans="1:2" x14ac:dyDescent="0.25">
      <c r="A4067">
        <f ca="1">29602.3288942472*(RANDBETWEEN(2890,3282))</f>
        <v>89991079.838511452</v>
      </c>
      <c r="B4067">
        <v>254559021.97831213</v>
      </c>
    </row>
    <row r="4068" spans="1:2" x14ac:dyDescent="0.25">
      <c r="A4068">
        <f ca="1">29626.6856530985*(RANDBETWEEN(2890,3282))</f>
        <v>88287523.246233448</v>
      </c>
      <c r="B4068">
        <v>212598196.79125425</v>
      </c>
    </row>
    <row r="4069" spans="1:2" x14ac:dyDescent="0.25">
      <c r="A4069">
        <f ca="1">26932.7930648958*(RANDBETWEEN(2890,3282))</f>
        <v>85754013.118628293</v>
      </c>
      <c r="B4069">
        <v>210101323.45904714</v>
      </c>
    </row>
    <row r="4070" spans="1:2" x14ac:dyDescent="0.25">
      <c r="A4070">
        <f ca="1">27841.4061761362*(RANDBETWEEN(2890,3282))</f>
        <v>85139020.086624637</v>
      </c>
      <c r="B4070">
        <v>237321747.03232935</v>
      </c>
    </row>
    <row r="4071" spans="1:2" x14ac:dyDescent="0.25">
      <c r="A4071">
        <f ca="1">29721.4278077378*(RANDBETWEEN(2890,3282))</f>
        <v>97159347.503494918</v>
      </c>
      <c r="B4071">
        <v>240908971.37228188</v>
      </c>
    </row>
    <row r="4072" spans="1:2" x14ac:dyDescent="0.25">
      <c r="A4072">
        <f ca="1">31044.362108367*(RANDBETWEEN(2890,3282))</f>
        <v>100118067.79948343</v>
      </c>
      <c r="B4072">
        <v>254173588.69235054</v>
      </c>
    </row>
    <row r="4073" spans="1:2" x14ac:dyDescent="0.25">
      <c r="A4073">
        <f ca="1">29934.6978574166*(RANDBETWEEN(2890,3282))</f>
        <v>96269988.309451729</v>
      </c>
      <c r="B4073">
        <v>250719952.44274139</v>
      </c>
    </row>
    <row r="4074" spans="1:2" x14ac:dyDescent="0.25">
      <c r="A4074">
        <f ca="1">27658.2258280478*(RANDBETWEEN(2890,3282))</f>
        <v>83223601.516595721</v>
      </c>
      <c r="B4074">
        <v>209489396.41689581</v>
      </c>
    </row>
    <row r="4075" spans="1:2" x14ac:dyDescent="0.25">
      <c r="A4075">
        <f ca="1">31167.3412014769*(RANDBETWEEN(2890,3282))</f>
        <v>100951018.15158367</v>
      </c>
      <c r="B4075">
        <v>256231656.98478281</v>
      </c>
    </row>
    <row r="4076" spans="1:2" x14ac:dyDescent="0.25">
      <c r="A4076">
        <f ca="1">26958.1784053284*(RANDBETWEEN(2890,3282))</f>
        <v>87937577.958181217</v>
      </c>
      <c r="B4076">
        <v>211381851.6959458</v>
      </c>
    </row>
    <row r="4077" spans="1:2" x14ac:dyDescent="0.25">
      <c r="A4077">
        <f ca="1">31524.5144445321*(RANDBETWEEN(2890,3282))</f>
        <v>91294993.831364825</v>
      </c>
      <c r="B4077">
        <v>215190246.46265048</v>
      </c>
    </row>
    <row r="4078" spans="1:2" x14ac:dyDescent="0.25">
      <c r="A4078">
        <f ca="1">28381.5036789391*(RANDBETWEEN(2890,3282))</f>
        <v>89997748.165915936</v>
      </c>
      <c r="B4078">
        <v>225031227.38639325</v>
      </c>
    </row>
    <row r="4079" spans="1:2" x14ac:dyDescent="0.25">
      <c r="A4079">
        <f ca="1">28201.5219526339*(RANDBETWEEN(2890,3282))</f>
        <v>90329474.814286545</v>
      </c>
      <c r="B4079">
        <v>266510987.42813122</v>
      </c>
    </row>
    <row r="4080" spans="1:2" x14ac:dyDescent="0.25">
      <c r="A4080">
        <f ca="1">32036.5572841938*(RANDBETWEEN(2890,3282))</f>
        <v>97262987.914812312</v>
      </c>
      <c r="B4080">
        <v>229735304.97635445</v>
      </c>
    </row>
    <row r="4081" spans="1:2" x14ac:dyDescent="0.25">
      <c r="A4081">
        <f ca="1">29291.0310176717*(RANDBETWEEN(2890,3282))</f>
        <v>89191189.448810384</v>
      </c>
      <c r="B4081">
        <v>218217413.14481398</v>
      </c>
    </row>
    <row r="4082" spans="1:2" x14ac:dyDescent="0.25">
      <c r="A4082">
        <f ca="1">30856.057222282*(RANDBETWEEN(2890,3282))</f>
        <v>93277860.982958347</v>
      </c>
      <c r="B4082">
        <v>219527970.44781673</v>
      </c>
    </row>
    <row r="4083" spans="1:2" x14ac:dyDescent="0.25">
      <c r="A4083">
        <f ca="1">30494.4188955328*(RANDBETWEEN(2890,3282))</f>
        <v>98070051.168033436</v>
      </c>
      <c r="B4083">
        <v>222863577.27171934</v>
      </c>
    </row>
    <row r="4084" spans="1:2" x14ac:dyDescent="0.25">
      <c r="A4084">
        <f ca="1">33153.9036110154*(RANDBETWEEN(2890,3282))</f>
        <v>102976024.61581372</v>
      </c>
      <c r="B4084">
        <v>256866254.80089608</v>
      </c>
    </row>
    <row r="4085" spans="1:2" x14ac:dyDescent="0.25">
      <c r="A4085">
        <f ca="1">28445.8873098753*(RANDBETWEEN(2890,3282))</f>
        <v>88409817.759092584</v>
      </c>
      <c r="B4085">
        <v>207107623.53488898</v>
      </c>
    </row>
    <row r="4086" spans="1:2" x14ac:dyDescent="0.25">
      <c r="A4086">
        <f ca="1">28959.9922164962*(RANDBETWEEN(2890,3282))</f>
        <v>87256456.548302993</v>
      </c>
      <c r="B4086">
        <v>210326817.22900379</v>
      </c>
    </row>
    <row r="4087" spans="1:2" x14ac:dyDescent="0.25">
      <c r="A4087">
        <f ca="1">26498.8105648857*(RANDBETWEEN(2890,3282))</f>
        <v>86306626.009832829</v>
      </c>
      <c r="B4087">
        <v>245799215.68401754</v>
      </c>
    </row>
    <row r="4088" spans="1:2" x14ac:dyDescent="0.25">
      <c r="A4088">
        <f ca="1">28218.3521566393*(RANDBETWEEN(2890,3282))</f>
        <v>81974313.015037119</v>
      </c>
      <c r="B4088">
        <v>245058423.07410157</v>
      </c>
    </row>
    <row r="4089" spans="1:2" x14ac:dyDescent="0.25">
      <c r="A4089">
        <f ca="1">26232.1016044818*(RANDBETWEEN(2890,3282))</f>
        <v>77227307.123594299</v>
      </c>
      <c r="B4089">
        <v>218759649.58047694</v>
      </c>
    </row>
    <row r="4090" spans="1:2" x14ac:dyDescent="0.25">
      <c r="A4090">
        <f ca="1">31290.4930609319*(RANDBETWEEN(2890,3282))</f>
        <v>102476364.77455203</v>
      </c>
      <c r="B4090">
        <v>231410815.13222474</v>
      </c>
    </row>
    <row r="4091" spans="1:2" x14ac:dyDescent="0.25">
      <c r="A4091">
        <f ca="1">29018.6958418725*(RANDBETWEEN(2890,3282))</f>
        <v>87781554.921664223</v>
      </c>
      <c r="B4091">
        <v>222995234.96724316</v>
      </c>
    </row>
    <row r="4092" spans="1:2" x14ac:dyDescent="0.25">
      <c r="A4092">
        <f ca="1">30445.654088167*(RANDBETWEEN(2890,3282))</f>
        <v>97669658.314839676</v>
      </c>
      <c r="B4092">
        <v>232610350.10804409</v>
      </c>
    </row>
    <row r="4093" spans="1:2" x14ac:dyDescent="0.25">
      <c r="A4093">
        <f ca="1">33526.0472436239*(RANDBETWEEN(2890,3282))</f>
        <v>108389710.73863593</v>
      </c>
      <c r="B4093">
        <v>259619058.1720368</v>
      </c>
    </row>
    <row r="4094" spans="1:2" x14ac:dyDescent="0.25">
      <c r="A4094">
        <f ca="1">28625.0485292849*(RANDBETWEEN(2890,3282))</f>
        <v>85445769.85991545</v>
      </c>
      <c r="B4094">
        <v>213336341.19922575</v>
      </c>
    </row>
    <row r="4095" spans="1:2" x14ac:dyDescent="0.25">
      <c r="A4095">
        <f ca="1">27588.3584814998*(RANDBETWEEN(2890,3282))</f>
        <v>90379462.385393262</v>
      </c>
      <c r="B4095">
        <v>212772910.82628834</v>
      </c>
    </row>
    <row r="4096" spans="1:2" x14ac:dyDescent="0.25">
      <c r="A4096">
        <f ca="1">32044.1719969717*(RANDBETWEEN(2890,3282))</f>
        <v>94946881.627027288</v>
      </c>
      <c r="B4096">
        <v>238254767.60435635</v>
      </c>
    </row>
    <row r="4097" spans="1:2" x14ac:dyDescent="0.25">
      <c r="A4097">
        <f ca="1">27342.6275978459*(RANDBETWEEN(2890,3282))</f>
        <v>79211592.150959596</v>
      </c>
      <c r="B4097">
        <v>226686645.28747165</v>
      </c>
    </row>
    <row r="4098" spans="1:2" x14ac:dyDescent="0.25">
      <c r="A4098">
        <f ca="1">32944.9356334439*(RANDBETWEEN(2890,3282))</f>
        <v>102162245.39930944</v>
      </c>
      <c r="B4098">
        <v>206083393.32393831</v>
      </c>
    </row>
    <row r="4099" spans="1:2" x14ac:dyDescent="0.25">
      <c r="A4099">
        <f ca="1">28788.5556633838*(RANDBETWEEN(2890,3282))</f>
        <v>84120159.648407534</v>
      </c>
      <c r="B4099">
        <v>214660861.67235178</v>
      </c>
    </row>
    <row r="4100" spans="1:2" x14ac:dyDescent="0.25">
      <c r="A4100">
        <f ca="1">29484.9282310252*(RANDBETWEEN(2890,3282))</f>
        <v>85211442.587662891</v>
      </c>
      <c r="B4100">
        <v>265101844.12473261</v>
      </c>
    </row>
    <row r="4101" spans="1:2" x14ac:dyDescent="0.25">
      <c r="A4101">
        <f ca="1">32323.194873281*(RANDBETWEEN(2890,3282))</f>
        <v>95288778.486432344</v>
      </c>
      <c r="B4101">
        <v>227708030.58511701</v>
      </c>
    </row>
    <row r="4102" spans="1:2" x14ac:dyDescent="0.25">
      <c r="A4102">
        <f ca="1">27803.2179351777*(RANDBETWEEN(2890,3282))</f>
        <v>89109313.482244655</v>
      </c>
      <c r="B4102">
        <v>253956342.37486526</v>
      </c>
    </row>
    <row r="4103" spans="1:2" x14ac:dyDescent="0.25">
      <c r="A4103">
        <f ca="1">28543.6632982413*(RANDBETWEEN(2890,3282))</f>
        <v>93080886.015565008</v>
      </c>
      <c r="B4103">
        <v>234373570.96331316</v>
      </c>
    </row>
    <row r="4104" spans="1:2" x14ac:dyDescent="0.25">
      <c r="A4104">
        <f ca="1">28271.7002776887*(RANDBETWEEN(2890,3282))</f>
        <v>89140670.975552425</v>
      </c>
      <c r="B4104">
        <v>225538048.66218004</v>
      </c>
    </row>
    <row r="4105" spans="1:2" x14ac:dyDescent="0.25">
      <c r="A4105">
        <f ca="1">27734.4039493304*(RANDBETWEEN(2890,3282))</f>
        <v>87280169.228542671</v>
      </c>
      <c r="B4105">
        <v>215497177.8029598</v>
      </c>
    </row>
    <row r="4106" spans="1:2" x14ac:dyDescent="0.25">
      <c r="A4106">
        <f ca="1">32805.7896427489*(RANDBETWEEN(2890,3282))</f>
        <v>100648162.62395361</v>
      </c>
      <c r="B4106">
        <v>233099658.91470876</v>
      </c>
    </row>
    <row r="4107" spans="1:2" x14ac:dyDescent="0.25">
      <c r="A4107">
        <f ca="1">31195.970132238*(RANDBETWEEN(2890,3282))</f>
        <v>94149437.859094232</v>
      </c>
      <c r="B4107">
        <v>233335763.95294803</v>
      </c>
    </row>
    <row r="4108" spans="1:2" x14ac:dyDescent="0.25">
      <c r="A4108">
        <f ca="1">31083.0448476004*(RANDBETWEEN(2890,3282))</f>
        <v>101361809.24802487</v>
      </c>
      <c r="B4108">
        <v>264662132.78327674</v>
      </c>
    </row>
    <row r="4109" spans="1:2" x14ac:dyDescent="0.25">
      <c r="A4109">
        <f ca="1">28306.4257255938*(RANDBETWEEN(2890,3282))</f>
        <v>89816288.827309176</v>
      </c>
      <c r="B4109">
        <v>215300008.41870305</v>
      </c>
    </row>
    <row r="4110" spans="1:2" x14ac:dyDescent="0.25">
      <c r="A4110">
        <f ca="1">26947.1211561519*(RANDBETWEEN(2890,3282))</f>
        <v>79143694.835618079</v>
      </c>
      <c r="B4110">
        <v>208997251.8917464</v>
      </c>
    </row>
    <row r="4111" spans="1:2" x14ac:dyDescent="0.25">
      <c r="A4111">
        <f ca="1">33965.4806578305*(RANDBETWEEN(2890,3282))</f>
        <v>108927296.46966249</v>
      </c>
      <c r="B4111">
        <v>248733994.47601455</v>
      </c>
    </row>
    <row r="4112" spans="1:2" x14ac:dyDescent="0.25">
      <c r="A4112">
        <f ca="1">29650.304721297*(RANDBETWEEN(2890,3282))</f>
        <v>90314828.181070581</v>
      </c>
      <c r="B4112">
        <v>206267422.24908817</v>
      </c>
    </row>
    <row r="4113" spans="1:2" x14ac:dyDescent="0.25">
      <c r="A4113">
        <f ca="1">28432.2444920291*(RANDBETWEEN(2890,3282))</f>
        <v>91409666.041873604</v>
      </c>
      <c r="B4113">
        <v>262234708.17813578</v>
      </c>
    </row>
    <row r="4114" spans="1:2" x14ac:dyDescent="0.25">
      <c r="A4114">
        <f ca="1">31838.7559564379*(RANDBETWEEN(2890,3282))</f>
        <v>98731982.220913813</v>
      </c>
      <c r="B4114">
        <v>246185701.78092515</v>
      </c>
    </row>
    <row r="4115" spans="1:2" x14ac:dyDescent="0.25">
      <c r="A4115">
        <f ca="1">26647.2650676755*(RANDBETWEEN(2890,3282))</f>
        <v>85271248.216561541</v>
      </c>
      <c r="B4115">
        <v>214405366.4215892</v>
      </c>
    </row>
    <row r="4116" spans="1:2" x14ac:dyDescent="0.25">
      <c r="A4116">
        <f ca="1">25985.5715602072*(RANDBETWEEN(2890,3282))</f>
        <v>81854550.414652735</v>
      </c>
      <c r="B4116">
        <v>209486261.19554535</v>
      </c>
    </row>
    <row r="4117" spans="1:2" x14ac:dyDescent="0.25">
      <c r="A4117">
        <f ca="1">31963.5036895734*(RANDBETWEEN(2890,3282))</f>
        <v>98703299.39340277</v>
      </c>
      <c r="B4117">
        <v>254038502.820351</v>
      </c>
    </row>
    <row r="4118" spans="1:2" x14ac:dyDescent="0.25">
      <c r="A4118">
        <f ca="1">29685.7484867863*(RANDBETWEEN(2890,3282))</f>
        <v>97250512.042712077</v>
      </c>
      <c r="B4118">
        <v>229781730.19041225</v>
      </c>
    </row>
    <row r="4119" spans="1:2" x14ac:dyDescent="0.25">
      <c r="A4119">
        <f ca="1">32131.4759912264*(RANDBETWEEN(2890,3282))</f>
        <v>104363034.0195035</v>
      </c>
      <c r="B4119">
        <v>260676324.99351484</v>
      </c>
    </row>
    <row r="4120" spans="1:2" x14ac:dyDescent="0.25">
      <c r="A4120">
        <f ca="1">30907.3415988878*(RANDBETWEEN(2890,3282))</f>
        <v>92938376.187855721</v>
      </c>
      <c r="B4120">
        <v>231824616.78641799</v>
      </c>
    </row>
    <row r="4121" spans="1:2" x14ac:dyDescent="0.25">
      <c r="A4121">
        <f ca="1">27125.6678919112*(RANDBETWEEN(2890,3282))</f>
        <v>82028019.705139369</v>
      </c>
      <c r="B4121">
        <v>252438535.76735947</v>
      </c>
    </row>
    <row r="4122" spans="1:2" x14ac:dyDescent="0.25">
      <c r="A4122">
        <f ca="1">34390.8847540841*(RANDBETWEEN(2890,3282))</f>
        <v>109019104.6704466</v>
      </c>
      <c r="B4122">
        <v>254714252.91918617</v>
      </c>
    </row>
    <row r="4123" spans="1:2" x14ac:dyDescent="0.25">
      <c r="A4123">
        <f ca="1">25640.4028507771*(RANDBETWEEN(2890,3282))</f>
        <v>79767293.268767446</v>
      </c>
      <c r="B4123">
        <v>254440176.0433208</v>
      </c>
    </row>
    <row r="4124" spans="1:2" x14ac:dyDescent="0.25">
      <c r="A4124">
        <f ca="1">28375.8716875606*(RANDBETWEEN(2890,3282))</f>
        <v>91398682.705632716</v>
      </c>
      <c r="B4124">
        <v>247620311.97602159</v>
      </c>
    </row>
    <row r="4125" spans="1:2" x14ac:dyDescent="0.25">
      <c r="A4125">
        <f ca="1">30442.646671497*(RANDBETWEEN(2890,3282))</f>
        <v>96350976.715287864</v>
      </c>
      <c r="B4125">
        <v>209081257.53368193</v>
      </c>
    </row>
    <row r="4126" spans="1:2" x14ac:dyDescent="0.25">
      <c r="A4126">
        <f ca="1">28781.9187432143*(RANDBETWEEN(2890,3282))</f>
        <v>92073358.059542567</v>
      </c>
      <c r="B4126">
        <v>240455910.45011294</v>
      </c>
    </row>
    <row r="4127" spans="1:2" x14ac:dyDescent="0.25">
      <c r="A4127">
        <f ca="1">29660.9968872377*(RANDBETWEEN(2890,3282))</f>
        <v>96902476.830605403</v>
      </c>
      <c r="B4127">
        <v>238374312.06305528</v>
      </c>
    </row>
    <row r="4128" spans="1:2" x14ac:dyDescent="0.25">
      <c r="A4128">
        <f ca="1">28371.0510754204*(RANDBETWEEN(2890,3282))</f>
        <v>89539037.194026709</v>
      </c>
      <c r="B4128">
        <v>238973969.67305923</v>
      </c>
    </row>
    <row r="4129" spans="1:2" x14ac:dyDescent="0.25">
      <c r="A4129">
        <f ca="1">28722.5434404872*(RANDBETWEEN(2890,3282))</f>
        <v>90935572.532582387</v>
      </c>
      <c r="B4129">
        <v>240546792.43388879</v>
      </c>
    </row>
    <row r="4130" spans="1:2" x14ac:dyDescent="0.25">
      <c r="A4130">
        <f ca="1">29065.3112176264*(RANDBETWEEN(2890,3282))</f>
        <v>84144075.975028485</v>
      </c>
      <c r="B4130">
        <v>243534637.49664408</v>
      </c>
    </row>
    <row r="4131" spans="1:2" x14ac:dyDescent="0.25">
      <c r="A4131">
        <f ca="1">30575.308782416*(RANDBETWEEN(2890,3282))</f>
        <v>99583780.704328999</v>
      </c>
      <c r="B4131">
        <v>219410079.84917569</v>
      </c>
    </row>
    <row r="4132" spans="1:2" x14ac:dyDescent="0.25">
      <c r="A4132">
        <f ca="1">27482.8478962578*(RANDBETWEEN(2890,3282))</f>
        <v>88824564.400705054</v>
      </c>
      <c r="B4132">
        <v>237902238.6429418</v>
      </c>
    </row>
    <row r="4133" spans="1:2" x14ac:dyDescent="0.25">
      <c r="A4133">
        <f ca="1">28654.7288741955*(RANDBETWEEN(2890,3282))</f>
        <v>92182262.788287029</v>
      </c>
      <c r="B4133">
        <v>234712185.69136754</v>
      </c>
    </row>
    <row r="4134" spans="1:2" x14ac:dyDescent="0.25">
      <c r="A4134">
        <f ca="1">26755.6978162512*(RANDBETWEEN(2890,3282))</f>
        <v>78474461.695064738</v>
      </c>
      <c r="B4134">
        <v>262168430.99236691</v>
      </c>
    </row>
    <row r="4135" spans="1:2" x14ac:dyDescent="0.25">
      <c r="A4135">
        <f ca="1">26738.450461592*(RANDBETWEEN(2890,3282))</f>
        <v>87194086.955251649</v>
      </c>
      <c r="B4135">
        <v>264098922.3625299</v>
      </c>
    </row>
    <row r="4136" spans="1:2" x14ac:dyDescent="0.25">
      <c r="A4136">
        <f ca="1">32145.8220824237*(RANDBETWEEN(2890,3282))</f>
        <v>95826695.627705112</v>
      </c>
      <c r="B4136">
        <v>255212986.64381129</v>
      </c>
    </row>
    <row r="4137" spans="1:2" x14ac:dyDescent="0.25">
      <c r="A4137">
        <f ca="1">31039.6319694423*(RANDBETWEEN(2890,3282))</f>
        <v>97557563.279957235</v>
      </c>
      <c r="B4137">
        <v>212931140.28134266</v>
      </c>
    </row>
    <row r="4138" spans="1:2" x14ac:dyDescent="0.25">
      <c r="A4138">
        <f ca="1">31022.7400204257*(RANDBETWEEN(2890,3282))</f>
        <v>91889355.940500796</v>
      </c>
      <c r="B4138">
        <v>265966028.99012631</v>
      </c>
    </row>
    <row r="4139" spans="1:2" x14ac:dyDescent="0.25">
      <c r="A4139">
        <f ca="1">33050.0464863047*(RANDBETWEEN(2890,3282))</f>
        <v>104933897.59401745</v>
      </c>
      <c r="B4139">
        <v>266844246.25508621</v>
      </c>
    </row>
    <row r="4140" spans="1:2" x14ac:dyDescent="0.25">
      <c r="A4140">
        <f ca="1">29694.3211969425*(RANDBETWEEN(2890,3282))</f>
        <v>87984273.70654054</v>
      </c>
      <c r="B4140">
        <v>263511154.65821284</v>
      </c>
    </row>
    <row r="4141" spans="1:2" x14ac:dyDescent="0.25">
      <c r="A4141">
        <f ca="1">34041.2440803129*(RANDBETWEEN(2890,3282))</f>
        <v>110702125.74917762</v>
      </c>
      <c r="B4141">
        <v>206762584.91698131</v>
      </c>
    </row>
    <row r="4142" spans="1:2" x14ac:dyDescent="0.25">
      <c r="A4142">
        <f ca="1">28730.5945895009*(RANDBETWEEN(2890,3282))</f>
        <v>92139016.848529354</v>
      </c>
      <c r="B4142">
        <v>254939592.2257174</v>
      </c>
    </row>
    <row r="4143" spans="1:2" x14ac:dyDescent="0.25">
      <c r="A4143">
        <f ca="1">27003.4920424772*(RANDBETWEEN(2890,3282))</f>
        <v>79660301.525307849</v>
      </c>
      <c r="B4143">
        <v>223892623.45689657</v>
      </c>
    </row>
    <row r="4144" spans="1:2" x14ac:dyDescent="0.25">
      <c r="A4144">
        <f ca="1">32770.8443142945*(RANDBETWEEN(2890,3282))</f>
        <v>105751514.60222819</v>
      </c>
      <c r="B4144">
        <v>206691042.59055072</v>
      </c>
    </row>
    <row r="4145" spans="1:2" x14ac:dyDescent="0.25">
      <c r="A4145">
        <f ca="1">29746.0087773515*(RANDBETWEEN(2890,3282))</f>
        <v>96228338.394732088</v>
      </c>
      <c r="B4145">
        <v>221021276.13614851</v>
      </c>
    </row>
    <row r="4146" spans="1:2" x14ac:dyDescent="0.25">
      <c r="A4146">
        <f ca="1">30780.3706816684*(RANDBETWEEN(2890,3282))</f>
        <v>97789237.655660629</v>
      </c>
      <c r="B4146">
        <v>249489505.75482309</v>
      </c>
    </row>
    <row r="4147" spans="1:2" x14ac:dyDescent="0.25">
      <c r="A4147">
        <f ca="1">32000.6983620399*(RANDBETWEEN(2890,3282))</f>
        <v>93090031.535174102</v>
      </c>
      <c r="B4147">
        <v>261476635.97379595</v>
      </c>
    </row>
    <row r="4148" spans="1:2" x14ac:dyDescent="0.25">
      <c r="A4148">
        <f ca="1">30996.2213864576*(RANDBETWEEN(2890,3282))</f>
        <v>96212271.18356435</v>
      </c>
      <c r="B4148">
        <v>233181048.73283225</v>
      </c>
    </row>
    <row r="4149" spans="1:2" x14ac:dyDescent="0.25">
      <c r="A4149">
        <f ca="1">31745.9823889666*(RANDBETWEEN(2890,3282))</f>
        <v>103491902.58803116</v>
      </c>
      <c r="B4149">
        <v>261519340.19848523</v>
      </c>
    </row>
    <row r="4150" spans="1:2" x14ac:dyDescent="0.25">
      <c r="A4150">
        <f ca="1">31931.0382207077*(RANDBETWEEN(2890,3282))</f>
        <v>94324286.90397048</v>
      </c>
      <c r="B4150">
        <v>252242723.23076576</v>
      </c>
    </row>
    <row r="4151" spans="1:2" x14ac:dyDescent="0.25">
      <c r="A4151">
        <f ca="1">33737.0704251627*(RANDBETWEEN(2890,3282))</f>
        <v>104551181.24757917</v>
      </c>
      <c r="B4151">
        <v>256366683.38465065</v>
      </c>
    </row>
    <row r="4152" spans="1:2" x14ac:dyDescent="0.25">
      <c r="A4152">
        <f ca="1">31198.3303255505*(RANDBETWEEN(2890,3282))</f>
        <v>94686932.538045749</v>
      </c>
      <c r="B4152">
        <v>211624750.18002301</v>
      </c>
    </row>
    <row r="4153" spans="1:2" x14ac:dyDescent="0.25">
      <c r="A4153">
        <f ca="1">28335.9910293107*(RANDBETWEEN(2890,3282))</f>
        <v>82967781.73382169</v>
      </c>
      <c r="B4153">
        <v>209649920.98784801</v>
      </c>
    </row>
    <row r="4154" spans="1:2" x14ac:dyDescent="0.25">
      <c r="A4154">
        <f ca="1">32028.9622761726*(RANDBETWEEN(2890,3282))</f>
        <v>101723984.18912421</v>
      </c>
      <c r="B4154">
        <v>242879272.65312213</v>
      </c>
    </row>
    <row r="4155" spans="1:2" x14ac:dyDescent="0.25">
      <c r="A4155">
        <f ca="1">27648.8114038341*(RANDBETWEEN(2890,3282))</f>
        <v>80264499.505330369</v>
      </c>
      <c r="B4155">
        <v>251471691.6695751</v>
      </c>
    </row>
    <row r="4156" spans="1:2" x14ac:dyDescent="0.25">
      <c r="A4156">
        <f ca="1">29956.7174992566*(RANDBETWEEN(2890,3282))</f>
        <v>88192576.317811355</v>
      </c>
      <c r="B4156">
        <v>244395494.19902053</v>
      </c>
    </row>
    <row r="4157" spans="1:2" x14ac:dyDescent="0.25">
      <c r="A4157">
        <f ca="1">33098.2481537435*(RANDBETWEEN(2890,3282))</f>
        <v>96878572.346007124</v>
      </c>
      <c r="B4157">
        <v>219555763.67856196</v>
      </c>
    </row>
    <row r="4158" spans="1:2" x14ac:dyDescent="0.25">
      <c r="A4158">
        <f ca="1">32055.677248412*(RANDBETWEEN(2890,3282))</f>
        <v>93474354.856369421</v>
      </c>
      <c r="B4158">
        <v>211361860.10502258</v>
      </c>
    </row>
    <row r="4159" spans="1:2" x14ac:dyDescent="0.25">
      <c r="A4159">
        <f ca="1">31330.2616310419*(RANDBETWEEN(2890,3282))</f>
        <v>92298950.765049353</v>
      </c>
      <c r="B4159">
        <v>209715285.38837433</v>
      </c>
    </row>
    <row r="4160" spans="1:2" x14ac:dyDescent="0.25">
      <c r="A4160">
        <f ca="1">31588.7806671717*(RANDBETWEEN(2890,3282))</f>
        <v>97640921.042227745</v>
      </c>
      <c r="B4160">
        <v>235260746.98876739</v>
      </c>
    </row>
    <row r="4161" spans="1:2" x14ac:dyDescent="0.25">
      <c r="A4161">
        <f ca="1">31136.935838672*(RANDBETWEEN(2890,3282))</f>
        <v>94282641.719498888</v>
      </c>
      <c r="B4161">
        <v>204530591.7926386</v>
      </c>
    </row>
    <row r="4162" spans="1:2" x14ac:dyDescent="0.25">
      <c r="A4162">
        <f ca="1">28477.3162928522*(RANDBETWEEN(2890,3282))</f>
        <v>89988319.485412806</v>
      </c>
      <c r="B4162">
        <v>219228920.80532789</v>
      </c>
    </row>
    <row r="4163" spans="1:2" x14ac:dyDescent="0.25">
      <c r="A4163">
        <f ca="1">26545.195276337*(RANDBETWEEN(2890,3282))</f>
        <v>83113006.410211295</v>
      </c>
      <c r="B4163">
        <v>241451219.20248908</v>
      </c>
    </row>
    <row r="4164" spans="1:2" x14ac:dyDescent="0.25">
      <c r="A4164">
        <f ca="1">27258.4858423063*(RANDBETWEEN(2890,3282))</f>
        <v>87663290.468857378</v>
      </c>
      <c r="B4164">
        <v>257917359.19002903</v>
      </c>
    </row>
    <row r="4165" spans="1:2" x14ac:dyDescent="0.25">
      <c r="A4165">
        <f ca="1">33040.7758871323*(RANDBETWEEN(2890,3282))</f>
        <v>101501263.52527046</v>
      </c>
      <c r="B4165">
        <v>232908197.23089567</v>
      </c>
    </row>
    <row r="4166" spans="1:2" x14ac:dyDescent="0.25">
      <c r="A4166">
        <f ca="1">27762.8666846846*(RANDBETWEEN(2890,3282))</f>
        <v>80262447.585423276</v>
      </c>
      <c r="B4166">
        <v>204628284.84249911</v>
      </c>
    </row>
    <row r="4167" spans="1:2" x14ac:dyDescent="0.25">
      <c r="A4167">
        <f ca="1">27240.4533035907*(RANDBETWEEN(2890,3282))</f>
        <v>83655432.095327139</v>
      </c>
      <c r="B4167">
        <v>214234782.30247563</v>
      </c>
    </row>
    <row r="4168" spans="1:2" x14ac:dyDescent="0.25">
      <c r="A4168">
        <f ca="1">29667.6184808372*(RANDBETWEEN(2890,3282))</f>
        <v>87549142.136950478</v>
      </c>
      <c r="B4168">
        <v>222779556.18584305</v>
      </c>
    </row>
    <row r="4169" spans="1:2" x14ac:dyDescent="0.25">
      <c r="A4169">
        <f ca="1">31095.0987059801*(RANDBETWEEN(2890,3282))</f>
        <v>98384892.305720925</v>
      </c>
      <c r="B4169">
        <v>258579290.28738827</v>
      </c>
    </row>
    <row r="4170" spans="1:2" x14ac:dyDescent="0.25">
      <c r="A4170">
        <f ca="1">32973.7607864026*(RANDBETWEEN(2890,3282))</f>
        <v>98690466.033703074</v>
      </c>
      <c r="B4170">
        <v>267880455.62573156</v>
      </c>
    </row>
    <row r="4171" spans="1:2" x14ac:dyDescent="0.25">
      <c r="A4171">
        <f ca="1">30526.3292383854*(RANDBETWEEN(2890,3282))</f>
        <v>95364252.540715843</v>
      </c>
      <c r="B4171">
        <v>249792496.57629713</v>
      </c>
    </row>
    <row r="4172" spans="1:2" x14ac:dyDescent="0.25">
      <c r="A4172">
        <f ca="1">28174.5749882697*(RANDBETWEEN(2890,3282))</f>
        <v>91341972.111970291</v>
      </c>
      <c r="B4172">
        <v>208644796.04719663</v>
      </c>
    </row>
    <row r="4173" spans="1:2" x14ac:dyDescent="0.25">
      <c r="A4173">
        <f ca="1">29646.1582649183*(RANDBETWEEN(2890,3282))</f>
        <v>92318136.836955562</v>
      </c>
      <c r="B4173">
        <v>211960366.06164521</v>
      </c>
    </row>
    <row r="4174" spans="1:2" x14ac:dyDescent="0.25">
      <c r="A4174">
        <f ca="1">26970.6329189928*(RANDBETWEEN(2890,3282))</f>
        <v>83393196.985525846</v>
      </c>
      <c r="B4174">
        <v>206002626.29279327</v>
      </c>
    </row>
    <row r="4175" spans="1:2" x14ac:dyDescent="0.25">
      <c r="A4175">
        <f ca="1">30666.675500151*(RANDBETWEEN(2890,3282))</f>
        <v>96937361.255977303</v>
      </c>
      <c r="B4175">
        <v>244190102.8370381</v>
      </c>
    </row>
    <row r="4176" spans="1:2" x14ac:dyDescent="0.25">
      <c r="A4176">
        <f ca="1">31249.0356678234*(RANDBETWEEN(2890,3282))</f>
        <v>100153159.31537396</v>
      </c>
      <c r="B4176">
        <v>220526742.16910112</v>
      </c>
    </row>
    <row r="4177" spans="1:2" x14ac:dyDescent="0.25">
      <c r="A4177">
        <f ca="1">30209.0253689901*(RANDBETWEEN(2890,3282))</f>
        <v>94221950.125880003</v>
      </c>
      <c r="B4177">
        <v>219562093.72289398</v>
      </c>
    </row>
    <row r="4178" spans="1:2" x14ac:dyDescent="0.25">
      <c r="A4178">
        <f ca="1">31984.8297328907*(RANDBETWEEN(2890,3282))</f>
        <v>103055121.39937371</v>
      </c>
      <c r="B4178">
        <v>211530798.74751061</v>
      </c>
    </row>
    <row r="4179" spans="1:2" x14ac:dyDescent="0.25">
      <c r="A4179">
        <f ca="1">30681.6062642751*(RANDBETWEEN(2890,3282))</f>
        <v>94652755.325288683</v>
      </c>
      <c r="B4179">
        <v>244084957.54117352</v>
      </c>
    </row>
    <row r="4180" spans="1:2" x14ac:dyDescent="0.25">
      <c r="A4180">
        <f ca="1">27116.1652799608*(RANDBETWEEN(2890,3282))</f>
        <v>84602435.67347765</v>
      </c>
      <c r="B4180">
        <v>226591962.74007645</v>
      </c>
    </row>
    <row r="4181" spans="1:2" x14ac:dyDescent="0.25">
      <c r="A4181">
        <f ca="1">27359.7475805975*(RANDBETWEEN(2890,3282))</f>
        <v>81833005.013567269</v>
      </c>
      <c r="B4181">
        <v>242197440.85704237</v>
      </c>
    </row>
    <row r="4182" spans="1:2" x14ac:dyDescent="0.25">
      <c r="A4182">
        <f ca="1">28934.3723483776*(RANDBETWEEN(2890,3282))</f>
        <v>88452376.268990353</v>
      </c>
      <c r="B4182">
        <v>230241261.48668256</v>
      </c>
    </row>
    <row r="4183" spans="1:2" x14ac:dyDescent="0.25">
      <c r="A4183">
        <f ca="1">27794.2355757617*(RANDBETWEEN(2890,3282))</f>
        <v>85522862.866618872</v>
      </c>
      <c r="B4183">
        <v>203869664.57202739</v>
      </c>
    </row>
    <row r="4184" spans="1:2" x14ac:dyDescent="0.25">
      <c r="A4184">
        <f ca="1">30417.5927375753*(RANDBETWEEN(2890,3282))</f>
        <v>98187989.356892988</v>
      </c>
      <c r="B4184">
        <v>228112231.05909526</v>
      </c>
    </row>
    <row r="4185" spans="1:2" x14ac:dyDescent="0.25">
      <c r="A4185">
        <f ca="1">33131.9424981917*(RANDBETWEEN(2890,3282))</f>
        <v>105028257.71926761</v>
      </c>
      <c r="B4185">
        <v>219183761.00866097</v>
      </c>
    </row>
    <row r="4186" spans="1:2" x14ac:dyDescent="0.25">
      <c r="A4186">
        <f ca="1">32392.9774733954*(RANDBETWEEN(2890,3282))</f>
        <v>98539437.474068746</v>
      </c>
      <c r="B4186">
        <v>237348700.2341935</v>
      </c>
    </row>
    <row r="4187" spans="1:2" x14ac:dyDescent="0.25">
      <c r="A4187">
        <f ca="1">34131.6437497775*(RANDBETWEEN(2890,3282))</f>
        <v>103350617.27432628</v>
      </c>
      <c r="B4187">
        <v>225291452.05351487</v>
      </c>
    </row>
    <row r="4188" spans="1:2" x14ac:dyDescent="0.25">
      <c r="A4188">
        <f ca="1">33634.7843484294*(RANDBETWEEN(2890,3282))</f>
        <v>99928944.299183622</v>
      </c>
      <c r="B4188">
        <v>244983348.56569949</v>
      </c>
    </row>
    <row r="4189" spans="1:2" x14ac:dyDescent="0.25">
      <c r="A4189">
        <f ca="1">29489.2095091885*(RANDBETWEEN(2890,3282))</f>
        <v>86285427.023885444</v>
      </c>
      <c r="B4189">
        <v>223714401.22813338</v>
      </c>
    </row>
    <row r="4190" spans="1:2" x14ac:dyDescent="0.25">
      <c r="A4190">
        <f ca="1">26370.6051500434*(RANDBETWEEN(2890,3282))</f>
        <v>82513623.514485732</v>
      </c>
      <c r="B4190">
        <v>209476259.10574391</v>
      </c>
    </row>
    <row r="4191" spans="1:2" x14ac:dyDescent="0.25">
      <c r="A4191">
        <f ca="1">27981.8397473509*(RANDBETWEEN(2890,3282))</f>
        <v>87387285.530977011</v>
      </c>
      <c r="B4191">
        <v>244165667.53833732</v>
      </c>
    </row>
    <row r="4192" spans="1:2" x14ac:dyDescent="0.25">
      <c r="A4192">
        <f ca="1">30772.7451091468*(RANDBETWEEN(2890,3282))</f>
        <v>94472327.48508063</v>
      </c>
      <c r="B4192">
        <v>261681274.21021903</v>
      </c>
    </row>
    <row r="4193" spans="1:2" x14ac:dyDescent="0.25">
      <c r="A4193">
        <f ca="1">31385.8350869359*(RANDBETWEEN(2890,3282))</f>
        <v>93090386.867852032</v>
      </c>
      <c r="B4193">
        <v>262889437.4095659</v>
      </c>
    </row>
    <row r="4194" spans="1:2" x14ac:dyDescent="0.25">
      <c r="A4194">
        <f ca="1">28858.9315434345*(RANDBETWEEN(2890,3282))</f>
        <v>91800261.239665031</v>
      </c>
      <c r="B4194">
        <v>225911385.64342833</v>
      </c>
    </row>
    <row r="4195" spans="1:2" x14ac:dyDescent="0.25">
      <c r="A4195">
        <f ca="1">28898.0891348797*(RANDBETWEEN(2890,3282))</f>
        <v>89901955.298610717</v>
      </c>
      <c r="B4195">
        <v>224830831.65575671</v>
      </c>
    </row>
    <row r="4196" spans="1:2" x14ac:dyDescent="0.25">
      <c r="A4196">
        <f ca="1">29430.5163638193*(RANDBETWEEN(2890,3282))</f>
        <v>91322892.276931301</v>
      </c>
      <c r="B4196">
        <v>207267316.7507219</v>
      </c>
    </row>
    <row r="4197" spans="1:2" x14ac:dyDescent="0.25">
      <c r="A4197">
        <f ca="1">29208.0991710202*(RANDBETWEEN(2890,3282))</f>
        <v>88471332.389020145</v>
      </c>
      <c r="B4197">
        <v>236870034.77679136</v>
      </c>
    </row>
    <row r="4198" spans="1:2" x14ac:dyDescent="0.25">
      <c r="A4198">
        <f ca="1">25263.8447644932*(RANDBETWEEN(2890,3282))</f>
        <v>73441996.730381787</v>
      </c>
      <c r="B4198">
        <v>258506379.56164175</v>
      </c>
    </row>
    <row r="4199" spans="1:2" x14ac:dyDescent="0.25">
      <c r="A4199">
        <f ca="1">30615.6247659218*(RANDBETWEEN(2890,3282))</f>
        <v>90469171.183298931</v>
      </c>
      <c r="B4199">
        <v>262766511.54799917</v>
      </c>
    </row>
    <row r="4200" spans="1:2" x14ac:dyDescent="0.25">
      <c r="A4200">
        <f ca="1">29910.8989094797*(RANDBETWEEN(2890,3282))</f>
        <v>89014835.154611513</v>
      </c>
      <c r="B4200">
        <v>234837595.22236669</v>
      </c>
    </row>
    <row r="4201" spans="1:2" x14ac:dyDescent="0.25">
      <c r="A4201">
        <f ca="1">31047.2999063329*(RANDBETWEEN(2890,3282))</f>
        <v>95253116.112629279</v>
      </c>
      <c r="B4201">
        <v>251535666.56453955</v>
      </c>
    </row>
    <row r="4202" spans="1:2" x14ac:dyDescent="0.25">
      <c r="A4202">
        <f ca="1">28967.7137534059*(RANDBETWEEN(2890,3282))</f>
        <v>86555528.69517678</v>
      </c>
      <c r="B4202">
        <v>220633520.30818823</v>
      </c>
    </row>
    <row r="4203" spans="1:2" x14ac:dyDescent="0.25">
      <c r="A4203">
        <f ca="1">27795.5302298508*(RANDBETWEEN(2890,3282))</f>
        <v>87222373.861271873</v>
      </c>
      <c r="B4203">
        <v>263171041.6836423</v>
      </c>
    </row>
    <row r="4204" spans="1:2" x14ac:dyDescent="0.25">
      <c r="A4204">
        <f ca="1">30347.3101129173*(RANDBETWEEN(2890,3282))</f>
        <v>97445212.772577539</v>
      </c>
      <c r="B4204">
        <v>244412698.59439081</v>
      </c>
    </row>
    <row r="4205" spans="1:2" x14ac:dyDescent="0.25">
      <c r="A4205">
        <f ca="1">30287.8247951849*(RANDBETWEEN(2890,3282))</f>
        <v>93347076.018759996</v>
      </c>
      <c r="B4205">
        <v>264378300.95653853</v>
      </c>
    </row>
    <row r="4206" spans="1:2" x14ac:dyDescent="0.25">
      <c r="A4206">
        <f ca="1">31212.1869053791*(RANDBETWEEN(2890,3282))</f>
        <v>91514132.006571382</v>
      </c>
      <c r="B4206">
        <v>244448727.66264856</v>
      </c>
    </row>
    <row r="4207" spans="1:2" x14ac:dyDescent="0.25">
      <c r="A4207">
        <f ca="1">30553.3472109115*(RANDBETWEEN(2890,3282))</f>
        <v>94440396.228927433</v>
      </c>
      <c r="B4207">
        <v>243369635.51557755</v>
      </c>
    </row>
    <row r="4208" spans="1:2" x14ac:dyDescent="0.25">
      <c r="A4208">
        <f ca="1">27504.3386057018*(RANDBETWEEN(2890,3282))</f>
        <v>88673987.664782584</v>
      </c>
      <c r="B4208">
        <v>264271296.29394671</v>
      </c>
    </row>
    <row r="4209" spans="1:2" x14ac:dyDescent="0.25">
      <c r="A4209">
        <f ca="1">32881.5845537052*(RANDBETWEEN(2890,3282))</f>
        <v>107851597.33615309</v>
      </c>
      <c r="B4209">
        <v>241149289.39789087</v>
      </c>
    </row>
    <row r="4210" spans="1:2" x14ac:dyDescent="0.25">
      <c r="A4210">
        <f ca="1">29550.2702182726*(RANDBETWEEN(2890,3282))</f>
        <v>86730043.090629965</v>
      </c>
      <c r="B4210">
        <v>222168698.42075673</v>
      </c>
    </row>
    <row r="4211" spans="1:2" x14ac:dyDescent="0.25">
      <c r="A4211">
        <f ca="1">31898.6603688138*(RANDBETWEEN(2890,3282))</f>
        <v>97354711.445619568</v>
      </c>
      <c r="B4211">
        <v>257563078.43565023</v>
      </c>
    </row>
    <row r="4212" spans="1:2" x14ac:dyDescent="0.25">
      <c r="A4212">
        <f ca="1">30500.9862280192*(RANDBETWEEN(2890,3282))</f>
        <v>94248047.444579273</v>
      </c>
      <c r="B4212">
        <v>221993828.92181978</v>
      </c>
    </row>
    <row r="4213" spans="1:2" x14ac:dyDescent="0.25">
      <c r="A4213">
        <f ca="1">26059.5249438914*(RANDBETWEEN(2890,3282))</f>
        <v>81514194.024492398</v>
      </c>
      <c r="B4213">
        <v>245379733.60308543</v>
      </c>
    </row>
    <row r="4214" spans="1:2" x14ac:dyDescent="0.25">
      <c r="A4214">
        <f ca="1">31169.4590389268*(RANDBETWEEN(2890,3282))</f>
        <v>100895538.90900607</v>
      </c>
      <c r="B4214">
        <v>267759730.40361679</v>
      </c>
    </row>
    <row r="4215" spans="1:2" x14ac:dyDescent="0.25">
      <c r="A4215">
        <f ca="1">32301.5439501615*(RANDBETWEEN(2890,3282))</f>
        <v>100037881.61365002</v>
      </c>
      <c r="B4215">
        <v>219402415.69326538</v>
      </c>
    </row>
    <row r="4216" spans="1:2" x14ac:dyDescent="0.25">
      <c r="A4216">
        <f ca="1">28365.7716770921*(RANDBETWEEN(2890,3282))</f>
        <v>90997395.540111423</v>
      </c>
      <c r="B4216">
        <v>238030145.17032546</v>
      </c>
    </row>
    <row r="4217" spans="1:2" x14ac:dyDescent="0.25">
      <c r="A4217">
        <f ca="1">27280.4473332098*(RANDBETWEEN(2890,3282))</f>
        <v>86151652.678276539</v>
      </c>
      <c r="B4217">
        <v>225604810.23140386</v>
      </c>
    </row>
    <row r="4218" spans="1:2" x14ac:dyDescent="0.25">
      <c r="A4218">
        <f ca="1">27866.635641515*(RANDBETWEEN(2890,3282))</f>
        <v>90594432.470565289</v>
      </c>
      <c r="B4218">
        <v>238811632.52561617</v>
      </c>
    </row>
    <row r="4219" spans="1:2" x14ac:dyDescent="0.25">
      <c r="A4219">
        <f ca="1">33055.1617865095*(RANDBETWEEN(2890,3282))</f>
        <v>107660661.93866147</v>
      </c>
      <c r="B4219">
        <v>207043147.01592836</v>
      </c>
    </row>
    <row r="4220" spans="1:2" x14ac:dyDescent="0.25">
      <c r="A4220">
        <f ca="1">28084.7218019484*(RANDBETWEEN(2890,3282))</f>
        <v>88888144.50316681</v>
      </c>
      <c r="B4220">
        <v>257984431.42727134</v>
      </c>
    </row>
    <row r="4221" spans="1:2" x14ac:dyDescent="0.25">
      <c r="A4221">
        <f ca="1">29303.0936745897*(RANDBETWEEN(2890,3282))</f>
        <v>95293660.629765794</v>
      </c>
      <c r="B4221">
        <v>218732789.86360276</v>
      </c>
    </row>
    <row r="4222" spans="1:2" x14ac:dyDescent="0.25">
      <c r="A4222">
        <f ca="1">27954.537566485*(RANDBETWEEN(2890,3282))</f>
        <v>88168611.484693736</v>
      </c>
      <c r="B4222">
        <v>234503786.78292379</v>
      </c>
    </row>
    <row r="4223" spans="1:2" x14ac:dyDescent="0.25">
      <c r="A4223">
        <f ca="1">32384.6762670097*(RANDBETWEEN(2890,3282))</f>
        <v>94951870.814872518</v>
      </c>
      <c r="B4223">
        <v>217134230.89407462</v>
      </c>
    </row>
    <row r="4224" spans="1:2" x14ac:dyDescent="0.25">
      <c r="A4224">
        <f ca="1">32039.5376177491*(RANDBETWEEN(2890,3282))</f>
        <v>99642961.991199806</v>
      </c>
      <c r="B4224">
        <v>217487217.46517298</v>
      </c>
    </row>
    <row r="4225" spans="1:2" x14ac:dyDescent="0.25">
      <c r="A4225">
        <f ca="1">30511.5568204909*(RANDBETWEEN(2890,3282))</f>
        <v>93823037.223009512</v>
      </c>
      <c r="B4225">
        <v>232931332.19520378</v>
      </c>
    </row>
    <row r="4226" spans="1:2" x14ac:dyDescent="0.25">
      <c r="A4226">
        <f ca="1">29817.3769823033*(RANDBETWEEN(2890,3282))</f>
        <v>93298572.577627018</v>
      </c>
      <c r="B4226">
        <v>205310802.79911485</v>
      </c>
    </row>
    <row r="4227" spans="1:2" x14ac:dyDescent="0.25">
      <c r="A4227">
        <f ca="1">29064.0517895793*(RANDBETWEEN(2890,3282))</f>
        <v>92365556.58728309</v>
      </c>
      <c r="B4227">
        <v>231106559.62374383</v>
      </c>
    </row>
    <row r="4228" spans="1:2" x14ac:dyDescent="0.25">
      <c r="A4228">
        <f ca="1">27044.7051088001*(RANDBETWEEN(2890,3282))</f>
        <v>86570101.053269193</v>
      </c>
      <c r="B4228">
        <v>230266807.48061913</v>
      </c>
    </row>
    <row r="4229" spans="1:2" x14ac:dyDescent="0.25">
      <c r="A4229">
        <f ca="1">31890.1077067823*(RANDBETWEEN(2890,3282))</f>
        <v>98030191.09064883</v>
      </c>
      <c r="B4229">
        <v>210618144.99394181</v>
      </c>
    </row>
    <row r="4230" spans="1:2" x14ac:dyDescent="0.25">
      <c r="A4230">
        <f ca="1">31003.9807407377*(RANDBETWEEN(2890,3282))</f>
        <v>93383989.991101876</v>
      </c>
      <c r="B4230">
        <v>241410237.66849437</v>
      </c>
    </row>
    <row r="4231" spans="1:2" x14ac:dyDescent="0.25">
      <c r="A4231">
        <f ca="1">28716.9456133295*(RANDBETWEEN(2890,3282))</f>
        <v>86552874.07857506</v>
      </c>
      <c r="B4231">
        <v>250964404.60961419</v>
      </c>
    </row>
    <row r="4232" spans="1:2" x14ac:dyDescent="0.25">
      <c r="A4232">
        <f ca="1">30268.2911352942*(RANDBETWEEN(2890,3282))</f>
        <v>97857385.240406111</v>
      </c>
      <c r="B4232">
        <v>252103866.35103083</v>
      </c>
    </row>
    <row r="4233" spans="1:2" x14ac:dyDescent="0.25">
      <c r="A4233">
        <f ca="1">27916.5700187356*(RANDBETWEEN(2890,3282))</f>
        <v>90282187.440590948</v>
      </c>
      <c r="B4233">
        <v>236530307.87285829</v>
      </c>
    </row>
    <row r="4234" spans="1:2" x14ac:dyDescent="0.25">
      <c r="A4234">
        <f ca="1">32384.0412501819*(RANDBETWEEN(2890,3282))</f>
        <v>96731131.214293435</v>
      </c>
      <c r="B4234">
        <v>251553809.36418414</v>
      </c>
    </row>
    <row r="4235" spans="1:2" x14ac:dyDescent="0.25">
      <c r="A4235">
        <f ca="1">26482.031961019*(RANDBETWEEN(2890,3282))</f>
        <v>85219178.85055922</v>
      </c>
      <c r="B4235">
        <v>219211257.36407724</v>
      </c>
    </row>
    <row r="4236" spans="1:2" x14ac:dyDescent="0.25">
      <c r="A4236">
        <f ca="1">31593.6326420394*(RANDBETWEEN(2890,3282))</f>
        <v>96486954.08878842</v>
      </c>
      <c r="B4236">
        <v>249119094.5090909</v>
      </c>
    </row>
    <row r="4237" spans="1:2" x14ac:dyDescent="0.25">
      <c r="A4237">
        <f ca="1">30902.1655243024*(RANDBETWEEN(2890,3282))</f>
        <v>94529724.338840961</v>
      </c>
      <c r="B4237">
        <v>245678374.98964247</v>
      </c>
    </row>
    <row r="4238" spans="1:2" x14ac:dyDescent="0.25">
      <c r="A4238">
        <f ca="1">26753.139170335*(RANDBETWEEN(2890,3282))</f>
        <v>84620179.195769653</v>
      </c>
      <c r="B4238">
        <v>220641651.45754114</v>
      </c>
    </row>
    <row r="4239" spans="1:2" x14ac:dyDescent="0.25">
      <c r="A4239">
        <f ca="1">29086.240513268*(RANDBETWEEN(2890,3282))</f>
        <v>85309943.425415039</v>
      </c>
      <c r="B4239">
        <v>228187961.97683308</v>
      </c>
    </row>
    <row r="4240" spans="1:2" x14ac:dyDescent="0.25">
      <c r="A4240">
        <f ca="1">32620.1373626166*(RANDBETWEEN(2890,3282))</f>
        <v>106602608.90103096</v>
      </c>
      <c r="B4240">
        <v>226229987.3385551</v>
      </c>
    </row>
    <row r="4241" spans="1:2" x14ac:dyDescent="0.25">
      <c r="A4241">
        <f ca="1">27984.7370440515*(RANDBETWEEN(2890,3282))</f>
        <v>87900059.05536586</v>
      </c>
      <c r="B4241">
        <v>215008600.55634946</v>
      </c>
    </row>
    <row r="4242" spans="1:2" x14ac:dyDescent="0.25">
      <c r="A4242">
        <f ca="1">31247.7999356787*(RANDBETWEEN(2890,3282))</f>
        <v>97430640.199446276</v>
      </c>
      <c r="B4242">
        <v>244227464.55215031</v>
      </c>
    </row>
    <row r="4243" spans="1:2" x14ac:dyDescent="0.25">
      <c r="A4243">
        <f ca="1">31078.4974918742*(RANDBETWEEN(2890,3282))</f>
        <v>100352468.40126172</v>
      </c>
      <c r="B4243">
        <v>252450289.38673696</v>
      </c>
    </row>
    <row r="4244" spans="1:2" x14ac:dyDescent="0.25">
      <c r="A4244">
        <f ca="1">30328.9687992171*(RANDBETWEEN(2890,3282))</f>
        <v>88287628.17452091</v>
      </c>
      <c r="B4244">
        <v>241438383.40033507</v>
      </c>
    </row>
    <row r="4245" spans="1:2" x14ac:dyDescent="0.25">
      <c r="A4245">
        <f ca="1">31512.809343779*(RANDBETWEEN(2890,3282))</f>
        <v>96901888.732120439</v>
      </c>
      <c r="B4245">
        <v>235826635.26590717</v>
      </c>
    </row>
    <row r="4246" spans="1:2" x14ac:dyDescent="0.25">
      <c r="A4246">
        <f ca="1">30877.7701919024*(RANDBETWEEN(2890,3282))</f>
        <v>91737855.240142137</v>
      </c>
      <c r="B4246">
        <v>216314001.22941428</v>
      </c>
    </row>
    <row r="4247" spans="1:2" x14ac:dyDescent="0.25">
      <c r="A4247">
        <f ca="1">32748.1635932661*(RANDBETWEEN(2890,3282))</f>
        <v>97982505.4710522</v>
      </c>
      <c r="B4247">
        <v>246183501.35621226</v>
      </c>
    </row>
    <row r="4248" spans="1:2" x14ac:dyDescent="0.25">
      <c r="A4248">
        <f ca="1">30212.6486076035*(RANDBETWEEN(2890,3282))</f>
        <v>89338801.932683468</v>
      </c>
      <c r="B4248">
        <v>224914755.56111267</v>
      </c>
    </row>
    <row r="4249" spans="1:2" x14ac:dyDescent="0.25">
      <c r="A4249">
        <f ca="1">34081.4362283319*(RANDBETWEEN(2890,3282))</f>
        <v>106061429.54256877</v>
      </c>
      <c r="B4249">
        <v>264857529.07407042</v>
      </c>
    </row>
    <row r="4250" spans="1:2" x14ac:dyDescent="0.25">
      <c r="A4250">
        <f ca="1">29643.7565549343*(RANDBETWEEN(2890,3282))</f>
        <v>91035976.380203322</v>
      </c>
      <c r="B4250">
        <v>216314497.37872341</v>
      </c>
    </row>
    <row r="4251" spans="1:2" x14ac:dyDescent="0.25">
      <c r="A4251">
        <f ca="1">30757.2997630844*(RANDBETWEEN(2890,3282))</f>
        <v>89934344.507258773</v>
      </c>
      <c r="B4251">
        <v>257122976.65563998</v>
      </c>
    </row>
    <row r="4252" spans="1:2" x14ac:dyDescent="0.25">
      <c r="A4252">
        <f ca="1">28539.5649387771*(RANDBETWEEN(2890,3282))</f>
        <v>83649464.835555688</v>
      </c>
      <c r="B4252">
        <v>206752842.65411809</v>
      </c>
    </row>
    <row r="4253" spans="1:2" x14ac:dyDescent="0.25">
      <c r="A4253">
        <f ca="1">33076.9447167496*(RANDBETWEEN(2890,3282))</f>
        <v>96650832.462342232</v>
      </c>
      <c r="B4253">
        <v>235625900.05814976</v>
      </c>
    </row>
    <row r="4254" spans="1:2" x14ac:dyDescent="0.25">
      <c r="A4254">
        <f ca="1">27459.1933259252*(RANDBETWEEN(2890,3282))</f>
        <v>83173896.584227338</v>
      </c>
      <c r="B4254">
        <v>212015861.49349725</v>
      </c>
    </row>
    <row r="4255" spans="1:2" x14ac:dyDescent="0.25">
      <c r="A4255">
        <f ca="1">25211.1321729342*(RANDBETWEEN(2890,3282))</f>
        <v>79137743.890840352</v>
      </c>
      <c r="B4255">
        <v>240287278.34894937</v>
      </c>
    </row>
    <row r="4256" spans="1:2" x14ac:dyDescent="0.25">
      <c r="A4256">
        <f ca="1">31009.1258950189*(RANDBETWEEN(2890,3282))</f>
        <v>98329938.213105038</v>
      </c>
      <c r="B4256">
        <v>240515744.84491789</v>
      </c>
    </row>
    <row r="4257" spans="1:2" x14ac:dyDescent="0.25">
      <c r="A4257">
        <f ca="1">30263.4849169859*(RANDBETWEEN(2890,3282))</f>
        <v>97962900.676283494</v>
      </c>
      <c r="B4257">
        <v>203980054.69846174</v>
      </c>
    </row>
    <row r="4258" spans="1:2" x14ac:dyDescent="0.25">
      <c r="A4258">
        <f ca="1">30686.9280429221*(RANDBETWEEN(2890,3282))</f>
        <v>89483082.173160762</v>
      </c>
      <c r="B4258">
        <v>262126174.98436433</v>
      </c>
    </row>
    <row r="4259" spans="1:2" x14ac:dyDescent="0.25">
      <c r="A4259">
        <f ca="1">27397.22035068*(RANDBETWEEN(2890,3282))</f>
        <v>87972474.546033427</v>
      </c>
      <c r="B4259">
        <v>250752096.32290781</v>
      </c>
    </row>
    <row r="4260" spans="1:2" x14ac:dyDescent="0.25">
      <c r="A4260">
        <f ca="1">27869.761093463*(RANDBETWEEN(2890,3282))</f>
        <v>89099626.215801343</v>
      </c>
      <c r="B4260">
        <v>204500731.59693533</v>
      </c>
    </row>
    <row r="4261" spans="1:2" x14ac:dyDescent="0.25">
      <c r="A4261">
        <f ca="1">31001.7704263224*(RANDBETWEEN(2890,3282))</f>
        <v>99980709.624889746</v>
      </c>
      <c r="B4261">
        <v>266954223.64102793</v>
      </c>
    </row>
    <row r="4262" spans="1:2" x14ac:dyDescent="0.25">
      <c r="A4262">
        <f ca="1">33305.3498577031*(RANDBETWEEN(2890,3282))</f>
        <v>99483080.024959266</v>
      </c>
      <c r="B4262">
        <v>226998615.71282282</v>
      </c>
    </row>
    <row r="4263" spans="1:2" x14ac:dyDescent="0.25">
      <c r="A4263">
        <f ca="1">29745.8317885733*(RANDBETWEEN(2890,3282))</f>
        <v>88583087.066371351</v>
      </c>
      <c r="B4263">
        <v>261371960.7496652</v>
      </c>
    </row>
    <row r="4264" spans="1:2" x14ac:dyDescent="0.25">
      <c r="A4264">
        <f ca="1">33712.431145221*(RANDBETWEEN(2890,3282))</f>
        <v>101575555.04055072</v>
      </c>
      <c r="B4264">
        <v>264364551.03064218</v>
      </c>
    </row>
    <row r="4265" spans="1:2" x14ac:dyDescent="0.25">
      <c r="A4265">
        <f ca="1">29176.1752396844*(RANDBETWEEN(2890,3282))</f>
        <v>86711592.812342018</v>
      </c>
      <c r="B4265">
        <v>224629992.28913793</v>
      </c>
    </row>
    <row r="4266" spans="1:2" x14ac:dyDescent="0.25">
      <c r="A4266">
        <f ca="1">30536.7667949492*(RANDBETWEEN(2890,3282))</f>
        <v>96862624.273578748</v>
      </c>
      <c r="B4266">
        <v>265906562.37189475</v>
      </c>
    </row>
    <row r="4267" spans="1:2" x14ac:dyDescent="0.25">
      <c r="A4267">
        <f ca="1">30984.7313859676*(RANDBETWEEN(2890,3282))</f>
        <v>91250033.9316746</v>
      </c>
      <c r="B4267">
        <v>239226538.96014646</v>
      </c>
    </row>
    <row r="4268" spans="1:2" x14ac:dyDescent="0.25">
      <c r="A4268">
        <f ca="1">27875.6279370012*(RANDBETWEEN(2890,3282))</f>
        <v>87306466.698687792</v>
      </c>
      <c r="B4268">
        <v>264448380.82324344</v>
      </c>
    </row>
    <row r="4269" spans="1:2" x14ac:dyDescent="0.25">
      <c r="A4269">
        <f ca="1">28174.5438114799*(RANDBETWEEN(2890,3282))</f>
        <v>88327194.848989606</v>
      </c>
      <c r="B4269">
        <v>215747917.2125136</v>
      </c>
    </row>
    <row r="4270" spans="1:2" x14ac:dyDescent="0.25">
      <c r="A4270">
        <f ca="1">32243.1820447637*(RANDBETWEEN(2890,3282))</f>
        <v>97084221.13678354</v>
      </c>
      <c r="B4270">
        <v>248557729.20071632</v>
      </c>
    </row>
    <row r="4271" spans="1:2" x14ac:dyDescent="0.25">
      <c r="A4271">
        <f ca="1">26875.8728929695*(RANDBETWEEN(2890,3282))</f>
        <v>87480966.266615793</v>
      </c>
      <c r="B4271">
        <v>219346465.11883852</v>
      </c>
    </row>
    <row r="4272" spans="1:2" x14ac:dyDescent="0.25">
      <c r="A4272">
        <f ca="1">33831.3089168699*(RANDBETWEEN(2890,3282))</f>
        <v>108767658.16773668</v>
      </c>
      <c r="B4272">
        <v>219150458.07007247</v>
      </c>
    </row>
    <row r="4273" spans="1:2" x14ac:dyDescent="0.25">
      <c r="A4273">
        <f ca="1">29882.0731745333*(RANDBETWEEN(2890,3282))</f>
        <v>97983317.939294726</v>
      </c>
      <c r="B4273">
        <v>231791591.15493324</v>
      </c>
    </row>
    <row r="4274" spans="1:2" x14ac:dyDescent="0.25">
      <c r="A4274">
        <f ca="1">27707.0350533355*(RANDBETWEEN(2890,3282))</f>
        <v>89881621.713020384</v>
      </c>
      <c r="B4274">
        <v>204446937.0036754</v>
      </c>
    </row>
    <row r="4275" spans="1:2" x14ac:dyDescent="0.25">
      <c r="A4275">
        <f ca="1">28453.6981959759*(RANDBETWEEN(2890,3282))</f>
        <v>91649361.889238462</v>
      </c>
      <c r="B4275">
        <v>245097862.29401231</v>
      </c>
    </row>
    <row r="4276" spans="1:2" x14ac:dyDescent="0.25">
      <c r="A4276">
        <f ca="1">31716.6297273646*(RANDBETWEEN(2890,3282))</f>
        <v>93215174.768724561</v>
      </c>
      <c r="B4276">
        <v>229633658.63675982</v>
      </c>
    </row>
    <row r="4277" spans="1:2" x14ac:dyDescent="0.25">
      <c r="A4277">
        <f ca="1">32631.0214390304*(RANDBETWEEN(2890,3282))</f>
        <v>95021534.430456474</v>
      </c>
      <c r="B4277">
        <v>212122816.5494251</v>
      </c>
    </row>
    <row r="4278" spans="1:2" x14ac:dyDescent="0.25">
      <c r="A4278">
        <f ca="1">29805.4022593525*(RANDBETWEEN(2890,3282))</f>
        <v>94840789.989259675</v>
      </c>
      <c r="B4278">
        <v>262595800.38308141</v>
      </c>
    </row>
    <row r="4279" spans="1:2" x14ac:dyDescent="0.25">
      <c r="A4279">
        <f ca="1">31305.8372438117*(RANDBETWEEN(2890,3282))</f>
        <v>102495311.13623935</v>
      </c>
      <c r="B4279">
        <v>253773208.49317881</v>
      </c>
    </row>
    <row r="4280" spans="1:2" x14ac:dyDescent="0.25">
      <c r="A4280">
        <f ca="1">29902.7362691372*(RANDBETWEEN(2890,3282))</f>
        <v>87375795.378418833</v>
      </c>
      <c r="B4280">
        <v>228742173.9315964</v>
      </c>
    </row>
    <row r="4281" spans="1:2" x14ac:dyDescent="0.25">
      <c r="A4281">
        <f ca="1">28379.9359750934*(RANDBETWEEN(2890,3282))</f>
        <v>83380251.894824371</v>
      </c>
      <c r="B4281">
        <v>246209689.96432903</v>
      </c>
    </row>
    <row r="4282" spans="1:2" x14ac:dyDescent="0.25">
      <c r="A4282">
        <f ca="1">32653.8205609335*(RANDBETWEEN(2890,3282))</f>
        <v>94630771.985585213</v>
      </c>
      <c r="B4282">
        <v>211510774.19251657</v>
      </c>
    </row>
    <row r="4283" spans="1:2" x14ac:dyDescent="0.25">
      <c r="A4283">
        <f ca="1">31829.8930663534*(RANDBETWEEN(2890,3282))</f>
        <v>97972410.858235627</v>
      </c>
      <c r="B4283">
        <v>262455680.07289445</v>
      </c>
    </row>
    <row r="4284" spans="1:2" x14ac:dyDescent="0.25">
      <c r="A4284">
        <f ca="1">33031.3129822688*(RANDBETWEEN(2890,3282))</f>
        <v>107351767.19237357</v>
      </c>
      <c r="B4284">
        <v>228666975.6897558</v>
      </c>
    </row>
    <row r="4285" spans="1:2" x14ac:dyDescent="0.25">
      <c r="A4285">
        <f ca="1">27408.8612837438*(RANDBETWEEN(2890,3282))</f>
        <v>85789735.818118036</v>
      </c>
      <c r="B4285">
        <v>218730842.9432824</v>
      </c>
    </row>
    <row r="4286" spans="1:2" x14ac:dyDescent="0.25">
      <c r="A4286">
        <f ca="1">28821.7172836184*(RANDBETWEEN(2890,3282))</f>
        <v>87272159.934796616</v>
      </c>
      <c r="B4286">
        <v>252571542.02788731</v>
      </c>
    </row>
    <row r="4287" spans="1:2" x14ac:dyDescent="0.25">
      <c r="A4287">
        <f ca="1">32115.593215739*(RANDBETWEEN(2890,3282))</f>
        <v>100521806.76526301</v>
      </c>
      <c r="B4287">
        <v>219798822.52236187</v>
      </c>
    </row>
    <row r="4288" spans="1:2" x14ac:dyDescent="0.25">
      <c r="A4288">
        <f ca="1">27996.2539519262*(RANDBETWEEN(2890,3282))</f>
        <v>81973031.571240067</v>
      </c>
      <c r="B4288">
        <v>252127545.0001336</v>
      </c>
    </row>
    <row r="4289" spans="1:2" x14ac:dyDescent="0.25">
      <c r="A4289">
        <f ca="1">30757.8789366259*(RANDBETWEEN(2890,3282))</f>
        <v>99901590.786160961</v>
      </c>
      <c r="B4289">
        <v>256867892.26017624</v>
      </c>
    </row>
    <row r="4290" spans="1:2" x14ac:dyDescent="0.25">
      <c r="A4290">
        <f ca="1">33374.9655477862*(RANDBETWEEN(2890,3282))</f>
        <v>101426520.29972231</v>
      </c>
      <c r="B4290">
        <v>218735142.61221057</v>
      </c>
    </row>
    <row r="4291" spans="1:2" x14ac:dyDescent="0.25">
      <c r="A4291">
        <f ca="1">29651.610889346*(RANDBETWEEN(2890,3282))</f>
        <v>88658316.559144557</v>
      </c>
      <c r="B4291">
        <v>246253218.17042145</v>
      </c>
    </row>
    <row r="4292" spans="1:2" x14ac:dyDescent="0.25">
      <c r="A4292">
        <f ca="1">28655.3060106407*(RANDBETWEEN(2890,3282))</f>
        <v>91009251.889795005</v>
      </c>
      <c r="B4292">
        <v>204011927.64778244</v>
      </c>
    </row>
    <row r="4293" spans="1:2" x14ac:dyDescent="0.25">
      <c r="A4293">
        <f ca="1">32762.4739079963*(RANDBETWEEN(2890,3282))</f>
        <v>106052128.0401839</v>
      </c>
      <c r="B4293">
        <v>241645963.38627815</v>
      </c>
    </row>
    <row r="4294" spans="1:2" x14ac:dyDescent="0.25">
      <c r="A4294">
        <f ca="1">32385.8721972576*(RANDBETWEEN(2890,3282))</f>
        <v>104735910.68593097</v>
      </c>
      <c r="B4294">
        <v>223591766.5779112</v>
      </c>
    </row>
    <row r="4295" spans="1:2" x14ac:dyDescent="0.25">
      <c r="A4295">
        <f ca="1">32644.6699771408*(RANDBETWEEN(2890,3282))</f>
        <v>105866664.73586746</v>
      </c>
      <c r="B4295">
        <v>231077224.97160619</v>
      </c>
    </row>
    <row r="4296" spans="1:2" x14ac:dyDescent="0.25">
      <c r="A4296">
        <f ca="1">28068.8225867821*(RANDBETWEEN(2890,3282))</f>
        <v>85469564.776751384</v>
      </c>
      <c r="B4296">
        <v>259864608.4492076</v>
      </c>
    </row>
    <row r="4297" spans="1:2" x14ac:dyDescent="0.25">
      <c r="A4297">
        <f ca="1">30211.9444427436*(RANDBETWEEN(2890,3282))</f>
        <v>87826122.49505578</v>
      </c>
      <c r="B4297">
        <v>222091145.44664049</v>
      </c>
    </row>
    <row r="4298" spans="1:2" x14ac:dyDescent="0.25">
      <c r="A4298">
        <f ca="1">28308.4846122584*(RANDBETWEEN(2890,3282))</f>
        <v>89568045.313185617</v>
      </c>
      <c r="B4298">
        <v>213843846.83979928</v>
      </c>
    </row>
    <row r="4299" spans="1:2" x14ac:dyDescent="0.25">
      <c r="A4299">
        <f ca="1">32576.5931784883*(RANDBETWEEN(2890,3282))</f>
        <v>101508664.34416948</v>
      </c>
      <c r="B4299">
        <v>214629140.89372391</v>
      </c>
    </row>
    <row r="4300" spans="1:2" x14ac:dyDescent="0.25">
      <c r="A4300">
        <f ca="1">31680.2903362996*(RANDBETWEEN(2890,3282))</f>
        <v>99887955.430352569</v>
      </c>
      <c r="B4300">
        <v>211578143.46788818</v>
      </c>
    </row>
    <row r="4301" spans="1:2" x14ac:dyDescent="0.25">
      <c r="A4301">
        <f ca="1">27379.0406258518*(RANDBETWEEN(2890,3282))</f>
        <v>87722446.165229172</v>
      </c>
      <c r="B4301">
        <v>208938794.09328839</v>
      </c>
    </row>
    <row r="4302" spans="1:2" x14ac:dyDescent="0.25">
      <c r="A4302">
        <f ca="1">27281.8220205767*(RANDBETWEEN(2890,3282))</f>
        <v>79499229.367960647</v>
      </c>
      <c r="B4302">
        <v>256275002.30145663</v>
      </c>
    </row>
    <row r="4303" spans="1:2" x14ac:dyDescent="0.25">
      <c r="A4303">
        <f ca="1">33596.5624197597*(RANDBETWEEN(2890,3282))</f>
        <v>101327232.25799534</v>
      </c>
      <c r="B4303">
        <v>236848012.51994082</v>
      </c>
    </row>
    <row r="4304" spans="1:2" x14ac:dyDescent="0.25">
      <c r="A4304">
        <f ca="1">32869.9168056677*(RANDBETWEEN(2890,3282))</f>
        <v>100384725.92450929</v>
      </c>
      <c r="B4304">
        <v>227297118.94254321</v>
      </c>
    </row>
    <row r="4305" spans="1:2" x14ac:dyDescent="0.25">
      <c r="A4305">
        <f ca="1">28004.1047122342*(RANDBETWEEN(2890,3282))</f>
        <v>88184925.738825589</v>
      </c>
      <c r="B4305">
        <v>255350602.66583163</v>
      </c>
    </row>
    <row r="4306" spans="1:2" x14ac:dyDescent="0.25">
      <c r="A4306">
        <f ca="1">31794.6243729279*(RANDBETWEEN(2890,3282))</f>
        <v>92935687.042068154</v>
      </c>
      <c r="B4306">
        <v>254830736.79593235</v>
      </c>
    </row>
    <row r="4307" spans="1:2" x14ac:dyDescent="0.25">
      <c r="A4307">
        <f ca="1">28543.1642496053*(RANDBETWEEN(2890,3282))</f>
        <v>89825337.893507883</v>
      </c>
      <c r="B4307">
        <v>234527800.67320612</v>
      </c>
    </row>
    <row r="4308" spans="1:2" x14ac:dyDescent="0.25">
      <c r="A4308">
        <f ca="1">29115.9991743473*(RANDBETWEEN(2890,3282))</f>
        <v>86358053.551114172</v>
      </c>
      <c r="B4308">
        <v>246375849.9214375</v>
      </c>
    </row>
    <row r="4309" spans="1:2" x14ac:dyDescent="0.25">
      <c r="A4309">
        <f ca="1">31856.5509303699*(RANDBETWEEN(2890,3282))</f>
        <v>95219230.730875671</v>
      </c>
      <c r="B4309">
        <v>209339658.88235313</v>
      </c>
    </row>
    <row r="4310" spans="1:2" x14ac:dyDescent="0.25">
      <c r="A4310">
        <f ca="1">33756.7997406197*(RANDBETWEEN(2890,3282))</f>
        <v>101607967.21926522</v>
      </c>
      <c r="B4310">
        <v>231713865.65994832</v>
      </c>
    </row>
    <row r="4311" spans="1:2" x14ac:dyDescent="0.25">
      <c r="A4311">
        <f ca="1">28350.8205455056*(RANDBETWEEN(2890,3282))</f>
        <v>83606569.78869611</v>
      </c>
      <c r="B4311">
        <v>243951170.83001518</v>
      </c>
    </row>
    <row r="4312" spans="1:2" x14ac:dyDescent="0.25">
      <c r="A4312">
        <f ca="1">29667.1746879454*(RANDBETWEEN(2890,3282))</f>
        <v>85738134.84816213</v>
      </c>
      <c r="B4312">
        <v>229793017.69543433</v>
      </c>
    </row>
    <row r="4313" spans="1:2" x14ac:dyDescent="0.25">
      <c r="A4313">
        <f ca="1">26747.3820521931*(RANDBETWEEN(2890,3282))</f>
        <v>78209345.120612681</v>
      </c>
      <c r="B4313">
        <v>216733522.88164073</v>
      </c>
    </row>
    <row r="4314" spans="1:2" x14ac:dyDescent="0.25">
      <c r="A4314">
        <f ca="1">29401.9380564271*(RANDBETWEEN(2890,3282))</f>
        <v>87353157.96564503</v>
      </c>
      <c r="B4314">
        <v>223765904.28856468</v>
      </c>
    </row>
    <row r="4315" spans="1:2" x14ac:dyDescent="0.25">
      <c r="A4315">
        <f ca="1">32522.7096208659*(RANDBETWEEN(2890,3282))</f>
        <v>94803698.544824094</v>
      </c>
      <c r="B4315">
        <v>219045452.8487072</v>
      </c>
    </row>
    <row r="4316" spans="1:2" x14ac:dyDescent="0.25">
      <c r="A4316">
        <f ca="1">27307.5873114626*(RANDBETWEEN(2890,3282))</f>
        <v>86483129.015402049</v>
      </c>
      <c r="B4316">
        <v>213159055.27167112</v>
      </c>
    </row>
    <row r="4317" spans="1:2" x14ac:dyDescent="0.25">
      <c r="A4317">
        <f ca="1">32353.6256276107*(RANDBETWEEN(2890,3282))</f>
        <v>94796123.088899478</v>
      </c>
      <c r="B4317">
        <v>249074355.2334933</v>
      </c>
    </row>
    <row r="4318" spans="1:2" x14ac:dyDescent="0.25">
      <c r="A4318">
        <f ca="1">31335.264657767*(RANDBETWEEN(2890,3282))</f>
        <v>99677476.876356855</v>
      </c>
      <c r="B4318">
        <v>208036693.17683658</v>
      </c>
    </row>
    <row r="4319" spans="1:2" x14ac:dyDescent="0.25">
      <c r="A4319">
        <f ca="1">28783.8110612868*(RANDBETWEEN(2890,3282))</f>
        <v>87963326.603292465</v>
      </c>
      <c r="B4319">
        <v>222847789.55697376</v>
      </c>
    </row>
    <row r="4320" spans="1:2" x14ac:dyDescent="0.25">
      <c r="A4320">
        <f ca="1">33107.6759592841*(RANDBETWEEN(2890,3282))</f>
        <v>95780506.550209045</v>
      </c>
      <c r="B4320">
        <v>263807979.54268092</v>
      </c>
    </row>
    <row r="4321" spans="1:2" x14ac:dyDescent="0.25">
      <c r="A4321">
        <f ca="1">32073.9755115814*(RANDBETWEEN(2890,3282))</f>
        <v>97665255.432765469</v>
      </c>
      <c r="B4321">
        <v>256252835.98915276</v>
      </c>
    </row>
    <row r="4322" spans="1:2" x14ac:dyDescent="0.25">
      <c r="A4322">
        <f ca="1">28584.3682822228*(RANDBETWEEN(2890,3282))</f>
        <v>91698653.449370846</v>
      </c>
      <c r="B4322">
        <v>245351247.44332093</v>
      </c>
    </row>
    <row r="4323" spans="1:2" x14ac:dyDescent="0.25">
      <c r="A4323">
        <f ca="1">31932.2276231831*(RANDBETWEEN(2890,3282))</f>
        <v>101097432.65499777</v>
      </c>
      <c r="B4323">
        <v>226958667.93863672</v>
      </c>
    </row>
    <row r="4324" spans="1:2" x14ac:dyDescent="0.25">
      <c r="A4324">
        <f ca="1">29528.7858718016*(RANDBETWEEN(2890,3282))</f>
        <v>95673266.224637032</v>
      </c>
      <c r="B4324">
        <v>224512458.15166563</v>
      </c>
    </row>
    <row r="4325" spans="1:2" x14ac:dyDescent="0.25">
      <c r="A4325">
        <f ca="1">33792.6190777871*(RANDBETWEEN(2890,3282))</f>
        <v>103709547.94972859</v>
      </c>
      <c r="B4325">
        <v>258268904.66334084</v>
      </c>
    </row>
    <row r="4326" spans="1:2" x14ac:dyDescent="0.25">
      <c r="A4326">
        <f ca="1">26297.2175918429*(RANDBETWEEN(2890,3282))</f>
        <v>85202984.997570843</v>
      </c>
      <c r="B4326">
        <v>227381106.02393776</v>
      </c>
    </row>
    <row r="4327" spans="1:2" x14ac:dyDescent="0.25">
      <c r="A4327">
        <f ca="1">32144.9206496036*(RANDBETWEEN(2890,3282))</f>
        <v>95309689.726074532</v>
      </c>
      <c r="B4327">
        <v>258755013.63037515</v>
      </c>
    </row>
    <row r="4328" spans="1:2" x14ac:dyDescent="0.25">
      <c r="A4328">
        <f ca="1">28832.5193957269*(RANDBETWEEN(2890,3282))</f>
        <v>88400504.467298687</v>
      </c>
      <c r="B4328">
        <v>238755450.350411</v>
      </c>
    </row>
    <row r="4329" spans="1:2" x14ac:dyDescent="0.25">
      <c r="A4329">
        <f ca="1">29667.436076649*(RANDBETWEEN(2890,3282))</f>
        <v>93126081.844601288</v>
      </c>
      <c r="B4329">
        <v>254921638.93498766</v>
      </c>
    </row>
    <row r="4330" spans="1:2" x14ac:dyDescent="0.25">
      <c r="A4330">
        <f ca="1">29167.7421557779*(RANDBETWEEN(2890,3282))</f>
        <v>93832626.515137434</v>
      </c>
      <c r="B4330">
        <v>230324487.38161862</v>
      </c>
    </row>
    <row r="4331" spans="1:2" x14ac:dyDescent="0.25">
      <c r="A4331">
        <f ca="1">27260.3522711493*(RANDBETWEEN(2890,3282))</f>
        <v>85488464.722324222</v>
      </c>
      <c r="B4331">
        <v>205227839.85795295</v>
      </c>
    </row>
    <row r="4332" spans="1:2" x14ac:dyDescent="0.25">
      <c r="A4332">
        <f ca="1">25895.6081872453*(RANDBETWEEN(2890,3282))</f>
        <v>84652743.164104939</v>
      </c>
      <c r="B4332">
        <v>238115042.88406965</v>
      </c>
    </row>
    <row r="4333" spans="1:2" x14ac:dyDescent="0.25">
      <c r="A4333">
        <f ca="1">33066.0243486419*(RANDBETWEEN(2890,3282))</f>
        <v>107795239.37657268</v>
      </c>
      <c r="B4333">
        <v>204984019.71037808</v>
      </c>
    </row>
    <row r="4334" spans="1:2" x14ac:dyDescent="0.25">
      <c r="A4334">
        <f ca="1">26974.8681274627*(RANDBETWEEN(2890,3282))</f>
        <v>88423617.721822754</v>
      </c>
      <c r="B4334">
        <v>224222838.77327198</v>
      </c>
    </row>
    <row r="4335" spans="1:2" x14ac:dyDescent="0.25">
      <c r="A4335">
        <f ca="1">33373.0896710088*(RANDBETWEEN(2890,3282))</f>
        <v>96681840.776912421</v>
      </c>
      <c r="B4335">
        <v>245304485.0854539</v>
      </c>
    </row>
    <row r="4336" spans="1:2" x14ac:dyDescent="0.25">
      <c r="A4336">
        <f ca="1">31856.8334656316*(RANDBETWEEN(2890,3282))</f>
        <v>98182760.741076469</v>
      </c>
      <c r="B4336">
        <v>225523983.33369622</v>
      </c>
    </row>
    <row r="4337" spans="1:2" x14ac:dyDescent="0.25">
      <c r="A4337">
        <f ca="1">28772.5469988594*(RANDBETWEEN(2890,3282))</f>
        <v>90863703.422397941</v>
      </c>
      <c r="B4337">
        <v>258031821.67357478</v>
      </c>
    </row>
    <row r="4338" spans="1:2" x14ac:dyDescent="0.25">
      <c r="A4338">
        <f ca="1">31126.4638952845*(RANDBETWEEN(2890,3282))</f>
        <v>94406564.994398043</v>
      </c>
      <c r="B4338">
        <v>252677130.9959414</v>
      </c>
    </row>
    <row r="4339" spans="1:2" x14ac:dyDescent="0.25">
      <c r="A4339">
        <f ca="1">26602.016252048*(RANDBETWEEN(2890,3282))</f>
        <v>77358663.260955542</v>
      </c>
      <c r="B4339">
        <v>224277407.53225341</v>
      </c>
    </row>
    <row r="4340" spans="1:2" x14ac:dyDescent="0.25">
      <c r="A4340">
        <f ca="1">33188.6511484436*(RANDBETWEEN(2890,3282))</f>
        <v>105971363.11698055</v>
      </c>
      <c r="B4340">
        <v>229155728.13011232</v>
      </c>
    </row>
    <row r="4341" spans="1:2" x14ac:dyDescent="0.25">
      <c r="A4341">
        <f ca="1">31346.6657838095*(RANDBETWEEN(2890,3282))</f>
        <v>97676210.582350433</v>
      </c>
      <c r="B4341">
        <v>230736797.31289217</v>
      </c>
    </row>
    <row r="4342" spans="1:2" x14ac:dyDescent="0.25">
      <c r="A4342">
        <f ca="1">31364.0640873888*(RANDBETWEEN(2890,3282))</f>
        <v>102780038.01437297</v>
      </c>
      <c r="B4342">
        <v>210652498.79667962</v>
      </c>
    </row>
    <row r="4343" spans="1:2" x14ac:dyDescent="0.25">
      <c r="A4343">
        <f ca="1">29323.1345523754*(RANDBETWEEN(2890,3282))</f>
        <v>93863353.702153802</v>
      </c>
      <c r="B4343">
        <v>258201572.85738757</v>
      </c>
    </row>
    <row r="4344" spans="1:2" x14ac:dyDescent="0.25">
      <c r="A4344">
        <f ca="1">31218.1495099608*(RANDBETWEEN(2890,3282))</f>
        <v>100803404.76766333</v>
      </c>
      <c r="B4344">
        <v>249920634.61729747</v>
      </c>
    </row>
    <row r="4345" spans="1:2" x14ac:dyDescent="0.25">
      <c r="A4345">
        <f ca="1">29262.4077545644*(RANDBETWEEN(2890,3282))</f>
        <v>85563280.274346441</v>
      </c>
      <c r="B4345">
        <v>217752732.19934249</v>
      </c>
    </row>
    <row r="4346" spans="1:2" x14ac:dyDescent="0.25">
      <c r="A4346">
        <f ca="1">31785.8901937419*(RANDBETWEEN(2890,3282))</f>
        <v>97360181.663431466</v>
      </c>
      <c r="B4346">
        <v>239171514.83243388</v>
      </c>
    </row>
    <row r="4347" spans="1:2" x14ac:dyDescent="0.25">
      <c r="A4347">
        <f ca="1">33976.4629473084*(RANDBETWEEN(2890,3282))</f>
        <v>108418893.26486096</v>
      </c>
      <c r="B4347">
        <v>245721369.92202255</v>
      </c>
    </row>
    <row r="4348" spans="1:2" x14ac:dyDescent="0.25">
      <c r="A4348">
        <f ca="1">29393.6531636797*(RANDBETWEEN(2890,3282))</f>
        <v>88357321.410021111</v>
      </c>
      <c r="B4348">
        <v>264010962.41174379</v>
      </c>
    </row>
    <row r="4349" spans="1:2" x14ac:dyDescent="0.25">
      <c r="A4349">
        <f ca="1">27024.2594248239*(RANDBETWEEN(2890,3282))</f>
        <v>80883608.458497897</v>
      </c>
      <c r="B4349">
        <v>228835672.19263828</v>
      </c>
    </row>
    <row r="4350" spans="1:2" x14ac:dyDescent="0.25">
      <c r="A4350">
        <f ca="1">32280.3298816779*(RANDBETWEEN(2890,3282))</f>
        <v>102554608.03409065</v>
      </c>
      <c r="B4350">
        <v>256722364.80541626</v>
      </c>
    </row>
    <row r="4351" spans="1:2" x14ac:dyDescent="0.25">
      <c r="A4351">
        <f ca="1">29952.8397686297*(RANDBETWEEN(2890,3282))</f>
        <v>90068189.184269592</v>
      </c>
      <c r="B4351">
        <v>265393794.6061295</v>
      </c>
    </row>
    <row r="4352" spans="1:2" x14ac:dyDescent="0.25">
      <c r="A4352">
        <f ca="1">27343.9721231723*(RANDBETWEEN(2890,3282))</f>
        <v>83125675.254443735</v>
      </c>
      <c r="B4352">
        <v>218861167.57930019</v>
      </c>
    </row>
    <row r="4353" spans="1:2" x14ac:dyDescent="0.25">
      <c r="A4353">
        <f ca="1">27089.4670193186*(RANDBETWEEN(2890,3282))</f>
        <v>79778480.371893272</v>
      </c>
      <c r="B4353">
        <v>221551335.16585258</v>
      </c>
    </row>
    <row r="4354" spans="1:2" x14ac:dyDescent="0.25">
      <c r="A4354">
        <f ca="1">29085.2516099143*(RANDBETWEEN(2890,3282))</f>
        <v>88070141.874820635</v>
      </c>
      <c r="B4354">
        <v>222126142.54645959</v>
      </c>
    </row>
    <row r="4355" spans="1:2" x14ac:dyDescent="0.25">
      <c r="A4355">
        <f ca="1">30922.1192776865*(RANDBETWEEN(2890,3282))</f>
        <v>95642114.925884366</v>
      </c>
      <c r="B4355">
        <v>225689298.65485084</v>
      </c>
    </row>
    <row r="4356" spans="1:2" x14ac:dyDescent="0.25">
      <c r="A4356">
        <f ca="1">27030.088637781*(RANDBETWEEN(2890,3282))</f>
        <v>86523313.7295371</v>
      </c>
      <c r="B4356">
        <v>236959657.44850844</v>
      </c>
    </row>
    <row r="4357" spans="1:2" x14ac:dyDescent="0.25">
      <c r="A4357">
        <f ca="1">31593.3713695694*(RANDBETWEEN(2890,3282))</f>
        <v>101572688.95316574</v>
      </c>
      <c r="B4357">
        <v>256951610.29793012</v>
      </c>
    </row>
    <row r="4358" spans="1:2" x14ac:dyDescent="0.25">
      <c r="A4358">
        <f ca="1">29191.6861256182*(RANDBETWEEN(2890,3282))</f>
        <v>85035381.683925718</v>
      </c>
      <c r="B4358">
        <v>248300116.54340386</v>
      </c>
    </row>
    <row r="4359" spans="1:2" x14ac:dyDescent="0.25">
      <c r="A4359">
        <f ca="1">31484.8747544159*(RANDBETWEEN(2890,3282))</f>
        <v>93824926.768159434</v>
      </c>
      <c r="B4359">
        <v>263689758.04772186</v>
      </c>
    </row>
    <row r="4360" spans="1:2" x14ac:dyDescent="0.25">
      <c r="A4360">
        <f ca="1">35140.318997372*(RANDBETWEEN(2890,3282))</f>
        <v>103382818.49026838</v>
      </c>
      <c r="B4360">
        <v>240083158.65458053</v>
      </c>
    </row>
    <row r="4361" spans="1:2" x14ac:dyDescent="0.25">
      <c r="A4361">
        <f ca="1">29596.2337395448*(RANDBETWEEN(2890,3282))</f>
        <v>95862201.082385719</v>
      </c>
      <c r="B4361">
        <v>251899656.36632833</v>
      </c>
    </row>
    <row r="4362" spans="1:2" x14ac:dyDescent="0.25">
      <c r="A4362">
        <f ca="1">28498.8051299108*(RANDBETWEEN(2890,3282))</f>
        <v>85695907.025641859</v>
      </c>
      <c r="B4362">
        <v>265661408.35117769</v>
      </c>
    </row>
    <row r="4363" spans="1:2" x14ac:dyDescent="0.25">
      <c r="A4363">
        <f ca="1">32756.573381238*(RANDBETWEEN(2890,3282))</f>
        <v>101774673.49550636</v>
      </c>
      <c r="B4363">
        <v>234675823.10045633</v>
      </c>
    </row>
    <row r="4364" spans="1:2" x14ac:dyDescent="0.25">
      <c r="A4364">
        <f ca="1">33248.3567574544*(RANDBETWEEN(2890,3282))</f>
        <v>103934363.22380243</v>
      </c>
      <c r="B4364">
        <v>244928853.80756751</v>
      </c>
    </row>
    <row r="4365" spans="1:2" x14ac:dyDescent="0.25">
      <c r="A4365">
        <f ca="1">27497.5491411683*(RANDBETWEEN(2890,3282))</f>
        <v>80760301.827611238</v>
      </c>
      <c r="B4365">
        <v>250232886.72561958</v>
      </c>
    </row>
    <row r="4366" spans="1:2" x14ac:dyDescent="0.25">
      <c r="A4366">
        <f ca="1">33293.2335215418*(RANDBETWEEN(2890,3282))</f>
        <v>108768993.91487709</v>
      </c>
      <c r="B4366">
        <v>220257881.27996081</v>
      </c>
    </row>
    <row r="4367" spans="1:2" x14ac:dyDescent="0.25">
      <c r="A4367">
        <f ca="1">30672.1313794199*(RANDBETWEEN(2890,3282))</f>
        <v>88949181.000317708</v>
      </c>
      <c r="B4367">
        <v>212938044.31382298</v>
      </c>
    </row>
    <row r="4368" spans="1:2" x14ac:dyDescent="0.25">
      <c r="A4368">
        <f ca="1">31752.7054738576*(RANDBETWEEN(2890,3282))</f>
        <v>93194190.565772012</v>
      </c>
      <c r="B4368">
        <v>259808863.31897742</v>
      </c>
    </row>
    <row r="4369" spans="1:2" x14ac:dyDescent="0.25">
      <c r="A4369">
        <f ca="1">28702.1472296639*(RANDBETWEEN(2890,3282))</f>
        <v>83953780.646766767</v>
      </c>
      <c r="B4369">
        <v>253728845.87062055</v>
      </c>
    </row>
    <row r="4370" spans="1:2" x14ac:dyDescent="0.25">
      <c r="A4370">
        <f ca="1">29040.5622310477*(RANDBETWEEN(2890,3282))</f>
        <v>85263090.710355937</v>
      </c>
      <c r="B4370">
        <v>260799676.28675562</v>
      </c>
    </row>
    <row r="4371" spans="1:2" x14ac:dyDescent="0.25">
      <c r="A4371">
        <f ca="1">28874.2066284417*(RANDBETWEEN(2890,3282))</f>
        <v>87979707.596861735</v>
      </c>
      <c r="B4371">
        <v>252130626.91090968</v>
      </c>
    </row>
    <row r="4372" spans="1:2" x14ac:dyDescent="0.25">
      <c r="A4372">
        <f ca="1">30275.8024675973*(RANDBETWEEN(2890,3282))</f>
        <v>90040236.538634509</v>
      </c>
      <c r="B4372">
        <v>231211473.50654858</v>
      </c>
    </row>
    <row r="4373" spans="1:2" x14ac:dyDescent="0.25">
      <c r="A4373">
        <f ca="1">30409.0633870775*(RANDBETWEEN(2890,3282))</f>
        <v>88946510.407201752</v>
      </c>
      <c r="B4373">
        <v>211424262.01797521</v>
      </c>
    </row>
    <row r="4374" spans="1:2" x14ac:dyDescent="0.25">
      <c r="A4374">
        <f ca="1">29675.7404020655*(RANDBETWEEN(2890,3282))</f>
        <v>95348153.911836416</v>
      </c>
      <c r="B4374">
        <v>265408955.40777895</v>
      </c>
    </row>
    <row r="4375" spans="1:2" x14ac:dyDescent="0.25">
      <c r="A4375">
        <f ca="1">29088.2059848936*(RANDBETWEEN(2890,3282))</f>
        <v>84937561.4758894</v>
      </c>
      <c r="B4375">
        <v>243571302.86383492</v>
      </c>
    </row>
    <row r="4376" spans="1:2" x14ac:dyDescent="0.25">
      <c r="A4376">
        <f ca="1">27319.5240138015*(RANDBETWEEN(2890,3282))</f>
        <v>84608565.870743245</v>
      </c>
      <c r="B4376">
        <v>218214533.22898427</v>
      </c>
    </row>
    <row r="4377" spans="1:2" x14ac:dyDescent="0.25">
      <c r="A4377">
        <f ca="1">29386.6042922452*(RANDBETWEEN(2890,3282))</f>
        <v>94801185.446783051</v>
      </c>
      <c r="B4377">
        <v>215290558.38700595</v>
      </c>
    </row>
    <row r="4378" spans="1:2" x14ac:dyDescent="0.25">
      <c r="A4378">
        <f ca="1">29987.9807299638*(RANDBETWEEN(2890,3282))</f>
        <v>98360576.794281289</v>
      </c>
      <c r="B4378">
        <v>243330561.85181975</v>
      </c>
    </row>
    <row r="4379" spans="1:2" x14ac:dyDescent="0.25">
      <c r="A4379">
        <f ca="1">30430.8625667921*(RANDBETWEEN(2890,3282))</f>
        <v>89649321.121769503</v>
      </c>
      <c r="B4379">
        <v>228170030.51710972</v>
      </c>
    </row>
    <row r="4380" spans="1:2" x14ac:dyDescent="0.25">
      <c r="A4380">
        <f ca="1">32560.6280485039*(RANDBETWEEN(2890,3282))</f>
        <v>100840265.06621644</v>
      </c>
      <c r="B4380">
        <v>214735724.46026513</v>
      </c>
    </row>
    <row r="4381" spans="1:2" x14ac:dyDescent="0.25">
      <c r="A4381">
        <f ca="1">28687.4549793761*(RANDBETWEEN(2890,3282))</f>
        <v>93062103.953096226</v>
      </c>
      <c r="B4381">
        <v>211317345.33626378</v>
      </c>
    </row>
    <row r="4382" spans="1:2" x14ac:dyDescent="0.25">
      <c r="A4382">
        <f ca="1">32901.6807208587*(RANDBETWEEN(2890,3282))</f>
        <v>104857656.45737672</v>
      </c>
      <c r="B4382">
        <v>241262087.90108937</v>
      </c>
    </row>
    <row r="4383" spans="1:2" x14ac:dyDescent="0.25">
      <c r="A4383">
        <f ca="1">29766.568008456*(RANDBETWEEN(2890,3282))</f>
        <v>92782392.482357368</v>
      </c>
      <c r="B4383">
        <v>261350091.32080752</v>
      </c>
    </row>
    <row r="4384" spans="1:2" x14ac:dyDescent="0.25">
      <c r="A4384">
        <f ca="1">28884.2297746181*(RANDBETWEEN(2890,3282))</f>
        <v>84746330.158729464</v>
      </c>
      <c r="B4384">
        <v>249734969.80012423</v>
      </c>
    </row>
    <row r="4385" spans="1:2" x14ac:dyDescent="0.25">
      <c r="A4385">
        <f ca="1">27735.197603201*(RANDBETWEEN(2890,3282))</f>
        <v>88475280.354211092</v>
      </c>
      <c r="B4385">
        <v>221156682.39015955</v>
      </c>
    </row>
    <row r="4386" spans="1:2" x14ac:dyDescent="0.25">
      <c r="A4386">
        <f ca="1">29219.7214431839*(RANDBETWEEN(2890,3282))</f>
        <v>87425406.558006391</v>
      </c>
      <c r="B4386">
        <v>260085817.47862881</v>
      </c>
    </row>
    <row r="4387" spans="1:2" x14ac:dyDescent="0.25">
      <c r="A4387">
        <f ca="1">30941.9144706656*(RANDBETWEEN(2890,3282))</f>
        <v>94929793.596002191</v>
      </c>
      <c r="B4387">
        <v>267181624.90192422</v>
      </c>
    </row>
    <row r="4388" spans="1:2" x14ac:dyDescent="0.25">
      <c r="A4388">
        <f ca="1">29134.7539362913*(RANDBETWEEN(2890,3282))</f>
        <v>87491666.070682675</v>
      </c>
      <c r="B4388">
        <v>257794275.79979873</v>
      </c>
    </row>
    <row r="4389" spans="1:2" x14ac:dyDescent="0.25">
      <c r="A4389">
        <f ca="1">34425.4639217077*(RANDBETWEEN(2890,3282))</f>
        <v>109817229.91024745</v>
      </c>
      <c r="B4389">
        <v>232635483.3448799</v>
      </c>
    </row>
    <row r="4390" spans="1:2" x14ac:dyDescent="0.25">
      <c r="A4390">
        <f ca="1">30316.8519606977*(RANDBETWEEN(2890,3282))</f>
        <v>92254180.516403213</v>
      </c>
      <c r="B4390">
        <v>227676498.92462039</v>
      </c>
    </row>
    <row r="4391" spans="1:2" x14ac:dyDescent="0.25">
      <c r="A4391">
        <f ca="1">31058.351276927*(RANDBETWEEN(2890,3282))</f>
        <v>101778217.13448988</v>
      </c>
      <c r="B4391">
        <v>258824207.44115573</v>
      </c>
    </row>
    <row r="4392" spans="1:2" x14ac:dyDescent="0.25">
      <c r="A4392">
        <f ca="1">30067.8491798337*(RANDBETWEEN(2890,3282))</f>
        <v>94954267.709914893</v>
      </c>
      <c r="B4392">
        <v>219623781.96076483</v>
      </c>
    </row>
    <row r="4393" spans="1:2" x14ac:dyDescent="0.25">
      <c r="A4393">
        <f ca="1">28258.0505045444*(RANDBETWEEN(2890,3282))</f>
        <v>91584341.685228556</v>
      </c>
      <c r="B4393">
        <v>204387578.1354169</v>
      </c>
    </row>
    <row r="4394" spans="1:2" x14ac:dyDescent="0.25">
      <c r="A4394">
        <f ca="1">27216.8011385853*(RANDBETWEEN(2890,3282))</f>
        <v>88835638.916342363</v>
      </c>
      <c r="B4394">
        <v>209042429.05620766</v>
      </c>
    </row>
    <row r="4395" spans="1:2" x14ac:dyDescent="0.25">
      <c r="A4395">
        <f ca="1">32137.2613868631*(RANDBETWEEN(2890,3282))</f>
        <v>101039549.80029765</v>
      </c>
      <c r="B4395">
        <v>257801993.36337182</v>
      </c>
    </row>
    <row r="4396" spans="1:2" x14ac:dyDescent="0.25">
      <c r="A4396">
        <f ca="1">32610.5042795192*(RANDBETWEEN(2890,3282))</f>
        <v>101614331.33498187</v>
      </c>
      <c r="B4396">
        <v>231076434.2653904</v>
      </c>
    </row>
    <row r="4397" spans="1:2" x14ac:dyDescent="0.25">
      <c r="A4397">
        <f ca="1">30258.4142631968*(RANDBETWEEN(2890,3282))</f>
        <v>92439455.574066252</v>
      </c>
      <c r="B4397">
        <v>247137125.73230124</v>
      </c>
    </row>
    <row r="4398" spans="1:2" x14ac:dyDescent="0.25">
      <c r="A4398">
        <f ca="1">30146.5667904154*(RANDBETWEEN(2890,3282))</f>
        <v>97102091.631927952</v>
      </c>
      <c r="B4398">
        <v>248679326.51406479</v>
      </c>
    </row>
    <row r="4399" spans="1:2" x14ac:dyDescent="0.25">
      <c r="A4399">
        <f ca="1">28654.1228278575*(RANDBETWEEN(2890,3282))</f>
        <v>87939502.958694607</v>
      </c>
      <c r="B4399">
        <v>222080233.11488634</v>
      </c>
    </row>
    <row r="4400" spans="1:2" x14ac:dyDescent="0.25">
      <c r="A4400">
        <f ca="1">27361.1379979502*(RANDBETWEEN(2890,3282))</f>
        <v>88814253.941346407</v>
      </c>
      <c r="B4400">
        <v>222089242.36167741</v>
      </c>
    </row>
    <row r="4401" spans="1:2" x14ac:dyDescent="0.25">
      <c r="A4401">
        <f ca="1">25711.7156450934*(RANDBETWEEN(2890,3282))</f>
        <v>78729273.305275962</v>
      </c>
      <c r="B4401">
        <v>216207042.56996194</v>
      </c>
    </row>
    <row r="4402" spans="1:2" x14ac:dyDescent="0.25">
      <c r="A4402">
        <f ca="1">29175.1897277235*(RANDBETWEEN(2890,3282))</f>
        <v>90909891.19158642</v>
      </c>
      <c r="B4402">
        <v>205856913.06711727</v>
      </c>
    </row>
    <row r="4403" spans="1:2" x14ac:dyDescent="0.25">
      <c r="A4403">
        <f ca="1">28276.151560547*(RANDBETWEEN(2890,3282))</f>
        <v>89946438.11409986</v>
      </c>
      <c r="B4403">
        <v>253556367.8121112</v>
      </c>
    </row>
    <row r="4404" spans="1:2" x14ac:dyDescent="0.25">
      <c r="A4404">
        <f ca="1">30571.8614328726*(RANDBETWEEN(2890,3282))</f>
        <v>92327021.52727516</v>
      </c>
      <c r="B4404">
        <v>208781457.82477623</v>
      </c>
    </row>
    <row r="4405" spans="1:2" x14ac:dyDescent="0.25">
      <c r="A4405">
        <f ca="1">26849.2461884152*(RANDBETWEEN(2890,3282))</f>
        <v>82078145.597985387</v>
      </c>
      <c r="B4405">
        <v>241223507.89489985</v>
      </c>
    </row>
    <row r="4406" spans="1:2" x14ac:dyDescent="0.25">
      <c r="A4406">
        <f ca="1">29330.7895285902*(RANDBETWEEN(2890,3282))</f>
        <v>88432330.428699389</v>
      </c>
      <c r="B4406">
        <v>228205429.81844395</v>
      </c>
    </row>
    <row r="4407" spans="1:2" x14ac:dyDescent="0.25">
      <c r="A4407">
        <f ca="1">26698.6318681364*(RANDBETWEEN(2890,3282))</f>
        <v>84234183.543970242</v>
      </c>
      <c r="B4407">
        <v>252530950.31035388</v>
      </c>
    </row>
    <row r="4408" spans="1:2" x14ac:dyDescent="0.25">
      <c r="A4408">
        <f ca="1">27745.5074948412*(RANDBETWEEN(2890,3282))</f>
        <v>88646896.446017548</v>
      </c>
      <c r="B4408">
        <v>223294119.3457765</v>
      </c>
    </row>
    <row r="4409" spans="1:2" x14ac:dyDescent="0.25">
      <c r="A4409">
        <f ca="1">26387.8613494972*(RANDBETWEEN(2890,3282))</f>
        <v>83253702.557663694</v>
      </c>
      <c r="B4409">
        <v>244811920.41935936</v>
      </c>
    </row>
    <row r="4410" spans="1:2" x14ac:dyDescent="0.25">
      <c r="A4410">
        <f ca="1">30937.5208088647*(RANDBETWEEN(2890,3282))</f>
        <v>96215689.715569347</v>
      </c>
      <c r="B4410">
        <v>249655057.4541465</v>
      </c>
    </row>
    <row r="4411" spans="1:2" x14ac:dyDescent="0.25">
      <c r="A4411">
        <f ca="1">28696.4380022104*(RANDBETWEEN(2890,3282))</f>
        <v>90594654.772978246</v>
      </c>
      <c r="B4411">
        <v>258906082.82787386</v>
      </c>
    </row>
    <row r="4412" spans="1:2" x14ac:dyDescent="0.25">
      <c r="A4412">
        <f ca="1">26044.0061186443*(RANDBETWEEN(2890,3282))</f>
        <v>78861250.527254999</v>
      </c>
      <c r="B4412">
        <v>251462605.5572502</v>
      </c>
    </row>
    <row r="4413" spans="1:2" x14ac:dyDescent="0.25">
      <c r="A4413">
        <f ca="1">28826.4145107374*(RANDBETWEEN(2890,3282))</f>
        <v>86335111.459658504</v>
      </c>
      <c r="B4413">
        <v>226725748.65361601</v>
      </c>
    </row>
    <row r="4414" spans="1:2" x14ac:dyDescent="0.25">
      <c r="A4414">
        <f ca="1">31573.016162646*(RANDBETWEEN(2890,3282))</f>
        <v>100275899.33256371</v>
      </c>
      <c r="B4414">
        <v>216702701.89334458</v>
      </c>
    </row>
    <row r="4415" spans="1:2" x14ac:dyDescent="0.25">
      <c r="A4415">
        <f ca="1">27831.1726078154*(RANDBETWEEN(2890,3282))</f>
        <v>84328453.001680583</v>
      </c>
      <c r="B4415">
        <v>221876880.52672666</v>
      </c>
    </row>
    <row r="4416" spans="1:2" x14ac:dyDescent="0.25">
      <c r="A4416">
        <f ca="1">31295.935932274*(RANDBETWEEN(2890,3282))</f>
        <v>96704442.030726761</v>
      </c>
      <c r="B4416">
        <v>255329011.10457206</v>
      </c>
    </row>
    <row r="4417" spans="1:2" x14ac:dyDescent="0.25">
      <c r="A4417">
        <f ca="1">34045.7440021248*(RANDBETWEEN(2890,3282))</f>
        <v>110444393.54289298</v>
      </c>
      <c r="B4417">
        <v>254009629.66155791</v>
      </c>
    </row>
    <row r="4418" spans="1:2" x14ac:dyDescent="0.25">
      <c r="A4418">
        <f ca="1">30820.8096758908*(RANDBETWEEN(2890,3282))</f>
        <v>93140486.840542138</v>
      </c>
      <c r="B4418">
        <v>253143517.5422962</v>
      </c>
    </row>
    <row r="4419" spans="1:2" x14ac:dyDescent="0.25">
      <c r="A4419">
        <f ca="1">30413.264774424*(RANDBETWEEN(2890,3282))</f>
        <v>93612028.975677013</v>
      </c>
      <c r="B4419">
        <v>265560561.9653393</v>
      </c>
    </row>
    <row r="4420" spans="1:2" x14ac:dyDescent="0.25">
      <c r="A4420">
        <f ca="1">26940.3325846944*(RANDBETWEEN(2890,3282))</f>
        <v>79231518.131586313</v>
      </c>
      <c r="B4420">
        <v>210195680.6726647</v>
      </c>
    </row>
    <row r="4421" spans="1:2" x14ac:dyDescent="0.25">
      <c r="A4421">
        <f ca="1">27729.3450898615*(RANDBETWEEN(2890,3282))</f>
        <v>84879525.320066184</v>
      </c>
      <c r="B4421">
        <v>212848588.49095669</v>
      </c>
    </row>
    <row r="4422" spans="1:2" x14ac:dyDescent="0.25">
      <c r="A4422">
        <f ca="1">32466.3556690465*(RANDBETWEEN(2890,3282))</f>
        <v>97366600.651470318</v>
      </c>
      <c r="B4422">
        <v>260754893.73976654</v>
      </c>
    </row>
    <row r="4423" spans="1:2" x14ac:dyDescent="0.25">
      <c r="A4423">
        <f ca="1">31341.9320126372*(RANDBETWEEN(2890,3282))</f>
        <v>101234440.4008182</v>
      </c>
      <c r="B4423">
        <v>254087042.93016511</v>
      </c>
    </row>
    <row r="4424" spans="1:2" x14ac:dyDescent="0.25">
      <c r="A4424">
        <f ca="1">27007.9311756958*(RANDBETWEEN(2890,3282))</f>
        <v>81671983.875304177</v>
      </c>
      <c r="B4424">
        <v>259110333.18133643</v>
      </c>
    </row>
    <row r="4425" spans="1:2" x14ac:dyDescent="0.25">
      <c r="A4425">
        <f ca="1">28856.8567828528*(RANDBETWEEN(2890,3282))</f>
        <v>92082229.994083211</v>
      </c>
      <c r="B4425">
        <v>214145548.69071373</v>
      </c>
    </row>
    <row r="4426" spans="1:2" x14ac:dyDescent="0.25">
      <c r="A4426">
        <f ca="1">29259.2430389595*(RANDBETWEEN(2890,3282))</f>
        <v>94946243.661423549</v>
      </c>
      <c r="B4426">
        <v>216802281.96106446</v>
      </c>
    </row>
    <row r="4427" spans="1:2" x14ac:dyDescent="0.25">
      <c r="A4427">
        <f ca="1">28001.8316869928*(RANDBETWEEN(2890,3282))</f>
        <v>89549857.735003114</v>
      </c>
      <c r="B4427">
        <v>234896867.66433215</v>
      </c>
    </row>
    <row r="4428" spans="1:2" x14ac:dyDescent="0.25">
      <c r="A4428">
        <f ca="1">28665.8921321924*(RANDBETWEEN(2890,3282))</f>
        <v>83159753.075490028</v>
      </c>
      <c r="B4428">
        <v>239583936.43027562</v>
      </c>
    </row>
    <row r="4429" spans="1:2" x14ac:dyDescent="0.25">
      <c r="A4429">
        <f ca="1">31579.9713029959*(RANDBETWEEN(2890,3282))</f>
        <v>102161207.16519159</v>
      </c>
      <c r="B4429">
        <v>231470656.27034259</v>
      </c>
    </row>
    <row r="4430" spans="1:2" x14ac:dyDescent="0.25">
      <c r="A4430">
        <f ca="1">27761.068435801*(RANDBETWEEN(2890,3282))</f>
        <v>86336922.835341066</v>
      </c>
      <c r="B4430">
        <v>261364355.27994338</v>
      </c>
    </row>
    <row r="4431" spans="1:2" x14ac:dyDescent="0.25">
      <c r="A4431">
        <f ca="1">26885.1648180155*(RANDBETWEEN(2890,3282))</f>
        <v>83263355.441394016</v>
      </c>
      <c r="B4431">
        <v>204272642.48297614</v>
      </c>
    </row>
    <row r="4432" spans="1:2" x14ac:dyDescent="0.25">
      <c r="A4432">
        <f ca="1">30305.7486877985*(RANDBETWEEN(2890,3282))</f>
        <v>93281094.46104373</v>
      </c>
      <c r="B4432">
        <v>216825390.40854797</v>
      </c>
    </row>
    <row r="4433" spans="1:2" x14ac:dyDescent="0.25">
      <c r="A4433">
        <f ca="1">25672.7117097524*(RANDBETWEEN(2890,3282))</f>
        <v>79534060.87681295</v>
      </c>
      <c r="B4433">
        <v>212415123.99676222</v>
      </c>
    </row>
    <row r="4434" spans="1:2" x14ac:dyDescent="0.25">
      <c r="A4434">
        <f ca="1">32883.4425002404*(RANDBETWEEN(2890,3282))</f>
        <v>98584560.615720794</v>
      </c>
      <c r="B4434">
        <v>238596339.18269226</v>
      </c>
    </row>
    <row r="4435" spans="1:2" x14ac:dyDescent="0.25">
      <c r="A4435">
        <f ca="1">29381.8071451915*(RANDBETWEEN(2890,3282))</f>
        <v>88468621.314171538</v>
      </c>
      <c r="B4435">
        <v>249949895.68824148</v>
      </c>
    </row>
    <row r="4436" spans="1:2" x14ac:dyDescent="0.25">
      <c r="A4436">
        <f ca="1">31558.6328604028*(RANDBETWEEN(2890,3282))</f>
        <v>101997501.40482177</v>
      </c>
      <c r="B4436">
        <v>265949464.0418511</v>
      </c>
    </row>
    <row r="4437" spans="1:2" x14ac:dyDescent="0.25">
      <c r="A4437">
        <f ca="1">33463.1825491164*(RANDBETWEEN(2890,3282))</f>
        <v>109324217.38796322</v>
      </c>
      <c r="B4437">
        <v>233503225.6194393</v>
      </c>
    </row>
    <row r="4438" spans="1:2" x14ac:dyDescent="0.25">
      <c r="A4438">
        <f ca="1">27124.7930011732*(RANDBETWEEN(2890,3282))</f>
        <v>84547979.784656838</v>
      </c>
      <c r="B4438">
        <v>226786313.22639877</v>
      </c>
    </row>
    <row r="4439" spans="1:2" x14ac:dyDescent="0.25">
      <c r="A4439">
        <f ca="1">27855.56583414*(RANDBETWEEN(2890,3282))</f>
        <v>88998532.84007746</v>
      </c>
      <c r="B4439">
        <v>252936977.88487905</v>
      </c>
    </row>
    <row r="4440" spans="1:2" x14ac:dyDescent="0.25">
      <c r="A4440">
        <f ca="1">30521.6653454689*(RANDBETWEEN(2890,3282))</f>
        <v>92053342.681934118</v>
      </c>
      <c r="B4440">
        <v>225177977.18348593</v>
      </c>
    </row>
    <row r="4441" spans="1:2" x14ac:dyDescent="0.25">
      <c r="A4441">
        <f ca="1">32474.2470159409*(RANDBETWEEN(2890,3282))</f>
        <v>102261403.85319801</v>
      </c>
      <c r="B4441">
        <v>216923397.96762985</v>
      </c>
    </row>
    <row r="4442" spans="1:2" x14ac:dyDescent="0.25">
      <c r="A4442">
        <f ca="1">34005.7561110492*(RANDBETWEEN(2890,3282))</f>
        <v>103853579.16314416</v>
      </c>
      <c r="B4442">
        <v>242728237.04106236</v>
      </c>
    </row>
    <row r="4443" spans="1:2" x14ac:dyDescent="0.25">
      <c r="A4443">
        <f ca="1">30595.5930082215*(RANDBETWEEN(2890,3282))</f>
        <v>97508154.917201802</v>
      </c>
      <c r="B4443">
        <v>227794623.69288501</v>
      </c>
    </row>
    <row r="4444" spans="1:2" x14ac:dyDescent="0.25">
      <c r="A4444">
        <f ca="1">27160.479841891*(RANDBETWEEN(2890,3282))</f>
        <v>84333289.909071535</v>
      </c>
      <c r="B4444">
        <v>207349094.44478226</v>
      </c>
    </row>
    <row r="4445" spans="1:2" x14ac:dyDescent="0.25">
      <c r="A4445">
        <f ca="1">28062.9590733259*(RANDBETWEEN(2890,3282))</f>
        <v>86321662.109550402</v>
      </c>
      <c r="B4445">
        <v>245140416.59984764</v>
      </c>
    </row>
    <row r="4446" spans="1:2" x14ac:dyDescent="0.25">
      <c r="A4446">
        <f ca="1">32112.9478058911*(RANDBETWEEN(2890,3282))</f>
        <v>100706204.3192744</v>
      </c>
      <c r="B4446">
        <v>223027052.85369366</v>
      </c>
    </row>
    <row r="4447" spans="1:2" x14ac:dyDescent="0.25">
      <c r="A4447">
        <f ca="1">28701.0020987301*(RANDBETWEEN(2890,3282))</f>
        <v>92474628.762108296</v>
      </c>
      <c r="B4447">
        <v>215686925.03301233</v>
      </c>
    </row>
    <row r="4448" spans="1:2" x14ac:dyDescent="0.25">
      <c r="A4448">
        <f ca="1">31258.2313824552*(RANDBETWEEN(2890,3282))</f>
        <v>91899200.264418423</v>
      </c>
      <c r="B4448">
        <v>205574255.89408904</v>
      </c>
    </row>
    <row r="4449" spans="1:2" x14ac:dyDescent="0.25">
      <c r="A4449">
        <f ca="1">27910.309649234*(RANDBETWEEN(2890,3282))</f>
        <v>85628830.003849775</v>
      </c>
      <c r="B4449">
        <v>232037507.86940479</v>
      </c>
    </row>
    <row r="4450" spans="1:2" x14ac:dyDescent="0.25">
      <c r="A4450">
        <f ca="1">27095.6182705666*(RANDBETWEEN(2890,3282))</f>
        <v>79932073.898171365</v>
      </c>
      <c r="B4450">
        <v>217331702.41410166</v>
      </c>
    </row>
    <row r="4451" spans="1:2" x14ac:dyDescent="0.25">
      <c r="A4451">
        <f ca="1">30869.2762917467*(RANDBETWEEN(2890,3282))</f>
        <v>89860463.28527464</v>
      </c>
      <c r="B4451">
        <v>267694865.58252326</v>
      </c>
    </row>
    <row r="4452" spans="1:2" x14ac:dyDescent="0.25">
      <c r="A4452">
        <f ca="1">30042.2297541879*(RANDBETWEEN(2890,3282))</f>
        <v>89495802.437725753</v>
      </c>
      <c r="B4452">
        <v>238108763.77780592</v>
      </c>
    </row>
    <row r="4453" spans="1:2" x14ac:dyDescent="0.25">
      <c r="A4453">
        <f ca="1">31731.4712320319*(RANDBETWEEN(2890,3282))</f>
        <v>99605088.197348282</v>
      </c>
      <c r="B4453">
        <v>266660430.0112915</v>
      </c>
    </row>
    <row r="4454" spans="1:2" x14ac:dyDescent="0.25">
      <c r="A4454">
        <f ca="1">31855.2575458966*(RANDBETWEEN(2890,3282))</f>
        <v>100662613.84503315</v>
      </c>
      <c r="B4454">
        <v>262790534.57272422</v>
      </c>
    </row>
    <row r="4455" spans="1:2" x14ac:dyDescent="0.25">
      <c r="A4455">
        <f ca="1">27018.5094631542*(RANDBETWEEN(2890,3282))</f>
        <v>88620711.039145738</v>
      </c>
      <c r="B4455">
        <v>229862221.83009702</v>
      </c>
    </row>
    <row r="4456" spans="1:2" x14ac:dyDescent="0.25">
      <c r="A4456">
        <f ca="1">31950.1168744899*(RANDBETWEEN(2890,3282))</f>
        <v>100163616.40152584</v>
      </c>
      <c r="B4456">
        <v>249620742.01884115</v>
      </c>
    </row>
    <row r="4457" spans="1:2" x14ac:dyDescent="0.25">
      <c r="A4457">
        <f ca="1">30008.4373593413*(RANDBETWEEN(2890,3282))</f>
        <v>98337649.226561576</v>
      </c>
      <c r="B4457">
        <v>228380085.40352172</v>
      </c>
    </row>
    <row r="4458" spans="1:2" x14ac:dyDescent="0.25">
      <c r="A4458">
        <f ca="1">32880.724481358*(RANDBETWEEN(2890,3282))</f>
        <v>98839457.790962249</v>
      </c>
      <c r="B4458">
        <v>233013763.48074025</v>
      </c>
    </row>
    <row r="4459" spans="1:2" x14ac:dyDescent="0.25">
      <c r="A4459">
        <f ca="1">26659.0803944033*(RANDBETWEEN(2890,3282))</f>
        <v>83522898.87566556</v>
      </c>
      <c r="B4459">
        <v>225099258.56533599</v>
      </c>
    </row>
    <row r="4460" spans="1:2" x14ac:dyDescent="0.25">
      <c r="A4460">
        <f ca="1">31220.4502543955*(RANDBETWEEN(2890,3282))</f>
        <v>101091817.92373259</v>
      </c>
      <c r="B4460">
        <v>217934898.26037526</v>
      </c>
    </row>
    <row r="4461" spans="1:2" x14ac:dyDescent="0.25">
      <c r="A4461">
        <f ca="1">28607.4243864919*(RANDBETWEEN(2890,3282))</f>
        <v>92201728.79766345</v>
      </c>
      <c r="B4461">
        <v>243296292.47268307</v>
      </c>
    </row>
    <row r="4462" spans="1:2" x14ac:dyDescent="0.25">
      <c r="A4462">
        <f ca="1">30651.1883022142*(RANDBETWEEN(2890,3282))</f>
        <v>99432454.852382958</v>
      </c>
      <c r="B4462">
        <v>255535642.36033773</v>
      </c>
    </row>
    <row r="4463" spans="1:2" x14ac:dyDescent="0.25">
      <c r="A4463">
        <f ca="1">27142.3714781787*(RANDBETWEEN(2890,3282))</f>
        <v>84901337.983743042</v>
      </c>
      <c r="B4463">
        <v>213339095.39825791</v>
      </c>
    </row>
    <row r="4464" spans="1:2" x14ac:dyDescent="0.25">
      <c r="A4464">
        <f ca="1">29872.3123074929*(RANDBETWEEN(2890,3282))</f>
        <v>93978294.519372791</v>
      </c>
      <c r="B4464">
        <v>211951992.11780402</v>
      </c>
    </row>
    <row r="4465" spans="1:2" x14ac:dyDescent="0.25">
      <c r="A4465">
        <f ca="1">26181.3755297446*(RANDBETWEEN(2890,3282))</f>
        <v>79015391.348769143</v>
      </c>
      <c r="B4465">
        <v>266729863.58776146</v>
      </c>
    </row>
    <row r="4466" spans="1:2" x14ac:dyDescent="0.25">
      <c r="A4466">
        <f ca="1">29844.8472890052*(RANDBETWEEN(2890,3282))</f>
        <v>96607770.674509898</v>
      </c>
      <c r="B4466">
        <v>221884409.8759875</v>
      </c>
    </row>
    <row r="4467" spans="1:2" x14ac:dyDescent="0.25">
      <c r="A4467">
        <f ca="1">32382.2144175973*(RANDBETWEEN(2890,3282))</f>
        <v>100384864.6945516</v>
      </c>
      <c r="B4467">
        <v>259226141.06636611</v>
      </c>
    </row>
    <row r="4468" spans="1:2" x14ac:dyDescent="0.25">
      <c r="A4468">
        <f ca="1">31093.6722087799*(RANDBETWEEN(2890,3282))</f>
        <v>98038348.474283084</v>
      </c>
      <c r="B4468">
        <v>234378613.93114161</v>
      </c>
    </row>
    <row r="4469" spans="1:2" x14ac:dyDescent="0.25">
      <c r="A4469">
        <f ca="1">32986.5607762078*(RANDBETWEEN(2890,3282))</f>
        <v>98003072.066113487</v>
      </c>
      <c r="B4469">
        <v>234019856.76453477</v>
      </c>
    </row>
    <row r="4470" spans="1:2" x14ac:dyDescent="0.25">
      <c r="A4470">
        <f ca="1">30790.3378140815*(RANDBETWEEN(2890,3282))</f>
        <v>91601254.996892586</v>
      </c>
      <c r="B4470">
        <v>266256892.2584635</v>
      </c>
    </row>
    <row r="4471" spans="1:2" x14ac:dyDescent="0.25">
      <c r="A4471">
        <f ca="1">30519.3340016143*(RANDBETWEEN(2890,3282))</f>
        <v>91924234.01286228</v>
      </c>
      <c r="B4471">
        <v>235868009.36303133</v>
      </c>
    </row>
    <row r="4472" spans="1:2" x14ac:dyDescent="0.25">
      <c r="A4472">
        <f ca="1">27571.6891983192*(RANDBETWEEN(2890,3282))</f>
        <v>89773420.029727414</v>
      </c>
      <c r="B4472">
        <v>232396756.18413037</v>
      </c>
    </row>
    <row r="4473" spans="1:2" x14ac:dyDescent="0.25">
      <c r="A4473">
        <f ca="1">31101.9749866595*(RANDBETWEEN(2890,3282))</f>
        <v>93399230.884938434</v>
      </c>
      <c r="B4473">
        <v>214060571.68786776</v>
      </c>
    </row>
    <row r="4474" spans="1:2" x14ac:dyDescent="0.25">
      <c r="A4474">
        <f ca="1">32560.4152464411*(RANDBETWEEN(2890,3282))</f>
        <v>101360572.66217102</v>
      </c>
      <c r="B4474">
        <v>258211148.80218118</v>
      </c>
    </row>
    <row r="4475" spans="1:2" x14ac:dyDescent="0.25">
      <c r="A4475">
        <f ca="1">30072.8447824658*(RANDBETWEEN(2890,3282))</f>
        <v>88083362.367842376</v>
      </c>
      <c r="B4475">
        <v>222359593.30582547</v>
      </c>
    </row>
    <row r="4476" spans="1:2" x14ac:dyDescent="0.25">
      <c r="A4476">
        <f ca="1">30153.9763532994*(RANDBETWEEN(2890,3282))</f>
        <v>94502561.891240388</v>
      </c>
      <c r="B4476">
        <v>266680095.71293581</v>
      </c>
    </row>
    <row r="4477" spans="1:2" x14ac:dyDescent="0.25">
      <c r="A4477">
        <f ca="1">25760.3125007578*(RANDBETWEEN(2890,3282))</f>
        <v>75761079.064728722</v>
      </c>
      <c r="B4477">
        <v>203997368.6613462</v>
      </c>
    </row>
    <row r="4478" spans="1:2" x14ac:dyDescent="0.25">
      <c r="A4478">
        <f ca="1">29693.0785713943*(RANDBETWEEN(2890,3282))</f>
        <v>96740049.985602781</v>
      </c>
      <c r="B4478">
        <v>246124500.42695117</v>
      </c>
    </row>
    <row r="4479" spans="1:2" x14ac:dyDescent="0.25">
      <c r="A4479">
        <f ca="1">27327.2176587703*(RANDBETWEEN(2890,3282))</f>
        <v>83348013.859249279</v>
      </c>
      <c r="B4479">
        <v>263770619.32076561</v>
      </c>
    </row>
    <row r="4480" spans="1:2" x14ac:dyDescent="0.25">
      <c r="A4480">
        <f ca="1">32198.7311457556*(RANDBETWEEN(2890,3282))</f>
        <v>96306404.856954977</v>
      </c>
      <c r="B4480">
        <v>215059981.25093299</v>
      </c>
    </row>
    <row r="4481" spans="1:2" x14ac:dyDescent="0.25">
      <c r="A4481">
        <f ca="1">32522.69985606*(RANDBETWEEN(2890,3282))</f>
        <v>99161711.861127213</v>
      </c>
      <c r="B4481">
        <v>250702546.37099329</v>
      </c>
    </row>
    <row r="4482" spans="1:2" x14ac:dyDescent="0.25">
      <c r="A4482">
        <f ca="1">27887.4437141501*(RANDBETWEEN(2890,3282))</f>
        <v>90717854.402130246</v>
      </c>
      <c r="B4482">
        <v>206673919.46647596</v>
      </c>
    </row>
    <row r="4483" spans="1:2" x14ac:dyDescent="0.25">
      <c r="A4483">
        <f ca="1">27055.1818818199*(RANDBETWEEN(2890,3282))</f>
        <v>83248794.650359735</v>
      </c>
      <c r="B4483">
        <v>254469220.42024842</v>
      </c>
    </row>
    <row r="4484" spans="1:2" x14ac:dyDescent="0.25">
      <c r="A4484">
        <f ca="1">32800.6540744825*(RANDBETWEEN(2890,3282))</f>
        <v>107454942.74800463</v>
      </c>
      <c r="B4484">
        <v>258916193.19409817</v>
      </c>
    </row>
    <row r="4485" spans="1:2" x14ac:dyDescent="0.25">
      <c r="A4485">
        <f ca="1">32877.992509811*(RANDBETWEEN(2890,3282))</f>
        <v>96365396.046256155</v>
      </c>
      <c r="B4485">
        <v>236560498.44239607</v>
      </c>
    </row>
    <row r="4486" spans="1:2" x14ac:dyDescent="0.25">
      <c r="A4486">
        <f ca="1">26249.7521232064*(RANDBETWEEN(2890,3282))</f>
        <v>78618007.609003246</v>
      </c>
      <c r="B4486">
        <v>229585065.79082426</v>
      </c>
    </row>
    <row r="4487" spans="1:2" x14ac:dyDescent="0.25">
      <c r="A4487">
        <f ca="1">31238.2878068278*(RANDBETWEEN(2890,3282))</f>
        <v>95089348.083983898</v>
      </c>
      <c r="B4487">
        <v>250214112.5001297</v>
      </c>
    </row>
    <row r="4488" spans="1:2" x14ac:dyDescent="0.25">
      <c r="A4488">
        <f ca="1">31036.8888904977*(RANDBETWEEN(2890,3282))</f>
        <v>96121244.893871397</v>
      </c>
      <c r="B4488">
        <v>258505983.59118456</v>
      </c>
    </row>
    <row r="4489" spans="1:2" x14ac:dyDescent="0.25">
      <c r="A4489">
        <f ca="1">29375.4937576592*(RANDBETWEEN(2890,3282))</f>
        <v>95294101.749846607</v>
      </c>
      <c r="B4489">
        <v>231330990.00970599</v>
      </c>
    </row>
    <row r="4490" spans="1:2" x14ac:dyDescent="0.25">
      <c r="A4490">
        <f ca="1">28687.331434776*(RANDBETWEEN(2890,3282))</f>
        <v>90049533.373761997</v>
      </c>
      <c r="B4490">
        <v>218875885.98927695</v>
      </c>
    </row>
    <row r="4491" spans="1:2" x14ac:dyDescent="0.25">
      <c r="A4491">
        <f ca="1">30371.4352256918*(RANDBETWEEN(2890,3282))</f>
        <v>96034478.183637425</v>
      </c>
      <c r="B4491">
        <v>204217902.47279137</v>
      </c>
    </row>
    <row r="4492" spans="1:2" x14ac:dyDescent="0.25">
      <c r="A4492">
        <f ca="1">29362.9644009793*(RANDBETWEEN(2890,3282))</f>
        <v>90114937.746605456</v>
      </c>
      <c r="B4492">
        <v>243139976.09733313</v>
      </c>
    </row>
    <row r="4493" spans="1:2" x14ac:dyDescent="0.25">
      <c r="A4493">
        <f ca="1">27881.2330348107*(RANDBETWEEN(2890,3282))</f>
        <v>84396492.396372065</v>
      </c>
      <c r="B4493">
        <v>213803503.98207709</v>
      </c>
    </row>
    <row r="4494" spans="1:2" x14ac:dyDescent="0.25">
      <c r="A4494">
        <f ca="1">29364.2153401064*(RANDBETWEEN(2890,3282))</f>
        <v>95140057.701944843</v>
      </c>
      <c r="B4494">
        <v>225792500.84953934</v>
      </c>
    </row>
    <row r="4495" spans="1:2" x14ac:dyDescent="0.25">
      <c r="A4495">
        <f ca="1">27019.7112157735*(RANDBETWEEN(2890,3282))</f>
        <v>87516844.627890497</v>
      </c>
      <c r="B4495">
        <v>207577621.88252816</v>
      </c>
    </row>
    <row r="4496" spans="1:2" x14ac:dyDescent="0.25">
      <c r="A4496">
        <f ca="1">33461.12621518*(RANDBETWEEN(2890,3282))</f>
        <v>100851834.41255262</v>
      </c>
      <c r="B4496">
        <v>247784285.97351277</v>
      </c>
    </row>
    <row r="4497" spans="1:2" x14ac:dyDescent="0.25">
      <c r="A4497">
        <f ca="1">28451.5257629119*(RANDBETWEEN(2890,3282))</f>
        <v>90874173.286740527</v>
      </c>
      <c r="B4497">
        <v>228260893.62864956</v>
      </c>
    </row>
    <row r="4498" spans="1:2" x14ac:dyDescent="0.25">
      <c r="A4498">
        <f ca="1">29512.1355793287*(RANDBETWEEN(2890,3282))</f>
        <v>94645418.802907079</v>
      </c>
      <c r="B4498">
        <v>242184316.64519936</v>
      </c>
    </row>
    <row r="4499" spans="1:2" x14ac:dyDescent="0.25">
      <c r="A4499">
        <f ca="1">31308.7822089955*(RANDBETWEEN(2890,3282))</f>
        <v>92454833.86316371</v>
      </c>
      <c r="B4499">
        <v>213039831.34299338</v>
      </c>
    </row>
    <row r="4500" spans="1:2" x14ac:dyDescent="0.25">
      <c r="A4500">
        <f ca="1">31172.3538250383*(RANDBETWEEN(2890,3282))</f>
        <v>100873736.97782402</v>
      </c>
      <c r="B4500">
        <v>256455063.37394792</v>
      </c>
    </row>
    <row r="4501" spans="1:2" x14ac:dyDescent="0.25">
      <c r="A4501">
        <f ca="1">33922.5602342307*(RANDBETWEEN(2890,3282))</f>
        <v>110519701.24312368</v>
      </c>
      <c r="B4501">
        <v>212241719.25965276</v>
      </c>
    </row>
    <row r="4502" spans="1:2" x14ac:dyDescent="0.25">
      <c r="A4502">
        <f ca="1">28696.7087089674*(RANDBETWEEN(2890,3282))</f>
        <v>88242379.28007485</v>
      </c>
      <c r="B4502">
        <v>212492986.00321805</v>
      </c>
    </row>
    <row r="4503" spans="1:2" x14ac:dyDescent="0.25">
      <c r="A4503">
        <f ca="1">31523.9353296264*(RANDBETWEEN(2890,3282))</f>
        <v>94256566.635582849</v>
      </c>
      <c r="B4503">
        <v>259412774.40054551</v>
      </c>
    </row>
    <row r="4504" spans="1:2" x14ac:dyDescent="0.25">
      <c r="A4504">
        <f ca="1">31219.0401985992*(RANDBETWEEN(2890,3282))</f>
        <v>94874663.163542926</v>
      </c>
      <c r="B4504">
        <v>234648918.85541093</v>
      </c>
    </row>
    <row r="4505" spans="1:2" x14ac:dyDescent="0.25">
      <c r="A4505">
        <f ca="1">29700.6459023386*(RANDBETWEEN(2890,3282))</f>
        <v>93675837.175975859</v>
      </c>
      <c r="B4505">
        <v>204287475.70403945</v>
      </c>
    </row>
    <row r="4506" spans="1:2" x14ac:dyDescent="0.25">
      <c r="A4506">
        <f ca="1">29733.5230891028*(RANDBETWEEN(2890,3282))</f>
        <v>93065927.268891737</v>
      </c>
      <c r="B4506">
        <v>212396944.3900196</v>
      </c>
    </row>
    <row r="4507" spans="1:2" x14ac:dyDescent="0.25">
      <c r="A4507">
        <f ca="1">28797.3265748504*(RANDBETWEEN(2890,3282))</f>
        <v>93533716.715114042</v>
      </c>
      <c r="B4507">
        <v>208503430.33365384</v>
      </c>
    </row>
    <row r="4508" spans="1:2" x14ac:dyDescent="0.25">
      <c r="A4508">
        <f ca="1">31008.0003271218*(RANDBETWEEN(2890,3282))</f>
        <v>99349633.048098177</v>
      </c>
      <c r="B4508">
        <v>241652463.21751922</v>
      </c>
    </row>
    <row r="4509" spans="1:2" x14ac:dyDescent="0.25">
      <c r="A4509">
        <f ca="1">28919.4348748323*(RANDBETWEEN(2890,3282))</f>
        <v>84965299.662257269</v>
      </c>
      <c r="B4509">
        <v>249154530.58004221</v>
      </c>
    </row>
    <row r="4510" spans="1:2" x14ac:dyDescent="0.25">
      <c r="A4510">
        <f ca="1">33112.3485762894*(RANDBETWEEN(2890,3282))</f>
        <v>101919808.91781864</v>
      </c>
      <c r="B4510">
        <v>239583004.34440497</v>
      </c>
    </row>
    <row r="4511" spans="1:2" x14ac:dyDescent="0.25">
      <c r="A4511">
        <f ca="1">28424.7722052068*(RANDBETWEEN(2890,3282))</f>
        <v>87605147.936447412</v>
      </c>
      <c r="B4511">
        <v>237626866.86624178</v>
      </c>
    </row>
    <row r="4512" spans="1:2" x14ac:dyDescent="0.25">
      <c r="A4512">
        <f ca="1">32908.204399623*(RANDBETWEEN(2890,3282))</f>
        <v>99119511.651664451</v>
      </c>
      <c r="B4512">
        <v>257923681.93648049</v>
      </c>
    </row>
    <row r="4513" spans="1:2" x14ac:dyDescent="0.25">
      <c r="A4513">
        <f ca="1">33358.8467278395*(RANDBETWEEN(2890,3282))</f>
        <v>104780137.57214372</v>
      </c>
      <c r="B4513">
        <v>267442563.98643494</v>
      </c>
    </row>
    <row r="4514" spans="1:2" x14ac:dyDescent="0.25">
      <c r="A4514">
        <f ca="1">28285.0108605217*(RANDBETWEEN(2890,3282))</f>
        <v>87824958.721919894</v>
      </c>
      <c r="B4514">
        <v>227673396.97168809</v>
      </c>
    </row>
    <row r="4515" spans="1:2" x14ac:dyDescent="0.25">
      <c r="A4515">
        <f ca="1">32402.6065813288*(RANDBETWEEN(2890,3282))</f>
        <v>93999961.692434907</v>
      </c>
      <c r="B4515">
        <v>260190460.04111636</v>
      </c>
    </row>
    <row r="4516" spans="1:2" x14ac:dyDescent="0.25">
      <c r="A4516">
        <f ca="1">25634.3420734951*(RANDBETWEEN(2890,3282))</f>
        <v>78492355.429042101</v>
      </c>
      <c r="B4516">
        <v>207212227.2396338</v>
      </c>
    </row>
    <row r="4517" spans="1:2" x14ac:dyDescent="0.25">
      <c r="A4517">
        <f ca="1">27797.2423202687*(RANDBETWEEN(2890,3282))</f>
        <v>82530012.448877782</v>
      </c>
      <c r="B4517">
        <v>239118461.86274695</v>
      </c>
    </row>
    <row r="4518" spans="1:2" x14ac:dyDescent="0.25">
      <c r="A4518">
        <f ca="1">32306.3726933385*(RANDBETWEEN(2890,3282))</f>
        <v>94011544.537614971</v>
      </c>
      <c r="B4518">
        <v>251250028.69900209</v>
      </c>
    </row>
    <row r="4519" spans="1:2" x14ac:dyDescent="0.25">
      <c r="A4519">
        <f ca="1">31354.4368893386*(RANDBETWEEN(2890,3282))</f>
        <v>92746424.318663508</v>
      </c>
      <c r="B4519">
        <v>265300175.72305703</v>
      </c>
    </row>
    <row r="4520" spans="1:2" x14ac:dyDescent="0.25">
      <c r="A4520">
        <f ca="1">30647.5136763165*(RANDBETWEEN(2890,3282))</f>
        <v>99052764.201854944</v>
      </c>
      <c r="B4520">
        <v>209930999.21171525</v>
      </c>
    </row>
    <row r="4521" spans="1:2" x14ac:dyDescent="0.25">
      <c r="A4521">
        <f ca="1">27174.158726915*(RANDBETWEEN(2890,3282))</f>
        <v>87935577.640296876</v>
      </c>
      <c r="B4521">
        <v>262046830.83050433</v>
      </c>
    </row>
    <row r="4522" spans="1:2" x14ac:dyDescent="0.25">
      <c r="A4522">
        <f ca="1">28311.890742654*(RANDBETWEEN(2890,3282))</f>
        <v>90229995.796838209</v>
      </c>
      <c r="B4522">
        <v>214170034.75583664</v>
      </c>
    </row>
    <row r="4523" spans="1:2" x14ac:dyDescent="0.25">
      <c r="A4523">
        <f ca="1">25796.9232891833*(RANDBETWEEN(2890,3282))</f>
        <v>81053932.974613965</v>
      </c>
      <c r="B4523">
        <v>207063048.02151653</v>
      </c>
    </row>
    <row r="4524" spans="1:2" x14ac:dyDescent="0.25">
      <c r="A4524">
        <f ca="1">29919.7057567895*(RANDBETWEEN(2890,3282))</f>
        <v>95713138.715969518</v>
      </c>
      <c r="B4524">
        <v>232182846.26055396</v>
      </c>
    </row>
    <row r="4525" spans="1:2" x14ac:dyDescent="0.25">
      <c r="A4525">
        <f ca="1">27196.6276707741*(RANDBETWEEN(2890,3282))</f>
        <v>82025029.055054724</v>
      </c>
      <c r="B4525">
        <v>265090116.45590991</v>
      </c>
    </row>
    <row r="4526" spans="1:2" x14ac:dyDescent="0.25">
      <c r="A4526">
        <f ca="1">28046.3848709485*(RANDBETWEEN(2890,3282))</f>
        <v>91403168.294421166</v>
      </c>
      <c r="B4526">
        <v>229176756.77928585</v>
      </c>
    </row>
    <row r="4527" spans="1:2" x14ac:dyDescent="0.25">
      <c r="A4527">
        <f ca="1">31782.5822400668*(RANDBETWEEN(2890,3282))</f>
        <v>93186531.127875865</v>
      </c>
      <c r="B4527">
        <v>256898547.78878918</v>
      </c>
    </row>
    <row r="4528" spans="1:2" x14ac:dyDescent="0.25">
      <c r="A4528">
        <f ca="1">32147.472508289*(RANDBETWEEN(2890,3282))</f>
        <v>101328833.34612705</v>
      </c>
      <c r="B4528">
        <v>244946775.25355768</v>
      </c>
    </row>
    <row r="4529" spans="1:2" x14ac:dyDescent="0.25">
      <c r="A4529">
        <f ca="1">30811.6310891798*(RANDBETWEEN(2890,3282))</f>
        <v>93944663.190909177</v>
      </c>
      <c r="B4529">
        <v>256075822.01574308</v>
      </c>
    </row>
    <row r="4530" spans="1:2" x14ac:dyDescent="0.25">
      <c r="A4530">
        <f ca="1">32740.9641237368*(RANDBETWEEN(2890,3282))</f>
        <v>94883314.030589223</v>
      </c>
      <c r="B4530">
        <v>255039372.41066363</v>
      </c>
    </row>
    <row r="4531" spans="1:2" x14ac:dyDescent="0.25">
      <c r="A4531">
        <f ca="1">28895.202232009*(RANDBETWEEN(2890,3282))</f>
        <v>85125265.775498495</v>
      </c>
      <c r="B4531">
        <v>258854825.86650482</v>
      </c>
    </row>
    <row r="4532" spans="1:2" x14ac:dyDescent="0.25">
      <c r="A4532">
        <f ca="1">26128.4168959882*(RANDBETWEEN(2890,3282))</f>
        <v>83062237.312346548</v>
      </c>
      <c r="B4532">
        <v>255267208.3327843</v>
      </c>
    </row>
    <row r="4533" spans="1:2" x14ac:dyDescent="0.25">
      <c r="A4533">
        <f ca="1">29329.96270669*(RANDBETWEEN(2890,3282))</f>
        <v>94442479.915541783</v>
      </c>
      <c r="B4533">
        <v>221101323.56498754</v>
      </c>
    </row>
    <row r="4534" spans="1:2" x14ac:dyDescent="0.25">
      <c r="A4534">
        <f ca="1">32958.7427476847*(RANDBETWEEN(2890,3282))</f>
        <v>100754876.57967222</v>
      </c>
      <c r="B4534">
        <v>244259389.08023772</v>
      </c>
    </row>
    <row r="4535" spans="1:2" x14ac:dyDescent="0.25">
      <c r="A4535">
        <f ca="1">26945.838423856*(RANDBETWEEN(2890,3282))</f>
        <v>82427319.738575429</v>
      </c>
      <c r="B4535">
        <v>248717311.72473782</v>
      </c>
    </row>
    <row r="4536" spans="1:2" x14ac:dyDescent="0.25">
      <c r="A4536">
        <f ca="1">27161.0422546937*(RANDBETWEEN(2890,3282))</f>
        <v>81075711.130260721</v>
      </c>
      <c r="B4536">
        <v>213651819.1520021</v>
      </c>
    </row>
    <row r="4537" spans="1:2" x14ac:dyDescent="0.25">
      <c r="A4537">
        <f ca="1">27663.3551467648*(RANDBETWEEN(2890,3282))</f>
        <v>87499192.329217046</v>
      </c>
      <c r="B4537">
        <v>220366714.70351297</v>
      </c>
    </row>
    <row r="4538" spans="1:2" x14ac:dyDescent="0.25">
      <c r="A4538">
        <f ca="1">28249.7404874712*(RANDBETWEEN(2890,3282))</f>
        <v>87348197.587260842</v>
      </c>
      <c r="B4538">
        <v>235733496.11803749</v>
      </c>
    </row>
    <row r="4539" spans="1:2" x14ac:dyDescent="0.25">
      <c r="A4539">
        <f ca="1">27893.1270647946*(RANDBETWEEN(2890,3282))</f>
        <v>90513197.325258479</v>
      </c>
      <c r="B4539">
        <v>260110334.07046875</v>
      </c>
    </row>
    <row r="4540" spans="1:2" x14ac:dyDescent="0.25">
      <c r="A4540">
        <f ca="1">32706.2051793304*(RANDBETWEEN(2890,3282))</f>
        <v>94717170.199340969</v>
      </c>
      <c r="B4540">
        <v>264237087.30798426</v>
      </c>
    </row>
    <row r="4541" spans="1:2" x14ac:dyDescent="0.25">
      <c r="A4541">
        <f ca="1">27378.1300000954*(RANDBETWEEN(2890,3282))</f>
        <v>89416972.580311671</v>
      </c>
      <c r="B4541">
        <v>263011193.39590234</v>
      </c>
    </row>
    <row r="4542" spans="1:2" x14ac:dyDescent="0.25">
      <c r="A4542">
        <f ca="1">31029.7902525334*(RANDBETWEEN(2890,3282))</f>
        <v>98333405.310278431</v>
      </c>
      <c r="B4542">
        <v>233895187.55600309</v>
      </c>
    </row>
    <row r="4543" spans="1:2" x14ac:dyDescent="0.25">
      <c r="A4543">
        <f ca="1">27536.9237575269*(RANDBETWEEN(2890,3282))</f>
        <v>83189046.671488672</v>
      </c>
      <c r="B4543">
        <v>211675951.17164713</v>
      </c>
    </row>
    <row r="4544" spans="1:2" x14ac:dyDescent="0.25">
      <c r="A4544">
        <f ca="1">32272.1837373065*(RANDBETWEEN(2890,3282))</f>
        <v>96848823.39565669</v>
      </c>
      <c r="B4544">
        <v>260777138.57346237</v>
      </c>
    </row>
    <row r="4545" spans="1:2" x14ac:dyDescent="0.25">
      <c r="A4545">
        <f ca="1">27645.7941471837*(RANDBETWEEN(2890,3282))</f>
        <v>85453149.708944932</v>
      </c>
      <c r="B4545">
        <v>215524121.90383309</v>
      </c>
    </row>
    <row r="4546" spans="1:2" x14ac:dyDescent="0.25">
      <c r="A4546">
        <f ca="1">31233.9785636261*(RANDBETWEEN(2890,3282))</f>
        <v>90734707.727333829</v>
      </c>
      <c r="B4546">
        <v>266688135.53725541</v>
      </c>
    </row>
    <row r="4547" spans="1:2" x14ac:dyDescent="0.25">
      <c r="A4547">
        <f ca="1">27823.1591964239*(RANDBETWEEN(2890,3282))</f>
        <v>89646218.930877849</v>
      </c>
      <c r="B4547">
        <v>216850427.96411416</v>
      </c>
    </row>
    <row r="4548" spans="1:2" x14ac:dyDescent="0.25">
      <c r="A4548">
        <f ca="1">28986.4122716166*(RANDBETWEEN(2890,3282))</f>
        <v>84495391.771762371</v>
      </c>
      <c r="B4548">
        <v>209217682.49847028</v>
      </c>
    </row>
    <row r="4549" spans="1:2" x14ac:dyDescent="0.25">
      <c r="A4549">
        <f ca="1">29451.1054225327*(RANDBETWEEN(2890,3282))</f>
        <v>87322527.577809572</v>
      </c>
      <c r="B4549">
        <v>232118550.07930583</v>
      </c>
    </row>
    <row r="4550" spans="1:2" x14ac:dyDescent="0.25">
      <c r="A4550">
        <f ca="1">28327.0904974463*(RANDBETWEEN(2890,3282))</f>
        <v>89485278.881432846</v>
      </c>
      <c r="B4550">
        <v>232379296.35093254</v>
      </c>
    </row>
    <row r="4551" spans="1:2" x14ac:dyDescent="0.25">
      <c r="A4551">
        <f ca="1">32118.2029684751*(RANDBETWEEN(2890,3282))</f>
        <v>95423181.019339636</v>
      </c>
      <c r="B4551">
        <v>262551515.4178302</v>
      </c>
    </row>
    <row r="4552" spans="1:2" x14ac:dyDescent="0.25">
      <c r="A4552">
        <f ca="1">27456.5901652616*(RANDBETWEEN(2890,3282))</f>
        <v>88300393.971481338</v>
      </c>
      <c r="B4552">
        <v>237792354.21674967</v>
      </c>
    </row>
    <row r="4553" spans="1:2" x14ac:dyDescent="0.25">
      <c r="A4553">
        <f ca="1">28134.1834500756*(RANDBETWEEN(2890,3282))</f>
        <v>90648339.076143578</v>
      </c>
      <c r="B4553">
        <v>209138325.8261576</v>
      </c>
    </row>
    <row r="4554" spans="1:2" x14ac:dyDescent="0.25">
      <c r="A4554">
        <f ca="1">29842.2219552399*(RANDBETWEEN(2890,3282))</f>
        <v>91138145.851302773</v>
      </c>
      <c r="B4554">
        <v>249894085.82122058</v>
      </c>
    </row>
    <row r="4555" spans="1:2" x14ac:dyDescent="0.25">
      <c r="A4555">
        <f ca="1">29027.8593354638*(RANDBETWEEN(2890,3282))</f>
        <v>84819404.978225261</v>
      </c>
      <c r="B4555">
        <v>262559887.66199896</v>
      </c>
    </row>
    <row r="4556" spans="1:2" x14ac:dyDescent="0.25">
      <c r="A4556">
        <f ca="1">31734.1668645089*(RANDBETWEEN(2890,3282))</f>
        <v>92981108.913011208</v>
      </c>
      <c r="B4556">
        <v>265971194.54612401</v>
      </c>
    </row>
    <row r="4557" spans="1:2" x14ac:dyDescent="0.25">
      <c r="A4557">
        <f ca="1">29663.7850920976*(RANDBETWEEN(2890,3282))</f>
        <v>93203612.759370536</v>
      </c>
      <c r="B4557">
        <v>220662798.95693851</v>
      </c>
    </row>
    <row r="4558" spans="1:2" x14ac:dyDescent="0.25">
      <c r="A4558">
        <f ca="1">31538.3057352186*(RANDBETWEEN(2890,3282))</f>
        <v>99345663.065938607</v>
      </c>
      <c r="B4558">
        <v>226556922.13838416</v>
      </c>
    </row>
    <row r="4559" spans="1:2" x14ac:dyDescent="0.25">
      <c r="A4559">
        <f ca="1">30012.1224944492*(RANDBETWEEN(2890,3282))</f>
        <v>93667834.305175945</v>
      </c>
      <c r="B4559">
        <v>223956418.53466925</v>
      </c>
    </row>
    <row r="4560" spans="1:2" x14ac:dyDescent="0.25">
      <c r="A4560">
        <f ca="1">29151.4679129182*(RANDBETWEEN(2890,3282))</f>
        <v>93138939.981773809</v>
      </c>
      <c r="B4560">
        <v>207637980.6533418</v>
      </c>
    </row>
    <row r="4561" spans="1:2" x14ac:dyDescent="0.25">
      <c r="A4561">
        <f ca="1">31377.0026436184*(RANDBETWEEN(2890,3282))</f>
        <v>98115887.266594693</v>
      </c>
      <c r="B4561">
        <v>266688187.36766559</v>
      </c>
    </row>
    <row r="4562" spans="1:2" x14ac:dyDescent="0.25">
      <c r="A4562">
        <f ca="1">29259.3555043526*(RANDBETWEEN(2890,3282))</f>
        <v>92166969.838710725</v>
      </c>
      <c r="B4562">
        <v>232884445.3001762</v>
      </c>
    </row>
    <row r="4563" spans="1:2" x14ac:dyDescent="0.25">
      <c r="A4563">
        <f ca="1">31834.4041201797*(RANDBETWEEN(2890,3282))</f>
        <v>97254104.58714886</v>
      </c>
      <c r="B4563">
        <v>266298443.07184201</v>
      </c>
    </row>
    <row r="4564" spans="1:2" x14ac:dyDescent="0.25">
      <c r="A4564">
        <f ca="1">30832.908256763*(RANDBETWEEN(2890,3282))</f>
        <v>90340421.192315444</v>
      </c>
      <c r="B4564">
        <v>248731342.62498486</v>
      </c>
    </row>
    <row r="4565" spans="1:2" x14ac:dyDescent="0.25">
      <c r="A4565">
        <f ca="1">28530.0457494683*(RANDBETWEEN(2890,3282))</f>
        <v>86474568.66663827</v>
      </c>
      <c r="B4565">
        <v>212400332.00592512</v>
      </c>
    </row>
    <row r="4566" spans="1:2" x14ac:dyDescent="0.25">
      <c r="A4566">
        <f ca="1">29635.6839092089*(RANDBETWEEN(2890,3282))</f>
        <v>90507378.658723846</v>
      </c>
      <c r="B4566">
        <v>264547679.98153758</v>
      </c>
    </row>
    <row r="4567" spans="1:2" x14ac:dyDescent="0.25">
      <c r="A4567">
        <f ca="1">26111.3773679613*(RANDBETWEEN(2890,3282))</f>
        <v>80214151.274377257</v>
      </c>
      <c r="B4567">
        <v>219773193.53638345</v>
      </c>
    </row>
    <row r="4568" spans="1:2" x14ac:dyDescent="0.25">
      <c r="A4568">
        <f ca="1">29611.4552316482*(RANDBETWEEN(2890,3282))</f>
        <v>85873220.171779841</v>
      </c>
      <c r="B4568">
        <v>211748157.97509408</v>
      </c>
    </row>
    <row r="4569" spans="1:2" x14ac:dyDescent="0.25">
      <c r="A4569">
        <f ca="1">30923.5935853031*(RANDBETWEEN(2890,3282))</f>
        <v>97069160.264266506</v>
      </c>
      <c r="B4569">
        <v>253377945.8575449</v>
      </c>
    </row>
    <row r="4570" spans="1:2" x14ac:dyDescent="0.25">
      <c r="A4570">
        <f ca="1">28617.096676785*(RANDBETWEEN(2890,3282))</f>
        <v>87596932.927639008</v>
      </c>
      <c r="B4570">
        <v>212470092.46219265</v>
      </c>
    </row>
    <row r="4571" spans="1:2" x14ac:dyDescent="0.25">
      <c r="A4571">
        <f ca="1">32101.5667124672*(RANDBETWEEN(2890,3282))</f>
        <v>94988535.902190417</v>
      </c>
      <c r="B4571">
        <v>264668432.13770702</v>
      </c>
    </row>
    <row r="4572" spans="1:2" x14ac:dyDescent="0.25">
      <c r="A4572">
        <f ca="1">28422.8691366304*(RANDBETWEEN(2890,3282))</f>
        <v>86405522.175356418</v>
      </c>
      <c r="B4572">
        <v>218757021.33731523</v>
      </c>
    </row>
    <row r="4573" spans="1:2" x14ac:dyDescent="0.25">
      <c r="A4573">
        <f ca="1">30897.1383623489*(RANDBETWEEN(2890,3282))</f>
        <v>100631979.64617033</v>
      </c>
      <c r="B4573">
        <v>216812690.58383077</v>
      </c>
    </row>
    <row r="4574" spans="1:2" x14ac:dyDescent="0.25">
      <c r="A4574">
        <f ca="1">30847.3679147029*(RANDBETWEEN(2890,3282))</f>
        <v>92295324.800791025</v>
      </c>
      <c r="B4574">
        <v>255856670.82308903</v>
      </c>
    </row>
    <row r="4575" spans="1:2" x14ac:dyDescent="0.25">
      <c r="A4575">
        <f ca="1">27466.6296158279*(RANDBETWEEN(2890,3282))</f>
        <v>82344955.588252187</v>
      </c>
      <c r="B4575">
        <v>231669961.56147492</v>
      </c>
    </row>
    <row r="4576" spans="1:2" x14ac:dyDescent="0.25">
      <c r="A4576">
        <f ca="1">33835.1380323958*(RANDBETWEEN(2890,3282))</f>
        <v>105430290.10894538</v>
      </c>
      <c r="B4576">
        <v>243922558.68192732</v>
      </c>
    </row>
    <row r="4577" spans="1:2" x14ac:dyDescent="0.25">
      <c r="A4577">
        <f ca="1">26372.364417275*(RANDBETWEEN(2890,3282))</f>
        <v>84655289.779452622</v>
      </c>
      <c r="B4577">
        <v>231392210.00642481</v>
      </c>
    </row>
    <row r="4578" spans="1:2" x14ac:dyDescent="0.25">
      <c r="A4578">
        <f ca="1">27126.7177990549*(RANDBETWEEN(2890,3282))</f>
        <v>85177893.889032423</v>
      </c>
      <c r="B4578">
        <v>254999441.45249212</v>
      </c>
    </row>
    <row r="4579" spans="1:2" x14ac:dyDescent="0.25">
      <c r="A4579">
        <f ca="1">27942.0841058202*(RANDBETWEEN(2890,3282))</f>
        <v>84440978.167788774</v>
      </c>
      <c r="B4579">
        <v>208947977.84403837</v>
      </c>
    </row>
    <row r="4580" spans="1:2" x14ac:dyDescent="0.25">
      <c r="A4580">
        <f ca="1">29940.7170981813*(RANDBETWEEN(2890,3282))</f>
        <v>92337171.530791</v>
      </c>
      <c r="B4580">
        <v>210641802.29060057</v>
      </c>
    </row>
    <row r="4581" spans="1:2" x14ac:dyDescent="0.25">
      <c r="A4581">
        <f ca="1">31515.4370804623*(RANDBETWEEN(2890,3282))</f>
        <v>92182653.460352138</v>
      </c>
      <c r="B4581">
        <v>264042304.53488439</v>
      </c>
    </row>
    <row r="4582" spans="1:2" x14ac:dyDescent="0.25">
      <c r="A4582">
        <f ca="1">30025.2168652772*(RANDBETWEEN(2890,3282))</f>
        <v>97281702.643498287</v>
      </c>
      <c r="B4582">
        <v>219862328.96232605</v>
      </c>
    </row>
    <row r="4583" spans="1:2" x14ac:dyDescent="0.25">
      <c r="A4583">
        <f ca="1">32082.7923694338*(RANDBETWEEN(2890,3282))</f>
        <v>94066747.22717987</v>
      </c>
      <c r="B4583">
        <v>221868053.85162809</v>
      </c>
    </row>
    <row r="4584" spans="1:2" x14ac:dyDescent="0.25">
      <c r="A4584">
        <f ca="1">28521.3360432108*(RANDBETWEEN(2890,3282))</f>
        <v>84252026.671644628</v>
      </c>
      <c r="B4584">
        <v>253721075.24414083</v>
      </c>
    </row>
    <row r="4585" spans="1:2" x14ac:dyDescent="0.25">
      <c r="A4585">
        <f ca="1">29466.1137449495*(RANDBETWEEN(2890,3282))</f>
        <v>96383658.059729844</v>
      </c>
      <c r="B4585">
        <v>229031479.43249571</v>
      </c>
    </row>
    <row r="4586" spans="1:2" x14ac:dyDescent="0.25">
      <c r="A4586">
        <f ca="1">29823.2813513925*(RANDBETWEEN(2890,3282))</f>
        <v>96239728.920943573</v>
      </c>
      <c r="B4586">
        <v>212772216.91474259</v>
      </c>
    </row>
    <row r="4587" spans="1:2" x14ac:dyDescent="0.25">
      <c r="A4587">
        <f ca="1">29031.4302069046*(RANDBETWEEN(2890,3282))</f>
        <v>88255547.828989848</v>
      </c>
      <c r="B4587">
        <v>213412234.8413564</v>
      </c>
    </row>
    <row r="4588" spans="1:2" x14ac:dyDescent="0.25">
      <c r="A4588">
        <f ca="1">29307.028250932*(RANDBETWEEN(2890,3282))</f>
        <v>91789612.481918916</v>
      </c>
      <c r="B4588">
        <v>215478387.52981305</v>
      </c>
    </row>
    <row r="4589" spans="1:2" x14ac:dyDescent="0.25">
      <c r="A4589">
        <f ca="1">31585.3870809091*(RANDBETWEEN(2890,3282))</f>
        <v>103473728.07705808</v>
      </c>
      <c r="B4589">
        <v>253629794.83283439</v>
      </c>
    </row>
    <row r="4590" spans="1:2" x14ac:dyDescent="0.25">
      <c r="A4590">
        <f ca="1">27933.0928070706*(RANDBETWEEN(2890,3282))</f>
        <v>89553495.539468423</v>
      </c>
      <c r="B4590">
        <v>247761027.88683546</v>
      </c>
    </row>
    <row r="4591" spans="1:2" x14ac:dyDescent="0.25">
      <c r="A4591">
        <f ca="1">27960.9467438069*(RANDBETWEEN(2890,3282))</f>
        <v>86958544.373239592</v>
      </c>
      <c r="B4591">
        <v>250599978.00218052</v>
      </c>
    </row>
    <row r="4592" spans="1:2" x14ac:dyDescent="0.25">
      <c r="A4592">
        <f ca="1">28507.1993499303*(RANDBETWEEN(2890,3282))</f>
        <v>83355050.899196282</v>
      </c>
      <c r="B4592">
        <v>239654663.05808011</v>
      </c>
    </row>
    <row r="4593" spans="1:2" x14ac:dyDescent="0.25">
      <c r="A4593">
        <f ca="1">32516.6867186098*(RANDBETWEEN(2890,3282))</f>
        <v>103793264.00580241</v>
      </c>
      <c r="B4593">
        <v>260160349.55031717</v>
      </c>
    </row>
    <row r="4594" spans="1:2" x14ac:dyDescent="0.25">
      <c r="A4594">
        <f ca="1">26618.0498805849*(RANDBETWEEN(2890,3282))</f>
        <v>83979947.373245403</v>
      </c>
      <c r="B4594">
        <v>236318365.37010464</v>
      </c>
    </row>
    <row r="4595" spans="1:2" x14ac:dyDescent="0.25">
      <c r="A4595">
        <f ca="1">32008.8315747408*(RANDBETWEEN(2890,3282))</f>
        <v>98555192.418626815</v>
      </c>
      <c r="B4595">
        <v>225275242.30888769</v>
      </c>
    </row>
    <row r="4596" spans="1:2" x14ac:dyDescent="0.25">
      <c r="A4596">
        <f ca="1">28840.496950686*(RANDBETWEEN(2890,3282))</f>
        <v>86117723.894748494</v>
      </c>
      <c r="B4596">
        <v>261830584.57108471</v>
      </c>
    </row>
    <row r="4597" spans="1:2" x14ac:dyDescent="0.25">
      <c r="A4597">
        <f ca="1">31349.6594631452*(RANDBETWEEN(2890,3282))</f>
        <v>100256210.96313833</v>
      </c>
      <c r="B4597">
        <v>216704504.1988785</v>
      </c>
    </row>
    <row r="4598" spans="1:2" x14ac:dyDescent="0.25">
      <c r="A4598">
        <f ca="1">30115.8307348475*(RANDBETWEEN(2890,3282))</f>
        <v>89323553.959557667</v>
      </c>
      <c r="B4598">
        <v>205752377.03359669</v>
      </c>
    </row>
    <row r="4599" spans="1:2" x14ac:dyDescent="0.25">
      <c r="A4599">
        <f ca="1">29305.5967083445*(RANDBETWEEN(2890,3282))</f>
        <v>95917218.026411504</v>
      </c>
      <c r="B4599">
        <v>258386275.87043041</v>
      </c>
    </row>
    <row r="4600" spans="1:2" x14ac:dyDescent="0.25">
      <c r="A4600">
        <f ca="1">27954.2033944787*(RANDBETWEEN(2890,3282))</f>
        <v>82520808.420501038</v>
      </c>
      <c r="B4600">
        <v>205837103.13967085</v>
      </c>
    </row>
    <row r="4601" spans="1:2" x14ac:dyDescent="0.25">
      <c r="A4601">
        <f ca="1">29266.8609562663*(RANDBETWEEN(2890,3282))</f>
        <v>86629908.43054834</v>
      </c>
      <c r="B4601">
        <v>242465430.83846849</v>
      </c>
    </row>
    <row r="4602" spans="1:2" x14ac:dyDescent="0.25">
      <c r="A4602">
        <f ca="1">30173.0736747307*(RANDBETWEEN(2890,3282))</f>
        <v>96131412.727691859</v>
      </c>
      <c r="B4602">
        <v>244530694.65509188</v>
      </c>
    </row>
    <row r="4603" spans="1:2" x14ac:dyDescent="0.25">
      <c r="A4603">
        <f ca="1">28246.4067645443*(RANDBETWEEN(2890,3282))</f>
        <v>86066801.411566347</v>
      </c>
      <c r="B4603">
        <v>263011440.24967796</v>
      </c>
    </row>
    <row r="4604" spans="1:2" x14ac:dyDescent="0.25">
      <c r="A4604">
        <f ca="1">27779.6381847357*(RANDBETWEEN(2890,3282))</f>
        <v>80422052.544809744</v>
      </c>
      <c r="B4604">
        <v>262040676.19608128</v>
      </c>
    </row>
    <row r="4605" spans="1:2" x14ac:dyDescent="0.25">
      <c r="A4605">
        <f ca="1">32273.759926415*(RANDBETWEEN(2890,3282))</f>
        <v>98047682.656448618</v>
      </c>
      <c r="B4605">
        <v>218968060.44459754</v>
      </c>
    </row>
    <row r="4606" spans="1:2" x14ac:dyDescent="0.25">
      <c r="A4606">
        <f ca="1">27508.1555130667*(RANDBETWEEN(2890,3282))</f>
        <v>82441942.072660819</v>
      </c>
      <c r="B4606">
        <v>248316841.27170673</v>
      </c>
    </row>
    <row r="4607" spans="1:2" x14ac:dyDescent="0.25">
      <c r="A4607">
        <f ca="1">28499.6461112724*(RANDBETWEEN(2890,3282))</f>
        <v>91170367.90996033</v>
      </c>
      <c r="B4607">
        <v>256903558.74999622</v>
      </c>
    </row>
    <row r="4608" spans="1:2" x14ac:dyDescent="0.25">
      <c r="A4608">
        <f ca="1">28350.4304061313*(RANDBETWEEN(2890,3282))</f>
        <v>86950770.055604681</v>
      </c>
      <c r="B4608">
        <v>234286837.60293972</v>
      </c>
    </row>
    <row r="4609" spans="1:2" x14ac:dyDescent="0.25">
      <c r="A4609">
        <f ca="1">28240.4137367273*(RANDBETWEEN(2890,3282))</f>
        <v>83422182.178292409</v>
      </c>
      <c r="B4609">
        <v>249298313.67965615</v>
      </c>
    </row>
    <row r="4610" spans="1:2" x14ac:dyDescent="0.25">
      <c r="A4610">
        <f ca="1">30494.7753629621*(RANDBETWEEN(2890,3282))</f>
        <v>96790417.002041847</v>
      </c>
      <c r="B4610">
        <v>264214270.11533082</v>
      </c>
    </row>
    <row r="4611" spans="1:2" x14ac:dyDescent="0.25">
      <c r="A4611">
        <f ca="1">27196.4649393292*(RANDBETWEEN(2890,3282))</f>
        <v>80855090.264625713</v>
      </c>
      <c r="B4611">
        <v>236498194.46924728</v>
      </c>
    </row>
    <row r="4612" spans="1:2" x14ac:dyDescent="0.25">
      <c r="A4612">
        <f ca="1">30124.4639973108*(RANDBETWEEN(2890,3282))</f>
        <v>87722439.160169154</v>
      </c>
      <c r="B4612">
        <v>231707716.44612217</v>
      </c>
    </row>
    <row r="4613" spans="1:2" x14ac:dyDescent="0.25">
      <c r="A4613">
        <f ca="1">33145.9753591666*(RANDBETWEEN(2890,3282))</f>
        <v>104840720.06104387</v>
      </c>
      <c r="B4613">
        <v>223671646.66342515</v>
      </c>
    </row>
    <row r="4614" spans="1:2" x14ac:dyDescent="0.25">
      <c r="A4614">
        <f ca="1">32675.5629798297*(RANDBETWEEN(2890,3282))</f>
        <v>98222742.317368045</v>
      </c>
      <c r="B4614">
        <v>247486804.44949594</v>
      </c>
    </row>
    <row r="4615" spans="1:2" x14ac:dyDescent="0.25">
      <c r="A4615">
        <f ca="1">28986.0223536468*(RANDBETWEEN(2890,3282))</f>
        <v>88291424.08920829</v>
      </c>
      <c r="B4615">
        <v>231869385.93881267</v>
      </c>
    </row>
    <row r="4616" spans="1:2" x14ac:dyDescent="0.25">
      <c r="A4616">
        <f ca="1">28258.1880965825*(RANDBETWEEN(2890,3282))</f>
        <v>83955076.834946737</v>
      </c>
      <c r="B4616">
        <v>211651807.48102614</v>
      </c>
    </row>
    <row r="4617" spans="1:2" x14ac:dyDescent="0.25">
      <c r="A4617">
        <f ca="1">31905.3653758397*(RANDBETWEEN(2890,3282))</f>
        <v>98842821.9343514</v>
      </c>
      <c r="B4617">
        <v>223986790.59138149</v>
      </c>
    </row>
    <row r="4618" spans="1:2" x14ac:dyDescent="0.25">
      <c r="A4618">
        <f ca="1">33585.5340690138*(RANDBETWEEN(2890,3282))</f>
        <v>107070682.61201605</v>
      </c>
      <c r="B4618">
        <v>264252867.01196253</v>
      </c>
    </row>
    <row r="4619" spans="1:2" x14ac:dyDescent="0.25">
      <c r="A4619">
        <f ca="1">32362.0285326057*(RANDBETWEEN(2890,3282))</f>
        <v>106179815.61547939</v>
      </c>
      <c r="B4619">
        <v>264124216.47304216</v>
      </c>
    </row>
    <row r="4620" spans="1:2" x14ac:dyDescent="0.25">
      <c r="A4620">
        <f ca="1">28431.5950702069*(RANDBETWEEN(2890,3282))</f>
        <v>84640858.524005875</v>
      </c>
      <c r="B4620">
        <v>254601505.32838055</v>
      </c>
    </row>
    <row r="4621" spans="1:2" x14ac:dyDescent="0.25">
      <c r="A4621">
        <f ca="1">32081.9041565844*(RANDBETWEEN(2890,3282))</f>
        <v>101667554.27221583</v>
      </c>
      <c r="B4621">
        <v>246030121.4319104</v>
      </c>
    </row>
    <row r="4622" spans="1:2" x14ac:dyDescent="0.25">
      <c r="A4622">
        <f ca="1">27209.8147173668*(RANDBETWEEN(2890,3282))</f>
        <v>78636364.533189937</v>
      </c>
      <c r="B4622">
        <v>264667743.90842116</v>
      </c>
    </row>
    <row r="4623" spans="1:2" x14ac:dyDescent="0.25">
      <c r="A4623">
        <f ca="1">28202.6181881904*(RANDBETWEEN(2890,3282))</f>
        <v>85425730.492028594</v>
      </c>
      <c r="B4623">
        <v>211077782.91541982</v>
      </c>
    </row>
    <row r="4624" spans="1:2" x14ac:dyDescent="0.25">
      <c r="A4624">
        <f ca="1">31775.0943601607*(RANDBETWEEN(2890,3282))</f>
        <v>101076575.15967134</v>
      </c>
      <c r="B4624">
        <v>218217356.34985846</v>
      </c>
    </row>
    <row r="4625" spans="1:2" x14ac:dyDescent="0.25">
      <c r="A4625">
        <f ca="1">30608.5982170391*(RANDBETWEEN(2890,3282))</f>
        <v>95039697.463906527</v>
      </c>
      <c r="B4625">
        <v>247895058.29332793</v>
      </c>
    </row>
    <row r="4626" spans="1:2" x14ac:dyDescent="0.25">
      <c r="A4626">
        <f ca="1">30322.8915666341*(RANDBETWEEN(2890,3282))</f>
        <v>97457773.495161846</v>
      </c>
      <c r="B4626">
        <v>240050130.28884593</v>
      </c>
    </row>
    <row r="4627" spans="1:2" x14ac:dyDescent="0.25">
      <c r="A4627">
        <f ca="1">30393.0221828081*(RANDBETWEEN(2890,3282))</f>
        <v>91695747.925532013</v>
      </c>
      <c r="B4627">
        <v>235865855.46344525</v>
      </c>
    </row>
    <row r="4628" spans="1:2" x14ac:dyDescent="0.25">
      <c r="A4628">
        <f ca="1">27119.9512383066*(RANDBETWEEN(2890,3282))</f>
        <v>88573760.744309306</v>
      </c>
      <c r="B4628">
        <v>217279505.38010055</v>
      </c>
    </row>
    <row r="4629" spans="1:2" x14ac:dyDescent="0.25">
      <c r="A4629">
        <f ca="1">32041.9441203843*(RANDBETWEEN(2890,3282))</f>
        <v>99105733.164348781</v>
      </c>
      <c r="B4629">
        <v>230375756.806802</v>
      </c>
    </row>
    <row r="4630" spans="1:2" x14ac:dyDescent="0.25">
      <c r="A4630">
        <f ca="1">30788.4080118787*(RANDBETWEEN(2890,3282))</f>
        <v>99908383.998546422</v>
      </c>
      <c r="B4630">
        <v>262448800.70635027</v>
      </c>
    </row>
    <row r="4631" spans="1:2" x14ac:dyDescent="0.25">
      <c r="A4631">
        <f ca="1">31311.4417295793*(RANDBETWEEN(2890,3282))</f>
        <v>95437274.391757727</v>
      </c>
      <c r="B4631">
        <v>253944980.75068283</v>
      </c>
    </row>
    <row r="4632" spans="1:2" x14ac:dyDescent="0.25">
      <c r="A4632">
        <f ca="1">30261.8449996103*(RANDBETWEEN(2890,3282))</f>
        <v>88969824.298854291</v>
      </c>
      <c r="B4632">
        <v>208909787.3758499</v>
      </c>
    </row>
    <row r="4633" spans="1:2" x14ac:dyDescent="0.25">
      <c r="A4633">
        <f ca="1">26642.4750598152*(RANDBETWEEN(2890,3282))</f>
        <v>86241691.768621638</v>
      </c>
      <c r="B4633">
        <v>206233461.44562784</v>
      </c>
    </row>
    <row r="4634" spans="1:2" x14ac:dyDescent="0.25">
      <c r="A4634">
        <f ca="1">29479.0822377738*(RANDBETWEEN(2890,3282))</f>
        <v>86521106.367866248</v>
      </c>
      <c r="B4634">
        <v>253210293.8322826</v>
      </c>
    </row>
    <row r="4635" spans="1:2" x14ac:dyDescent="0.25">
      <c r="A4635">
        <f ca="1">32983.8879120643*(RANDBETWEEN(2890,3282))</f>
        <v>103338520.82849744</v>
      </c>
      <c r="B4635">
        <v>257265034.75608528</v>
      </c>
    </row>
    <row r="4636" spans="1:2" x14ac:dyDescent="0.25">
      <c r="A4636">
        <f ca="1">31688.8963187659*(RANDBETWEEN(2890,3282))</f>
        <v>96809578.253829688</v>
      </c>
      <c r="B4636">
        <v>265470706.87419254</v>
      </c>
    </row>
    <row r="4637" spans="1:2" x14ac:dyDescent="0.25">
      <c r="A4637">
        <f ca="1">27292.786311123*(RANDBETWEEN(2890,3282))</f>
        <v>84798687.068659127</v>
      </c>
      <c r="B4637">
        <v>253270086.74418271</v>
      </c>
    </row>
    <row r="4638" spans="1:2" x14ac:dyDescent="0.25">
      <c r="A4638">
        <f ca="1">33572.9409893509*(RANDBETWEEN(2890,3282))</f>
        <v>102867491.19137126</v>
      </c>
      <c r="B4638">
        <v>227601964.29614538</v>
      </c>
    </row>
    <row r="4639" spans="1:2" x14ac:dyDescent="0.25">
      <c r="A4639">
        <f ca="1">31864.1060601804*(RANDBETWEEN(2890,3282))</f>
        <v>99033641.63504076</v>
      </c>
      <c r="B4639">
        <v>214569469.96500754</v>
      </c>
    </row>
    <row r="4640" spans="1:2" x14ac:dyDescent="0.25">
      <c r="A4640">
        <f ca="1">28724.4463149342*(RANDBETWEEN(2890,3282))</f>
        <v>87982979.062643319</v>
      </c>
      <c r="B4640">
        <v>209540774.55442724</v>
      </c>
    </row>
    <row r="4641" spans="1:2" x14ac:dyDescent="0.25">
      <c r="A4641">
        <f ca="1">28361.0918045067*(RANDBETWEEN(2890,3282))</f>
        <v>82275527.324874073</v>
      </c>
      <c r="B4641">
        <v>213424711.77205825</v>
      </c>
    </row>
    <row r="4642" spans="1:2" x14ac:dyDescent="0.25">
      <c r="A4642">
        <f ca="1">32664.3815694002*(RANDBETWEEN(2890,3282))</f>
        <v>100998267.8125854</v>
      </c>
      <c r="B4642">
        <v>231090555.40417472</v>
      </c>
    </row>
    <row r="4643" spans="1:2" x14ac:dyDescent="0.25">
      <c r="A4643">
        <f ca="1">32845.6709369192*(RANDBETWEEN(2890,3282))</f>
        <v>97091803.289533079</v>
      </c>
      <c r="B4643">
        <v>210753767.27825779</v>
      </c>
    </row>
    <row r="4644" spans="1:2" x14ac:dyDescent="0.25">
      <c r="A4644">
        <f ca="1">33284.1666332148*(RANDBETWEEN(2890,3282))</f>
        <v>108905793.2238788</v>
      </c>
      <c r="B4644">
        <v>246629010.31744027</v>
      </c>
    </row>
    <row r="4645" spans="1:2" x14ac:dyDescent="0.25">
      <c r="A4645">
        <f ca="1">30591.1960857548*(RANDBETWEEN(2890,3282))</f>
        <v>89662795.72734724</v>
      </c>
      <c r="B4645">
        <v>238500714.7303822</v>
      </c>
    </row>
    <row r="4646" spans="1:2" x14ac:dyDescent="0.25">
      <c r="A4646">
        <f ca="1">31821.1044286224*(RANDBETWEEN(2890,3282))</f>
        <v>100777437.72544718</v>
      </c>
      <c r="B4646">
        <v>230941690.45491865</v>
      </c>
    </row>
    <row r="4647" spans="1:2" x14ac:dyDescent="0.25">
      <c r="A4647">
        <f ca="1">32918.3555813882*(RANDBETWEEN(2890,3282))</f>
        <v>102145657.3690476</v>
      </c>
      <c r="B4647">
        <v>230827699.79129535</v>
      </c>
    </row>
    <row r="4648" spans="1:2" x14ac:dyDescent="0.25">
      <c r="A4648">
        <f ca="1">30875.5006832973*(RANDBETWEEN(2890,3282))</f>
        <v>95405297.111388639</v>
      </c>
      <c r="B4648">
        <v>250299544.00757784</v>
      </c>
    </row>
    <row r="4649" spans="1:2" x14ac:dyDescent="0.25">
      <c r="A4649">
        <f ca="1">31437.732207198*(RANDBETWEEN(2890,3282))</f>
        <v>96168022.821818724</v>
      </c>
      <c r="B4649">
        <v>204875872.34362906</v>
      </c>
    </row>
    <row r="4650" spans="1:2" x14ac:dyDescent="0.25">
      <c r="A4650">
        <f ca="1">26478.6741600649*(RANDBETWEEN(2890,3282))</f>
        <v>79118278.390273929</v>
      </c>
      <c r="B4650">
        <v>208552950.06676123</v>
      </c>
    </row>
    <row r="4651" spans="1:2" x14ac:dyDescent="0.25">
      <c r="A4651">
        <f ca="1">28953.3000881587*(RANDBETWEEN(2890,3282))</f>
        <v>89928950.073820814</v>
      </c>
      <c r="B4651">
        <v>223182225.81716403</v>
      </c>
    </row>
    <row r="4652" spans="1:2" x14ac:dyDescent="0.25">
      <c r="A4652">
        <f ca="1">29346.5524706462*(RANDBETWEEN(2890,3282))</f>
        <v>90035222.979942665</v>
      </c>
      <c r="B4652">
        <v>241060867.53103867</v>
      </c>
    </row>
    <row r="4653" spans="1:2" x14ac:dyDescent="0.25">
      <c r="A4653">
        <f ca="1">29006.9937073037*(RANDBETWEEN(2890,3282))</f>
        <v>91807135.083616301</v>
      </c>
      <c r="B4653">
        <v>211595696.9120428</v>
      </c>
    </row>
    <row r="4654" spans="1:2" x14ac:dyDescent="0.25">
      <c r="A4654">
        <f ca="1">31485.615437478*(RANDBETWEEN(2890,3282))</f>
        <v>99777915.321367756</v>
      </c>
      <c r="B4654">
        <v>224334808.59437257</v>
      </c>
    </row>
    <row r="4655" spans="1:2" x14ac:dyDescent="0.25">
      <c r="A4655">
        <f ca="1">31957.0265726914*(RANDBETWEEN(2890,3282))</f>
        <v>94624755.681739375</v>
      </c>
      <c r="B4655">
        <v>232018428.68451428</v>
      </c>
    </row>
    <row r="4656" spans="1:2" x14ac:dyDescent="0.25">
      <c r="A4656">
        <f ca="1">26817.1991278834*(RANDBETWEEN(2890,3282))</f>
        <v>85493230.819692135</v>
      </c>
      <c r="B4656">
        <v>211863851.63159746</v>
      </c>
    </row>
    <row r="4657" spans="1:2" x14ac:dyDescent="0.25">
      <c r="A4657">
        <f ca="1">31135.1413847745*(RANDBETWEEN(2890,3282))</f>
        <v>97639803.382652685</v>
      </c>
      <c r="B4657">
        <v>206429901.55958745</v>
      </c>
    </row>
    <row r="4658" spans="1:2" x14ac:dyDescent="0.25">
      <c r="A4658">
        <f ca="1">27915.7453720405*(RANDBETWEEN(2890,3282))</f>
        <v>83663488.880005509</v>
      </c>
      <c r="B4658">
        <v>235876924.04122072</v>
      </c>
    </row>
    <row r="4659" spans="1:2" x14ac:dyDescent="0.25">
      <c r="A4659">
        <f ca="1">26898.2684072538*(RANDBETWEEN(2890,3282))</f>
        <v>78408452.407144964</v>
      </c>
      <c r="B4659">
        <v>211722066.65042707</v>
      </c>
    </row>
    <row r="4660" spans="1:2" x14ac:dyDescent="0.25">
      <c r="A4660">
        <f ca="1">32294.4583582808*(RANDBETWEEN(2890,3282))</f>
        <v>100145115.36902864</v>
      </c>
      <c r="B4660">
        <v>264899153.35915622</v>
      </c>
    </row>
    <row r="4661" spans="1:2" x14ac:dyDescent="0.25">
      <c r="A4661">
        <f ca="1">29766.2697461966*(RANDBETWEEN(2890,3282))</f>
        <v>96859441.754123673</v>
      </c>
      <c r="B4661">
        <v>249647083.70217621</v>
      </c>
    </row>
    <row r="4662" spans="1:2" x14ac:dyDescent="0.25">
      <c r="A4662">
        <f ca="1">28218.3243585648*(RANDBETWEEN(2890,3282))</f>
        <v>86489164.159001112</v>
      </c>
      <c r="B4662">
        <v>211943044.73659962</v>
      </c>
    </row>
    <row r="4663" spans="1:2" x14ac:dyDescent="0.25">
      <c r="A4663">
        <f ca="1">28510.7020940792*(RANDBETWEEN(2890,3282))</f>
        <v>86159341.728307202</v>
      </c>
      <c r="B4663">
        <v>210021342.91757697</v>
      </c>
    </row>
    <row r="4664" spans="1:2" x14ac:dyDescent="0.25">
      <c r="A4664">
        <f ca="1">31085.5097447919*(RANDBETWEEN(2890,3282))</f>
        <v>101929386.45317279</v>
      </c>
      <c r="B4664">
        <v>248440849.05214202</v>
      </c>
    </row>
    <row r="4665" spans="1:2" x14ac:dyDescent="0.25">
      <c r="A4665">
        <f ca="1">27864.0575760638*(RANDBETWEEN(2890,3282))</f>
        <v>89666537.27977331</v>
      </c>
      <c r="B4665">
        <v>218370493.99027598</v>
      </c>
    </row>
    <row r="4666" spans="1:2" x14ac:dyDescent="0.25">
      <c r="A4666">
        <f ca="1">28295.5133469709*(RANDBETWEEN(2890,3282))</f>
        <v>82990740.646665558</v>
      </c>
      <c r="B4666">
        <v>214345906.17298636</v>
      </c>
    </row>
    <row r="4667" spans="1:2" x14ac:dyDescent="0.25">
      <c r="A4667">
        <f ca="1">26974.884513241*(RANDBETWEEN(2890,3282))</f>
        <v>85888032.290159345</v>
      </c>
      <c r="B4667">
        <v>267175694.49175864</v>
      </c>
    </row>
    <row r="4668" spans="1:2" x14ac:dyDescent="0.25">
      <c r="A4668">
        <f ca="1">32243.5375200698*(RANDBETWEEN(2890,3282))</f>
        <v>105113932.31542768</v>
      </c>
      <c r="B4668">
        <v>226685881.20656994</v>
      </c>
    </row>
    <row r="4669" spans="1:2" x14ac:dyDescent="0.25">
      <c r="A4669">
        <f ca="1">32075.246624325*(RANDBETWEEN(2890,3282))</f>
        <v>104597379.24192379</v>
      </c>
      <c r="B4669">
        <v>263695156.86031228</v>
      </c>
    </row>
    <row r="4670" spans="1:2" x14ac:dyDescent="0.25">
      <c r="A4670">
        <f ca="1">26989.4319153486*(RANDBETWEEN(2890,3282))</f>
        <v>79807750.17368573</v>
      </c>
      <c r="B4670">
        <v>220966906.6735695</v>
      </c>
    </row>
    <row r="4671" spans="1:2" x14ac:dyDescent="0.25">
      <c r="A4671">
        <f ca="1">33557.3921095138*(RANDBETWEEN(2890,3282))</f>
        <v>101813127.66026489</v>
      </c>
      <c r="B4671">
        <v>223546029.4451386</v>
      </c>
    </row>
    <row r="4672" spans="1:2" x14ac:dyDescent="0.25">
      <c r="A4672">
        <f ca="1">32428.7439861217*(RANDBETWEEN(2890,3282))</f>
        <v>101404682.44460249</v>
      </c>
      <c r="B4672">
        <v>216441867.32023823</v>
      </c>
    </row>
    <row r="4673" spans="1:2" x14ac:dyDescent="0.25">
      <c r="A4673">
        <f ca="1">31411.8023846119*(RANDBETWEEN(2890,3282))</f>
        <v>100894709.25937331</v>
      </c>
      <c r="B4673">
        <v>204277319.76256144</v>
      </c>
    </row>
    <row r="4674" spans="1:2" x14ac:dyDescent="0.25">
      <c r="A4674">
        <f ca="1">30461.3371246896*(RANDBETWEEN(2890,3282))</f>
        <v>92480619.510557562</v>
      </c>
      <c r="B4674">
        <v>238282196.41103417</v>
      </c>
    </row>
    <row r="4675" spans="1:2" x14ac:dyDescent="0.25">
      <c r="A4675">
        <f ca="1">30809.5197598219*(RANDBETWEEN(2890,3282))</f>
        <v>89902178.65916039</v>
      </c>
      <c r="B4675">
        <v>266263589.04189298</v>
      </c>
    </row>
    <row r="4676" spans="1:2" x14ac:dyDescent="0.25">
      <c r="A4676">
        <f ca="1">31154.4830942733*(RANDBETWEEN(2890,3282))</f>
        <v>96672361.041530117</v>
      </c>
      <c r="B4676">
        <v>262659414.81263116</v>
      </c>
    </row>
    <row r="4677" spans="1:2" x14ac:dyDescent="0.25">
      <c r="A4677">
        <f ca="1">29758.4903474696*(RANDBETWEEN(2890,3282))</f>
        <v>86597206.911136568</v>
      </c>
      <c r="B4677">
        <v>223789687.07414269</v>
      </c>
    </row>
    <row r="4678" spans="1:2" x14ac:dyDescent="0.25">
      <c r="A4678">
        <f ca="1">27490.6929908531*(RANDBETWEEN(2890,3282))</f>
        <v>90059510.238034666</v>
      </c>
      <c r="B4678">
        <v>260372768.30831796</v>
      </c>
    </row>
    <row r="4679" spans="1:2" x14ac:dyDescent="0.25">
      <c r="A4679">
        <f ca="1">29867.8700887297*(RANDBETWEEN(2890,3282))</f>
        <v>91963172.003198728</v>
      </c>
      <c r="B4679">
        <v>252628074.85813206</v>
      </c>
    </row>
    <row r="4680" spans="1:2" x14ac:dyDescent="0.25">
      <c r="A4680">
        <f ca="1">30946.3435254987*(RANDBETWEEN(2890,3282))</f>
        <v>99709118.839156672</v>
      </c>
      <c r="B4680">
        <v>260038353.01995218</v>
      </c>
    </row>
    <row r="4681" spans="1:2" x14ac:dyDescent="0.25">
      <c r="A4681">
        <f ca="1">27104.7746483843*(RANDBETWEEN(2890,3282))</f>
        <v>86328707.255104035</v>
      </c>
      <c r="B4681">
        <v>209793258.84528866</v>
      </c>
    </row>
    <row r="4682" spans="1:2" x14ac:dyDescent="0.25">
      <c r="A4682">
        <f ca="1">27504.8398307252*(RANDBETWEEN(2890,3282))</f>
        <v>85815100.271862522</v>
      </c>
      <c r="B4682">
        <v>264377707.91081801</v>
      </c>
    </row>
    <row r="4683" spans="1:2" x14ac:dyDescent="0.25">
      <c r="A4683">
        <f ca="1">33351.5500829859*(RANDBETWEEN(2890,3282))</f>
        <v>108659350.17036793</v>
      </c>
      <c r="B4683">
        <v>253757700.72234848</v>
      </c>
    </row>
    <row r="4684" spans="1:2" x14ac:dyDescent="0.25">
      <c r="A4684">
        <f ca="1">30694.2422505922*(RANDBETWEEN(2890,3282))</f>
        <v>94384794.92057094</v>
      </c>
      <c r="B4684">
        <v>260772132.02883494</v>
      </c>
    </row>
    <row r="4685" spans="1:2" x14ac:dyDescent="0.25">
      <c r="A4685">
        <f ca="1">31290.3527274745*(RANDBETWEEN(2890,3282))</f>
        <v>91618152.786045343</v>
      </c>
      <c r="B4685">
        <v>256699004.80950516</v>
      </c>
    </row>
    <row r="4686" spans="1:2" x14ac:dyDescent="0.25">
      <c r="A4686">
        <f ca="1">33349.1621839226*(RANDBETWEEN(2890,3282))</f>
        <v>97412902.739238039</v>
      </c>
      <c r="B4686">
        <v>264484447.53345564</v>
      </c>
    </row>
    <row r="4687" spans="1:2" x14ac:dyDescent="0.25">
      <c r="A4687">
        <f ca="1">26053.1329657525*(RANDBETWEEN(2890,3282))</f>
        <v>76179360.791860312</v>
      </c>
      <c r="B4687">
        <v>237751705.9436039</v>
      </c>
    </row>
    <row r="4688" spans="1:2" x14ac:dyDescent="0.25">
      <c r="A4688">
        <f ca="1">31698.0748324026*(RANDBETWEEN(2890,3282))</f>
        <v>100451199.14388369</v>
      </c>
      <c r="B4688">
        <v>255457186.15010104</v>
      </c>
    </row>
    <row r="4689" spans="1:2" x14ac:dyDescent="0.25">
      <c r="A4689">
        <f ca="1">27441.8725025237*(RANDBETWEEN(2890,3282))</f>
        <v>85124688.502828613</v>
      </c>
      <c r="B4689">
        <v>205483264.73433381</v>
      </c>
    </row>
    <row r="4690" spans="1:2" x14ac:dyDescent="0.25">
      <c r="A4690">
        <f ca="1">30484.0212183349*(RANDBETWEEN(2890,3282))</f>
        <v>95414986.413388327</v>
      </c>
      <c r="B4690">
        <v>230202870.78346175</v>
      </c>
    </row>
    <row r="4691" spans="1:2" x14ac:dyDescent="0.25">
      <c r="A4691">
        <f ca="1">29452.1154767333*(RANDBETWEEN(2890,3282))</f>
        <v>96573486.648208469</v>
      </c>
      <c r="B4691">
        <v>232215058.46920121</v>
      </c>
    </row>
    <row r="4692" spans="1:2" x14ac:dyDescent="0.25">
      <c r="A4692">
        <f ca="1">27554.431949044*(RANDBETWEEN(2890,3282))</f>
        <v>82745959.142979071</v>
      </c>
      <c r="B4692">
        <v>228463332.99625909</v>
      </c>
    </row>
    <row r="4693" spans="1:2" x14ac:dyDescent="0.25">
      <c r="A4693">
        <f ca="1">31957.5006278261*(RANDBETWEEN(2890,3282))</f>
        <v>98588889.436843634</v>
      </c>
      <c r="B4693">
        <v>215980631.38001242</v>
      </c>
    </row>
    <row r="4694" spans="1:2" x14ac:dyDescent="0.25">
      <c r="A4694">
        <f ca="1">28556.2616865949*(RANDBETWEEN(2890,3282))</f>
        <v>87210823.190860674</v>
      </c>
      <c r="B4694">
        <v>213508908.51171789</v>
      </c>
    </row>
    <row r="4695" spans="1:2" x14ac:dyDescent="0.25">
      <c r="A4695">
        <f ca="1">27949.8407398409*(RANDBETWEEN(2890,3282))</f>
        <v>86644506.293506652</v>
      </c>
      <c r="B4695">
        <v>219137034.04281121</v>
      </c>
    </row>
    <row r="4696" spans="1:2" x14ac:dyDescent="0.25">
      <c r="A4696">
        <f ca="1">27917.5343727119*(RANDBETWEEN(2890,3282))</f>
        <v>90899491.917550087</v>
      </c>
      <c r="B4696">
        <v>223628959.58539948</v>
      </c>
    </row>
    <row r="4697" spans="1:2" x14ac:dyDescent="0.25">
      <c r="A4697">
        <f ca="1">27583.538852952*(RANDBETWEEN(2890,3282))</f>
        <v>84488379.506591931</v>
      </c>
      <c r="B4697">
        <v>207558340.09106377</v>
      </c>
    </row>
    <row r="4698" spans="1:2" x14ac:dyDescent="0.25">
      <c r="A4698">
        <f ca="1">32497.7012738226*(RANDBETWEEN(2890,3282))</f>
        <v>105422542.93228045</v>
      </c>
      <c r="B4698">
        <v>218442210.60029244</v>
      </c>
    </row>
    <row r="4699" spans="1:2" x14ac:dyDescent="0.25">
      <c r="A4699">
        <f ca="1">28256.4927344426*(RANDBETWEEN(2890,3282))</f>
        <v>88047231.360523134</v>
      </c>
      <c r="B4699">
        <v>250037341.20559037</v>
      </c>
    </row>
    <row r="4700" spans="1:2" x14ac:dyDescent="0.25">
      <c r="A4700">
        <f ca="1">27752.4354971287*(RANDBETWEEN(2890,3282))</f>
        <v>82285971.248986706</v>
      </c>
      <c r="B4700">
        <v>225074170.66105849</v>
      </c>
    </row>
    <row r="4701" spans="1:2" x14ac:dyDescent="0.25">
      <c r="A4701">
        <f ca="1">29122.8695673026*(RANDBETWEEN(2890,3282))</f>
        <v>93280551.224070311</v>
      </c>
      <c r="B4701">
        <v>233392242.25553006</v>
      </c>
    </row>
    <row r="4702" spans="1:2" x14ac:dyDescent="0.25">
      <c r="A4702">
        <f ca="1">31596.6053683953*(RANDBETWEEN(2890,3282))</f>
        <v>95010992.342764542</v>
      </c>
      <c r="B4702">
        <v>206205912.69964221</v>
      </c>
    </row>
    <row r="4703" spans="1:2" x14ac:dyDescent="0.25">
      <c r="A4703">
        <f ca="1">27842.7478377317*(RANDBETWEEN(2890,3282))</f>
        <v>90934414.438031867</v>
      </c>
      <c r="B4703">
        <v>228764271.64375821</v>
      </c>
    </row>
    <row r="4704" spans="1:2" x14ac:dyDescent="0.25">
      <c r="A4704">
        <f ca="1">30240.1775069669*(RANDBETWEEN(2890,3282))</f>
        <v>89299244.178073153</v>
      </c>
      <c r="B4704">
        <v>253552316.46091539</v>
      </c>
    </row>
    <row r="4705" spans="1:2" x14ac:dyDescent="0.25">
      <c r="A4705">
        <f ca="1">31424.0556953005*(RANDBETWEEN(2890,3282))</f>
        <v>100274161.72370395</v>
      </c>
      <c r="B4705">
        <v>239890893.54932976</v>
      </c>
    </row>
    <row r="4706" spans="1:2" x14ac:dyDescent="0.25">
      <c r="A4706">
        <f ca="1">33201.4429501917*(RANDBETWEEN(2890,3282))</f>
        <v>107672279.48747155</v>
      </c>
      <c r="B4706">
        <v>259969737.32834744</v>
      </c>
    </row>
    <row r="4707" spans="1:2" x14ac:dyDescent="0.25">
      <c r="A4707">
        <f ca="1">29623.2387579506*(RANDBETWEEN(2890,3282))</f>
        <v>91328445.090761736</v>
      </c>
      <c r="B4707">
        <v>220466039.82081765</v>
      </c>
    </row>
    <row r="4708" spans="1:2" x14ac:dyDescent="0.25">
      <c r="A4708">
        <f ca="1">29068.4713913956*(RANDBETWEEN(2890,3282))</f>
        <v>88135605.258711323</v>
      </c>
      <c r="B4708">
        <v>210658491.7443167</v>
      </c>
    </row>
    <row r="4709" spans="1:2" x14ac:dyDescent="0.25">
      <c r="A4709">
        <f ca="1">26802.6842530439*(RANDBETWEEN(2890,3282))</f>
        <v>83436756.079725772</v>
      </c>
      <c r="B4709">
        <v>205236186.4775328</v>
      </c>
    </row>
    <row r="4710" spans="1:2" x14ac:dyDescent="0.25">
      <c r="A4710">
        <f ca="1">33299.6884420169*(RANDBETWEEN(2890,3282))</f>
        <v>105959608.62249774</v>
      </c>
      <c r="B4710">
        <v>266354684.35133958</v>
      </c>
    </row>
    <row r="4711" spans="1:2" x14ac:dyDescent="0.25">
      <c r="A4711">
        <f ca="1">28790.9704960783*(RANDBETWEEN(2890,3282))</f>
        <v>83522605.409123212</v>
      </c>
      <c r="B4711">
        <v>208137694.90018234</v>
      </c>
    </row>
    <row r="4712" spans="1:2" x14ac:dyDescent="0.25">
      <c r="A4712">
        <f ca="1">29982.7308686367*(RANDBETWEEN(2890,3282))</f>
        <v>93066396.616248354</v>
      </c>
      <c r="B4712">
        <v>248060338.57850549</v>
      </c>
    </row>
    <row r="4713" spans="1:2" x14ac:dyDescent="0.25">
      <c r="A4713">
        <f ca="1">31235.4078706844*(RANDBETWEEN(2890,3282))</f>
        <v>91144920.16665709</v>
      </c>
      <c r="B4713">
        <v>255104887.25903428</v>
      </c>
    </row>
    <row r="4714" spans="1:2" x14ac:dyDescent="0.25">
      <c r="A4714">
        <f ca="1">29795.561214348*(RANDBETWEEN(2890,3282))</f>
        <v>93975200.070053726</v>
      </c>
      <c r="B4714">
        <v>211635499.81394735</v>
      </c>
    </row>
    <row r="4715" spans="1:2" x14ac:dyDescent="0.25">
      <c r="A4715">
        <f ca="1">27850.9340303752*(RANDBETWEEN(2890,3282))</f>
        <v>84109820.771733105</v>
      </c>
      <c r="B4715">
        <v>210691140.33382437</v>
      </c>
    </row>
    <row r="4716" spans="1:2" x14ac:dyDescent="0.25">
      <c r="A4716">
        <f ca="1">30727.6006559969*(RANDBETWEEN(2890,3282))</f>
        <v>91291701.54896684</v>
      </c>
      <c r="B4716">
        <v>213888046.39609405</v>
      </c>
    </row>
    <row r="4717" spans="1:2" x14ac:dyDescent="0.25">
      <c r="A4717">
        <f ca="1">33214.5067087566*(RANDBETWEEN(2890,3282))</f>
        <v>96155996.921850473</v>
      </c>
      <c r="B4717">
        <v>239858170.18653592</v>
      </c>
    </row>
    <row r="4718" spans="1:2" x14ac:dyDescent="0.25">
      <c r="A4718">
        <f ca="1">26568.322061357*(RANDBETWEEN(2890,3282))</f>
        <v>79997217.726746008</v>
      </c>
      <c r="B4718">
        <v>224724069.15483841</v>
      </c>
    </row>
    <row r="4719" spans="1:2" x14ac:dyDescent="0.25">
      <c r="A4719">
        <f ca="1">30181.0069830751*(RANDBETWEEN(2890,3282))</f>
        <v>95583249.11539875</v>
      </c>
      <c r="B4719">
        <v>230260349.56014001</v>
      </c>
    </row>
    <row r="4720" spans="1:2" x14ac:dyDescent="0.25">
      <c r="A4720">
        <f ca="1">32265.7059396864*(RANDBETWEEN(2890,3282))</f>
        <v>105121669.95149814</v>
      </c>
      <c r="B4720">
        <v>246542337.76084957</v>
      </c>
    </row>
    <row r="4721" spans="1:2" x14ac:dyDescent="0.25">
      <c r="A4721">
        <f ca="1">28925.016889671*(RANDBETWEEN(2890,3282))</f>
        <v>93630279.671865076</v>
      </c>
      <c r="B4721">
        <v>252378410.53000855</v>
      </c>
    </row>
    <row r="4722" spans="1:2" x14ac:dyDescent="0.25">
      <c r="A4722">
        <f ca="1">30165.4354187974*(RANDBETWEEN(2890,3282))</f>
        <v>88867372.743777171</v>
      </c>
      <c r="B4722">
        <v>237833474.23183101</v>
      </c>
    </row>
    <row r="4723" spans="1:2" x14ac:dyDescent="0.25">
      <c r="A4723">
        <f ca="1">30921.7208216744*(RANDBETWEEN(2890,3282))</f>
        <v>92548710.419271529</v>
      </c>
      <c r="B4723">
        <v>255754564.09154832</v>
      </c>
    </row>
    <row r="4724" spans="1:2" x14ac:dyDescent="0.25">
      <c r="A4724">
        <f ca="1">30101.5869593218*(RANDBETWEEN(2890,3282))</f>
        <v>94007256.073961928</v>
      </c>
      <c r="B4724">
        <v>227614128.93639159</v>
      </c>
    </row>
    <row r="4725" spans="1:2" x14ac:dyDescent="0.25">
      <c r="A4725">
        <f ca="1">31778.7547120595*(RANDBETWEEN(2890,3282))</f>
        <v>102772492.73880041</v>
      </c>
      <c r="B4725">
        <v>220689757.9466916</v>
      </c>
    </row>
    <row r="4726" spans="1:2" x14ac:dyDescent="0.25">
      <c r="A4726">
        <f ca="1">29569.4937088839*(RANDBETWEEN(2890,3282))</f>
        <v>91192318.598198012</v>
      </c>
      <c r="B4726">
        <v>242006609.95101598</v>
      </c>
    </row>
    <row r="4727" spans="1:2" x14ac:dyDescent="0.25">
      <c r="A4727">
        <f ca="1">27889.2736869673*(RANDBETWEEN(2890,3282))</f>
        <v>91337371.324817911</v>
      </c>
      <c r="B4727">
        <v>207627252.88651958</v>
      </c>
    </row>
    <row r="4728" spans="1:2" x14ac:dyDescent="0.25">
      <c r="A4728">
        <f ca="1">30501.5105064603*(RANDBETWEEN(2890,3282))</f>
        <v>89399927.294435054</v>
      </c>
      <c r="B4728">
        <v>254770348.55889499</v>
      </c>
    </row>
    <row r="4729" spans="1:2" x14ac:dyDescent="0.25">
      <c r="A4729">
        <f ca="1">33254.1602771703*(RANDBETWEEN(2890,3282))</f>
        <v>99962005.793173909</v>
      </c>
      <c r="B4729">
        <v>217098355.32505757</v>
      </c>
    </row>
    <row r="4730" spans="1:2" x14ac:dyDescent="0.25">
      <c r="A4730">
        <f ca="1">30237.1356051203*(RANDBETWEEN(2890,3282))</f>
        <v>89774055.611602068</v>
      </c>
      <c r="B4730">
        <v>225329653.78050739</v>
      </c>
    </row>
    <row r="4731" spans="1:2" x14ac:dyDescent="0.25">
      <c r="A4731">
        <f ca="1">27794.6324149271*(RANDBETWEEN(2890,3282))</f>
        <v>84217736.217229083</v>
      </c>
      <c r="B4731">
        <v>242522179.2330429</v>
      </c>
    </row>
    <row r="4732" spans="1:2" x14ac:dyDescent="0.25">
      <c r="A4732">
        <f ca="1">34572.5234546415*(RANDBETWEEN(2890,3282))</f>
        <v>100122027.92464179</v>
      </c>
      <c r="B4732">
        <v>246327464.93005186</v>
      </c>
    </row>
    <row r="4733" spans="1:2" x14ac:dyDescent="0.25">
      <c r="A4733">
        <f ca="1">35911.3907536408*(RANDBETWEEN(2890,3282))</f>
        <v>104717615.43761668</v>
      </c>
      <c r="B4733">
        <v>264891908.00544244</v>
      </c>
    </row>
    <row r="4734" spans="1:2" x14ac:dyDescent="0.25">
      <c r="A4734">
        <f ca="1">30449.8635343375*(RANDBETWEEN(2890,3282))</f>
        <v>92841633.91619505</v>
      </c>
      <c r="B4734">
        <v>243750960.13583678</v>
      </c>
    </row>
    <row r="4735" spans="1:2" x14ac:dyDescent="0.25">
      <c r="A4735">
        <f ca="1">31435.0705086116*(RANDBETWEEN(2890,3282))</f>
        <v>95751224.769230917</v>
      </c>
      <c r="B4735">
        <v>232456597.77803564</v>
      </c>
    </row>
    <row r="4736" spans="1:2" x14ac:dyDescent="0.25">
      <c r="A4736">
        <f ca="1">32461.6353866874*(RANDBETWEEN(2890,3282))</f>
        <v>95145053.318380907</v>
      </c>
      <c r="B4736">
        <v>264534424.89451969</v>
      </c>
    </row>
    <row r="4737" spans="1:2" x14ac:dyDescent="0.25">
      <c r="A4737">
        <f ca="1">33070.5084615099*(RANDBETWEEN(2890,3282))</f>
        <v>107743716.56759918</v>
      </c>
      <c r="B4737">
        <v>241907500.96050483</v>
      </c>
    </row>
    <row r="4738" spans="1:2" x14ac:dyDescent="0.25">
      <c r="A4738">
        <f ca="1">27487.1195859996*(RANDBETWEEN(2890,3282))</f>
        <v>89223190.176154822</v>
      </c>
      <c r="B4738">
        <v>219981451.4054276</v>
      </c>
    </row>
    <row r="4739" spans="1:2" x14ac:dyDescent="0.25">
      <c r="A4739">
        <f ca="1">28862.0987234552*(RANDBETWEEN(2890,3282))</f>
        <v>86817192.960153103</v>
      </c>
      <c r="B4739">
        <v>245263786.13210559</v>
      </c>
    </row>
    <row r="4740" spans="1:2" x14ac:dyDescent="0.25">
      <c r="A4740">
        <f ca="1">30147.2795622758*(RANDBETWEEN(2890,3282))</f>
        <v>96230116.362784415</v>
      </c>
      <c r="B4740">
        <v>262450041.89000097</v>
      </c>
    </row>
    <row r="4741" spans="1:2" x14ac:dyDescent="0.25">
      <c r="A4741">
        <f ca="1">29788.3601281983*(RANDBETWEEN(2890,3282))</f>
        <v>96603651.895746961</v>
      </c>
      <c r="B4741">
        <v>242716422.64341509</v>
      </c>
    </row>
    <row r="4742" spans="1:2" x14ac:dyDescent="0.25">
      <c r="A4742">
        <f ca="1">31702.0463055581*(RANDBETWEEN(2890,3282))</f>
        <v>94662310.268396586</v>
      </c>
      <c r="B4742">
        <v>261226571.25701892</v>
      </c>
    </row>
    <row r="4743" spans="1:2" x14ac:dyDescent="0.25">
      <c r="A4743">
        <f ca="1">29351.9722512686*(RANDBETWEEN(2890,3282))</f>
        <v>88584252.254328668</v>
      </c>
      <c r="B4743">
        <v>215633119.7222701</v>
      </c>
    </row>
    <row r="4744" spans="1:2" x14ac:dyDescent="0.25">
      <c r="A4744">
        <f ca="1">31039.5355953408*(RANDBETWEEN(2890,3282))</f>
        <v>92839250.965664282</v>
      </c>
      <c r="B4744">
        <v>220340757.90888253</v>
      </c>
    </row>
    <row r="4745" spans="1:2" x14ac:dyDescent="0.25">
      <c r="A4745">
        <f ca="1">26439.110516054*(RANDBETWEEN(2890,3282))</f>
        <v>86773160.713689208</v>
      </c>
      <c r="B4745">
        <v>227492566.00973046</v>
      </c>
    </row>
    <row r="4746" spans="1:2" x14ac:dyDescent="0.25">
      <c r="A4746">
        <f ca="1">26601.251389141*(RANDBETWEEN(2890,3282))</f>
        <v>81719044.267441079</v>
      </c>
      <c r="B4746">
        <v>242048934.95942104</v>
      </c>
    </row>
    <row r="4747" spans="1:2" x14ac:dyDescent="0.25">
      <c r="A4747">
        <f ca="1">29244.7366942073*(RANDBETWEEN(2890,3282))</f>
        <v>91799228.48311682</v>
      </c>
      <c r="B4747">
        <v>234360896.91151959</v>
      </c>
    </row>
    <row r="4748" spans="1:2" x14ac:dyDescent="0.25">
      <c r="A4748">
        <f ca="1">28312.7768220153*(RANDBETWEEN(2890,3282))</f>
        <v>87656357.040959343</v>
      </c>
      <c r="B4748">
        <v>241685934.82702532</v>
      </c>
    </row>
    <row r="4749" spans="1:2" x14ac:dyDescent="0.25">
      <c r="A4749">
        <f ca="1">31156.6664421116*(RANDBETWEEN(2890,3282))</f>
        <v>90697056.012986749</v>
      </c>
      <c r="B4749">
        <v>257212420.03278571</v>
      </c>
    </row>
    <row r="4750" spans="1:2" x14ac:dyDescent="0.25">
      <c r="A4750">
        <f ca="1">26215.7062586105*(RANDBETWEEN(2890,3282))</f>
        <v>81976513.470675081</v>
      </c>
      <c r="B4750">
        <v>247288289.8962087</v>
      </c>
    </row>
    <row r="4751" spans="1:2" x14ac:dyDescent="0.25">
      <c r="A4751">
        <f ca="1">33059.6644125078*(RANDBETWEEN(2890,3282))</f>
        <v>96534220.084522784</v>
      </c>
      <c r="B4751">
        <v>224254213.72612417</v>
      </c>
    </row>
    <row r="4752" spans="1:2" x14ac:dyDescent="0.25">
      <c r="A4752">
        <f ca="1">27194.9226588953*(RANDBETWEEN(2890,3282))</f>
        <v>84576209.469164476</v>
      </c>
      <c r="B4752">
        <v>264476018.8384746</v>
      </c>
    </row>
    <row r="4753" spans="1:2" x14ac:dyDescent="0.25">
      <c r="A4753">
        <f ca="1">29602.4664790156*(RANDBETWEEN(2890,3282))</f>
        <v>96563245.654549047</v>
      </c>
      <c r="B4753">
        <v>267741182.25067639</v>
      </c>
    </row>
    <row r="4754" spans="1:2" x14ac:dyDescent="0.25">
      <c r="A4754">
        <f ca="1">32246.4441909131*(RANDBETWEEN(2890,3282))</f>
        <v>100415427.21050328</v>
      </c>
      <c r="B4754">
        <v>216687095.90429023</v>
      </c>
    </row>
    <row r="4755" spans="1:2" x14ac:dyDescent="0.25">
      <c r="A4755">
        <f ca="1">29997.5063484197*(RANDBETWEEN(2890,3282))</f>
        <v>94072179.908644065</v>
      </c>
      <c r="B4755">
        <v>220763861.01521856</v>
      </c>
    </row>
    <row r="4756" spans="1:2" x14ac:dyDescent="0.25">
      <c r="A4756">
        <f ca="1">30179.7881611429*(RANDBETWEEN(2890,3282))</f>
        <v>88607858.041115597</v>
      </c>
      <c r="B4756">
        <v>250479089.16438586</v>
      </c>
    </row>
    <row r="4757" spans="1:2" x14ac:dyDescent="0.25">
      <c r="A4757">
        <f ca="1">28085.2223411267*(RANDBETWEEN(2890,3282))</f>
        <v>83272684.241440803</v>
      </c>
      <c r="B4757">
        <v>251775699.55605167</v>
      </c>
    </row>
    <row r="4758" spans="1:2" x14ac:dyDescent="0.25">
      <c r="A4758">
        <f ca="1">27798.5623971196*(RANDBETWEEN(2890,3282))</f>
        <v>83034305.880196229</v>
      </c>
      <c r="B4758">
        <v>240962686.39572114</v>
      </c>
    </row>
    <row r="4759" spans="1:2" x14ac:dyDescent="0.25">
      <c r="A4759">
        <f ca="1">32159.0125292511*(RANDBETWEEN(2890,3282))</f>
        <v>93647044.485179231</v>
      </c>
      <c r="B4759">
        <v>230510126.59914806</v>
      </c>
    </row>
    <row r="4760" spans="1:2" x14ac:dyDescent="0.25">
      <c r="A4760">
        <f ca="1">29733.8078547524*(RANDBETWEEN(2890,3282))</f>
        <v>96278069.833688125</v>
      </c>
      <c r="B4760">
        <v>260061248.88616782</v>
      </c>
    </row>
    <row r="4761" spans="1:2" x14ac:dyDescent="0.25">
      <c r="A4761">
        <f ca="1">33728.5015686777*(RANDBETWEEN(2890,3282))</f>
        <v>103411585.80956586</v>
      </c>
      <c r="B4761">
        <v>264397465.27307916</v>
      </c>
    </row>
    <row r="4762" spans="1:2" x14ac:dyDescent="0.25">
      <c r="A4762">
        <f ca="1">31517.3653576949*(RANDBETWEEN(2890,3282))</f>
        <v>91620981.094819084</v>
      </c>
      <c r="B4762">
        <v>214782056.08460081</v>
      </c>
    </row>
    <row r="4763" spans="1:2" x14ac:dyDescent="0.25">
      <c r="A4763">
        <f ca="1">26927.1138717528*(RANDBETWEEN(2890,3282))</f>
        <v>82989364.952742025</v>
      </c>
      <c r="B4763">
        <v>213319338.95599744</v>
      </c>
    </row>
    <row r="4764" spans="1:2" x14ac:dyDescent="0.25">
      <c r="A4764">
        <f ca="1">26950.852699846*(RANDBETWEEN(2890,3282))</f>
        <v>78022718.566054165</v>
      </c>
      <c r="B4764">
        <v>230043016.91224125</v>
      </c>
    </row>
    <row r="4765" spans="1:2" x14ac:dyDescent="0.25">
      <c r="A4765">
        <f ca="1">33191.1883351595*(RANDBETWEEN(2890,3282))</f>
        <v>106311376.23751582</v>
      </c>
      <c r="B4765">
        <v>253057247.66205677</v>
      </c>
    </row>
    <row r="4766" spans="1:2" x14ac:dyDescent="0.25">
      <c r="A4766">
        <f ca="1">28489.9801826137*(RANDBETWEEN(2890,3282))</f>
        <v>84102421.499075681</v>
      </c>
      <c r="B4766">
        <v>213260423.6086787</v>
      </c>
    </row>
    <row r="4767" spans="1:2" x14ac:dyDescent="0.25">
      <c r="A4767">
        <f ca="1">29579.3806493167*(RANDBETWEEN(2890,3282))</f>
        <v>86992958.489640459</v>
      </c>
      <c r="B4767">
        <v>235199601.75650829</v>
      </c>
    </row>
    <row r="4768" spans="1:2" x14ac:dyDescent="0.25">
      <c r="A4768">
        <f ca="1">28215.3329382056*(RANDBETWEEN(2890,3282))</f>
        <v>82191264.848992929</v>
      </c>
      <c r="B4768">
        <v>251221606.50334275</v>
      </c>
    </row>
    <row r="4769" spans="1:2" x14ac:dyDescent="0.25">
      <c r="A4769">
        <f ca="1">30763.3711092453*(RANDBETWEEN(2890,3282))</f>
        <v>89213776.216811225</v>
      </c>
      <c r="B4769">
        <v>229077938.32569316</v>
      </c>
    </row>
    <row r="4770" spans="1:2" x14ac:dyDescent="0.25">
      <c r="A4770">
        <f ca="1">29002.6343629163*(RANDBETWEEN(2890,3282))</f>
        <v>85615776.639328972</v>
      </c>
      <c r="B4770">
        <v>216644008.77091008</v>
      </c>
    </row>
    <row r="4771" spans="1:2" x14ac:dyDescent="0.25">
      <c r="A4771">
        <f ca="1">33460.3455495448*(RANDBETWEEN(2890,3282))</f>
        <v>108679202.34492153</v>
      </c>
      <c r="B4771">
        <v>257773697.13363639</v>
      </c>
    </row>
    <row r="4772" spans="1:2" x14ac:dyDescent="0.25">
      <c r="A4772">
        <f ca="1">29062.2304011735*(RANDBETWEEN(2890,3282))</f>
        <v>88756051.645183921</v>
      </c>
      <c r="B4772">
        <v>222113138.63145187</v>
      </c>
    </row>
    <row r="4773" spans="1:2" x14ac:dyDescent="0.25">
      <c r="A4773">
        <f ca="1">28809.308731463*(RANDBETWEEN(2890,3282))</f>
        <v>83633423.24743706</v>
      </c>
      <c r="B4773">
        <v>225439468.20967495</v>
      </c>
    </row>
    <row r="4774" spans="1:2" x14ac:dyDescent="0.25">
      <c r="A4774">
        <f ca="1">27216.7033085279*(RANDBETWEEN(2890,3282))</f>
        <v>80860825.529636309</v>
      </c>
      <c r="B4774">
        <v>206320787.59916872</v>
      </c>
    </row>
    <row r="4775" spans="1:2" x14ac:dyDescent="0.25">
      <c r="A4775">
        <f ca="1">29522.237226103*(RANDBETWEEN(2890,3282))</f>
        <v>90810401.707492754</v>
      </c>
      <c r="B4775">
        <v>207756469.0317066</v>
      </c>
    </row>
    <row r="4776" spans="1:2" x14ac:dyDescent="0.25">
      <c r="A4776">
        <f ca="1">30982.2527583671*(RANDBETWEEN(2890,3282))</f>
        <v>95549267.506804109</v>
      </c>
      <c r="B4776">
        <v>210362077.14269671</v>
      </c>
    </row>
    <row r="4777" spans="1:2" x14ac:dyDescent="0.25">
      <c r="A4777">
        <f ca="1">27892.4327406054*(RANDBETWEEN(2890,3282))</f>
        <v>90064665.319414735</v>
      </c>
      <c r="B4777">
        <v>236448151.59773353</v>
      </c>
    </row>
    <row r="4778" spans="1:2" x14ac:dyDescent="0.25">
      <c r="A4778">
        <f ca="1">28583.0430709129*(RANDBETWEEN(2890,3282))</f>
        <v>85234634.437462151</v>
      </c>
      <c r="B4778">
        <v>234609446.46600339</v>
      </c>
    </row>
    <row r="4779" spans="1:2" x14ac:dyDescent="0.25">
      <c r="A4779">
        <f ca="1">26349.868229027*(RANDBETWEEN(2890,3282))</f>
        <v>86005969.899544194</v>
      </c>
      <c r="B4779">
        <v>232337194.70557004</v>
      </c>
    </row>
    <row r="4780" spans="1:2" x14ac:dyDescent="0.25">
      <c r="A4780">
        <f ca="1">29864.7237224713*(RANDBETWEEN(2890,3282))</f>
        <v>93864826.65972738</v>
      </c>
      <c r="B4780">
        <v>212507612.04874331</v>
      </c>
    </row>
    <row r="4781" spans="1:2" x14ac:dyDescent="0.25">
      <c r="A4781">
        <f ca="1">27613.0684561199*(RANDBETWEEN(2890,3282))</f>
        <v>81265260.466360971</v>
      </c>
      <c r="B4781">
        <v>252985706.20322129</v>
      </c>
    </row>
    <row r="4782" spans="1:2" x14ac:dyDescent="0.25">
      <c r="A4782">
        <f ca="1">28037.8508303698*(RANDBETWEEN(2890,3282))</f>
        <v>87954738.054870069</v>
      </c>
      <c r="B4782">
        <v>264141845.80127218</v>
      </c>
    </row>
    <row r="4783" spans="1:2" x14ac:dyDescent="0.25">
      <c r="A4783">
        <f ca="1">26299.2083420054*(RANDBETWEEN(2890,3282))</f>
        <v>78582034.525912166</v>
      </c>
      <c r="B4783">
        <v>213022909.07221657</v>
      </c>
    </row>
    <row r="4784" spans="1:2" x14ac:dyDescent="0.25">
      <c r="A4784">
        <f ca="1">30720.9361066639*(RANDBETWEEN(2890,3282))</f>
        <v>92316413.000524893</v>
      </c>
      <c r="B4784">
        <v>260105377.9235757</v>
      </c>
    </row>
    <row r="4785" spans="1:2" x14ac:dyDescent="0.25">
      <c r="A4785">
        <f ca="1">32638.0595265897*(RANDBETWEEN(2890,3282))</f>
        <v>100818965.87763563</v>
      </c>
      <c r="B4785">
        <v>211079616.77659589</v>
      </c>
    </row>
    <row r="4786" spans="1:2" x14ac:dyDescent="0.25">
      <c r="A4786">
        <f ca="1">29245.7992722717*(RANDBETWEEN(2890,3282))</f>
        <v>94171473.656714976</v>
      </c>
      <c r="B4786">
        <v>214772648.82426795</v>
      </c>
    </row>
    <row r="4787" spans="1:2" x14ac:dyDescent="0.25">
      <c r="A4787">
        <f ca="1">26908.2078931072*(RANDBETWEEN(2890,3282))</f>
        <v>79486846.116238728</v>
      </c>
      <c r="B4787">
        <v>224460133.5360828</v>
      </c>
    </row>
    <row r="4788" spans="1:2" x14ac:dyDescent="0.25">
      <c r="A4788">
        <f ca="1">27903.4056753183*(RANDBETWEEN(2890,3282))</f>
        <v>89262994.755343392</v>
      </c>
      <c r="B4788">
        <v>226138372.20308948</v>
      </c>
    </row>
    <row r="4789" spans="1:2" x14ac:dyDescent="0.25">
      <c r="A4789">
        <f ca="1">30107.6829806212*(RANDBETWEEN(2890,3282))</f>
        <v>96796200.782697156</v>
      </c>
      <c r="B4789">
        <v>258293750.77496794</v>
      </c>
    </row>
    <row r="4790" spans="1:2" x14ac:dyDescent="0.25">
      <c r="A4790">
        <f ca="1">29655.8415017217*(RANDBETWEEN(2890,3282))</f>
        <v>92496569.643870115</v>
      </c>
      <c r="B4790">
        <v>253836530.57769507</v>
      </c>
    </row>
    <row r="4791" spans="1:2" x14ac:dyDescent="0.25">
      <c r="A4791">
        <f ca="1">34535.4241502225*(RANDBETWEEN(2890,3282))</f>
        <v>101914036.66730668</v>
      </c>
      <c r="B4791">
        <v>237051015.72855616</v>
      </c>
    </row>
    <row r="4792" spans="1:2" x14ac:dyDescent="0.25">
      <c r="A4792">
        <f ca="1">28312.9522505447*(RANDBETWEEN(2890,3282))</f>
        <v>87317144.740679801</v>
      </c>
      <c r="B4792">
        <v>260294274.12551969</v>
      </c>
    </row>
    <row r="4793" spans="1:2" x14ac:dyDescent="0.25">
      <c r="A4793">
        <f ca="1">29887.6059651239*(RANDBETWEEN(2890,3282))</f>
        <v>91725062.706965283</v>
      </c>
      <c r="B4793">
        <v>267566728.60850739</v>
      </c>
    </row>
    <row r="4794" spans="1:2" x14ac:dyDescent="0.25">
      <c r="A4794">
        <f ca="1">31291.3642157636*(RANDBETWEEN(2890,3282))</f>
        <v>94312171.746311545</v>
      </c>
      <c r="B4794">
        <v>221733405.75341213</v>
      </c>
    </row>
    <row r="4795" spans="1:2" x14ac:dyDescent="0.25">
      <c r="A4795">
        <f ca="1">30280.20392876*(RANDBETWEEN(2890,3282))</f>
        <v>97138894.203462139</v>
      </c>
      <c r="B4795">
        <v>245422799.07953054</v>
      </c>
    </row>
    <row r="4796" spans="1:2" x14ac:dyDescent="0.25">
      <c r="A4796">
        <f ca="1">30297.3708371672*(RANDBETWEEN(2890,3282))</f>
        <v>99072402.637536585</v>
      </c>
      <c r="B4796">
        <v>242832366.16969445</v>
      </c>
    </row>
    <row r="4797" spans="1:2" x14ac:dyDescent="0.25">
      <c r="A4797">
        <f ca="1">30601.4048786802*(RANDBETWEEN(2890,3282))</f>
        <v>89294899.435988724</v>
      </c>
      <c r="B4797">
        <v>267178876.56391385</v>
      </c>
    </row>
    <row r="4798" spans="1:2" x14ac:dyDescent="0.25">
      <c r="A4798">
        <f ca="1">29062.9096185886*(RANDBETWEEN(2890,3282))</f>
        <v>94541644.989268869</v>
      </c>
      <c r="B4798">
        <v>233578821.83419293</v>
      </c>
    </row>
    <row r="4799" spans="1:2" x14ac:dyDescent="0.25">
      <c r="A4799">
        <f ca="1">29190.7470765626*(RANDBETWEEN(2890,3282))</f>
        <v>92096807.026554868</v>
      </c>
      <c r="B4799">
        <v>263712335.72377425</v>
      </c>
    </row>
    <row r="4800" spans="1:2" x14ac:dyDescent="0.25">
      <c r="A4800">
        <f ca="1">29798.968068013*(RANDBETWEEN(2890,3282))</f>
        <v>91989414.425956205</v>
      </c>
      <c r="B4800">
        <v>266058674.73645359</v>
      </c>
    </row>
    <row r="4801" spans="1:2" x14ac:dyDescent="0.25">
      <c r="A4801">
        <f ca="1">29176.3859903777*(RANDBETWEEN(2890,3282))</f>
        <v>86537160.84746033</v>
      </c>
      <c r="B4801">
        <v>265246340.05005497</v>
      </c>
    </row>
    <row r="4802" spans="1:2" x14ac:dyDescent="0.25">
      <c r="A4802">
        <f ca="1">28545.8056024944*(RANDBETWEEN(2890,3282))</f>
        <v>84666859.416998476</v>
      </c>
      <c r="B4802">
        <v>225700317.34878752</v>
      </c>
    </row>
    <row r="4803" spans="1:2" x14ac:dyDescent="0.25">
      <c r="A4803">
        <f ca="1">30713.0446262026*(RANDBETWEEN(2890,3282))</f>
        <v>99172421.09800823</v>
      </c>
      <c r="B4803">
        <v>215349225.90881252</v>
      </c>
    </row>
    <row r="4804" spans="1:2" x14ac:dyDescent="0.25">
      <c r="A4804">
        <f ca="1">31603.1399414012*(RANDBETWEEN(2890,3282))</f>
        <v>100687603.85330431</v>
      </c>
      <c r="B4804">
        <v>215673881.26177412</v>
      </c>
    </row>
    <row r="4805" spans="1:2" x14ac:dyDescent="0.25">
      <c r="A4805">
        <f ca="1">31603.4338873709*(RANDBETWEEN(2890,3282))</f>
        <v>91460337.670051262</v>
      </c>
      <c r="B4805">
        <v>216538002.20658034</v>
      </c>
    </row>
    <row r="4806" spans="1:2" x14ac:dyDescent="0.25">
      <c r="A4806">
        <f ca="1">33240.6404602447*(RANDBETWEEN(2890,3282))</f>
        <v>106735696.51784559</v>
      </c>
      <c r="B4806">
        <v>210270808.46453232</v>
      </c>
    </row>
    <row r="4807" spans="1:2" x14ac:dyDescent="0.25">
      <c r="A4807">
        <f ca="1">30790.5600218909*(RANDBETWEEN(2890,3282))</f>
        <v>89384995.743549153</v>
      </c>
      <c r="B4807">
        <v>225751394.47193092</v>
      </c>
    </row>
    <row r="4808" spans="1:2" x14ac:dyDescent="0.25">
      <c r="A4808">
        <f ca="1">32099.3631175509*(RANDBETWEEN(2890,3282))</f>
        <v>95206711.006656095</v>
      </c>
      <c r="B4808">
        <v>220235848.42826894</v>
      </c>
    </row>
    <row r="4809" spans="1:2" x14ac:dyDescent="0.25">
      <c r="A4809">
        <f ca="1">28137.2218510737*(RANDBETWEEN(2890,3282))</f>
        <v>89448228.264563322</v>
      </c>
      <c r="B4809">
        <v>229733001.74681562</v>
      </c>
    </row>
    <row r="4810" spans="1:2" x14ac:dyDescent="0.25">
      <c r="A4810">
        <f ca="1">33708.262756974*(RANDBETWEEN(2890,3282))</f>
        <v>103248408.82461125</v>
      </c>
      <c r="B4810">
        <v>223633807.99199972</v>
      </c>
    </row>
    <row r="4811" spans="1:2" x14ac:dyDescent="0.25">
      <c r="A4811">
        <f ca="1">32456.2612170739*(RANDBETWEEN(2890,3282))</f>
        <v>103210910.67029485</v>
      </c>
      <c r="B4811">
        <v>231198246.96140695</v>
      </c>
    </row>
    <row r="4812" spans="1:2" x14ac:dyDescent="0.25">
      <c r="A4812">
        <f ca="1">29166.9603061675*(RANDBETWEEN(2890,3282))</f>
        <v>90009239.504832923</v>
      </c>
      <c r="B4812">
        <v>209386358.88952947</v>
      </c>
    </row>
    <row r="4813" spans="1:2" x14ac:dyDescent="0.25">
      <c r="A4813">
        <f ca="1">31984.9736443462*(RANDBETWEEN(2890,3282))</f>
        <v>104558878.84336762</v>
      </c>
      <c r="B4813">
        <v>263836340.73412704</v>
      </c>
    </row>
    <row r="4814" spans="1:2" x14ac:dyDescent="0.25">
      <c r="A4814">
        <f ca="1">26912.7902668274*(RANDBETWEEN(2890,3282))</f>
        <v>82003271.94302319</v>
      </c>
      <c r="B4814">
        <v>259231798.15742654</v>
      </c>
    </row>
    <row r="4815" spans="1:2" x14ac:dyDescent="0.25">
      <c r="A4815">
        <f ca="1">32145.3054319045*(RANDBETWEEN(2890,3282))</f>
        <v>104375806.73739381</v>
      </c>
      <c r="B4815">
        <v>222695365.81260616</v>
      </c>
    </row>
    <row r="4816" spans="1:2" x14ac:dyDescent="0.25">
      <c r="A4816">
        <f ca="1">33193.0988195658*(RANDBETWEEN(2890,3282))</f>
        <v>103794820.0087823</v>
      </c>
      <c r="B4816">
        <v>235683047.48122916</v>
      </c>
    </row>
    <row r="4817" spans="1:2" x14ac:dyDescent="0.25">
      <c r="A4817">
        <f ca="1">35061.49792333*(RANDBETWEEN(2890,3282))</f>
        <v>113564191.77366599</v>
      </c>
      <c r="B4817">
        <v>239185731.77476048</v>
      </c>
    </row>
    <row r="4818" spans="1:2" x14ac:dyDescent="0.25">
      <c r="A4818">
        <f ca="1">30707.7286249084*(RANDBETWEEN(2890,3282))</f>
        <v>100107195.31720142</v>
      </c>
      <c r="B4818">
        <v>233602222.93196204</v>
      </c>
    </row>
    <row r="4819" spans="1:2" x14ac:dyDescent="0.25">
      <c r="A4819">
        <f ca="1">33247.4445250026*(RANDBETWEEN(2890,3282))</f>
        <v>108120689.59530835</v>
      </c>
      <c r="B4819">
        <v>256009663.50816017</v>
      </c>
    </row>
    <row r="4820" spans="1:2" x14ac:dyDescent="0.25">
      <c r="A4820">
        <f ca="1">29191.7815490912*(RANDBETWEEN(2890,3282))</f>
        <v>88451098.093746394</v>
      </c>
      <c r="B4820">
        <v>222815597.3818827</v>
      </c>
    </row>
    <row r="4821" spans="1:2" x14ac:dyDescent="0.25">
      <c r="A4821">
        <f ca="1">32144.4784239691*(RANDBETWEEN(2890,3282))</f>
        <v>100740795.38071927</v>
      </c>
      <c r="B4821">
        <v>229923832.26211378</v>
      </c>
    </row>
    <row r="4822" spans="1:2" x14ac:dyDescent="0.25">
      <c r="A4822">
        <f ca="1">30426.2084718089*(RANDBETWEEN(2890,3282))</f>
        <v>98976456.158794224</v>
      </c>
      <c r="B4822">
        <v>251727174.65666831</v>
      </c>
    </row>
    <row r="4823" spans="1:2" x14ac:dyDescent="0.25">
      <c r="A4823">
        <f ca="1">34899.2921747733*(RANDBETWEEN(2890,3282))</f>
        <v>105814653.8739128</v>
      </c>
      <c r="B4823">
        <v>239090194.53104779</v>
      </c>
    </row>
    <row r="4824" spans="1:2" x14ac:dyDescent="0.25">
      <c r="A4824">
        <f ca="1">32172.4206106719*(RANDBETWEEN(2890,3282))</f>
        <v>101568331.86789125</v>
      </c>
      <c r="B4824">
        <v>238866469.40294442</v>
      </c>
    </row>
    <row r="4825" spans="1:2" x14ac:dyDescent="0.25">
      <c r="A4825">
        <f ca="1">30950.5147005573*(RANDBETWEEN(2890,3282))</f>
        <v>92572989.469366744</v>
      </c>
      <c r="B4825">
        <v>223129027.2072677</v>
      </c>
    </row>
    <row r="4826" spans="1:2" x14ac:dyDescent="0.25">
      <c r="A4826">
        <f ca="1">31749.8434546655*(RANDBETWEEN(2890,3282))</f>
        <v>101821747.95911227</v>
      </c>
      <c r="B4826">
        <v>209228939.55070376</v>
      </c>
    </row>
    <row r="4827" spans="1:2" x14ac:dyDescent="0.25">
      <c r="A4827">
        <f ca="1">32782.5514385031*(RANDBETWEEN(2890,3282))</f>
        <v>105231990.11759482</v>
      </c>
      <c r="B4827">
        <v>255955445.40136656</v>
      </c>
    </row>
    <row r="4828" spans="1:2" x14ac:dyDescent="0.25">
      <c r="A4828">
        <f ca="1">30846.2994395856*(RANDBETWEEN(2890,3282))</f>
        <v>99571854.590982452</v>
      </c>
      <c r="B4828">
        <v>256005098.92655137</v>
      </c>
    </row>
    <row r="4829" spans="1:2" x14ac:dyDescent="0.25">
      <c r="A4829">
        <f ca="1">29729.3235493372*(RANDBETWEEN(2890,3282))</f>
        <v>88236632.294432938</v>
      </c>
      <c r="B4829">
        <v>228773691.20463744</v>
      </c>
    </row>
    <row r="4830" spans="1:2" x14ac:dyDescent="0.25">
      <c r="A4830">
        <f ca="1">29299.2870398125*(RANDBETWEEN(2890,3282))</f>
        <v>88601044.008393034</v>
      </c>
      <c r="B4830">
        <v>216909564.72369534</v>
      </c>
    </row>
    <row r="4831" spans="1:2" x14ac:dyDescent="0.25">
      <c r="A4831">
        <f ca="1">34450.8275165466*(RANDBETWEEN(2890,3282))</f>
        <v>110621607.15563104</v>
      </c>
      <c r="B4831">
        <v>204614924.24849078</v>
      </c>
    </row>
    <row r="4832" spans="1:2" x14ac:dyDescent="0.25">
      <c r="A4832">
        <f ca="1">27172.8928600734*(RANDBETWEEN(2890,3282))</f>
        <v>80703491.794418037</v>
      </c>
      <c r="B4832">
        <v>220897732.2517128</v>
      </c>
    </row>
    <row r="4833" spans="1:2" x14ac:dyDescent="0.25">
      <c r="A4833">
        <f ca="1">28570.8400408018*(RANDBETWEEN(2890,3282))</f>
        <v>86398220.283384696</v>
      </c>
      <c r="B4833">
        <v>229581530.63363698</v>
      </c>
    </row>
    <row r="4834" spans="1:2" x14ac:dyDescent="0.25">
      <c r="A4834">
        <f ca="1">28759.1208403343*(RANDBETWEEN(2890,3282))</f>
        <v>83142618.349406391</v>
      </c>
      <c r="B4834">
        <v>204738215.91261578</v>
      </c>
    </row>
    <row r="4835" spans="1:2" x14ac:dyDescent="0.25">
      <c r="A4835">
        <f ca="1">31538.8396637318*(RANDBETWEEN(2890,3282))</f>
        <v>95436528.822452322</v>
      </c>
      <c r="B4835">
        <v>255195788.1872896</v>
      </c>
    </row>
    <row r="4836" spans="1:2" x14ac:dyDescent="0.25">
      <c r="A4836">
        <f ca="1">31902.6097230792*(RANDBETWEEN(2890,3282))</f>
        <v>98515258.824868709</v>
      </c>
      <c r="B4836">
        <v>235250092.32940191</v>
      </c>
    </row>
    <row r="4837" spans="1:2" x14ac:dyDescent="0.25">
      <c r="A4837">
        <f ca="1">29870.7802219147*(RANDBETWEEN(2890,3282))</f>
        <v>91105879.676839858</v>
      </c>
      <c r="B4837">
        <v>250517149.52105975</v>
      </c>
    </row>
    <row r="4838" spans="1:2" x14ac:dyDescent="0.25">
      <c r="A4838">
        <f ca="1">26338.6930348671*(RANDBETWEEN(2890,3282))</f>
        <v>77541112.294648737</v>
      </c>
      <c r="B4838">
        <v>217244301.95761856</v>
      </c>
    </row>
    <row r="4839" spans="1:2" x14ac:dyDescent="0.25">
      <c r="A4839">
        <f ca="1">29712.7999285514*(RANDBETWEEN(2890,3282))</f>
        <v>92109679.778509483</v>
      </c>
      <c r="B4839">
        <v>259444281.17014167</v>
      </c>
    </row>
    <row r="4840" spans="1:2" x14ac:dyDescent="0.25">
      <c r="A4840">
        <f ca="1">25983.6150506717*(RANDBETWEEN(2890,3282))</f>
        <v>79769698.205562204</v>
      </c>
      <c r="B4840">
        <v>206246679.3298752</v>
      </c>
    </row>
    <row r="4841" spans="1:2" x14ac:dyDescent="0.25">
      <c r="A4841">
        <f ca="1">28300.5984011757*(RANDBETWEEN(2890,3282))</f>
        <v>83232059.897857606</v>
      </c>
      <c r="B4841">
        <v>255581960.68705148</v>
      </c>
    </row>
    <row r="4842" spans="1:2" x14ac:dyDescent="0.25">
      <c r="A4842">
        <f ca="1">28275.1176056017*(RANDBETWEEN(2890,3282))</f>
        <v>87709414.812576517</v>
      </c>
      <c r="B4842">
        <v>207210593.16310439</v>
      </c>
    </row>
    <row r="4843" spans="1:2" x14ac:dyDescent="0.25">
      <c r="A4843">
        <f ca="1">30920.928150668*(RANDBETWEEN(2890,3282))</f>
        <v>99472625.860699072</v>
      </c>
      <c r="B4843">
        <v>226208710.32590115</v>
      </c>
    </row>
    <row r="4844" spans="1:2" x14ac:dyDescent="0.25">
      <c r="A4844">
        <f ca="1">31846.6942933074*(RANDBETWEEN(2890,3282))</f>
        <v>102482662.23586307</v>
      </c>
      <c r="B4844">
        <v>251841847.818941</v>
      </c>
    </row>
    <row r="4845" spans="1:2" x14ac:dyDescent="0.25">
      <c r="A4845">
        <f ca="1">33234.7782863533*(RANDBETWEEN(2890,3282))</f>
        <v>102928108.35283625</v>
      </c>
      <c r="B4845">
        <v>218800668.8280493</v>
      </c>
    </row>
    <row r="4846" spans="1:2" x14ac:dyDescent="0.25">
      <c r="A4846">
        <f ca="1">26059.222883191*(RANDBETWEEN(2890,3282))</f>
        <v>77552247.300376371</v>
      </c>
      <c r="B4846">
        <v>244848450.34109688</v>
      </c>
    </row>
    <row r="4847" spans="1:2" x14ac:dyDescent="0.25">
      <c r="A4847">
        <f ca="1">26707.2636338878*(RANDBETWEEN(2890,3282))</f>
        <v>83486906.1195333</v>
      </c>
      <c r="B4847">
        <v>238025548.61599612</v>
      </c>
    </row>
    <row r="4848" spans="1:2" x14ac:dyDescent="0.25">
      <c r="A4848">
        <f ca="1">27901.9799808045*(RANDBETWEEN(2890,3282))</f>
        <v>83901253.802279085</v>
      </c>
      <c r="B4848">
        <v>250550464.16503948</v>
      </c>
    </row>
    <row r="4849" spans="1:2" x14ac:dyDescent="0.25">
      <c r="A4849">
        <f ca="1">26456.1862650649*(RANDBETWEEN(2890,3282))</f>
        <v>78230942.78579694</v>
      </c>
      <c r="B4849">
        <v>248008647.03534445</v>
      </c>
    </row>
    <row r="4850" spans="1:2" x14ac:dyDescent="0.25">
      <c r="A4850">
        <f ca="1">32524.8965443335*(RANDBETWEEN(2890,3282))</f>
        <v>96046019.49541682</v>
      </c>
      <c r="B4850">
        <v>257424783.38415325</v>
      </c>
    </row>
    <row r="4851" spans="1:2" x14ac:dyDescent="0.25">
      <c r="A4851">
        <f ca="1">33334.460030256*(RANDBETWEEN(2890,3282))</f>
        <v>104703538.95503397</v>
      </c>
      <c r="B4851">
        <v>230537469.13171649</v>
      </c>
    </row>
    <row r="4852" spans="1:2" x14ac:dyDescent="0.25">
      <c r="A4852">
        <f ca="1">27209.4718328528*(RANDBETWEEN(2890,3282))</f>
        <v>84975180.533999279</v>
      </c>
      <c r="B4852">
        <v>211528066.4919551</v>
      </c>
    </row>
    <row r="4853" spans="1:2" x14ac:dyDescent="0.25">
      <c r="A4853">
        <f ca="1">31048.1877407604*(RANDBETWEEN(2890,3282))</f>
        <v>96839297.563431785</v>
      </c>
      <c r="B4853">
        <v>232347328.90465277</v>
      </c>
    </row>
    <row r="4854" spans="1:2" x14ac:dyDescent="0.25">
      <c r="A4854">
        <f ca="1">28733.0918661145*(RANDBETWEEN(2890,3282))</f>
        <v>85768279.220351785</v>
      </c>
      <c r="B4854">
        <v>261562074.32283276</v>
      </c>
    </row>
    <row r="4855" spans="1:2" x14ac:dyDescent="0.25">
      <c r="A4855">
        <f ca="1">30886.3593203877*(RANDBETWEEN(2890,3282))</f>
        <v>93832759.615337789</v>
      </c>
      <c r="B4855">
        <v>203693244.94964534</v>
      </c>
    </row>
    <row r="4856" spans="1:2" x14ac:dyDescent="0.25">
      <c r="A4856">
        <f ca="1">33479.9917809047*(RANDBETWEEN(2890,3282))</f>
        <v>103620574.56190006</v>
      </c>
      <c r="B4856">
        <v>207275283.24315429</v>
      </c>
    </row>
    <row r="4857" spans="1:2" x14ac:dyDescent="0.25">
      <c r="A4857">
        <f ca="1">31785.4216843383*(RANDBETWEEN(2890,3282))</f>
        <v>93131285.535111085</v>
      </c>
      <c r="B4857">
        <v>238582036.85497093</v>
      </c>
    </row>
    <row r="4858" spans="1:2" x14ac:dyDescent="0.25">
      <c r="A4858">
        <f ca="1">30967.8259164901*(RANDBETWEEN(2890,3282))</f>
        <v>100211884.66576208</v>
      </c>
      <c r="B4858">
        <v>204907230.39595452</v>
      </c>
    </row>
    <row r="4859" spans="1:2" x14ac:dyDescent="0.25">
      <c r="A4859">
        <f ca="1">30722.34085083*(RANDBETWEEN(2890,3282))</f>
        <v>96038037.49969466</v>
      </c>
      <c r="B4859">
        <v>239799832.30885193</v>
      </c>
    </row>
    <row r="4860" spans="1:2" x14ac:dyDescent="0.25">
      <c r="A4860">
        <f ca="1">26593.1709053907*(RANDBETWEEN(2890,3282))</f>
        <v>79167869.785348147</v>
      </c>
      <c r="B4860">
        <v>239140970.8577866</v>
      </c>
    </row>
    <row r="4861" spans="1:2" x14ac:dyDescent="0.25">
      <c r="A4861">
        <f ca="1">27831.198104769*(RANDBETWEEN(2890,3282))</f>
        <v>86610688.502041265</v>
      </c>
      <c r="B4861">
        <v>250213210.84429556</v>
      </c>
    </row>
    <row r="4862" spans="1:2" x14ac:dyDescent="0.25">
      <c r="A4862">
        <f ca="1">29277.7674995025*(RANDBETWEEN(2890,3282))</f>
        <v>90731801.480958372</v>
      </c>
      <c r="B4862">
        <v>249339060.2747499</v>
      </c>
    </row>
    <row r="4863" spans="1:2" x14ac:dyDescent="0.25">
      <c r="A4863">
        <f ca="1">28223.8210905586*(RANDBETWEEN(2890,3282))</f>
        <v>84699687.092766508</v>
      </c>
      <c r="B4863">
        <v>236442991.49053138</v>
      </c>
    </row>
    <row r="4864" spans="1:2" x14ac:dyDescent="0.25">
      <c r="A4864">
        <f ca="1">30186.6925894382*(RANDBETWEEN(2890,3282))</f>
        <v>93035386.560648471</v>
      </c>
      <c r="B4864">
        <v>218418852.71412331</v>
      </c>
    </row>
    <row r="4865" spans="1:2" x14ac:dyDescent="0.25">
      <c r="A4865">
        <f ca="1">30426.3691903945*(RANDBETWEEN(2890,3282))</f>
        <v>90913991.14089869</v>
      </c>
      <c r="B4865">
        <v>254922980.77291384</v>
      </c>
    </row>
    <row r="4866" spans="1:2" x14ac:dyDescent="0.25">
      <c r="A4866">
        <f ca="1">29973.4556143302*(RANDBETWEEN(2890,3282))</f>
        <v>92528057.481437251</v>
      </c>
      <c r="B4866">
        <v>222538920.05065817</v>
      </c>
    </row>
    <row r="4867" spans="1:2" x14ac:dyDescent="0.25">
      <c r="A4867">
        <f ca="1">29457.7935644053*(RANDBETWEEN(2890,3282))</f>
        <v>86723744.25360924</v>
      </c>
      <c r="B4867">
        <v>258582185.17400551</v>
      </c>
    </row>
    <row r="4868" spans="1:2" x14ac:dyDescent="0.25">
      <c r="A4868">
        <f ca="1">29232.4702934625*(RANDBETWEEN(2890,3282))</f>
        <v>87112761.474518135</v>
      </c>
      <c r="B4868">
        <v>251940730.46886033</v>
      </c>
    </row>
    <row r="4869" spans="1:2" x14ac:dyDescent="0.25">
      <c r="A4869">
        <f ca="1">31337.3352700453*(RANDBETWEEN(2890,3282))</f>
        <v>96268293.949579209</v>
      </c>
      <c r="B4869">
        <v>241001652.45531905</v>
      </c>
    </row>
    <row r="4870" spans="1:2" x14ac:dyDescent="0.25">
      <c r="A4870">
        <f ca="1">27928.3850217256*(RANDBETWEEN(2890,3282))</f>
        <v>86717635.492457867</v>
      </c>
      <c r="B4870">
        <v>223652325.88019428</v>
      </c>
    </row>
    <row r="4871" spans="1:2" x14ac:dyDescent="0.25">
      <c r="A4871">
        <f ca="1">32109.1667786143*(RANDBETWEEN(2890,3282))</f>
        <v>103584172.02780975</v>
      </c>
      <c r="B4871">
        <v>230864704.05250371</v>
      </c>
    </row>
    <row r="4872" spans="1:2" x14ac:dyDescent="0.25">
      <c r="A4872">
        <f ca="1">30417.5011941655*(RANDBETWEEN(2890,3282))</f>
        <v>99738986.415668711</v>
      </c>
      <c r="B4872">
        <v>224833694.97264636</v>
      </c>
    </row>
    <row r="4873" spans="1:2" x14ac:dyDescent="0.25">
      <c r="A4873">
        <f ca="1">32227.5189929048*(RANDBETWEEN(2890,3282))</f>
        <v>95812413.965906084</v>
      </c>
      <c r="B4873">
        <v>225414332.56809354</v>
      </c>
    </row>
    <row r="4874" spans="1:2" x14ac:dyDescent="0.25">
      <c r="A4874">
        <f ca="1">30162.2890880542*(RANDBETWEEN(2890,3282))</f>
        <v>92869688.102118909</v>
      </c>
      <c r="B4874">
        <v>235745032.46594277</v>
      </c>
    </row>
    <row r="4875" spans="1:2" x14ac:dyDescent="0.25">
      <c r="A4875">
        <f ca="1">29701.5544426948*(RANDBETWEEN(2890,3282))</f>
        <v>86966151.408210412</v>
      </c>
      <c r="B4875">
        <v>245211877.08737749</v>
      </c>
    </row>
    <row r="4876" spans="1:2" x14ac:dyDescent="0.25">
      <c r="A4876">
        <f ca="1">27010.290732364*(RANDBETWEEN(2890,3282))</f>
        <v>78140771.088729173</v>
      </c>
      <c r="B4876">
        <v>220716919.62314641</v>
      </c>
    </row>
    <row r="4877" spans="1:2" x14ac:dyDescent="0.25">
      <c r="A4877">
        <f ca="1">26006.6716317537*(RANDBETWEEN(2890,3282))</f>
        <v>81712962.266970262</v>
      </c>
      <c r="B4877">
        <v>246447126.16515762</v>
      </c>
    </row>
    <row r="4878" spans="1:2" x14ac:dyDescent="0.25">
      <c r="A4878">
        <f ca="1">30038.4037771136*(RANDBETWEEN(2890,3282))</f>
        <v>89394289.640689984</v>
      </c>
      <c r="B4878">
        <v>229155963.10729694</v>
      </c>
    </row>
    <row r="4879" spans="1:2" x14ac:dyDescent="0.25">
      <c r="A4879">
        <f ca="1">30696.1991745867*(RANDBETWEEN(2890,3282))</f>
        <v>91351888.743570045</v>
      </c>
      <c r="B4879">
        <v>228779091.21194369</v>
      </c>
    </row>
    <row r="4880" spans="1:2" x14ac:dyDescent="0.25">
      <c r="A4880">
        <f ca="1">34475.878533257*(RANDBETWEEN(2890,3282))</f>
        <v>107909499.80909447</v>
      </c>
      <c r="B4880">
        <v>249559956.20663005</v>
      </c>
    </row>
    <row r="4881" spans="1:2" x14ac:dyDescent="0.25">
      <c r="A4881">
        <f ca="1">31550.3426046434*(RANDBETWEEN(2890,3282))</f>
        <v>99131176.463789687</v>
      </c>
      <c r="B4881">
        <v>208498574.68658841</v>
      </c>
    </row>
    <row r="4882" spans="1:2" x14ac:dyDescent="0.25">
      <c r="A4882">
        <f ca="1">30509.1353390906*(RANDBETWEEN(2890,3282))</f>
        <v>93357954.137617305</v>
      </c>
      <c r="B4882">
        <v>241565974.14080462</v>
      </c>
    </row>
    <row r="4883" spans="1:2" x14ac:dyDescent="0.25">
      <c r="A4883">
        <f ca="1">28264.1134941175*(RANDBETWEEN(2890,3282))</f>
        <v>84707548.141870275</v>
      </c>
      <c r="B4883">
        <v>243261549.91454759</v>
      </c>
    </row>
    <row r="4884" spans="1:2" x14ac:dyDescent="0.25">
      <c r="A4884">
        <f ca="1">28733.2722435129*(RANDBETWEEN(2890,3282))</f>
        <v>90596007.383796319</v>
      </c>
      <c r="B4884">
        <v>230177046.10059872</v>
      </c>
    </row>
    <row r="4885" spans="1:2" x14ac:dyDescent="0.25">
      <c r="A4885">
        <f ca="1">27365.438635662*(RANDBETWEEN(2890,3282))</f>
        <v>83792973.10239704</v>
      </c>
      <c r="B4885">
        <v>211897760.15844643</v>
      </c>
    </row>
    <row r="4886" spans="1:2" x14ac:dyDescent="0.25">
      <c r="A4886">
        <f ca="1">33002.6366645252*(RANDBETWEEN(2890,3282))</f>
        <v>100030991.73017579</v>
      </c>
      <c r="B4886">
        <v>264346504.75948352</v>
      </c>
    </row>
    <row r="4887" spans="1:2" x14ac:dyDescent="0.25">
      <c r="A4887">
        <f ca="1">30452.256642884*(RANDBETWEEN(2890,3282))</f>
        <v>97934457.363514975</v>
      </c>
      <c r="B4887">
        <v>246620536.33766937</v>
      </c>
    </row>
    <row r="4888" spans="1:2" x14ac:dyDescent="0.25">
      <c r="A4888">
        <f ca="1">27760.3820158134*(RANDBETWEEN(2890,3282))</f>
        <v>89943637.731235325</v>
      </c>
      <c r="B4888">
        <v>213821133.5292711</v>
      </c>
    </row>
    <row r="4889" spans="1:2" x14ac:dyDescent="0.25">
      <c r="A4889">
        <f ca="1">33133.1535209654*(RANDBETWEEN(2890,3282))</f>
        <v>96914474.048823655</v>
      </c>
      <c r="B4889">
        <v>239114995.46082354</v>
      </c>
    </row>
    <row r="4890" spans="1:2" x14ac:dyDescent="0.25">
      <c r="A4890">
        <f ca="1">26438.3582265843*(RANDBETWEEN(2890,3282))</f>
        <v>83968225.727631822</v>
      </c>
      <c r="B4890">
        <v>254314597.5113554</v>
      </c>
    </row>
    <row r="4891" spans="1:2" x14ac:dyDescent="0.25">
      <c r="A4891">
        <f ca="1">33588.8472656056*(RANDBETWEEN(2890,3282))</f>
        <v>105099503.09407994</v>
      </c>
      <c r="B4891">
        <v>264204284.12685829</v>
      </c>
    </row>
    <row r="4892" spans="1:2" x14ac:dyDescent="0.25">
      <c r="A4892">
        <f ca="1">29347.2955608565*(RANDBETWEEN(2890,3282))</f>
        <v>85606061.1510185</v>
      </c>
      <c r="B4892">
        <v>220432667.27799976</v>
      </c>
    </row>
    <row r="4893" spans="1:2" x14ac:dyDescent="0.25">
      <c r="A4893">
        <f ca="1">28288.961779184*(RANDBETWEEN(2890,3282))</f>
        <v>90581255.616947278</v>
      </c>
      <c r="B4893">
        <v>213093767.90787798</v>
      </c>
    </row>
    <row r="4894" spans="1:2" x14ac:dyDescent="0.25">
      <c r="A4894">
        <f ca="1">28386.6149738338*(RANDBETWEEN(2890,3282))</f>
        <v>91802312.825378582</v>
      </c>
      <c r="B4894">
        <v>234323615.25305629</v>
      </c>
    </row>
    <row r="4895" spans="1:2" x14ac:dyDescent="0.25">
      <c r="A4895">
        <f ca="1">27338.3455684479*(RANDBETWEEN(2890,3282))</f>
        <v>87537382.510170266</v>
      </c>
      <c r="B4895">
        <v>242371240.86508808</v>
      </c>
    </row>
    <row r="4896" spans="1:2" x14ac:dyDescent="0.25">
      <c r="A4896">
        <f ca="1">30493.2011425313*(RANDBETWEEN(2890,3282))</f>
        <v>95413226.374980301</v>
      </c>
      <c r="B4896">
        <v>218314093.81963697</v>
      </c>
    </row>
    <row r="4897" spans="1:2" x14ac:dyDescent="0.25">
      <c r="A4897">
        <f ca="1">27108.4688740963*(RANDBETWEEN(2890,3282))</f>
        <v>84524205.949432343</v>
      </c>
      <c r="B4897">
        <v>247897571.06829286</v>
      </c>
    </row>
    <row r="4898" spans="1:2" x14ac:dyDescent="0.25">
      <c r="A4898">
        <f ca="1">29102.6530592772*(RANDBETWEEN(2890,3282))</f>
        <v>88937707.749151096</v>
      </c>
      <c r="B4898">
        <v>253248601.43451169</v>
      </c>
    </row>
    <row r="4899" spans="1:2" x14ac:dyDescent="0.25">
      <c r="A4899">
        <f ca="1">26826.3302628963*(RANDBETWEEN(2890,3282))</f>
        <v>84100545.374179825</v>
      </c>
      <c r="B4899">
        <v>242015773.05318278</v>
      </c>
    </row>
    <row r="4900" spans="1:2" x14ac:dyDescent="0.25">
      <c r="A4900">
        <f ca="1">26258.4067847022*(RANDBETWEEN(2890,3282))</f>
        <v>84998462.762080938</v>
      </c>
      <c r="B4900">
        <v>209901441.54082394</v>
      </c>
    </row>
    <row r="4901" spans="1:2" x14ac:dyDescent="0.25">
      <c r="A4901">
        <f ca="1">29321.5026329117*(RANDBETWEEN(2890,3282))</f>
        <v>86996898.311849058</v>
      </c>
      <c r="B4901">
        <v>243186154.25383818</v>
      </c>
    </row>
    <row r="4902" spans="1:2" x14ac:dyDescent="0.25">
      <c r="A4902">
        <f ca="1">31574.3540795873*(RANDBETWEEN(2890,3282))</f>
        <v>93460088.075578377</v>
      </c>
      <c r="B4902">
        <v>262821667.13198698</v>
      </c>
    </row>
    <row r="4903" spans="1:2" x14ac:dyDescent="0.25">
      <c r="A4903">
        <f ca="1">26890.6714029359*(RANDBETWEEN(2890,3282))</f>
        <v>81720750.393522143</v>
      </c>
      <c r="B4903">
        <v>205352243.33006966</v>
      </c>
    </row>
    <row r="4904" spans="1:2" x14ac:dyDescent="0.25">
      <c r="A4904">
        <f ca="1">32480.5885298536*(RANDBETWEEN(2890,3282))</f>
        <v>94713396.153053239</v>
      </c>
      <c r="B4904">
        <v>266809338.83455133</v>
      </c>
    </row>
    <row r="4905" spans="1:2" x14ac:dyDescent="0.25">
      <c r="A4905">
        <f ca="1">27185.4641204237*(RANDBETWEEN(2890,3282))</f>
        <v>81746690.610114068</v>
      </c>
      <c r="B4905">
        <v>262121914.44766766</v>
      </c>
    </row>
    <row r="4906" spans="1:2" x14ac:dyDescent="0.25">
      <c r="A4906">
        <f ca="1">30719.4711732458*(RANDBETWEEN(2890,3282))</f>
        <v>98210149.34086667</v>
      </c>
      <c r="B4906">
        <v>215491869.25067478</v>
      </c>
    </row>
    <row r="4907" spans="1:2" x14ac:dyDescent="0.25">
      <c r="A4907">
        <f ca="1">30096.3416305422*(RANDBETWEEN(2890,3282))</f>
        <v>91914227.339676023</v>
      </c>
      <c r="B4907">
        <v>212273609.6359033</v>
      </c>
    </row>
    <row r="4908" spans="1:2" x14ac:dyDescent="0.25">
      <c r="A4908">
        <f ca="1">28056.2486045622*(RANDBETWEEN(2890,3282))</f>
        <v>86188795.713215023</v>
      </c>
      <c r="B4908">
        <v>245806291.6990231</v>
      </c>
    </row>
    <row r="4909" spans="1:2" x14ac:dyDescent="0.25">
      <c r="A4909">
        <f ca="1">29792.7862900725*(RANDBETWEEN(2890,3282))</f>
        <v>91880952.918583602</v>
      </c>
      <c r="B4909">
        <v>219260549.68652898</v>
      </c>
    </row>
    <row r="4910" spans="1:2" x14ac:dyDescent="0.25">
      <c r="A4910">
        <f ca="1">27748.9189628056*(RANDBETWEEN(2890,3282))</f>
        <v>89296021.222308353</v>
      </c>
      <c r="B4910">
        <v>239693953.53739262</v>
      </c>
    </row>
    <row r="4911" spans="1:2" x14ac:dyDescent="0.25">
      <c r="A4911">
        <f ca="1">30327.3305417585*(RANDBETWEEN(2890,3282))</f>
        <v>89435297.767645732</v>
      </c>
      <c r="B4911">
        <v>252158372.72845823</v>
      </c>
    </row>
    <row r="4912" spans="1:2" x14ac:dyDescent="0.25">
      <c r="A4912">
        <f ca="1">30927.9194840742*(RANDBETWEEN(2890,3282))</f>
        <v>99711612.416655138</v>
      </c>
      <c r="B4912">
        <v>225123551.74172091</v>
      </c>
    </row>
    <row r="4913" spans="1:2" x14ac:dyDescent="0.25">
      <c r="A4913">
        <f ca="1">30857.3395189757*(RANDBETWEEN(2890,3282))</f>
        <v>89733143.321181238</v>
      </c>
      <c r="B4913">
        <v>205160433.35735744</v>
      </c>
    </row>
    <row r="4914" spans="1:2" x14ac:dyDescent="0.25">
      <c r="A4914">
        <f ca="1">31595.6194737378*(RANDBETWEEN(2890,3282))</f>
        <v>103380866.91807018</v>
      </c>
      <c r="B4914">
        <v>259930110.03089055</v>
      </c>
    </row>
    <row r="4915" spans="1:2" x14ac:dyDescent="0.25">
      <c r="A4915">
        <f ca="1">31700.2525533972*(RANDBETWEEN(2890,3282))</f>
        <v>101409107.91831765</v>
      </c>
      <c r="B4915">
        <v>261569434.46663082</v>
      </c>
    </row>
    <row r="4916" spans="1:2" x14ac:dyDescent="0.25">
      <c r="A4916">
        <f ca="1">31799.7934509644*(RANDBETWEEN(2890,3282))</f>
        <v>96480573.330226064</v>
      </c>
      <c r="B4916">
        <v>227973152.36246955</v>
      </c>
    </row>
    <row r="4917" spans="1:2" x14ac:dyDescent="0.25">
      <c r="A4917">
        <f ca="1">34432.5919827276*(RANDBETWEEN(2890,3282))</f>
        <v>111079541.73627913</v>
      </c>
      <c r="B4917">
        <v>259081781.43850705</v>
      </c>
    </row>
    <row r="4918" spans="1:2" x14ac:dyDescent="0.25">
      <c r="A4918">
        <f ca="1">33329.3083285994*(RANDBETWEEN(2890,3282))</f>
        <v>103920783.36857294</v>
      </c>
      <c r="B4918">
        <v>251677779.62511748</v>
      </c>
    </row>
    <row r="4919" spans="1:2" x14ac:dyDescent="0.25">
      <c r="A4919">
        <f ca="1">30059.1234203114*(RANDBETWEEN(2890,3282))</f>
        <v>96610022.672880724</v>
      </c>
      <c r="B4919">
        <v>228349196.02522409</v>
      </c>
    </row>
    <row r="4920" spans="1:2" x14ac:dyDescent="0.25">
      <c r="A4920">
        <f ca="1">30729.9208443814*(RANDBETWEEN(2890,3282))</f>
        <v>98120637.256109893</v>
      </c>
      <c r="B4920">
        <v>255507363.91677839</v>
      </c>
    </row>
    <row r="4921" spans="1:2" x14ac:dyDescent="0.25">
      <c r="A4921">
        <f ca="1">25585.4431069371*(RANDBETWEEN(2890,3282))</f>
        <v>81719905.283557147</v>
      </c>
      <c r="B4921">
        <v>234616004.12783289</v>
      </c>
    </row>
    <row r="4922" spans="1:2" x14ac:dyDescent="0.25">
      <c r="A4922">
        <f ca="1">30499.9425156067*(RANDBETWEEN(2890,3282))</f>
        <v>89395331.513243333</v>
      </c>
      <c r="B4922">
        <v>265558625.93743259</v>
      </c>
    </row>
    <row r="4923" spans="1:2" x14ac:dyDescent="0.25">
      <c r="A4923">
        <f ca="1">27570.6086675749*(RANDBETWEEN(2890,3282))</f>
        <v>84283350.696776494</v>
      </c>
      <c r="B4923">
        <v>260117905.5840638</v>
      </c>
    </row>
    <row r="4924" spans="1:2" x14ac:dyDescent="0.25">
      <c r="A4924">
        <f ca="1">27317.1308117427*(RANDBETWEEN(2890,3282))</f>
        <v>86513353.280789122</v>
      </c>
      <c r="B4924">
        <v>266465069.13806891</v>
      </c>
    </row>
    <row r="4925" spans="1:2" x14ac:dyDescent="0.25">
      <c r="A4925">
        <f ca="1">33772.876693516*(RANDBETWEEN(2890,3282))</f>
        <v>110639944.04795846</v>
      </c>
      <c r="B4925">
        <v>211900576.74175102</v>
      </c>
    </row>
    <row r="4926" spans="1:2" x14ac:dyDescent="0.25">
      <c r="A4926">
        <f ca="1">28700.7614709247*(RANDBETWEEN(2890,3282))</f>
        <v>86417992.788954198</v>
      </c>
      <c r="B4926">
        <v>253226770.7529369</v>
      </c>
    </row>
    <row r="4927" spans="1:2" x14ac:dyDescent="0.25">
      <c r="A4927">
        <f ca="1">27361.0425074699*(RANDBETWEEN(2890,3282))</f>
        <v>80496187.056976557</v>
      </c>
      <c r="B4927">
        <v>248486248.91815367</v>
      </c>
    </row>
    <row r="4928" spans="1:2" x14ac:dyDescent="0.25">
      <c r="A4928">
        <f ca="1">26201.1705140996*(RANDBETWEEN(2890,3282))</f>
        <v>82900503.506611228</v>
      </c>
      <c r="B4928">
        <v>241804651.68976337</v>
      </c>
    </row>
    <row r="4929" spans="1:2" x14ac:dyDescent="0.25">
      <c r="A4929">
        <f ca="1">27349.2409510451*(RANDBETWEEN(2890,3282))</f>
        <v>88037206.621414229</v>
      </c>
      <c r="B4929">
        <v>247162345.02286696</v>
      </c>
    </row>
    <row r="4930" spans="1:2" x14ac:dyDescent="0.25">
      <c r="A4930">
        <f ca="1">31639.1415067978*(RANDBETWEEN(2890,3282))</f>
        <v>96942329.576828405</v>
      </c>
      <c r="B4930">
        <v>230606541.96719098</v>
      </c>
    </row>
    <row r="4931" spans="1:2" x14ac:dyDescent="0.25">
      <c r="A4931">
        <f ca="1">29163.4995009013*(RANDBETWEEN(2890,3282))</f>
        <v>94256430.386913151</v>
      </c>
      <c r="B4931">
        <v>206001409.92888445</v>
      </c>
    </row>
    <row r="4932" spans="1:2" x14ac:dyDescent="0.25">
      <c r="A4932">
        <f ca="1">27639.7844229086*(RANDBETWEEN(2890,3282))</f>
        <v>80348853.317395285</v>
      </c>
      <c r="B4932">
        <v>235908207.84475133</v>
      </c>
    </row>
    <row r="4933" spans="1:2" x14ac:dyDescent="0.25">
      <c r="A4933">
        <f ca="1">26742.4225652843*(RANDBETWEEN(2890,3282))</f>
        <v>81617873.669247627</v>
      </c>
      <c r="B4933">
        <v>246638502.89773756</v>
      </c>
    </row>
    <row r="4934" spans="1:2" x14ac:dyDescent="0.25">
      <c r="A4934">
        <f ca="1">31642.8042690293*(RANDBETWEEN(2890,3282))</f>
        <v>97491479.952879176</v>
      </c>
      <c r="B4934">
        <v>236076065.32853043</v>
      </c>
    </row>
    <row r="4935" spans="1:2" x14ac:dyDescent="0.25">
      <c r="A4935">
        <f ca="1">26543.7764440796*(RANDBETWEEN(2890,3282))</f>
        <v>84011052.445512012</v>
      </c>
      <c r="B4935">
        <v>205711615.24767932</v>
      </c>
    </row>
    <row r="4936" spans="1:2" x14ac:dyDescent="0.25">
      <c r="A4936">
        <f ca="1">32888.3916332084*(RANDBETWEEN(2890,3282))</f>
        <v>96330099.093667462</v>
      </c>
      <c r="B4936">
        <v>254214024.0984059</v>
      </c>
    </row>
    <row r="4937" spans="1:2" x14ac:dyDescent="0.25">
      <c r="A4937">
        <f ca="1">26010.2686688363*(RANDBETWEEN(2890,3282))</f>
        <v>78551011.379885763</v>
      </c>
      <c r="B4937">
        <v>204801228.01432234</v>
      </c>
    </row>
    <row r="4938" spans="1:2" x14ac:dyDescent="0.25">
      <c r="A4938">
        <f ca="1">29656.7073164942*(RANDBETWEEN(2890,3282))</f>
        <v>94249015.851818547</v>
      </c>
      <c r="B4938">
        <v>222448855.03332156</v>
      </c>
    </row>
    <row r="4939" spans="1:2" x14ac:dyDescent="0.25">
      <c r="A4939">
        <f ca="1">32005.4622515431*(RANDBETWEEN(2890,3282))</f>
        <v>98800861.970513433</v>
      </c>
      <c r="B4939">
        <v>225966199.71391484</v>
      </c>
    </row>
    <row r="4940" spans="1:2" x14ac:dyDescent="0.25">
      <c r="A4940">
        <f ca="1">33555.1078446124*(RANDBETWEEN(2890,3282))</f>
        <v>97947359.798423558</v>
      </c>
      <c r="B4940">
        <v>257644102.23662764</v>
      </c>
    </row>
    <row r="4941" spans="1:2" x14ac:dyDescent="0.25">
      <c r="A4941">
        <f ca="1">29162.7871601984*(RANDBETWEEN(2890,3282))</f>
        <v>88917338.051444933</v>
      </c>
      <c r="B4941">
        <v>232724300.54078907</v>
      </c>
    </row>
    <row r="4942" spans="1:2" x14ac:dyDescent="0.25">
      <c r="A4942">
        <f ca="1">26954.4711434996*(RANDBETWEEN(2890,3282))</f>
        <v>80378232.949915722</v>
      </c>
      <c r="B4942">
        <v>224981964.03178403</v>
      </c>
    </row>
    <row r="4943" spans="1:2" x14ac:dyDescent="0.25">
      <c r="A4943">
        <f ca="1">25589.0267862281*(RANDBETWEEN(2890,3282))</f>
        <v>76357655.930104524</v>
      </c>
      <c r="B4943">
        <v>219884761.67958033</v>
      </c>
    </row>
    <row r="4944" spans="1:2" x14ac:dyDescent="0.25">
      <c r="A4944">
        <f ca="1">28467.3987486911*(RANDBETWEEN(2890,3282))</f>
        <v>88647479.7034242</v>
      </c>
      <c r="B4944">
        <v>222054097.84825227</v>
      </c>
    </row>
    <row r="4945" spans="1:2" x14ac:dyDescent="0.25">
      <c r="A4945">
        <f ca="1">31973.4429791757*(RANDBETWEEN(2890,3282))</f>
        <v>94577444.332401842</v>
      </c>
      <c r="B4945">
        <v>225018369.22850704</v>
      </c>
    </row>
    <row r="4946" spans="1:2" x14ac:dyDescent="0.25">
      <c r="A4946">
        <f ca="1">27353.03785284*(RANDBETWEEN(2890,3282))</f>
        <v>83207941.148339301</v>
      </c>
      <c r="B4946">
        <v>217727545.91711807</v>
      </c>
    </row>
    <row r="4947" spans="1:2" x14ac:dyDescent="0.25">
      <c r="A4947">
        <f ca="1">28815.3125738364*(RANDBETWEEN(2890,3282))</f>
        <v>90191928.356107861</v>
      </c>
      <c r="B4947">
        <v>240743286.0643293</v>
      </c>
    </row>
    <row r="4948" spans="1:2" x14ac:dyDescent="0.25">
      <c r="A4948">
        <f ca="1">27999.9801923642*(RANDBETWEEN(2890,3282))</f>
        <v>83607940.854399472</v>
      </c>
      <c r="B4948">
        <v>206498051.62604079</v>
      </c>
    </row>
    <row r="4949" spans="1:2" x14ac:dyDescent="0.25">
      <c r="A4949">
        <f ca="1">30574.4807645699*(RANDBETWEEN(2890,3282))</f>
        <v>89705526.563248217</v>
      </c>
      <c r="B4949">
        <v>219437212.59407085</v>
      </c>
    </row>
    <row r="4950" spans="1:2" x14ac:dyDescent="0.25">
      <c r="A4950">
        <f ca="1">28337.8130526186*(RANDBETWEEN(2890,3282))</f>
        <v>90454299.263958633</v>
      </c>
      <c r="B4950">
        <v>249453131.82143152</v>
      </c>
    </row>
    <row r="4951" spans="1:2" x14ac:dyDescent="0.25">
      <c r="A4951">
        <f ca="1">27648.6777337037*(RANDBETWEEN(2890,3282))</f>
        <v>82558951.712839305</v>
      </c>
      <c r="B4951">
        <v>265933664.77640781</v>
      </c>
    </row>
    <row r="4952" spans="1:2" x14ac:dyDescent="0.25">
      <c r="A4952">
        <f ca="1">28393.5225971826*(RANDBETWEEN(2890,3282))</f>
        <v>86202734.605046347</v>
      </c>
      <c r="B4952">
        <v>232265716.18102115</v>
      </c>
    </row>
    <row r="4953" spans="1:2" x14ac:dyDescent="0.25">
      <c r="A4953">
        <f ca="1">30236.541452693*(RANDBETWEEN(2890,3282))</f>
        <v>87897626.002978578</v>
      </c>
      <c r="B4953">
        <v>206705001.8971442</v>
      </c>
    </row>
    <row r="4954" spans="1:2" x14ac:dyDescent="0.25">
      <c r="A4954">
        <f ca="1">28490.5314566867*(RANDBETWEEN(2890,3282))</f>
        <v>93420452.646475643</v>
      </c>
      <c r="B4954">
        <v>229906347.92395082</v>
      </c>
    </row>
    <row r="4955" spans="1:2" x14ac:dyDescent="0.25">
      <c r="A4955">
        <f ca="1">33550.9974623058*(RANDBETWEEN(2890,3282))</f>
        <v>97264341.643224478</v>
      </c>
      <c r="B4955">
        <v>256213390.24754387</v>
      </c>
    </row>
    <row r="4956" spans="1:2" x14ac:dyDescent="0.25">
      <c r="A4956">
        <f ca="1">28502.6116353258*(RANDBETWEEN(2890,3282))</f>
        <v>83826180.819493249</v>
      </c>
      <c r="B4956">
        <v>203992146.20394996</v>
      </c>
    </row>
    <row r="4957" spans="1:2" x14ac:dyDescent="0.25">
      <c r="A4957">
        <f ca="1">31367.0742687063*(RANDBETWEEN(2890,3282))</f>
        <v>99245422.986186862</v>
      </c>
      <c r="B4957">
        <v>204017649.93359652</v>
      </c>
    </row>
    <row r="4958" spans="1:2" x14ac:dyDescent="0.25">
      <c r="A4958">
        <f ca="1">29728.3561917775*(RANDBETWEEN(2890,3282))</f>
        <v>91325510.221140608</v>
      </c>
      <c r="B4958">
        <v>227754400.18594721</v>
      </c>
    </row>
    <row r="4959" spans="1:2" x14ac:dyDescent="0.25">
      <c r="A4959">
        <f ca="1">28406.9216553896*(RANDBETWEEN(2890,3282))</f>
        <v>85760496.477621257</v>
      </c>
      <c r="B4959">
        <v>227170509.21940926</v>
      </c>
    </row>
    <row r="4960" spans="1:2" x14ac:dyDescent="0.25">
      <c r="A4960">
        <f ca="1">28903.8549107258*(RANDBETWEEN(2890,3282))</f>
        <v>89573046.368339211</v>
      </c>
      <c r="B4960">
        <v>250266102.59110531</v>
      </c>
    </row>
    <row r="4961" spans="1:2" x14ac:dyDescent="0.25">
      <c r="A4961">
        <f ca="1">27653.3656649891*(RANDBETWEEN(2890,3282))</f>
        <v>81383855.152063012</v>
      </c>
      <c r="B4961">
        <v>233054826.7837162</v>
      </c>
    </row>
    <row r="4962" spans="1:2" x14ac:dyDescent="0.25">
      <c r="A4962">
        <f ca="1">35076.5437162418*(RANDBETWEEN(2890,3282))</f>
        <v>108246213.90832223</v>
      </c>
      <c r="B4962">
        <v>242420399.77237689</v>
      </c>
    </row>
    <row r="4963" spans="1:2" x14ac:dyDescent="0.25">
      <c r="A4963">
        <f ca="1">32099.6061393803*(RANDBETWEEN(2890,3282))</f>
        <v>101787851.06797497</v>
      </c>
      <c r="B4963">
        <v>247613145.48108274</v>
      </c>
    </row>
    <row r="4964" spans="1:2" x14ac:dyDescent="0.25">
      <c r="A4964">
        <f ca="1">27960.6500608589*(RANDBETWEEN(2890,3282))</f>
        <v>81756940.777951419</v>
      </c>
      <c r="B4964">
        <v>260846957.46301693</v>
      </c>
    </row>
    <row r="4965" spans="1:2" x14ac:dyDescent="0.25">
      <c r="A4965">
        <f ca="1">31854.6170823851*(RANDBETWEEN(2890,3282))</f>
        <v>94608212.734683871</v>
      </c>
      <c r="B4965">
        <v>205905269.2576513</v>
      </c>
    </row>
    <row r="4966" spans="1:2" x14ac:dyDescent="0.25">
      <c r="A4966">
        <f ca="1">30370.4554120007*(RANDBETWEEN(2890,3282))</f>
        <v>88256543.427274093</v>
      </c>
      <c r="B4966">
        <v>223694182.79394254</v>
      </c>
    </row>
    <row r="4967" spans="1:2" x14ac:dyDescent="0.25">
      <c r="A4967">
        <f ca="1">29312.3943932627*(RANDBETWEEN(2890,3282))</f>
        <v>85504254.445147187</v>
      </c>
      <c r="B4967">
        <v>245036552.43168452</v>
      </c>
    </row>
    <row r="4968" spans="1:2" x14ac:dyDescent="0.25">
      <c r="A4968">
        <f ca="1">28190.2742891916*(RANDBETWEEN(2890,3282))</f>
        <v>89616881.965340167</v>
      </c>
      <c r="B4968">
        <v>204938522.39922509</v>
      </c>
    </row>
    <row r="4969" spans="1:2" x14ac:dyDescent="0.25">
      <c r="A4969">
        <f ca="1">32805.0234973*(RANDBETWEEN(2890,3282))</f>
        <v>105697785.7083005</v>
      </c>
      <c r="B4969">
        <v>237145057.43919051</v>
      </c>
    </row>
    <row r="4970" spans="1:2" x14ac:dyDescent="0.25">
      <c r="A4970">
        <f ca="1">29697.6669588527*(RANDBETWEEN(2890,3282))</f>
        <v>95359208.604876086</v>
      </c>
      <c r="B4970">
        <v>267409153.53374794</v>
      </c>
    </row>
    <row r="4971" spans="1:2" x14ac:dyDescent="0.25">
      <c r="A4971">
        <f ca="1">31290.4075697548*(RANDBETWEEN(2890,3282))</f>
        <v>92963800.88974148</v>
      </c>
      <c r="B4971">
        <v>220146642.22251087</v>
      </c>
    </row>
    <row r="4972" spans="1:2" x14ac:dyDescent="0.25">
      <c r="A4972">
        <f ca="1">29513.752149837*(RANDBETWEEN(2890,3282))</f>
        <v>91433604.160195142</v>
      </c>
      <c r="B4972">
        <v>265397532.33070022</v>
      </c>
    </row>
    <row r="4973" spans="1:2" x14ac:dyDescent="0.25">
      <c r="A4973">
        <f ca="1">27232.0252168315*(RANDBETWEEN(2890,3282))</f>
        <v>87823281.324281529</v>
      </c>
      <c r="B4973">
        <v>218320993.30422366</v>
      </c>
    </row>
    <row r="4974" spans="1:2" x14ac:dyDescent="0.25">
      <c r="A4974">
        <f ca="1">31578.8067756589*(RANDBETWEEN(2890,3282))</f>
        <v>91452224.422308192</v>
      </c>
      <c r="B4974">
        <v>222821383.14037985</v>
      </c>
    </row>
    <row r="4975" spans="1:2" x14ac:dyDescent="0.25">
      <c r="A4975">
        <f ca="1">33247.8640423391*(RANDBETWEEN(2890,3282))</f>
        <v>104331797.36486004</v>
      </c>
      <c r="B4975">
        <v>216803123.41590753</v>
      </c>
    </row>
    <row r="4976" spans="1:2" x14ac:dyDescent="0.25">
      <c r="A4976">
        <f ca="1">27278.0308786848*(RANDBETWEEN(2890,3282))</f>
        <v>86771416.225096434</v>
      </c>
      <c r="B4976">
        <v>213129738.3225984</v>
      </c>
    </row>
    <row r="4977" spans="1:2" x14ac:dyDescent="0.25">
      <c r="A4977">
        <f ca="1">26057.6719613223*(RANDBETWEEN(2890,3282))</f>
        <v>82733108.477198333</v>
      </c>
      <c r="B4977">
        <v>204197324.87887585</v>
      </c>
    </row>
    <row r="4978" spans="1:2" x14ac:dyDescent="0.25">
      <c r="A4978">
        <f ca="1">28265.706422088*(RANDBETWEEN(2890,3282))</f>
        <v>91015574.679123253</v>
      </c>
      <c r="B4978">
        <v>263984957.08936194</v>
      </c>
    </row>
    <row r="4979" spans="1:2" x14ac:dyDescent="0.25">
      <c r="A4979">
        <f ca="1">27361.4139237254*(RANDBETWEEN(2890,3282))</f>
        <v>88103752.834395826</v>
      </c>
      <c r="B4979">
        <v>230063885.3154183</v>
      </c>
    </row>
    <row r="4980" spans="1:2" x14ac:dyDescent="0.25">
      <c r="A4980">
        <f ca="1">28994.5633018837*(RANDBETWEEN(2890,3282))</f>
        <v>86345809.513009548</v>
      </c>
      <c r="B4980">
        <v>267875898.66551822</v>
      </c>
    </row>
    <row r="4981" spans="1:2" x14ac:dyDescent="0.25">
      <c r="A4981">
        <f ca="1">32634.1576538651*(RANDBETWEEN(2890,3282))</f>
        <v>99012034.321826681</v>
      </c>
      <c r="B4981">
        <v>256863368.86960769</v>
      </c>
    </row>
    <row r="4982" spans="1:2" x14ac:dyDescent="0.25">
      <c r="A4982">
        <f ca="1">31830.9968699123*(RANDBETWEEN(2890,3282))</f>
        <v>96225103.537744939</v>
      </c>
      <c r="B4982">
        <v>235432215.48425692</v>
      </c>
    </row>
    <row r="4983" spans="1:2" x14ac:dyDescent="0.25">
      <c r="A4983">
        <f ca="1">31767.785533246*(RANDBETWEEN(2890,3282))</f>
        <v>103690051.98051481</v>
      </c>
      <c r="B4983">
        <v>261589688.98933199</v>
      </c>
    </row>
    <row r="4984" spans="1:2" x14ac:dyDescent="0.25">
      <c r="A4984">
        <f ca="1">34014.4656969732*(RANDBETWEEN(2890,3282))</f>
        <v>100546760.60025276</v>
      </c>
      <c r="B4984">
        <v>263214276.01637897</v>
      </c>
    </row>
    <row r="4985" spans="1:2" x14ac:dyDescent="0.25">
      <c r="A4985">
        <f ca="1">31280.2380538963*(RANDBETWEEN(2890,3282))</f>
        <v>99502437.249444231</v>
      </c>
      <c r="B4985">
        <v>221009208.16381168</v>
      </c>
    </row>
    <row r="4986" spans="1:2" x14ac:dyDescent="0.25">
      <c r="A4986">
        <f ca="1">31226.4804741104*(RANDBETWEEN(2890,3282))</f>
        <v>100205775.84142023</v>
      </c>
      <c r="B4986">
        <v>246127738.86827585</v>
      </c>
    </row>
    <row r="4987" spans="1:2" x14ac:dyDescent="0.25">
      <c r="A4987">
        <f ca="1">29324.278309707*(RANDBETWEEN(2890,3282))</f>
        <v>90113507.245729625</v>
      </c>
      <c r="B4987">
        <v>223485274.97395957</v>
      </c>
    </row>
    <row r="4988" spans="1:2" x14ac:dyDescent="0.25">
      <c r="A4988">
        <f ca="1">32144.3586230793*(RANDBETWEEN(2890,3282))</f>
        <v>104212010.65602319</v>
      </c>
      <c r="B4988">
        <v>238273815.70564035</v>
      </c>
    </row>
    <row r="4989" spans="1:2" x14ac:dyDescent="0.25">
      <c r="A4989">
        <f ca="1">28450.3448257546*(RANDBETWEEN(2890,3282))</f>
        <v>90045341.373513356</v>
      </c>
      <c r="B4989">
        <v>239953005.35762796</v>
      </c>
    </row>
    <row r="4990" spans="1:2" x14ac:dyDescent="0.25">
      <c r="A4990">
        <f ca="1">27466.3404323282*(RANDBETWEEN(2890,3282))</f>
        <v>82701151.041740328</v>
      </c>
      <c r="B4990">
        <v>263468848.51578826</v>
      </c>
    </row>
    <row r="4991" spans="1:2" x14ac:dyDescent="0.25">
      <c r="A4991">
        <f ca="1">27832.0716345352*(RANDBETWEEN(2890,3282))</f>
        <v>90593393.170412168</v>
      </c>
      <c r="B4991">
        <v>217794205.51148391</v>
      </c>
    </row>
    <row r="4992" spans="1:2" x14ac:dyDescent="0.25">
      <c r="A4992">
        <f ca="1">30993.3993086787*(RANDBETWEEN(2890,3282))</f>
        <v>93290131.9191228</v>
      </c>
      <c r="B4992">
        <v>248191430.25594747</v>
      </c>
    </row>
    <row r="4993" spans="1:2" x14ac:dyDescent="0.25">
      <c r="A4993">
        <f ca="1">31440.7822326751*(RANDBETWEEN(2890,3282))</f>
        <v>99824483.588743553</v>
      </c>
      <c r="B4993">
        <v>255519972.41016752</v>
      </c>
    </row>
    <row r="4994" spans="1:2" x14ac:dyDescent="0.25">
      <c r="A4994">
        <f ca="1">31349.7967688596*(RANDBETWEEN(2890,3282))</f>
        <v>90663612.25554204</v>
      </c>
      <c r="B4994">
        <v>245762834.03338617</v>
      </c>
    </row>
    <row r="4995" spans="1:2" x14ac:dyDescent="0.25">
      <c r="A4995">
        <f ca="1">26586.9810528284*(RANDBETWEEN(2890,3282))</f>
        <v>80718074.476387054</v>
      </c>
      <c r="B4995">
        <v>259424200.61394942</v>
      </c>
    </row>
    <row r="4996" spans="1:2" x14ac:dyDescent="0.25">
      <c r="A4996">
        <f ca="1">28348.6613146607*(RANDBETWEEN(2890,3282))</f>
        <v>84592405.362947419</v>
      </c>
      <c r="B4996">
        <v>217813353.79793984</v>
      </c>
    </row>
    <row r="4997" spans="1:2" x14ac:dyDescent="0.25">
      <c r="A4997">
        <f ca="1">30650.1048219135*(RANDBETWEEN(2890,3282))</f>
        <v>92869817.610397801</v>
      </c>
      <c r="B4997">
        <v>239351871.65660769</v>
      </c>
    </row>
    <row r="4998" spans="1:2" x14ac:dyDescent="0.25">
      <c r="A4998">
        <f ca="1">28724.7993033473*(RANDBETWEEN(2890,3282))</f>
        <v>91172512.988824278</v>
      </c>
      <c r="B4998">
        <v>230458891.4590348</v>
      </c>
    </row>
    <row r="4999" spans="1:2" x14ac:dyDescent="0.25">
      <c r="A4999">
        <f ca="1">30278.1283574798*(RANDBETWEEN(2890,3282))</f>
        <v>98979201.600601569</v>
      </c>
      <c r="B4999">
        <v>251251443.84984818</v>
      </c>
    </row>
    <row r="5000" spans="1:2" x14ac:dyDescent="0.25">
      <c r="A5000">
        <f ca="1">28456.697785461*(RANDBETWEEN(2890,3282))</f>
        <v>90435385.562195197</v>
      </c>
      <c r="B5000">
        <v>223597936.54643202</v>
      </c>
    </row>
    <row r="5001" spans="1:2" x14ac:dyDescent="0.25">
      <c r="A5001">
        <f ca="1">29849.5484435007*(RANDBETWEEN(2890,3282))</f>
        <v>92085856.948199779</v>
      </c>
      <c r="B5001">
        <v>245538927.5805921</v>
      </c>
    </row>
    <row r="5002" spans="1:2" x14ac:dyDescent="0.25">
      <c r="A5002">
        <f ca="1">31057.4507488927*(RANDBETWEEN(2890,3282))</f>
        <v>91743709.512228936</v>
      </c>
      <c r="B5002">
        <v>223942583.84336662</v>
      </c>
    </row>
    <row r="5003" spans="1:2" x14ac:dyDescent="0.25">
      <c r="A5003">
        <f ca="1">29308.7907801735*(RANDBETWEEN(2890,3282))</f>
        <v>92234764.585205957</v>
      </c>
      <c r="B5003">
        <v>233441192.15798217</v>
      </c>
    </row>
    <row r="5004" spans="1:2" x14ac:dyDescent="0.25">
      <c r="A5004">
        <f ca="1">31534.8971995954*(RANDBETWEEN(2890,3282))</f>
        <v>103087578.94547731</v>
      </c>
      <c r="B5004">
        <v>259640659.25011897</v>
      </c>
    </row>
    <row r="5005" spans="1:2" x14ac:dyDescent="0.25">
      <c r="A5005">
        <f ca="1">30690.5315424581*(RANDBETWEEN(2890,3282))</f>
        <v>88849088.815416276</v>
      </c>
      <c r="B5005">
        <v>216337567.411082</v>
      </c>
    </row>
    <row r="5006" spans="1:2" x14ac:dyDescent="0.25">
      <c r="A5006">
        <f ca="1">32023.0161760803*(RANDBETWEEN(2890,3282))</f>
        <v>104395032.73402177</v>
      </c>
      <c r="B5006">
        <v>235863530.86033204</v>
      </c>
    </row>
    <row r="5007" spans="1:2" x14ac:dyDescent="0.25">
      <c r="A5007">
        <f ca="1">26880.5851641522*(RANDBETWEEN(2890,3282))</f>
        <v>85050171.459377706</v>
      </c>
      <c r="B5007">
        <v>227593790.92676803</v>
      </c>
    </row>
    <row r="5008" spans="1:2" x14ac:dyDescent="0.25">
      <c r="A5008">
        <f ca="1">33051.6980454802*(RANDBETWEEN(2890,3282))</f>
        <v>104112848.84326278</v>
      </c>
      <c r="B5008">
        <v>246791504.54738745</v>
      </c>
    </row>
    <row r="5009" spans="1:2" x14ac:dyDescent="0.25">
      <c r="A5009">
        <f ca="1">31614.3161766181*(RANDBETWEEN(2890,3282))</f>
        <v>96803036.132804647</v>
      </c>
      <c r="B5009">
        <v>233845269.13437098</v>
      </c>
    </row>
    <row r="5010" spans="1:2" x14ac:dyDescent="0.25">
      <c r="A5010">
        <f ca="1">30014.1589300605*(RANDBETWEEN(2890,3282))</f>
        <v>98296370.495948061</v>
      </c>
      <c r="B5010">
        <v>244966379.44394675</v>
      </c>
    </row>
    <row r="5011" spans="1:2" x14ac:dyDescent="0.25">
      <c r="A5011">
        <f ca="1">27778.771580426*(RANDBETWEEN(2890,3282))</f>
        <v>90669910.438510537</v>
      </c>
      <c r="B5011">
        <v>243654561.82372442</v>
      </c>
    </row>
    <row r="5012" spans="1:2" x14ac:dyDescent="0.25">
      <c r="A5012">
        <f ca="1">32147.8025391322*(RANDBETWEEN(2890,3282))</f>
        <v>102101420.86428399</v>
      </c>
      <c r="B5012">
        <v>253966629.5569188</v>
      </c>
    </row>
    <row r="5013" spans="1:2" x14ac:dyDescent="0.25">
      <c r="A5013">
        <f ca="1">28830.5009363776*(RANDBETWEEN(2890,3282))</f>
        <v>86030214.794150621</v>
      </c>
      <c r="B5013">
        <v>224599243.25780523</v>
      </c>
    </row>
    <row r="5014" spans="1:2" x14ac:dyDescent="0.25">
      <c r="A5014">
        <f ca="1">26861.3685556008*(RANDBETWEEN(2890,3282))</f>
        <v>80933303.458025128</v>
      </c>
      <c r="B5014">
        <v>218425374.0327</v>
      </c>
    </row>
    <row r="5015" spans="1:2" x14ac:dyDescent="0.25">
      <c r="A5015">
        <f ca="1">31658.2085040726*(RANDBETWEEN(2890,3282))</f>
        <v>91555538.993777871</v>
      </c>
      <c r="B5015">
        <v>260198763.38830143</v>
      </c>
    </row>
    <row r="5016" spans="1:2" x14ac:dyDescent="0.25">
      <c r="A5016">
        <f ca="1">29960.2403135984*(RANDBETWEEN(2890,3282))</f>
        <v>97220979.817626685</v>
      </c>
      <c r="B5016">
        <v>216998258.20237118</v>
      </c>
    </row>
    <row r="5017" spans="1:2" x14ac:dyDescent="0.25">
      <c r="A5017">
        <f ca="1">30335.5384831551*(RANDBETWEEN(2890,3282))</f>
        <v>89125812.063509598</v>
      </c>
      <c r="B5017">
        <v>262535509.81126481</v>
      </c>
    </row>
    <row r="5018" spans="1:2" x14ac:dyDescent="0.25">
      <c r="A5018">
        <f ca="1">33540.5379345762*(RANDBETWEEN(2890,3282))</f>
        <v>103371937.91436398</v>
      </c>
      <c r="B5018">
        <v>257327849.08664519</v>
      </c>
    </row>
    <row r="5019" spans="1:2" x14ac:dyDescent="0.25">
      <c r="A5019">
        <f ca="1">28546.649101004*(RANDBETWEEN(2890,3282))</f>
        <v>86382160.179637969</v>
      </c>
      <c r="B5019">
        <v>229810736.53280407</v>
      </c>
    </row>
    <row r="5020" spans="1:2" x14ac:dyDescent="0.25">
      <c r="A5020">
        <f ca="1">29548.2295419771*(RANDBETWEEN(2890,3282))</f>
        <v>96149938.929593459</v>
      </c>
      <c r="B5020">
        <v>205536322.27837154</v>
      </c>
    </row>
    <row r="5021" spans="1:2" x14ac:dyDescent="0.25">
      <c r="A5021">
        <f ca="1">30705.5416240027*(RANDBETWEEN(2890,3282))</f>
        <v>90980519.831919864</v>
      </c>
      <c r="B5021">
        <v>238684256.80566871</v>
      </c>
    </row>
    <row r="5022" spans="1:2" x14ac:dyDescent="0.25">
      <c r="A5022">
        <f ca="1">28678.8023135194*(RANDBETWEEN(2890,3282))</f>
        <v>93177428.716624409</v>
      </c>
      <c r="B5022">
        <v>206513146.19341159</v>
      </c>
    </row>
    <row r="5023" spans="1:2" x14ac:dyDescent="0.25">
      <c r="A5023">
        <f ca="1">30152.3148096939*(RANDBETWEEN(2890,3282))</f>
        <v>96608016.650259227</v>
      </c>
      <c r="B5023">
        <v>265447658.36197326</v>
      </c>
    </row>
    <row r="5024" spans="1:2" x14ac:dyDescent="0.25">
      <c r="A5024">
        <f ca="1">30113.6736316637*(RANDBETWEEN(2890,3282))</f>
        <v>90642157.631307736</v>
      </c>
      <c r="B5024">
        <v>253337576.00684503</v>
      </c>
    </row>
    <row r="5025" spans="1:2" x14ac:dyDescent="0.25">
      <c r="A5025">
        <f ca="1">27413.119800096*(RANDBETWEEN(2890,3282))</f>
        <v>83198818.593291342</v>
      </c>
      <c r="B5025">
        <v>205705731.08958149</v>
      </c>
    </row>
    <row r="5026" spans="1:2" x14ac:dyDescent="0.25">
      <c r="A5026">
        <f ca="1">30742.7195086043*(RANDBETWEEN(2890,3282))</f>
        <v>95302430.47667335</v>
      </c>
      <c r="B5026">
        <v>233102497.60389453</v>
      </c>
    </row>
    <row r="5027" spans="1:2" x14ac:dyDescent="0.25">
      <c r="A5027">
        <f ca="1">30730.2119093902*(RANDBETWEEN(2890,3282))</f>
        <v>91176538.735160857</v>
      </c>
      <c r="B5027">
        <v>261749082.86224148</v>
      </c>
    </row>
    <row r="5028" spans="1:2" x14ac:dyDescent="0.25">
      <c r="A5028">
        <f ca="1">32775.6366258103*(RANDBETWEEN(2890,3282))</f>
        <v>103702114.28406391</v>
      </c>
      <c r="B5028">
        <v>211720683.20616874</v>
      </c>
    </row>
    <row r="5029" spans="1:2" x14ac:dyDescent="0.25">
      <c r="A5029">
        <f ca="1">33993.8036000278*(RANDBETWEEN(2890,3282))</f>
        <v>102389336.4432838</v>
      </c>
      <c r="B5029">
        <v>223513822.44499141</v>
      </c>
    </row>
    <row r="5030" spans="1:2" x14ac:dyDescent="0.25">
      <c r="A5030">
        <f ca="1">28848.1103458299*(RANDBETWEEN(2890,3282))</f>
        <v>87092445.134060606</v>
      </c>
      <c r="B5030">
        <v>244908239.58916816</v>
      </c>
    </row>
    <row r="5031" spans="1:2" x14ac:dyDescent="0.25">
      <c r="A5031">
        <f ca="1">29267.6497915534*(RANDBETWEEN(2890,3282))</f>
        <v>90934587.902356565</v>
      </c>
      <c r="B5031">
        <v>257369806.53655431</v>
      </c>
    </row>
    <row r="5032" spans="1:2" x14ac:dyDescent="0.25">
      <c r="A5032">
        <f ca="1">30881.6783329475*(RANDBETWEEN(2890,3282))</f>
        <v>92892088.42550613</v>
      </c>
      <c r="B5032">
        <v>258550304.76514071</v>
      </c>
    </row>
    <row r="5033" spans="1:2" x14ac:dyDescent="0.25">
      <c r="A5033">
        <f ca="1">30854.3011280749*(RANDBETWEEN(2890,3282))</f>
        <v>92377777.577456325</v>
      </c>
      <c r="B5033">
        <v>224000202.45241225</v>
      </c>
    </row>
    <row r="5034" spans="1:2" x14ac:dyDescent="0.25">
      <c r="A5034">
        <f ca="1">33688.4918491835*(RANDBETWEEN(2890,3282))</f>
        <v>106186126.30862631</v>
      </c>
      <c r="B5034">
        <v>235242577.06428564</v>
      </c>
    </row>
    <row r="5035" spans="1:2" x14ac:dyDescent="0.25">
      <c r="A5035">
        <f ca="1">28024.0924488839*(RANDBETWEEN(2890,3282))</f>
        <v>83707964.144816235</v>
      </c>
      <c r="B5035">
        <v>248959566.84972003</v>
      </c>
    </row>
    <row r="5036" spans="1:2" x14ac:dyDescent="0.25">
      <c r="A5036">
        <f ca="1">29245.8906143703*(RANDBETWEEN(2890,3282))</f>
        <v>90896228.029463023</v>
      </c>
      <c r="B5036">
        <v>256043862.73360592</v>
      </c>
    </row>
    <row r="5037" spans="1:2" x14ac:dyDescent="0.25">
      <c r="A5037">
        <f ca="1">30864.61628756*(RANDBETWEEN(2890,3282))</f>
        <v>89353064.152486339</v>
      </c>
      <c r="B5037">
        <v>254263419.98422077</v>
      </c>
    </row>
    <row r="5038" spans="1:2" x14ac:dyDescent="0.25">
      <c r="A5038">
        <f ca="1">29729.8033030887*(RANDBETWEEN(2890,3282))</f>
        <v>89456978.138994053</v>
      </c>
      <c r="B5038">
        <v>209203878.63730365</v>
      </c>
    </row>
    <row r="5039" spans="1:2" x14ac:dyDescent="0.25">
      <c r="A5039">
        <f ca="1">30765.1719761616*(RANDBETWEEN(2890,3282))</f>
        <v>96325753.457361937</v>
      </c>
      <c r="B5039">
        <v>255313077.51733625</v>
      </c>
    </row>
    <row r="5040" spans="1:2" x14ac:dyDescent="0.25">
      <c r="A5040">
        <f ca="1">28111.689115079*(RANDBETWEEN(2890,3282))</f>
        <v>88579932.401613936</v>
      </c>
      <c r="B5040">
        <v>226326122.97282469</v>
      </c>
    </row>
    <row r="5041" spans="1:2" x14ac:dyDescent="0.25">
      <c r="A5041">
        <f ca="1">34427.554289629*(RANDBETWEEN(2890,3282))</f>
        <v>100976016.73148178</v>
      </c>
      <c r="B5041">
        <v>248837822.74296999</v>
      </c>
    </row>
    <row r="5042" spans="1:2" x14ac:dyDescent="0.25">
      <c r="A5042">
        <f ca="1">27795.094354028*(RANDBETWEEN(2890,3282))</f>
        <v>88833121.555473581</v>
      </c>
      <c r="B5042">
        <v>254969535.04796538</v>
      </c>
    </row>
    <row r="5043" spans="1:2" x14ac:dyDescent="0.25">
      <c r="A5043">
        <f ca="1">34381.7956894123*(RANDBETWEEN(2890,3282))</f>
        <v>102079551.40186505</v>
      </c>
      <c r="B5043">
        <v>215249548.47074813</v>
      </c>
    </row>
    <row r="5044" spans="1:2" x14ac:dyDescent="0.25">
      <c r="A5044">
        <f ca="1">31438.3573529263*(RANDBETWEEN(2890,3282))</f>
        <v>94252195.344073132</v>
      </c>
      <c r="B5044">
        <v>219291518.33197516</v>
      </c>
    </row>
    <row r="5045" spans="1:2" x14ac:dyDescent="0.25">
      <c r="A5045">
        <f ca="1">31743.1637981563*(RANDBETWEEN(2890,3282))</f>
        <v>96562704.27399148</v>
      </c>
      <c r="B5045">
        <v>237661055.32950133</v>
      </c>
    </row>
    <row r="5046" spans="1:2" x14ac:dyDescent="0.25">
      <c r="A5046">
        <f ca="1">26495.1087881737*(RANDBETWEEN(2890,3282))</f>
        <v>85764667.147318289</v>
      </c>
      <c r="B5046">
        <v>244119731.47691593</v>
      </c>
    </row>
    <row r="5047" spans="1:2" x14ac:dyDescent="0.25">
      <c r="A5047">
        <f ca="1">27693.3796092048*(RANDBETWEEN(2890,3282))</f>
        <v>87538772.944696411</v>
      </c>
      <c r="B5047">
        <v>246296362.50099936</v>
      </c>
    </row>
    <row r="5048" spans="1:2" x14ac:dyDescent="0.25">
      <c r="A5048">
        <f ca="1">28583.5985400713*(RANDBETWEEN(2890,3282))</f>
        <v>85464959.634813279</v>
      </c>
      <c r="B5048">
        <v>261657587.00769898</v>
      </c>
    </row>
    <row r="5049" spans="1:2" x14ac:dyDescent="0.25">
      <c r="A5049">
        <f ca="1">30364.5661140654*(RANDBETWEEN(2890,3282))</f>
        <v>92095729.023960322</v>
      </c>
      <c r="B5049">
        <v>266635978.18066853</v>
      </c>
    </row>
    <row r="5050" spans="1:2" x14ac:dyDescent="0.25">
      <c r="A5050">
        <f ca="1">30443.8780908938*(RANDBETWEEN(2890,3282))</f>
        <v>88987455.659682557</v>
      </c>
      <c r="B5050">
        <v>243614374.68575025</v>
      </c>
    </row>
    <row r="5051" spans="1:2" x14ac:dyDescent="0.25">
      <c r="A5051">
        <f ca="1">27789.3156163173*(RANDBETWEEN(2890,3282))</f>
        <v>86452560.882363066</v>
      </c>
      <c r="B5051">
        <v>261252250.32089907</v>
      </c>
    </row>
    <row r="5052" spans="1:2" x14ac:dyDescent="0.25">
      <c r="A5052">
        <f ca="1">28667.9093745018*(RANDBETWEEN(2890,3282))</f>
        <v>92826690.554636836</v>
      </c>
      <c r="B5052">
        <v>214264612.49907687</v>
      </c>
    </row>
    <row r="5053" spans="1:2" x14ac:dyDescent="0.25">
      <c r="A5053">
        <f ca="1">27842.5463611575*(RANDBETWEEN(2890,3282))</f>
        <v>82219039.404497951</v>
      </c>
      <c r="B5053">
        <v>213405471.13843927</v>
      </c>
    </row>
    <row r="5054" spans="1:2" x14ac:dyDescent="0.25">
      <c r="A5054">
        <f ca="1">28835.2326679502*(RANDBETWEEN(2890,3282))</f>
        <v>88091635.800587803</v>
      </c>
      <c r="B5054">
        <v>252855661.66293755</v>
      </c>
    </row>
    <row r="5055" spans="1:2" x14ac:dyDescent="0.25">
      <c r="A5055">
        <f ca="1">28441.1524954155*(RANDBETWEEN(2890,3282))</f>
        <v>83275694.506576478</v>
      </c>
      <c r="B5055">
        <v>232991271.96513936</v>
      </c>
    </row>
    <row r="5056" spans="1:2" x14ac:dyDescent="0.25">
      <c r="A5056">
        <f ca="1">26539.7476249741*(RANDBETWEEN(2890,3282))</f>
        <v>82963251.075668976</v>
      </c>
      <c r="B5056">
        <v>232949513.32480913</v>
      </c>
    </row>
    <row r="5057" spans="1:2" x14ac:dyDescent="0.25">
      <c r="A5057">
        <f ca="1">31218.8259274596*(RANDBETWEEN(2890,3282))</f>
        <v>95592044.989881366</v>
      </c>
      <c r="B5057">
        <v>228741114.79795751</v>
      </c>
    </row>
    <row r="5058" spans="1:2" x14ac:dyDescent="0.25">
      <c r="A5058">
        <f ca="1">28578.2013713023*(RANDBETWEEN(2890,3282))</f>
        <v>86591950.155045867</v>
      </c>
      <c r="B5058">
        <v>209322348.5709852</v>
      </c>
    </row>
    <row r="5059" spans="1:2" x14ac:dyDescent="0.25">
      <c r="A5059">
        <f ca="1">29703.4318630363*(RANDBETWEEN(2890,3282))</f>
        <v>88813261.270478413</v>
      </c>
      <c r="B5059">
        <v>227908266.43734303</v>
      </c>
    </row>
    <row r="5060" spans="1:2" x14ac:dyDescent="0.25">
      <c r="A5060">
        <f ca="1">33868.002001211*(RANDBETWEEN(2890,3282))</f>
        <v>104956938.2017529</v>
      </c>
      <c r="B5060">
        <v>248902022.06040299</v>
      </c>
    </row>
    <row r="5061" spans="1:2" x14ac:dyDescent="0.25">
      <c r="A5061">
        <f ca="1">28013.7921743984*(RANDBETWEEN(2890,3282))</f>
        <v>83481100.679707184</v>
      </c>
      <c r="B5061">
        <v>253508343.34002078</v>
      </c>
    </row>
    <row r="5062" spans="1:2" x14ac:dyDescent="0.25">
      <c r="A5062">
        <f ca="1">30259.7146779599*(RANDBETWEEN(2890,3282))</f>
        <v>90960702.32194756</v>
      </c>
      <c r="B5062">
        <v>228106777.89670914</v>
      </c>
    </row>
    <row r="5063" spans="1:2" x14ac:dyDescent="0.25">
      <c r="A5063">
        <f ca="1">28728.4777285627*(RANDBETWEEN(2890,3282))</f>
        <v>89661578.99084416</v>
      </c>
      <c r="B5063">
        <v>229911515.26649046</v>
      </c>
    </row>
    <row r="5064" spans="1:2" x14ac:dyDescent="0.25">
      <c r="A5064">
        <f ca="1">32290.2698407219*(RANDBETWEEN(2890,3282))</f>
        <v>102101833.23636279</v>
      </c>
      <c r="B5064">
        <v>231737637.11452556</v>
      </c>
    </row>
    <row r="5065" spans="1:2" x14ac:dyDescent="0.25">
      <c r="A5065">
        <f ca="1">32169.7633088882*(RANDBETWEEN(2890,3282))</f>
        <v>95930234.187104732</v>
      </c>
      <c r="B5065">
        <v>212456402.6013357</v>
      </c>
    </row>
    <row r="5066" spans="1:2" x14ac:dyDescent="0.25">
      <c r="A5066">
        <f ca="1">27263.0314640123*(RANDBETWEEN(2890,3282))</f>
        <v>84733501.79015024</v>
      </c>
      <c r="B5066">
        <v>233970830.79482746</v>
      </c>
    </row>
    <row r="5067" spans="1:2" x14ac:dyDescent="0.25">
      <c r="A5067">
        <f ca="1">27459.0243497932*(RANDBETWEEN(2890,3282))</f>
        <v>86138959.385301292</v>
      </c>
      <c r="B5067">
        <v>210502259.24268103</v>
      </c>
    </row>
    <row r="5068" spans="1:2" x14ac:dyDescent="0.25">
      <c r="A5068">
        <f ca="1">30944.4611933026*(RANDBETWEEN(2890,3282))</f>
        <v>93235661.575420797</v>
      </c>
      <c r="B5068">
        <v>232692781.91433424</v>
      </c>
    </row>
    <row r="5069" spans="1:2" x14ac:dyDescent="0.25">
      <c r="A5069">
        <f ca="1">29038.5907311669*(RANDBETWEEN(2890,3282))</f>
        <v>94607728.602141678</v>
      </c>
      <c r="B5069">
        <v>218303457.75902897</v>
      </c>
    </row>
    <row r="5070" spans="1:2" x14ac:dyDescent="0.25">
      <c r="A5070">
        <f ca="1">32685.5432176031*(RANDBETWEEN(2890,3282))</f>
        <v>96553094.664799497</v>
      </c>
      <c r="B5070">
        <v>220077824.99907851</v>
      </c>
    </row>
    <row r="5071" spans="1:2" x14ac:dyDescent="0.25">
      <c r="A5071">
        <f ca="1">28078.2277100245*(RANDBETWEEN(2890,3282))</f>
        <v>86424784.891455367</v>
      </c>
      <c r="B5071">
        <v>246917410.15357047</v>
      </c>
    </row>
    <row r="5072" spans="1:2" x14ac:dyDescent="0.25">
      <c r="A5072">
        <f ca="1">29269.5171699778*(RANDBETWEEN(2890,3282))</f>
        <v>90735503.226931185</v>
      </c>
      <c r="B5072">
        <v>226640344.1946522</v>
      </c>
    </row>
    <row r="5073" spans="1:2" x14ac:dyDescent="0.25">
      <c r="A5073">
        <f ca="1">29200.5890893007*(RANDBETWEEN(2890,3282))</f>
        <v>84418903.05716829</v>
      </c>
      <c r="B5073">
        <v>267042896.64054519</v>
      </c>
    </row>
    <row r="5074" spans="1:2" x14ac:dyDescent="0.25">
      <c r="A5074">
        <f ca="1">26240.4946291047*(RANDBETWEEN(2890,3282))</f>
        <v>79298774.76915434</v>
      </c>
      <c r="B5074">
        <v>219544558.84680867</v>
      </c>
    </row>
    <row r="5075" spans="1:2" x14ac:dyDescent="0.25">
      <c r="A5075">
        <f ca="1">32680.8440592354*(RANDBETWEEN(2890,3282))</f>
        <v>97356234.452462301</v>
      </c>
      <c r="B5075">
        <v>245628484.90716714</v>
      </c>
    </row>
    <row r="5076" spans="1:2" x14ac:dyDescent="0.25">
      <c r="A5076">
        <f ca="1">31032.886878422*(RANDBETWEEN(2890,3282))</f>
        <v>90429832.363721848</v>
      </c>
      <c r="B5076">
        <v>205812721.91663587</v>
      </c>
    </row>
    <row r="5077" spans="1:2" x14ac:dyDescent="0.25">
      <c r="A5077">
        <f ca="1">29387.4383299459*(RANDBETWEEN(2890,3282))</f>
        <v>94745101.175745741</v>
      </c>
      <c r="B5077">
        <v>204168098.44345221</v>
      </c>
    </row>
    <row r="5078" spans="1:2" x14ac:dyDescent="0.25">
      <c r="A5078">
        <f ca="1">27882.097107618*(RANDBETWEEN(2890,3282))</f>
        <v>82307950.661688253</v>
      </c>
      <c r="B5078">
        <v>212962398.08265811</v>
      </c>
    </row>
    <row r="5079" spans="1:2" x14ac:dyDescent="0.25">
      <c r="A5079">
        <f ca="1">25601.1735381131*(RANDBETWEEN(2890,3282))</f>
        <v>83050206.957639009</v>
      </c>
      <c r="B5079">
        <v>251303386.17236423</v>
      </c>
    </row>
    <row r="5080" spans="1:2" x14ac:dyDescent="0.25">
      <c r="A5080">
        <f ca="1">30536.3390696839*(RANDBETWEEN(2890,3282))</f>
        <v>92525107.381142274</v>
      </c>
      <c r="B5080">
        <v>229831897.21520823</v>
      </c>
    </row>
    <row r="5081" spans="1:2" x14ac:dyDescent="0.25">
      <c r="A5081">
        <f ca="1">29039.972363699*(RANDBETWEEN(2890,3282))</f>
        <v>91475912.945651948</v>
      </c>
      <c r="B5081">
        <v>254681641.48457575</v>
      </c>
    </row>
    <row r="5082" spans="1:2" x14ac:dyDescent="0.25">
      <c r="A5082">
        <f ca="1">28153.0084826004*(RANDBETWEEN(2890,3282))</f>
        <v>83389211.125462458</v>
      </c>
      <c r="B5082">
        <v>215751209.67764056</v>
      </c>
    </row>
    <row r="5083" spans="1:2" x14ac:dyDescent="0.25">
      <c r="A5083">
        <f ca="1">28983.0487314894*(RANDBETWEEN(2890,3282))</f>
        <v>92774738.989497647</v>
      </c>
      <c r="B5083">
        <v>238940360.44119018</v>
      </c>
    </row>
    <row r="5084" spans="1:2" x14ac:dyDescent="0.25">
      <c r="A5084">
        <f ca="1">30158.5897196307*(RANDBETWEEN(2890,3282))</f>
        <v>95391619.2831918</v>
      </c>
      <c r="B5084">
        <v>219780417.6899513</v>
      </c>
    </row>
    <row r="5085" spans="1:2" x14ac:dyDescent="0.25">
      <c r="A5085">
        <f ca="1">26035.9716080121*(RANDBETWEEN(2890,3282))</f>
        <v>81492591.133077994</v>
      </c>
      <c r="B5085">
        <v>224338459.41097376</v>
      </c>
    </row>
    <row r="5086" spans="1:2" x14ac:dyDescent="0.25">
      <c r="A5086">
        <f ca="1">28407.4785562513*(RANDBETWEEN(2890,3282))</f>
        <v>82722577.555803746</v>
      </c>
      <c r="B5086">
        <v>207916479.30732685</v>
      </c>
    </row>
    <row r="5087" spans="1:2" x14ac:dyDescent="0.25">
      <c r="A5087">
        <f ca="1">28557.5633211732*(RANDBETWEEN(2890,3282))</f>
        <v>88928252.182133198</v>
      </c>
      <c r="B5087">
        <v>260381266.32077229</v>
      </c>
    </row>
    <row r="5088" spans="1:2" x14ac:dyDescent="0.25">
      <c r="A5088">
        <f ca="1">31576.8857133646*(RANDBETWEEN(2890,3282))</f>
        <v>101456533.7970403</v>
      </c>
      <c r="B5088">
        <v>226131182.08055988</v>
      </c>
    </row>
    <row r="5089" spans="1:2" x14ac:dyDescent="0.25">
      <c r="A5089">
        <f ca="1">29394.9115098243*(RANDBETWEEN(2890,3282))</f>
        <v>85833141.608687073</v>
      </c>
      <c r="B5089">
        <v>232602903.55421254</v>
      </c>
    </row>
    <row r="5090" spans="1:2" x14ac:dyDescent="0.25">
      <c r="A5090">
        <f ca="1">30412.6018590452*(RANDBETWEEN(2890,3282))</f>
        <v>94005352.346308708</v>
      </c>
      <c r="B5090">
        <v>256418610.01555651</v>
      </c>
    </row>
    <row r="5091" spans="1:2" x14ac:dyDescent="0.25">
      <c r="A5091">
        <f ca="1">28997.6768713819*(RANDBETWEEN(2890,3282))</f>
        <v>84064265.250135988</v>
      </c>
      <c r="B5091">
        <v>236077225.76035738</v>
      </c>
    </row>
    <row r="5092" spans="1:2" x14ac:dyDescent="0.25">
      <c r="A5092">
        <f ca="1">26439.1275193777*(RANDBETWEEN(2890,3282))</f>
        <v>77968987.054644883</v>
      </c>
      <c r="B5092">
        <v>231741376.93268776</v>
      </c>
    </row>
    <row r="5093" spans="1:2" x14ac:dyDescent="0.25">
      <c r="A5093">
        <f ca="1">27743.499663993*(RANDBETWEEN(2890,3282))</f>
        <v>81121993.017515466</v>
      </c>
      <c r="B5093">
        <v>237136094.77017346</v>
      </c>
    </row>
    <row r="5094" spans="1:2" x14ac:dyDescent="0.25">
      <c r="A5094">
        <f ca="1">28002.4239509885*(RANDBETWEEN(2890,3282))</f>
        <v>89719766.338967279</v>
      </c>
      <c r="B5094">
        <v>267792003.45022684</v>
      </c>
    </row>
    <row r="5095" spans="1:2" x14ac:dyDescent="0.25">
      <c r="A5095">
        <f ca="1">29821.8562741187*(RANDBETWEEN(2890,3282))</f>
        <v>86423739.482395858</v>
      </c>
      <c r="B5095">
        <v>239381370.46889448</v>
      </c>
    </row>
    <row r="5096" spans="1:2" x14ac:dyDescent="0.25">
      <c r="A5096">
        <f ca="1">29437.6323772489*(RANDBETWEEN(2890,3282))</f>
        <v>89637590.5887229</v>
      </c>
      <c r="B5096">
        <v>215133575.39522374</v>
      </c>
    </row>
    <row r="5097" spans="1:2" x14ac:dyDescent="0.25">
      <c r="A5097">
        <f ca="1">29260.8097028313*(RANDBETWEEN(2890,3282))</f>
        <v>90649988.459371343</v>
      </c>
      <c r="B5097">
        <v>247934914.94937587</v>
      </c>
    </row>
    <row r="5098" spans="1:2" x14ac:dyDescent="0.25">
      <c r="A5098">
        <f ca="1">27596.0264911639*(RANDBETWEEN(2890,3282))</f>
        <v>86651523.182254717</v>
      </c>
      <c r="B5098">
        <v>206934689.31183705</v>
      </c>
    </row>
    <row r="5099" spans="1:2" x14ac:dyDescent="0.25">
      <c r="A5099">
        <f ca="1">30195.6195492686*(RANDBETWEEN(2890,3282))</f>
        <v>92760943.255353272</v>
      </c>
      <c r="B5099">
        <v>243960188.80160028</v>
      </c>
    </row>
    <row r="5100" spans="1:2" x14ac:dyDescent="0.25">
      <c r="A5100">
        <f ca="1">31110.9198755507*(RANDBETWEEN(2890,3282))</f>
        <v>90563887.757728174</v>
      </c>
      <c r="B5100">
        <v>262274186.32562003</v>
      </c>
    </row>
    <row r="5101" spans="1:2" x14ac:dyDescent="0.25">
      <c r="A5101">
        <f ca="1">30534.4152039399*(RANDBETWEEN(2890,3282))</f>
        <v>99633796.810455933</v>
      </c>
      <c r="B5101">
        <v>236335745.6874519</v>
      </c>
    </row>
    <row r="5102" spans="1:2" x14ac:dyDescent="0.25">
      <c r="A5102">
        <f ca="1">29627.6537964974*(RANDBETWEEN(2890,3282))</f>
        <v>92379024.537478745</v>
      </c>
      <c r="B5102">
        <v>249308104.06616879</v>
      </c>
    </row>
    <row r="5103" spans="1:2" x14ac:dyDescent="0.25">
      <c r="A5103">
        <f ca="1">30581.1423791208*(RANDBETWEEN(2890,3282))</f>
        <v>89511003.743686572</v>
      </c>
      <c r="B5103">
        <v>220852620.82844031</v>
      </c>
    </row>
    <row r="5104" spans="1:2" x14ac:dyDescent="0.25">
      <c r="A5104">
        <f ca="1">30206.9941326284*(RANDBETWEEN(2890,3282))</f>
        <v>91194915.28640528</v>
      </c>
      <c r="B5104">
        <v>235637966.5317561</v>
      </c>
    </row>
    <row r="5105" spans="1:2" x14ac:dyDescent="0.25">
      <c r="A5105">
        <f ca="1">31753.9360848021*(RANDBETWEEN(2890,3282))</f>
        <v>98468955.79897137</v>
      </c>
      <c r="B5105">
        <v>231896907.48565111</v>
      </c>
    </row>
    <row r="5106" spans="1:2" x14ac:dyDescent="0.25">
      <c r="A5106">
        <f ca="1">30384.328200965*(RANDBETWEEN(2890,3282))</f>
        <v>90879525.649086252</v>
      </c>
      <c r="B5106">
        <v>237837454.92367828</v>
      </c>
    </row>
    <row r="5107" spans="1:2" x14ac:dyDescent="0.25">
      <c r="A5107">
        <f ca="1">28625.3709749212*(RANDBETWEEN(2890,3282))</f>
        <v>91658437.861697584</v>
      </c>
      <c r="B5107">
        <v>224938066.19442445</v>
      </c>
    </row>
    <row r="5108" spans="1:2" x14ac:dyDescent="0.25">
      <c r="A5108">
        <f ca="1">25967.4318667115*(RANDBETWEEN(2890,3282))</f>
        <v>77382946.962800235</v>
      </c>
      <c r="B5108">
        <v>252631308.56014699</v>
      </c>
    </row>
    <row r="5109" spans="1:2" x14ac:dyDescent="0.25">
      <c r="A5109">
        <f ca="1">26758.1548966731*(RANDBETWEEN(2890,3282))</f>
        <v>82174293.687683225</v>
      </c>
      <c r="B5109">
        <v>250428734.25013578</v>
      </c>
    </row>
    <row r="5110" spans="1:2" x14ac:dyDescent="0.25">
      <c r="A5110">
        <f ca="1">27246.442018493*(RANDBETWEEN(2890,3282))</f>
        <v>85036145.539716557</v>
      </c>
      <c r="B5110">
        <v>222923660.93868816</v>
      </c>
    </row>
    <row r="5111" spans="1:2" x14ac:dyDescent="0.25">
      <c r="A5111">
        <f ca="1">32359.4045221227*(RANDBETWEEN(2890,3282))</f>
        <v>96042712.621660113</v>
      </c>
      <c r="B5111">
        <v>206380324.04903641</v>
      </c>
    </row>
    <row r="5112" spans="1:2" x14ac:dyDescent="0.25">
      <c r="A5112">
        <f ca="1">30823.743789186*(RANDBETWEEN(2890,3282))</f>
        <v>94567245.945222795</v>
      </c>
      <c r="B5112">
        <v>233049998.01051849</v>
      </c>
    </row>
    <row r="5113" spans="1:2" x14ac:dyDescent="0.25">
      <c r="A5113">
        <f ca="1">27692.1262400037*(RANDBETWEEN(2890,3282))</f>
        <v>83353299.982410997</v>
      </c>
      <c r="B5113">
        <v>205653534.49944538</v>
      </c>
    </row>
    <row r="5114" spans="1:2" x14ac:dyDescent="0.25">
      <c r="A5114">
        <f ca="1">25813.5382038291*(RANDBETWEEN(2890,3282))</f>
        <v>81699848.415119082</v>
      </c>
      <c r="B5114">
        <v>243130490.54712886</v>
      </c>
    </row>
    <row r="5115" spans="1:2" x14ac:dyDescent="0.25">
      <c r="A5115">
        <f ca="1">29659.9283705265*(RANDBETWEEN(2890,3282))</f>
        <v>87882367.761870071</v>
      </c>
      <c r="B5115">
        <v>246025083.11410123</v>
      </c>
    </row>
    <row r="5116" spans="1:2" x14ac:dyDescent="0.25">
      <c r="A5116">
        <f ca="1">29886.2041366814*(RANDBETWEEN(2890,3282))</f>
        <v>90166677.880367666</v>
      </c>
      <c r="B5116">
        <v>229264462.26736498</v>
      </c>
    </row>
    <row r="5117" spans="1:2" x14ac:dyDescent="0.25">
      <c r="A5117">
        <f ca="1">32228.6833641009*(RANDBETWEEN(2890,3282))</f>
        <v>100908007.6129999</v>
      </c>
      <c r="B5117">
        <v>237264084.24852902</v>
      </c>
    </row>
    <row r="5118" spans="1:2" x14ac:dyDescent="0.25">
      <c r="A5118">
        <f ca="1">27129.2225202583*(RANDBETWEEN(2890,3282))</f>
        <v>84995854.155969396</v>
      </c>
      <c r="B5118">
        <v>243264760.57989568</v>
      </c>
    </row>
    <row r="5119" spans="1:2" x14ac:dyDescent="0.25">
      <c r="A5119">
        <f ca="1">32854.9853580654*(RANDBETWEEN(2890,3282))</f>
        <v>102737539.21467064</v>
      </c>
      <c r="B5119">
        <v>220643296.82268259</v>
      </c>
    </row>
    <row r="5120" spans="1:2" x14ac:dyDescent="0.25">
      <c r="A5120">
        <f ca="1">29927.4464921682*(RANDBETWEEN(2890,3282))</f>
        <v>97653257.903944999</v>
      </c>
      <c r="B5120">
        <v>236988358.04098386</v>
      </c>
    </row>
    <row r="5121" spans="1:2" x14ac:dyDescent="0.25">
      <c r="A5121">
        <f ca="1">28197.6106318398*(RANDBETWEEN(2890,3282))</f>
        <v>88625090.215872586</v>
      </c>
      <c r="B5121">
        <v>229529394.17227334</v>
      </c>
    </row>
    <row r="5122" spans="1:2" x14ac:dyDescent="0.25">
      <c r="A5122">
        <f ca="1">33322.1574467227*(RANDBETWEEN(2890,3282))</f>
        <v>97134088.957196534</v>
      </c>
      <c r="B5122">
        <v>209277185.19667703</v>
      </c>
    </row>
    <row r="5123" spans="1:2" x14ac:dyDescent="0.25">
      <c r="A5123">
        <f ca="1">27309.8614516002*(RANDBETWEEN(2890,3282))</f>
        <v>85561795.927863538</v>
      </c>
      <c r="B5123">
        <v>247364687.10661662</v>
      </c>
    </row>
    <row r="5124" spans="1:2" x14ac:dyDescent="0.25">
      <c r="A5124">
        <f ca="1">29859.8550092673*(RANDBETWEEN(2890,3282))</f>
        <v>87608814.597190276</v>
      </c>
      <c r="B5124">
        <v>234787752.46273458</v>
      </c>
    </row>
    <row r="5125" spans="1:2" x14ac:dyDescent="0.25">
      <c r="A5125">
        <f ca="1">32727.5598279968*(RANDBETWEEN(2890,3282))</f>
        <v>105971838.72305365</v>
      </c>
      <c r="B5125">
        <v>244560170.45980746</v>
      </c>
    </row>
    <row r="5126" spans="1:2" x14ac:dyDescent="0.25">
      <c r="A5126">
        <f ca="1">28384.1039774657*(RANDBETWEEN(2890,3282))</f>
        <v>93071476.942109913</v>
      </c>
      <c r="B5126">
        <v>215860887.22483602</v>
      </c>
    </row>
    <row r="5127" spans="1:2" x14ac:dyDescent="0.25">
      <c r="A5127">
        <f ca="1">27342.6053168769*(RANDBETWEEN(2890,3282))</f>
        <v>83312918.400523797</v>
      </c>
      <c r="B5127">
        <v>239244175.13359222</v>
      </c>
    </row>
    <row r="5128" spans="1:2" x14ac:dyDescent="0.25">
      <c r="A5128">
        <f ca="1">33607.6489906672*(RANDBETWEEN(2890,3282))</f>
        <v>101663138.19676821</v>
      </c>
      <c r="B5128">
        <v>264676011.33037636</v>
      </c>
    </row>
    <row r="5129" spans="1:2" x14ac:dyDescent="0.25">
      <c r="A5129">
        <f ca="1">28550.0189757266*(RANDBETWEEN(2890,3282))</f>
        <v>82709404.972679928</v>
      </c>
      <c r="B5129">
        <v>231487425.38957146</v>
      </c>
    </row>
    <row r="5130" spans="1:2" x14ac:dyDescent="0.25">
      <c r="A5130">
        <f ca="1">30689.7110524454*(RANDBETWEEN(2890,3282))</f>
        <v>98882249.010978967</v>
      </c>
      <c r="B5130">
        <v>263490656.28874621</v>
      </c>
    </row>
    <row r="5131" spans="1:2" x14ac:dyDescent="0.25">
      <c r="A5131">
        <f ca="1">29553.2815928554*(RANDBETWEEN(2890,3282))</f>
        <v>91674279.501037598</v>
      </c>
      <c r="B5131">
        <v>251953956.46787238</v>
      </c>
    </row>
    <row r="5132" spans="1:2" x14ac:dyDescent="0.25">
      <c r="A5132">
        <f ca="1">25920.6113431713*(RANDBETWEEN(2890,3282))</f>
        <v>75247534.729226336</v>
      </c>
      <c r="B5132">
        <v>208026986.86834508</v>
      </c>
    </row>
    <row r="5133" spans="1:2" x14ac:dyDescent="0.25">
      <c r="A5133">
        <f ca="1">30063.803811467*(RANDBETWEEN(2890,3282))</f>
        <v>92325941.505015209</v>
      </c>
      <c r="B5133">
        <v>266288633.7497862</v>
      </c>
    </row>
    <row r="5134" spans="1:2" x14ac:dyDescent="0.25">
      <c r="A5134">
        <f ca="1">28866.4703889605*(RANDBETWEEN(2890,3282))</f>
        <v>84925155.884321898</v>
      </c>
      <c r="B5134">
        <v>242210689.71172392</v>
      </c>
    </row>
    <row r="5135" spans="1:2" x14ac:dyDescent="0.25">
      <c r="A5135">
        <f ca="1">25720.1400557448*(RANDBETWEEN(2890,3282))</f>
        <v>81018441.175596252</v>
      </c>
      <c r="B5135">
        <v>204998085.43404236</v>
      </c>
    </row>
    <row r="5136" spans="1:2" x14ac:dyDescent="0.25">
      <c r="A5136">
        <f ca="1">34476.0157002359*(RANDBETWEEN(2890,3282))</f>
        <v>111150674.61756054</v>
      </c>
      <c r="B5136">
        <v>213922798.43509826</v>
      </c>
    </row>
    <row r="5137" spans="1:2" x14ac:dyDescent="0.25">
      <c r="A5137">
        <f ca="1">31447.1515954522*(RANDBETWEEN(2890,3282))</f>
        <v>97706300.007070109</v>
      </c>
      <c r="B5137">
        <v>208425500.46448299</v>
      </c>
    </row>
    <row r="5138" spans="1:2" x14ac:dyDescent="0.25">
      <c r="A5138">
        <f ca="1">30263.6998964381*(RANDBETWEEN(2890,3282))</f>
        <v>97963596.564770281</v>
      </c>
      <c r="B5138">
        <v>231974486.27305734</v>
      </c>
    </row>
    <row r="5139" spans="1:2" x14ac:dyDescent="0.25">
      <c r="A5139">
        <f ca="1">30628.9201744863*(RANDBETWEEN(2890,3282))</f>
        <v>97430595.075041041</v>
      </c>
      <c r="B5139">
        <v>260146628.54025814</v>
      </c>
    </row>
    <row r="5140" spans="1:2" x14ac:dyDescent="0.25">
      <c r="A5140">
        <f ca="1">29735.0445534518*(RANDBETWEEN(2890,3282))</f>
        <v>90275595.264279574</v>
      </c>
      <c r="B5140">
        <v>255803415.36400607</v>
      </c>
    </row>
    <row r="5141" spans="1:2" x14ac:dyDescent="0.25">
      <c r="A5141">
        <f ca="1">27066.8836192844*(RANDBETWEEN(2890,3282))</f>
        <v>82526928.155198246</v>
      </c>
      <c r="B5141">
        <v>252744977.41798529</v>
      </c>
    </row>
    <row r="5142" spans="1:2" x14ac:dyDescent="0.25">
      <c r="A5142">
        <f ca="1">32428.3735505561*(RANDBETWEEN(2890,3282))</f>
        <v>98225543.48463437</v>
      </c>
      <c r="B5142">
        <v>211573008.53724983</v>
      </c>
    </row>
    <row r="5143" spans="1:2" x14ac:dyDescent="0.25">
      <c r="A5143">
        <f ca="1">28552.1098771077*(RANDBETWEEN(2890,3282))</f>
        <v>85399360.642429098</v>
      </c>
      <c r="B5143">
        <v>248839012.26010543</v>
      </c>
    </row>
    <row r="5144" spans="1:2" x14ac:dyDescent="0.25">
      <c r="A5144">
        <f ca="1">30755.2715202222*(RANDBETWEEN(2890,3282))</f>
        <v>91958261.845464528</v>
      </c>
      <c r="B5144">
        <v>234391040.82593584</v>
      </c>
    </row>
    <row r="5145" spans="1:2" x14ac:dyDescent="0.25">
      <c r="A5145">
        <f ca="1">27830.4866066718*(RANDBETWEEN(2890,3282))</f>
        <v>91033521.690423414</v>
      </c>
      <c r="B5145">
        <v>227888899.15279174</v>
      </c>
    </row>
    <row r="5146" spans="1:2" x14ac:dyDescent="0.25">
      <c r="A5146">
        <f ca="1">31978.1537366756*(RANDBETWEEN(2890,3282))</f>
        <v>97565347.050597399</v>
      </c>
      <c r="B5146">
        <v>225187216.72319943</v>
      </c>
    </row>
    <row r="5147" spans="1:2" x14ac:dyDescent="0.25">
      <c r="A5147">
        <f ca="1">28542.9706210334*(RANDBETWEEN(2890,3282))</f>
        <v>82746071.830375746</v>
      </c>
      <c r="B5147">
        <v>211672281.25573611</v>
      </c>
    </row>
    <row r="5148" spans="1:2" x14ac:dyDescent="0.25">
      <c r="A5148">
        <f ca="1">31171.4847598962*(RANDBETWEEN(2890,3282))</f>
        <v>95789972.667161062</v>
      </c>
      <c r="B5148">
        <v>248905579.7072663</v>
      </c>
    </row>
    <row r="5149" spans="1:2" x14ac:dyDescent="0.25">
      <c r="A5149">
        <f ca="1">29898.3115521281*(RANDBETWEEN(2890,3282))</f>
        <v>92086799.580554441</v>
      </c>
      <c r="B5149">
        <v>259766979.25292134</v>
      </c>
    </row>
    <row r="5150" spans="1:2" x14ac:dyDescent="0.25">
      <c r="A5150">
        <f ca="1">27271.913215089*(RANDBETWEEN(2890,3282))</f>
        <v>79279451.716263697</v>
      </c>
      <c r="B5150">
        <v>211624188.32843554</v>
      </c>
    </row>
    <row r="5151" spans="1:2" x14ac:dyDescent="0.25">
      <c r="A5151">
        <f ca="1">27706.6829427334*(RANDBETWEEN(2890,3282))</f>
        <v>82676741.901116431</v>
      </c>
      <c r="B5151">
        <v>250423397.20394874</v>
      </c>
    </row>
    <row r="5152" spans="1:2" x14ac:dyDescent="0.25">
      <c r="A5152">
        <f ca="1">29048.7861913041*(RANDBETWEEN(2890,3282))</f>
        <v>94379506.335546926</v>
      </c>
      <c r="B5152">
        <v>210057644.11396605</v>
      </c>
    </row>
    <row r="5153" spans="1:2" x14ac:dyDescent="0.25">
      <c r="A5153">
        <f ca="1">27660.6224452234*(RANDBETWEEN(2890,3282))</f>
        <v>88541652.447159991</v>
      </c>
      <c r="B5153">
        <v>248566151.17846927</v>
      </c>
    </row>
    <row r="5154" spans="1:2" x14ac:dyDescent="0.25">
      <c r="A5154">
        <f ca="1">30586.3421241947*(RANDBETWEEN(2890,3282))</f>
        <v>97601017.718305409</v>
      </c>
      <c r="B5154">
        <v>219309874.42188656</v>
      </c>
    </row>
    <row r="5155" spans="1:2" x14ac:dyDescent="0.25">
      <c r="A5155">
        <f ca="1">30448.3530169943*(RANDBETWEEN(2890,3282))</f>
        <v>99627011.07160525</v>
      </c>
      <c r="B5155">
        <v>215788619.34275436</v>
      </c>
    </row>
    <row r="5156" spans="1:2" x14ac:dyDescent="0.25">
      <c r="A5156">
        <f ca="1">28904.9584692878*(RANDBETWEEN(2890,3282))</f>
        <v>92264627.433966786</v>
      </c>
      <c r="B5156">
        <v>247170800.67153296</v>
      </c>
    </row>
    <row r="5157" spans="1:2" x14ac:dyDescent="0.25">
      <c r="A5157">
        <f ca="1">27870.9789125664*(RANDBETWEEN(2890,3282))</f>
        <v>87236163.99633269</v>
      </c>
      <c r="B5157">
        <v>230460289.26207715</v>
      </c>
    </row>
    <row r="5158" spans="1:2" x14ac:dyDescent="0.25">
      <c r="A5158">
        <f ca="1">30966.250774218*(RANDBETWEEN(2890,3282))</f>
        <v>91071743.52697511</v>
      </c>
      <c r="B5158">
        <v>259945094.22048295</v>
      </c>
    </row>
    <row r="5159" spans="1:2" x14ac:dyDescent="0.25">
      <c r="A5159">
        <f ca="1">26974.4892013051*(RANDBETWEEN(2890,3282))</f>
        <v>83324197.142831519</v>
      </c>
      <c r="B5159">
        <v>222071025.22586295</v>
      </c>
    </row>
    <row r="5160" spans="1:2" x14ac:dyDescent="0.25">
      <c r="A5160">
        <f ca="1">26569.1372408669*(RANDBETWEEN(2890,3282))</f>
        <v>81806373.564629167</v>
      </c>
      <c r="B5160">
        <v>209321873.85191905</v>
      </c>
    </row>
    <row r="5161" spans="1:2" x14ac:dyDescent="0.25">
      <c r="A5161">
        <f ca="1">29716.9795548601*(RANDBETWEEN(2890,3282))</f>
        <v>93846221.434248075</v>
      </c>
      <c r="B5161">
        <v>241892882.99916503</v>
      </c>
    </row>
    <row r="5162" spans="1:2" x14ac:dyDescent="0.25">
      <c r="A5162">
        <f ca="1">27722.1312635617*(RANDBETWEEN(2890,3282))</f>
        <v>85661385.604405671</v>
      </c>
      <c r="B5162">
        <v>241556875.43310988</v>
      </c>
    </row>
    <row r="5163" spans="1:2" x14ac:dyDescent="0.25">
      <c r="A5163">
        <f ca="1">30114.6793156176*(RANDBETWEEN(2890,3282))</f>
        <v>89530941.605331138</v>
      </c>
      <c r="B5163">
        <v>231406856.2581737</v>
      </c>
    </row>
    <row r="5164" spans="1:2" x14ac:dyDescent="0.25">
      <c r="A5164">
        <f ca="1">28741.4776148949*(RANDBETWEEN(2890,3282))</f>
        <v>91053001.083987147</v>
      </c>
      <c r="B5164">
        <v>205748795.36474067</v>
      </c>
    </row>
    <row r="5165" spans="1:2" x14ac:dyDescent="0.25">
      <c r="A5165">
        <f ca="1">26616.6773633457*(RANDBETWEEN(2890,3282))</f>
        <v>83869150.371902198</v>
      </c>
      <c r="B5165">
        <v>209334619.82573009</v>
      </c>
    </row>
    <row r="5166" spans="1:2" x14ac:dyDescent="0.25">
      <c r="A5166">
        <f ca="1">28976.8874335918*(RANDBETWEEN(2890,3282))</f>
        <v>91595941.177583575</v>
      </c>
      <c r="B5166">
        <v>243675684.73100495</v>
      </c>
    </row>
    <row r="5167" spans="1:2" x14ac:dyDescent="0.25">
      <c r="A5167">
        <f ca="1">29697.0920217968*(RANDBETWEEN(2890,3282))</f>
        <v>87487633.096213222</v>
      </c>
      <c r="B5167">
        <v>233843406.84707806</v>
      </c>
    </row>
    <row r="5168" spans="1:2" x14ac:dyDescent="0.25">
      <c r="A5168">
        <f ca="1">27478.4184970352*(RANDBETWEEN(2890,3282))</f>
        <v>87875982.35351862</v>
      </c>
      <c r="B5168">
        <v>258521693.25358802</v>
      </c>
    </row>
    <row r="5169" spans="1:2" x14ac:dyDescent="0.25">
      <c r="A5169">
        <f ca="1">29077.883172946*(RANDBETWEEN(2890,3282))</f>
        <v>94706665.494285002</v>
      </c>
      <c r="B5169">
        <v>240395028.841299</v>
      </c>
    </row>
    <row r="5170" spans="1:2" x14ac:dyDescent="0.25">
      <c r="A5170">
        <f ca="1">28899.292506251*(RANDBETWEEN(2890,3282))</f>
        <v>86148790.961134255</v>
      </c>
      <c r="B5170">
        <v>207475964.3137112</v>
      </c>
    </row>
    <row r="5171" spans="1:2" x14ac:dyDescent="0.25">
      <c r="A5171">
        <f ca="1">30760.4320515924*(RANDBETWEEN(2890,3282))</f>
        <v>91635327.081693843</v>
      </c>
      <c r="B5171">
        <v>249070356.40933752</v>
      </c>
    </row>
    <row r="5172" spans="1:2" x14ac:dyDescent="0.25">
      <c r="A5172">
        <f ca="1">30357.0243283084*(RANDBETWEEN(2890,3282))</f>
        <v>91162144.057910219</v>
      </c>
      <c r="B5172">
        <v>226408227.09785026</v>
      </c>
    </row>
    <row r="5173" spans="1:2" x14ac:dyDescent="0.25">
      <c r="A5173">
        <f ca="1">30499.6051133358*(RANDBETWEEN(2890,3282))</f>
        <v>92871297.570107549</v>
      </c>
      <c r="B5173">
        <v>267037744.32607341</v>
      </c>
    </row>
    <row r="5174" spans="1:2" x14ac:dyDescent="0.25">
      <c r="A5174">
        <f ca="1">27234.0397786291*(RANDBETWEEN(2890,3282))</f>
        <v>85950629.54135336</v>
      </c>
      <c r="B5174">
        <v>237526822.42633441</v>
      </c>
    </row>
    <row r="5175" spans="1:2" x14ac:dyDescent="0.25">
      <c r="A5175">
        <f ca="1">27876.2617387477*(RANDBETWEEN(2890,3282))</f>
        <v>90207582.986587435</v>
      </c>
      <c r="B5175">
        <v>232141348.94759831</v>
      </c>
    </row>
    <row r="5176" spans="1:2" x14ac:dyDescent="0.25">
      <c r="A5176">
        <f ca="1">25834.9431809425*(RANDBETWEEN(2890,3282))</f>
        <v>84609438.917586744</v>
      </c>
      <c r="B5176">
        <v>217688650.74244452</v>
      </c>
    </row>
    <row r="5177" spans="1:2" x14ac:dyDescent="0.25">
      <c r="A5177">
        <f ca="1">30500.6332206179*(RANDBETWEEN(2890,3282))</f>
        <v>95619485.146637172</v>
      </c>
      <c r="B5177">
        <v>247326525.82184309</v>
      </c>
    </row>
    <row r="5178" spans="1:2" x14ac:dyDescent="0.25">
      <c r="A5178">
        <f ca="1">29359.3305242509*(RANDBETWEEN(2890,3282))</f>
        <v>92070860.524050683</v>
      </c>
      <c r="B5178">
        <v>243818203.71278843</v>
      </c>
    </row>
    <row r="5179" spans="1:2" x14ac:dyDescent="0.25">
      <c r="A5179">
        <f ca="1">26611.6249862977*(RANDBETWEEN(2890,3282))</f>
        <v>83001658.332262605</v>
      </c>
      <c r="B5179">
        <v>204798659.5549534</v>
      </c>
    </row>
    <row r="5180" spans="1:2" x14ac:dyDescent="0.25">
      <c r="A5180">
        <f ca="1">29647.174279314*(RANDBETWEEN(2890,3282))</f>
        <v>90690706.120421588</v>
      </c>
      <c r="B5180">
        <v>247842823.58095706</v>
      </c>
    </row>
    <row r="5181" spans="1:2" x14ac:dyDescent="0.25">
      <c r="A5181">
        <f ca="1">28665.2767951903*(RANDBETWEEN(2890,3282))</f>
        <v>87887738.654053569</v>
      </c>
      <c r="B5181">
        <v>217832968.92561078</v>
      </c>
    </row>
    <row r="5182" spans="1:2" x14ac:dyDescent="0.25">
      <c r="A5182">
        <f ca="1">27449.6491826236*(RANDBETWEEN(2890,3282))</f>
        <v>80098076.31489566</v>
      </c>
      <c r="B5182">
        <v>218615223.81746638</v>
      </c>
    </row>
    <row r="5183" spans="1:2" x14ac:dyDescent="0.25">
      <c r="A5183">
        <f ca="1">30374.1239922687*(RANDBETWEEN(2890,3282))</f>
        <v>95648116.451654226</v>
      </c>
      <c r="B5183">
        <v>204145423.42003143</v>
      </c>
    </row>
    <row r="5184" spans="1:2" x14ac:dyDescent="0.25">
      <c r="A5184">
        <f ca="1">30091.738911533*(RANDBETWEEN(2890,3282))</f>
        <v>93795950.187248424</v>
      </c>
      <c r="B5184">
        <v>261832675.24865866</v>
      </c>
    </row>
    <row r="5185" spans="1:2" x14ac:dyDescent="0.25">
      <c r="A5185">
        <f ca="1">27999.6796185982*(RANDBETWEEN(2890,3282))</f>
        <v>84755030.205496669</v>
      </c>
      <c r="B5185">
        <v>206557005.23060986</v>
      </c>
    </row>
    <row r="5186" spans="1:2" x14ac:dyDescent="0.25">
      <c r="A5186">
        <f ca="1">27361.9836811855*(RANDBETWEEN(2890,3282))</f>
        <v>86846936.204082623</v>
      </c>
      <c r="B5186">
        <v>253877336.89424729</v>
      </c>
    </row>
    <row r="5187" spans="1:2" x14ac:dyDescent="0.25">
      <c r="A5187">
        <f ca="1">33867.2279067242*(RANDBETWEEN(2890,3282))</f>
        <v>102177426.59458677</v>
      </c>
      <c r="B5187">
        <v>214909540.22652391</v>
      </c>
    </row>
    <row r="5188" spans="1:2" x14ac:dyDescent="0.25">
      <c r="A5188">
        <f ca="1">31846.2900572663*(RANDBETWEEN(2890,3282))</f>
        <v>95061175.820939824</v>
      </c>
      <c r="B5188">
        <v>248232701.63220957</v>
      </c>
    </row>
    <row r="5189" spans="1:2" x14ac:dyDescent="0.25">
      <c r="A5189">
        <f ca="1">31202.4713142091*(RANDBETWEEN(2890,3282))</f>
        <v>101844866.3695786</v>
      </c>
      <c r="B5189">
        <v>205433593.55438241</v>
      </c>
    </row>
    <row r="5190" spans="1:2" x14ac:dyDescent="0.25">
      <c r="A5190">
        <f ca="1">27303.484249553*(RANDBETWEEN(2890,3282))</f>
        <v>86251706.744337782</v>
      </c>
      <c r="B5190">
        <v>220650172.45476002</v>
      </c>
    </row>
    <row r="5191" spans="1:2" x14ac:dyDescent="0.25">
      <c r="A5191">
        <f ca="1">28605.9432574978*(RANDBETWEEN(2890,3282))</f>
        <v>84931045.531511039</v>
      </c>
      <c r="B5191">
        <v>214103244.70406523</v>
      </c>
    </row>
    <row r="5192" spans="1:2" x14ac:dyDescent="0.25">
      <c r="A5192">
        <f ca="1">26939.9378578388*(RANDBETWEEN(2890,3282))</f>
        <v>84214245.743604034</v>
      </c>
      <c r="B5192">
        <v>227245036.22974563</v>
      </c>
    </row>
    <row r="5193" spans="1:2" x14ac:dyDescent="0.25">
      <c r="A5193">
        <f ca="1">27245.8195322992*(RANDBETWEEN(2890,3282))</f>
        <v>81056313.108590201</v>
      </c>
      <c r="B5193">
        <v>245768756.84752116</v>
      </c>
    </row>
    <row r="5194" spans="1:2" x14ac:dyDescent="0.25">
      <c r="A5194">
        <f ca="1">30572.1653778814*(RANDBETWEEN(2890,3282))</f>
        <v>92847666.252625823</v>
      </c>
      <c r="B5194">
        <v>266848577.57140821</v>
      </c>
    </row>
    <row r="5195" spans="1:2" x14ac:dyDescent="0.25">
      <c r="A5195">
        <f ca="1">27509.8112031278*(RANDBETWEEN(2890,3282))</f>
        <v>83107139.644649088</v>
      </c>
      <c r="B5195">
        <v>242838952.60714811</v>
      </c>
    </row>
    <row r="5196" spans="1:2" x14ac:dyDescent="0.25">
      <c r="A5196">
        <f ca="1">26752.3566009783*(RANDBETWEEN(2890,3282))</f>
        <v>86329854.75135693</v>
      </c>
      <c r="B5196">
        <v>205559771.64475042</v>
      </c>
    </row>
    <row r="5197" spans="1:2" x14ac:dyDescent="0.25">
      <c r="A5197">
        <f ca="1">29100.5875061555*(RANDBETWEEN(2890,3282))</f>
        <v>94373205.282462224</v>
      </c>
      <c r="B5197">
        <v>213571957.07927233</v>
      </c>
    </row>
    <row r="5198" spans="1:2" x14ac:dyDescent="0.25">
      <c r="A5198">
        <f ca="1">31858.05194867*(RANDBETWEEN(2890,3282))</f>
        <v>102933365.84615275</v>
      </c>
      <c r="B5198">
        <v>210637927.79635689</v>
      </c>
    </row>
    <row r="5199" spans="1:2" x14ac:dyDescent="0.25">
      <c r="A5199">
        <f ca="1">32563.4926435099*(RANDBETWEEN(2890,3282))</f>
        <v>96322811.239502311</v>
      </c>
      <c r="B5199">
        <v>247267555.85170302</v>
      </c>
    </row>
    <row r="5200" spans="1:2" x14ac:dyDescent="0.25">
      <c r="A5200">
        <f ca="1">30172.8346422719*(RANDBETWEEN(2890,3282))</f>
        <v>91393516.131441697</v>
      </c>
      <c r="B5200">
        <v>252396800.24285775</v>
      </c>
    </row>
    <row r="5201" spans="1:2" x14ac:dyDescent="0.25">
      <c r="A5201">
        <f ca="1">30510.0748940554*(RANDBETWEEN(2890,3282))</f>
        <v>94916842.995406389</v>
      </c>
      <c r="B5201">
        <v>251737820.27963096</v>
      </c>
    </row>
    <row r="5202" spans="1:2" x14ac:dyDescent="0.25">
      <c r="A5202">
        <f ca="1">30367.8713220867*(RANDBETWEEN(2890,3282))</f>
        <v>94565551.296977997</v>
      </c>
      <c r="B5202">
        <v>253425041.99776459</v>
      </c>
    </row>
    <row r="5203" spans="1:2" x14ac:dyDescent="0.25">
      <c r="A5203">
        <f ca="1">29068.9710188263*(RANDBETWEEN(2890,3282))</f>
        <v>87904568.360930696</v>
      </c>
      <c r="B5203">
        <v>238206088.98469371</v>
      </c>
    </row>
    <row r="5204" spans="1:2" x14ac:dyDescent="0.25">
      <c r="A5204">
        <f ca="1">29842.9281913641*(RANDBETWEEN(2890,3282))</f>
        <v>89439255.789518148</v>
      </c>
      <c r="B5204">
        <v>227616634.48382625</v>
      </c>
    </row>
    <row r="5205" spans="1:2" x14ac:dyDescent="0.25">
      <c r="A5205">
        <f ca="1">30997.3777879165*(RANDBETWEEN(2890,3282))</f>
        <v>89706411.31823048</v>
      </c>
      <c r="B5205">
        <v>241399118.96447352</v>
      </c>
    </row>
    <row r="5206" spans="1:2" x14ac:dyDescent="0.25">
      <c r="A5206">
        <f ca="1">27990.3351316067*(RANDBETWEEN(2890,3282))</f>
        <v>86993961.589033499</v>
      </c>
      <c r="B5206">
        <v>223428596.65997764</v>
      </c>
    </row>
    <row r="5207" spans="1:2" x14ac:dyDescent="0.25">
      <c r="A5207">
        <f ca="1">32733.2412976561*(RANDBETWEEN(2890,3282))</f>
        <v>102716911.19204496</v>
      </c>
      <c r="B5207">
        <v>220274324.16527173</v>
      </c>
    </row>
    <row r="5208" spans="1:2" x14ac:dyDescent="0.25">
      <c r="A5208">
        <f ca="1">33082.082907353*(RANDBETWEEN(2890,3282))</f>
        <v>107219030.70273106</v>
      </c>
      <c r="B5208">
        <v>229801962.73918179</v>
      </c>
    </row>
    <row r="5209" spans="1:2" x14ac:dyDescent="0.25">
      <c r="A5209">
        <f ca="1">30667.4258756384*(RANDBETWEEN(2890,3282))</f>
        <v>94425004.271090686</v>
      </c>
      <c r="B5209">
        <v>225543683.37623644</v>
      </c>
    </row>
    <row r="5210" spans="1:2" x14ac:dyDescent="0.25">
      <c r="A5210">
        <f ca="1">29777.9508066855*(RANDBETWEEN(2890,3282))</f>
        <v>93919656.844286159</v>
      </c>
      <c r="B5210">
        <v>250450963.40108806</v>
      </c>
    </row>
    <row r="5211" spans="1:2" x14ac:dyDescent="0.25">
      <c r="A5211">
        <f ca="1">27490.3687967946*(RANDBETWEEN(2890,3282))</f>
        <v>79804540.617094845</v>
      </c>
      <c r="B5211">
        <v>255791655.3908813</v>
      </c>
    </row>
    <row r="5212" spans="1:2" x14ac:dyDescent="0.25">
      <c r="A5212">
        <f ca="1">28893.3367503738*(RANDBETWEEN(2890,3282))</f>
        <v>88558077.139895722</v>
      </c>
      <c r="B5212">
        <v>246616040.469302</v>
      </c>
    </row>
    <row r="5213" spans="1:2" x14ac:dyDescent="0.25">
      <c r="A5213">
        <f ca="1">26727.8021791774*(RANDBETWEEN(2890,3282))</f>
        <v>84246032.468767196</v>
      </c>
      <c r="B5213">
        <v>215510183.46943259</v>
      </c>
    </row>
    <row r="5214" spans="1:2" x14ac:dyDescent="0.25">
      <c r="A5214">
        <f ca="1">29932.9202282666*(RANDBETWEEN(2890,3282))</f>
        <v>96054741.012507647</v>
      </c>
      <c r="B5214">
        <v>211799321.24595875</v>
      </c>
    </row>
    <row r="5215" spans="1:2" x14ac:dyDescent="0.25">
      <c r="A5215">
        <f ca="1">27142.9415287194*(RANDBETWEEN(2890,3282))</f>
        <v>86803127.008844674</v>
      </c>
      <c r="B5215">
        <v>254817068.10154951</v>
      </c>
    </row>
    <row r="5216" spans="1:2" x14ac:dyDescent="0.25">
      <c r="A5216">
        <f ca="1">30147.5180634052*(RANDBETWEEN(2890,3282))</f>
        <v>88362375.443840653</v>
      </c>
      <c r="B5216">
        <v>229022856.87138188</v>
      </c>
    </row>
    <row r="5217" spans="1:2" x14ac:dyDescent="0.25">
      <c r="A5217">
        <f ca="1">31704.761782345*(RANDBETWEEN(2890,3282))</f>
        <v>95875199.629811212</v>
      </c>
      <c r="B5217">
        <v>262565394.84343541</v>
      </c>
    </row>
    <row r="5218" spans="1:2" x14ac:dyDescent="0.25">
      <c r="A5218">
        <f ca="1">33390.0411997979*(RANDBETWEEN(2890,3282))</f>
        <v>104043368.37857012</v>
      </c>
      <c r="B5218">
        <v>259837922.3854785</v>
      </c>
    </row>
    <row r="5219" spans="1:2" x14ac:dyDescent="0.25">
      <c r="A5219">
        <f ca="1">33362.3619860847*(RANDBETWEEN(2890,3282))</f>
        <v>102522538.38323824</v>
      </c>
      <c r="B5219">
        <v>255972898.2891334</v>
      </c>
    </row>
    <row r="5220" spans="1:2" x14ac:dyDescent="0.25">
      <c r="A5220">
        <f ca="1">32701.0120675942*(RANDBETWEEN(2890,3282))</f>
        <v>107226618.56964135</v>
      </c>
      <c r="B5220">
        <v>234851813.81403068</v>
      </c>
    </row>
    <row r="5221" spans="1:2" x14ac:dyDescent="0.25">
      <c r="A5221">
        <f ca="1">34501.0704855973*(RANDBETWEEN(2890,3282))</f>
        <v>106435802.44806777</v>
      </c>
      <c r="B5221">
        <v>267770148.3380962</v>
      </c>
    </row>
    <row r="5222" spans="1:2" x14ac:dyDescent="0.25">
      <c r="A5222">
        <f ca="1">29850.5638827092*(RANDBETWEEN(2890,3282))</f>
        <v>92268092.961453989</v>
      </c>
      <c r="B5222">
        <v>204981203.63660288</v>
      </c>
    </row>
    <row r="5223" spans="1:2" x14ac:dyDescent="0.25">
      <c r="A5223">
        <f ca="1">27808.431698262*(RANDBETWEEN(2890,3282))</f>
        <v>86845732.193672165</v>
      </c>
      <c r="B5223">
        <v>265276299.95361203</v>
      </c>
    </row>
    <row r="5224" spans="1:2" x14ac:dyDescent="0.25">
      <c r="A5224">
        <f ca="1">31614.9920402259*(RANDBETWEEN(2890,3282))</f>
        <v>101452509.45708494</v>
      </c>
      <c r="B5224">
        <v>249999400.46121818</v>
      </c>
    </row>
    <row r="5225" spans="1:2" x14ac:dyDescent="0.25">
      <c r="A5225">
        <f ca="1">30125.9212173885*(RANDBETWEEN(2890,3282))</f>
        <v>92004563.39790459</v>
      </c>
      <c r="B5225">
        <v>205084497.09060463</v>
      </c>
    </row>
    <row r="5226" spans="1:2" x14ac:dyDescent="0.25">
      <c r="A5226">
        <f ca="1">25838.0027442541*(RANDBETWEEN(2890,3282))</f>
        <v>81854792.693797126</v>
      </c>
      <c r="B5226">
        <v>253546624.12212956</v>
      </c>
    </row>
    <row r="5227" spans="1:2" x14ac:dyDescent="0.25">
      <c r="A5227">
        <f ca="1">31152.1099794773*(RANDBETWEEN(2890,3282))</f>
        <v>92054484.989355341</v>
      </c>
      <c r="B5227">
        <v>229122817.54285991</v>
      </c>
    </row>
    <row r="5228" spans="1:2" x14ac:dyDescent="0.25">
      <c r="A5228">
        <f ca="1">28167.078741233*(RANDBETWEEN(2890,3282))</f>
        <v>88641796.798660383</v>
      </c>
      <c r="B5228">
        <v>244932835.9866685</v>
      </c>
    </row>
    <row r="5229" spans="1:2" x14ac:dyDescent="0.25">
      <c r="A5229">
        <f ca="1">27497.8085257747*(RANDBETWEEN(2890,3282))</f>
        <v>80623574.597571477</v>
      </c>
      <c r="B5229">
        <v>242935578.5840742</v>
      </c>
    </row>
    <row r="5230" spans="1:2" x14ac:dyDescent="0.25">
      <c r="A5230">
        <f ca="1">28335.1458879816*(RANDBETWEEN(2890,3282))</f>
        <v>86167178.645351931</v>
      </c>
      <c r="B5230">
        <v>240665052.85466218</v>
      </c>
    </row>
    <row r="5231" spans="1:2" x14ac:dyDescent="0.25">
      <c r="A5231">
        <f ca="1">28800.4063045863*(RANDBETWEEN(2890,3282))</f>
        <v>93658921.302514613</v>
      </c>
      <c r="B5231">
        <v>233885289.56858355</v>
      </c>
    </row>
    <row r="5232" spans="1:2" x14ac:dyDescent="0.25">
      <c r="A5232">
        <f ca="1">28499.4443443603*(RANDBETWEEN(2890,3282))</f>
        <v>84928344.146193728</v>
      </c>
      <c r="B5232">
        <v>234083026.15102431</v>
      </c>
    </row>
    <row r="5233" spans="1:2" x14ac:dyDescent="0.25">
      <c r="A5233">
        <f ca="1">33985.1413282483*(RANDBETWEEN(2890,3282))</f>
        <v>106067626.08546303</v>
      </c>
      <c r="B5233">
        <v>214047773.19950756</v>
      </c>
    </row>
    <row r="5234" spans="1:2" x14ac:dyDescent="0.25">
      <c r="A5234">
        <f ca="1">28272.8935041313*(RANDBETWEEN(2890,3282))</f>
        <v>87532878.288790375</v>
      </c>
      <c r="B5234">
        <v>222175172.18800747</v>
      </c>
    </row>
    <row r="5235" spans="1:2" x14ac:dyDescent="0.25">
      <c r="A5235">
        <f ca="1">27285.278771494*(RANDBETWEEN(2890,3282))</f>
        <v>84038658.616201475</v>
      </c>
      <c r="B5235">
        <v>227098537.20754418</v>
      </c>
    </row>
    <row r="5236" spans="1:2" x14ac:dyDescent="0.25">
      <c r="A5236">
        <f ca="1">26760.5878841357*(RANDBETWEEN(2890,3282))</f>
        <v>86276135.338453382</v>
      </c>
      <c r="B5236">
        <v>204561377.88489556</v>
      </c>
    </row>
    <row r="5237" spans="1:2" x14ac:dyDescent="0.25">
      <c r="A5237">
        <f ca="1">31744.647293335*(RANDBETWEEN(2890,3282))</f>
        <v>103995464.53296538</v>
      </c>
      <c r="B5237">
        <v>267446487.89429376</v>
      </c>
    </row>
    <row r="5238" spans="1:2" x14ac:dyDescent="0.25">
      <c r="A5238">
        <f ca="1">28899.1371227754*(RANDBETWEEN(2890,3282))</f>
        <v>91841457.776180342</v>
      </c>
      <c r="B5238">
        <v>234420737.05736113</v>
      </c>
    </row>
    <row r="5239" spans="1:2" x14ac:dyDescent="0.25">
      <c r="A5239">
        <f ca="1">27504.441742864*(RANDBETWEEN(2890,3282))</f>
        <v>87546638.067536116</v>
      </c>
      <c r="B5239">
        <v>228572366.76981729</v>
      </c>
    </row>
    <row r="5240" spans="1:2" x14ac:dyDescent="0.25">
      <c r="A5240">
        <f ca="1">31647.847463941*(RANDBETWEEN(2890,3282))</f>
        <v>100228732.91830108</v>
      </c>
      <c r="B5240">
        <v>235437534.15517351</v>
      </c>
    </row>
    <row r="5241" spans="1:2" x14ac:dyDescent="0.25">
      <c r="A5241">
        <f ca="1">32553.8333935806*(RANDBETWEEN(2890,3282))</f>
        <v>101991160.02208817</v>
      </c>
      <c r="B5241">
        <v>219900468.45296848</v>
      </c>
    </row>
    <row r="5242" spans="1:2" x14ac:dyDescent="0.25">
      <c r="A5242">
        <f ca="1">29370.3610515832*(RANDBETWEEN(2890,3282))</f>
        <v>85996417.159035683</v>
      </c>
      <c r="B5242">
        <v>235816571.47577393</v>
      </c>
    </row>
    <row r="5243" spans="1:2" x14ac:dyDescent="0.25">
      <c r="A5243">
        <f ca="1">29740.7969603578*(RANDBETWEEN(2890,3282))</f>
        <v>92493878.546712816</v>
      </c>
      <c r="B5243">
        <v>238871733.10984549</v>
      </c>
    </row>
    <row r="5244" spans="1:2" x14ac:dyDescent="0.25">
      <c r="A5244">
        <f ca="1">28331.0750032691*(RANDBETWEEN(2890,3282))</f>
        <v>83661664.484653562</v>
      </c>
      <c r="B5244">
        <v>247673820.31302732</v>
      </c>
    </row>
    <row r="5245" spans="1:2" x14ac:dyDescent="0.25">
      <c r="A5245">
        <f ca="1">30542.2905257942*(RANDBETWEEN(2890,3282))</f>
        <v>89458368.950051337</v>
      </c>
      <c r="B5245">
        <v>217533027.40332949</v>
      </c>
    </row>
    <row r="5246" spans="1:2" x14ac:dyDescent="0.25">
      <c r="A5246">
        <f ca="1">31705.1775926123*(RANDBETWEEN(2890,3282))</f>
        <v>103866161.79339795</v>
      </c>
      <c r="B5246">
        <v>261531633.93509883</v>
      </c>
    </row>
    <row r="5247" spans="1:2" x14ac:dyDescent="0.25">
      <c r="A5247">
        <f ca="1">28114.8388793622*(RANDBETWEEN(2890,3282))</f>
        <v>83416726.955067784</v>
      </c>
      <c r="B5247">
        <v>213288417.72643337</v>
      </c>
    </row>
    <row r="5248" spans="1:2" x14ac:dyDescent="0.25">
      <c r="A5248">
        <f ca="1">28001.461566433*(RANDBETWEEN(2890,3282))</f>
        <v>89408666.781620473</v>
      </c>
      <c r="B5248">
        <v>257329947.02876139</v>
      </c>
    </row>
    <row r="5249" spans="1:2" x14ac:dyDescent="0.25">
      <c r="A5249">
        <f ca="1">30139.2970440458*(RANDBETWEEN(2890,3282))</f>
        <v>97470486.640444279</v>
      </c>
      <c r="B5249">
        <v>231231436.44988203</v>
      </c>
    </row>
    <row r="5250" spans="1:2" x14ac:dyDescent="0.25">
      <c r="A5250">
        <f ca="1">32406.3724963821*(RANDBETWEEN(2890,3282))</f>
        <v>104575364.04582514</v>
      </c>
      <c r="B5250">
        <v>246634862.66977319</v>
      </c>
    </row>
    <row r="5251" spans="1:2" x14ac:dyDescent="0.25">
      <c r="A5251">
        <f ca="1">29162.0935259272*(RANDBETWEEN(2890,3282))</f>
        <v>94397696.743426219</v>
      </c>
      <c r="B5251">
        <v>260287777.68338847</v>
      </c>
    </row>
    <row r="5252" spans="1:2" x14ac:dyDescent="0.25">
      <c r="A5252">
        <f ca="1">31905.6716451947*(RANDBETWEEN(2890,3282))</f>
        <v>94121731.353324383</v>
      </c>
      <c r="B5252">
        <v>226681339.66100359</v>
      </c>
    </row>
    <row r="5253" spans="1:2" x14ac:dyDescent="0.25">
      <c r="A5253">
        <f ca="1">29515.1079598768*(RANDBETWEEN(2890,3282))</f>
        <v>85859449.055281639</v>
      </c>
      <c r="B5253">
        <v>203903678.85459831</v>
      </c>
    </row>
    <row r="5254" spans="1:2" x14ac:dyDescent="0.25">
      <c r="A5254">
        <f ca="1">32764.7014802848*(RANDBETWEEN(2890,3282))</f>
        <v>106747397.42276774</v>
      </c>
      <c r="B5254">
        <v>256311483.16569161</v>
      </c>
    </row>
    <row r="5255" spans="1:2" x14ac:dyDescent="0.25">
      <c r="A5255">
        <f ca="1">31061.7528323266*(RANDBETWEEN(2890,3282))</f>
        <v>93557999.530967712</v>
      </c>
      <c r="B5255">
        <v>244707369.55040422</v>
      </c>
    </row>
    <row r="5256" spans="1:2" x14ac:dyDescent="0.25">
      <c r="A5256">
        <f ca="1">30655.5315101107*(RANDBETWEEN(2890,3282))</f>
        <v>95032147.681343123</v>
      </c>
      <c r="B5256">
        <v>258822078.03895536</v>
      </c>
    </row>
    <row r="5257" spans="1:2" x14ac:dyDescent="0.25">
      <c r="A5257">
        <f ca="1">31899.5344044659*(RANDBETWEEN(2890,3282))</f>
        <v>99239451.532293424</v>
      </c>
      <c r="B5257">
        <v>260332330.88558528</v>
      </c>
    </row>
    <row r="5258" spans="1:2" x14ac:dyDescent="0.25">
      <c r="A5258">
        <f ca="1">30913.0450396298*(RANDBETWEEN(2890,3282))</f>
        <v>99725483.297845677</v>
      </c>
      <c r="B5258">
        <v>240227944.4758037</v>
      </c>
    </row>
    <row r="5259" spans="1:2" x14ac:dyDescent="0.25">
      <c r="A5259">
        <f ca="1">28760.2419343636*(RANDBETWEEN(2890,3282))</f>
        <v>90278399.431967229</v>
      </c>
      <c r="B5259">
        <v>253791537.74754637</v>
      </c>
    </row>
    <row r="5260" spans="1:2" x14ac:dyDescent="0.25">
      <c r="A5260">
        <f ca="1">28237.5162120931*(RANDBETWEEN(2890,3282))</f>
        <v>85136111.379460603</v>
      </c>
      <c r="B5260">
        <v>227619966.48642603</v>
      </c>
    </row>
    <row r="5261" spans="1:2" x14ac:dyDescent="0.25">
      <c r="A5261">
        <f ca="1">28267.3292848775*(RANDBETWEEN(2890,3282))</f>
        <v>83275552.073249146</v>
      </c>
      <c r="B5261">
        <v>263909025.62105575</v>
      </c>
    </row>
    <row r="5262" spans="1:2" x14ac:dyDescent="0.25">
      <c r="A5262">
        <f ca="1">35507.3489953438*(RANDBETWEEN(2890,3282))</f>
        <v>109220605.50967756</v>
      </c>
      <c r="B5262">
        <v>214840437.46728665</v>
      </c>
    </row>
    <row r="5263" spans="1:2" x14ac:dyDescent="0.25">
      <c r="A5263">
        <f ca="1">33091.917939305*(RANDBETWEEN(2890,3282))</f>
        <v>104504276.85232505</v>
      </c>
      <c r="B5263">
        <v>259335312.18075991</v>
      </c>
    </row>
    <row r="5264" spans="1:2" x14ac:dyDescent="0.25">
      <c r="A5264">
        <f ca="1">30456.6996731502*(RANDBETWEEN(2890,3282))</f>
        <v>98253313.145582542</v>
      </c>
      <c r="B5264">
        <v>239629873.56472179</v>
      </c>
    </row>
    <row r="5265" spans="1:2" x14ac:dyDescent="0.25">
      <c r="A5265">
        <f ca="1">26525.2629759066*(RANDBETWEEN(2890,3282))</f>
        <v>82546618.381021455</v>
      </c>
      <c r="B5265">
        <v>223793029.14237899</v>
      </c>
    </row>
    <row r="5266" spans="1:2" x14ac:dyDescent="0.25">
      <c r="A5266">
        <f ca="1">29340.2578451028*(RANDBETWEEN(2890,3282))</f>
        <v>92656534.274834514</v>
      </c>
      <c r="B5266">
        <v>225077964.27003798</v>
      </c>
    </row>
    <row r="5267" spans="1:2" x14ac:dyDescent="0.25">
      <c r="A5267">
        <f ca="1">32909.5578393515*(RANDBETWEEN(2890,3282))</f>
        <v>99650141.137556389</v>
      </c>
      <c r="B5267">
        <v>249629694.25286072</v>
      </c>
    </row>
    <row r="5268" spans="1:2" x14ac:dyDescent="0.25">
      <c r="A5268">
        <f ca="1">24942.2878366956*(RANDBETWEEN(2890,3282))</f>
        <v>75874439.59922792</v>
      </c>
      <c r="B5268">
        <v>207036713.28554872</v>
      </c>
    </row>
    <row r="5269" spans="1:2" x14ac:dyDescent="0.25">
      <c r="A5269">
        <f ca="1">28835.9577019177*(RANDBETWEEN(2890,3282))</f>
        <v>92332736.561540335</v>
      </c>
      <c r="B5269">
        <v>258582773.31416425</v>
      </c>
    </row>
    <row r="5270" spans="1:2" x14ac:dyDescent="0.25">
      <c r="A5270">
        <f ca="1">29958.6411339613*(RANDBETWEEN(2890,3282))</f>
        <v>95148644.241461247</v>
      </c>
      <c r="B5270">
        <v>225741307.78150523</v>
      </c>
    </row>
    <row r="5271" spans="1:2" x14ac:dyDescent="0.25">
      <c r="A5271">
        <f ca="1">26553.0931432474*(RANDBETWEEN(2890,3282))</f>
        <v>84306070.729810581</v>
      </c>
      <c r="B5271">
        <v>213299161.04141623</v>
      </c>
    </row>
    <row r="5272" spans="1:2" x14ac:dyDescent="0.25">
      <c r="A5272">
        <f ca="1">28883.7714594526*(RANDBETWEEN(2890,3282))</f>
        <v>87835549.00819543</v>
      </c>
      <c r="B5272">
        <v>223231749.30459973</v>
      </c>
    </row>
    <row r="5273" spans="1:2" x14ac:dyDescent="0.25">
      <c r="A5273">
        <f ca="1">31750.1339115036*(RANDBETWEEN(2890,3282))</f>
        <v>99377919.143006206</v>
      </c>
      <c r="B5273">
        <v>205712396.23991793</v>
      </c>
    </row>
    <row r="5274" spans="1:2" x14ac:dyDescent="0.25">
      <c r="A5274">
        <f ca="1">29893.1462877062*(RANDBETWEEN(2890,3282))</f>
        <v>91981211.127271876</v>
      </c>
      <c r="B5274">
        <v>255121874.13773564</v>
      </c>
    </row>
    <row r="5275" spans="1:2" x14ac:dyDescent="0.25">
      <c r="A5275">
        <f ca="1">26389.6966444916*(RANDBETWEEN(2890,3282))</f>
        <v>77612097.831449836</v>
      </c>
      <c r="B5275">
        <v>204494796.00106588</v>
      </c>
    </row>
    <row r="5276" spans="1:2" x14ac:dyDescent="0.25">
      <c r="A5276">
        <f ca="1">31679.9541284284*(RANDBETWEEN(2890,3282))</f>
        <v>94976502.47702831</v>
      </c>
      <c r="B5276">
        <v>255619863.68081942</v>
      </c>
    </row>
    <row r="5277" spans="1:2" x14ac:dyDescent="0.25">
      <c r="A5277">
        <f ca="1">31384.4593355624*(RANDBETWEEN(2890,3282))</f>
        <v>96381674.61951226</v>
      </c>
      <c r="B5277">
        <v>263974444.35593516</v>
      </c>
    </row>
    <row r="5278" spans="1:2" x14ac:dyDescent="0.25">
      <c r="A5278">
        <f ca="1">30683.1490037759*(RANDBETWEEN(2890,3282))</f>
        <v>90453923.263131365</v>
      </c>
      <c r="B5278">
        <v>243292186.42792332</v>
      </c>
    </row>
    <row r="5279" spans="1:2" x14ac:dyDescent="0.25">
      <c r="A5279">
        <f ca="1">31060.5627098021*(RANDBETWEEN(2890,3282))</f>
        <v>94641534.576766938</v>
      </c>
      <c r="B5279">
        <v>212026677.66413718</v>
      </c>
    </row>
    <row r="5280" spans="1:2" x14ac:dyDescent="0.25">
      <c r="A5280">
        <f ca="1">29946.7138065019*(RANDBETWEEN(2890,3282))</f>
        <v>88672219.581052244</v>
      </c>
      <c r="B5280">
        <v>241879090.94210315</v>
      </c>
    </row>
    <row r="5281" spans="1:2" x14ac:dyDescent="0.25">
      <c r="A5281">
        <f ca="1">27825.0694372946*(RANDBETWEEN(2890,3282))</f>
        <v>88233295.185661227</v>
      </c>
      <c r="B5281">
        <v>223912566.65488157</v>
      </c>
    </row>
    <row r="5282" spans="1:2" x14ac:dyDescent="0.25">
      <c r="A5282">
        <f ca="1">27644.810292155*(RANDBETWEEN(2890,3282))</f>
        <v>87827562.298176333</v>
      </c>
      <c r="B5282">
        <v>240374550.18958989</v>
      </c>
    </row>
    <row r="5283" spans="1:2" x14ac:dyDescent="0.25">
      <c r="A5283">
        <f ca="1">29042.7361044378*(RANDBETWEEN(2890,3282))</f>
        <v>94417935.075527132</v>
      </c>
      <c r="B5283">
        <v>238690396.95783183</v>
      </c>
    </row>
    <row r="5284" spans="1:2" x14ac:dyDescent="0.25">
      <c r="A5284">
        <f ca="1">26068.9991078829*(RANDBETWEEN(2890,3282))</f>
        <v>76668926.376283586</v>
      </c>
      <c r="B5284">
        <v>261174608.22556967</v>
      </c>
    </row>
    <row r="5285" spans="1:2" x14ac:dyDescent="0.25">
      <c r="A5285">
        <f ca="1">26443.7543440148*(RANDBETWEEN(2890,3282))</f>
        <v>78511506.647379979</v>
      </c>
      <c r="B5285">
        <v>208833647.40791544</v>
      </c>
    </row>
    <row r="5286" spans="1:2" x14ac:dyDescent="0.25">
      <c r="A5286">
        <f ca="1">31748.6190441435*(RANDBETWEEN(2890,3282))</f>
        <v>94706130.608679965</v>
      </c>
      <c r="B5286">
        <v>238274091.66264793</v>
      </c>
    </row>
    <row r="5287" spans="1:2" x14ac:dyDescent="0.25">
      <c r="A5287">
        <f ca="1">27910.6498446238*(RANDBETWEEN(2890,3282))</f>
        <v>90207220.29782407</v>
      </c>
      <c r="B5287">
        <v>213361346.21005359</v>
      </c>
    </row>
    <row r="5288" spans="1:2" x14ac:dyDescent="0.25">
      <c r="A5288">
        <f ca="1">27804.4271566261*(RANDBETWEEN(2890,3282))</f>
        <v>81856233.549107283</v>
      </c>
      <c r="B5288">
        <v>260390458.52573067</v>
      </c>
    </row>
    <row r="5289" spans="1:2" x14ac:dyDescent="0.25">
      <c r="A5289">
        <f ca="1">29626.6222734615*(RANDBETWEEN(2890,3282))</f>
        <v>88553973.975376442</v>
      </c>
      <c r="B5289">
        <v>220035621.0619086</v>
      </c>
    </row>
    <row r="5290" spans="1:2" x14ac:dyDescent="0.25">
      <c r="A5290">
        <f ca="1">29939.8060747112*(RANDBETWEEN(2890,3282))</f>
        <v>95328342.541880533</v>
      </c>
      <c r="B5290">
        <v>211714622.92475384</v>
      </c>
    </row>
    <row r="5291" spans="1:2" x14ac:dyDescent="0.25">
      <c r="A5291">
        <f ca="1">27493.0345297155*(RANDBETWEEN(2890,3282))</f>
        <v>79894758.343353361</v>
      </c>
      <c r="B5291">
        <v>225868098.73473468</v>
      </c>
    </row>
    <row r="5292" spans="1:2" x14ac:dyDescent="0.25">
      <c r="A5292">
        <f ca="1">28019.8208744276*(RANDBETWEEN(2890,3282))</f>
        <v>86525206.860232517</v>
      </c>
      <c r="B5292">
        <v>210228436.49222252</v>
      </c>
    </row>
    <row r="5293" spans="1:2" x14ac:dyDescent="0.25">
      <c r="A5293">
        <f ca="1">31613.9353018614*(RANDBETWEEN(2890,3282))</f>
        <v>101038137.22474916</v>
      </c>
      <c r="B5293">
        <v>204860872.05645669</v>
      </c>
    </row>
    <row r="5294" spans="1:2" x14ac:dyDescent="0.25">
      <c r="A5294">
        <f ca="1">28964.2406893784*(RANDBETWEEN(2890,3282))</f>
        <v>88949183.157081157</v>
      </c>
      <c r="B5294">
        <v>224718901.25117499</v>
      </c>
    </row>
    <row r="5295" spans="1:2" x14ac:dyDescent="0.25">
      <c r="A5295">
        <f ca="1">26580.5041412867*(RANDBETWEEN(2890,3282))</f>
        <v>84074134.598889947</v>
      </c>
      <c r="B5295">
        <v>259957705.88289544</v>
      </c>
    </row>
    <row r="5296" spans="1:2" x14ac:dyDescent="0.25">
      <c r="A5296">
        <f ca="1">26754.8586336106*(RANDBETWEEN(2890,3282))</f>
        <v>81548809.115245163</v>
      </c>
      <c r="B5296">
        <v>250264191.43622708</v>
      </c>
    </row>
    <row r="5297" spans="1:2" x14ac:dyDescent="0.25">
      <c r="A5297">
        <f ca="1">32738.545340738*(RANDBETWEEN(2890,3282))</f>
        <v>96251323.301769659</v>
      </c>
      <c r="B5297">
        <v>206205254.46635747</v>
      </c>
    </row>
    <row r="5298" spans="1:2" x14ac:dyDescent="0.25">
      <c r="A5298">
        <f ca="1">31145.5697100829*(RANDBETWEEN(2890,3282))</f>
        <v>97049595.21661827</v>
      </c>
      <c r="B5298">
        <v>257660916.28945321</v>
      </c>
    </row>
    <row r="5299" spans="1:2" x14ac:dyDescent="0.25">
      <c r="A5299">
        <f ca="1">32740.8917311518*(RANDBETWEEN(2890,3282))</f>
        <v>102282545.76811814</v>
      </c>
      <c r="B5299">
        <v>216087548.61181974</v>
      </c>
    </row>
    <row r="5300" spans="1:2" x14ac:dyDescent="0.25">
      <c r="A5300">
        <f ca="1">29332.5936506815*(RANDBETWEEN(2890,3282))</f>
        <v>92661663.342502892</v>
      </c>
      <c r="B5300">
        <v>245526059.36126143</v>
      </c>
    </row>
    <row r="5301" spans="1:2" x14ac:dyDescent="0.25">
      <c r="A5301">
        <f ca="1">33333.486896733*(RANDBETWEEN(2890,3282))</f>
        <v>99133790.030883953</v>
      </c>
      <c r="B5301">
        <v>226194761.27715087</v>
      </c>
    </row>
    <row r="5302" spans="1:2" x14ac:dyDescent="0.25">
      <c r="A5302">
        <f ca="1">30488.1782737228*(RANDBETWEEN(2890,3282))</f>
        <v>97775587.723828971</v>
      </c>
      <c r="B5302">
        <v>248049465.24837136</v>
      </c>
    </row>
    <row r="5303" spans="1:2" x14ac:dyDescent="0.25">
      <c r="A5303">
        <f ca="1">29035.5184406413*(RANDBETWEEN(2890,3282))</f>
        <v>92507161.751883224</v>
      </c>
      <c r="B5303">
        <v>229525918.70533422</v>
      </c>
    </row>
    <row r="5304" spans="1:2" x14ac:dyDescent="0.25">
      <c r="A5304">
        <f ca="1">30391.1308515226*(RANDBETWEEN(2890,3282))</f>
        <v>95367368.612077981</v>
      </c>
      <c r="B5304">
        <v>249182890.69445273</v>
      </c>
    </row>
    <row r="5305" spans="1:2" x14ac:dyDescent="0.25">
      <c r="A5305">
        <f ca="1">32454.8646032157*(RANDBETWEEN(2890,3282))</f>
        <v>99052246.769014359</v>
      </c>
      <c r="B5305">
        <v>256134457.01320821</v>
      </c>
    </row>
    <row r="5306" spans="1:2" x14ac:dyDescent="0.25">
      <c r="A5306">
        <f ca="1">26887.2604236908*(RANDBETWEEN(2890,3282))</f>
        <v>80608006.750224903</v>
      </c>
      <c r="B5306">
        <v>258271676.49557012</v>
      </c>
    </row>
    <row r="5307" spans="1:2" x14ac:dyDescent="0.25">
      <c r="A5307">
        <f ca="1">29729.6334281896*(RANDBETWEEN(2890,3282))</f>
        <v>91953756.193390355</v>
      </c>
      <c r="B5307">
        <v>209619206.02971905</v>
      </c>
    </row>
    <row r="5308" spans="1:2" x14ac:dyDescent="0.25">
      <c r="A5308">
        <f ca="1">29457.8475416699*(RANDBETWEEN(2890,3282))</f>
        <v>93351918.859551996</v>
      </c>
      <c r="B5308">
        <v>223248467.84140408</v>
      </c>
    </row>
    <row r="5309" spans="1:2" x14ac:dyDescent="0.25">
      <c r="A5309">
        <f ca="1">33051.5023824713*(RANDBETWEEN(2890,3282))</f>
        <v>104112232.50478457</v>
      </c>
      <c r="B5309">
        <v>232502056.21055517</v>
      </c>
    </row>
    <row r="5310" spans="1:2" x14ac:dyDescent="0.25">
      <c r="A5310">
        <f ca="1">31595.6849202772*(RANDBETWEEN(2890,3282))</f>
        <v>99336833.389351547</v>
      </c>
      <c r="B5310">
        <v>260816598.35187805</v>
      </c>
    </row>
    <row r="5311" spans="1:2" x14ac:dyDescent="0.25">
      <c r="A5311">
        <f ca="1">26844.4725432387*(RANDBETWEEN(2890,3282))</f>
        <v>79486483.200529665</v>
      </c>
      <c r="B5311">
        <v>265149465.65087244</v>
      </c>
    </row>
    <row r="5312" spans="1:2" x14ac:dyDescent="0.25">
      <c r="A5312">
        <f ca="1">29287.3458863167*(RANDBETWEEN(2890,3282))</f>
        <v>89179968.22383441</v>
      </c>
      <c r="B5312">
        <v>244058935.38418597</v>
      </c>
    </row>
    <row r="5313" spans="1:2" x14ac:dyDescent="0.25">
      <c r="A5313">
        <f ca="1">31762.4796294836*(RANDBETWEEN(2890,3282))</f>
        <v>95541538.725486532</v>
      </c>
      <c r="B5313">
        <v>206184821.70127758</v>
      </c>
    </row>
    <row r="5314" spans="1:2" x14ac:dyDescent="0.25">
      <c r="A5314">
        <f ca="1">29595.1153761252*(RANDBETWEEN(2890,3282))</f>
        <v>90294697.012558132</v>
      </c>
      <c r="B5314">
        <v>246853501.74833086</v>
      </c>
    </row>
    <row r="5315" spans="1:2" x14ac:dyDescent="0.25">
      <c r="A5315">
        <f ca="1">29336.9658667956*(RANDBETWEEN(2890,3282))</f>
        <v>94817073.681483388</v>
      </c>
      <c r="B5315">
        <v>227609582.27436486</v>
      </c>
    </row>
    <row r="5316" spans="1:2" x14ac:dyDescent="0.25">
      <c r="A5316">
        <f ca="1">27535.7937738443*(RANDBETWEEN(2890,3282))</f>
        <v>89408722.383672595</v>
      </c>
      <c r="B5316">
        <v>220682390.08724725</v>
      </c>
    </row>
    <row r="5317" spans="1:2" x14ac:dyDescent="0.25">
      <c r="A5317">
        <f ca="1">32378.6447160511*(RANDBETWEEN(2890,3282))</f>
        <v>94480885.281437233</v>
      </c>
      <c r="B5317">
        <v>237554353.95062459</v>
      </c>
    </row>
    <row r="5318" spans="1:2" x14ac:dyDescent="0.25">
      <c r="A5318">
        <f ca="1">29278.0175276009*(RANDBETWEEN(2890,3282))</f>
        <v>92928427.632605329</v>
      </c>
      <c r="B5318">
        <v>259074600.0543001</v>
      </c>
    </row>
    <row r="5319" spans="1:2" x14ac:dyDescent="0.25">
      <c r="A5319">
        <f ca="1">33014.5392331441*(RANDBETWEEN(2890,3282))</f>
        <v>95445032.923019603</v>
      </c>
      <c r="B5319">
        <v>260810987.7627466</v>
      </c>
    </row>
    <row r="5320" spans="1:2" x14ac:dyDescent="0.25">
      <c r="A5320">
        <f ca="1">28759.1862916132*(RANDBETWEEN(2890,3282))</f>
        <v>83689232.108594388</v>
      </c>
      <c r="B5320">
        <v>252761966.00324038</v>
      </c>
    </row>
    <row r="5321" spans="1:2" x14ac:dyDescent="0.25">
      <c r="A5321">
        <f ca="1">32463.9511941076*(RANDBETWEEN(2890,3282))</f>
        <v>100930424.26248066</v>
      </c>
      <c r="B5321">
        <v>242316173.81630462</v>
      </c>
    </row>
    <row r="5322" spans="1:2" x14ac:dyDescent="0.25">
      <c r="A5322">
        <f ca="1">26791.8179256445*(RANDBETWEEN(2890,3282))</f>
        <v>87796787.342337012</v>
      </c>
      <c r="B5322">
        <v>228797728.78436488</v>
      </c>
    </row>
    <row r="5323" spans="1:2" x14ac:dyDescent="0.25">
      <c r="A5323">
        <f ca="1">27020.8476713173*(RANDBETWEEN(2890,3282))</f>
        <v>78684708.418876082</v>
      </c>
      <c r="B5323">
        <v>266880044.11881837</v>
      </c>
    </row>
    <row r="5324" spans="1:2" x14ac:dyDescent="0.25">
      <c r="A5324">
        <f ca="1">30840.2031293493*(RANDBETWEEN(2890,3282))</f>
        <v>95666310.107241482</v>
      </c>
      <c r="B5324">
        <v>220301478.27984792</v>
      </c>
    </row>
    <row r="5325" spans="1:2" x14ac:dyDescent="0.25">
      <c r="A5325">
        <f ca="1">32216.1229021018*(RANDBETWEEN(2890,3282))</f>
        <v>97550420.147564292</v>
      </c>
      <c r="B5325">
        <v>255676201.68214226</v>
      </c>
    </row>
    <row r="5326" spans="1:2" x14ac:dyDescent="0.25">
      <c r="A5326">
        <f ca="1">26760.3087952676*(RANDBETWEEN(2890,3282))</f>
        <v>79156993.416401461</v>
      </c>
      <c r="B5326">
        <v>230880522.33059168</v>
      </c>
    </row>
    <row r="5327" spans="1:2" x14ac:dyDescent="0.25">
      <c r="A5327">
        <f ca="1">26583.2746561021*(RANDBETWEEN(2890,3282))</f>
        <v>77649745.27047433</v>
      </c>
      <c r="B5327">
        <v>206032750.41671857</v>
      </c>
    </row>
    <row r="5328" spans="1:2" x14ac:dyDescent="0.25">
      <c r="A5328">
        <f ca="1">32587.6236949781*(RANDBETWEEN(2890,3282))</f>
        <v>104215220.57653989</v>
      </c>
      <c r="B5328">
        <v>237878443.01583844</v>
      </c>
    </row>
    <row r="5329" spans="1:2" x14ac:dyDescent="0.25">
      <c r="A5329">
        <f ca="1">28815.072206634*(RANDBETWEEN(2890,3282))</f>
        <v>86560476.908728451</v>
      </c>
      <c r="B5329">
        <v>266038133.24495482</v>
      </c>
    </row>
    <row r="5330" spans="1:2" x14ac:dyDescent="0.25">
      <c r="A5330">
        <f ca="1">29629.1429024058*(RANDBETWEEN(2890,3282))</f>
        <v>91109614.424897879</v>
      </c>
      <c r="B5330">
        <v>258748795.89712515</v>
      </c>
    </row>
    <row r="5331" spans="1:2" x14ac:dyDescent="0.25">
      <c r="A5331">
        <f ca="1">29733.5705981471*(RANDBETWEEN(2890,3282))</f>
        <v>92382203.848443076</v>
      </c>
      <c r="B5331">
        <v>225012729.37432462</v>
      </c>
    </row>
    <row r="5332" spans="1:2" x14ac:dyDescent="0.25">
      <c r="A5332">
        <f ca="1">26142.8689933428*(RANDBETWEEN(2890,3282))</f>
        <v>82846751.839903235</v>
      </c>
      <c r="B5332">
        <v>213334275.0751828</v>
      </c>
    </row>
    <row r="5333" spans="1:2" x14ac:dyDescent="0.25">
      <c r="A5333">
        <f ca="1">26014.6630647929*(RANDBETWEEN(2890,3282))</f>
        <v>75910786.823065594</v>
      </c>
      <c r="B5333">
        <v>240322451.49128592</v>
      </c>
    </row>
    <row r="5334" spans="1:2" x14ac:dyDescent="0.25">
      <c r="A5334">
        <f ca="1">30863.7842581816*(RANDBETWEEN(2890,3282))</f>
        <v>98085106.372501016</v>
      </c>
      <c r="B5334">
        <v>236199344.36726937</v>
      </c>
    </row>
    <row r="5335" spans="1:2" x14ac:dyDescent="0.25">
      <c r="A5335">
        <f ca="1">26876.9784001688*(RANDBETWEEN(2890,3282))</f>
        <v>84098065.41412814</v>
      </c>
      <c r="B5335">
        <v>232092830.16692311</v>
      </c>
    </row>
    <row r="5336" spans="1:2" x14ac:dyDescent="0.25">
      <c r="A5336">
        <f ca="1">31155.3765337176*(RANDBETWEEN(2890,3282))</f>
        <v>97734416.1862721</v>
      </c>
      <c r="B5336">
        <v>252068749.38713014</v>
      </c>
    </row>
    <row r="5337" spans="1:2" x14ac:dyDescent="0.25">
      <c r="A5337">
        <f ca="1">31606.6971301631*(RANDBETWEEN(2890,3282))</f>
        <v>94029923.962235093</v>
      </c>
      <c r="B5337">
        <v>246587795.68071288</v>
      </c>
    </row>
    <row r="5338" spans="1:2" x14ac:dyDescent="0.25">
      <c r="A5338">
        <f ca="1">30899.8001824898*(RANDBETWEEN(2890,3282))</f>
        <v>91617907.541082129</v>
      </c>
      <c r="B5338">
        <v>252789015.1366863</v>
      </c>
    </row>
    <row r="5339" spans="1:2" x14ac:dyDescent="0.25">
      <c r="A5339">
        <f ca="1">28865.9618228202*(RANDBETWEEN(2890,3282))</f>
        <v>93352520.535000637</v>
      </c>
      <c r="B5339">
        <v>232094502.60057947</v>
      </c>
    </row>
    <row r="5340" spans="1:2" x14ac:dyDescent="0.25">
      <c r="A5340">
        <f ca="1">27483.6711832231*(RANDBETWEEN(2890,3282))</f>
        <v>80554640.238026902</v>
      </c>
      <c r="B5340">
        <v>246068056.44765565</v>
      </c>
    </row>
    <row r="5341" spans="1:2" x14ac:dyDescent="0.25">
      <c r="A5341">
        <f ca="1">27167.8215834901*(RANDBETWEEN(2890,3282))</f>
        <v>85578637.987993777</v>
      </c>
      <c r="B5341">
        <v>237568565.68036836</v>
      </c>
    </row>
    <row r="5342" spans="1:2" x14ac:dyDescent="0.25">
      <c r="A5342">
        <f ca="1">31885.2330553334*(RANDBETWEEN(2890,3282))</f>
        <v>102638565.20511825</v>
      </c>
      <c r="B5342">
        <v>231947089.44233614</v>
      </c>
    </row>
    <row r="5343" spans="1:2" x14ac:dyDescent="0.25">
      <c r="A5343">
        <f ca="1">31560.0197080674*(RANDBETWEEN(2890,3282))</f>
        <v>101560143.42056094</v>
      </c>
      <c r="B5343">
        <v>267734735.76949939</v>
      </c>
    </row>
    <row r="5344" spans="1:2" x14ac:dyDescent="0.25">
      <c r="A5344">
        <f ca="1">29189.752701122*(RANDBETWEEN(2890,3282))</f>
        <v>94487229.493531927</v>
      </c>
      <c r="B5344">
        <v>220782916.64036301</v>
      </c>
    </row>
    <row r="5345" spans="1:2" x14ac:dyDescent="0.25">
      <c r="A5345">
        <f ca="1">31014.9962268902*(RANDBETWEEN(2890,3282))</f>
        <v>98534643.012830213</v>
      </c>
      <c r="B5345">
        <v>225691881.75413874</v>
      </c>
    </row>
    <row r="5346" spans="1:2" x14ac:dyDescent="0.25">
      <c r="A5346">
        <f ca="1">28695.134340537*(RANDBETWEEN(2890,3282))</f>
        <v>83531536.065303102</v>
      </c>
      <c r="B5346">
        <v>212720631.2131373</v>
      </c>
    </row>
    <row r="5347" spans="1:2" x14ac:dyDescent="0.25">
      <c r="A5347">
        <f ca="1">32840.201129192*(RANDBETWEEN(2890,3282))</f>
        <v>107551658.69810382</v>
      </c>
      <c r="B5347">
        <v>260624077.84365973</v>
      </c>
    </row>
    <row r="5348" spans="1:2" x14ac:dyDescent="0.25">
      <c r="A5348">
        <f ca="1">27502.3959236093*(RANDBETWEEN(2890,3282))</f>
        <v>83552278.815925077</v>
      </c>
      <c r="B5348">
        <v>263134541.04698914</v>
      </c>
    </row>
    <row r="5349" spans="1:2" x14ac:dyDescent="0.25">
      <c r="A5349">
        <f ca="1">32766.6451578232*(RANDBETWEEN(2890,3282))</f>
        <v>106917563.14997703</v>
      </c>
      <c r="B5349">
        <v>259686716.5258975</v>
      </c>
    </row>
    <row r="5350" spans="1:2" x14ac:dyDescent="0.25">
      <c r="A5350">
        <f ca="1">28931.9233555423*(RANDBETWEEN(2890,3282))</f>
        <v>86969361.60676004</v>
      </c>
      <c r="B5350">
        <v>221391521.62331694</v>
      </c>
    </row>
    <row r="5351" spans="1:2" x14ac:dyDescent="0.25">
      <c r="A5351">
        <f ca="1">31333.9571236835*(RANDBETWEEN(2890,3282))</f>
        <v>91275817.101289913</v>
      </c>
      <c r="B5351">
        <v>255881638.9038673</v>
      </c>
    </row>
    <row r="5352" spans="1:2" x14ac:dyDescent="0.25">
      <c r="A5352">
        <f ca="1">29425.19512098*(RANDBETWEEN(2890,3282))</f>
        <v>93807522.045684174</v>
      </c>
      <c r="B5352">
        <v>234406179.78007576</v>
      </c>
    </row>
    <row r="5353" spans="1:2" x14ac:dyDescent="0.25">
      <c r="A5353">
        <f ca="1">28297.1630454408*(RANDBETWEEN(2890,3282))</f>
        <v>89984978.484501615</v>
      </c>
      <c r="B5353">
        <v>236340936.03951544</v>
      </c>
    </row>
    <row r="5354" spans="1:2" x14ac:dyDescent="0.25">
      <c r="A5354">
        <f ca="1">27286.4948841097*(RANDBETWEEN(2890,3282))</f>
        <v>79621992.071831971</v>
      </c>
      <c r="B5354">
        <v>231257754.13374913</v>
      </c>
    </row>
    <row r="5355" spans="1:2" x14ac:dyDescent="0.25">
      <c r="A5355">
        <f ca="1">27360.5422210427*(RANDBETWEEN(2890,3282))</f>
        <v>83750619.738611594</v>
      </c>
      <c r="B5355">
        <v>258386404.60657114</v>
      </c>
    </row>
    <row r="5356" spans="1:2" x14ac:dyDescent="0.25">
      <c r="A5356">
        <f ca="1">29677.8997457137*(RANDBETWEEN(2890,3282))</f>
        <v>86600111.457992479</v>
      </c>
      <c r="B5356">
        <v>240426095.02549738</v>
      </c>
    </row>
    <row r="5357" spans="1:2" x14ac:dyDescent="0.25">
      <c r="A5357">
        <f ca="1">30233.4993628908*(RANDBETWEEN(2890,3282))</f>
        <v>98258872.929395035</v>
      </c>
      <c r="B5357">
        <v>267407661.31633446</v>
      </c>
    </row>
    <row r="5358" spans="1:2" x14ac:dyDescent="0.25">
      <c r="A5358">
        <f ca="1">30709.8509650781*(RANDBETWEEN(2890,3282))</f>
        <v>99991274.742294163</v>
      </c>
      <c r="B5358">
        <v>244462165.86688524</v>
      </c>
    </row>
    <row r="5359" spans="1:2" x14ac:dyDescent="0.25">
      <c r="A5359">
        <f ca="1">29653.5241708482*(RANDBETWEEN(2890,3282))</f>
        <v>87507549.828172997</v>
      </c>
      <c r="B5359">
        <v>235612752.53890127</v>
      </c>
    </row>
    <row r="5360" spans="1:2" x14ac:dyDescent="0.25">
      <c r="A5360">
        <f ca="1">32325.9205588395*(RANDBETWEEN(2890,3282))</f>
        <v>101761997.91922659</v>
      </c>
      <c r="B5360">
        <v>246942497.18169981</v>
      </c>
    </row>
    <row r="5361" spans="1:2" x14ac:dyDescent="0.25">
      <c r="A5361">
        <f ca="1">30344.7447642347*(RANDBETWEEN(2890,3282))</f>
        <v>90488028.88694787</v>
      </c>
      <c r="B5361">
        <v>256476732.72614866</v>
      </c>
    </row>
    <row r="5362" spans="1:2" x14ac:dyDescent="0.25">
      <c r="A5362">
        <f ca="1">27463.6827837786*(RANDBETWEEN(2890,3282))</f>
        <v>81210109.991633251</v>
      </c>
      <c r="B5362">
        <v>243867514.17361644</v>
      </c>
    </row>
    <row r="5363" spans="1:2" x14ac:dyDescent="0.25">
      <c r="A5363">
        <f ca="1">31701.9148415316*(RANDBETWEEN(2890,3282))</f>
        <v>97293176.648660555</v>
      </c>
      <c r="B5363">
        <v>249262997.87870315</v>
      </c>
    </row>
    <row r="5364" spans="1:2" x14ac:dyDescent="0.25">
      <c r="A5364">
        <f ca="1">28535.6855224392*(RANDBETWEEN(2890,3282))</f>
        <v>93254620.287331283</v>
      </c>
      <c r="B5364">
        <v>221940986.33112448</v>
      </c>
    </row>
    <row r="5365" spans="1:2" x14ac:dyDescent="0.25">
      <c r="A5365">
        <f ca="1">31727.9823177481*(RANDBETWEEN(2890,3282))</f>
        <v>94390747.395300746</v>
      </c>
      <c r="B5365">
        <v>239614568.07795268</v>
      </c>
    </row>
    <row r="5366" spans="1:2" x14ac:dyDescent="0.25">
      <c r="A5366">
        <f ca="1">34111.3804654067*(RANDBETWEEN(2890,3282))</f>
        <v>105404165.63810681</v>
      </c>
      <c r="B5366">
        <v>244956054.17755041</v>
      </c>
    </row>
    <row r="5367" spans="1:2" x14ac:dyDescent="0.25">
      <c r="A5367">
        <f ca="1">32675.1684034753*(RANDBETWEEN(2890,3282))</f>
        <v>104103086.53347243</v>
      </c>
      <c r="B5367">
        <v>250146265.99768153</v>
      </c>
    </row>
    <row r="5368" spans="1:2" x14ac:dyDescent="0.25">
      <c r="A5368">
        <f ca="1">28807.6391514657*(RANDBETWEEN(2890,3282))</f>
        <v>91291408.470994845</v>
      </c>
      <c r="B5368">
        <v>259202263.75775167</v>
      </c>
    </row>
    <row r="5369" spans="1:2" x14ac:dyDescent="0.25">
      <c r="A5369">
        <f ca="1">30748.3637132265*(RANDBETWEEN(2890,3282))</f>
        <v>93536522.415635139</v>
      </c>
      <c r="B5369">
        <v>257001611.08218837</v>
      </c>
    </row>
    <row r="5370" spans="1:2" x14ac:dyDescent="0.25">
      <c r="A5370">
        <f ca="1">31515.250458192*(RANDBETWEEN(2890,3282))</f>
        <v>100344557.45888339</v>
      </c>
      <c r="B5370">
        <v>264177517.90904394</v>
      </c>
    </row>
    <row r="5371" spans="1:2" x14ac:dyDescent="0.25">
      <c r="A5371">
        <f ca="1">31854.1137339656*(RANDBETWEEN(2890,3282))</f>
        <v>100149333.57958794</v>
      </c>
      <c r="B5371">
        <v>259432915.26905245</v>
      </c>
    </row>
    <row r="5372" spans="1:2" x14ac:dyDescent="0.25">
      <c r="A5372">
        <f ca="1">32783.2242733396*(RANDBETWEEN(2890,3282))</f>
        <v>101365729.45316608</v>
      </c>
      <c r="B5372">
        <v>262897252.92431915</v>
      </c>
    </row>
    <row r="5373" spans="1:2" x14ac:dyDescent="0.25">
      <c r="A5373">
        <f ca="1">26967.4800929425*(RANDBETWEEN(2890,3282))</f>
        <v>86943155.819646671</v>
      </c>
      <c r="B5373">
        <v>224302640.98365584</v>
      </c>
    </row>
    <row r="5374" spans="1:2" x14ac:dyDescent="0.25">
      <c r="A5374">
        <f ca="1">33607.0944752599*(RANDBETWEEN(2890,3282))</f>
        <v>107509095.22635649</v>
      </c>
      <c r="B5374">
        <v>233144570.13796526</v>
      </c>
    </row>
    <row r="5375" spans="1:2" x14ac:dyDescent="0.25">
      <c r="A5375">
        <f ca="1">27373.3564105704*(RANDBETWEEN(2890,3282))</f>
        <v>81134628.400930688</v>
      </c>
      <c r="B5375">
        <v>219882013.18824634</v>
      </c>
    </row>
    <row r="5376" spans="1:2" x14ac:dyDescent="0.25">
      <c r="A5376">
        <f ca="1">29982.8659686838*(RANDBETWEEN(2890,3282))</f>
        <v>87729865.824368939</v>
      </c>
      <c r="B5376">
        <v>225484396.2278432</v>
      </c>
    </row>
    <row r="5377" spans="1:2" x14ac:dyDescent="0.25">
      <c r="A5377">
        <f ca="1">29120.964388243*(RANDBETWEEN(2890,3282))</f>
        <v>86343659.411140457</v>
      </c>
      <c r="B5377">
        <v>226183764.21499002</v>
      </c>
    </row>
    <row r="5378" spans="1:2" x14ac:dyDescent="0.25">
      <c r="A5378">
        <f ca="1">30251.7949116828*(RANDBETWEEN(2890,3282))</f>
        <v>97894808.334205389</v>
      </c>
      <c r="B5378">
        <v>232816764.12049824</v>
      </c>
    </row>
    <row r="5379" spans="1:2" x14ac:dyDescent="0.25">
      <c r="A5379">
        <f ca="1">31016.9354175001*(RANDBETWEEN(2890,3282))</f>
        <v>97455211.081785202</v>
      </c>
      <c r="B5379">
        <v>208429640.42781863</v>
      </c>
    </row>
    <row r="5380" spans="1:2" x14ac:dyDescent="0.25">
      <c r="A5380">
        <f ca="1">29018.0532122742*(RANDBETWEEN(2890,3282))</f>
        <v>91580975.937937364</v>
      </c>
      <c r="B5380">
        <v>236424293.46947658</v>
      </c>
    </row>
    <row r="5381" spans="1:2" x14ac:dyDescent="0.25">
      <c r="A5381">
        <f ca="1">29289.6359322842*(RANDBETWEEN(2890,3282))</f>
        <v>95718530.226704732</v>
      </c>
      <c r="B5381">
        <v>237088746.67252117</v>
      </c>
    </row>
    <row r="5382" spans="1:2" x14ac:dyDescent="0.25">
      <c r="A5382">
        <f ca="1">30843.3833763235*(RANDBETWEEN(2890,3282))</f>
        <v>98205332.670214012</v>
      </c>
      <c r="B5382">
        <v>231888595.49321282</v>
      </c>
    </row>
    <row r="5383" spans="1:2" x14ac:dyDescent="0.25">
      <c r="A5383">
        <f ca="1">33180.3169826331*(RANDBETWEEN(2890,3282))</f>
        <v>106376096.24632186</v>
      </c>
      <c r="B5383">
        <v>251534283.65763849</v>
      </c>
    </row>
    <row r="5384" spans="1:2" x14ac:dyDescent="0.25">
      <c r="A5384">
        <f ca="1">32065.131560536*(RANDBETWEEN(2890,3282))</f>
        <v>100588317.70540144</v>
      </c>
      <c r="B5384">
        <v>237306266.79122818</v>
      </c>
    </row>
    <row r="5385" spans="1:2" x14ac:dyDescent="0.25">
      <c r="A5385">
        <f ca="1">32348.7484358918*(RANDBETWEEN(2890,3282))</f>
        <v>99666493.930982783</v>
      </c>
      <c r="B5385">
        <v>246564422.87162995</v>
      </c>
    </row>
    <row r="5386" spans="1:2" x14ac:dyDescent="0.25">
      <c r="A5386">
        <f ca="1">27696.4095797429*(RANDBETWEEN(2890,3282))</f>
        <v>88960867.570134044</v>
      </c>
      <c r="B5386">
        <v>205564192.87572461</v>
      </c>
    </row>
    <row r="5387" spans="1:2" x14ac:dyDescent="0.25">
      <c r="A5387">
        <f ca="1">30905.9422466273*(RANDBETWEEN(2890,3282))</f>
        <v>91759742.530236363</v>
      </c>
      <c r="B5387">
        <v>242995651.79764086</v>
      </c>
    </row>
    <row r="5388" spans="1:2" x14ac:dyDescent="0.25">
      <c r="A5388">
        <f ca="1">28878.6587272337*(RANDBETWEEN(2890,3282))</f>
        <v>93451339.641328096</v>
      </c>
      <c r="B5388">
        <v>234397110.68651792</v>
      </c>
    </row>
    <row r="5389" spans="1:2" x14ac:dyDescent="0.25">
      <c r="A5389">
        <f ca="1">26582.1605775162*(RANDBETWEEN(2890,3282))</f>
        <v>79852810.374858752</v>
      </c>
      <c r="B5389">
        <v>217147909.02136633</v>
      </c>
    </row>
    <row r="5390" spans="1:2" x14ac:dyDescent="0.25">
      <c r="A5390">
        <f ca="1">29993.4064227592*(RANDBETWEEN(2890,3282))</f>
        <v>88600522.572830632</v>
      </c>
      <c r="B5390">
        <v>234783685.02026629</v>
      </c>
    </row>
    <row r="5391" spans="1:2" x14ac:dyDescent="0.25">
      <c r="A5391">
        <f ca="1">31318.8073248393*(RANDBETWEEN(2890,3282))</f>
        <v>97777316.46814844</v>
      </c>
      <c r="B5391">
        <v>215385208.7384842</v>
      </c>
    </row>
    <row r="5392" spans="1:2" x14ac:dyDescent="0.25">
      <c r="A5392">
        <f ca="1">28541.5115530574*(RANDBETWEEN(2890,3282))</f>
        <v>88393061.279818624</v>
      </c>
      <c r="B5392">
        <v>204634235.97428936</v>
      </c>
    </row>
    <row r="5393" spans="1:2" x14ac:dyDescent="0.25">
      <c r="A5393">
        <f ca="1">28929.8764504058*(RANDBETWEEN(2890,3282))</f>
        <v>93154202.170306578</v>
      </c>
      <c r="B5393">
        <v>212436611.02388674</v>
      </c>
    </row>
    <row r="5394" spans="1:2" x14ac:dyDescent="0.25">
      <c r="A5394">
        <f ca="1">28068.2342496524*(RANDBETWEEN(2890,3282))</f>
        <v>91277897.77986972</v>
      </c>
      <c r="B5394">
        <v>206317296.38419163</v>
      </c>
    </row>
    <row r="5395" spans="1:2" x14ac:dyDescent="0.25">
      <c r="A5395">
        <f ca="1">28893.0892560707*(RANDBETWEEN(2890,3282))</f>
        <v>83905531.199629232</v>
      </c>
      <c r="B5395">
        <v>257195040.24178138</v>
      </c>
    </row>
    <row r="5396" spans="1:2" x14ac:dyDescent="0.25">
      <c r="A5396">
        <f ca="1">29444.3741342114*(RANDBETWEEN(2890,3282))</f>
        <v>95075884.079368562</v>
      </c>
      <c r="B5396">
        <v>219116890.57810542</v>
      </c>
    </row>
    <row r="5397" spans="1:2" x14ac:dyDescent="0.25">
      <c r="A5397">
        <f ca="1">28220.6594802381*(RANDBETWEEN(2890,3282))</f>
        <v>86411659.328489169</v>
      </c>
      <c r="B5397">
        <v>265603291.29628316</v>
      </c>
    </row>
    <row r="5398" spans="1:2" x14ac:dyDescent="0.25">
      <c r="A5398">
        <f ca="1">27877.4789761691*(RANDBETWEEN(2890,3282))</f>
        <v>81541626.005294561</v>
      </c>
      <c r="B5398">
        <v>237228809.83758742</v>
      </c>
    </row>
    <row r="5399" spans="1:2" x14ac:dyDescent="0.25">
      <c r="A5399">
        <f ca="1">30460.6863091009*(RANDBETWEEN(2890,3282))</f>
        <v>94336745.499285415</v>
      </c>
      <c r="B5399">
        <v>236335014.24529502</v>
      </c>
    </row>
    <row r="5400" spans="1:2" x14ac:dyDescent="0.25">
      <c r="A5400">
        <f ca="1">27976.4386182778*(RANDBETWEEN(2890,3282))</f>
        <v>91818671.545187697</v>
      </c>
      <c r="B5400">
        <v>206231926.85032105</v>
      </c>
    </row>
    <row r="5401" spans="1:2" x14ac:dyDescent="0.25">
      <c r="A5401">
        <f ca="1">27993.0125993199*(RANDBETWEEN(2890,3282))</f>
        <v>91453172.161978126</v>
      </c>
      <c r="B5401">
        <v>242544678.24308252</v>
      </c>
    </row>
    <row r="5402" spans="1:2" x14ac:dyDescent="0.25">
      <c r="A5402">
        <f ca="1">32980.9516715837*(RANDBETWEEN(2890,3282))</f>
        <v>98019388.367946669</v>
      </c>
      <c r="B5402">
        <v>228244134.93955868</v>
      </c>
    </row>
    <row r="5403" spans="1:2" x14ac:dyDescent="0.25">
      <c r="A5403">
        <f ca="1">28903.2862917588*(RANDBETWEEN(2890,3282))</f>
        <v>86536439.157525808</v>
      </c>
      <c r="B5403">
        <v>261644374.38966626</v>
      </c>
    </row>
    <row r="5404" spans="1:2" x14ac:dyDescent="0.25">
      <c r="A5404">
        <f ca="1">27951.3281395935*(RANDBETWEEN(2890,3282))</f>
        <v>86090090.669947967</v>
      </c>
      <c r="B5404">
        <v>253754595.90040803</v>
      </c>
    </row>
    <row r="5405" spans="1:2" x14ac:dyDescent="0.25">
      <c r="A5405">
        <f ca="1">32919.8623638852*(RANDBETWEEN(2890,3282))</f>
        <v>96158917.964908674</v>
      </c>
      <c r="B5405">
        <v>254028136.68900627</v>
      </c>
    </row>
    <row r="5406" spans="1:2" x14ac:dyDescent="0.25">
      <c r="A5406">
        <f ca="1">28998.5872692631*(RANDBETWEEN(2890,3282))</f>
        <v>85806819.729749471</v>
      </c>
      <c r="B5406">
        <v>225389187.36613756</v>
      </c>
    </row>
    <row r="5407" spans="1:2" x14ac:dyDescent="0.25">
      <c r="A5407">
        <f ca="1">27774.3262838707*(RANDBETWEEN(2890,3282))</f>
        <v>88266808.930140942</v>
      </c>
      <c r="B5407">
        <v>215983364.10349244</v>
      </c>
    </row>
    <row r="5408" spans="1:2" x14ac:dyDescent="0.25">
      <c r="A5408">
        <f ca="1">27972.8866458158*(RANDBETWEEN(2890,3282))</f>
        <v>84981629.629988357</v>
      </c>
      <c r="B5408">
        <v>246474711.84384757</v>
      </c>
    </row>
    <row r="5409" spans="1:2" x14ac:dyDescent="0.25">
      <c r="A5409">
        <f ca="1">27737.9040807045*(RANDBETWEEN(2890,3282))</f>
        <v>84295490.50126107</v>
      </c>
      <c r="B5409">
        <v>219914967.17956454</v>
      </c>
    </row>
    <row r="5410" spans="1:2" x14ac:dyDescent="0.25">
      <c r="A5410">
        <f ca="1">29587.068319673*(RANDBETWEEN(2890,3282))</f>
        <v>88968314.437256634</v>
      </c>
      <c r="B5410">
        <v>212824591.12362352</v>
      </c>
    </row>
    <row r="5411" spans="1:2" x14ac:dyDescent="0.25">
      <c r="A5411">
        <f ca="1">31208.778533921*(RANDBETWEEN(2890,3282))</f>
        <v>101303695.12110761</v>
      </c>
      <c r="B5411">
        <v>225287474.67687839</v>
      </c>
    </row>
    <row r="5412" spans="1:2" x14ac:dyDescent="0.25">
      <c r="A5412">
        <f ca="1">35310.3202146073*(RANDBETWEEN(2890,3282))</f>
        <v>106743098.0087578</v>
      </c>
      <c r="B5412">
        <v>215269243.05959672</v>
      </c>
    </row>
    <row r="5413" spans="1:2" x14ac:dyDescent="0.25">
      <c r="A5413">
        <f ca="1">32701.5745190435*(RANDBETWEEN(2890,3282))</f>
        <v>96600451.129254565</v>
      </c>
      <c r="B5413">
        <v>235088332.32953358</v>
      </c>
    </row>
    <row r="5414" spans="1:2" x14ac:dyDescent="0.25">
      <c r="A5414">
        <f ca="1">32709.5882764852*(RANDBETWEEN(2890,3282))</f>
        <v>105259455.07372925</v>
      </c>
      <c r="B5414">
        <v>253581692.86790949</v>
      </c>
    </row>
    <row r="5415" spans="1:2" x14ac:dyDescent="0.25">
      <c r="A5415">
        <f ca="1">29399.4297755885*(RANDBETWEEN(2890,3282))</f>
        <v>93372588.967269063</v>
      </c>
      <c r="B5415">
        <v>235335785.05290356</v>
      </c>
    </row>
    <row r="5416" spans="1:2" x14ac:dyDescent="0.25">
      <c r="A5416">
        <f ca="1">30696.2288777525*(RANDBETWEEN(2890,3282))</f>
        <v>95833626.556343257</v>
      </c>
      <c r="B5416">
        <v>240852953.67071319</v>
      </c>
    </row>
    <row r="5417" spans="1:2" x14ac:dyDescent="0.25">
      <c r="A5417">
        <f ca="1">27301.7861622986*(RANDBETWEEN(2890,3282))</f>
        <v>89522556.82617721</v>
      </c>
      <c r="B5417">
        <v>225195190.83529875</v>
      </c>
    </row>
    <row r="5418" spans="1:2" x14ac:dyDescent="0.25">
      <c r="A5418">
        <f ca="1">26294.5063855584*(RANDBETWEEN(2890,3282))</f>
        <v>76306657.530890331</v>
      </c>
      <c r="B5418">
        <v>231076871.88996381</v>
      </c>
    </row>
    <row r="5419" spans="1:2" x14ac:dyDescent="0.25">
      <c r="A5419">
        <f ca="1">26697.1423899548*(RANDBETWEEN(2890,3282))</f>
        <v>77742078.639548466</v>
      </c>
      <c r="B5419">
        <v>238767552.03429529</v>
      </c>
    </row>
    <row r="5420" spans="1:2" x14ac:dyDescent="0.25">
      <c r="A5420">
        <f ca="1">31194.2403153533*(RANDBETWEEN(2890,3282))</f>
        <v>92490922.535022661</v>
      </c>
      <c r="B5420">
        <v>255072370.13295284</v>
      </c>
    </row>
    <row r="5421" spans="1:2" x14ac:dyDescent="0.25">
      <c r="A5421">
        <f ca="1">27177.3415771354*(RANDBETWEEN(2890,3282))</f>
        <v>79140418.672618344</v>
      </c>
      <c r="B5421">
        <v>264049555.77119246</v>
      </c>
    </row>
    <row r="5422" spans="1:2" x14ac:dyDescent="0.25">
      <c r="A5422">
        <f ca="1">29951.6244724441*(RANDBETWEEN(2890,3282))</f>
        <v>92820084.240104347</v>
      </c>
      <c r="B5422">
        <v>232373684.97141808</v>
      </c>
    </row>
    <row r="5423" spans="1:2" x14ac:dyDescent="0.25">
      <c r="A5423">
        <f ca="1">27580.8293695381*(RANDBETWEEN(2890,3282))</f>
        <v>79956824.342290953</v>
      </c>
      <c r="B5423">
        <v>215217272.0904071</v>
      </c>
    </row>
    <row r="5424" spans="1:2" x14ac:dyDescent="0.25">
      <c r="A5424">
        <f ca="1">26727.7589635851*(RANDBETWEEN(2890,3282))</f>
        <v>84379535.048038095</v>
      </c>
      <c r="B5424">
        <v>257770997.03412426</v>
      </c>
    </row>
    <row r="5425" spans="1:2" x14ac:dyDescent="0.25">
      <c r="A5425">
        <f ca="1">30592.8930524689*(RANDBETWEEN(2890,3282))</f>
        <v>90432591.86309804</v>
      </c>
      <c r="B5425">
        <v>232057519.0948689</v>
      </c>
    </row>
    <row r="5426" spans="1:2" x14ac:dyDescent="0.25">
      <c r="A5426">
        <f ca="1">26623.3570722142*(RANDBETWEEN(2890,3282))</f>
        <v>85088249.202796578</v>
      </c>
      <c r="B5426">
        <v>238790756.694096</v>
      </c>
    </row>
    <row r="5427" spans="1:2" x14ac:dyDescent="0.25">
      <c r="A5427">
        <f ca="1">27596.6068472609*(RANDBETWEEN(2890,3282))</f>
        <v>81685956.267892346</v>
      </c>
      <c r="B5427">
        <v>221034520.185572</v>
      </c>
    </row>
    <row r="5428" spans="1:2" x14ac:dyDescent="0.25">
      <c r="A5428">
        <f ca="1">26247.4372140596*(RANDBETWEEN(2890,3282))</f>
        <v>80369652.749450386</v>
      </c>
      <c r="B5428">
        <v>221469118.5907639</v>
      </c>
    </row>
    <row r="5429" spans="1:2" x14ac:dyDescent="0.25">
      <c r="A5429">
        <f ca="1">29892.4015107781*(RANDBETWEEN(2890,3282))</f>
        <v>95386653.22089301</v>
      </c>
      <c r="B5429">
        <v>253199156.03629482</v>
      </c>
    </row>
    <row r="5430" spans="1:2" x14ac:dyDescent="0.25">
      <c r="A5430">
        <f ca="1">32994.9949393156*(RANDBETWEEN(2890,3282))</f>
        <v>103505299.12463319</v>
      </c>
      <c r="B5430">
        <v>219882406.67749581</v>
      </c>
    </row>
    <row r="5431" spans="1:2" x14ac:dyDescent="0.25">
      <c r="A5431">
        <f ca="1">31711.7248431362*(RANDBETWEEN(2890,3282))</f>
        <v>101318960.8738203</v>
      </c>
      <c r="B5431">
        <v>254781567.79091901</v>
      </c>
    </row>
    <row r="5432" spans="1:2" x14ac:dyDescent="0.25">
      <c r="A5432">
        <f ca="1">29602.9311049429*(RANDBETWEEN(2890,3282))</f>
        <v>93071615.393940538</v>
      </c>
      <c r="B5432">
        <v>240997618.79790881</v>
      </c>
    </row>
    <row r="5433" spans="1:2" x14ac:dyDescent="0.25">
      <c r="A5433">
        <f ca="1">30443.159564947*(RANDBETWEEN(2890,3282))</f>
        <v>95987282.108277962</v>
      </c>
      <c r="B5433">
        <v>251967135.49349144</v>
      </c>
    </row>
    <row r="5434" spans="1:2" x14ac:dyDescent="0.25">
      <c r="A5434">
        <f ca="1">29930.2475054024*(RANDBETWEEN(2890,3282))</f>
        <v>96644769.194944233</v>
      </c>
      <c r="B5434">
        <v>221989667.28057182</v>
      </c>
    </row>
    <row r="5435" spans="1:2" x14ac:dyDescent="0.25">
      <c r="A5435">
        <f ca="1">29641.4153508728*(RANDBETWEEN(2890,3282))</f>
        <v>92599781.556126773</v>
      </c>
      <c r="B5435">
        <v>243580696.50044075</v>
      </c>
    </row>
    <row r="5436" spans="1:2" x14ac:dyDescent="0.25">
      <c r="A5436">
        <f ca="1">31183.7829629915*(RANDBETWEEN(2890,3282))</f>
        <v>91368484.081565097</v>
      </c>
      <c r="B5436">
        <v>254594668.45258844</v>
      </c>
    </row>
    <row r="5437" spans="1:2" x14ac:dyDescent="0.25">
      <c r="A5437">
        <f ca="1">28145.0576635096*(RANDBETWEEN(2890,3282))</f>
        <v>84210012.52922073</v>
      </c>
      <c r="B5437">
        <v>267464883.60723776</v>
      </c>
    </row>
    <row r="5438" spans="1:2" x14ac:dyDescent="0.25">
      <c r="A5438">
        <f ca="1">33068.6776218394*(RANDBETWEEN(2890,3282))</f>
        <v>106249661.19897006</v>
      </c>
      <c r="B5438">
        <v>236754043.59292459</v>
      </c>
    </row>
    <row r="5439" spans="1:2" x14ac:dyDescent="0.25">
      <c r="A5439">
        <f ca="1">30316.7252570029*(RANDBETWEEN(2890,3282))</f>
        <v>97498588.426521197</v>
      </c>
      <c r="B5439">
        <v>228254185.86665577</v>
      </c>
    </row>
    <row r="5440" spans="1:2" x14ac:dyDescent="0.25">
      <c r="A5440">
        <f ca="1">26833.9433218338*(RANDBETWEEN(2890,3282))</f>
        <v>84258582.030558303</v>
      </c>
      <c r="B5440">
        <v>204728846.65819043</v>
      </c>
    </row>
    <row r="5441" spans="1:2" x14ac:dyDescent="0.25">
      <c r="A5441">
        <f ca="1">27115.9601794173*(RANDBETWEEN(2890,3282))</f>
        <v>83218881.790631607</v>
      </c>
      <c r="B5441">
        <v>226724095.34139991</v>
      </c>
    </row>
    <row r="5442" spans="1:2" x14ac:dyDescent="0.25">
      <c r="A5442">
        <f ca="1">29915.3684091912*(RANDBETWEEN(2890,3282))</f>
        <v>95878755.751457661</v>
      </c>
      <c r="B5442">
        <v>216213140.40117082</v>
      </c>
    </row>
    <row r="5443" spans="1:2" x14ac:dyDescent="0.25">
      <c r="A5443">
        <f ca="1">30550.4256261593*(RANDBETWEEN(2890,3282))</f>
        <v>90490360.7046839</v>
      </c>
      <c r="B5443">
        <v>255173267.09486657</v>
      </c>
    </row>
    <row r="5444" spans="1:2" x14ac:dyDescent="0.25">
      <c r="A5444">
        <f ca="1">30386.3389407263*(RANDBETWEEN(2890,3282))</f>
        <v>88333087.300691217</v>
      </c>
      <c r="B5444">
        <v>208274466.55387858</v>
      </c>
    </row>
    <row r="5445" spans="1:2" x14ac:dyDescent="0.25">
      <c r="A5445">
        <f ca="1">32470.3638294531*(RANDBETWEEN(2890,3282))</f>
        <v>100852950.0542812</v>
      </c>
      <c r="B5445">
        <v>240937995.21093106</v>
      </c>
    </row>
    <row r="5446" spans="1:2" x14ac:dyDescent="0.25">
      <c r="A5446">
        <f ca="1">32896.2610710354*(RANDBETWEEN(2890,3282))</f>
        <v>100596766.35522616</v>
      </c>
      <c r="B5446">
        <v>255835859.54687142</v>
      </c>
    </row>
    <row r="5447" spans="1:2" x14ac:dyDescent="0.25">
      <c r="A5447">
        <f ca="1">29898.6411280102*(RANDBETWEEN(2890,3282))</f>
        <v>96602509.484600812</v>
      </c>
      <c r="B5447">
        <v>266462428.54270345</v>
      </c>
    </row>
    <row r="5448" spans="1:2" x14ac:dyDescent="0.25">
      <c r="A5448">
        <f ca="1">28373.9586420458*(RANDBETWEEN(2890,3282))</f>
        <v>91676260.372449875</v>
      </c>
      <c r="B5448">
        <v>231969308.90500355</v>
      </c>
    </row>
    <row r="5449" spans="1:2" x14ac:dyDescent="0.25">
      <c r="A5449">
        <f ca="1">27998.9677256299*(RANDBETWEEN(2890,3282))</f>
        <v>81616990.920211211</v>
      </c>
      <c r="B5449">
        <v>205364313.45345122</v>
      </c>
    </row>
    <row r="5450" spans="1:2" x14ac:dyDescent="0.25">
      <c r="A5450">
        <f ca="1">28886.9433297142*(RANDBETWEEN(2890,3282))</f>
        <v>91687158.128513023</v>
      </c>
      <c r="B5450">
        <v>247546404.6687693</v>
      </c>
    </row>
    <row r="5451" spans="1:2" x14ac:dyDescent="0.25">
      <c r="A5451">
        <f ca="1">26724.0388990031*(RANDBETWEEN(2890,3282))</f>
        <v>83993654.259566635</v>
      </c>
      <c r="B5451">
        <v>205106281.86142504</v>
      </c>
    </row>
    <row r="5452" spans="1:2" x14ac:dyDescent="0.25">
      <c r="A5452">
        <f ca="1">28520.2559470325*(RANDBETWEEN(2890,3282))</f>
        <v>92291548.244597197</v>
      </c>
      <c r="B5452">
        <v>233737439.018572</v>
      </c>
    </row>
    <row r="5453" spans="1:2" x14ac:dyDescent="0.25">
      <c r="A5453">
        <f ca="1">31090.5429750091*(RANDBETWEEN(2890,3282))</f>
        <v>90815476.030001521</v>
      </c>
      <c r="B5453">
        <v>251176874.14064914</v>
      </c>
    </row>
    <row r="5454" spans="1:2" x14ac:dyDescent="0.25">
      <c r="A5454">
        <f ca="1">29781.5345981423*(RANDBETWEEN(2890,3282))</f>
        <v>92173849.581250489</v>
      </c>
      <c r="B5454">
        <v>250941774.98186731</v>
      </c>
    </row>
    <row r="5455" spans="1:2" x14ac:dyDescent="0.25">
      <c r="A5455">
        <f ca="1">31861.7455578882*(RANDBETWEEN(2890,3282))</f>
        <v>99026305.193916395</v>
      </c>
      <c r="B5455">
        <v>233576348.32930362</v>
      </c>
    </row>
    <row r="5456" spans="1:2" x14ac:dyDescent="0.25">
      <c r="A5456">
        <f ca="1">29750.3662568953*(RANDBETWEEN(2890,3282))</f>
        <v>94249160.301844329</v>
      </c>
      <c r="B5456">
        <v>205843638.54253381</v>
      </c>
    </row>
    <row r="5457" spans="1:2" x14ac:dyDescent="0.25">
      <c r="A5457">
        <f ca="1">30344.5118598255*(RANDBETWEEN(2890,3282))</f>
        <v>99560343.412087336</v>
      </c>
      <c r="B5457">
        <v>236949611.06149665</v>
      </c>
    </row>
    <row r="5458" spans="1:2" x14ac:dyDescent="0.25">
      <c r="A5458">
        <f ca="1">33763.0135349926*(RANDBETWEEN(2890,3282))</f>
        <v>104732867.9855472</v>
      </c>
      <c r="B5458">
        <v>206249944.19056809</v>
      </c>
    </row>
    <row r="5459" spans="1:2" x14ac:dyDescent="0.25">
      <c r="A5459">
        <f ca="1">28293.4962304054*(RANDBETWEEN(2890,3282))</f>
        <v>91303112.335518286</v>
      </c>
      <c r="B5459">
        <v>224826590.36323738</v>
      </c>
    </row>
    <row r="5460" spans="1:2" x14ac:dyDescent="0.25">
      <c r="A5460">
        <f ca="1">29848.5217534383*(RANDBETWEEN(2890,3282))</f>
        <v>88829200.738232449</v>
      </c>
      <c r="B5460">
        <v>245398122.49869436</v>
      </c>
    </row>
    <row r="5461" spans="1:2" x14ac:dyDescent="0.25">
      <c r="A5461">
        <f ca="1">27567.2786842823*(RANDBETWEEN(2890,3282))</f>
        <v>84328305.495219424</v>
      </c>
      <c r="B5461">
        <v>262786881.62560433</v>
      </c>
    </row>
    <row r="5462" spans="1:2" x14ac:dyDescent="0.25">
      <c r="A5462">
        <f ca="1">28538.5483391232*(RANDBETWEEN(2890,3282))</f>
        <v>82847405.828474715</v>
      </c>
      <c r="B5462">
        <v>215026272.51773944</v>
      </c>
    </row>
    <row r="5463" spans="1:2" x14ac:dyDescent="0.25">
      <c r="A5463">
        <f ca="1">29535.4754196763*(RANDBETWEEN(2890,3282))</f>
        <v>89492490.521619052</v>
      </c>
      <c r="B5463">
        <v>245492405.94393003</v>
      </c>
    </row>
    <row r="5464" spans="1:2" x14ac:dyDescent="0.25">
      <c r="A5464">
        <f ca="1">33199.3526114562*(RANDBETWEEN(2890,3282))</f>
        <v>108030693.39767839</v>
      </c>
      <c r="B5464">
        <v>258516294.7857191</v>
      </c>
    </row>
    <row r="5465" spans="1:2" x14ac:dyDescent="0.25">
      <c r="A5465">
        <f ca="1">30610.801122017*(RANDBETWEEN(2890,3282))</f>
        <v>88832544.856093332</v>
      </c>
      <c r="B5465">
        <v>209123094.51358935</v>
      </c>
    </row>
    <row r="5466" spans="1:2" x14ac:dyDescent="0.25">
      <c r="A5466">
        <f ca="1">29277.6444017709*(RANDBETWEEN(2890,3282))</f>
        <v>87013159.162063107</v>
      </c>
      <c r="B5466">
        <v>250908939.41528052</v>
      </c>
    </row>
    <row r="5467" spans="1:2" x14ac:dyDescent="0.25">
      <c r="A5467">
        <f ca="1">31191.6907919973*(RANDBETWEEN(2890,3282))</f>
        <v>91017353.731048152</v>
      </c>
      <c r="B5467">
        <v>204127577.0051257</v>
      </c>
    </row>
    <row r="5468" spans="1:2" x14ac:dyDescent="0.25">
      <c r="A5468">
        <f ca="1">28518.0096669663*(RANDBETWEEN(2890,3282))</f>
        <v>83158516.188873664</v>
      </c>
      <c r="B5468">
        <v>203974499.45000812</v>
      </c>
    </row>
    <row r="5469" spans="1:2" x14ac:dyDescent="0.25">
      <c r="A5469">
        <f ca="1">27968.1664228166*(RANDBETWEEN(2890,3282))</f>
        <v>81639077.788201794</v>
      </c>
      <c r="B5469">
        <v>241254810.9096081</v>
      </c>
    </row>
    <row r="5470" spans="1:2" x14ac:dyDescent="0.25">
      <c r="A5470">
        <f ca="1">32054.34681455*(RANDBETWEEN(2890,3282))</f>
        <v>101484062.01486541</v>
      </c>
      <c r="B5470">
        <v>267361467.14032328</v>
      </c>
    </row>
    <row r="5471" spans="1:2" x14ac:dyDescent="0.25">
      <c r="A5471">
        <f ca="1">27110.7414940949*(RANDBETWEEN(2890,3282))</f>
        <v>86049493.502257168</v>
      </c>
      <c r="B5471">
        <v>215995504.49558002</v>
      </c>
    </row>
    <row r="5472" spans="1:2" x14ac:dyDescent="0.25">
      <c r="A5472">
        <f ca="1">30032.1709389114*(RANDBETWEEN(2890,3282))</f>
        <v>87003199.210026205</v>
      </c>
      <c r="B5472">
        <v>242962451.43746918</v>
      </c>
    </row>
    <row r="5473" spans="1:2" x14ac:dyDescent="0.25">
      <c r="A5473">
        <f ca="1">27739.9007669157*(RANDBETWEEN(2890,3282))</f>
        <v>80307012.720220923</v>
      </c>
      <c r="B5473">
        <v>246387743.89618397</v>
      </c>
    </row>
    <row r="5474" spans="1:2" x14ac:dyDescent="0.25">
      <c r="A5474">
        <f ca="1">32406.9660474349*(RANDBETWEEN(2890,3282))</f>
        <v>102114350.01546742</v>
      </c>
      <c r="B5474">
        <v>257075990.82753855</v>
      </c>
    </row>
    <row r="5475" spans="1:2" x14ac:dyDescent="0.25">
      <c r="A5475">
        <f ca="1">26977.3022786462*(RANDBETWEEN(2890,3282))</f>
        <v>86381321.896225005</v>
      </c>
      <c r="B5475">
        <v>207841135.57291853</v>
      </c>
    </row>
    <row r="5476" spans="1:2" x14ac:dyDescent="0.25">
      <c r="A5476">
        <f ca="1">31788.7206058397*(RANDBETWEEN(2890,3282))</f>
        <v>93140951.375110313</v>
      </c>
      <c r="B5476">
        <v>251393747.73994103</v>
      </c>
    </row>
    <row r="5477" spans="1:2" x14ac:dyDescent="0.25">
      <c r="A5477">
        <f ca="1">32247.0865908789*(RANDBETWEEN(2890,3282))</f>
        <v>102577982.44558568</v>
      </c>
      <c r="B5477">
        <v>241832957.20903349</v>
      </c>
    </row>
    <row r="5478" spans="1:2" x14ac:dyDescent="0.25">
      <c r="A5478">
        <f ca="1">32104.6202421209*(RANDBETWEEN(2890,3282))</f>
        <v>103152144.8379346</v>
      </c>
      <c r="B5478">
        <v>248011344.34338796</v>
      </c>
    </row>
    <row r="5479" spans="1:2" x14ac:dyDescent="0.25">
      <c r="A5479">
        <f ca="1">29022.1026177994*(RANDBETWEEN(2890,3282))</f>
        <v>93218993.608371571</v>
      </c>
      <c r="B5479">
        <v>260618185.64100671</v>
      </c>
    </row>
    <row r="5480" spans="1:2" x14ac:dyDescent="0.25">
      <c r="A5480">
        <f ca="1">32015.3151576167*(RANDBETWEEN(2890,3282))</f>
        <v>104626049.93509129</v>
      </c>
      <c r="B5480">
        <v>234190985.19598827</v>
      </c>
    </row>
    <row r="5481" spans="1:2" x14ac:dyDescent="0.25">
      <c r="A5481">
        <f ca="1">29839.6059736927*(RANDBETWEEN(2890,3282))</f>
        <v>89309940.67926237</v>
      </c>
      <c r="B5481">
        <v>212289388.06724152</v>
      </c>
    </row>
    <row r="5482" spans="1:2" x14ac:dyDescent="0.25">
      <c r="A5482">
        <f ca="1">30515.3594212061*(RANDBETWEEN(2890,3282))</f>
        <v>92125870.092621177</v>
      </c>
      <c r="B5482">
        <v>232986283.7997846</v>
      </c>
    </row>
    <row r="5483" spans="1:2" x14ac:dyDescent="0.25">
      <c r="A5483">
        <f ca="1">29526.9993063796*(RANDBETWEEN(2890,3282))</f>
        <v>85598770.989194587</v>
      </c>
      <c r="B5483">
        <v>223491828.10011426</v>
      </c>
    </row>
    <row r="5484" spans="1:2" x14ac:dyDescent="0.25">
      <c r="A5484">
        <f ca="1">31548.2602906999*(RANDBETWEEN(2890,3282))</f>
        <v>92625692.213495001</v>
      </c>
      <c r="B5484">
        <v>211781110.50765958</v>
      </c>
    </row>
    <row r="5485" spans="1:2" x14ac:dyDescent="0.25">
      <c r="A5485">
        <f ca="1">31495.0457860304*(RANDBETWEEN(2890,3282))</f>
        <v>91461612.962632194</v>
      </c>
      <c r="B5485">
        <v>216342912.51175496</v>
      </c>
    </row>
    <row r="5486" spans="1:2" x14ac:dyDescent="0.25">
      <c r="A5486">
        <f ca="1">31540.2034932461*(RANDBETWEEN(2890,3282))</f>
        <v>101559455.2482523</v>
      </c>
      <c r="B5486">
        <v>252928069.68533704</v>
      </c>
    </row>
    <row r="5487" spans="1:2" x14ac:dyDescent="0.25">
      <c r="A5487">
        <f ca="1">31358.3389098539*(RANDBETWEEN(2890,3282))</f>
        <v>97555792.348555356</v>
      </c>
      <c r="B5487">
        <v>216148154.18192059</v>
      </c>
    </row>
    <row r="5488" spans="1:2" x14ac:dyDescent="0.25">
      <c r="A5488">
        <f ca="1">30511.5770340715*(RANDBETWEEN(2890,3282))</f>
        <v>95897886.618086874</v>
      </c>
      <c r="B5488">
        <v>247084462.22164109</v>
      </c>
    </row>
    <row r="5489" spans="1:2" x14ac:dyDescent="0.25">
      <c r="A5489">
        <f ca="1">28845.1893027356*(RANDBETWEEN(2890,3282))</f>
        <v>87920136.994738221</v>
      </c>
      <c r="B5489">
        <v>215514873.93536934</v>
      </c>
    </row>
    <row r="5490" spans="1:2" x14ac:dyDescent="0.25">
      <c r="A5490">
        <f ca="1">32743.3897775785*(RANDBETWEEN(2890,3282))</f>
        <v>102617783.56293108</v>
      </c>
      <c r="B5490">
        <v>247941358.25910941</v>
      </c>
    </row>
    <row r="5491" spans="1:2" x14ac:dyDescent="0.25">
      <c r="A5491">
        <f ca="1">31255.5591687489*(RANDBETWEEN(2890,3282))</f>
        <v>98267478.026546389</v>
      </c>
      <c r="B5491">
        <v>243186480.84770596</v>
      </c>
    </row>
    <row r="5492" spans="1:2" x14ac:dyDescent="0.25">
      <c r="A5492">
        <f ca="1">31777.2038633574*(RANDBETWEEN(2890,3282))</f>
        <v>100543073.02366269</v>
      </c>
      <c r="B5492">
        <v>259840558.64726734</v>
      </c>
    </row>
    <row r="5493" spans="1:2" x14ac:dyDescent="0.25">
      <c r="A5493">
        <f ca="1">31353.1587256998*(RANDBETWEEN(2890,3282))</f>
        <v>100110635.81115955</v>
      </c>
      <c r="B5493">
        <v>212337847.80853331</v>
      </c>
    </row>
    <row r="5494" spans="1:2" x14ac:dyDescent="0.25">
      <c r="A5494">
        <f ca="1">34122.5443659116*(RANDBETWEEN(2890,3282))</f>
        <v>105233926.82447149</v>
      </c>
      <c r="B5494">
        <v>230992717.59378189</v>
      </c>
    </row>
    <row r="5495" spans="1:2" x14ac:dyDescent="0.25">
      <c r="A5495">
        <f ca="1">32925.912209767*(RANDBETWEEN(2890,3282))</f>
        <v>96670478.24787578</v>
      </c>
      <c r="B5495">
        <v>264452850.37034905</v>
      </c>
    </row>
    <row r="5496" spans="1:2" x14ac:dyDescent="0.25">
      <c r="A5496">
        <f ca="1">30603.7898635593*(RANDBETWEEN(2890,3282))</f>
        <v>93035521.185220346</v>
      </c>
      <c r="B5496">
        <v>265415605.0059917</v>
      </c>
    </row>
    <row r="5497" spans="1:2" x14ac:dyDescent="0.25">
      <c r="A5497">
        <f ca="1">28178.6174903197*(RANDBETWEEN(2890,3282))</f>
        <v>82732420.951578751</v>
      </c>
      <c r="B5497">
        <v>247104552.05857682</v>
      </c>
    </row>
    <row r="5498" spans="1:2" x14ac:dyDescent="0.25">
      <c r="A5498">
        <f ca="1">27241.3803608064*(RANDBETWEEN(2890,3282))</f>
        <v>88561727.552981719</v>
      </c>
      <c r="B5498">
        <v>213764947.1871289</v>
      </c>
    </row>
    <row r="5499" spans="1:2" x14ac:dyDescent="0.25">
      <c r="A5499">
        <f ca="1">31228.2590138767*(RANDBETWEEN(2890,3282))</f>
        <v>94621624.812046453</v>
      </c>
      <c r="B5499">
        <v>256709056.95751676</v>
      </c>
    </row>
    <row r="5500" spans="1:2" x14ac:dyDescent="0.25">
      <c r="A5500">
        <f ca="1">27789.152735282*(RANDBETWEEN(2890,3282))</f>
        <v>90286957.23693116</v>
      </c>
      <c r="B5500">
        <v>243662903.66941261</v>
      </c>
    </row>
    <row r="5501" spans="1:2" x14ac:dyDescent="0.25">
      <c r="A5501">
        <f ca="1">31489.2327325525*(RANDBETWEEN(2890,3282))</f>
        <v>101206394.0024236</v>
      </c>
      <c r="B5501">
        <v>267569268.69399583</v>
      </c>
    </row>
    <row r="5502" spans="1:2" x14ac:dyDescent="0.25">
      <c r="A5502">
        <f ca="1">27116.3275842526*(RANDBETWEEN(2890,3282))</f>
        <v>81457448.063094765</v>
      </c>
      <c r="B5502">
        <v>235070382.05646259</v>
      </c>
    </row>
    <row r="5503" spans="1:2" x14ac:dyDescent="0.25">
      <c r="A5503">
        <f ca="1">26758.239273547*(RANDBETWEEN(2890,3282))</f>
        <v>79980377.188632071</v>
      </c>
      <c r="B5503">
        <v>254164641.62157261</v>
      </c>
    </row>
    <row r="5504" spans="1:2" x14ac:dyDescent="0.25">
      <c r="A5504">
        <f ca="1">30608.0741393136*(RANDBETWEEN(2890,3282))</f>
        <v>96476649.687116548</v>
      </c>
      <c r="B5504">
        <v>241016748.61342764</v>
      </c>
    </row>
    <row r="5505" spans="1:2" x14ac:dyDescent="0.25">
      <c r="A5505">
        <f ca="1">29176.2596107552*(RANDBETWEEN(2890,3282))</f>
        <v>89075120.591635615</v>
      </c>
      <c r="B5505">
        <v>235454333.38884869</v>
      </c>
    </row>
    <row r="5506" spans="1:2" x14ac:dyDescent="0.25">
      <c r="A5506">
        <f ca="1">30229.9758812238*(RANDBETWEEN(2890,3282))</f>
        <v>90206248.02957195</v>
      </c>
      <c r="B5506">
        <v>255223540.91356388</v>
      </c>
    </row>
    <row r="5507" spans="1:2" x14ac:dyDescent="0.25">
      <c r="A5507">
        <f ca="1">27175.8662099261*(RANDBETWEEN(2890,3282))</f>
        <v>83022271.271324202</v>
      </c>
      <c r="B5507">
        <v>217429890.24631831</v>
      </c>
    </row>
    <row r="5508" spans="1:2" x14ac:dyDescent="0.25">
      <c r="A5508">
        <f ca="1">31276.3596478962*(RANDBETWEEN(2890,3282))</f>
        <v>101085194.38200065</v>
      </c>
      <c r="B5508">
        <v>210662896.23718435</v>
      </c>
    </row>
    <row r="5509" spans="1:2" x14ac:dyDescent="0.25">
      <c r="A5509">
        <f ca="1">28531.0119452934*(RANDBETWEEN(2890,3282))</f>
        <v>84822698.513357401</v>
      </c>
      <c r="B5509">
        <v>217291433.07663321</v>
      </c>
    </row>
    <row r="5510" spans="1:2" x14ac:dyDescent="0.25">
      <c r="A5510">
        <f ca="1">31620.1931303675*(RANDBETWEEN(2890,3282))</f>
        <v>95524603.446840316</v>
      </c>
      <c r="B5510">
        <v>230197535.18336773</v>
      </c>
    </row>
    <row r="5511" spans="1:2" x14ac:dyDescent="0.25">
      <c r="A5511">
        <f ca="1">31561.8330182782*(RANDBETWEEN(2890,3282))</f>
        <v>95600792.212364703</v>
      </c>
      <c r="B5511">
        <v>222797666.22111648</v>
      </c>
    </row>
    <row r="5512" spans="1:2" x14ac:dyDescent="0.25">
      <c r="A5512">
        <f ca="1">30794.6083689391*(RANDBETWEEN(2890,3282))</f>
        <v>98419568.34712939</v>
      </c>
      <c r="B5512">
        <v>208691191.92492679</v>
      </c>
    </row>
    <row r="5513" spans="1:2" x14ac:dyDescent="0.25">
      <c r="A5513">
        <f ca="1">31239.5444764906*(RANDBETWEEN(2890,3282))</f>
        <v>97935971.933798045</v>
      </c>
      <c r="B5513">
        <v>214679553.81315973</v>
      </c>
    </row>
    <row r="5514" spans="1:2" x14ac:dyDescent="0.25">
      <c r="A5514">
        <f ca="1">31402.3414800519*(RANDBETWEEN(2890,3282))</f>
        <v>97190246.880760625</v>
      </c>
      <c r="B5514">
        <v>247530467.68459785</v>
      </c>
    </row>
    <row r="5515" spans="1:2" x14ac:dyDescent="0.25">
      <c r="A5515">
        <f ca="1">32341.2059905198*(RANDBETWEEN(2890,3282))</f>
        <v>94986121.994156778</v>
      </c>
      <c r="B5515">
        <v>242337337.77157366</v>
      </c>
    </row>
    <row r="5516" spans="1:2" x14ac:dyDescent="0.25">
      <c r="A5516">
        <f ca="1">27299.728790194*(RANDBETWEEN(2890,3282))</f>
        <v>88751418.296920747</v>
      </c>
      <c r="B5516">
        <v>248543791.21846622</v>
      </c>
    </row>
    <row r="5517" spans="1:2" x14ac:dyDescent="0.25">
      <c r="A5517">
        <f ca="1">33710.6015641736*(RANDBETWEEN(2890,3282))</f>
        <v>99277721.606491163</v>
      </c>
      <c r="B5517">
        <v>242680689.81679404</v>
      </c>
    </row>
    <row r="5518" spans="1:2" x14ac:dyDescent="0.25">
      <c r="A5518">
        <f ca="1">30115.5187271952*(RANDBETWEEN(2890,3282))</f>
        <v>91792101.080490962</v>
      </c>
      <c r="B5518">
        <v>243577416.1537526</v>
      </c>
    </row>
    <row r="5519" spans="1:2" x14ac:dyDescent="0.25">
      <c r="A5519">
        <f ca="1">32034.3894345052*(RANDBETWEEN(2890,3282))</f>
        <v>99530847.973007604</v>
      </c>
      <c r="B5519">
        <v>241090076.88736567</v>
      </c>
    </row>
    <row r="5520" spans="1:2" x14ac:dyDescent="0.25">
      <c r="A5520">
        <f ca="1">28726.9915330045*(RANDBETWEEN(2890,3282))</f>
        <v>89513305.616841972</v>
      </c>
      <c r="B5520">
        <v>236787524.89102241</v>
      </c>
    </row>
    <row r="5521" spans="1:2" x14ac:dyDescent="0.25">
      <c r="A5521">
        <f ca="1">27060.2552877081*(RANDBETWEEN(2890,3282))</f>
        <v>84265634.965923131</v>
      </c>
      <c r="B5521">
        <v>255931745.17683405</v>
      </c>
    </row>
    <row r="5522" spans="1:2" x14ac:dyDescent="0.25">
      <c r="A5522">
        <f ca="1">28086.3522892316*(RANDBETWEEN(2890,3282))</f>
        <v>88275405.245054901</v>
      </c>
      <c r="B5522">
        <v>227396050.94961625</v>
      </c>
    </row>
    <row r="5523" spans="1:2" x14ac:dyDescent="0.25">
      <c r="A5523">
        <f ca="1">35384.5702842454*(RANDBETWEEN(2890,3282))</f>
        <v>105269096.59562995</v>
      </c>
      <c r="B5523">
        <v>225911892.2886253</v>
      </c>
    </row>
    <row r="5524" spans="1:2" x14ac:dyDescent="0.25">
      <c r="A5524">
        <f ca="1">25770.9336736898*(RANDBETWEEN(2890,3282))</f>
        <v>81384608.541512325</v>
      </c>
      <c r="B5524">
        <v>235657116.86118922</v>
      </c>
    </row>
    <row r="5525" spans="1:2" x14ac:dyDescent="0.25">
      <c r="A5525">
        <f ca="1">29395.261340228*(RANDBETWEEN(2890,3282))</f>
        <v>95769761.446462914</v>
      </c>
      <c r="B5525">
        <v>235556637.54480258</v>
      </c>
    </row>
    <row r="5526" spans="1:2" x14ac:dyDescent="0.25">
      <c r="A5526">
        <f ca="1">29449.469802189*(RANDBETWEEN(2890,3282))</f>
        <v>85344563.486743748</v>
      </c>
      <c r="B5526">
        <v>208452937.90050024</v>
      </c>
    </row>
    <row r="5527" spans="1:2" x14ac:dyDescent="0.25">
      <c r="A5527">
        <f ca="1">28009.8197185351*(RANDBETWEEN(2890,3282))</f>
        <v>89547393.640156642</v>
      </c>
      <c r="B5527">
        <v>244219853.12106186</v>
      </c>
    </row>
    <row r="5528" spans="1:2" x14ac:dyDescent="0.25">
      <c r="A5528">
        <f ca="1">32218.9110292318*(RANDBETWEEN(2890,3282))</f>
        <v>97172235.664163038</v>
      </c>
      <c r="B5528">
        <v>267578733.8716031</v>
      </c>
    </row>
    <row r="5529" spans="1:2" x14ac:dyDescent="0.25">
      <c r="A5529">
        <f ca="1">26348.10257211*(RANDBETWEEN(2890,3282))</f>
        <v>79386833.049767315</v>
      </c>
      <c r="B5529">
        <v>213135817.53203586</v>
      </c>
    </row>
    <row r="5530" spans="1:2" x14ac:dyDescent="0.25">
      <c r="A5530">
        <f ca="1">29961.6456349933*(RANDBETWEEN(2890,3282))</f>
        <v>94768685.143483937</v>
      </c>
      <c r="B5530">
        <v>241097166.29270551</v>
      </c>
    </row>
    <row r="5531" spans="1:2" x14ac:dyDescent="0.25">
      <c r="A5531">
        <f ca="1">32596.367075929*(RANDBETWEEN(2890,3282))</f>
        <v>105416651.12355424</v>
      </c>
      <c r="B5531">
        <v>249892564.65675777</v>
      </c>
    </row>
    <row r="5532" spans="1:2" x14ac:dyDescent="0.25">
      <c r="A5532">
        <f ca="1">30088.5647835199*(RANDBETWEEN(2890,3282))</f>
        <v>96313495.872047216</v>
      </c>
      <c r="B5532">
        <v>266864303.56393793</v>
      </c>
    </row>
    <row r="5533" spans="1:2" x14ac:dyDescent="0.25">
      <c r="A5533">
        <f ca="1">29870.6239938483*(RANDBETWEEN(2890,3282))</f>
        <v>89522260.109563455</v>
      </c>
      <c r="B5533">
        <v>236846140.46875226</v>
      </c>
    </row>
    <row r="5534" spans="1:2" x14ac:dyDescent="0.25">
      <c r="A5534">
        <f ca="1">26666.7534897617*(RANDBETWEEN(2890,3282))</f>
        <v>82853603.092689648</v>
      </c>
      <c r="B5534">
        <v>206051425.61278921</v>
      </c>
    </row>
    <row r="5535" spans="1:2" x14ac:dyDescent="0.25">
      <c r="A5535">
        <f ca="1">27946.5185538573*(RANDBETWEEN(2890,3282))</f>
        <v>89652431.52077423</v>
      </c>
      <c r="B5535">
        <v>223825424.0868105</v>
      </c>
    </row>
    <row r="5536" spans="1:2" x14ac:dyDescent="0.25">
      <c r="A5536">
        <f ca="1">31929.1319316564*(RANDBETWEEN(2890,3282))</f>
        <v>101502710.41073576</v>
      </c>
      <c r="B5536">
        <v>216676383.90227783</v>
      </c>
    </row>
    <row r="5537" spans="1:2" x14ac:dyDescent="0.25">
      <c r="A5537">
        <f ca="1">26893.1556003487*(RANDBETWEEN(2890,3282))</f>
        <v>77936364.929810479</v>
      </c>
      <c r="B5537">
        <v>219652309.3097918</v>
      </c>
    </row>
    <row r="5538" spans="1:2" x14ac:dyDescent="0.25">
      <c r="A5538">
        <f ca="1">29798.7785728315*(RANDBETWEEN(2890,3282))</f>
        <v>95624280.440216139</v>
      </c>
      <c r="B5538">
        <v>249602979.22375387</v>
      </c>
    </row>
    <row r="5539" spans="1:2" x14ac:dyDescent="0.25">
      <c r="A5539">
        <f ca="1">32656.5345261047*(RANDBETWEEN(2890,3282))</f>
        <v>102149639.9976556</v>
      </c>
      <c r="B5539">
        <v>207594929.48596326</v>
      </c>
    </row>
    <row r="5540" spans="1:2" x14ac:dyDescent="0.25">
      <c r="A5540">
        <f ca="1">31796.5514054676*(RANDBETWEEN(2890,3282))</f>
        <v>96725109.375432387</v>
      </c>
      <c r="B5540">
        <v>221549221.43008485</v>
      </c>
    </row>
    <row r="5541" spans="1:2" x14ac:dyDescent="0.25">
      <c r="A5541">
        <f ca="1">31011.181039647*(RANDBETWEEN(2890,3282))</f>
        <v>91731073.515275776</v>
      </c>
      <c r="B5541">
        <v>205065623.64059278</v>
      </c>
    </row>
    <row r="5542" spans="1:2" x14ac:dyDescent="0.25">
      <c r="A5542">
        <f ca="1">33220.4172078912*(RANDBETWEEN(2890,3282))</f>
        <v>105574485.88667813</v>
      </c>
      <c r="B5542">
        <v>210073632.89338118</v>
      </c>
    </row>
    <row r="5543" spans="1:2" x14ac:dyDescent="0.25">
      <c r="A5543">
        <f ca="1">31039.6404239006*(RANDBETWEEN(2890,3282))</f>
        <v>91442780.688811153</v>
      </c>
      <c r="B5543">
        <v>220970518.92886975</v>
      </c>
    </row>
    <row r="5544" spans="1:2" x14ac:dyDescent="0.25">
      <c r="A5544">
        <f ca="1">26984.7800661151*(RANDBETWEEN(2890,3282))</f>
        <v>82033731.400989845</v>
      </c>
      <c r="B5544">
        <v>220837562.03316277</v>
      </c>
    </row>
    <row r="5545" spans="1:2" x14ac:dyDescent="0.25">
      <c r="A5545">
        <f ca="1">34380.6783531178*(RANDBETWEEN(2890,3282))</f>
        <v>107852187.99373068</v>
      </c>
      <c r="B5545">
        <v>258777618.50223833</v>
      </c>
    </row>
    <row r="5546" spans="1:2" x14ac:dyDescent="0.25">
      <c r="A5546">
        <f ca="1">28500.1621068963*(RANDBETWEEN(2890,3282))</f>
        <v>91998523.281061128</v>
      </c>
      <c r="B5546">
        <v>211834704.21157831</v>
      </c>
    </row>
    <row r="5547" spans="1:2" x14ac:dyDescent="0.25">
      <c r="A5547">
        <f ca="1">27299.9675857593*(RANDBETWEEN(2890,3282))</f>
        <v>81545003.178663164</v>
      </c>
      <c r="B5547">
        <v>263000237.8825309</v>
      </c>
    </row>
    <row r="5548" spans="1:2" x14ac:dyDescent="0.25">
      <c r="A5548">
        <f ca="1">31162.2047856033*(RANDBETWEEN(2890,3282))</f>
        <v>92427099.394099385</v>
      </c>
      <c r="B5548">
        <v>262704685.12217563</v>
      </c>
    </row>
    <row r="5549" spans="1:2" x14ac:dyDescent="0.25">
      <c r="A5549">
        <f ca="1">31202.8443204656*(RANDBETWEEN(2890,3282))</f>
        <v>96853628.770725131</v>
      </c>
      <c r="B5549">
        <v>221519230.50420484</v>
      </c>
    </row>
    <row r="5550" spans="1:2" x14ac:dyDescent="0.25">
      <c r="A5550">
        <f ca="1">29212.1585051868*(RANDBETWEEN(2890,3282))</f>
        <v>88717325.380252302</v>
      </c>
      <c r="B5550">
        <v>234320339.79062748</v>
      </c>
    </row>
    <row r="5551" spans="1:2" x14ac:dyDescent="0.25">
      <c r="A5551">
        <f ca="1">31568.0208729507*(RANDBETWEEN(2890,3282))</f>
        <v>93788590.013536662</v>
      </c>
      <c r="B5551">
        <v>229935300.20607924</v>
      </c>
    </row>
    <row r="5552" spans="1:2" x14ac:dyDescent="0.25">
      <c r="A5552">
        <f ca="1">32151.8981177253*(RANDBETWEEN(2890,3282))</f>
        <v>94237213.383052781</v>
      </c>
      <c r="B5552">
        <v>263312653.90230584</v>
      </c>
    </row>
    <row r="5553" spans="1:2" x14ac:dyDescent="0.25">
      <c r="A5553">
        <f ca="1">32183.0047164972*(RANDBETWEEN(2890,3282))</f>
        <v>100925902.79093532</v>
      </c>
      <c r="B5553">
        <v>229772219.28173923</v>
      </c>
    </row>
    <row r="5554" spans="1:2" x14ac:dyDescent="0.25">
      <c r="A5554">
        <f ca="1">31057.5382457079*(RANDBETWEEN(2890,3282))</f>
        <v>90315321.218518674</v>
      </c>
      <c r="B5554">
        <v>209470009.42102507</v>
      </c>
    </row>
    <row r="5555" spans="1:2" x14ac:dyDescent="0.25">
      <c r="A5555">
        <f ca="1">32809.3403180273*(RANDBETWEEN(2890,3282))</f>
        <v>101348052.24238621</v>
      </c>
      <c r="B5555">
        <v>230543576.44071829</v>
      </c>
    </row>
    <row r="5556" spans="1:2" x14ac:dyDescent="0.25">
      <c r="A5556">
        <f ca="1">31052.9235885581*(RANDBETWEEN(2890,3282))</f>
        <v>98127238.5398435</v>
      </c>
      <c r="B5556">
        <v>234658479.46029902</v>
      </c>
    </row>
    <row r="5557" spans="1:2" x14ac:dyDescent="0.25">
      <c r="A5557">
        <f ca="1">28684.4081982862*(RANDBETWEEN(2890,3282))</f>
        <v>92822744.9296543</v>
      </c>
      <c r="B5557">
        <v>207059405.80742571</v>
      </c>
    </row>
    <row r="5558" spans="1:2" x14ac:dyDescent="0.25">
      <c r="A5558">
        <f ca="1">27930.0159537202*(RANDBETWEEN(2890,3282))</f>
        <v>88510220.557339475</v>
      </c>
      <c r="B5558">
        <v>222614921.23030657</v>
      </c>
    </row>
    <row r="5559" spans="1:2" x14ac:dyDescent="0.25">
      <c r="A5559">
        <f ca="1">31682.974056404*(RANDBETWEEN(2890,3282))</f>
        <v>97583560.093724415</v>
      </c>
      <c r="B5559">
        <v>250496199.59027541</v>
      </c>
    </row>
    <row r="5560" spans="1:2" x14ac:dyDescent="0.25">
      <c r="A5560">
        <f ca="1">28011.6130441335*(RANDBETWEEN(2890,3282))</f>
        <v>82718293.319326326</v>
      </c>
      <c r="B5560">
        <v>247891654.69487065</v>
      </c>
    </row>
    <row r="5561" spans="1:2" x14ac:dyDescent="0.25">
      <c r="A5561">
        <f ca="1">30153.0361416239*(RANDBETWEEN(2890,3282))</f>
        <v>94017166.689583376</v>
      </c>
      <c r="B5561">
        <v>254842618.07467613</v>
      </c>
    </row>
    <row r="5562" spans="1:2" x14ac:dyDescent="0.25">
      <c r="A5562">
        <f ca="1">30905.1412369583*(RANDBETWEEN(2890,3282))</f>
        <v>100534424.44382526</v>
      </c>
      <c r="B5562">
        <v>223257152.11376143</v>
      </c>
    </row>
    <row r="5563" spans="1:2" x14ac:dyDescent="0.25">
      <c r="A5563">
        <f ca="1">26495.4188537011*(RANDBETWEEN(2890,3282))</f>
        <v>86798992.164724723</v>
      </c>
      <c r="B5563">
        <v>209955096.41776472</v>
      </c>
    </row>
    <row r="5564" spans="1:2" x14ac:dyDescent="0.25">
      <c r="A5564">
        <f ca="1">30692.7236311421*(RANDBETWEEN(2890,3282))</f>
        <v>96651386.714466348</v>
      </c>
      <c r="B5564">
        <v>211267223.34090275</v>
      </c>
    </row>
    <row r="5565" spans="1:2" x14ac:dyDescent="0.25">
      <c r="A5565">
        <f ca="1">25822.2003606098*(RANDBETWEEN(2890,3282))</f>
        <v>80823487.128708795</v>
      </c>
      <c r="B5565">
        <v>232472343.90377229</v>
      </c>
    </row>
    <row r="5566" spans="1:2" x14ac:dyDescent="0.25">
      <c r="A5566">
        <f ca="1">28475.6007970569*(RANDBETWEEN(2890,3282))</f>
        <v>93399970.614346594</v>
      </c>
      <c r="B5566">
        <v>257131360.8843824</v>
      </c>
    </row>
    <row r="5567" spans="1:2" x14ac:dyDescent="0.25">
      <c r="A5567">
        <f ca="1">29988.6114740904*(RANDBETWEEN(2890,3282))</f>
        <v>96983169.507208467</v>
      </c>
      <c r="B5567">
        <v>265379293.54883856</v>
      </c>
    </row>
    <row r="5568" spans="1:2" x14ac:dyDescent="0.25">
      <c r="A5568">
        <f ca="1">30326.7033982432*(RANDBETWEEN(2890,3282))</f>
        <v>98834726.374874473</v>
      </c>
      <c r="B5568">
        <v>265437201.51624829</v>
      </c>
    </row>
    <row r="5569" spans="1:2" x14ac:dyDescent="0.25">
      <c r="A5569">
        <f ca="1">29272.0153865023*(RANDBETWEEN(2890,3282))</f>
        <v>86410989.420954868</v>
      </c>
      <c r="B5569">
        <v>204724594.27311867</v>
      </c>
    </row>
    <row r="5570" spans="1:2" x14ac:dyDescent="0.25">
      <c r="A5570">
        <f ca="1">30313.264864443*(RANDBETWEEN(2890,3282))</f>
        <v>97457146.539184079</v>
      </c>
      <c r="B5570">
        <v>235542807.10710976</v>
      </c>
    </row>
    <row r="5571" spans="1:2" x14ac:dyDescent="0.25">
      <c r="A5571">
        <f ca="1">26119.3572189957*(RANDBETWEEN(2890,3282))</f>
        <v>83059555.95640637</v>
      </c>
      <c r="B5571">
        <v>253549613.3890174</v>
      </c>
    </row>
    <row r="5572" spans="1:2" x14ac:dyDescent="0.25">
      <c r="A5572">
        <f ca="1">27516.8044013868*(RANDBETWEEN(2890,3282))</f>
        <v>85714845.710319862</v>
      </c>
      <c r="B5572">
        <v>261452842.59603536</v>
      </c>
    </row>
    <row r="5573" spans="1:2" x14ac:dyDescent="0.25">
      <c r="A5573">
        <f ca="1">31773.6862975357*(RANDBETWEEN(2890,3282))</f>
        <v>100087111.83723751</v>
      </c>
      <c r="B5573">
        <v>234662379.71582344</v>
      </c>
    </row>
    <row r="5574" spans="1:2" x14ac:dyDescent="0.25">
      <c r="A5574">
        <f ca="1">32876.4107046932*(RANDBETWEEN(2890,3282))</f>
        <v>95440220.275724396</v>
      </c>
      <c r="B5574">
        <v>265837962.86632851</v>
      </c>
    </row>
    <row r="5575" spans="1:2" x14ac:dyDescent="0.25">
      <c r="A5575">
        <f ca="1">30020.5052282758*(RANDBETWEEN(2890,3282))</f>
        <v>90751987.305077717</v>
      </c>
      <c r="B5575">
        <v>244562207.00456259</v>
      </c>
    </row>
    <row r="5576" spans="1:2" x14ac:dyDescent="0.25">
      <c r="A5576">
        <f ca="1">29270.6783581533*(RANDBETWEEN(2890,3282))</f>
        <v>85119132.665509671</v>
      </c>
      <c r="B5576">
        <v>233941765.24117357</v>
      </c>
    </row>
    <row r="5577" spans="1:2" x14ac:dyDescent="0.25">
      <c r="A5577">
        <f ca="1">28923.9386760121*(RANDBETWEEN(2890,3282))</f>
        <v>86974283.598768428</v>
      </c>
      <c r="B5577">
        <v>257448973.1637854</v>
      </c>
    </row>
    <row r="5578" spans="1:2" x14ac:dyDescent="0.25">
      <c r="A5578">
        <f ca="1">28601.4333598456*(RANDBETWEEN(2890,3282))</f>
        <v>83573388.27746892</v>
      </c>
      <c r="B5578">
        <v>251938775.96916473</v>
      </c>
    </row>
    <row r="5579" spans="1:2" x14ac:dyDescent="0.25">
      <c r="A5579">
        <f ca="1">30192.472804842*(RANDBETWEEN(2890,3282))</f>
        <v>91664347.435500413</v>
      </c>
      <c r="B5579">
        <v>224341271.0050323</v>
      </c>
    </row>
    <row r="5580" spans="1:2" x14ac:dyDescent="0.25">
      <c r="A5580">
        <f ca="1">29524.4936613633*(RANDBETWEEN(2890,3282))</f>
        <v>89754460.730544448</v>
      </c>
      <c r="B5580">
        <v>223991006.75148425</v>
      </c>
    </row>
    <row r="5581" spans="1:2" x14ac:dyDescent="0.25">
      <c r="A5581">
        <f ca="1">32385.5665131276*(RANDBETWEEN(2890,3282))</f>
        <v>101204895.3535239</v>
      </c>
      <c r="B5581">
        <v>239057180.33639303</v>
      </c>
    </row>
    <row r="5582" spans="1:2" x14ac:dyDescent="0.25">
      <c r="A5582">
        <f ca="1">25238.7437706193*(RANDBETWEEN(2890,3282))</f>
        <v>80461115.140734315</v>
      </c>
      <c r="B5582">
        <v>208951199.78898704</v>
      </c>
    </row>
    <row r="5583" spans="1:2" x14ac:dyDescent="0.25">
      <c r="A5583">
        <f ca="1">29181.3138082404*(RANDBETWEEN(2890,3282))</f>
        <v>91308330.905984282</v>
      </c>
      <c r="B5583">
        <v>208193041.24687237</v>
      </c>
    </row>
    <row r="5584" spans="1:2" x14ac:dyDescent="0.25">
      <c r="A5584">
        <f ca="1">32535.8152255587*(RANDBETWEEN(2890,3282))</f>
        <v>103951929.64565995</v>
      </c>
      <c r="B5584">
        <v>256706623.42106971</v>
      </c>
    </row>
    <row r="5585" spans="1:2" x14ac:dyDescent="0.25">
      <c r="A5585">
        <f ca="1">29889.9639264695*(RANDBETWEEN(2890,3282))</f>
        <v>88265063.474864453</v>
      </c>
      <c r="B5585">
        <v>257208423.52165025</v>
      </c>
    </row>
    <row r="5586" spans="1:2" x14ac:dyDescent="0.25">
      <c r="A5586">
        <f ca="1">29172.7071524337*(RANDBETWEEN(2890,3282))</f>
        <v>87839021.235977992</v>
      </c>
      <c r="B5586">
        <v>245694486.47609651</v>
      </c>
    </row>
    <row r="5587" spans="1:2" x14ac:dyDescent="0.25">
      <c r="A5587">
        <f ca="1">27732.939468082*(RANDBETWEEN(2890,3282))</f>
        <v>81978569.067650303</v>
      </c>
      <c r="B5587">
        <v>230520330.71712971</v>
      </c>
    </row>
    <row r="5588" spans="1:2" x14ac:dyDescent="0.25">
      <c r="A5588">
        <f ca="1">27640.0946131676*(RANDBETWEEN(2890,3282))</f>
        <v>85048571.124716684</v>
      </c>
      <c r="B5588">
        <v>237326528.3171224</v>
      </c>
    </row>
    <row r="5589" spans="1:2" x14ac:dyDescent="0.25">
      <c r="A5589">
        <f ca="1">26081.5737102834*(RANDBETWEEN(2890,3282))</f>
        <v>80696389.059616908</v>
      </c>
      <c r="B5589">
        <v>206801683.33438975</v>
      </c>
    </row>
    <row r="5590" spans="1:2" x14ac:dyDescent="0.25">
      <c r="A5590">
        <f ca="1">25111.5610181589*(RANDBETWEEN(2890,3282))</f>
        <v>77845839.156292468</v>
      </c>
      <c r="B5590">
        <v>236128806.83497021</v>
      </c>
    </row>
    <row r="5591" spans="1:2" x14ac:dyDescent="0.25">
      <c r="A5591">
        <f ca="1">30021.5397335839*(RANDBETWEEN(2890,3282))</f>
        <v>91565696.187430978</v>
      </c>
      <c r="B5591">
        <v>208152232.00698736</v>
      </c>
    </row>
    <row r="5592" spans="1:2" x14ac:dyDescent="0.25">
      <c r="A5592">
        <f ca="1">27318.460286871*(RANDBETWEEN(2890,3282))</f>
        <v>88675722.091183305</v>
      </c>
      <c r="B5592">
        <v>233439509.64532548</v>
      </c>
    </row>
    <row r="5593" spans="1:2" x14ac:dyDescent="0.25">
      <c r="A5593">
        <f ca="1">27156.9860353598*(RANDBETWEEN(2890,3282))</f>
        <v>79271242.237215266</v>
      </c>
      <c r="B5593">
        <v>237588751.80944082</v>
      </c>
    </row>
    <row r="5594" spans="1:2" x14ac:dyDescent="0.25">
      <c r="A5594">
        <f ca="1">29663.7449197768*(RANDBETWEEN(2890,3282))</f>
        <v>93144159.04809919</v>
      </c>
      <c r="B5594">
        <v>263303881.8122673</v>
      </c>
    </row>
    <row r="5595" spans="1:2" x14ac:dyDescent="0.25">
      <c r="A5595">
        <f ca="1">32603.8047544404*(RANDBETWEEN(2890,3282))</f>
        <v>102017305.07664396</v>
      </c>
      <c r="B5595">
        <v>260812529.12396562</v>
      </c>
    </row>
    <row r="5596" spans="1:2" x14ac:dyDescent="0.25">
      <c r="A5596">
        <f ca="1">31452.9895499264*(RANDBETWEEN(2890,3282))</f>
        <v>98353498.32261999</v>
      </c>
      <c r="B5596">
        <v>262427840.89455754</v>
      </c>
    </row>
    <row r="5597" spans="1:2" x14ac:dyDescent="0.25">
      <c r="A5597">
        <f ca="1">30410.10619841*(RANDBETWEEN(2890,3282))</f>
        <v>97798901.53408654</v>
      </c>
      <c r="B5597">
        <v>232081155.16037449</v>
      </c>
    </row>
    <row r="5598" spans="1:2" x14ac:dyDescent="0.25">
      <c r="A5598">
        <f ca="1">30169.0819303847*(RANDBETWEEN(2890,3282))</f>
        <v>92045868.969603837</v>
      </c>
      <c r="B5598">
        <v>206394311.80562931</v>
      </c>
    </row>
    <row r="5599" spans="1:2" x14ac:dyDescent="0.25">
      <c r="A5599">
        <f ca="1">30929.5217621805*(RANDBETWEEN(2890,3282))</f>
        <v>97768218.290252477</v>
      </c>
      <c r="B5599">
        <v>230428675.90822154</v>
      </c>
    </row>
    <row r="5600" spans="1:2" x14ac:dyDescent="0.25">
      <c r="A5600">
        <f ca="1">27534.3291040135*(RANDBETWEEN(2890,3282))</f>
        <v>85273817.235129923</v>
      </c>
      <c r="B5600">
        <v>255059995.99835718</v>
      </c>
    </row>
    <row r="5601" spans="1:2" x14ac:dyDescent="0.25">
      <c r="A5601">
        <f ca="1">29224.4774601588*(RANDBETWEEN(2890,3282))</f>
        <v>88491717.749360874</v>
      </c>
      <c r="B5601">
        <v>237449326.87887818</v>
      </c>
    </row>
    <row r="5602" spans="1:2" x14ac:dyDescent="0.25">
      <c r="A5602">
        <f ca="1">28237.8290814909*(RANDBETWEEN(2890,3282))</f>
        <v>82623887.89244239</v>
      </c>
      <c r="B5602">
        <v>239924574.32186532</v>
      </c>
    </row>
    <row r="5603" spans="1:2" x14ac:dyDescent="0.25">
      <c r="A5603">
        <f ca="1">28483.4788529529*(RANDBETWEEN(2890,3282))</f>
        <v>86589775.712976828</v>
      </c>
      <c r="B5603">
        <v>234410045.45636299</v>
      </c>
    </row>
    <row r="5604" spans="1:2" x14ac:dyDescent="0.25">
      <c r="A5604">
        <f ca="1">31916.6829843762*(RANDBETWEEN(2890,3282))</f>
        <v>103346219.50341021</v>
      </c>
      <c r="B5604">
        <v>264800955.24232432</v>
      </c>
    </row>
    <row r="5605" spans="1:2" x14ac:dyDescent="0.25">
      <c r="A5605">
        <f ca="1">28253.3878250036*(RANDBETWEEN(2890,3282))</f>
        <v>89704506.344386399</v>
      </c>
      <c r="B5605">
        <v>247152202.7726948</v>
      </c>
    </row>
    <row r="5606" spans="1:2" x14ac:dyDescent="0.25">
      <c r="A5606">
        <f ca="1">28434.365383914*(RANDBETWEEN(2890,3282))</f>
        <v>84393196.459456906</v>
      </c>
      <c r="B5606">
        <v>222469041.90262014</v>
      </c>
    </row>
    <row r="5607" spans="1:2" x14ac:dyDescent="0.25">
      <c r="A5607">
        <f ca="1">35198.0391541165*(RANDBETWEEN(2890,3282))</f>
        <v>107389217.45920938</v>
      </c>
      <c r="B5607">
        <v>214770666.84384775</v>
      </c>
    </row>
    <row r="5608" spans="1:2" x14ac:dyDescent="0.25">
      <c r="A5608">
        <f ca="1">31224.0769880183*(RANDBETWEEN(2890,3282))</f>
        <v>92360819.730558276</v>
      </c>
      <c r="B5608">
        <v>249371676.10890412</v>
      </c>
    </row>
    <row r="5609" spans="1:2" x14ac:dyDescent="0.25">
      <c r="A5609">
        <f ca="1">28841.5004858953*(RANDBETWEEN(2890,3282))</f>
        <v>89985481.515993416</v>
      </c>
      <c r="B5609">
        <v>235950313.13050896</v>
      </c>
    </row>
    <row r="5610" spans="1:2" x14ac:dyDescent="0.25">
      <c r="A5610">
        <f ca="1">30521.1878306858*(RANDBETWEEN(2890,3282))</f>
        <v>99102296.886236757</v>
      </c>
      <c r="B5610">
        <v>259096868.81140059</v>
      </c>
    </row>
    <row r="5611" spans="1:2" x14ac:dyDescent="0.25">
      <c r="A5611">
        <f ca="1">33623.3154484568*(RANDBETWEEN(2890,3282))</f>
        <v>105610833.82360293</v>
      </c>
      <c r="B5611">
        <v>255108510.35669473</v>
      </c>
    </row>
    <row r="5612" spans="1:2" x14ac:dyDescent="0.25">
      <c r="A5612">
        <f ca="1">34244.7476971399*(RANDBETWEEN(2890,3282))</f>
        <v>107562752.51671627</v>
      </c>
      <c r="B5612">
        <v>220027823.58851212</v>
      </c>
    </row>
    <row r="5613" spans="1:2" x14ac:dyDescent="0.25">
      <c r="A5613">
        <f ca="1">33038.2599842553*(RANDBETWEEN(2890,3282))</f>
        <v>104995590.22996326</v>
      </c>
      <c r="B5613">
        <v>263829704.56704274</v>
      </c>
    </row>
    <row r="5614" spans="1:2" x14ac:dyDescent="0.25">
      <c r="A5614">
        <f ca="1">32385.5238526805*(RANDBETWEEN(2890,3282))</f>
        <v>103050736.89922941</v>
      </c>
      <c r="B5614">
        <v>228989415.5342834</v>
      </c>
    </row>
    <row r="5615" spans="1:2" x14ac:dyDescent="0.25">
      <c r="A5615">
        <f ca="1">33666.7367297401*(RANDBETWEEN(2890,3282))</f>
        <v>103323215.02357242</v>
      </c>
      <c r="B5615">
        <v>267690192.60829502</v>
      </c>
    </row>
    <row r="5616" spans="1:2" x14ac:dyDescent="0.25">
      <c r="A5616">
        <f ca="1">33798.6409686973*(RANDBETWEEN(2890,3282))</f>
        <v>99604594.934751093</v>
      </c>
      <c r="B5616">
        <v>220268028.39785159</v>
      </c>
    </row>
    <row r="5617" spans="1:2" x14ac:dyDescent="0.25">
      <c r="A5617">
        <f ca="1">29709.6071506758*(RANDBETWEEN(2890,3282))</f>
        <v>87465083.451589629</v>
      </c>
      <c r="B5617">
        <v>263837967.97481793</v>
      </c>
    </row>
    <row r="5618" spans="1:2" x14ac:dyDescent="0.25">
      <c r="A5618">
        <f ca="1">31046.4194852544*(RANDBETWEEN(2890,3282))</f>
        <v>89724152.312385172</v>
      </c>
      <c r="B5618">
        <v>230229794.9217878</v>
      </c>
    </row>
    <row r="5619" spans="1:2" x14ac:dyDescent="0.25">
      <c r="A5619">
        <f ca="1">32755.7642880084*(RANDBETWEEN(2890,3282))</f>
        <v>101935938.46428201</v>
      </c>
      <c r="B5619">
        <v>232910586.09179538</v>
      </c>
    </row>
    <row r="5620" spans="1:2" x14ac:dyDescent="0.25">
      <c r="A5620">
        <f ca="1">30674.8672563318*(RANDBETWEEN(2890,3282))</f>
        <v>95245462.830910265</v>
      </c>
      <c r="B5620">
        <v>238941804.39559498</v>
      </c>
    </row>
    <row r="5621" spans="1:2" x14ac:dyDescent="0.25">
      <c r="A5621">
        <f ca="1">31858.9289512398*(RANDBETWEEN(2890,3282))</f>
        <v>93410379.68503499</v>
      </c>
      <c r="B5621">
        <v>233715302.74318334</v>
      </c>
    </row>
    <row r="5622" spans="1:2" x14ac:dyDescent="0.25">
      <c r="A5622">
        <f ca="1">28152.0777374418*(RANDBETWEEN(2890,3282))</f>
        <v>82457435.692967087</v>
      </c>
      <c r="B5622">
        <v>258795097.47489157</v>
      </c>
    </row>
    <row r="5623" spans="1:2" x14ac:dyDescent="0.25">
      <c r="A5623">
        <f ca="1">34095.7812799648*(RANDBETWEEN(2890,3282))</f>
        <v>104810431.65461187</v>
      </c>
      <c r="B5623">
        <v>259977660.28666064</v>
      </c>
    </row>
    <row r="5624" spans="1:2" x14ac:dyDescent="0.25">
      <c r="A5624">
        <f ca="1">33003.2367306098*(RANDBETWEEN(2890,3282))</f>
        <v>96138428.596266374</v>
      </c>
      <c r="B5624">
        <v>206380458.61172113</v>
      </c>
    </row>
    <row r="5625" spans="1:2" x14ac:dyDescent="0.25">
      <c r="A5625">
        <f ca="1">30405.4369899659*(RANDBETWEEN(2890,3282))</f>
        <v>97723074.485750377</v>
      </c>
      <c r="B5625">
        <v>212455959.84872359</v>
      </c>
    </row>
    <row r="5626" spans="1:2" x14ac:dyDescent="0.25">
      <c r="A5626">
        <f ca="1">28890.5666755359*(RANDBETWEEN(2890,3282))</f>
        <v>83609299.959000841</v>
      </c>
      <c r="B5626">
        <v>267357728.94420105</v>
      </c>
    </row>
    <row r="5627" spans="1:2" x14ac:dyDescent="0.25">
      <c r="A5627">
        <f ca="1">30802.594589053*(RANDBETWEEN(2890,3282))</f>
        <v>94286742.037091389</v>
      </c>
      <c r="B5627">
        <v>248752585.05930534</v>
      </c>
    </row>
    <row r="5628" spans="1:2" x14ac:dyDescent="0.25">
      <c r="A5628">
        <f ca="1">28185.9264382347*(RANDBETWEEN(2890,3282))</f>
        <v>87714603.075786531</v>
      </c>
      <c r="B5628">
        <v>258926842.028467</v>
      </c>
    </row>
    <row r="5629" spans="1:2" x14ac:dyDescent="0.25">
      <c r="A5629">
        <f ca="1">31278.0684836552*(RANDBETWEEN(2890,3282))</f>
        <v>102185449.73610167</v>
      </c>
      <c r="B5629">
        <v>220916207.24987286</v>
      </c>
    </row>
    <row r="5630" spans="1:2" x14ac:dyDescent="0.25">
      <c r="A5630">
        <f ca="1">27105.0172658826*(RANDBETWEEN(2890,3282))</f>
        <v>88687616.493967801</v>
      </c>
      <c r="B5630">
        <v>212719040.9170714</v>
      </c>
    </row>
    <row r="5631" spans="1:2" x14ac:dyDescent="0.25">
      <c r="A5631">
        <f ca="1">27958.2177227739*(RANDBETWEEN(2890,3282))</f>
        <v>87621054.34317328</v>
      </c>
      <c r="B5631">
        <v>240134386.2474125</v>
      </c>
    </row>
    <row r="5632" spans="1:2" x14ac:dyDescent="0.25">
      <c r="A5632">
        <f ca="1">29130.4769145504*(RANDBETWEEN(2890,3282))</f>
        <v>91149262.265628248</v>
      </c>
      <c r="B5632">
        <v>213018746.15487948</v>
      </c>
    </row>
    <row r="5633" spans="1:2" x14ac:dyDescent="0.25">
      <c r="A5633">
        <f ca="1">31566.3331200517*(RANDBETWEEN(2890,3282))</f>
        <v>99970576.99120377</v>
      </c>
      <c r="B5633">
        <v>236768751.02513179</v>
      </c>
    </row>
    <row r="5634" spans="1:2" x14ac:dyDescent="0.25">
      <c r="A5634">
        <f ca="1">27742.5941840637*(RANDBETWEEN(2890,3282))</f>
        <v>85613645.652020499</v>
      </c>
      <c r="B5634">
        <v>216096243.11458102</v>
      </c>
    </row>
    <row r="5635" spans="1:2" x14ac:dyDescent="0.25">
      <c r="A5635">
        <f ca="1">29846.7479930352*(RANDBETWEEN(2890,3282))</f>
        <v>96196068.781552464</v>
      </c>
      <c r="B5635">
        <v>249545686.15849596</v>
      </c>
    </row>
    <row r="5636" spans="1:2" x14ac:dyDescent="0.25">
      <c r="A5636">
        <f ca="1">32394.4831228769*(RANDBETWEEN(2890,3282))</f>
        <v>103079245.29699436</v>
      </c>
      <c r="B5636">
        <v>256945491.21815938</v>
      </c>
    </row>
    <row r="5637" spans="1:2" x14ac:dyDescent="0.25">
      <c r="A5637">
        <f ca="1">28829.7815679161*(RANDBETWEEN(2890,3282))</f>
        <v>84644238.683401674</v>
      </c>
      <c r="B5637">
        <v>233053807.19578302</v>
      </c>
    </row>
    <row r="5638" spans="1:2" x14ac:dyDescent="0.25">
      <c r="A5638">
        <f ca="1">30471.1394443021*(RANDBETWEEN(2890,3282))</f>
        <v>94094878.604005009</v>
      </c>
      <c r="B5638">
        <v>244303801.84960601</v>
      </c>
    </row>
    <row r="5639" spans="1:2" x14ac:dyDescent="0.25">
      <c r="A5639">
        <f ca="1">29211.5461556843*(RANDBETWEEN(2890,3282))</f>
        <v>89796292.882573649</v>
      </c>
      <c r="B5639">
        <v>234505892.67685688</v>
      </c>
    </row>
    <row r="5640" spans="1:2" x14ac:dyDescent="0.25">
      <c r="A5640">
        <f ca="1">29552.6900476406*(RANDBETWEEN(2890,3282))</f>
        <v>96046242.65483211</v>
      </c>
      <c r="B5640">
        <v>230068261.03752875</v>
      </c>
    </row>
    <row r="5641" spans="1:2" x14ac:dyDescent="0.25">
      <c r="A5641">
        <f ca="1">28460.0667258473*(RANDBETWEEN(2890,3282))</f>
        <v>89165389.052079588</v>
      </c>
      <c r="B5641">
        <v>219647117.83610302</v>
      </c>
    </row>
    <row r="5642" spans="1:2" x14ac:dyDescent="0.25">
      <c r="A5642">
        <f ca="1">29093.2976206823*(RANDBETWEEN(2890,3282))</f>
        <v>84312376.504737362</v>
      </c>
      <c r="B5642">
        <v>211176356.63465029</v>
      </c>
    </row>
    <row r="5643" spans="1:2" x14ac:dyDescent="0.25">
      <c r="A5643">
        <f ca="1">30912.4494675371*(RANDBETWEEN(2890,3282))</f>
        <v>93479247.189832136</v>
      </c>
      <c r="B5643">
        <v>250867477.34171692</v>
      </c>
    </row>
    <row r="5644" spans="1:2" x14ac:dyDescent="0.25">
      <c r="A5644">
        <f ca="1">30018.2452717699*(RANDBETWEEN(2890,3282))</f>
        <v>97499260.642708525</v>
      </c>
      <c r="B5644">
        <v>260346546.44186398</v>
      </c>
    </row>
    <row r="5645" spans="1:2" x14ac:dyDescent="0.25">
      <c r="A5645">
        <f ca="1">28562.9201429728*(RANDBETWEEN(2890,3282))</f>
        <v>83546541.418195501</v>
      </c>
      <c r="B5645">
        <v>222836892.71008712</v>
      </c>
    </row>
    <row r="5646" spans="1:2" x14ac:dyDescent="0.25">
      <c r="A5646">
        <f ca="1">31270.4070635382*(RANDBETWEEN(2890,3282))</f>
        <v>102316771.91189684</v>
      </c>
      <c r="B5646">
        <v>215546835.99143124</v>
      </c>
    </row>
    <row r="5647" spans="1:2" x14ac:dyDescent="0.25">
      <c r="A5647">
        <f ca="1">32632.6396871454*(RANDBETWEEN(2890,3282))</f>
        <v>97963184.340810359</v>
      </c>
      <c r="B5647">
        <v>236640161.79346129</v>
      </c>
    </row>
    <row r="5648" spans="1:2" x14ac:dyDescent="0.25">
      <c r="A5648">
        <f ca="1">26409.4301632207*(RANDBETWEEN(2890,3282))</f>
        <v>85804238.600303948</v>
      </c>
      <c r="B5648">
        <v>256508131.60262144</v>
      </c>
    </row>
    <row r="5649" spans="1:2" x14ac:dyDescent="0.25">
      <c r="A5649">
        <f ca="1">31755.3313127743*(RANDBETWEEN(2890,3282))</f>
        <v>99807006.316049576</v>
      </c>
      <c r="B5649">
        <v>257219940.71613437</v>
      </c>
    </row>
    <row r="5650" spans="1:2" x14ac:dyDescent="0.25">
      <c r="A5650">
        <f ca="1">28884.5985246332*(RANDBETWEEN(2890,3282))</f>
        <v>92632907.468498558</v>
      </c>
      <c r="B5650">
        <v>255489057.38256243</v>
      </c>
    </row>
    <row r="5651" spans="1:2" x14ac:dyDescent="0.25">
      <c r="A5651">
        <f ca="1">30253.9722733418*(RANDBETWEEN(2890,3282))</f>
        <v>88976932.45589821</v>
      </c>
      <c r="B5651">
        <v>265539070.46608496</v>
      </c>
    </row>
    <row r="5652" spans="1:2" x14ac:dyDescent="0.25">
      <c r="A5652">
        <f ca="1">25802.6028789666*(RANDBETWEEN(2890,3282))</f>
        <v>76117678.492951363</v>
      </c>
      <c r="B5652">
        <v>214008098.52429435</v>
      </c>
    </row>
    <row r="5653" spans="1:2" x14ac:dyDescent="0.25">
      <c r="A5653">
        <f ca="1">31074.1726337086*(RANDBETWEEN(2890,3282))</f>
        <v>101146431.92272162</v>
      </c>
      <c r="B5653">
        <v>220203392.99363381</v>
      </c>
    </row>
    <row r="5654" spans="1:2" x14ac:dyDescent="0.25">
      <c r="A5654">
        <f ca="1">31853.670590006*(RANDBETWEEN(2890,3282))</f>
        <v>102951063.3468993</v>
      </c>
      <c r="B5654">
        <v>206395260.84322286</v>
      </c>
    </row>
    <row r="5655" spans="1:2" x14ac:dyDescent="0.25">
      <c r="A5655">
        <f ca="1">29395.3112846807*(RANDBETWEEN(2890,3282))</f>
        <v>87010121.402654916</v>
      </c>
      <c r="B5655">
        <v>225372568.7528547</v>
      </c>
    </row>
    <row r="5656" spans="1:2" x14ac:dyDescent="0.25">
      <c r="A5656">
        <f ca="1">28386.807764736*(RANDBETWEEN(2890,3282))</f>
        <v>91689389.080097124</v>
      </c>
      <c r="B5656">
        <v>228415671.97535855</v>
      </c>
    </row>
    <row r="5657" spans="1:2" x14ac:dyDescent="0.25">
      <c r="A5657">
        <f ca="1">29872.4995268047*(RANDBETWEEN(2890,3282))</f>
        <v>87795276.109278947</v>
      </c>
      <c r="B5657">
        <v>207532872.29902208</v>
      </c>
    </row>
    <row r="5658" spans="1:2" x14ac:dyDescent="0.25">
      <c r="A5658">
        <f ca="1">31971.616056517*(RANDBETWEEN(2890,3282))</f>
        <v>95467245.54475975</v>
      </c>
      <c r="B5658">
        <v>220866523.69196066</v>
      </c>
    </row>
    <row r="5659" spans="1:2" x14ac:dyDescent="0.25">
      <c r="A5659">
        <f ca="1">34232.0667007081*(RANDBETWEEN(2890,3282))</f>
        <v>105708621.97178656</v>
      </c>
      <c r="B5659">
        <v>237689736.16997001</v>
      </c>
    </row>
    <row r="5660" spans="1:2" x14ac:dyDescent="0.25">
      <c r="A5660">
        <f ca="1">31902.2599607361*(RANDBETWEEN(2890,3282))</f>
        <v>102214840.91419832</v>
      </c>
      <c r="B5660">
        <v>267295976.29835486</v>
      </c>
    </row>
    <row r="5661" spans="1:2" x14ac:dyDescent="0.25">
      <c r="A5661">
        <f ca="1">28263.6410412582*(RANDBETWEEN(2890,3282))</f>
        <v>82529831.84047395</v>
      </c>
      <c r="B5661">
        <v>259104260.75350055</v>
      </c>
    </row>
    <row r="5662" spans="1:2" x14ac:dyDescent="0.25">
      <c r="A5662">
        <f ca="1">29288.4618763717*(RANDBETWEEN(2890,3282))</f>
        <v>87689654.857856899</v>
      </c>
      <c r="B5662">
        <v>248674666.03685862</v>
      </c>
    </row>
    <row r="5663" spans="1:2" x14ac:dyDescent="0.25">
      <c r="A5663">
        <f ca="1">27338.3443604613*(RANDBETWEEN(2890,3282))</f>
        <v>87455363.609115675</v>
      </c>
      <c r="B5663">
        <v>254011458.62408328</v>
      </c>
    </row>
    <row r="5664" spans="1:2" x14ac:dyDescent="0.25">
      <c r="A5664">
        <f ca="1">34104.3335327705*(RANDBETWEEN(2890,3282))</f>
        <v>101733226.92825435</v>
      </c>
      <c r="B5664">
        <v>251721949.99994493</v>
      </c>
    </row>
    <row r="5665" spans="1:2" x14ac:dyDescent="0.25">
      <c r="A5665">
        <f ca="1">32592.4094411439*(RANDBETWEEN(2890,3282))</f>
        <v>106968287.78583434</v>
      </c>
      <c r="B5665">
        <v>218742399.13760874</v>
      </c>
    </row>
    <row r="5666" spans="1:2" x14ac:dyDescent="0.25">
      <c r="A5666">
        <f ca="1">32365.5235906094*(RANDBETWEEN(2890,3282))</f>
        <v>95769584.304613158</v>
      </c>
      <c r="B5666">
        <v>250254044.66569611</v>
      </c>
    </row>
    <row r="5667" spans="1:2" x14ac:dyDescent="0.25">
      <c r="A5667">
        <f ca="1">29417.4562377146*(RANDBETWEEN(2890,3282))</f>
        <v>95165470.929006815</v>
      </c>
      <c r="B5667">
        <v>230735544.38947117</v>
      </c>
    </row>
    <row r="5668" spans="1:2" x14ac:dyDescent="0.25">
      <c r="A5668">
        <f ca="1">34086.5666614415*(RANDBETWEEN(2890,3282))</f>
        <v>107134079.01691069</v>
      </c>
      <c r="B5668">
        <v>249426399.18842119</v>
      </c>
    </row>
    <row r="5669" spans="1:2" x14ac:dyDescent="0.25">
      <c r="A5669">
        <f ca="1">32807.5559829367*(RANDBETWEEN(2890,3282))</f>
        <v>97011943.041543722</v>
      </c>
      <c r="B5669">
        <v>242003381.23623025</v>
      </c>
    </row>
    <row r="5670" spans="1:2" x14ac:dyDescent="0.25">
      <c r="A5670">
        <f ca="1">27847.3904581152*(RANDBETWEEN(2890,3282))</f>
        <v>82623207.489227772</v>
      </c>
      <c r="B5670">
        <v>263662970.27346936</v>
      </c>
    </row>
    <row r="5671" spans="1:2" x14ac:dyDescent="0.25">
      <c r="A5671">
        <f ca="1">30610.8517390731*(RANDBETWEEN(2890,3282))</f>
        <v>90087736.668092057</v>
      </c>
      <c r="B5671">
        <v>266713687.58954293</v>
      </c>
    </row>
    <row r="5672" spans="1:2" x14ac:dyDescent="0.25">
      <c r="A5672">
        <f ca="1">28025.8705552219*(RANDBETWEEN(2890,3282))</f>
        <v>83152757.937343255</v>
      </c>
      <c r="B5672">
        <v>219248648.97357783</v>
      </c>
    </row>
    <row r="5673" spans="1:2" x14ac:dyDescent="0.25">
      <c r="A5673">
        <f ca="1">29706.9771482581*(RANDBETWEEN(2890,3282))</f>
        <v>93606684.994161382</v>
      </c>
      <c r="B5673">
        <v>246902882.45960441</v>
      </c>
    </row>
    <row r="5674" spans="1:2" x14ac:dyDescent="0.25">
      <c r="A5674">
        <f ca="1">32843.7563563894*(RANDBETWEEN(2890,3282))</f>
        <v>106413770.59470151</v>
      </c>
      <c r="B5674">
        <v>253490890.8880839</v>
      </c>
    </row>
    <row r="5675" spans="1:2" x14ac:dyDescent="0.25">
      <c r="A5675">
        <f ca="1">26720.6015263775*(RANDBETWEEN(2890,3282))</f>
        <v>87376366.991254374</v>
      </c>
      <c r="B5675">
        <v>209093462.62315083</v>
      </c>
    </row>
    <row r="5676" spans="1:2" x14ac:dyDescent="0.25">
      <c r="A5676">
        <f ca="1">31828.4143123376*(RANDBETWEEN(2890,3282))</f>
        <v>100100363.01230183</v>
      </c>
      <c r="B5676">
        <v>210345990.90733248</v>
      </c>
    </row>
    <row r="5677" spans="1:2" x14ac:dyDescent="0.25">
      <c r="A5677">
        <f ca="1">28194.2790268147*(RANDBETWEEN(2890,3282))</f>
        <v>86302688.101079762</v>
      </c>
      <c r="B5677">
        <v>243043081.42325228</v>
      </c>
    </row>
    <row r="5678" spans="1:2" x14ac:dyDescent="0.25">
      <c r="A5678">
        <f ca="1">30482.0752898695*(RANDBETWEEN(2890,3282))</f>
        <v>94646843.775044873</v>
      </c>
      <c r="B5678">
        <v>253911076.06254166</v>
      </c>
    </row>
    <row r="5679" spans="1:2" x14ac:dyDescent="0.25">
      <c r="A5679">
        <f ca="1">30975.6243338621*(RANDBETWEEN(2890,3282))</f>
        <v>99338827.238695875</v>
      </c>
      <c r="B5679">
        <v>257880516.70190656</v>
      </c>
    </row>
    <row r="5680" spans="1:2" x14ac:dyDescent="0.25">
      <c r="A5680">
        <f ca="1">31305.7680212436*(RANDBETWEEN(2890,3282))</f>
        <v>98080971.210556224</v>
      </c>
      <c r="B5680">
        <v>263146015.32100067</v>
      </c>
    </row>
    <row r="5681" spans="1:2" x14ac:dyDescent="0.25">
      <c r="A5681">
        <f ca="1">28487.0365594171*(RANDBETWEEN(2890,3282))</f>
        <v>83609452.301889241</v>
      </c>
      <c r="B5681">
        <v>231171638.87221593</v>
      </c>
    </row>
    <row r="5682" spans="1:2" x14ac:dyDescent="0.25">
      <c r="A5682">
        <f ca="1">33204.3841819069*(RANDBETWEEN(2890,3282))</f>
        <v>101040941.06554256</v>
      </c>
      <c r="B5682">
        <v>254694093.42386228</v>
      </c>
    </row>
    <row r="5683" spans="1:2" x14ac:dyDescent="0.25">
      <c r="A5683">
        <f ca="1">29849.3647350933*(RANDBETWEEN(2890,3282))</f>
        <v>95488117.787563607</v>
      </c>
      <c r="B5683">
        <v>206701183.30799749</v>
      </c>
    </row>
    <row r="5684" spans="1:2" x14ac:dyDescent="0.25">
      <c r="A5684">
        <f ca="1">31559.1018374968*(RANDBETWEEN(2890,3282))</f>
        <v>94677305.512490317</v>
      </c>
      <c r="B5684">
        <v>219280882.8810215</v>
      </c>
    </row>
    <row r="5685" spans="1:2" x14ac:dyDescent="0.25">
      <c r="A5685">
        <f ca="1">27771.7366142958*(RANDBETWEEN(2890,3282))</f>
        <v>85536948.772031024</v>
      </c>
      <c r="B5685">
        <v>207037217.45968932</v>
      </c>
    </row>
    <row r="5686" spans="1:2" x14ac:dyDescent="0.25">
      <c r="A5686">
        <f ca="1">28248.0274638253*(RANDBETWEEN(2890,3282))</f>
        <v>92625282.053883076</v>
      </c>
      <c r="B5686">
        <v>267882418.27836242</v>
      </c>
    </row>
    <row r="5687" spans="1:2" x14ac:dyDescent="0.25">
      <c r="A5687">
        <f ca="1">27887.308571375*(RANDBETWEEN(2890,3282))</f>
        <v>80956856.782701612</v>
      </c>
      <c r="B5687">
        <v>254782201.24019456</v>
      </c>
    </row>
    <row r="5688" spans="1:2" x14ac:dyDescent="0.25">
      <c r="A5688">
        <f ca="1">31589.8634004482*(RANDBETWEEN(2890,3282))</f>
        <v>93411226.075125471</v>
      </c>
      <c r="B5688">
        <v>227435239.4934662</v>
      </c>
    </row>
    <row r="5689" spans="1:2" x14ac:dyDescent="0.25">
      <c r="A5689">
        <f ca="1">27738.7962217858*(RANDBETWEEN(2890,3282))</f>
        <v>85241320.789547727</v>
      </c>
      <c r="B5689">
        <v>242176593.50752017</v>
      </c>
    </row>
    <row r="5690" spans="1:2" x14ac:dyDescent="0.25">
      <c r="A5690">
        <f ca="1">26610.9238076333*(RANDBETWEEN(2890,3282))</f>
        <v>85793618.355809808</v>
      </c>
      <c r="B5690">
        <v>214675035.68192953</v>
      </c>
    </row>
    <row r="5691" spans="1:2" x14ac:dyDescent="0.25">
      <c r="A5691">
        <f ca="1">32485.8329537719*(RANDBETWEEN(2890,3282))</f>
        <v>106163702.09292644</v>
      </c>
      <c r="B5691">
        <v>217391374.53845972</v>
      </c>
    </row>
    <row r="5692" spans="1:2" x14ac:dyDescent="0.25">
      <c r="A5692">
        <f ca="1">29312.3641978344*(RANDBETWEEN(2890,3282))</f>
        <v>90194144.636736304</v>
      </c>
      <c r="B5692">
        <v>216878529.88533998</v>
      </c>
    </row>
    <row r="5693" spans="1:2" x14ac:dyDescent="0.25">
      <c r="A5693">
        <f ca="1">32318.6621009132*(RANDBETWEEN(2890,3282))</f>
        <v>105423475.77317876</v>
      </c>
      <c r="B5693">
        <v>240467899.81806365</v>
      </c>
    </row>
    <row r="5694" spans="1:2" x14ac:dyDescent="0.25">
      <c r="A5694">
        <f ca="1">28298.0221698547*(RANDBETWEEN(2890,3282))</f>
        <v>83026397.046353802</v>
      </c>
      <c r="B5694">
        <v>218704080.39911759</v>
      </c>
    </row>
    <row r="5695" spans="1:2" x14ac:dyDescent="0.25">
      <c r="A5695">
        <f ca="1">27692.3211144037*(RANDBETWEEN(2890,3282))</f>
        <v>82883117.095410153</v>
      </c>
      <c r="B5695">
        <v>235884723.01646215</v>
      </c>
    </row>
    <row r="5696" spans="1:2" x14ac:dyDescent="0.25">
      <c r="A5696">
        <f ca="1">26293.6163337786*(RANDBETWEEN(2890,3282))</f>
        <v>76435542.682294294</v>
      </c>
      <c r="B5696">
        <v>259501625.08557755</v>
      </c>
    </row>
    <row r="5697" spans="1:2" x14ac:dyDescent="0.25">
      <c r="A5697">
        <f ca="1">33260.5649871427*(RANDBETWEEN(2890,3282))</f>
        <v>99881476.656389505</v>
      </c>
      <c r="B5697">
        <v>204164442.91881353</v>
      </c>
    </row>
    <row r="5698" spans="1:2" x14ac:dyDescent="0.25">
      <c r="A5698">
        <f ca="1">32179.818730464*(RANDBETWEEN(2890,3282))</f>
        <v>92999676.131040886</v>
      </c>
      <c r="B5698">
        <v>254487916.28399634</v>
      </c>
    </row>
    <row r="5699" spans="1:2" x14ac:dyDescent="0.25">
      <c r="A5699">
        <f ca="1">33144.7657566666*(RANDBETWEEN(2890,3282))</f>
        <v>101787575.63872312</v>
      </c>
      <c r="B5699">
        <v>245872235.37342718</v>
      </c>
    </row>
    <row r="5700" spans="1:2" x14ac:dyDescent="0.25">
      <c r="A5700">
        <f ca="1">28058.2675861927*(RANDBETWEEN(2890,3282))</f>
        <v>87597911.404093742</v>
      </c>
      <c r="B5700">
        <v>241199529.37820521</v>
      </c>
    </row>
    <row r="5701" spans="1:2" x14ac:dyDescent="0.25">
      <c r="A5701">
        <f ca="1">31209.5021398905*(RANDBETWEEN(2890,3282))</f>
        <v>97280018.170038596</v>
      </c>
      <c r="B5701">
        <v>236201617.05146697</v>
      </c>
    </row>
    <row r="5702" spans="1:2" x14ac:dyDescent="0.25">
      <c r="A5702">
        <f ca="1">32731.7351970691*(RANDBETWEEN(2890,3282))</f>
        <v>106378139.39047451</v>
      </c>
      <c r="B5702">
        <v>237026271.50458539</v>
      </c>
    </row>
    <row r="5703" spans="1:2" x14ac:dyDescent="0.25">
      <c r="A5703">
        <f ca="1">30611.0113523359*(RANDBETWEEN(2890,3282))</f>
        <v>92322810.238645077</v>
      </c>
      <c r="B5703">
        <v>243890602.5157789</v>
      </c>
    </row>
    <row r="5704" spans="1:2" x14ac:dyDescent="0.25">
      <c r="A5704">
        <f ca="1">30837.5011201445*(RANDBETWEEN(2890,3282))</f>
        <v>98525816.078861743</v>
      </c>
      <c r="B5704">
        <v>216269634.41206983</v>
      </c>
    </row>
    <row r="5705" spans="1:2" x14ac:dyDescent="0.25">
      <c r="A5705">
        <f ca="1">33536.8025715599*(RANDBETWEEN(2890,3282))</f>
        <v>108525093.1215677</v>
      </c>
      <c r="B5705">
        <v>228328472.44557205</v>
      </c>
    </row>
    <row r="5706" spans="1:2" x14ac:dyDescent="0.25">
      <c r="A5706">
        <f ca="1">31560.6843862133*(RANDBETWEEN(2890,3282))</f>
        <v>101877889.19869667</v>
      </c>
      <c r="B5706">
        <v>237759479.23145264</v>
      </c>
    </row>
    <row r="5707" spans="1:2" x14ac:dyDescent="0.25">
      <c r="A5707">
        <f ca="1">26741.920853125*(RANDBETWEEN(2890,3282))</f>
        <v>78139892.732831374</v>
      </c>
      <c r="B5707">
        <v>250377114.52915183</v>
      </c>
    </row>
    <row r="5708" spans="1:2" x14ac:dyDescent="0.25">
      <c r="A5708">
        <f ca="1">34181.7899072915*(RANDBETWEEN(2890,3282))</f>
        <v>111432635.09777035</v>
      </c>
      <c r="B5708">
        <v>245134419.93271253</v>
      </c>
    </row>
    <row r="5709" spans="1:2" x14ac:dyDescent="0.25">
      <c r="A5709">
        <f ca="1">34370.9417035881*(RANDBETWEEN(2890,3282))</f>
        <v>109677674.97614975</v>
      </c>
      <c r="B5709">
        <v>217786914.61707699</v>
      </c>
    </row>
    <row r="5710" spans="1:2" x14ac:dyDescent="0.25">
      <c r="A5710">
        <f ca="1">27374.9355122585*(RANDBETWEEN(2890,3282))</f>
        <v>88941165.479327932</v>
      </c>
      <c r="B5710">
        <v>267104664.42836976</v>
      </c>
    </row>
    <row r="5711" spans="1:2" x14ac:dyDescent="0.25">
      <c r="A5711">
        <f ca="1">27070.30440673*(RANDBETWEEN(2890,3282))</f>
        <v>81237983.52459681</v>
      </c>
      <c r="B5711">
        <v>228234923.10871971</v>
      </c>
    </row>
    <row r="5712" spans="1:2" x14ac:dyDescent="0.25">
      <c r="A5712">
        <f ca="1">27100.675853428*(RANDBETWEEN(2890,3282))</f>
        <v>83605585.00782539</v>
      </c>
      <c r="B5712">
        <v>211457337.06453919</v>
      </c>
    </row>
    <row r="5713" spans="1:2" x14ac:dyDescent="0.25">
      <c r="A5713">
        <f ca="1">27450.1065129356*(RANDBETWEEN(2890,3282))</f>
        <v>83009122.095117107</v>
      </c>
      <c r="B5713">
        <v>208024592.68090728</v>
      </c>
    </row>
    <row r="5714" spans="1:2" x14ac:dyDescent="0.25">
      <c r="A5714">
        <f ca="1">31627.9077782387*(RANDBETWEEN(2890,3282))</f>
        <v>102474421.20149331</v>
      </c>
      <c r="B5714">
        <v>240178732.51074719</v>
      </c>
    </row>
    <row r="5715" spans="1:2" x14ac:dyDescent="0.25">
      <c r="A5715">
        <f ca="1">31848.3045846864*(RANDBETWEEN(2890,3282))</f>
        <v>98984530.649205312</v>
      </c>
      <c r="B5715">
        <v>213702352.59287119</v>
      </c>
    </row>
    <row r="5716" spans="1:2" x14ac:dyDescent="0.25">
      <c r="A5716">
        <f ca="1">28354.7989182573*(RANDBETWEEN(2890,3282))</f>
        <v>84837558.363425925</v>
      </c>
      <c r="B5716">
        <v>246590345.78442335</v>
      </c>
    </row>
    <row r="5717" spans="1:2" x14ac:dyDescent="0.25">
      <c r="A5717">
        <f ca="1">30613.8995035149*(RANDBETWEEN(2890,3282))</f>
        <v>97137903.124652803</v>
      </c>
      <c r="B5717">
        <v>261305182.90712741</v>
      </c>
    </row>
    <row r="5718" spans="1:2" x14ac:dyDescent="0.25">
      <c r="A5718">
        <f ca="1">32791.8659324421*(RANDBETWEEN(2890,3282))</f>
        <v>97096715.025961027</v>
      </c>
      <c r="B5718">
        <v>263431252.00306067</v>
      </c>
    </row>
    <row r="5719" spans="1:2" x14ac:dyDescent="0.25">
      <c r="A5719">
        <f ca="1">27071.3254163526*(RANDBETWEEN(2890,3282))</f>
        <v>85734887.593588755</v>
      </c>
      <c r="B5719">
        <v>240903574.65016598</v>
      </c>
    </row>
    <row r="5720" spans="1:2" x14ac:dyDescent="0.25">
      <c r="A5720">
        <f ca="1">31075.6093381245*(RANDBETWEEN(2890,3282))</f>
        <v>91486593.891438439</v>
      </c>
      <c r="B5720">
        <v>252591793.29018429</v>
      </c>
    </row>
    <row r="5721" spans="1:2" x14ac:dyDescent="0.25">
      <c r="A5721">
        <f ca="1">31226.2266233674*(RANDBETWEEN(2890,3282))</f>
        <v>101922403.69867122</v>
      </c>
      <c r="B5721">
        <v>205187768.96973714</v>
      </c>
    </row>
    <row r="5722" spans="1:2" x14ac:dyDescent="0.25">
      <c r="A5722">
        <f ca="1">32873.8432929709*(RANDBETWEEN(2890,3282))</f>
        <v>103158120.25334282</v>
      </c>
      <c r="B5722">
        <v>257342327.86804983</v>
      </c>
    </row>
    <row r="5723" spans="1:2" x14ac:dyDescent="0.25">
      <c r="A5723">
        <f ca="1">29999.9406760047*(RANDBETWEEN(2890,3282))</f>
        <v>92129817.81601049</v>
      </c>
      <c r="B5723">
        <v>216465459.63801801</v>
      </c>
    </row>
    <row r="5724" spans="1:2" x14ac:dyDescent="0.25">
      <c r="A5724">
        <f ca="1">30809.1706878679*(RANDBETWEEN(2890,3282))</f>
        <v>96925650.984032303</v>
      </c>
      <c r="B5724">
        <v>264690513.39820316</v>
      </c>
    </row>
    <row r="5725" spans="1:2" x14ac:dyDescent="0.25">
      <c r="A5725">
        <f ca="1">32818.9974039183*(RANDBETWEEN(2890,3282))</f>
        <v>100885598.01964487</v>
      </c>
      <c r="B5725">
        <v>220037817.83762068</v>
      </c>
    </row>
    <row r="5726" spans="1:2" x14ac:dyDescent="0.25">
      <c r="A5726">
        <f ca="1">30152.3760278301*(RANDBETWEEN(2890,3282))</f>
        <v>97422326.945919126</v>
      </c>
      <c r="B5726">
        <v>254600082.887281</v>
      </c>
    </row>
    <row r="5727" spans="1:2" x14ac:dyDescent="0.25">
      <c r="A5727">
        <f ca="1">28650.7723874425*(RANDBETWEEN(2890,3282))</f>
        <v>92198185.54279004</v>
      </c>
      <c r="B5727">
        <v>242466216.0838941</v>
      </c>
    </row>
    <row r="5728" spans="1:2" x14ac:dyDescent="0.25">
      <c r="A5728">
        <f ca="1">29004.372959705*(RANDBETWEEN(2890,3282))</f>
        <v>89971564.921004981</v>
      </c>
      <c r="B5728">
        <v>214566492.6939905</v>
      </c>
    </row>
    <row r="5729" spans="1:2" x14ac:dyDescent="0.25">
      <c r="A5729">
        <f ca="1">31654.4417772313*(RANDBETWEEN(2890,3282))</f>
        <v>94203618.729040414</v>
      </c>
      <c r="B5729">
        <v>251335364.64011621</v>
      </c>
    </row>
    <row r="5730" spans="1:2" x14ac:dyDescent="0.25">
      <c r="A5730">
        <f ca="1">30082.7596200341*(RANDBETWEEN(2890,3282))</f>
        <v>96896568.736129731</v>
      </c>
      <c r="B5730">
        <v>243770887.43304384</v>
      </c>
    </row>
    <row r="5731" spans="1:2" x14ac:dyDescent="0.25">
      <c r="A5731">
        <f ca="1">30553.5293357046*(RANDBETWEEN(2890,3282))</f>
        <v>98810113.871668637</v>
      </c>
      <c r="B5731">
        <v>224011506.19194716</v>
      </c>
    </row>
    <row r="5732" spans="1:2" x14ac:dyDescent="0.25">
      <c r="A5732">
        <f ca="1">30395.8229698729*(RANDBETWEEN(2890,3282))</f>
        <v>92403301.828413591</v>
      </c>
      <c r="B5732">
        <v>232350425.78819531</v>
      </c>
    </row>
    <row r="5733" spans="1:2" x14ac:dyDescent="0.25">
      <c r="A5733">
        <f ca="1">27794.2126958927*(RANDBETWEEN(2890,3282))</f>
        <v>89580747.518862292</v>
      </c>
      <c r="B5733">
        <v>239387555.86827379</v>
      </c>
    </row>
    <row r="5734" spans="1:2" x14ac:dyDescent="0.25">
      <c r="A5734">
        <f ca="1">32509.938142779*(RANDBETWEEN(2890,3282))</f>
        <v>104714510.75789101</v>
      </c>
      <c r="B5734">
        <v>264931552.97803098</v>
      </c>
    </row>
    <row r="5735" spans="1:2" x14ac:dyDescent="0.25">
      <c r="A5735">
        <f ca="1">30622.0407906731*(RANDBETWEEN(2890,3282))</f>
        <v>96643160.735364214</v>
      </c>
      <c r="B5735">
        <v>264266799.47200176</v>
      </c>
    </row>
    <row r="5736" spans="1:2" x14ac:dyDescent="0.25">
      <c r="A5736">
        <f ca="1">33028.9411948371*(RANDBETWEEN(2890,3282))</f>
        <v>107839493.00114305</v>
      </c>
      <c r="B5736">
        <v>249737184.00989124</v>
      </c>
    </row>
    <row r="5737" spans="1:2" x14ac:dyDescent="0.25">
      <c r="A5737">
        <f ca="1">30955.4381023091*(RANDBETWEEN(2890,3282))</f>
        <v>99243134.55600293</v>
      </c>
      <c r="B5737">
        <v>267513628.24707627</v>
      </c>
    </row>
    <row r="5738" spans="1:2" x14ac:dyDescent="0.25">
      <c r="A5738">
        <f ca="1">29471.0506609688*(RANDBETWEEN(2890,3282))</f>
        <v>96222980.408063024</v>
      </c>
      <c r="B5738">
        <v>251478213.98697895</v>
      </c>
    </row>
    <row r="5739" spans="1:2" x14ac:dyDescent="0.25">
      <c r="A5739">
        <f ca="1">30674.7023668423*(RANDBETWEEN(2890,3282))</f>
        <v>92790974.659698099</v>
      </c>
      <c r="B5739">
        <v>206582775.84478372</v>
      </c>
    </row>
    <row r="5740" spans="1:2" x14ac:dyDescent="0.25">
      <c r="A5740">
        <f ca="1">27252.8039906629*(RANDBETWEEN(2890,3282))</f>
        <v>83938636.291241854</v>
      </c>
      <c r="B5740">
        <v>213908481.95159307</v>
      </c>
    </row>
    <row r="5741" spans="1:2" x14ac:dyDescent="0.25">
      <c r="A5741">
        <f ca="1">31345.9054055865*(RANDBETWEEN(2890,3282))</f>
        <v>98614218.405975267</v>
      </c>
      <c r="B5741">
        <v>227821492.97244391</v>
      </c>
    </row>
    <row r="5742" spans="1:2" x14ac:dyDescent="0.25">
      <c r="A5742">
        <f ca="1">29473.9512135682*(RANDBETWEEN(2890,3282))</f>
        <v>88805015.006480977</v>
      </c>
      <c r="B5742">
        <v>238970225.42528519</v>
      </c>
    </row>
    <row r="5743" spans="1:2" x14ac:dyDescent="0.25">
      <c r="A5743">
        <f ca="1">29936.470531782*(RANDBETWEEN(2890,3282))</f>
        <v>90408141.005981535</v>
      </c>
      <c r="B5743">
        <v>210756463.95625684</v>
      </c>
    </row>
    <row r="5744" spans="1:2" x14ac:dyDescent="0.25">
      <c r="A5744">
        <f ca="1">30897.1130707682*(RANDBETWEEN(2890,3282))</f>
        <v>99550498.314015061</v>
      </c>
      <c r="B5744">
        <v>231195727.77019924</v>
      </c>
    </row>
    <row r="5745" spans="1:2" x14ac:dyDescent="0.25">
      <c r="A5745">
        <f ca="1">30645.7467411965*(RANDBETWEEN(2890,3282))</f>
        <v>90313015.646306038</v>
      </c>
      <c r="B5745">
        <v>249763821.93499905</v>
      </c>
    </row>
    <row r="5746" spans="1:2" x14ac:dyDescent="0.25">
      <c r="A5746">
        <f ca="1">31804.9955582981*(RANDBETWEEN(2890,3282))</f>
        <v>103938725.48451819</v>
      </c>
      <c r="B5746">
        <v>223703793.90538102</v>
      </c>
    </row>
    <row r="5747" spans="1:2" x14ac:dyDescent="0.25">
      <c r="A5747">
        <f ca="1">30920.3363336528*(RANDBETWEEN(2890,3282))</f>
        <v>98604952.568018615</v>
      </c>
      <c r="B5747">
        <v>208791491.18152389</v>
      </c>
    </row>
    <row r="5748" spans="1:2" x14ac:dyDescent="0.25">
      <c r="A5748">
        <f ca="1">29858.4664672992*(RANDBETWEEN(2890,3282))</f>
        <v>95039498.765413329</v>
      </c>
      <c r="B5748">
        <v>218837617.25169432</v>
      </c>
    </row>
    <row r="5749" spans="1:2" x14ac:dyDescent="0.25">
      <c r="A5749">
        <f ca="1">30711.4108255207*(RANDBETWEEN(2890,3282))</f>
        <v>93362688.909582943</v>
      </c>
      <c r="B5749">
        <v>244022285.13620448</v>
      </c>
    </row>
    <row r="5750" spans="1:2" x14ac:dyDescent="0.25">
      <c r="A5750">
        <f ca="1">30262.767136154*(RANDBETWEEN(2890,3282))</f>
        <v>98807934.699542746</v>
      </c>
      <c r="B5750">
        <v>211322149.4666025</v>
      </c>
    </row>
    <row r="5751" spans="1:2" x14ac:dyDescent="0.25">
      <c r="A5751">
        <f ca="1">30278.0755589371*(RANDBETWEEN(2890,3282))</f>
        <v>96920119.864157766</v>
      </c>
      <c r="B5751">
        <v>257221571.43733487</v>
      </c>
    </row>
    <row r="5752" spans="1:2" x14ac:dyDescent="0.25">
      <c r="A5752">
        <f ca="1">30730.2227742205*(RANDBETWEEN(2890,3282))</f>
        <v>96339248.397181213</v>
      </c>
      <c r="B5752">
        <v>238748076.40394539</v>
      </c>
    </row>
    <row r="5753" spans="1:2" x14ac:dyDescent="0.25">
      <c r="A5753">
        <f ca="1">29626.6056866701*(RANDBETWEEN(2890,3282))</f>
        <v>88109525.312156901</v>
      </c>
      <c r="B5753">
        <v>214088698.72959277</v>
      </c>
    </row>
    <row r="5754" spans="1:2" x14ac:dyDescent="0.25">
      <c r="A5754">
        <f ca="1">29547.7027223928*(RANDBETWEEN(2890,3282))</f>
        <v>90947828.979525</v>
      </c>
      <c r="B5754">
        <v>259323306.61739919</v>
      </c>
    </row>
    <row r="5755" spans="1:2" x14ac:dyDescent="0.25">
      <c r="A5755">
        <f ca="1">28862.6924674675*(RANDBETWEEN(2890,3282))</f>
        <v>91869950.12394917</v>
      </c>
      <c r="B5755">
        <v>207535609.82890689</v>
      </c>
    </row>
    <row r="5756" spans="1:2" x14ac:dyDescent="0.25">
      <c r="A5756">
        <f ca="1">31435.0091221351*(RANDBETWEEN(2890,3282))</f>
        <v>91224396.47243613</v>
      </c>
      <c r="B5756">
        <v>221669211.77998731</v>
      </c>
    </row>
    <row r="5757" spans="1:2" x14ac:dyDescent="0.25">
      <c r="A5757">
        <f ca="1">32020.5116950655*(RANDBETWEEN(2890,3282))</f>
        <v>96189617.131976753</v>
      </c>
      <c r="B5757">
        <v>222359344.41287521</v>
      </c>
    </row>
    <row r="5758" spans="1:2" x14ac:dyDescent="0.25">
      <c r="A5758">
        <f ca="1">26684.3316705211*(RANDBETWEEN(2890,3282))</f>
        <v>85496598.672349632</v>
      </c>
      <c r="B5758">
        <v>227118274.10538733</v>
      </c>
    </row>
    <row r="5759" spans="1:2" x14ac:dyDescent="0.25">
      <c r="A5759">
        <f ca="1">30859.4380396047*(RANDBETWEEN(2890,3282))</f>
        <v>99768563.182042018</v>
      </c>
      <c r="B5759">
        <v>209792140.83189839</v>
      </c>
    </row>
    <row r="5760" spans="1:2" x14ac:dyDescent="0.25">
      <c r="A5760">
        <f ca="1">27976.9652186204*(RANDBETWEEN(2890,3282))</f>
        <v>87847670.786468029</v>
      </c>
      <c r="B5760">
        <v>233863711.33792281</v>
      </c>
    </row>
    <row r="5761" spans="1:2" x14ac:dyDescent="0.25">
      <c r="A5761">
        <f ca="1">31403.7530698633*(RANDBETWEEN(2890,3282))</f>
        <v>94431085.481079087</v>
      </c>
      <c r="B5761">
        <v>267627363.96152556</v>
      </c>
    </row>
    <row r="5762" spans="1:2" x14ac:dyDescent="0.25">
      <c r="A5762">
        <f ca="1">30640.9630793565*(RANDBETWEEN(2890,3282))</f>
        <v>91034301.308768168</v>
      </c>
      <c r="B5762">
        <v>265654904.75744399</v>
      </c>
    </row>
    <row r="5763" spans="1:2" x14ac:dyDescent="0.25">
      <c r="A5763">
        <f ca="1">27376.650458899*(RANDBETWEEN(2890,3282))</f>
        <v>84128446.860196531</v>
      </c>
      <c r="B5763">
        <v>262957465.38044488</v>
      </c>
    </row>
    <row r="5764" spans="1:2" x14ac:dyDescent="0.25">
      <c r="A5764">
        <f ca="1">28175.1765588773*(RANDBETWEEN(2890,3282))</f>
        <v>87258521.80284296</v>
      </c>
      <c r="B5764">
        <v>266388230.37904671</v>
      </c>
    </row>
    <row r="5765" spans="1:2" x14ac:dyDescent="0.25">
      <c r="A5765">
        <f ca="1">30315.346567988*(RANDBETWEEN(2890,3282))</f>
        <v>91825184.754435599</v>
      </c>
      <c r="B5765">
        <v>261964687.11727124</v>
      </c>
    </row>
    <row r="5766" spans="1:2" x14ac:dyDescent="0.25">
      <c r="A5766">
        <f ca="1">26891.7823757415*(RANDBETWEEN(2890,3282))</f>
        <v>87183158.46215409</v>
      </c>
      <c r="B5766">
        <v>247148327.30471382</v>
      </c>
    </row>
    <row r="5767" spans="1:2" x14ac:dyDescent="0.25">
      <c r="A5767">
        <f ca="1">27721.2839855242*(RANDBETWEEN(2890,3282))</f>
        <v>82803475.264760658</v>
      </c>
      <c r="B5767">
        <v>207127066.67152277</v>
      </c>
    </row>
    <row r="5768" spans="1:2" x14ac:dyDescent="0.25">
      <c r="A5768">
        <f ca="1">30599.68813353*(RANDBETWEEN(2890,3282))</f>
        <v>99479586.122106194</v>
      </c>
      <c r="B5768">
        <v>267659882.62626401</v>
      </c>
    </row>
    <row r="5769" spans="1:2" x14ac:dyDescent="0.25">
      <c r="A5769">
        <f ca="1">33282.3169577896*(RANDBETWEEN(2890,3282))</f>
        <v>100878702.6990602</v>
      </c>
      <c r="B5769">
        <v>218714592.28671581</v>
      </c>
    </row>
    <row r="5770" spans="1:2" x14ac:dyDescent="0.25">
      <c r="A5770">
        <f ca="1">31807.3854939536*(RANDBETWEEN(2890,3282))</f>
        <v>101974477.89361537</v>
      </c>
      <c r="B5770">
        <v>236455763.82089376</v>
      </c>
    </row>
    <row r="5771" spans="1:2" x14ac:dyDescent="0.25">
      <c r="A5771">
        <f ca="1">26329.2643460724*(RANDBETWEEN(2890,3282))</f>
        <v>86386316.319463611</v>
      </c>
      <c r="B5771">
        <v>222670310.53153315</v>
      </c>
    </row>
    <row r="5772" spans="1:2" x14ac:dyDescent="0.25">
      <c r="A5772">
        <f ca="1">27803.1882093783*(RANDBETWEEN(2890,3282))</f>
        <v>84243660.274416208</v>
      </c>
      <c r="B5772">
        <v>218679066.15360332</v>
      </c>
    </row>
    <row r="5773" spans="1:2" x14ac:dyDescent="0.25">
      <c r="A5773">
        <f ca="1">27143.1512006732*(RANDBETWEEN(2890,3282))</f>
        <v>79610862.471574634</v>
      </c>
      <c r="B5773">
        <v>204104693.50782704</v>
      </c>
    </row>
    <row r="5774" spans="1:2" x14ac:dyDescent="0.25">
      <c r="A5774">
        <f ca="1">31777.3214313726*(RANDBETWEEN(2890,3282))</f>
        <v>101306100.7232157</v>
      </c>
      <c r="B5774">
        <v>212838354.52821302</v>
      </c>
    </row>
    <row r="5775" spans="1:2" x14ac:dyDescent="0.25">
      <c r="A5775">
        <f ca="1">26442.8988145122*(RANDBETWEEN(2890,3282))</f>
        <v>79487353.836423814</v>
      </c>
      <c r="B5775">
        <v>233620819.90702999</v>
      </c>
    </row>
    <row r="5776" spans="1:2" x14ac:dyDescent="0.25">
      <c r="A5776">
        <f ca="1">29647.8362429527*(RANDBETWEEN(2890,3282))</f>
        <v>96711241.824511871</v>
      </c>
      <c r="B5776">
        <v>256944987.02375242</v>
      </c>
    </row>
    <row r="5777" spans="1:2" x14ac:dyDescent="0.25">
      <c r="A5777">
        <f ca="1">30807.1058473004*(RANDBETWEEN(2890,3282))</f>
        <v>96210591.561119139</v>
      </c>
      <c r="B5777">
        <v>212685716.83384323</v>
      </c>
    </row>
    <row r="5778" spans="1:2" x14ac:dyDescent="0.25">
      <c r="A5778">
        <f ca="1">26714.2440201329*(RANDBETWEEN(2890,3282))</f>
        <v>83482012.562915206</v>
      </c>
      <c r="B5778">
        <v>217094842.18951935</v>
      </c>
    </row>
    <row r="5779" spans="1:2" x14ac:dyDescent="0.25">
      <c r="A5779">
        <f ca="1">29575.6665505465*(RANDBETWEEN(2890,3282))</f>
        <v>87573548.656168103</v>
      </c>
      <c r="B5779">
        <v>243378991.14088994</v>
      </c>
    </row>
    <row r="5780" spans="1:2" x14ac:dyDescent="0.25">
      <c r="A5780">
        <f ca="1">33130.0776921624*(RANDBETWEEN(2890,3282))</f>
        <v>106148768.92568824</v>
      </c>
      <c r="B5780">
        <v>230635835.03408989</v>
      </c>
    </row>
    <row r="5781" spans="1:2" x14ac:dyDescent="0.25">
      <c r="A5781">
        <f ca="1">28926.6169158012*(RANDBETWEEN(2890,3282))</f>
        <v>89238613.185246572</v>
      </c>
      <c r="B5781">
        <v>236813708.47654846</v>
      </c>
    </row>
    <row r="5782" spans="1:2" x14ac:dyDescent="0.25">
      <c r="A5782">
        <f ca="1">29217.8402188542*(RANDBETWEEN(2890,3282))</f>
        <v>88530055.863128245</v>
      </c>
      <c r="B5782">
        <v>224865846.71255219</v>
      </c>
    </row>
    <row r="5783" spans="1:2" x14ac:dyDescent="0.25">
      <c r="A5783">
        <f ca="1">28766.8654605316*(RANDBETWEEN(2890,3282))</f>
        <v>84833486.243107781</v>
      </c>
      <c r="B5783">
        <v>232934311.19266629</v>
      </c>
    </row>
    <row r="5784" spans="1:2" x14ac:dyDescent="0.25">
      <c r="A5784">
        <f ca="1">31413.3887587638*(RANDBETWEEN(2890,3282))</f>
        <v>98795107.646312147</v>
      </c>
      <c r="B5784">
        <v>265183093.18283814</v>
      </c>
    </row>
    <row r="5785" spans="1:2" x14ac:dyDescent="0.25">
      <c r="A5785">
        <f ca="1">33477.5390053103*(RANDBETWEEN(2890,3282))</f>
        <v>106425096.49788158</v>
      </c>
      <c r="B5785">
        <v>228074602.56336361</v>
      </c>
    </row>
    <row r="5786" spans="1:2" x14ac:dyDescent="0.25">
      <c r="A5786">
        <f ca="1">26843.8669187899*(RANDBETWEEN(2890,3282))</f>
        <v>87000972.68379809</v>
      </c>
      <c r="B5786">
        <v>206868632.40668985</v>
      </c>
    </row>
    <row r="5787" spans="1:2" x14ac:dyDescent="0.25">
      <c r="A5787">
        <f ca="1">30466.5477012021*(RANDBETWEEN(2890,3282))</f>
        <v>94750963.350738436</v>
      </c>
      <c r="B5787">
        <v>248924964.22973129</v>
      </c>
    </row>
    <row r="5788" spans="1:2" x14ac:dyDescent="0.25">
      <c r="A5788">
        <f ca="1">31164.5797004212*(RANDBETWEEN(2890,3282))</f>
        <v>102157492.2579806</v>
      </c>
      <c r="B5788">
        <v>238507354.62242585</v>
      </c>
    </row>
    <row r="5789" spans="1:2" x14ac:dyDescent="0.25">
      <c r="A5789">
        <f ca="1">32488.4508360763*(RANDBETWEEN(2890,3282))</f>
        <v>104222950.28213291</v>
      </c>
      <c r="B5789">
        <v>259169429.7075755</v>
      </c>
    </row>
    <row r="5790" spans="1:2" x14ac:dyDescent="0.25">
      <c r="A5790">
        <f ca="1">27342.3940224796*(RANDBETWEEN(2890,3282))</f>
        <v>88315932.692608967</v>
      </c>
      <c r="B5790">
        <v>256168826.33726254</v>
      </c>
    </row>
    <row r="5791" spans="1:2" x14ac:dyDescent="0.25">
      <c r="A5791">
        <f ca="1">32554.0726148278*(RANDBETWEEN(2890,3282))</f>
        <v>101145503.61426994</v>
      </c>
      <c r="B5791">
        <v>255851602.07041383</v>
      </c>
    </row>
    <row r="5792" spans="1:2" x14ac:dyDescent="0.25">
      <c r="A5792">
        <f ca="1">29306.076022323*(RANDBETWEEN(2890,3282))</f>
        <v>94219034.411768585</v>
      </c>
      <c r="B5792">
        <v>240746491.19197312</v>
      </c>
    </row>
    <row r="5793" spans="1:2" x14ac:dyDescent="0.25">
      <c r="A5793">
        <f ca="1">30423.8635318008*(RANDBETWEEN(2890,3282))</f>
        <v>94526943.993305042</v>
      </c>
      <c r="B5793">
        <v>252816892.11335364</v>
      </c>
    </row>
    <row r="5794" spans="1:2" x14ac:dyDescent="0.25">
      <c r="A5794">
        <f ca="1">29236.202143479*(RANDBETWEEN(2890,3282))</f>
        <v>90983061.070506692</v>
      </c>
      <c r="B5794">
        <v>250981477.20846897</v>
      </c>
    </row>
    <row r="5795" spans="1:2" x14ac:dyDescent="0.25">
      <c r="A5795">
        <f ca="1">33428.7351247937*(RANDBETWEEN(2890,3282))</f>
        <v>97110475.537525713</v>
      </c>
      <c r="B5795">
        <v>255250799.63412672</v>
      </c>
    </row>
    <row r="5796" spans="1:2" x14ac:dyDescent="0.25">
      <c r="A5796">
        <f ca="1">27718.2737208806*(RANDBETWEEN(2890,3282))</f>
        <v>81547161.286830589</v>
      </c>
      <c r="B5796">
        <v>253312023.4393239</v>
      </c>
    </row>
    <row r="5797" spans="1:2" x14ac:dyDescent="0.25">
      <c r="A5797">
        <f ca="1">31098.4557189612*(RANDBETWEEN(2890,3282))</f>
        <v>95658849.791524515</v>
      </c>
      <c r="B5797">
        <v>234136167.24680561</v>
      </c>
    </row>
    <row r="5798" spans="1:2" x14ac:dyDescent="0.25">
      <c r="A5798">
        <f ca="1">28240.2005412033*(RANDBETWEEN(2890,3282))</f>
        <v>86612695.059870452</v>
      </c>
      <c r="B5798">
        <v>242853219.58417404</v>
      </c>
    </row>
    <row r="5799" spans="1:2" x14ac:dyDescent="0.25">
      <c r="A5799">
        <f ca="1">30696.0152394835*(RANDBETWEEN(2890,3282))</f>
        <v>90461156.91075784</v>
      </c>
      <c r="B5799">
        <v>256264518.38426059</v>
      </c>
    </row>
    <row r="5800" spans="1:2" x14ac:dyDescent="0.25">
      <c r="A5800">
        <f ca="1">31193.3213705645*(RANDBETWEEN(2890,3282))</f>
        <v>98040609.067684174</v>
      </c>
      <c r="B5800">
        <v>244683160.34783113</v>
      </c>
    </row>
    <row r="5801" spans="1:2" x14ac:dyDescent="0.25">
      <c r="A5801">
        <f ca="1">28038.022484342*(RANDBETWEEN(2890,3282))</f>
        <v>82712166.328808874</v>
      </c>
      <c r="B5801">
        <v>218975588.09423968</v>
      </c>
    </row>
    <row r="5802" spans="1:2" x14ac:dyDescent="0.25">
      <c r="A5802">
        <f ca="1">29090.2634310519*(RANDBETWEEN(2890,3282))</f>
        <v>94456085.360625356</v>
      </c>
      <c r="B5802">
        <v>259480121.24145824</v>
      </c>
    </row>
    <row r="5803" spans="1:2" x14ac:dyDescent="0.25">
      <c r="A5803">
        <f ca="1">29117.5663696144*(RANDBETWEEN(2890,3282))</f>
        <v>95068854.196791112</v>
      </c>
      <c r="B5803">
        <v>237171227.76642257</v>
      </c>
    </row>
    <row r="5804" spans="1:2" x14ac:dyDescent="0.25">
      <c r="A5804">
        <f ca="1">30011.545690575*(RANDBETWEEN(2890,3282))</f>
        <v>94506357.379620537</v>
      </c>
      <c r="B5804">
        <v>244902171.45902336</v>
      </c>
    </row>
    <row r="5805" spans="1:2" x14ac:dyDescent="0.25">
      <c r="A5805">
        <f ca="1">32886.5693294579*(RANDBETWEEN(2890,3282))</f>
        <v>95568370.471404567</v>
      </c>
      <c r="B5805">
        <v>259992219.61623171</v>
      </c>
    </row>
    <row r="5806" spans="1:2" x14ac:dyDescent="0.25">
      <c r="A5806">
        <f ca="1">30370.8533619448*(RANDBETWEEN(2890,3282))</f>
        <v>93177778.114446595</v>
      </c>
      <c r="B5806">
        <v>245357076.71764392</v>
      </c>
    </row>
    <row r="5807" spans="1:2" x14ac:dyDescent="0.25">
      <c r="A5807">
        <f ca="1">27150.9095792448*(RANDBETWEEN(2890,3282))</f>
        <v>78629034.141493037</v>
      </c>
      <c r="B5807">
        <v>265284710.22015223</v>
      </c>
    </row>
    <row r="5808" spans="1:2" x14ac:dyDescent="0.25">
      <c r="A5808">
        <f ca="1">31923.2032844552*(RANDBETWEEN(2890,3282))</f>
        <v>102920407.38908355</v>
      </c>
      <c r="B5808">
        <v>258529394.87735724</v>
      </c>
    </row>
    <row r="5809" spans="1:2" x14ac:dyDescent="0.25">
      <c r="A5809">
        <f ca="1">27124.0240889799*(RANDBETWEEN(2890,3282))</f>
        <v>80612599.59244819</v>
      </c>
      <c r="B5809">
        <v>221332067.85235679</v>
      </c>
    </row>
    <row r="5810" spans="1:2" x14ac:dyDescent="0.25">
      <c r="A5810">
        <f ca="1">29649.4522522357*(RANDBETWEEN(2890,3282))</f>
        <v>86042710.435987875</v>
      </c>
      <c r="B5810">
        <v>214045665.31184521</v>
      </c>
    </row>
    <row r="5811" spans="1:2" x14ac:dyDescent="0.25">
      <c r="A5811">
        <f ca="1">28206.168811062*(RANDBETWEEN(2890,3282))</f>
        <v>91162337.597352356</v>
      </c>
      <c r="B5811">
        <v>228956913.17751029</v>
      </c>
    </row>
    <row r="5812" spans="1:2" x14ac:dyDescent="0.25">
      <c r="A5812">
        <f ca="1">32207.7360958905*(RANDBETWEEN(2890,3282))</f>
        <v>97363986.217877045</v>
      </c>
      <c r="B5812">
        <v>244833410.76373252</v>
      </c>
    </row>
    <row r="5813" spans="1:2" x14ac:dyDescent="0.25">
      <c r="A5813">
        <f ca="1">31836.3018942289*(RANDBETWEEN(2890,3282))</f>
        <v>99615788.627042234</v>
      </c>
      <c r="B5813">
        <v>245481373.51489469</v>
      </c>
    </row>
    <row r="5814" spans="1:2" x14ac:dyDescent="0.25">
      <c r="A5814">
        <f ca="1">26473.3520973311*(RANDBETWEEN(2890,3282))</f>
        <v>78546435.672781438</v>
      </c>
      <c r="B5814">
        <v>260351625.02719969</v>
      </c>
    </row>
    <row r="5815" spans="1:2" x14ac:dyDescent="0.25">
      <c r="A5815">
        <f ca="1">27732.4114204217*(RANDBETWEEN(2890,3282))</f>
        <v>82143402.627289176</v>
      </c>
      <c r="B5815">
        <v>212395000.86799467</v>
      </c>
    </row>
    <row r="5816" spans="1:2" x14ac:dyDescent="0.25">
      <c r="A5816">
        <f ca="1">26949.2827323102*(RANDBETWEEN(2890,3282))</f>
        <v>78745804.143810451</v>
      </c>
      <c r="B5816">
        <v>213764954.28002831</v>
      </c>
    </row>
    <row r="5817" spans="1:2" x14ac:dyDescent="0.25">
      <c r="A5817">
        <f ca="1">32393.9438533464*(RANDBETWEEN(2890,3282))</f>
        <v>97505770.998572633</v>
      </c>
      <c r="B5817">
        <v>259471427.88929418</v>
      </c>
    </row>
    <row r="5818" spans="1:2" x14ac:dyDescent="0.25">
      <c r="A5818">
        <f ca="1">31246.361123297*(RANDBETWEEN(2890,3282))</f>
        <v>94676474.203589782</v>
      </c>
      <c r="B5818">
        <v>251420641.58853716</v>
      </c>
    </row>
    <row r="5819" spans="1:2" x14ac:dyDescent="0.25">
      <c r="A5819">
        <f ca="1">29965.4958383536*(RANDBETWEEN(2890,3282))</f>
        <v>94990621.807581007</v>
      </c>
      <c r="B5819">
        <v>267080567.93573046</v>
      </c>
    </row>
    <row r="5820" spans="1:2" x14ac:dyDescent="0.25">
      <c r="A5820">
        <f ca="1">28196.9965990866*(RANDBETWEEN(2890,3282))</f>
        <v>87438886.453767553</v>
      </c>
      <c r="B5820">
        <v>243254458.7309171</v>
      </c>
    </row>
    <row r="5821" spans="1:2" x14ac:dyDescent="0.25">
      <c r="A5821">
        <f ca="1">28030.3940268128*(RANDBETWEEN(2890,3282))</f>
        <v>90510142.312578663</v>
      </c>
      <c r="B5821">
        <v>220405243.54047081</v>
      </c>
    </row>
    <row r="5822" spans="1:2" x14ac:dyDescent="0.25">
      <c r="A5822">
        <f ca="1">33266.2997925365*(RANDBETWEEN(2890,3282))</f>
        <v>100231361.2749124</v>
      </c>
      <c r="B5822">
        <v>249378618.28334197</v>
      </c>
    </row>
    <row r="5823" spans="1:2" x14ac:dyDescent="0.25">
      <c r="A5823">
        <f ca="1">33361.4720238776*(RANDBETWEEN(2890,3282))</f>
        <v>99050210.438892499</v>
      </c>
      <c r="B5823">
        <v>215431442.46200243</v>
      </c>
    </row>
    <row r="5824" spans="1:2" x14ac:dyDescent="0.25">
      <c r="A5824">
        <f ca="1">29922.8522853016*(RANDBETWEEN(2890,3282))</f>
        <v>86925885.888801262</v>
      </c>
      <c r="B5824">
        <v>261568064.41842294</v>
      </c>
    </row>
    <row r="5825" spans="1:2" x14ac:dyDescent="0.25">
      <c r="A5825">
        <f ca="1">31026.6085945004*(RANDBETWEEN(2890,3282))</f>
        <v>97082258.292191625</v>
      </c>
      <c r="B5825">
        <v>267749246.11233026</v>
      </c>
    </row>
    <row r="5826" spans="1:2" x14ac:dyDescent="0.25">
      <c r="A5826">
        <f ca="1">28993.3751194703*(RANDBETWEEN(2890,3282))</f>
        <v>93996522.137322813</v>
      </c>
      <c r="B5826">
        <v>255429775.93860945</v>
      </c>
    </row>
    <row r="5827" spans="1:2" x14ac:dyDescent="0.25">
      <c r="A5827">
        <f ca="1">30103.9855148826*(RANDBETWEEN(2890,3282))</f>
        <v>96663897.488288045</v>
      </c>
      <c r="B5827">
        <v>267873612.2304433</v>
      </c>
    </row>
    <row r="5828" spans="1:2" x14ac:dyDescent="0.25">
      <c r="A5828">
        <f ca="1">27050.7015866452*(RANDBETWEEN(2890,3282))</f>
        <v>80043025.994883016</v>
      </c>
      <c r="B5828">
        <v>243145781.51576763</v>
      </c>
    </row>
    <row r="5829" spans="1:2" x14ac:dyDescent="0.25">
      <c r="A5829">
        <f ca="1">32123.9437213566*(RANDBETWEEN(2890,3282))</f>
        <v>98235019.899908423</v>
      </c>
      <c r="B5829">
        <v>267267665.75175053</v>
      </c>
    </row>
    <row r="5830" spans="1:2" x14ac:dyDescent="0.25">
      <c r="A5830">
        <f ca="1">34022.0079827918*(RANDBETWEEN(2890,3282))</f>
        <v>110027173.81634855</v>
      </c>
      <c r="B5830">
        <v>249872904.17218006</v>
      </c>
    </row>
    <row r="5831" spans="1:2" x14ac:dyDescent="0.25">
      <c r="A5831">
        <f ca="1">27358.7365620911*(RANDBETWEEN(2890,3282))</f>
        <v>81529034.955031618</v>
      </c>
      <c r="B5831">
        <v>213400210.62885684</v>
      </c>
    </row>
    <row r="5832" spans="1:2" x14ac:dyDescent="0.25">
      <c r="A5832">
        <f ca="1">26965.920492735*(RANDBETWEEN(2890,3282))</f>
        <v>83055035.11762391</v>
      </c>
      <c r="B5832">
        <v>212390700.16177231</v>
      </c>
    </row>
    <row r="5833" spans="1:2" x14ac:dyDescent="0.25">
      <c r="A5833">
        <f ca="1">32703.0603350056*(RANDBETWEEN(2890,3282))</f>
        <v>102785718.63292253</v>
      </c>
      <c r="B5833">
        <v>245658937.24537069</v>
      </c>
    </row>
    <row r="5834" spans="1:2" x14ac:dyDescent="0.25">
      <c r="A5834">
        <f ca="1">27077.7546843864*(RANDBETWEEN(2890,3282))</f>
        <v>85646938.066714078</v>
      </c>
      <c r="B5834">
        <v>217604827.69800895</v>
      </c>
    </row>
    <row r="5835" spans="1:2" x14ac:dyDescent="0.25">
      <c r="A5835">
        <f ca="1">28714.3448227182*(RANDBETWEEN(2890,3282))</f>
        <v>91943332.12234354</v>
      </c>
      <c r="B5835">
        <v>248696731.10548869</v>
      </c>
    </row>
    <row r="5836" spans="1:2" x14ac:dyDescent="0.25">
      <c r="A5836">
        <f ca="1">28411.4611006618*(RANDBETWEEN(2890,3282))</f>
        <v>86001492.751703233</v>
      </c>
      <c r="B5836">
        <v>223651287.53563842</v>
      </c>
    </row>
    <row r="5837" spans="1:2" x14ac:dyDescent="0.25">
      <c r="A5837">
        <f ca="1">27628.5877863803*(RANDBETWEEN(2890,3282))</f>
        <v>84211935.572887301</v>
      </c>
      <c r="B5837">
        <v>255559222.54728484</v>
      </c>
    </row>
    <row r="5838" spans="1:2" x14ac:dyDescent="0.25">
      <c r="A5838">
        <f ca="1">28259.9808263916*(RANDBETWEEN(2890,3282))</f>
        <v>88934159.660654441</v>
      </c>
      <c r="B5838">
        <v>253761120.88592649</v>
      </c>
    </row>
    <row r="5839" spans="1:2" x14ac:dyDescent="0.25">
      <c r="A5839">
        <f ca="1">29742.9427107856*(RANDBETWEEN(2890,3282))</f>
        <v>94017441.908793226</v>
      </c>
      <c r="B5839">
        <v>248334825.02114621</v>
      </c>
    </row>
    <row r="5840" spans="1:2" x14ac:dyDescent="0.25">
      <c r="A5840">
        <f ca="1">29687.8838092564*(RANDBETWEEN(2890,3282))</f>
        <v>97257507.359124064</v>
      </c>
      <c r="B5840">
        <v>207525809.26583502</v>
      </c>
    </row>
    <row r="5841" spans="1:2" x14ac:dyDescent="0.25">
      <c r="A5841">
        <f ca="1">27121.0703592831*(RANDBETWEEN(2890,3282))</f>
        <v>84671981.661681861</v>
      </c>
      <c r="B5841">
        <v>213387637.93582007</v>
      </c>
    </row>
    <row r="5842" spans="1:2" x14ac:dyDescent="0.25">
      <c r="A5842">
        <f ca="1">27030.6878278385*(RANDBETWEEN(2890,3282))</f>
        <v>87714582.001336023</v>
      </c>
      <c r="B5842">
        <v>211052798.12551039</v>
      </c>
    </row>
    <row r="5843" spans="1:2" x14ac:dyDescent="0.25">
      <c r="A5843">
        <f ca="1">32230.2500036547*(RANDBETWEEN(2890,3282))</f>
        <v>94853625.760755807</v>
      </c>
      <c r="B5843">
        <v>251846854.13422912</v>
      </c>
    </row>
    <row r="5844" spans="1:2" x14ac:dyDescent="0.25">
      <c r="A5844">
        <f ca="1">30316.1020127774*(RANDBETWEEN(2890,3282))</f>
        <v>99163969.683794901</v>
      </c>
      <c r="B5844">
        <v>241038605.33017758</v>
      </c>
    </row>
    <row r="5845" spans="1:2" x14ac:dyDescent="0.25">
      <c r="A5845">
        <f ca="1">27418.2554834308*(RANDBETWEEN(2890,3282))</f>
        <v>87107797.670859545</v>
      </c>
      <c r="B5845">
        <v>254052556.03491181</v>
      </c>
    </row>
    <row r="5846" spans="1:2" x14ac:dyDescent="0.25">
      <c r="A5846">
        <f ca="1">32027.9561367425*(RANDBETWEEN(2890,3282))</f>
        <v>97973517.822295338</v>
      </c>
      <c r="B5846">
        <v>238400564.450784</v>
      </c>
    </row>
    <row r="5847" spans="1:2" x14ac:dyDescent="0.25">
      <c r="A5847">
        <f ca="1">29894.282169961*(RANDBETWEEN(2890,3282))</f>
        <v>91895023.390460238</v>
      </c>
      <c r="B5847">
        <v>204109017.02593118</v>
      </c>
    </row>
    <row r="5848" spans="1:2" x14ac:dyDescent="0.25">
      <c r="A5848">
        <f ca="1">26385.7026994261*(RANDBETWEEN(2890,3282))</f>
        <v>86413176.340620399</v>
      </c>
      <c r="B5848">
        <v>244979466.76828623</v>
      </c>
    </row>
    <row r="5849" spans="1:2" x14ac:dyDescent="0.25">
      <c r="A5849">
        <f ca="1">28940.9905066132*(RANDBETWEEN(2890,3282))</f>
        <v>92003408.820523217</v>
      </c>
      <c r="B5849">
        <v>267575580.24662551</v>
      </c>
    </row>
    <row r="5850" spans="1:2" x14ac:dyDescent="0.25">
      <c r="A5850">
        <f ca="1">33725.3451508161*(RANDBETWEEN(2890,3282))</f>
        <v>100906232.69124177</v>
      </c>
      <c r="B5850">
        <v>234011405.96222851</v>
      </c>
    </row>
    <row r="5851" spans="1:2" x14ac:dyDescent="0.25">
      <c r="A5851">
        <f ca="1">27061.8125648685*(RANDBETWEEN(2890,3282))</f>
        <v>81456055.820254132</v>
      </c>
      <c r="B5851">
        <v>215150567.89255649</v>
      </c>
    </row>
    <row r="5852" spans="1:2" x14ac:dyDescent="0.25">
      <c r="A5852">
        <f ca="1">25940.2711272798*(RANDBETWEEN(2890,3282))</f>
        <v>75927173.589548081</v>
      </c>
      <c r="B5852">
        <v>248108857.69673175</v>
      </c>
    </row>
    <row r="5853" spans="1:2" x14ac:dyDescent="0.25">
      <c r="A5853">
        <f ca="1">28822.8274680847*(RANDBETWEEN(2890,3282))</f>
        <v>87707863.985381782</v>
      </c>
      <c r="B5853">
        <v>217238002.171597</v>
      </c>
    </row>
    <row r="5854" spans="1:2" x14ac:dyDescent="0.25">
      <c r="A5854">
        <f ca="1">31406.9814875345*(RANDBETWEEN(2890,3282))</f>
        <v>97895561.296644896</v>
      </c>
      <c r="B5854">
        <v>253251349.10857543</v>
      </c>
    </row>
    <row r="5855" spans="1:2" x14ac:dyDescent="0.25">
      <c r="A5855">
        <f ca="1">30100.9435063179*(RANDBETWEEN(2890,3282))</f>
        <v>90543638.067004219</v>
      </c>
      <c r="B5855">
        <v>232969039.55696794</v>
      </c>
    </row>
    <row r="5856" spans="1:2" x14ac:dyDescent="0.25">
      <c r="A5856">
        <f ca="1">33171.0329378405*(RANDBETWEEN(2890,3282))</f>
        <v>101337505.62510274</v>
      </c>
      <c r="B5856">
        <v>222321022.06233388</v>
      </c>
    </row>
    <row r="5857" spans="1:2" x14ac:dyDescent="0.25">
      <c r="A5857">
        <f ca="1">29847.1339716998*(RANDBETWEEN(2890,3282))</f>
        <v>92794739.518014789</v>
      </c>
      <c r="B5857">
        <v>259377573.35239494</v>
      </c>
    </row>
    <row r="5858" spans="1:2" x14ac:dyDescent="0.25">
      <c r="A5858">
        <f ca="1">33014.1271233595*(RANDBETWEEN(2890,3282))</f>
        <v>95906039.293359235</v>
      </c>
      <c r="B5858">
        <v>211924678.57650664</v>
      </c>
    </row>
    <row r="5859" spans="1:2" x14ac:dyDescent="0.25">
      <c r="A5859">
        <f ca="1">32366.7578261985*(RANDBETWEEN(2890,3282))</f>
        <v>95935070.196852461</v>
      </c>
      <c r="B5859">
        <v>232053511.25297868</v>
      </c>
    </row>
    <row r="5860" spans="1:2" x14ac:dyDescent="0.25">
      <c r="A5860">
        <f ca="1">27418.0987576489*(RANDBETWEEN(2890,3282))</f>
        <v>87326644.543111876</v>
      </c>
      <c r="B5860">
        <v>238633589.74688372</v>
      </c>
    </row>
    <row r="5861" spans="1:2" x14ac:dyDescent="0.25">
      <c r="A5861">
        <f ca="1">30140.6109258452*(RANDBETWEEN(2890,3282))</f>
        <v>94068846.699562937</v>
      </c>
      <c r="B5861">
        <v>260378194.95415652</v>
      </c>
    </row>
    <row r="5862" spans="1:2" x14ac:dyDescent="0.25">
      <c r="A5862">
        <f ca="1">31658.2918817242*(RANDBETWEEN(2890,3282))</f>
        <v>102192966.19420587</v>
      </c>
      <c r="B5862">
        <v>227023423.51633856</v>
      </c>
    </row>
    <row r="5863" spans="1:2" x14ac:dyDescent="0.25">
      <c r="A5863">
        <f ca="1">26065.0557908219*(RANDBETWEEN(2890,3282))</f>
        <v>78299427.595629111</v>
      </c>
      <c r="B5863">
        <v>211557001.29999042</v>
      </c>
    </row>
    <row r="5864" spans="1:2" x14ac:dyDescent="0.25">
      <c r="A5864">
        <f ca="1">27271.5906335728*(RANDBETWEEN(2890,3282))</f>
        <v>80096661.690803424</v>
      </c>
      <c r="B5864">
        <v>247264739.23323774</v>
      </c>
    </row>
    <row r="5865" spans="1:2" x14ac:dyDescent="0.25">
      <c r="A5865">
        <f ca="1">29882.4844722794*(RANDBETWEEN(2890,3282))</f>
        <v>89916395.777088717</v>
      </c>
      <c r="B5865">
        <v>205131363.62219667</v>
      </c>
    </row>
    <row r="5866" spans="1:2" x14ac:dyDescent="0.25">
      <c r="A5866">
        <f ca="1">32448.8020526573*(RANDBETWEEN(2890,3282))</f>
        <v>96016005.273813039</v>
      </c>
      <c r="B5866">
        <v>233488273.13171896</v>
      </c>
    </row>
    <row r="5867" spans="1:2" x14ac:dyDescent="0.25">
      <c r="A5867">
        <f ca="1">28758.7660120027*(RANDBETWEEN(2890,3282))</f>
        <v>83601732.796891779</v>
      </c>
      <c r="B5867">
        <v>206222518.92338151</v>
      </c>
    </row>
    <row r="5868" spans="1:2" x14ac:dyDescent="0.25">
      <c r="A5868">
        <f ca="1">26962.5793349423*(RANDBETWEEN(2890,3282))</f>
        <v>82963856.613617346</v>
      </c>
      <c r="B5868">
        <v>216148338.29797408</v>
      </c>
    </row>
    <row r="5869" spans="1:2" x14ac:dyDescent="0.25">
      <c r="A5869">
        <f ca="1">27932.9817540002*(RANDBETWEEN(2890,3282))</f>
        <v>84301738.933572739</v>
      </c>
      <c r="B5869">
        <v>212062962.31594062</v>
      </c>
    </row>
    <row r="5870" spans="1:2" x14ac:dyDescent="0.25">
      <c r="A5870">
        <f ca="1">27405.0463118583*(RANDBETWEEN(2890,3282))</f>
        <v>82955075.185995162</v>
      </c>
      <c r="B5870">
        <v>215289480.51099837</v>
      </c>
    </row>
    <row r="5871" spans="1:2" x14ac:dyDescent="0.25">
      <c r="A5871">
        <f ca="1">27311.1356228949*(RANDBETWEEN(2890,3282))</f>
        <v>86139321.754610524</v>
      </c>
      <c r="B5871">
        <v>232531901.48108035</v>
      </c>
    </row>
    <row r="5872" spans="1:2" x14ac:dyDescent="0.25">
      <c r="A5872">
        <f ca="1">27610.2492662237*(RANDBETWEEN(2890,3282))</f>
        <v>89015443.634305254</v>
      </c>
      <c r="B5872">
        <v>249912344.77809238</v>
      </c>
    </row>
    <row r="5873" spans="1:2" x14ac:dyDescent="0.25">
      <c r="A5873">
        <f ca="1">28657.3204588261*(RANDBETWEEN(2890,3282))</f>
        <v>87748715.244925529</v>
      </c>
      <c r="B5873">
        <v>205908868.08353218</v>
      </c>
    </row>
    <row r="5874" spans="1:2" x14ac:dyDescent="0.25">
      <c r="A5874">
        <f ca="1">26804.4254967861*(RANDBETWEEN(2890,3282))</f>
        <v>78751402.109557688</v>
      </c>
      <c r="B5874">
        <v>204340211.33691412</v>
      </c>
    </row>
    <row r="5875" spans="1:2" x14ac:dyDescent="0.25">
      <c r="A5875">
        <f ca="1">27542.6762212199*(RANDBETWEEN(2890,3282))</f>
        <v>88329362.641452193</v>
      </c>
      <c r="B5875">
        <v>223658280.54225609</v>
      </c>
    </row>
    <row r="5876" spans="1:2" x14ac:dyDescent="0.25">
      <c r="A5876">
        <f ca="1">30095.6086121766*(RANDBETWEEN(2890,3282))</f>
        <v>90948929.225997791</v>
      </c>
      <c r="B5876">
        <v>231879978.86078215</v>
      </c>
    </row>
    <row r="5877" spans="1:2" x14ac:dyDescent="0.25">
      <c r="A5877">
        <f ca="1">30410.8752722713*(RANDBETWEEN(2890,3282))</f>
        <v>99169864.262876645</v>
      </c>
      <c r="B5877">
        <v>213316785.12769467</v>
      </c>
    </row>
    <row r="5878" spans="1:2" x14ac:dyDescent="0.25">
      <c r="A5878">
        <f ca="1">30995.4642341666*(RANDBETWEEN(2890,3282))</f>
        <v>89979832.671785608</v>
      </c>
      <c r="B5878">
        <v>250375739.98921484</v>
      </c>
    </row>
    <row r="5879" spans="1:2" x14ac:dyDescent="0.25">
      <c r="A5879">
        <f ca="1">33662.642645825*(RANDBETWEEN(2890,3282))</f>
        <v>107518480.61076495</v>
      </c>
      <c r="B5879">
        <v>246103532.66713947</v>
      </c>
    </row>
    <row r="5880" spans="1:2" x14ac:dyDescent="0.25">
      <c r="A5880">
        <f ca="1">29939.6642024553*(RANDBETWEEN(2890,3282))</f>
        <v>87513638.463776752</v>
      </c>
      <c r="B5880">
        <v>224688912.35837799</v>
      </c>
    </row>
    <row r="5881" spans="1:2" x14ac:dyDescent="0.25">
      <c r="A5881">
        <f ca="1">31029.2959722994*(RANDBETWEEN(2890,3282))</f>
        <v>98673161.19191207</v>
      </c>
      <c r="B5881">
        <v>222973101.78809771</v>
      </c>
    </row>
    <row r="5882" spans="1:2" x14ac:dyDescent="0.25">
      <c r="A5882">
        <f ca="1">32974.1121146787*(RANDBETWEEN(2890,3282))</f>
        <v>104330090.73084326</v>
      </c>
      <c r="B5882">
        <v>255257340.15942141</v>
      </c>
    </row>
    <row r="5883" spans="1:2" x14ac:dyDescent="0.25">
      <c r="A5883">
        <f ca="1">28990.8221476333*(RANDBETWEEN(2890,3282))</f>
        <v>94133199.513365477</v>
      </c>
      <c r="B5883">
        <v>244754275.02023613</v>
      </c>
    </row>
    <row r="5884" spans="1:2" x14ac:dyDescent="0.25">
      <c r="A5884">
        <f ca="1">26379.6864282411*(RANDBETWEEN(2890,3282))</f>
        <v>78110251.514021814</v>
      </c>
      <c r="B5884">
        <v>250487306.51869124</v>
      </c>
    </row>
    <row r="5885" spans="1:2" x14ac:dyDescent="0.25">
      <c r="A5885">
        <f ca="1">26478.3702140593*(RANDBETWEEN(2890,3282))</f>
        <v>86107659.936120778</v>
      </c>
      <c r="B5885">
        <v>222235294.84265548</v>
      </c>
    </row>
    <row r="5886" spans="1:2" x14ac:dyDescent="0.25">
      <c r="A5886">
        <f ca="1">27838.5360002223*(RANDBETWEEN(2890,3282))</f>
        <v>85018888.944678977</v>
      </c>
      <c r="B5886">
        <v>218120718.10864249</v>
      </c>
    </row>
    <row r="5887" spans="1:2" x14ac:dyDescent="0.25">
      <c r="A5887">
        <f ca="1">30162.4738603556*(RANDBETWEEN(2890,3282))</f>
        <v>93503668.967102408</v>
      </c>
      <c r="B5887">
        <v>250789309.31136307</v>
      </c>
    </row>
    <row r="5888" spans="1:2" x14ac:dyDescent="0.25">
      <c r="A5888">
        <f ca="1">28642.9842174347*(RANDBETWEEN(2890,3282))</f>
        <v>91170618.76409471</v>
      </c>
      <c r="B5888">
        <v>231644327.24296671</v>
      </c>
    </row>
    <row r="5889" spans="1:2" x14ac:dyDescent="0.25">
      <c r="A5889">
        <f ca="1">30220.0351339754*(RANDBETWEEN(2890,3282))</f>
        <v>89632624.207370907</v>
      </c>
      <c r="B5889">
        <v>233528897.4801501</v>
      </c>
    </row>
    <row r="5890" spans="1:2" x14ac:dyDescent="0.25">
      <c r="A5890">
        <f ca="1">29091.1622930733*(RANDBETWEEN(2890,3282))</f>
        <v>88582589.182408303</v>
      </c>
      <c r="B5890">
        <v>257494055.56255624</v>
      </c>
    </row>
    <row r="5891" spans="1:2" x14ac:dyDescent="0.25">
      <c r="A5891">
        <f ca="1">27161.8837676606*(RANDBETWEEN(2890,3282))</f>
        <v>87814370.220846802</v>
      </c>
      <c r="B5891">
        <v>240085009.78043172</v>
      </c>
    </row>
    <row r="5892" spans="1:2" x14ac:dyDescent="0.25">
      <c r="A5892">
        <f ca="1">26014.7438186796*(RANDBETWEEN(2890,3282))</f>
        <v>81035926.995186821</v>
      </c>
      <c r="B5892">
        <v>245304465.18000263</v>
      </c>
    </row>
    <row r="5893" spans="1:2" x14ac:dyDescent="0.25">
      <c r="A5893">
        <f ca="1">28457.7171719108*(RANDBETWEEN(2890,3282))</f>
        <v>89158027.899596483</v>
      </c>
      <c r="B5893">
        <v>225880532.49881908</v>
      </c>
    </row>
    <row r="5894" spans="1:2" x14ac:dyDescent="0.25">
      <c r="A5894">
        <f ca="1">28558.1432848227*(RANDBETWEEN(2890,3282))</f>
        <v>87559267.311266497</v>
      </c>
      <c r="B5894">
        <v>213020516.40206534</v>
      </c>
    </row>
    <row r="5895" spans="1:2" x14ac:dyDescent="0.25">
      <c r="A5895">
        <f ca="1">27147.8862753753*(RANDBETWEEN(2890,3282))</f>
        <v>79461863.128023446</v>
      </c>
      <c r="B5895">
        <v>209880056.87880394</v>
      </c>
    </row>
    <row r="5896" spans="1:2" x14ac:dyDescent="0.25">
      <c r="A5896">
        <f ca="1">29633.5424112824*(RANDBETWEEN(2890,3282))</f>
        <v>87922720.334274754</v>
      </c>
      <c r="B5896">
        <v>255197515.27206805</v>
      </c>
    </row>
    <row r="5897" spans="1:2" x14ac:dyDescent="0.25">
      <c r="A5897">
        <f ca="1">28760.3952859763*(RANDBETWEEN(2890,3282))</f>
        <v>86540029.415502727</v>
      </c>
      <c r="B5897">
        <v>216048118.76389134</v>
      </c>
    </row>
    <row r="5898" spans="1:2" x14ac:dyDescent="0.25">
      <c r="A5898">
        <f ca="1">26988.048394493*(RANDBETWEEN(2890,3282))</f>
        <v>80046551.538066193</v>
      </c>
      <c r="B5898">
        <v>206802823.57333487</v>
      </c>
    </row>
    <row r="5899" spans="1:2" x14ac:dyDescent="0.25">
      <c r="A5899">
        <f ca="1">33863.8186909264*(RANDBETWEEN(2890,3282))</f>
        <v>105926024.86521775</v>
      </c>
      <c r="B5899">
        <v>254920498.86880243</v>
      </c>
    </row>
    <row r="5900" spans="1:2" x14ac:dyDescent="0.25">
      <c r="A5900">
        <f ca="1">27810.772471931*(RANDBETWEEN(2890,3282))</f>
        <v>81624617.205117524</v>
      </c>
      <c r="B5900">
        <v>236782466.71180391</v>
      </c>
    </row>
    <row r="5901" spans="1:2" x14ac:dyDescent="0.25">
      <c r="A5901">
        <f ca="1">31724.8548630021*(RANDBETWEEN(2890,3282))</f>
        <v>103327852.28879799</v>
      </c>
      <c r="B5901">
        <v>242820973.7686168</v>
      </c>
    </row>
    <row r="5902" spans="1:2" x14ac:dyDescent="0.25">
      <c r="A5902">
        <f ca="1">31330.8455196761*(RANDBETWEEN(2890,3282))</f>
        <v>94274514.168705434</v>
      </c>
      <c r="B5902">
        <v>223054867.24378812</v>
      </c>
    </row>
    <row r="5903" spans="1:2" x14ac:dyDescent="0.25">
      <c r="A5903">
        <f ca="1">29419.9352393961*(RANDBETWEEN(2890,3282))</f>
        <v>87877346.560076073</v>
      </c>
      <c r="B5903">
        <v>218395873.41169208</v>
      </c>
    </row>
    <row r="5904" spans="1:2" x14ac:dyDescent="0.25">
      <c r="A5904">
        <f ca="1">26984.5828722693*(RANDBETWEEN(2890,3282))</f>
        <v>78174336.580964074</v>
      </c>
      <c r="B5904">
        <v>257434256.36306545</v>
      </c>
    </row>
    <row r="5905" spans="1:2" x14ac:dyDescent="0.25">
      <c r="A5905">
        <f ca="1">28561.7799442388*(RANDBETWEEN(2890,3282))</f>
        <v>92540167.019333795</v>
      </c>
      <c r="B5905">
        <v>223460717.67389095</v>
      </c>
    </row>
    <row r="5906" spans="1:2" x14ac:dyDescent="0.25">
      <c r="A5906">
        <f ca="1">32042.8377490588*(RANDBETWEEN(2890,3282))</f>
        <v>101511709.98901837</v>
      </c>
      <c r="B5906">
        <v>262924849.42586991</v>
      </c>
    </row>
    <row r="5907" spans="1:2" x14ac:dyDescent="0.25">
      <c r="A5907">
        <f ca="1">27438.8146457399*(RANDBETWEEN(2890,3282))</f>
        <v>88984075.896134406</v>
      </c>
      <c r="B5907">
        <v>228981527.95182055</v>
      </c>
    </row>
    <row r="5908" spans="1:2" x14ac:dyDescent="0.25">
      <c r="A5908">
        <f ca="1">33486.8803469165*(RANDBETWEEN(2890,3282))</f>
        <v>97815177.49334316</v>
      </c>
      <c r="B5908">
        <v>204527650.73770031</v>
      </c>
    </row>
    <row r="5909" spans="1:2" x14ac:dyDescent="0.25">
      <c r="A5909">
        <f ca="1">27323.2520548109*(RANDBETWEEN(2890,3282))</f>
        <v>89319710.967176989</v>
      </c>
      <c r="B5909">
        <v>235568665.77267087</v>
      </c>
    </row>
    <row r="5910" spans="1:2" x14ac:dyDescent="0.25">
      <c r="A5910">
        <f ca="1">28401.3776321816*(RANDBETWEEN(2890,3282))</f>
        <v>86681004.533418357</v>
      </c>
      <c r="B5910">
        <v>207748423.90131032</v>
      </c>
    </row>
    <row r="5911" spans="1:2" x14ac:dyDescent="0.25">
      <c r="A5911">
        <f ca="1">26054.3340304069*(RANDBETWEEN(2890,3282))</f>
        <v>81315576.508899912</v>
      </c>
      <c r="B5911">
        <v>233354531.29262424</v>
      </c>
    </row>
    <row r="5912" spans="1:2" x14ac:dyDescent="0.25">
      <c r="A5912">
        <f ca="1">33968.365717912*(RANDBETWEEN(2890,3282))</f>
        <v>104316851.11970776</v>
      </c>
      <c r="B5912">
        <v>262077668.24514443</v>
      </c>
    </row>
    <row r="5913" spans="1:2" x14ac:dyDescent="0.25">
      <c r="A5913">
        <f ca="1">31670.9310722147*(RANDBETWEEN(2890,3282))</f>
        <v>98623279.358876452</v>
      </c>
      <c r="B5913">
        <v>254660226.22133657</v>
      </c>
    </row>
    <row r="5914" spans="1:2" x14ac:dyDescent="0.25">
      <c r="A5914">
        <f ca="1">29583.891458198*(RANDBETWEEN(2890,3282))</f>
        <v>94816372.123524606</v>
      </c>
      <c r="B5914">
        <v>237551979.3451463</v>
      </c>
    </row>
    <row r="5915" spans="1:2" x14ac:dyDescent="0.25">
      <c r="A5915">
        <f ca="1">26331.9730844879*(RANDBETWEEN(2890,3282))</f>
        <v>77416000.868394464</v>
      </c>
      <c r="B5915">
        <v>237990638.36885583</v>
      </c>
    </row>
    <row r="5916" spans="1:2" x14ac:dyDescent="0.25">
      <c r="A5916">
        <f ca="1">31519.5971202469*(RANDBETWEEN(2890,3282))</f>
        <v>99318250.525898114</v>
      </c>
      <c r="B5916">
        <v>237336706.44191724</v>
      </c>
    </row>
    <row r="5917" spans="1:2" x14ac:dyDescent="0.25">
      <c r="A5917">
        <f ca="1">29392.4584622436*(RANDBETWEEN(2890,3282))</f>
        <v>87824665.885183737</v>
      </c>
      <c r="B5917">
        <v>267679978.57676169</v>
      </c>
    </row>
    <row r="5918" spans="1:2" x14ac:dyDescent="0.25">
      <c r="A5918">
        <f ca="1">29505.0418643496*(RANDBETWEEN(2890,3282))</f>
        <v>92203255.826092586</v>
      </c>
      <c r="B5918">
        <v>243744631.30291307</v>
      </c>
    </row>
    <row r="5919" spans="1:2" x14ac:dyDescent="0.25">
      <c r="A5919">
        <f ca="1">33618.3702419647*(RANDBETWEEN(2890,3282))</f>
        <v>109831215.58049865</v>
      </c>
      <c r="B5919">
        <v>250631292.40470326</v>
      </c>
    </row>
    <row r="5920" spans="1:2" x14ac:dyDescent="0.25">
      <c r="A5920">
        <f ca="1">32019.2163186037*(RANDBETWEEN(2890,3282))</f>
        <v>95737456.792625159</v>
      </c>
      <c r="B5920">
        <v>213503378.07788068</v>
      </c>
    </row>
    <row r="5921" spans="1:2" x14ac:dyDescent="0.25">
      <c r="A5921">
        <f ca="1">30558.3673678377*(RANDBETWEEN(2890,3282))</f>
        <v>97450633.536034435</v>
      </c>
      <c r="B5921">
        <v>250599640.51196808</v>
      </c>
    </row>
    <row r="5922" spans="1:2" x14ac:dyDescent="0.25">
      <c r="A5922">
        <f ca="1">31380.2888463831*(RANDBETWEEN(2890,3282))</f>
        <v>92038387.18644169</v>
      </c>
      <c r="B5922">
        <v>239018852.11403787</v>
      </c>
    </row>
    <row r="5923" spans="1:2" x14ac:dyDescent="0.25">
      <c r="A5923">
        <f ca="1">31246.1044144956*(RANDBETWEEN(2890,3282))</f>
        <v>98206506.17475979</v>
      </c>
      <c r="B5923">
        <v>211327615.50882304</v>
      </c>
    </row>
    <row r="5924" spans="1:2" x14ac:dyDescent="0.25">
      <c r="A5924">
        <f ca="1">29967.9780875669*(RANDBETWEEN(2890,3282))</f>
        <v>98145128.236781642</v>
      </c>
      <c r="B5924">
        <v>263623366.24629727</v>
      </c>
    </row>
    <row r="5925" spans="1:2" x14ac:dyDescent="0.25">
      <c r="A5925">
        <f ca="1">31980.2961237181*(RANDBETWEEN(2890,3282))</f>
        <v>102272987.00365046</v>
      </c>
      <c r="B5925">
        <v>247564045.96479982</v>
      </c>
    </row>
    <row r="5926" spans="1:2" x14ac:dyDescent="0.25">
      <c r="A5926">
        <f ca="1">31697.4782563831*(RANDBETWEEN(2890,3282))</f>
        <v>103682451.37662899</v>
      </c>
      <c r="B5926">
        <v>233373714.3300519</v>
      </c>
    </row>
    <row r="5927" spans="1:2" x14ac:dyDescent="0.25">
      <c r="A5927">
        <f ca="1">28966.662145061*(RANDBETWEEN(2890,3282))</f>
        <v>93707152.039272353</v>
      </c>
      <c r="B5927">
        <v>220204615.70177358</v>
      </c>
    </row>
    <row r="5928" spans="1:2" x14ac:dyDescent="0.25">
      <c r="A5928">
        <f ca="1">31362.2915836838*(RANDBETWEEN(2890,3282))</f>
        <v>97317190.784170762</v>
      </c>
      <c r="B5928">
        <v>238630597.34005153</v>
      </c>
    </row>
    <row r="5929" spans="1:2" x14ac:dyDescent="0.25">
      <c r="A5929">
        <f ca="1">26696.4882640573*(RANDBETWEEN(2890,3282))</f>
        <v>77873656.266255125</v>
      </c>
      <c r="B5929">
        <v>221676886.73332283</v>
      </c>
    </row>
    <row r="5930" spans="1:2" x14ac:dyDescent="0.25">
      <c r="A5930">
        <f ca="1">29919.4701817291*(RANDBETWEEN(2890,3282))</f>
        <v>94515606.304082081</v>
      </c>
      <c r="B5930">
        <v>264521283.05337161</v>
      </c>
    </row>
    <row r="5931" spans="1:2" x14ac:dyDescent="0.25">
      <c r="A5931">
        <f ca="1">32940.5234242558*(RANDBETWEEN(2890,3282))</f>
        <v>100995644.81876817</v>
      </c>
      <c r="B5931">
        <v>227030359.9971332</v>
      </c>
    </row>
    <row r="5932" spans="1:2" x14ac:dyDescent="0.25">
      <c r="A5932">
        <f ca="1">29068.6404023223*(RANDBETWEEN(2890,3282))</f>
        <v>91246462.222889692</v>
      </c>
      <c r="B5932">
        <v>259469508.5955947</v>
      </c>
    </row>
    <row r="5933" spans="1:2" x14ac:dyDescent="0.25">
      <c r="A5933">
        <f ca="1">32811.2673704752*(RANDBETWEEN(2890,3282))</f>
        <v>97843199.298756942</v>
      </c>
      <c r="B5933">
        <v>261494723.24747291</v>
      </c>
    </row>
    <row r="5934" spans="1:2" x14ac:dyDescent="0.25">
      <c r="A5934">
        <f ca="1">29555.1684499075*(RANDBETWEEN(2890,3282))</f>
        <v>90911698.151915401</v>
      </c>
      <c r="B5934">
        <v>215620267.7694549</v>
      </c>
    </row>
    <row r="5935" spans="1:2" x14ac:dyDescent="0.25">
      <c r="A5935">
        <f ca="1">31162.6806994688*(RANDBETWEEN(2890,3282))</f>
        <v>96105707.277161747</v>
      </c>
      <c r="B5935">
        <v>267354729.09705004</v>
      </c>
    </row>
    <row r="5936" spans="1:2" x14ac:dyDescent="0.25">
      <c r="A5936">
        <f ca="1">28626.5067820207*(RANDBETWEEN(2890,3282))</f>
        <v>93665930.190771595</v>
      </c>
      <c r="B5936">
        <v>208713177.0429619</v>
      </c>
    </row>
    <row r="5937" spans="1:2" x14ac:dyDescent="0.25">
      <c r="A5937">
        <f ca="1">31895.3909208738*(RANDBETWEEN(2890,3282))</f>
        <v>93612972.352764741</v>
      </c>
      <c r="B5937">
        <v>256581906.5181075</v>
      </c>
    </row>
    <row r="5938" spans="1:2" x14ac:dyDescent="0.25">
      <c r="A5938">
        <f ca="1">30750.7859522413*(RANDBETWEEN(2890,3282))</f>
        <v>94773922.304807678</v>
      </c>
      <c r="B5938">
        <v>228969511.30129796</v>
      </c>
    </row>
    <row r="5939" spans="1:2" x14ac:dyDescent="0.25">
      <c r="A5939">
        <f ca="1">30025.9301352383*(RANDBETWEEN(2890,3282))</f>
        <v>89747505.174227223</v>
      </c>
      <c r="B5939">
        <v>247242055.15995502</v>
      </c>
    </row>
    <row r="5940" spans="1:2" x14ac:dyDescent="0.25">
      <c r="A5940">
        <f ca="1">29808.4497353134*(RANDBETWEEN(2890,3282))</f>
        <v>92137918.131853789</v>
      </c>
      <c r="B5940">
        <v>254283723.45689002</v>
      </c>
    </row>
    <row r="5941" spans="1:2" x14ac:dyDescent="0.25">
      <c r="A5941">
        <f ca="1">32686.3850055759*(RANDBETWEEN(2890,3282))</f>
        <v>95248125.906248271</v>
      </c>
      <c r="B5941">
        <v>246918451.25458664</v>
      </c>
    </row>
    <row r="5942" spans="1:2" x14ac:dyDescent="0.25">
      <c r="A5942">
        <f ca="1">32894.1227969515*(RANDBETWEEN(2890,3282))</f>
        <v>95228485.49717471</v>
      </c>
      <c r="B5942">
        <v>265708840.52837458</v>
      </c>
    </row>
    <row r="5943" spans="1:2" x14ac:dyDescent="0.25">
      <c r="A5943">
        <f ca="1">27649.833480738*(RANDBETWEEN(2890,3282))</f>
        <v>82507103.106522277</v>
      </c>
      <c r="B5943">
        <v>208067149.33478451</v>
      </c>
    </row>
    <row r="5944" spans="1:2" x14ac:dyDescent="0.25">
      <c r="A5944">
        <f ca="1">26434.3505461957*(RANDBETWEEN(2890,3282))</f>
        <v>85382952.264212012</v>
      </c>
      <c r="B5944">
        <v>219121259.47134385</v>
      </c>
    </row>
    <row r="5945" spans="1:2" x14ac:dyDescent="0.25">
      <c r="A5945">
        <f ca="1">31850.5441195435*(RANDBETWEEN(2890,3282))</f>
        <v>93959105.152653217</v>
      </c>
      <c r="B5945">
        <v>237399044.27789658</v>
      </c>
    </row>
    <row r="5946" spans="1:2" x14ac:dyDescent="0.25">
      <c r="A5946">
        <f ca="1">29065.2393348187*(RANDBETWEEN(2890,3282))</f>
        <v>91322981.990000263</v>
      </c>
      <c r="B5946">
        <v>250970266.86962768</v>
      </c>
    </row>
    <row r="5947" spans="1:2" x14ac:dyDescent="0.25">
      <c r="A5947">
        <f ca="1">28597.5078747283*(RANDBETWEEN(2890,3282))</f>
        <v>88280506.809286386</v>
      </c>
      <c r="B5947">
        <v>265281964.64053333</v>
      </c>
    </row>
    <row r="5948" spans="1:2" x14ac:dyDescent="0.25">
      <c r="A5948">
        <f ca="1">32385.5424908564*(RANDBETWEEN(2890,3282))</f>
        <v>95764049.145462513</v>
      </c>
      <c r="B5948">
        <v>256527647.97733837</v>
      </c>
    </row>
    <row r="5949" spans="1:2" x14ac:dyDescent="0.25">
      <c r="A5949">
        <f ca="1">31581.3952664996*(RANDBETWEEN(2890,3282))</f>
        <v>97397023.001884729</v>
      </c>
      <c r="B5949">
        <v>224662693.21177423</v>
      </c>
    </row>
    <row r="5950" spans="1:2" x14ac:dyDescent="0.25">
      <c r="A5950">
        <f ca="1">29388.0477044824*(RANDBETWEEN(2890,3282))</f>
        <v>94306245.083683982</v>
      </c>
      <c r="B5950">
        <v>254365459.13029391</v>
      </c>
    </row>
    <row r="5951" spans="1:2" x14ac:dyDescent="0.25">
      <c r="A5951">
        <f ca="1">29539.0686665011*(RANDBETWEEN(2890,3282))</f>
        <v>93077605.368145004</v>
      </c>
      <c r="B5951">
        <v>205568772.94014117</v>
      </c>
    </row>
    <row r="5952" spans="1:2" x14ac:dyDescent="0.25">
      <c r="A5952">
        <f ca="1">30202.9891122497*(RANDBETWEEN(2890,3282))</f>
        <v>94867588.80157645</v>
      </c>
      <c r="B5952">
        <v>225124523.12713262</v>
      </c>
    </row>
    <row r="5953" spans="1:2" x14ac:dyDescent="0.25">
      <c r="A5953">
        <f ca="1">28167.0038892129*(RANDBETWEEN(2890,3282))</f>
        <v>85881194.858210102</v>
      </c>
      <c r="B5953">
        <v>266148925.90674117</v>
      </c>
    </row>
    <row r="5954" spans="1:2" x14ac:dyDescent="0.25">
      <c r="A5954">
        <f ca="1">27706.0159975502*(RANDBETWEEN(2890,3282))</f>
        <v>84032346.520569727</v>
      </c>
      <c r="B5954">
        <v>227288920.24780837</v>
      </c>
    </row>
    <row r="5955" spans="1:2" x14ac:dyDescent="0.25">
      <c r="A5955">
        <f ca="1">32120.7836669084*(RANDBETWEEN(2890,3282))</f>
        <v>97775665.48206912</v>
      </c>
      <c r="B5955">
        <v>266226011.30439392</v>
      </c>
    </row>
    <row r="5956" spans="1:2" x14ac:dyDescent="0.25">
      <c r="A5956">
        <f ca="1">32052.9639133958*(RANDBETWEEN(2890,3282))</f>
        <v>103242596.76504794</v>
      </c>
      <c r="B5956">
        <v>209211957.85576019</v>
      </c>
    </row>
    <row r="5957" spans="1:2" x14ac:dyDescent="0.25">
      <c r="A5957">
        <f ca="1">29989.4281487822*(RANDBETWEEN(2890,3282))</f>
        <v>87509151.338146567</v>
      </c>
      <c r="B5957">
        <v>225335340.48106784</v>
      </c>
    </row>
    <row r="5958" spans="1:2" x14ac:dyDescent="0.25">
      <c r="A5958">
        <f ca="1">31119.7615140388*(RANDBETWEEN(2890,3282))</f>
        <v>101419302.77425249</v>
      </c>
      <c r="B5958">
        <v>239717387.83133039</v>
      </c>
    </row>
    <row r="5959" spans="1:2" x14ac:dyDescent="0.25">
      <c r="A5959">
        <f ca="1">30975.5855006257*(RANDBETWEEN(2890,3282))</f>
        <v>89891149.122815922</v>
      </c>
      <c r="B5959">
        <v>214928394.4624742</v>
      </c>
    </row>
    <row r="5960" spans="1:2" x14ac:dyDescent="0.25">
      <c r="A5960">
        <f ca="1">32314.5924900349*(RANDBETWEEN(2890,3282))</f>
        <v>97816271.467335775</v>
      </c>
      <c r="B5960">
        <v>220137230.79328141</v>
      </c>
    </row>
    <row r="5961" spans="1:2" x14ac:dyDescent="0.25">
      <c r="A5961">
        <f ca="1">34678.4854939235*(RANDBETWEEN(2890,3282))</f>
        <v>102093461.29411083</v>
      </c>
      <c r="B5961">
        <v>243534052.19591281</v>
      </c>
    </row>
    <row r="5962" spans="1:2" x14ac:dyDescent="0.25">
      <c r="A5962">
        <f ca="1">31496.8222618552*(RANDBETWEEN(2890,3282))</f>
        <v>93104606.606043965</v>
      </c>
      <c r="B5962">
        <v>263005414.24082857</v>
      </c>
    </row>
    <row r="5963" spans="1:2" x14ac:dyDescent="0.25">
      <c r="A5963">
        <f ca="1">31172.6325229338*(RANDBETWEEN(2890,3282))</f>
        <v>98069101.917149648</v>
      </c>
      <c r="B5963">
        <v>247735524.74904099</v>
      </c>
    </row>
    <row r="5964" spans="1:2" x14ac:dyDescent="0.25">
      <c r="A5964">
        <f ca="1">33912.8897572886*(RANDBETWEEN(2890,3282))</f>
        <v>104146484.44463331</v>
      </c>
      <c r="B5964">
        <v>235779067.00645724</v>
      </c>
    </row>
    <row r="5965" spans="1:2" x14ac:dyDescent="0.25">
      <c r="A5965">
        <f ca="1">29801.0391803349*(RANDBETWEEN(2890,3282))</f>
        <v>90744164.304119721</v>
      </c>
      <c r="B5965">
        <v>229872274.69269651</v>
      </c>
    </row>
    <row r="5966" spans="1:2" x14ac:dyDescent="0.25">
      <c r="A5966">
        <f ca="1">29207.6332706453*(RANDBETWEEN(2890,3282))</f>
        <v>87856560.878100932</v>
      </c>
      <c r="B5966">
        <v>256937590.73698944</v>
      </c>
    </row>
    <row r="5967" spans="1:2" x14ac:dyDescent="0.25">
      <c r="A5967">
        <f ca="1">26714.4856883266*(RANDBETWEEN(2890,3282))</f>
        <v>86661791.572931603</v>
      </c>
      <c r="B5967">
        <v>247957469.671426</v>
      </c>
    </row>
    <row r="5968" spans="1:2" x14ac:dyDescent="0.25">
      <c r="A5968">
        <f ca="1">30725.655036511*(RANDBETWEEN(2890,3282))</f>
        <v>90640682.35770753</v>
      </c>
      <c r="B5968">
        <v>217856515.4254815</v>
      </c>
    </row>
    <row r="5969" spans="1:2" x14ac:dyDescent="0.25">
      <c r="A5969">
        <f ca="1">32341.794295093*(RANDBETWEEN(2890,3282))</f>
        <v>99127599.514460191</v>
      </c>
      <c r="B5969">
        <v>242208601.71726298</v>
      </c>
    </row>
    <row r="5970" spans="1:2" x14ac:dyDescent="0.25">
      <c r="A5970">
        <f ca="1">31019.2996709676*(RANDBETWEEN(2890,3282))</f>
        <v>92127320.022773787</v>
      </c>
      <c r="B5970">
        <v>244292161.32969981</v>
      </c>
    </row>
    <row r="5971" spans="1:2" x14ac:dyDescent="0.25">
      <c r="A5971">
        <f ca="1">30439.0219423559*(RANDBETWEEN(2890,3282))</f>
        <v>90221261.037142783</v>
      </c>
      <c r="B5971">
        <v>216600196.03169239</v>
      </c>
    </row>
    <row r="5972" spans="1:2" x14ac:dyDescent="0.25">
      <c r="A5972">
        <f ca="1">31979.1154148203*(RANDBETWEEN(2890,3282))</f>
        <v>100254526.82546155</v>
      </c>
      <c r="B5972">
        <v>264810217.97817692</v>
      </c>
    </row>
    <row r="5973" spans="1:2" x14ac:dyDescent="0.25">
      <c r="A5973">
        <f ca="1">30078.9507111116*(RANDBETWEEN(2890,3282))</f>
        <v>89875904.72480154</v>
      </c>
      <c r="B5973">
        <v>214003495.3400971</v>
      </c>
    </row>
    <row r="5974" spans="1:2" x14ac:dyDescent="0.25">
      <c r="A5974">
        <f ca="1">29643.68253857*(RANDBETWEEN(2890,3282))</f>
        <v>94859784.123423934</v>
      </c>
      <c r="B5974">
        <v>263432664.53459665</v>
      </c>
    </row>
    <row r="5975" spans="1:2" x14ac:dyDescent="0.25">
      <c r="A5975">
        <f ca="1">31073.8007961891*(RANDBETWEEN(2890,3282))</f>
        <v>98814686.531881422</v>
      </c>
      <c r="B5975">
        <v>255563614.89602157</v>
      </c>
    </row>
    <row r="5976" spans="1:2" x14ac:dyDescent="0.25">
      <c r="A5976">
        <f ca="1">26192.5971648417*(RANDBETWEEN(2890,3282))</f>
        <v>79913613.94993189</v>
      </c>
      <c r="B5976">
        <v>214148128.61486816</v>
      </c>
    </row>
    <row r="5977" spans="1:2" x14ac:dyDescent="0.25">
      <c r="A5977">
        <f ca="1">31124.9342688724*(RANDBETWEEN(2890,3282))</f>
        <v>91227182.342064947</v>
      </c>
      <c r="B5977">
        <v>206589393.82373425</v>
      </c>
    </row>
    <row r="5978" spans="1:2" x14ac:dyDescent="0.25">
      <c r="A5978">
        <f ca="1">29088.0279007525*(RANDBETWEEN(2890,3282))</f>
        <v>88863925.236798763</v>
      </c>
      <c r="B5978">
        <v>224250526.84608978</v>
      </c>
    </row>
    <row r="5979" spans="1:2" x14ac:dyDescent="0.25">
      <c r="A5979">
        <f ca="1">30162.2004523622*(RANDBETWEEN(2890,3282))</f>
        <v>94980769.224488601</v>
      </c>
      <c r="B5979">
        <v>206620856.43054104</v>
      </c>
    </row>
    <row r="5980" spans="1:2" x14ac:dyDescent="0.25">
      <c r="A5980">
        <f ca="1">30643.2165772793*(RANDBETWEEN(2890,3282))</f>
        <v>95882624.670306817</v>
      </c>
      <c r="B5980">
        <v>216092572.41968173</v>
      </c>
    </row>
    <row r="5981" spans="1:2" x14ac:dyDescent="0.25">
      <c r="A5981">
        <f ca="1">28513.4564723901*(RANDBETWEEN(2890,3282))</f>
        <v>93096435.382353559</v>
      </c>
      <c r="B5981">
        <v>211606363.1543296</v>
      </c>
    </row>
    <row r="5982" spans="1:2" x14ac:dyDescent="0.25">
      <c r="A5982">
        <f ca="1">28479.6602249184*(RANDBETWEEN(2890,3282))</f>
        <v>91191872.040188611</v>
      </c>
      <c r="B5982">
        <v>215037330.26932132</v>
      </c>
    </row>
    <row r="5983" spans="1:2" x14ac:dyDescent="0.25">
      <c r="A5983">
        <f ca="1">27983.119971682*(RANDBETWEEN(2890,3282))</f>
        <v>81654744.077367947</v>
      </c>
      <c r="B5983">
        <v>247927358.6833353</v>
      </c>
    </row>
    <row r="5984" spans="1:2" x14ac:dyDescent="0.25">
      <c r="A5984">
        <f ca="1">28783.075107482*(RANDBETWEEN(2890,3282))</f>
        <v>92681501.84609206</v>
      </c>
      <c r="B5984">
        <v>254194277.29103556</v>
      </c>
    </row>
    <row r="5985" spans="1:2" x14ac:dyDescent="0.25">
      <c r="A5985">
        <f ca="1">29540.4220902223*(RANDBETWEEN(2890,3282))</f>
        <v>87144245.166155681</v>
      </c>
      <c r="B5985">
        <v>237939469.8178165</v>
      </c>
    </row>
    <row r="5986" spans="1:2" x14ac:dyDescent="0.25">
      <c r="A5986">
        <f ca="1">29469.4343429995*(RANDBETWEEN(2890,3282))</f>
        <v>94302189.89759846</v>
      </c>
      <c r="B5986">
        <v>235181051.27405807</v>
      </c>
    </row>
    <row r="5987" spans="1:2" x14ac:dyDescent="0.25">
      <c r="A5987">
        <f ca="1">31282.7323950042*(RANDBETWEEN(2890,3282))</f>
        <v>100730398.31191367</v>
      </c>
      <c r="B5987">
        <v>228853091.32986528</v>
      </c>
    </row>
    <row r="5988" spans="1:2" x14ac:dyDescent="0.25">
      <c r="A5988">
        <f ca="1">26699.6230493404*(RANDBETWEEN(2890,3282))</f>
        <v>83222725.044793993</v>
      </c>
      <c r="B5988">
        <v>216279625.9908455</v>
      </c>
    </row>
    <row r="5989" spans="1:2" x14ac:dyDescent="0.25">
      <c r="A5989">
        <f ca="1">27277.55025383*(RANDBETWEEN(2890,3282))</f>
        <v>84614960.88738054</v>
      </c>
      <c r="B5989">
        <v>234273570.02236235</v>
      </c>
    </row>
    <row r="5990" spans="1:2" x14ac:dyDescent="0.25">
      <c r="A5990">
        <f ca="1">30765.2551226823*(RANDBETWEEN(2890,3282))</f>
        <v>100940802.05752063</v>
      </c>
      <c r="B5990">
        <v>263022662.88651967</v>
      </c>
    </row>
    <row r="5991" spans="1:2" x14ac:dyDescent="0.25">
      <c r="A5991">
        <f ca="1">28410.7126599672*(RANDBETWEEN(2890,3282))</f>
        <v>85260548.692561686</v>
      </c>
      <c r="B5991">
        <v>260588401.77523175</v>
      </c>
    </row>
    <row r="5992" spans="1:2" x14ac:dyDescent="0.25">
      <c r="A5992">
        <f ca="1">29723.8939947747*(RANDBETWEEN(2890,3282))</f>
        <v>91222630.669963509</v>
      </c>
      <c r="B5992">
        <v>208574142.2784403</v>
      </c>
    </row>
    <row r="5993" spans="1:2" x14ac:dyDescent="0.25">
      <c r="A5993">
        <f ca="1">27930.287622646*(RANDBETWEEN(2890,3282))</f>
        <v>84349468.620390952</v>
      </c>
      <c r="B5993">
        <v>229537125.58648756</v>
      </c>
    </row>
    <row r="5994" spans="1:2" x14ac:dyDescent="0.25">
      <c r="A5994">
        <f ca="1">29997.3797012693*(RANDBETWEEN(2890,3282))</f>
        <v>97281502.371216238</v>
      </c>
      <c r="B5994">
        <v>236632019.62800196</v>
      </c>
    </row>
    <row r="5995" spans="1:2" x14ac:dyDescent="0.25">
      <c r="A5995">
        <f ca="1">27305.2067736295*(RANDBETWEEN(2890,3282))</f>
        <v>85410686.787912965</v>
      </c>
      <c r="B5995">
        <v>255926862.14838415</v>
      </c>
    </row>
    <row r="5996" spans="1:2" x14ac:dyDescent="0.25">
      <c r="A5996">
        <f ca="1">31537.534809424*(RANDBETWEEN(2890,3282))</f>
        <v>95495655.402935848</v>
      </c>
      <c r="B5996">
        <v>215130710.68585098</v>
      </c>
    </row>
    <row r="5997" spans="1:2" x14ac:dyDescent="0.25">
      <c r="A5997">
        <f ca="1">26381.2453785406*(RANDBETWEEN(2890,3282))</f>
        <v>85554378.762607232</v>
      </c>
      <c r="B5997">
        <v>211810248.30622733</v>
      </c>
    </row>
    <row r="5998" spans="1:2" x14ac:dyDescent="0.25">
      <c r="A5998">
        <f ca="1">25437.2025259277*(RANDBETWEEN(2890,3282))</f>
        <v>73691575.717612609</v>
      </c>
      <c r="B5998">
        <v>253361612.96121061</v>
      </c>
    </row>
    <row r="5999" spans="1:2" x14ac:dyDescent="0.25">
      <c r="A5999">
        <f ca="1">28371.8346638596*(RANDBETWEEN(2890,3282))</f>
        <v>85824799.858175248</v>
      </c>
      <c r="B5999">
        <v>245297458.6162481</v>
      </c>
    </row>
    <row r="6000" spans="1:2" x14ac:dyDescent="0.25">
      <c r="A6000">
        <f ca="1">31818.6179962123*(RANDBETWEEN(2890,3282))</f>
        <v>104333248.40958017</v>
      </c>
      <c r="B6000">
        <v>233209454.28328153</v>
      </c>
    </row>
    <row r="6001" spans="1:2" x14ac:dyDescent="0.25">
      <c r="A6001">
        <f ca="1">34971.8480708731*(RANDBETWEEN(2890,3282))</f>
        <v>102922148.87257957</v>
      </c>
      <c r="B6001">
        <v>227367363.51159433</v>
      </c>
    </row>
    <row r="6002" spans="1:2" x14ac:dyDescent="0.25">
      <c r="A6002">
        <f ca="1">29240.044995159*(RANDBETWEEN(2890,3282))</f>
        <v>85819532.060791567</v>
      </c>
      <c r="B6002">
        <v>249775269.34692067</v>
      </c>
    </row>
    <row r="6003" spans="1:2" x14ac:dyDescent="0.25">
      <c r="A6003">
        <f ca="1">34104.0756935139*(RANDBETWEEN(2890,3282))</f>
        <v>104870032.75755522</v>
      </c>
      <c r="B6003">
        <v>235128318.51781893</v>
      </c>
    </row>
    <row r="6004" spans="1:2" x14ac:dyDescent="0.25">
      <c r="A6004">
        <f ca="1">31254.7471900243*(RANDBETWEEN(2890,3282))</f>
        <v>92920363.395942152</v>
      </c>
      <c r="B6004">
        <v>244515930.96398741</v>
      </c>
    </row>
    <row r="6005" spans="1:2" x14ac:dyDescent="0.25">
      <c r="A6005">
        <f ca="1">31019.4929633409*(RANDBETWEEN(2890,3282))</f>
        <v>97215090.94711037</v>
      </c>
      <c r="B6005">
        <v>241717297.665847</v>
      </c>
    </row>
    <row r="6006" spans="1:2" x14ac:dyDescent="0.25">
      <c r="A6006">
        <f ca="1">30360.4191655587*(RANDBETWEEN(2890,3282))</f>
        <v>92629638.874119535</v>
      </c>
      <c r="B6006">
        <v>260630076.91616097</v>
      </c>
    </row>
    <row r="6007" spans="1:2" x14ac:dyDescent="0.25">
      <c r="A6007">
        <f ca="1">26777.0956830955*(RANDBETWEEN(2890,3282))</f>
        <v>78323004.873054385</v>
      </c>
      <c r="B6007">
        <v>210128316.26213858</v>
      </c>
    </row>
    <row r="6008" spans="1:2" x14ac:dyDescent="0.25">
      <c r="A6008">
        <f ca="1">32631.2178150378*(RANDBETWEEN(2890,3282))</f>
        <v>94565269.22797966</v>
      </c>
      <c r="B6008">
        <v>244852069.21601164</v>
      </c>
    </row>
    <row r="6009" spans="1:2" x14ac:dyDescent="0.25">
      <c r="A6009">
        <f ca="1">30037.941121167*(RANDBETWEEN(2890,3282))</f>
        <v>97743460.408277571</v>
      </c>
      <c r="B6009">
        <v>238760982.04181954</v>
      </c>
    </row>
    <row r="6010" spans="1:2" x14ac:dyDescent="0.25">
      <c r="A6010">
        <f ca="1">30285.3166839754*(RANDBETWEEN(2890,3282))</f>
        <v>89705108.017935246</v>
      </c>
      <c r="B6010">
        <v>253851959.9294748</v>
      </c>
    </row>
    <row r="6011" spans="1:2" x14ac:dyDescent="0.25">
      <c r="A6011">
        <f ca="1">27447.6976197325*(RANDBETWEEN(2890,3282))</f>
        <v>85966188.945002258</v>
      </c>
      <c r="B6011">
        <v>226385446.97909346</v>
      </c>
    </row>
    <row r="6012" spans="1:2" x14ac:dyDescent="0.25">
      <c r="A6012">
        <f ca="1">29880.1148535803*(RANDBETWEEN(2890,3282))</f>
        <v>92568595.81639187</v>
      </c>
      <c r="B6012">
        <v>261357667.70080024</v>
      </c>
    </row>
    <row r="6013" spans="1:2" x14ac:dyDescent="0.25">
      <c r="A6013">
        <f ca="1">27360.4925849738*(RANDBETWEEN(2890,3282))</f>
        <v>86021388.68715775</v>
      </c>
      <c r="B6013">
        <v>227930584.91624752</v>
      </c>
    </row>
    <row r="6014" spans="1:2" x14ac:dyDescent="0.25">
      <c r="A6014">
        <f ca="1">27930.6511476813*(RANDBETWEEN(2890,3282))</f>
        <v>87869828.510605261</v>
      </c>
      <c r="B6014">
        <v>240145220.98851451</v>
      </c>
    </row>
    <row r="6015" spans="1:2" x14ac:dyDescent="0.25">
      <c r="A6015">
        <f ca="1">31279.1528808013*(RANDBETWEEN(2890,3282))</f>
        <v>99405147.855186477</v>
      </c>
      <c r="B6015">
        <v>226633468.27568364</v>
      </c>
    </row>
    <row r="6016" spans="1:2" x14ac:dyDescent="0.25">
      <c r="A6016">
        <f ca="1">30282.3241711453*(RANDBETWEEN(2890,3282))</f>
        <v>88151845.662203893</v>
      </c>
      <c r="B6016">
        <v>211968745.37892014</v>
      </c>
    </row>
    <row r="6017" spans="1:2" x14ac:dyDescent="0.25">
      <c r="A6017">
        <f ca="1">29985.6516354473*(RANDBETWEEN(2890,3282))</f>
        <v>94214917.438575521</v>
      </c>
      <c r="B6017">
        <v>231947539.2633675</v>
      </c>
    </row>
    <row r="6018" spans="1:2" x14ac:dyDescent="0.25">
      <c r="A6018">
        <f ca="1">31121.1504750925*(RANDBETWEEN(2890,3282))</f>
        <v>96600051.074687272</v>
      </c>
      <c r="B6018">
        <v>234035716.22839731</v>
      </c>
    </row>
    <row r="6019" spans="1:2" x14ac:dyDescent="0.25">
      <c r="A6019">
        <f ca="1">30631.4833103023*(RANDBETWEEN(2890,3282))</f>
        <v>89198879.399600416</v>
      </c>
      <c r="B6019">
        <v>264837347.63608509</v>
      </c>
    </row>
    <row r="6020" spans="1:2" x14ac:dyDescent="0.25">
      <c r="A6020">
        <f ca="1">30424.1749393194*(RANDBETWEEN(2890,3282))</f>
        <v>92185250.066137701</v>
      </c>
      <c r="B6020">
        <v>220463480.94634825</v>
      </c>
    </row>
    <row r="6021" spans="1:2" x14ac:dyDescent="0.25">
      <c r="A6021">
        <f ca="1">31672.1303845867*(RANDBETWEEN(2890,3282))</f>
        <v>92799342.026838958</v>
      </c>
      <c r="B6021">
        <v>266931808.15184966</v>
      </c>
    </row>
    <row r="6022" spans="1:2" x14ac:dyDescent="0.25">
      <c r="A6022">
        <f ca="1">26732.369687464*(RANDBETWEEN(2890,3282))</f>
        <v>85142597.454572931</v>
      </c>
      <c r="B6022">
        <v>229113030.88391918</v>
      </c>
    </row>
    <row r="6023" spans="1:2" x14ac:dyDescent="0.25">
      <c r="A6023">
        <f ca="1">32583.0456747845*(RANDBETWEEN(2890,3282))</f>
        <v>96967143.928158537</v>
      </c>
      <c r="B6023">
        <v>234162334.66191521</v>
      </c>
    </row>
    <row r="6024" spans="1:2" x14ac:dyDescent="0.25">
      <c r="A6024">
        <f ca="1">32201.1463670265*(RANDBETWEEN(2890,3282))</f>
        <v>95122186.368196383</v>
      </c>
      <c r="B6024">
        <v>266826254.52975267</v>
      </c>
    </row>
    <row r="6025" spans="1:2" x14ac:dyDescent="0.25">
      <c r="A6025">
        <f ca="1">30915.3474798714*(RANDBETWEEN(2890,3282))</f>
        <v>98279889.638511151</v>
      </c>
      <c r="B6025">
        <v>214021360.70831415</v>
      </c>
    </row>
    <row r="6026" spans="1:2" x14ac:dyDescent="0.25">
      <c r="A6026">
        <f ca="1">31130.2613782663*(RANDBETWEEN(2890,3282))</f>
        <v>100363962.68353057</v>
      </c>
      <c r="B6026">
        <v>251408633.77261546</v>
      </c>
    </row>
    <row r="6027" spans="1:2" x14ac:dyDescent="0.25">
      <c r="A6027">
        <f ca="1">28423.4313681042*(RANDBETWEEN(2890,3282))</f>
        <v>87686285.770601526</v>
      </c>
      <c r="B6027">
        <v>245271276.42798525</v>
      </c>
    </row>
    <row r="6028" spans="1:2" x14ac:dyDescent="0.25">
      <c r="A6028">
        <f ca="1">28103.7201457591*(RANDBETWEEN(2890,3282))</f>
        <v>86109798.52660574</v>
      </c>
      <c r="B6028">
        <v>221365132.4687742</v>
      </c>
    </row>
    <row r="6029" spans="1:2" x14ac:dyDescent="0.25">
      <c r="A6029">
        <f ca="1">29037.0311084209*(RANDBETWEEN(2890,3282))</f>
        <v>85978649.112034157</v>
      </c>
      <c r="B6029">
        <v>252541693.0261001</v>
      </c>
    </row>
    <row r="6030" spans="1:2" x14ac:dyDescent="0.25">
      <c r="A6030">
        <f ca="1">27320.3451268906*(RANDBETWEEN(2890,3282))</f>
        <v>88463277.520871714</v>
      </c>
      <c r="B6030">
        <v>208432685.31894785</v>
      </c>
    </row>
    <row r="6031" spans="1:2" x14ac:dyDescent="0.25">
      <c r="A6031">
        <f ca="1">30825.3878201485*(RANDBETWEEN(2890,3282))</f>
        <v>90349211.700855255</v>
      </c>
      <c r="B6031">
        <v>248109633.60970318</v>
      </c>
    </row>
    <row r="6032" spans="1:2" x14ac:dyDescent="0.25">
      <c r="A6032">
        <f ca="1">29540.4930669562*(RANDBETWEEN(2890,3282))</f>
        <v>96331547.89134413</v>
      </c>
      <c r="B6032">
        <v>226194326.47054988</v>
      </c>
    </row>
    <row r="6033" spans="1:2" x14ac:dyDescent="0.25">
      <c r="A6033">
        <f ca="1">33007.7134714513*(RANDBETWEEN(2890,3282))</f>
        <v>100409464.38015482</v>
      </c>
      <c r="B6033">
        <v>222683143.05412275</v>
      </c>
    </row>
    <row r="6034" spans="1:2" x14ac:dyDescent="0.25">
      <c r="A6034">
        <f ca="1">30198.3314185807*(RANDBETWEEN(2890,3282))</f>
        <v>96030693.911086574</v>
      </c>
      <c r="B6034">
        <v>265608173.39298999</v>
      </c>
    </row>
    <row r="6035" spans="1:2" x14ac:dyDescent="0.25">
      <c r="A6035">
        <f ca="1">30898.8528787368*(RANDBETWEEN(2890,3282))</f>
        <v>89884763.024245381</v>
      </c>
      <c r="B6035">
        <v>230629171.11157042</v>
      </c>
    </row>
    <row r="6036" spans="1:2" x14ac:dyDescent="0.25">
      <c r="A6036">
        <f ca="1">26354.0398132393*(RANDBETWEEN(2890,3282))</f>
        <v>86388542.507798284</v>
      </c>
      <c r="B6036">
        <v>252567377.07831153</v>
      </c>
    </row>
    <row r="6037" spans="1:2" x14ac:dyDescent="0.25">
      <c r="A6037">
        <f ca="1">31021.6260591931*(RANDBETWEEN(2890,3282))</f>
        <v>93499180.942408055</v>
      </c>
      <c r="B6037">
        <v>218762099.18439141</v>
      </c>
    </row>
    <row r="6038" spans="1:2" x14ac:dyDescent="0.25">
      <c r="A6038">
        <f ca="1">31880.2890686351*(RANDBETWEEN(2890,3282))</f>
        <v>101124276.92571047</v>
      </c>
      <c r="B6038">
        <v>235685087.95953619</v>
      </c>
    </row>
    <row r="6039" spans="1:2" x14ac:dyDescent="0.25">
      <c r="A6039">
        <f ca="1">28469.8479365239*(RANDBETWEEN(2890,3282))</f>
        <v>89850840.087669373</v>
      </c>
      <c r="B6039">
        <v>232729942.38597634</v>
      </c>
    </row>
    <row r="6040" spans="1:2" x14ac:dyDescent="0.25">
      <c r="A6040">
        <f ca="1">33306.3531893027*(RANDBETWEEN(2890,3282))</f>
        <v>103249694.88683847</v>
      </c>
      <c r="B6040">
        <v>256829039.28994304</v>
      </c>
    </row>
    <row r="6041" spans="1:2" x14ac:dyDescent="0.25">
      <c r="A6041">
        <f ca="1">27472.806661483*(RANDBETWEEN(2890,3282))</f>
        <v>84533826.097383335</v>
      </c>
      <c r="B6041">
        <v>211276976.76859069</v>
      </c>
    </row>
    <row r="6042" spans="1:2" x14ac:dyDescent="0.25">
      <c r="A6042">
        <f ca="1">29411.6833123009*(RANDBETWEEN(2890,3282))</f>
        <v>90176221.035514653</v>
      </c>
      <c r="B6042">
        <v>224810863.50288936</v>
      </c>
    </row>
    <row r="6043" spans="1:2" x14ac:dyDescent="0.25">
      <c r="A6043">
        <f ca="1">26823.1474808287*(RANDBETWEEN(2890,3282))</f>
        <v>85485371.021401167</v>
      </c>
      <c r="B6043">
        <v>210221255.62294275</v>
      </c>
    </row>
    <row r="6044" spans="1:2" x14ac:dyDescent="0.25">
      <c r="A6044">
        <f ca="1">26865.3790588083*(RANDBETWEEN(2890,3282))</f>
        <v>85378174.648892909</v>
      </c>
      <c r="B6044">
        <v>214569113.70157868</v>
      </c>
    </row>
    <row r="6045" spans="1:2" x14ac:dyDescent="0.25">
      <c r="A6045">
        <f ca="1">28291.519858044*(RANDBETWEEN(2890,3282))</f>
        <v>83686315.740094051</v>
      </c>
      <c r="B6045">
        <v>216983171.95208049</v>
      </c>
    </row>
    <row r="6046" spans="1:2" x14ac:dyDescent="0.25">
      <c r="A6046">
        <f ca="1">27587.5495018563*(RANDBETWEEN(2890,3282))</f>
        <v>85686928.752765566</v>
      </c>
      <c r="B6046">
        <v>239517395.90055323</v>
      </c>
    </row>
    <row r="6047" spans="1:2" x14ac:dyDescent="0.25">
      <c r="A6047">
        <f ca="1">29225.3341755184*(RANDBETWEEN(2890,3282))</f>
        <v>88874241.227751419</v>
      </c>
      <c r="B6047">
        <v>219736141.04781011</v>
      </c>
    </row>
    <row r="6048" spans="1:2" x14ac:dyDescent="0.25">
      <c r="A6048">
        <f ca="1">28798.009213472*(RANDBETWEEN(2890,3282))</f>
        <v>84291772.967832491</v>
      </c>
      <c r="B6048">
        <v>252278118.5947808</v>
      </c>
    </row>
    <row r="6049" spans="1:2" x14ac:dyDescent="0.25">
      <c r="A6049">
        <f ca="1">33162.868354849*(RANDBETWEEN(2890,3282))</f>
        <v>98062601.72528854</v>
      </c>
      <c r="B6049">
        <v>243507266.40260571</v>
      </c>
    </row>
    <row r="6050" spans="1:2" x14ac:dyDescent="0.25">
      <c r="A6050">
        <f ca="1">30287.4445400399*(RANDBETWEEN(2890,3282))</f>
        <v>95163150.74480547</v>
      </c>
      <c r="B6050">
        <v>254791597.54533327</v>
      </c>
    </row>
    <row r="6051" spans="1:2" x14ac:dyDescent="0.25">
      <c r="A6051">
        <f ca="1">27137.4108112064*(RANDBETWEEN(2890,3282))</f>
        <v>84125973.514739886</v>
      </c>
      <c r="B6051">
        <v>214661579.59603006</v>
      </c>
    </row>
    <row r="6052" spans="1:2" x14ac:dyDescent="0.25">
      <c r="A6052">
        <f ca="1">31646.0070839678*(RANDBETWEEN(2890,3282))</f>
        <v>91520252.486834764</v>
      </c>
      <c r="B6052">
        <v>245117790.17406869</v>
      </c>
    </row>
    <row r="6053" spans="1:2" x14ac:dyDescent="0.25">
      <c r="A6053">
        <f ca="1">26318.4954394774*(RANDBETWEEN(2890,3282))</f>
        <v>82140024.266609073</v>
      </c>
      <c r="B6053">
        <v>214665455.04917869</v>
      </c>
    </row>
    <row r="6054" spans="1:2" x14ac:dyDescent="0.25">
      <c r="A6054">
        <f ca="1">30494.1938155664*(RANDBETWEEN(2890,3282))</f>
        <v>93220750.494186342</v>
      </c>
      <c r="B6054">
        <v>251919893.11563182</v>
      </c>
    </row>
    <row r="6055" spans="1:2" x14ac:dyDescent="0.25">
      <c r="A6055">
        <f ca="1">30169.5646257909*(RANDBETWEEN(2890,3282))</f>
        <v>93133445.999816477</v>
      </c>
      <c r="B6055">
        <v>219160399.09577703</v>
      </c>
    </row>
    <row r="6056" spans="1:2" x14ac:dyDescent="0.25">
      <c r="A6056">
        <f ca="1">28919.0617864025*(RANDBETWEEN(2890,3282))</f>
        <v>86005289.752760917</v>
      </c>
      <c r="B6056">
        <v>236812396.32061231</v>
      </c>
    </row>
    <row r="6057" spans="1:2" x14ac:dyDescent="0.25">
      <c r="A6057">
        <f ca="1">30137.3594952493*(RANDBETWEEN(2890,3282))</f>
        <v>93305264.997291893</v>
      </c>
      <c r="B6057">
        <v>250098153.37851101</v>
      </c>
    </row>
    <row r="6058" spans="1:2" x14ac:dyDescent="0.25">
      <c r="A6058">
        <f ca="1">28715.6568429635*(RANDBETWEEN(2890,3282))</f>
        <v>88070919.537369028</v>
      </c>
      <c r="B6058">
        <v>221551480.00454384</v>
      </c>
    </row>
    <row r="6059" spans="1:2" x14ac:dyDescent="0.25">
      <c r="A6059">
        <f ca="1">31335.7128361992*(RANDBETWEEN(2890,3282))</f>
        <v>98080781.177303389</v>
      </c>
      <c r="B6059">
        <v>259532780.29223263</v>
      </c>
    </row>
    <row r="6060" spans="1:2" x14ac:dyDescent="0.25">
      <c r="A6060">
        <f ca="1">26699.9037255479*(RANDBETWEEN(2890,3282))</f>
        <v>80526909.636252433</v>
      </c>
      <c r="B6060">
        <v>228135253.89100847</v>
      </c>
    </row>
    <row r="6061" spans="1:2" x14ac:dyDescent="0.25">
      <c r="A6061">
        <f ca="1">31901.6560142843*(RANDBETWEEN(2890,3282))</f>
        <v>103712283.70243816</v>
      </c>
      <c r="B6061">
        <v>250214564.27406418</v>
      </c>
    </row>
    <row r="6062" spans="1:2" x14ac:dyDescent="0.25">
      <c r="A6062">
        <f ca="1">27044.3482768195*(RANDBETWEEN(2890,3282))</f>
        <v>86379648.396161497</v>
      </c>
      <c r="B6062">
        <v>242870668.21070045</v>
      </c>
    </row>
    <row r="6063" spans="1:2" x14ac:dyDescent="0.25">
      <c r="A6063">
        <f ca="1">26396.5461315401*(RANDBETWEEN(2890,3282))</f>
        <v>82278034.292010486</v>
      </c>
      <c r="B6063">
        <v>215029672.07440829</v>
      </c>
    </row>
    <row r="6064" spans="1:2" x14ac:dyDescent="0.25">
      <c r="A6064">
        <f ca="1">26816.3057562614*(RANDBETWEEN(2890,3282))</f>
        <v>85463566.445205063</v>
      </c>
      <c r="B6064">
        <v>231487264.27579466</v>
      </c>
    </row>
    <row r="6065" spans="1:2" x14ac:dyDescent="0.25">
      <c r="A6065">
        <f ca="1">31676.8005777725*(RANDBETWEEN(2890,3282))</f>
        <v>95632260.944295034</v>
      </c>
      <c r="B6065">
        <v>211865866.91861409</v>
      </c>
    </row>
    <row r="6066" spans="1:2" x14ac:dyDescent="0.25">
      <c r="A6066">
        <f ca="1">27676.4910399035*(RANDBETWEEN(2890,3282))</f>
        <v>81313530.675236553</v>
      </c>
      <c r="B6066">
        <v>211427621.82733381</v>
      </c>
    </row>
    <row r="6067" spans="1:2" x14ac:dyDescent="0.25">
      <c r="A6067">
        <f ca="1">25803.1881366954*(RANDBETWEEN(2890,3282))</f>
        <v>76841894.271078959</v>
      </c>
      <c r="B6067">
        <v>234694633.60905522</v>
      </c>
    </row>
    <row r="6068" spans="1:2" x14ac:dyDescent="0.25">
      <c r="A6068">
        <f ca="1">32215.0248776665*(RANDBETWEEN(2890,3282))</f>
        <v>93971227.568153173</v>
      </c>
      <c r="B6068">
        <v>246910600.70094335</v>
      </c>
    </row>
    <row r="6069" spans="1:2" x14ac:dyDescent="0.25">
      <c r="A6069">
        <f ca="1">28300.4103388226*(RANDBETWEEN(2890,3282))</f>
        <v>92287638.114900514</v>
      </c>
      <c r="B6069">
        <v>233998740.1231024</v>
      </c>
    </row>
    <row r="6070" spans="1:2" x14ac:dyDescent="0.25">
      <c r="A6070">
        <f ca="1">27237.0886816438*(RANDBETWEEN(2890,3282))</f>
        <v>80703493.763710693</v>
      </c>
      <c r="B6070">
        <v>226352107.56729871</v>
      </c>
    </row>
    <row r="6071" spans="1:2" x14ac:dyDescent="0.25">
      <c r="A6071">
        <f ca="1">30985.1188767947*(RANDBETWEEN(2890,3282))</f>
        <v>94132791.147702187</v>
      </c>
      <c r="B6071">
        <v>222797638.07195273</v>
      </c>
    </row>
    <row r="6072" spans="1:2" x14ac:dyDescent="0.25">
      <c r="A6072">
        <f ca="1">26809.2894374053*(RANDBETWEEN(2890,3282))</f>
        <v>83752220.202454239</v>
      </c>
      <c r="B6072">
        <v>216020341.84260851</v>
      </c>
    </row>
    <row r="6073" spans="1:2" x14ac:dyDescent="0.25">
      <c r="A6073">
        <f ca="1">26148.2855117491*(RANDBETWEEN(2890,3282))</f>
        <v>75960769.411631107</v>
      </c>
      <c r="B6073">
        <v>206677192.14512855</v>
      </c>
    </row>
    <row r="6074" spans="1:2" x14ac:dyDescent="0.25">
      <c r="A6074">
        <f ca="1">31022.077621217*(RANDBETWEEN(2890,3282))</f>
        <v>97471367.885863706</v>
      </c>
      <c r="B6074">
        <v>265090927.16939682</v>
      </c>
    </row>
    <row r="6075" spans="1:2" x14ac:dyDescent="0.25">
      <c r="A6075">
        <f ca="1">26756.4221097373*(RANDBETWEEN(2890,3282))</f>
        <v>82490049.364320204</v>
      </c>
      <c r="B6075">
        <v>245869847.2086933</v>
      </c>
    </row>
    <row r="6076" spans="1:2" x14ac:dyDescent="0.25">
      <c r="A6076">
        <f ca="1">28561.8749249003*(RANDBETWEEN(2890,3282))</f>
        <v>92483351.00682725</v>
      </c>
      <c r="B6076">
        <v>237897262.17953318</v>
      </c>
    </row>
    <row r="6077" spans="1:2" x14ac:dyDescent="0.25">
      <c r="A6077">
        <f ca="1">26304.4496774733*(RANDBETWEEN(2890,3282))</f>
        <v>85515765.901465744</v>
      </c>
      <c r="B6077">
        <v>243944262.45727384</v>
      </c>
    </row>
    <row r="6078" spans="1:2" x14ac:dyDescent="0.25">
      <c r="A6078">
        <f ca="1">32143.570717348*(RANDBETWEEN(2890,3282))</f>
        <v>94919964.328328654</v>
      </c>
      <c r="B6078">
        <v>206943555.01455963</v>
      </c>
    </row>
    <row r="6079" spans="1:2" x14ac:dyDescent="0.25">
      <c r="A6079">
        <f ca="1">26616.2212918402*(RANDBETWEEN(2890,3282))</f>
        <v>84825897.25709486</v>
      </c>
      <c r="B6079">
        <v>223744079.78206435</v>
      </c>
    </row>
    <row r="6080" spans="1:2" x14ac:dyDescent="0.25">
      <c r="A6080">
        <f ca="1">30862.3690733327*(RANDBETWEEN(2890,3282))</f>
        <v>91136575.873551562</v>
      </c>
      <c r="B6080">
        <v>210988612.05344483</v>
      </c>
    </row>
    <row r="6081" spans="1:2" x14ac:dyDescent="0.25">
      <c r="A6081">
        <f ca="1">27515.2116955928*(RANDBETWEEN(2890,3282))</f>
        <v>87168190.651638001</v>
      </c>
      <c r="B6081">
        <v>242235977.73027524</v>
      </c>
    </row>
    <row r="6082" spans="1:2" x14ac:dyDescent="0.25">
      <c r="A6082">
        <f ca="1">27436.8478817126*(RANDBETWEEN(2890,3282))</f>
        <v>79786353.64002037</v>
      </c>
      <c r="B6082">
        <v>253851704.63555595</v>
      </c>
    </row>
    <row r="6083" spans="1:2" x14ac:dyDescent="0.25">
      <c r="A6083">
        <f ca="1">26008.4032424764*(RANDBETWEEN(2890,3282))</f>
        <v>78363318.969581261</v>
      </c>
      <c r="B6083">
        <v>220791776.13352638</v>
      </c>
    </row>
    <row r="6084" spans="1:2" x14ac:dyDescent="0.25">
      <c r="A6084">
        <f ca="1">28502.6862011706*(RANDBETWEEN(2890,3282))</f>
        <v>87788273.499605536</v>
      </c>
      <c r="B6084">
        <v>228015467.2780481</v>
      </c>
    </row>
    <row r="6085" spans="1:2" x14ac:dyDescent="0.25">
      <c r="A6085">
        <f ca="1">28116.1138576519*(RANDBETWEEN(2890,3282))</f>
        <v>90590118.849354371</v>
      </c>
      <c r="B6085">
        <v>229158022.18108404</v>
      </c>
    </row>
    <row r="6086" spans="1:2" x14ac:dyDescent="0.25">
      <c r="A6086">
        <f ca="1">28115.8036701853*(RANDBETWEEN(2890,3282))</f>
        <v>86231169.856458381</v>
      </c>
      <c r="B6086">
        <v>205315379.35419539</v>
      </c>
    </row>
    <row r="6087" spans="1:2" x14ac:dyDescent="0.25">
      <c r="A6087">
        <f ca="1">31718.1318851327*(RANDBETWEEN(2890,3282))</f>
        <v>96518275.326458737</v>
      </c>
      <c r="B6087">
        <v>210332882.85135239</v>
      </c>
    </row>
    <row r="6088" spans="1:2" x14ac:dyDescent="0.25">
      <c r="A6088">
        <f ca="1">28954.8970328064*(RANDBETWEEN(2890,3282))</f>
        <v>92597760.710914984</v>
      </c>
      <c r="B6088">
        <v>249121692.27604878</v>
      </c>
    </row>
    <row r="6089" spans="1:2" x14ac:dyDescent="0.25">
      <c r="A6089">
        <f ca="1">29744.8701360773*(RANDBETWEEN(2890,3282))</f>
        <v>88461243.784693867</v>
      </c>
      <c r="B6089">
        <v>225185993.65529251</v>
      </c>
    </row>
    <row r="6090" spans="1:2" x14ac:dyDescent="0.25">
      <c r="A6090">
        <f ca="1">31278.9077981844*(RANDBETWEEN(2890,3282))</f>
        <v>99873552.599602759</v>
      </c>
      <c r="B6090">
        <v>228254930.84858343</v>
      </c>
    </row>
    <row r="6091" spans="1:2" x14ac:dyDescent="0.25">
      <c r="A6091">
        <f ca="1">26069.1099607628*(RANDBETWEEN(2890,3282))</f>
        <v>81257415.747697681</v>
      </c>
      <c r="B6091">
        <v>226181093.16930723</v>
      </c>
    </row>
    <row r="6092" spans="1:2" x14ac:dyDescent="0.25">
      <c r="A6092">
        <f ca="1">31752.4860142256*(RANDBETWEEN(2890,3282))</f>
        <v>100814143.09516624</v>
      </c>
      <c r="B6092">
        <v>239766928.03470871</v>
      </c>
    </row>
    <row r="6093" spans="1:2" x14ac:dyDescent="0.25">
      <c r="A6093">
        <f ca="1">30472.6685134546*(RANDBETWEEN(2890,3282))</f>
        <v>97207812.557920188</v>
      </c>
      <c r="B6093">
        <v>240870687.99754786</v>
      </c>
    </row>
    <row r="6094" spans="1:2" x14ac:dyDescent="0.25">
      <c r="A6094">
        <f ca="1">26599.5393331443*(RANDBETWEEN(2890,3282))</f>
        <v>79772018.460099638</v>
      </c>
      <c r="B6094">
        <v>233778271.87399706</v>
      </c>
    </row>
    <row r="6095" spans="1:2" x14ac:dyDescent="0.25">
      <c r="A6095">
        <f ca="1">25541.3150157908*(RANDBETWEEN(2890,3282))</f>
        <v>75474585.871661901</v>
      </c>
      <c r="B6095">
        <v>210447047.98288006</v>
      </c>
    </row>
    <row r="6096" spans="1:2" x14ac:dyDescent="0.25">
      <c r="A6096">
        <f ca="1">32004.861519026*(RANDBETWEEN(2890,3282))</f>
        <v>93838253.973784372</v>
      </c>
      <c r="B6096">
        <v>214048075.29403871</v>
      </c>
    </row>
    <row r="6097" spans="1:2" x14ac:dyDescent="0.25">
      <c r="A6097">
        <f ca="1">28889.9231059899*(RANDBETWEEN(2890,3282))</f>
        <v>87709806.549785286</v>
      </c>
      <c r="B6097">
        <v>229630827.07027808</v>
      </c>
    </row>
    <row r="6098" spans="1:2" x14ac:dyDescent="0.25">
      <c r="A6098">
        <f ca="1">32919.7796218881*(RANDBETWEEN(2890,3282))</f>
        <v>103466867.35159443</v>
      </c>
      <c r="B6098">
        <v>264975069.87600043</v>
      </c>
    </row>
    <row r="6099" spans="1:2" x14ac:dyDescent="0.25">
      <c r="A6099">
        <f ca="1">30977.2345899324*(RANDBETWEEN(2890,3282))</f>
        <v>97392425.55074732</v>
      </c>
      <c r="B6099">
        <v>219736379.82841143</v>
      </c>
    </row>
    <row r="6100" spans="1:2" x14ac:dyDescent="0.25">
      <c r="A6100">
        <f ca="1">32878.6501550695*(RANDBETWEEN(2890,3282))</f>
        <v>106921370.30428609</v>
      </c>
      <c r="B6100">
        <v>261559528.39739469</v>
      </c>
    </row>
    <row r="6101" spans="1:2" x14ac:dyDescent="0.25">
      <c r="A6101">
        <f ca="1">31906.5068563937*(RANDBETWEEN(2890,3282))</f>
        <v>98272041.117692739</v>
      </c>
      <c r="B6101">
        <v>253192449.15416226</v>
      </c>
    </row>
    <row r="6102" spans="1:2" x14ac:dyDescent="0.25">
      <c r="A6102">
        <f ca="1">26212.7241530564*(RANDBETWEEN(2890,3282))</f>
        <v>78061492.527801901</v>
      </c>
      <c r="B6102">
        <v>227722713.25786567</v>
      </c>
    </row>
    <row r="6103" spans="1:2" x14ac:dyDescent="0.25">
      <c r="A6103">
        <f ca="1">27756.0351177744*(RANDBETWEEN(2890,3282))</f>
        <v>86182489.040689409</v>
      </c>
      <c r="B6103">
        <v>206019017.40919161</v>
      </c>
    </row>
    <row r="6104" spans="1:2" x14ac:dyDescent="0.25">
      <c r="A6104">
        <f ca="1">31912.0461011093*(RANDBETWEEN(2890,3282))</f>
        <v>96661587.640260249</v>
      </c>
      <c r="B6104">
        <v>258722271.1354619</v>
      </c>
    </row>
    <row r="6105" spans="1:2" x14ac:dyDescent="0.25">
      <c r="A6105">
        <f ca="1">27925.7140706067*(RANDBETWEEN(2890,3282))</f>
        <v>82213302.223866105</v>
      </c>
      <c r="B6105">
        <v>237269658.950836</v>
      </c>
    </row>
    <row r="6106" spans="1:2" x14ac:dyDescent="0.25">
      <c r="A6106">
        <f ca="1">31131.6613836595*(RANDBETWEEN(2890,3282))</f>
        <v>101987322.69286838</v>
      </c>
      <c r="B6106">
        <v>261302451.04889247</v>
      </c>
    </row>
    <row r="6107" spans="1:2" x14ac:dyDescent="0.25">
      <c r="A6107">
        <f ca="1">29231.5068414657*(RANDBETWEEN(2890,3282))</f>
        <v>95791647.919483081</v>
      </c>
      <c r="B6107">
        <v>251323026.0345819</v>
      </c>
    </row>
    <row r="6108" spans="1:2" x14ac:dyDescent="0.25">
      <c r="A6108">
        <f ca="1">28614.0968579004*(RANDBETWEEN(2890,3282))</f>
        <v>88989841.228070304</v>
      </c>
      <c r="B6108">
        <v>228885418.62866551</v>
      </c>
    </row>
    <row r="6109" spans="1:2" x14ac:dyDescent="0.25">
      <c r="A6109">
        <f ca="1">28175.9085141645*(RANDBETWEEN(2890,3282))</f>
        <v>86781798.223626524</v>
      </c>
      <c r="B6109">
        <v>247131836.64182857</v>
      </c>
    </row>
    <row r="6110" spans="1:2" x14ac:dyDescent="0.25">
      <c r="A6110">
        <f ca="1">30256.9844141449*(RANDBETWEEN(2890,3282))</f>
        <v>97578774.73561734</v>
      </c>
      <c r="B6110">
        <v>255044221.77958399</v>
      </c>
    </row>
    <row r="6111" spans="1:2" x14ac:dyDescent="0.25">
      <c r="A6111">
        <f ca="1">27542.5800746639*(RANDBETWEEN(2890,3282))</f>
        <v>81553579.601079717</v>
      </c>
      <c r="B6111">
        <v>211250168.31724733</v>
      </c>
    </row>
    <row r="6112" spans="1:2" x14ac:dyDescent="0.25">
      <c r="A6112">
        <f ca="1">25962.6661732166*(RANDBETWEEN(2890,3282))</f>
        <v>82743017.094041377</v>
      </c>
      <c r="B6112">
        <v>221340353.61492029</v>
      </c>
    </row>
    <row r="6113" spans="1:2" x14ac:dyDescent="0.25">
      <c r="A6113">
        <f ca="1">26175.4041383947*(RANDBETWEEN(2890,3282))</f>
        <v>81379331.46626918</v>
      </c>
      <c r="B6113">
        <v>266517464.78475344</v>
      </c>
    </row>
    <row r="6114" spans="1:2" x14ac:dyDescent="0.25">
      <c r="A6114">
        <f ca="1">28517.8720916754*(RANDBETWEEN(2890,3282))</f>
        <v>90629797.507344514</v>
      </c>
      <c r="B6114">
        <v>245772621.31901485</v>
      </c>
    </row>
    <row r="6115" spans="1:2" x14ac:dyDescent="0.25">
      <c r="A6115">
        <f ca="1">32210.0341056085*(RANDBETWEEN(2890,3282))</f>
        <v>105713331.9346071</v>
      </c>
      <c r="B6115">
        <v>231257977.88247773</v>
      </c>
    </row>
    <row r="6116" spans="1:2" x14ac:dyDescent="0.25">
      <c r="A6116">
        <f ca="1">32347.3246258611*(RANDBETWEEN(2890,3282))</f>
        <v>100244359.01554357</v>
      </c>
      <c r="B6116">
        <v>222160878.8494308</v>
      </c>
    </row>
    <row r="6117" spans="1:2" x14ac:dyDescent="0.25">
      <c r="A6117">
        <f ca="1">31441.0901627171*(RANDBETWEEN(2890,3282))</f>
        <v>97938995.856863722</v>
      </c>
      <c r="B6117">
        <v>259693102.33558083</v>
      </c>
    </row>
    <row r="6118" spans="1:2" x14ac:dyDescent="0.25">
      <c r="A6118">
        <f ca="1">28359.5089521652*(RANDBETWEEN(2890,3282))</f>
        <v>84114303.552122056</v>
      </c>
      <c r="B6118">
        <v>211804214.42058748</v>
      </c>
    </row>
    <row r="6119" spans="1:2" x14ac:dyDescent="0.25">
      <c r="A6119">
        <f ca="1">28343.043667283*(RANDBETWEEN(2890,3282))</f>
        <v>85284218.394854531</v>
      </c>
      <c r="B6119">
        <v>247488526.17938659</v>
      </c>
    </row>
    <row r="6120" spans="1:2" x14ac:dyDescent="0.25">
      <c r="A6120">
        <f ca="1">28958.9897721266*(RANDBETWEEN(2890,3282))</f>
        <v>92610849.291261032</v>
      </c>
      <c r="B6120">
        <v>209553108.85174662</v>
      </c>
    </row>
    <row r="6121" spans="1:2" x14ac:dyDescent="0.25">
      <c r="A6121">
        <f ca="1">31263.1813453946*(RANDBETWEEN(2890,3282))</f>
        <v>97697441.704358101</v>
      </c>
      <c r="B6121">
        <v>235564034.64655459</v>
      </c>
    </row>
    <row r="6122" spans="1:2" x14ac:dyDescent="0.25">
      <c r="A6122">
        <f ca="1">29091.4952885332*(RANDBETWEEN(2890,3282))</f>
        <v>87943590.257235795</v>
      </c>
      <c r="B6122">
        <v>218229113.96863511</v>
      </c>
    </row>
    <row r="6123" spans="1:2" x14ac:dyDescent="0.25">
      <c r="A6123">
        <f ca="1">29848.7057628131*(RANDBETWEEN(2890,3282))</f>
        <v>90919157.753528729</v>
      </c>
      <c r="B6123">
        <v>224931349.89420775</v>
      </c>
    </row>
    <row r="6124" spans="1:2" x14ac:dyDescent="0.25">
      <c r="A6124">
        <f ca="1">28077.2534138967*(RANDBETWEEN(2890,3282))</f>
        <v>88892584.308397099</v>
      </c>
      <c r="B6124">
        <v>219286664.85164064</v>
      </c>
    </row>
    <row r="6125" spans="1:2" x14ac:dyDescent="0.25">
      <c r="A6125">
        <f ca="1">29866.83181426*(RANDBETWEEN(2890,3282))</f>
        <v>88465555.833838031</v>
      </c>
      <c r="B6125">
        <v>208189485.05512908</v>
      </c>
    </row>
    <row r="6126" spans="1:2" x14ac:dyDescent="0.25">
      <c r="A6126">
        <f ca="1">32531.0116553654*(RANDBETWEEN(2890,3282))</f>
        <v>105205291.69345155</v>
      </c>
      <c r="B6126">
        <v>254847050.38300598</v>
      </c>
    </row>
    <row r="6127" spans="1:2" x14ac:dyDescent="0.25">
      <c r="A6127">
        <f ca="1">28871.3749628966*(RANDBETWEEN(2890,3282))</f>
        <v>85661369.514914274</v>
      </c>
      <c r="B6127">
        <v>258076385.44022653</v>
      </c>
    </row>
    <row r="6128" spans="1:2" x14ac:dyDescent="0.25">
      <c r="A6128">
        <f ca="1">27750.074108446*(RANDBETWEEN(2890,3282))</f>
        <v>84471225.586109757</v>
      </c>
      <c r="B6128">
        <v>262406999.98822835</v>
      </c>
    </row>
    <row r="6129" spans="1:2" x14ac:dyDescent="0.25">
      <c r="A6129">
        <f ca="1">29028.4686974704*(RANDBETWEEN(2890,3282))</f>
        <v>93936124.705014259</v>
      </c>
      <c r="B6129">
        <v>221315579.70367274</v>
      </c>
    </row>
    <row r="6130" spans="1:2" x14ac:dyDescent="0.25">
      <c r="A6130">
        <f ca="1">29994.915023352*(RANDBETWEEN(2890,3282))</f>
        <v>94963900.963932455</v>
      </c>
      <c r="B6130">
        <v>209926183.74414966</v>
      </c>
    </row>
    <row r="6131" spans="1:2" x14ac:dyDescent="0.25">
      <c r="A6131">
        <f ca="1">27555.4176149397*(RANDBETWEEN(2890,3282))</f>
        <v>80406708.600394085</v>
      </c>
      <c r="B6131">
        <v>245710477.83273882</v>
      </c>
    </row>
    <row r="6132" spans="1:2" x14ac:dyDescent="0.25">
      <c r="A6132">
        <f ca="1">27230.8072574212*(RANDBETWEEN(2890,3282))</f>
        <v>82563807.604501069</v>
      </c>
      <c r="B6132">
        <v>237054619.43479502</v>
      </c>
    </row>
    <row r="6133" spans="1:2" x14ac:dyDescent="0.25">
      <c r="A6133">
        <f ca="1">26336.5064825872*(RANDBETWEEN(2890,3282))</f>
        <v>80774065.38209492</v>
      </c>
      <c r="B6133">
        <v>257760797.31066132</v>
      </c>
    </row>
    <row r="6134" spans="1:2" x14ac:dyDescent="0.25">
      <c r="A6134">
        <f ca="1">25905.6938606001*(RANDBETWEEN(2890,3282))</f>
        <v>77380307.561612502</v>
      </c>
      <c r="B6134">
        <v>224516828.96044877</v>
      </c>
    </row>
    <row r="6135" spans="1:2" x14ac:dyDescent="0.25">
      <c r="A6135">
        <f ca="1">29564.6782238603*(RANDBETWEEN(2890,3282))</f>
        <v>94015676.751875833</v>
      </c>
      <c r="B6135">
        <v>259380748.5086779</v>
      </c>
    </row>
    <row r="6136" spans="1:2" x14ac:dyDescent="0.25">
      <c r="A6136">
        <f ca="1">33747.6284467236*(RANDBETWEEN(2890,3282))</f>
        <v>98981794.234240398</v>
      </c>
      <c r="B6136">
        <v>263544709.15310127</v>
      </c>
    </row>
    <row r="6137" spans="1:2" x14ac:dyDescent="0.25">
      <c r="A6137">
        <f ca="1">26124.1767451184*(RANDBETWEEN(2890,3282))</f>
        <v>84929698.598380014</v>
      </c>
      <c r="B6137">
        <v>226733777.31891567</v>
      </c>
    </row>
    <row r="6138" spans="1:2" x14ac:dyDescent="0.25">
      <c r="A6138">
        <f ca="1">26748.4872080094*(RANDBETWEEN(2890,3282))</f>
        <v>86584853.092326358</v>
      </c>
      <c r="B6138">
        <v>262943953.11588299</v>
      </c>
    </row>
    <row r="6139" spans="1:2" x14ac:dyDescent="0.25">
      <c r="A6139">
        <f ca="1">31001.6979536483*(RANDBETWEEN(2890,3282))</f>
        <v>100910526.83912514</v>
      </c>
      <c r="B6139">
        <v>212209148.01055318</v>
      </c>
    </row>
    <row r="6140" spans="1:2" x14ac:dyDescent="0.25">
      <c r="A6140">
        <f ca="1">28012.644668641*(RANDBETWEEN(2890,3282))</f>
        <v>85606642.107366845</v>
      </c>
      <c r="B6140">
        <v>211043949.43301463</v>
      </c>
    </row>
    <row r="6141" spans="1:2" x14ac:dyDescent="0.25">
      <c r="A6141">
        <f ca="1">31715.843131452*(RANDBETWEEN(2890,3282))</f>
        <v>95876993.786379308</v>
      </c>
      <c r="B6141">
        <v>251290240.63147017</v>
      </c>
    </row>
    <row r="6142" spans="1:2" x14ac:dyDescent="0.25">
      <c r="A6142">
        <f ca="1">29529.2155296594*(RANDBETWEEN(2890,3282))</f>
        <v>90477516.382876277</v>
      </c>
      <c r="B6142">
        <v>254281143.97089222</v>
      </c>
    </row>
    <row r="6143" spans="1:2" x14ac:dyDescent="0.25">
      <c r="A6143">
        <f ca="1">27995.7732375854*(RANDBETWEEN(2890,3282))</f>
        <v>85947023.839387059</v>
      </c>
      <c r="B6143">
        <v>241756691.41248548</v>
      </c>
    </row>
    <row r="6144" spans="1:2" x14ac:dyDescent="0.25">
      <c r="A6144">
        <f ca="1">28902.6483919764*(RANDBETWEEN(2890,3282))</f>
        <v>85060494.217586562</v>
      </c>
      <c r="B6144">
        <v>247923995.20787096</v>
      </c>
    </row>
    <row r="6145" spans="1:2" x14ac:dyDescent="0.25">
      <c r="A6145">
        <f ca="1">31880.6797749001*(RANDBETWEEN(2890,3282))</f>
        <v>92613374.74608469</v>
      </c>
      <c r="B6145">
        <v>265193647.38990465</v>
      </c>
    </row>
    <row r="6146" spans="1:2" x14ac:dyDescent="0.25">
      <c r="A6146">
        <f ca="1">30118.9387240845*(RANDBETWEEN(2890,3282))</f>
        <v>96139652.407277599</v>
      </c>
      <c r="B6146">
        <v>218547984.32805845</v>
      </c>
    </row>
    <row r="6147" spans="1:2" x14ac:dyDescent="0.25">
      <c r="A6147">
        <f ca="1">33083.3091739118*(RANDBETWEEN(2890,3282))</f>
        <v>104841006.77212664</v>
      </c>
      <c r="B6147">
        <v>254668046.91018841</v>
      </c>
    </row>
    <row r="6148" spans="1:2" x14ac:dyDescent="0.25">
      <c r="A6148">
        <f ca="1">25411.390933474*(RANDBETWEEN(2890,3282))</f>
        <v>75751356.372686073</v>
      </c>
      <c r="B6148">
        <v>262241719.85543853</v>
      </c>
    </row>
    <row r="6149" spans="1:2" x14ac:dyDescent="0.25">
      <c r="A6149">
        <f ca="1">29747.9344059664*(RANDBETWEEN(2890,3282))</f>
        <v>97602972.785975665</v>
      </c>
      <c r="B6149">
        <v>237708619.22363433</v>
      </c>
    </row>
    <row r="6150" spans="1:2" x14ac:dyDescent="0.25">
      <c r="A6150">
        <f ca="1">29412.8345607589*(RANDBETWEEN(2890,3282))</f>
        <v>94826978.623886794</v>
      </c>
      <c r="B6150">
        <v>264855944.82915291</v>
      </c>
    </row>
    <row r="6151" spans="1:2" x14ac:dyDescent="0.25">
      <c r="A6151">
        <f ca="1">30928.1933457374*(RANDBETWEEN(2890,3282))</f>
        <v>91145385.789888248</v>
      </c>
      <c r="B6151">
        <v>216116288.63838503</v>
      </c>
    </row>
    <row r="6152" spans="1:2" x14ac:dyDescent="0.25">
      <c r="A6152">
        <f ca="1">28080.9059982293*(RANDBETWEEN(2890,3282))</f>
        <v>85899491.448583469</v>
      </c>
      <c r="B6152">
        <v>266379276.27517855</v>
      </c>
    </row>
    <row r="6153" spans="1:2" x14ac:dyDescent="0.25">
      <c r="A6153">
        <f ca="1">27434.9102751681*(RANDBETWEEN(2890,3282))</f>
        <v>87243014.675034508</v>
      </c>
      <c r="B6153">
        <v>263372508.31726527</v>
      </c>
    </row>
    <row r="6154" spans="1:2" x14ac:dyDescent="0.25">
      <c r="A6154">
        <f ca="1">30155.1223362327*(RANDBETWEEN(2890,3282))</f>
        <v>88686214.790860415</v>
      </c>
      <c r="B6154">
        <v>222993135.53989813</v>
      </c>
    </row>
    <row r="6155" spans="1:2" x14ac:dyDescent="0.25">
      <c r="A6155">
        <f ca="1">29870.7628043105*(RANDBETWEEN(2890,3282))</f>
        <v>86744695.183717757</v>
      </c>
      <c r="B6155">
        <v>214363158.54194632</v>
      </c>
    </row>
    <row r="6156" spans="1:2" x14ac:dyDescent="0.25">
      <c r="A6156">
        <f ca="1">29821.6128025219*(RANDBETWEEN(2890,3282))</f>
        <v>88003579.38024205</v>
      </c>
      <c r="B6156">
        <v>206195357.46658772</v>
      </c>
    </row>
    <row r="6157" spans="1:2" x14ac:dyDescent="0.25">
      <c r="A6157">
        <f ca="1">27267.8525596896*(RANDBETWEEN(2890,3282))</f>
        <v>86111878.383499891</v>
      </c>
      <c r="B6157">
        <v>254421279.91227496</v>
      </c>
    </row>
    <row r="6158" spans="1:2" x14ac:dyDescent="0.25">
      <c r="A6158">
        <f ca="1">29458.658634807*(RANDBETWEEN(2890,3282))</f>
        <v>91380759.085171446</v>
      </c>
      <c r="B6158">
        <v>221860742.74951056</v>
      </c>
    </row>
    <row r="6159" spans="1:2" x14ac:dyDescent="0.25">
      <c r="A6159">
        <f ca="1">27331.9730031173*(RANDBETWEEN(2890,3282))</f>
        <v>89020236.07115294</v>
      </c>
      <c r="B6159">
        <v>250273046.18692368</v>
      </c>
    </row>
    <row r="6160" spans="1:2" x14ac:dyDescent="0.25">
      <c r="A6160">
        <f ca="1">29400.1833960288*(RANDBETWEEN(2890,3282))</f>
        <v>89846960.458263949</v>
      </c>
      <c r="B6160">
        <v>242749807.58182657</v>
      </c>
    </row>
    <row r="6161" spans="1:2" x14ac:dyDescent="0.25">
      <c r="A6161">
        <f ca="1">26381.4686322625*(RANDBETWEEN(2890,3282))</f>
        <v>83550111.158375457</v>
      </c>
      <c r="B6161">
        <v>230661438.10160628</v>
      </c>
    </row>
    <row r="6162" spans="1:2" x14ac:dyDescent="0.25">
      <c r="A6162">
        <f ca="1">26577.8421866907*(RANDBETWEEN(2890,3282))</f>
        <v>86643765.528611571</v>
      </c>
      <c r="B6162">
        <v>265641947.82248008</v>
      </c>
    </row>
    <row r="6163" spans="1:2" x14ac:dyDescent="0.25">
      <c r="A6163">
        <f ca="1">29180.4736463808*(RANDBETWEEN(2890,3282))</f>
        <v>86753548.150690094</v>
      </c>
      <c r="B6163">
        <v>204590171.19562691</v>
      </c>
    </row>
    <row r="6164" spans="1:2" x14ac:dyDescent="0.25">
      <c r="A6164">
        <f ca="1">29570.7395561065*(RANDBETWEEN(2890,3282))</f>
        <v>91462297.447037295</v>
      </c>
      <c r="B6164">
        <v>246326001.26717201</v>
      </c>
    </row>
    <row r="6165" spans="1:2" x14ac:dyDescent="0.25">
      <c r="A6165">
        <f ca="1">30731.8309051141*(RANDBETWEEN(2890,3282))</f>
        <v>97143317.491065666</v>
      </c>
      <c r="B6165">
        <v>238400152.37718254</v>
      </c>
    </row>
    <row r="6166" spans="1:2" x14ac:dyDescent="0.25">
      <c r="A6166">
        <f ca="1">27365.3712195342*(RANDBETWEEN(2890,3282))</f>
        <v>86912418.993240744</v>
      </c>
      <c r="B6166">
        <v>204341780.18805522</v>
      </c>
    </row>
    <row r="6167" spans="1:2" x14ac:dyDescent="0.25">
      <c r="A6167">
        <f ca="1">26760.2267197257*(RANDBETWEEN(2890,3282))</f>
        <v>84053872.126658559</v>
      </c>
      <c r="B6167">
        <v>258438403.97727865</v>
      </c>
    </row>
    <row r="6168" spans="1:2" x14ac:dyDescent="0.25">
      <c r="A6168">
        <f ca="1">27405.7787159835*(RANDBETWEEN(2890,3282))</f>
        <v>85286783.364140496</v>
      </c>
      <c r="B6168">
        <v>231963045.15523615</v>
      </c>
    </row>
    <row r="6169" spans="1:2" x14ac:dyDescent="0.25">
      <c r="A6169">
        <f ca="1">27694.7793613733*(RANDBETWEEN(2890,3282))</f>
        <v>84164434.479213566</v>
      </c>
      <c r="B6169">
        <v>236981303.66801828</v>
      </c>
    </row>
    <row r="6170" spans="1:2" x14ac:dyDescent="0.25">
      <c r="A6170">
        <f ca="1">28800.3273866697*(RANDBETWEEN(2890,3282))</f>
        <v>84442559.897715509</v>
      </c>
      <c r="B6170">
        <v>256720625.42242578</v>
      </c>
    </row>
    <row r="6171" spans="1:2" x14ac:dyDescent="0.25">
      <c r="A6171">
        <f ca="1">29715.6504458777*(RANDBETWEEN(2890,3282))</f>
        <v>95476384.882605031</v>
      </c>
      <c r="B6171">
        <v>226220171.56910592</v>
      </c>
    </row>
    <row r="6172" spans="1:2" x14ac:dyDescent="0.25">
      <c r="A6172">
        <f ca="1">32651.9672820663*(RANDBETWEEN(2890,3282))</f>
        <v>104910770.87727909</v>
      </c>
      <c r="B6172">
        <v>219659045.88839918</v>
      </c>
    </row>
    <row r="6173" spans="1:2" x14ac:dyDescent="0.25">
      <c r="A6173">
        <f ca="1">29896.4507005723*(RANDBETWEEN(2890,3282))</f>
        <v>97641807.988069072</v>
      </c>
      <c r="B6173">
        <v>223893624.32429007</v>
      </c>
    </row>
    <row r="6174" spans="1:2" x14ac:dyDescent="0.25">
      <c r="A6174">
        <f ca="1">32153.2416835501*(RANDBETWEEN(2890,3282))</f>
        <v>102215155.31200564</v>
      </c>
      <c r="B6174">
        <v>263498131.89677086</v>
      </c>
    </row>
    <row r="6175" spans="1:2" x14ac:dyDescent="0.25">
      <c r="A6175">
        <f ca="1">27749.0345139891*(RANDBETWEEN(2890,3282))</f>
        <v>84912045.612806663</v>
      </c>
      <c r="B6175">
        <v>257765014.48044351</v>
      </c>
    </row>
    <row r="6176" spans="1:2" x14ac:dyDescent="0.25">
      <c r="A6176">
        <f ca="1">32345.8581690019*(RANDBETWEEN(2890,3282))</f>
        <v>99625243.160525709</v>
      </c>
      <c r="B6176">
        <v>261220366.43216968</v>
      </c>
    </row>
    <row r="6177" spans="1:2" x14ac:dyDescent="0.25">
      <c r="A6177">
        <f ca="1">30904.755609871*(RANDBETWEEN(2890,3282))</f>
        <v>90458219.670092553</v>
      </c>
      <c r="B6177">
        <v>233484735.28863966</v>
      </c>
    </row>
    <row r="6178" spans="1:2" x14ac:dyDescent="0.25">
      <c r="A6178">
        <f ca="1">29382.8009485299*(RANDBETWEEN(2890,3282))</f>
        <v>87854574.836104318</v>
      </c>
      <c r="B6178">
        <v>213735711.65875116</v>
      </c>
    </row>
    <row r="6179" spans="1:2" x14ac:dyDescent="0.25">
      <c r="A6179">
        <f ca="1">27978.3989325269*(RANDBETWEEN(2890,3282))</f>
        <v>87572388.658809304</v>
      </c>
      <c r="B6179">
        <v>212778230.47760648</v>
      </c>
    </row>
    <row r="6180" spans="1:2" x14ac:dyDescent="0.25">
      <c r="A6180">
        <f ca="1">31395.1742265012*(RANDBETWEEN(2890,3282))</f>
        <v>98361080.851628378</v>
      </c>
      <c r="B6180">
        <v>214401188.03684083</v>
      </c>
    </row>
    <row r="6181" spans="1:2" x14ac:dyDescent="0.25">
      <c r="A6181">
        <f ca="1">30529.5101676054*(RANDBETWEEN(2890,3282))</f>
        <v>92015943.645162553</v>
      </c>
      <c r="B6181">
        <v>239763394.87489372</v>
      </c>
    </row>
    <row r="6182" spans="1:2" x14ac:dyDescent="0.25">
      <c r="A6182">
        <f ca="1">26954.3323244934*(RANDBETWEEN(2890,3282))</f>
        <v>83396704.211982697</v>
      </c>
      <c r="B6182">
        <v>215101406.4660216</v>
      </c>
    </row>
    <row r="6183" spans="1:2" x14ac:dyDescent="0.25">
      <c r="A6183">
        <f ca="1">31270.8284833077*(RANDBETWEEN(2890,3282))</f>
        <v>97596255.696403295</v>
      </c>
      <c r="B6183">
        <v>267191917.05513492</v>
      </c>
    </row>
    <row r="6184" spans="1:2" x14ac:dyDescent="0.25">
      <c r="A6184">
        <f ca="1">30843.1533268963*(RANDBETWEEN(2890,3282))</f>
        <v>90802243.394382641</v>
      </c>
      <c r="B6184">
        <v>260479626.05753943</v>
      </c>
    </row>
    <row r="6185" spans="1:2" x14ac:dyDescent="0.25">
      <c r="A6185">
        <f ca="1">26889.9325186216*(RANDBETWEEN(2890,3282))</f>
        <v>80804247.218458012</v>
      </c>
      <c r="B6185">
        <v>247094400.85204667</v>
      </c>
    </row>
    <row r="6186" spans="1:2" x14ac:dyDescent="0.25">
      <c r="A6186">
        <f ca="1">32171.9461717311*(RANDBETWEEN(2890,3282))</f>
        <v>96805386.03073898</v>
      </c>
      <c r="B6186">
        <v>250318979.8180857</v>
      </c>
    </row>
    <row r="6187" spans="1:2" x14ac:dyDescent="0.25">
      <c r="A6187">
        <f ca="1">30077.2571594778*(RANDBETWEEN(2890,3282))</f>
        <v>97510467.711026981</v>
      </c>
      <c r="B6187">
        <v>257224678.98513517</v>
      </c>
    </row>
    <row r="6188" spans="1:2" x14ac:dyDescent="0.25">
      <c r="A6188">
        <f ca="1">29316.5566104813*(RANDBETWEEN(2890,3282))</f>
        <v>90793375.822660565</v>
      </c>
      <c r="B6188">
        <v>214193491.16743493</v>
      </c>
    </row>
    <row r="6189" spans="1:2" x14ac:dyDescent="0.25">
      <c r="A6189">
        <f ca="1">29096.768455774*(RANDBETWEEN(2890,3282))</f>
        <v>88774240.5585666</v>
      </c>
      <c r="B6189">
        <v>246962444.83868861</v>
      </c>
    </row>
    <row r="6190" spans="1:2" x14ac:dyDescent="0.25">
      <c r="A6190">
        <f ca="1">29605.5091534977*(RANDBETWEEN(2890,3282))</f>
        <v>96484354.331249058</v>
      </c>
      <c r="B6190">
        <v>261471696.66873863</v>
      </c>
    </row>
    <row r="6191" spans="1:2" x14ac:dyDescent="0.25">
      <c r="A6191">
        <f ca="1">31173.0565978582*(RANDBETWEEN(2890,3282))</f>
        <v>95483072.359239534</v>
      </c>
      <c r="B6191">
        <v>258509976.05470613</v>
      </c>
    </row>
    <row r="6192" spans="1:2" x14ac:dyDescent="0.25">
      <c r="A6192">
        <f ca="1">30954.2130136936*(RANDBETWEEN(2890,3282))</f>
        <v>94441303.904779166</v>
      </c>
      <c r="B6192">
        <v>241994109.92803979</v>
      </c>
    </row>
    <row r="6193" spans="1:2" x14ac:dyDescent="0.25">
      <c r="A6193">
        <f ca="1">29576.3175491053*(RANDBETWEEN(2890,3282))</f>
        <v>86924797.276820362</v>
      </c>
      <c r="B6193">
        <v>244015856.12472168</v>
      </c>
    </row>
    <row r="6194" spans="1:2" x14ac:dyDescent="0.25">
      <c r="A6194">
        <f ca="1">28744.9496322693*(RANDBETWEEN(2890,3282))</f>
        <v>86637278.191659555</v>
      </c>
      <c r="B6194">
        <v>239975337.45044854</v>
      </c>
    </row>
    <row r="6195" spans="1:2" x14ac:dyDescent="0.25">
      <c r="A6195">
        <f ca="1">28664.1809799601*(RANDBETWEEN(2890,3282))</f>
        <v>83384102.47070393</v>
      </c>
      <c r="B6195">
        <v>204735571.57595789</v>
      </c>
    </row>
    <row r="6196" spans="1:2" x14ac:dyDescent="0.25">
      <c r="A6196">
        <f ca="1">27404.3478654765*(RANDBETWEEN(2890,3282))</f>
        <v>83555856.641837895</v>
      </c>
      <c r="B6196">
        <v>259709237.49455935</v>
      </c>
    </row>
    <row r="6197" spans="1:2" x14ac:dyDescent="0.25">
      <c r="A6197">
        <f ca="1">32210.2840991414*(RANDBETWEEN(2890,3282))</f>
        <v>93152141.614716783</v>
      </c>
      <c r="B6197">
        <v>213749733.56453574</v>
      </c>
    </row>
    <row r="6198" spans="1:2" x14ac:dyDescent="0.25">
      <c r="A6198">
        <f ca="1">26920.8421611341*(RANDBETWEEN(2890,3282))</f>
        <v>79416484.375345513</v>
      </c>
      <c r="B6198">
        <v>238280821.23516658</v>
      </c>
    </row>
    <row r="6199" spans="1:2" x14ac:dyDescent="0.25">
      <c r="A6199">
        <f ca="1">34480.0997584581*(RANDBETWEEN(2890,3282))</f>
        <v>110612160.02513362</v>
      </c>
      <c r="B6199">
        <v>231281999.01617375</v>
      </c>
    </row>
    <row r="6200" spans="1:2" x14ac:dyDescent="0.25">
      <c r="A6200">
        <f ca="1">32324.4003580613*(RANDBETWEEN(2890,3282))</f>
        <v>101627914.72574469</v>
      </c>
      <c r="B6200">
        <v>208162777.87234503</v>
      </c>
    </row>
    <row r="6201" spans="1:2" x14ac:dyDescent="0.25">
      <c r="A6201">
        <f ca="1">29099.879027173*(RANDBETWEEN(2890,3282))</f>
        <v>90937121.959915578</v>
      </c>
      <c r="B6201">
        <v>225808519.56288654</v>
      </c>
    </row>
    <row r="6202" spans="1:2" x14ac:dyDescent="0.25">
      <c r="A6202">
        <f ca="1">26927.2669922379*(RANDBETWEEN(2890,3282))</f>
        <v>80593310.107767895</v>
      </c>
      <c r="B6202">
        <v>257546950.49255398</v>
      </c>
    </row>
    <row r="6203" spans="1:2" x14ac:dyDescent="0.25">
      <c r="A6203">
        <f ca="1">30932.4551265051*(RANDBETWEEN(2890,3282))</f>
        <v>89673187.411738336</v>
      </c>
      <c r="B6203">
        <v>225760502.42582232</v>
      </c>
    </row>
    <row r="6204" spans="1:2" x14ac:dyDescent="0.25">
      <c r="A6204">
        <f ca="1">25681.724353536*(RANDBETWEEN(2890,3282))</f>
        <v>79151074.457597956</v>
      </c>
      <c r="B6204">
        <v>244725463.4954583</v>
      </c>
    </row>
    <row r="6205" spans="1:2" x14ac:dyDescent="0.25">
      <c r="A6205">
        <f ca="1">25475.098475716*(RANDBETWEEN(2890,3282))</f>
        <v>83379997.311018527</v>
      </c>
      <c r="B6205">
        <v>224211721.0158127</v>
      </c>
    </row>
    <row r="6206" spans="1:2" x14ac:dyDescent="0.25">
      <c r="A6206">
        <f ca="1">31885.0611152999*(RANDBETWEEN(2890,3282))</f>
        <v>100246632.14650299</v>
      </c>
      <c r="B6206">
        <v>225783544.19685695</v>
      </c>
    </row>
    <row r="6207" spans="1:2" x14ac:dyDescent="0.25">
      <c r="A6207">
        <f ca="1">32149.9200688013*(RANDBETWEEN(2890,3282))</f>
        <v>99857651.733696789</v>
      </c>
      <c r="B6207">
        <v>241619049.32661155</v>
      </c>
    </row>
    <row r="6208" spans="1:2" x14ac:dyDescent="0.25">
      <c r="A6208">
        <f ca="1">32817.2732276803*(RANDBETWEEN(2890,3282))</f>
        <v>106098244.34509048</v>
      </c>
      <c r="B6208">
        <v>251790070.95222077</v>
      </c>
    </row>
    <row r="6209" spans="1:2" x14ac:dyDescent="0.25">
      <c r="A6209">
        <f ca="1">31239.3332978721*(RANDBETWEEN(2890,3282))</f>
        <v>94186589.893084377</v>
      </c>
      <c r="B6209">
        <v>228763823.12139049</v>
      </c>
    </row>
    <row r="6210" spans="1:2" x14ac:dyDescent="0.25">
      <c r="A6210">
        <f ca="1">28560.3350194113*(RANDBETWEEN(2890,3282))</f>
        <v>83053454.236448035</v>
      </c>
      <c r="B6210">
        <v>243243702.41837782</v>
      </c>
    </row>
    <row r="6211" spans="1:2" x14ac:dyDescent="0.25">
      <c r="A6211">
        <f ca="1">29921.438595113*(RANDBETWEEN(2890,3282))</f>
        <v>92008423.67997244</v>
      </c>
      <c r="B6211">
        <v>219146321.73264116</v>
      </c>
    </row>
    <row r="6212" spans="1:2" x14ac:dyDescent="0.25">
      <c r="A6212">
        <f ca="1">29115.7069743059*(RANDBETWEEN(2890,3282))</f>
        <v>84202624.569692656</v>
      </c>
      <c r="B6212">
        <v>226812400.60283008</v>
      </c>
    </row>
    <row r="6213" spans="1:2" x14ac:dyDescent="0.25">
      <c r="A6213">
        <f ca="1">29481.1946767683*(RANDBETWEEN(2890,3282))</f>
        <v>94369304.160335451</v>
      </c>
      <c r="B6213">
        <v>236364631.404991</v>
      </c>
    </row>
    <row r="6214" spans="1:2" x14ac:dyDescent="0.25">
      <c r="A6214">
        <f ca="1">29040.2370590087*(RANDBETWEEN(2890,3282))</f>
        <v>86423745.487609744</v>
      </c>
      <c r="B6214">
        <v>232953666.90266153</v>
      </c>
    </row>
    <row r="6215" spans="1:2" x14ac:dyDescent="0.25">
      <c r="A6215">
        <f ca="1">26324.6636417162*(RANDBETWEEN(2890,3282))</f>
        <v>82633119.171347067</v>
      </c>
      <c r="B6215">
        <v>246098349.46722114</v>
      </c>
    </row>
    <row r="6216" spans="1:2" x14ac:dyDescent="0.25">
      <c r="A6216">
        <f ca="1">25321.9620350613*(RANDBETWEEN(2890,3282))</f>
        <v>75965886.10518384</v>
      </c>
      <c r="B6216">
        <v>231326866.0086922</v>
      </c>
    </row>
    <row r="6217" spans="1:2" x14ac:dyDescent="0.25">
      <c r="A6217">
        <f ca="1">31443.3231030919*(RANDBETWEEN(2890,3282))</f>
        <v>100775850.54540943</v>
      </c>
      <c r="B6217">
        <v>261372232.5903874</v>
      </c>
    </row>
    <row r="6218" spans="1:2" x14ac:dyDescent="0.25">
      <c r="A6218">
        <f ca="1">31477.1203532181*(RANDBETWEEN(2890,3282))</f>
        <v>91944668.551750198</v>
      </c>
      <c r="B6218">
        <v>222674132.34200206</v>
      </c>
    </row>
    <row r="6219" spans="1:2" x14ac:dyDescent="0.25">
      <c r="A6219">
        <f ca="1">27160.1110026422*(RANDBETWEEN(2890,3282))</f>
        <v>80258128.012807563</v>
      </c>
      <c r="B6219">
        <v>203973938.78497437</v>
      </c>
    </row>
    <row r="6220" spans="1:2" x14ac:dyDescent="0.25">
      <c r="A6220">
        <f ca="1">27343.7790318034*(RANDBETWEEN(2890,3282))</f>
        <v>85613372.148576558</v>
      </c>
      <c r="B6220">
        <v>228469274.63334936</v>
      </c>
    </row>
    <row r="6221" spans="1:2" x14ac:dyDescent="0.25">
      <c r="A6221">
        <f ca="1">30821.4817153472*(RANDBETWEEN(2890,3282))</f>
        <v>100077351.12973222</v>
      </c>
      <c r="B6221">
        <v>255816989.6238299</v>
      </c>
    </row>
    <row r="6222" spans="1:2" x14ac:dyDescent="0.25">
      <c r="A6222">
        <f ca="1">31184.1598838752*(RANDBETWEEN(2890,3282))</f>
        <v>92273929.096386626</v>
      </c>
      <c r="B6222">
        <v>204626206.06654719</v>
      </c>
    </row>
    <row r="6223" spans="1:2" x14ac:dyDescent="0.25">
      <c r="A6223">
        <f ca="1">27394.4975825915*(RANDBETWEEN(2890,3282))</f>
        <v>83471034.134156257</v>
      </c>
      <c r="B6223">
        <v>210741967.80914474</v>
      </c>
    </row>
    <row r="6224" spans="1:2" x14ac:dyDescent="0.25">
      <c r="A6224">
        <f ca="1">33854.5124942685*(RANDBETWEEN(2890,3282))</f>
        <v>110670401.3437638</v>
      </c>
      <c r="B6224">
        <v>266127703.11620247</v>
      </c>
    </row>
    <row r="6225" spans="1:2" x14ac:dyDescent="0.25">
      <c r="A6225">
        <f ca="1">26906.4643105812*(RANDBETWEEN(2890,3282))</f>
        <v>80638673.538811773</v>
      </c>
      <c r="B6225">
        <v>222205218.90165898</v>
      </c>
    </row>
    <row r="6226" spans="1:2" x14ac:dyDescent="0.25">
      <c r="A6226">
        <f ca="1">31626.3094128467*(RANDBETWEEN(2890,3282))</f>
        <v>96650001.565659538</v>
      </c>
      <c r="B6226">
        <v>260931632.97656542</v>
      </c>
    </row>
    <row r="6227" spans="1:2" x14ac:dyDescent="0.25">
      <c r="A6227">
        <f ca="1">29119.3089009421*(RANDBETWEEN(2890,3282))</f>
        <v>90852243.770939454</v>
      </c>
      <c r="B6227">
        <v>239130573.56324041</v>
      </c>
    </row>
    <row r="6228" spans="1:2" x14ac:dyDescent="0.25">
      <c r="A6228">
        <f ca="1">29253.5463184729*(RANDBETWEEN(2890,3282))</f>
        <v>85800651.352081016</v>
      </c>
      <c r="B6228">
        <v>267923276.55412728</v>
      </c>
    </row>
    <row r="6229" spans="1:2" x14ac:dyDescent="0.25">
      <c r="A6229">
        <f ca="1">31998.9913572157*(RANDBETWEEN(2890,3282))</f>
        <v>93341057.788998201</v>
      </c>
      <c r="B6229">
        <v>232485095.69849613</v>
      </c>
    </row>
    <row r="6230" spans="1:2" x14ac:dyDescent="0.25">
      <c r="A6230">
        <f ca="1">26993.7626453464*(RANDBETWEEN(2890,3282))</f>
        <v>83248763.99824819</v>
      </c>
      <c r="B6230">
        <v>255883004.67981103</v>
      </c>
    </row>
    <row r="6231" spans="1:2" x14ac:dyDescent="0.25">
      <c r="A6231">
        <f ca="1">28615.5580883541*(RANDBETWEEN(2890,3282))</f>
        <v>84902360.848146588</v>
      </c>
      <c r="B6231">
        <v>205536538.06605875</v>
      </c>
    </row>
    <row r="6232" spans="1:2" x14ac:dyDescent="0.25">
      <c r="A6232">
        <f ca="1">27984.7065535848*(RANDBETWEEN(2890,3282))</f>
        <v>86752590.316112936</v>
      </c>
      <c r="B6232">
        <v>221943702.95535913</v>
      </c>
    </row>
    <row r="6233" spans="1:2" x14ac:dyDescent="0.25">
      <c r="A6233">
        <f ca="1">31817.9580275602*(RANDBETWEEN(2890,3282))</f>
        <v>93003891.314558655</v>
      </c>
      <c r="B6233">
        <v>242174009.46507993</v>
      </c>
    </row>
    <row r="6234" spans="1:2" x14ac:dyDescent="0.25">
      <c r="A6234">
        <f ca="1">27619.4663564134*(RANDBETWEEN(2890,3282))</f>
        <v>83493646.795437798</v>
      </c>
      <c r="B6234">
        <v>258507196.16590747</v>
      </c>
    </row>
    <row r="6235" spans="1:2" x14ac:dyDescent="0.25">
      <c r="A6235">
        <f ca="1">32438.772774263*(RANDBETWEEN(2890,3282))</f>
        <v>96180961.275689796</v>
      </c>
      <c r="B6235">
        <v>214050441.79838628</v>
      </c>
    </row>
    <row r="6236" spans="1:2" x14ac:dyDescent="0.25">
      <c r="A6236">
        <f ca="1">31652.1420738529*(RANDBETWEEN(2890,3282))</f>
        <v>98469813.991756335</v>
      </c>
      <c r="B6236">
        <v>220130889.04140958</v>
      </c>
    </row>
    <row r="6237" spans="1:2" x14ac:dyDescent="0.25">
      <c r="A6237">
        <f ca="1">25755.9378318268*(RANDBETWEEN(2890,3282))</f>
        <v>77860200.065612301</v>
      </c>
      <c r="B6237">
        <v>263044530.74467215</v>
      </c>
    </row>
    <row r="6238" spans="1:2" x14ac:dyDescent="0.25">
      <c r="A6238">
        <f ca="1">27809.8594445577*(RANDBETWEEN(2890,3282))</f>
        <v>84013585.382008702</v>
      </c>
      <c r="B6238">
        <v>235557380.48840207</v>
      </c>
    </row>
    <row r="6239" spans="1:2" x14ac:dyDescent="0.25">
      <c r="A6239">
        <f ca="1">31795.9218187234*(RANDBETWEEN(2890,3282))</f>
        <v>102319276.41265194</v>
      </c>
      <c r="B6239">
        <v>248947235.70312881</v>
      </c>
    </row>
    <row r="6240" spans="1:2" x14ac:dyDescent="0.25">
      <c r="A6240">
        <f ca="1">30818.7944427643*(RANDBETWEEN(2890,3282))</f>
        <v>90822987.222826496</v>
      </c>
      <c r="B6240">
        <v>267187795.73728916</v>
      </c>
    </row>
    <row r="6241" spans="1:2" x14ac:dyDescent="0.25">
      <c r="A6241">
        <f ca="1">27938.9077547561*(RANDBETWEEN(2890,3282))</f>
        <v>81665427.367152035</v>
      </c>
      <c r="B6241">
        <v>220096679.42837304</v>
      </c>
    </row>
    <row r="6242" spans="1:2" x14ac:dyDescent="0.25">
      <c r="A6242">
        <f ca="1">31063.1931671388*(RANDBETWEEN(2890,3282))</f>
        <v>90083260.184702516</v>
      </c>
      <c r="B6242">
        <v>235870087.91761672</v>
      </c>
    </row>
    <row r="6243" spans="1:2" x14ac:dyDescent="0.25">
      <c r="A6243">
        <f ca="1">31373.8077156514*(RANDBETWEEN(2890,3282))</f>
        <v>101713884.61414199</v>
      </c>
      <c r="B6243">
        <v>205269294.44830498</v>
      </c>
    </row>
    <row r="6244" spans="1:2" x14ac:dyDescent="0.25">
      <c r="A6244">
        <f ca="1">30441.729932771*(RANDBETWEEN(2890,3282))</f>
        <v>88707201.024094597</v>
      </c>
      <c r="B6244">
        <v>211460800.57470047</v>
      </c>
    </row>
    <row r="6245" spans="1:2" x14ac:dyDescent="0.25">
      <c r="A6245">
        <f ca="1">32046.2229721252*(RANDBETWEEN(2890,3282))</f>
        <v>97452564.05823268</v>
      </c>
      <c r="B6245">
        <v>263755737.76826441</v>
      </c>
    </row>
    <row r="6246" spans="1:2" x14ac:dyDescent="0.25">
      <c r="A6246">
        <f ca="1">31140.3949193012*(RANDBETWEEN(2890,3282))</f>
        <v>92362411.330647498</v>
      </c>
      <c r="B6246">
        <v>214765678.03343755</v>
      </c>
    </row>
    <row r="6247" spans="1:2" x14ac:dyDescent="0.25">
      <c r="A6247">
        <f ca="1">33753.1521256456*(RANDBETWEEN(2890,3282))</f>
        <v>110204041.69023283</v>
      </c>
      <c r="B6247">
        <v>266944172.47980854</v>
      </c>
    </row>
    <row r="6248" spans="1:2" x14ac:dyDescent="0.25">
      <c r="A6248">
        <f ca="1">26881.3038782971*(RANDBETWEEN(2890,3282))</f>
        <v>82014858.13268435</v>
      </c>
      <c r="B6248">
        <v>219491483.32095948</v>
      </c>
    </row>
    <row r="6249" spans="1:2" x14ac:dyDescent="0.25">
      <c r="A6249">
        <f ca="1">31335.8345308007*(RANDBETWEEN(2890,3282))</f>
        <v>95542959.48441121</v>
      </c>
      <c r="B6249">
        <v>235241263.8473658</v>
      </c>
    </row>
    <row r="6250" spans="1:2" x14ac:dyDescent="0.25">
      <c r="A6250">
        <f ca="1">26672.9334820179*(RANDBETWEEN(2890,3282))</f>
        <v>86366958.614774078</v>
      </c>
      <c r="B6250">
        <v>204348659.33699459</v>
      </c>
    </row>
    <row r="6251" spans="1:2" x14ac:dyDescent="0.25">
      <c r="A6251">
        <f ca="1">28042.0388164022*(RANDBETWEEN(2890,3282))</f>
        <v>90687953.532244653</v>
      </c>
      <c r="B6251">
        <v>207593426.3105869</v>
      </c>
    </row>
    <row r="6252" spans="1:2" x14ac:dyDescent="0.25">
      <c r="A6252">
        <f ca="1">29004.7978659121*(RANDBETWEEN(2890,3282))</f>
        <v>88464633.491032019</v>
      </c>
      <c r="B6252">
        <v>264393625.38288528</v>
      </c>
    </row>
    <row r="6253" spans="1:2" x14ac:dyDescent="0.25">
      <c r="A6253">
        <f ca="1">29779.7568882098*(RANDBETWEEN(2890,3282))</f>
        <v>86123056.920702711</v>
      </c>
      <c r="B6253">
        <v>226967534.76143959</v>
      </c>
    </row>
    <row r="6254" spans="1:2" x14ac:dyDescent="0.25">
      <c r="A6254">
        <f ca="1">27043.1431339373*(RANDBETWEEN(2890,3282))</f>
        <v>79587970.243177384</v>
      </c>
      <c r="B6254">
        <v>214360748.57445574</v>
      </c>
    </row>
    <row r="6255" spans="1:2" x14ac:dyDescent="0.25">
      <c r="A6255">
        <f ca="1">32498.4728871243*(RANDBETWEEN(2890,3282))</f>
        <v>97300427.824050054</v>
      </c>
      <c r="B6255">
        <v>216866047.87305692</v>
      </c>
    </row>
    <row r="6256" spans="1:2" x14ac:dyDescent="0.25">
      <c r="A6256">
        <f ca="1">25441.4226135334*(RANDBETWEEN(2890,3282))</f>
        <v>83040803.410572976</v>
      </c>
      <c r="B6256">
        <v>252288287.08231574</v>
      </c>
    </row>
    <row r="6257" spans="1:2" x14ac:dyDescent="0.25">
      <c r="A6257">
        <f ca="1">31490.4130259138*(RANDBETWEEN(2890,3282))</f>
        <v>91700082.731461078</v>
      </c>
      <c r="B6257">
        <v>232051452.23392239</v>
      </c>
    </row>
    <row r="6258" spans="1:2" x14ac:dyDescent="0.25">
      <c r="A6258">
        <f ca="1">27808.1002890008*(RANDBETWEEN(2890,3282))</f>
        <v>86399767.597925454</v>
      </c>
      <c r="B6258">
        <v>249196311.87539983</v>
      </c>
    </row>
    <row r="6259" spans="1:2" x14ac:dyDescent="0.25">
      <c r="A6259">
        <f ca="1">26435.9773960955*(RANDBETWEEN(2890,3282))</f>
        <v>77034438.132222161</v>
      </c>
      <c r="B6259">
        <v>212130613.2641032</v>
      </c>
    </row>
    <row r="6260" spans="1:2" x14ac:dyDescent="0.25">
      <c r="A6260">
        <f ca="1">31621.3865595258*(RANDBETWEEN(2890,3282))</f>
        <v>93694168.375875041</v>
      </c>
      <c r="B6260">
        <v>258657115.86086467</v>
      </c>
    </row>
    <row r="6261" spans="1:2" x14ac:dyDescent="0.25">
      <c r="A6261">
        <f ca="1">31484.1199161647*(RANDBETWEEN(2890,3282))</f>
        <v>91020590.677632228</v>
      </c>
      <c r="B6261">
        <v>240739124.93308294</v>
      </c>
    </row>
    <row r="6262" spans="1:2" x14ac:dyDescent="0.25">
      <c r="A6262">
        <f ca="1">29761.5794071071*(RANDBETWEEN(2890,3282))</f>
        <v>93332313.020687893</v>
      </c>
      <c r="B6262">
        <v>207993982.72063118</v>
      </c>
    </row>
    <row r="6263" spans="1:2" x14ac:dyDescent="0.25">
      <c r="A6263">
        <f ca="1">26515.0881304961*(RANDBETWEEN(2890,3282))</f>
        <v>83124801.289105207</v>
      </c>
      <c r="B6263">
        <v>208796795.83645159</v>
      </c>
    </row>
    <row r="6264" spans="1:2" x14ac:dyDescent="0.25">
      <c r="A6264">
        <f ca="1">32228.6742245162*(RANDBETWEEN(2890,3282))</f>
        <v>98490828.430121362</v>
      </c>
      <c r="B6264">
        <v>221879540.09650937</v>
      </c>
    </row>
    <row r="6265" spans="1:2" x14ac:dyDescent="0.25">
      <c r="A6265">
        <f ca="1">28182.3158843149*(RANDBETWEEN(2890,3282))</f>
        <v>83588748.912877947</v>
      </c>
      <c r="B6265">
        <v>219446010.08970249</v>
      </c>
    </row>
    <row r="6266" spans="1:2" x14ac:dyDescent="0.25">
      <c r="A6266">
        <f ca="1">31258.5774493584*(RANDBETWEEN(2890,3282))</f>
        <v>93088043.644189239</v>
      </c>
      <c r="B6266">
        <v>253182567.55512926</v>
      </c>
    </row>
    <row r="6267" spans="1:2" x14ac:dyDescent="0.25">
      <c r="A6267">
        <f ca="1">31757.1179853301*(RANDBETWEEN(2890,3282))</f>
        <v>103401176.16023469</v>
      </c>
      <c r="B6267">
        <v>235360494.7865926</v>
      </c>
    </row>
    <row r="6268" spans="1:2" x14ac:dyDescent="0.25">
      <c r="A6268">
        <f ca="1">28495.8432832579*(RANDBETWEEN(2890,3282))</f>
        <v>82808920.581147522</v>
      </c>
      <c r="B6268">
        <v>210020072.14224014</v>
      </c>
    </row>
    <row r="6269" spans="1:2" x14ac:dyDescent="0.25">
      <c r="A6269">
        <f ca="1">28235.6170316338*(RANDBETWEEN(2890,3282))</f>
        <v>82786829.136750355</v>
      </c>
      <c r="B6269">
        <v>218702695.03961223</v>
      </c>
    </row>
    <row r="6270" spans="1:2" x14ac:dyDescent="0.25">
      <c r="A6270">
        <f ca="1">29153.2722913029*(RANDBETWEEN(2890,3282))</f>
        <v>91366355.360943392</v>
      </c>
      <c r="B6270">
        <v>223420872.07562888</v>
      </c>
    </row>
    <row r="6271" spans="1:2" x14ac:dyDescent="0.25">
      <c r="A6271">
        <f ca="1">30183.8242536981*(RANDBETWEEN(2890,3282))</f>
        <v>88981913.899901912</v>
      </c>
      <c r="B6271">
        <v>235167694.4485957</v>
      </c>
    </row>
    <row r="6272" spans="1:2" x14ac:dyDescent="0.25">
      <c r="A6272">
        <f ca="1">34134.853543808*(RANDBETWEEN(2890,3282))</f>
        <v>101482919.58574116</v>
      </c>
      <c r="B6272">
        <v>244803077.31037042</v>
      </c>
    </row>
    <row r="6273" spans="1:2" x14ac:dyDescent="0.25">
      <c r="A6273">
        <f ca="1">32606.3452878316*(RANDBETWEEN(2890,3282))</f>
        <v>94395369.608272344</v>
      </c>
      <c r="B6273">
        <v>238582517.92950878</v>
      </c>
    </row>
    <row r="6274" spans="1:2" x14ac:dyDescent="0.25">
      <c r="A6274">
        <f ca="1">29435.1763498343*(RANDBETWEEN(2890,3282))</f>
        <v>96606248.780156046</v>
      </c>
      <c r="B6274">
        <v>247551487.9131816</v>
      </c>
    </row>
    <row r="6275" spans="1:2" x14ac:dyDescent="0.25">
      <c r="A6275">
        <f ca="1">27846.5094520823*(RANDBETWEEN(2890,3282))</f>
        <v>84681235.243782282</v>
      </c>
      <c r="B6275">
        <v>254019960.44728339</v>
      </c>
    </row>
    <row r="6276" spans="1:2" x14ac:dyDescent="0.25">
      <c r="A6276">
        <f ca="1">28837.8390661172*(RANDBETWEEN(2890,3282))</f>
        <v>94270895.907137185</v>
      </c>
      <c r="B6276">
        <v>242551863.8254967</v>
      </c>
    </row>
    <row r="6277" spans="1:2" x14ac:dyDescent="0.25">
      <c r="A6277">
        <f ca="1">28381.005364598*(RANDBETWEEN(2890,3282))</f>
        <v>85540350.168898508</v>
      </c>
      <c r="B6277">
        <v>226645020.05901438</v>
      </c>
    </row>
    <row r="6278" spans="1:2" x14ac:dyDescent="0.25">
      <c r="A6278">
        <f ca="1">27915.2535746856*(RANDBETWEEN(2890,3282))</f>
        <v>82852472.60966678</v>
      </c>
      <c r="B6278">
        <v>218755940.21645772</v>
      </c>
    </row>
    <row r="6279" spans="1:2" x14ac:dyDescent="0.25">
      <c r="A6279">
        <f ca="1">29458.2703990691*(RANDBETWEEN(2890,3282))</f>
        <v>94619964.521809861</v>
      </c>
      <c r="B6279">
        <v>222547370.11611629</v>
      </c>
    </row>
    <row r="6280" spans="1:2" x14ac:dyDescent="0.25">
      <c r="A6280">
        <f ca="1">32311.8890819749*(RANDBETWEEN(2890,3282))</f>
        <v>102590247.83527027</v>
      </c>
      <c r="B6280">
        <v>222306040.45399737</v>
      </c>
    </row>
    <row r="6281" spans="1:2" x14ac:dyDescent="0.25">
      <c r="A6281">
        <f ca="1">27012.3501292909*(RANDBETWEEN(2890,3282))</f>
        <v>82009494.992527232</v>
      </c>
      <c r="B6281">
        <v>204020996.08061475</v>
      </c>
    </row>
    <row r="6282" spans="1:2" x14ac:dyDescent="0.25">
      <c r="A6282">
        <f ca="1">33296.9815524881*(RANDBETWEEN(2890,3282))</f>
        <v>108947723.639741</v>
      </c>
      <c r="B6282">
        <v>218592565.90426418</v>
      </c>
    </row>
    <row r="6283" spans="1:2" x14ac:dyDescent="0.25">
      <c r="A6283">
        <f ca="1">29545.2939892993*(RANDBETWEEN(2890,3282))</f>
        <v>87749523.148219004</v>
      </c>
      <c r="B6283">
        <v>214943110.48933792</v>
      </c>
    </row>
    <row r="6284" spans="1:2" x14ac:dyDescent="0.25">
      <c r="A6284">
        <f ca="1">32055.9119315261*(RANDBETWEEN(2890,3282))</f>
        <v>94276436.990618259</v>
      </c>
      <c r="B6284">
        <v>258455302.15583235</v>
      </c>
    </row>
    <row r="6285" spans="1:2" x14ac:dyDescent="0.25">
      <c r="A6285">
        <f ca="1">31462.838147179*(RANDBETWEEN(2890,3282))</f>
        <v>102631778.03609781</v>
      </c>
      <c r="B6285">
        <v>263498808.33963266</v>
      </c>
    </row>
    <row r="6286" spans="1:2" x14ac:dyDescent="0.25">
      <c r="A6286">
        <f ca="1">29922.1731943968*(RANDBETWEEN(2890,3282))</f>
        <v>91322472.589298919</v>
      </c>
      <c r="B6286">
        <v>235215704.35277808</v>
      </c>
    </row>
    <row r="6287" spans="1:2" x14ac:dyDescent="0.25">
      <c r="A6287">
        <f ca="1">31186.7039599355*(RANDBETWEEN(2890,3282))</f>
        <v>100670680.3826717</v>
      </c>
      <c r="B6287">
        <v>252711635.55717224</v>
      </c>
    </row>
    <row r="6288" spans="1:2" x14ac:dyDescent="0.25">
      <c r="A6288">
        <f ca="1">34161.2486974924*(RANDBETWEEN(2890,3282))</f>
        <v>101561392.37764502</v>
      </c>
      <c r="B6288">
        <v>254670024.94584987</v>
      </c>
    </row>
    <row r="6289" spans="1:2" x14ac:dyDescent="0.25">
      <c r="A6289">
        <f ca="1">29075.6262971593*(RANDBETWEEN(2890,3282))</f>
        <v>85540492.566242635</v>
      </c>
      <c r="B6289">
        <v>229237643.89155567</v>
      </c>
    </row>
    <row r="6290" spans="1:2" x14ac:dyDescent="0.25">
      <c r="A6290">
        <f ca="1">29182.3260595875*(RANDBETWEEN(2890,3282))</f>
        <v>90202569.850185081</v>
      </c>
      <c r="B6290">
        <v>240609856.03349164</v>
      </c>
    </row>
    <row r="6291" spans="1:2" x14ac:dyDescent="0.25">
      <c r="A6291">
        <f ca="1">28472.54371702*(RANDBETWEEN(2890,3282))</f>
        <v>87723907.192138731</v>
      </c>
      <c r="B6291">
        <v>244143659.78046378</v>
      </c>
    </row>
    <row r="6292" spans="1:2" x14ac:dyDescent="0.25">
      <c r="A6292">
        <f ca="1">30915.7298459646*(RANDBETWEEN(2890,3282))</f>
        <v>97786453.502786011</v>
      </c>
      <c r="B6292">
        <v>253337773.58970463</v>
      </c>
    </row>
    <row r="6293" spans="1:2" x14ac:dyDescent="0.25">
      <c r="A6293">
        <f ca="1">29785.5188484974*(RANDBETWEEN(2890,3282))</f>
        <v>87390712.301491261</v>
      </c>
      <c r="B6293">
        <v>222493246.60142103</v>
      </c>
    </row>
    <row r="6294" spans="1:2" x14ac:dyDescent="0.25">
      <c r="A6294">
        <f ca="1">27600.8841768221*(RANDBETWEEN(2890,3282))</f>
        <v>86777179.851928726</v>
      </c>
      <c r="B6294">
        <v>217719731.55021024</v>
      </c>
    </row>
    <row r="6295" spans="1:2" x14ac:dyDescent="0.25">
      <c r="A6295">
        <f ca="1">31211.0068251169*(RANDBETWEEN(2890,3282))</f>
        <v>101779093.25670609</v>
      </c>
      <c r="B6295">
        <v>267822639.72230262</v>
      </c>
    </row>
    <row r="6296" spans="1:2" x14ac:dyDescent="0.25">
      <c r="A6296">
        <f ca="1">30915.7289021578*(RANDBETWEEN(2890,3282))</f>
        <v>90861327.243441716</v>
      </c>
      <c r="B6296">
        <v>208028954.1126228</v>
      </c>
    </row>
    <row r="6297" spans="1:2" x14ac:dyDescent="0.25">
      <c r="A6297">
        <f ca="1">27784.5123501861*(RANDBETWEEN(2890,3282))</f>
        <v>90132958.064003691</v>
      </c>
      <c r="B6297">
        <v>265343376.94898659</v>
      </c>
    </row>
    <row r="6298" spans="1:2" x14ac:dyDescent="0.25">
      <c r="A6298">
        <f ca="1">29505.8107045193*(RANDBETWEEN(2890,3282))</f>
        <v>91468013.18400991</v>
      </c>
      <c r="B6298">
        <v>213777409.21483055</v>
      </c>
    </row>
    <row r="6299" spans="1:2" x14ac:dyDescent="0.25">
      <c r="A6299">
        <f ca="1">27641.461303032*(RANDBETWEEN(2890,3282))</f>
        <v>87347017.717581064</v>
      </c>
      <c r="B6299">
        <v>245324883.38446873</v>
      </c>
    </row>
    <row r="6300" spans="1:2" x14ac:dyDescent="0.25">
      <c r="A6300">
        <f ca="1">26673.4117483407*(RANDBETWEEN(2890,3282))</f>
        <v>87488790.534557566</v>
      </c>
      <c r="B6300">
        <v>230441369.40176058</v>
      </c>
    </row>
    <row r="6301" spans="1:2" x14ac:dyDescent="0.25">
      <c r="A6301">
        <f ca="1">27091.8051461407*(RANDBETWEEN(2890,3282))</f>
        <v>79839549.765676633</v>
      </c>
      <c r="B6301">
        <v>238388800.24375165</v>
      </c>
    </row>
    <row r="6302" spans="1:2" x14ac:dyDescent="0.25">
      <c r="A6302">
        <f ca="1">32360.0170218439*(RANDBETWEEN(2890,3282))</f>
        <v>103584414.48692216</v>
      </c>
      <c r="B6302">
        <v>218655602.8429333</v>
      </c>
    </row>
    <row r="6303" spans="1:2" x14ac:dyDescent="0.25">
      <c r="A6303">
        <f ca="1">32784.0662882289*(RANDBETWEEN(2890,3282))</f>
        <v>105171284.65263826</v>
      </c>
      <c r="B6303">
        <v>244284922.68813342</v>
      </c>
    </row>
    <row r="6304" spans="1:2" x14ac:dyDescent="0.25">
      <c r="A6304">
        <f ca="1">30532.0775896347*(RANDBETWEEN(2890,3282))</f>
        <v>94008266.898485169</v>
      </c>
      <c r="B6304">
        <v>255188694.08352256</v>
      </c>
    </row>
    <row r="6305" spans="1:2" x14ac:dyDescent="0.25">
      <c r="A6305">
        <f ca="1">31595.5560892963*(RANDBETWEEN(2890,3282))</f>
        <v>100821419.48094457</v>
      </c>
      <c r="B6305">
        <v>258976720.72099334</v>
      </c>
    </row>
    <row r="6306" spans="1:2" x14ac:dyDescent="0.25">
      <c r="A6306">
        <f ca="1">30466.6137318298*(RANDBETWEEN(2890,3282))</f>
        <v>93837170.294035718</v>
      </c>
      <c r="B6306">
        <v>233692319.84201825</v>
      </c>
    </row>
    <row r="6307" spans="1:2" x14ac:dyDescent="0.25">
      <c r="A6307">
        <f ca="1">33633.7122305601*(RANDBETWEEN(2890,3282))</f>
        <v>104399042.76365851</v>
      </c>
      <c r="B6307">
        <v>260486771.54276782</v>
      </c>
    </row>
    <row r="6308" spans="1:2" x14ac:dyDescent="0.25">
      <c r="A6308">
        <f ca="1">27657.004160428*(RANDBETWEEN(2890,3282))</f>
        <v>81173307.210856259</v>
      </c>
      <c r="B6308">
        <v>252332621.45370388</v>
      </c>
    </row>
    <row r="6309" spans="1:2" x14ac:dyDescent="0.25">
      <c r="A6309">
        <f ca="1">32234.452632373*(RANDBETWEEN(2890,3282))</f>
        <v>104375157.62362385</v>
      </c>
      <c r="B6309">
        <v>256627836.01160672</v>
      </c>
    </row>
    <row r="6310" spans="1:2" x14ac:dyDescent="0.25">
      <c r="A6310">
        <f ca="1">31049.4147083212*(RANDBETWEEN(2890,3282))</f>
        <v>90415895.630631283</v>
      </c>
      <c r="B6310">
        <v>250949371.07950261</v>
      </c>
    </row>
    <row r="6311" spans="1:2" x14ac:dyDescent="0.25">
      <c r="A6311">
        <f ca="1">32100.8077462186*(RANDBETWEEN(2890,3282))</f>
        <v>92803435.194318056</v>
      </c>
      <c r="B6311">
        <v>227444895.73806486</v>
      </c>
    </row>
    <row r="6312" spans="1:2" x14ac:dyDescent="0.25">
      <c r="A6312">
        <f ca="1">30660.5029681613*(RANDBETWEEN(2890,3282))</f>
        <v>89927255.205617115</v>
      </c>
      <c r="B6312">
        <v>214507028.60386285</v>
      </c>
    </row>
    <row r="6313" spans="1:2" x14ac:dyDescent="0.25">
      <c r="A6313">
        <f ca="1">34207.0682559963*(RANDBETWEEN(2890,3282))</f>
        <v>112028148.53838797</v>
      </c>
      <c r="B6313">
        <v>252274276.41433287</v>
      </c>
    </row>
    <row r="6314" spans="1:2" x14ac:dyDescent="0.25">
      <c r="A6314">
        <f ca="1">33010.8698722057*(RANDBETWEEN(2890,3282))</f>
        <v>96226685.677479535</v>
      </c>
      <c r="B6314">
        <v>242438187.52404863</v>
      </c>
    </row>
    <row r="6315" spans="1:2" x14ac:dyDescent="0.25">
      <c r="A6315">
        <f ca="1">30057.5723967266*(RANDBETWEEN(2890,3282))</f>
        <v>95913713.517954722</v>
      </c>
      <c r="B6315">
        <v>242141664.95223245</v>
      </c>
    </row>
    <row r="6316" spans="1:2" x14ac:dyDescent="0.25">
      <c r="A6316">
        <f ca="1">30833.7210097439*(RANDBETWEEN(2890,3282))</f>
        <v>94721190.94193314</v>
      </c>
      <c r="B6316">
        <v>242562739.30540168</v>
      </c>
    </row>
    <row r="6317" spans="1:2" x14ac:dyDescent="0.25">
      <c r="A6317">
        <f ca="1">30459.3618260342*(RANDBETWEEN(2890,3282))</f>
        <v>97561335.92878741</v>
      </c>
      <c r="B6317">
        <v>244505547.02911177</v>
      </c>
    </row>
    <row r="6318" spans="1:2" x14ac:dyDescent="0.25">
      <c r="A6318">
        <f ca="1">31001.7848757641*(RANDBETWEEN(2890,3282))</f>
        <v>94214424.237446964</v>
      </c>
      <c r="B6318">
        <v>225711746.78080198</v>
      </c>
    </row>
    <row r="6319" spans="1:2" x14ac:dyDescent="0.25">
      <c r="A6319">
        <f ca="1">27199.1694203838*(RANDBETWEEN(2890,3282))</f>
        <v>85514188.657686517</v>
      </c>
      <c r="B6319">
        <v>231347115.30904585</v>
      </c>
    </row>
    <row r="6320" spans="1:2" x14ac:dyDescent="0.25">
      <c r="A6320">
        <f ca="1">30044.7018321838*(RANDBETWEEN(2890,3282))</f>
        <v>93288799.188930586</v>
      </c>
      <c r="B6320">
        <v>250081594.40191942</v>
      </c>
    </row>
    <row r="6321" spans="1:2" x14ac:dyDescent="0.25">
      <c r="A6321">
        <f ca="1">27963.9863936802*(RANDBETWEEN(2890,3282))</f>
        <v>84814770.73203209</v>
      </c>
      <c r="B6321">
        <v>213188031.51718175</v>
      </c>
    </row>
    <row r="6322" spans="1:2" x14ac:dyDescent="0.25">
      <c r="A6322">
        <f ca="1">29936.3468679054*(RANDBETWEEN(2890,3282))</f>
        <v>93820511.084015638</v>
      </c>
      <c r="B6322">
        <v>222124090.50604016</v>
      </c>
    </row>
    <row r="6323" spans="1:2" x14ac:dyDescent="0.25">
      <c r="A6323">
        <f ca="1">27924.2589566798*(RANDBETWEEN(2890,3282))</f>
        <v>84470883.343956351</v>
      </c>
      <c r="B6323">
        <v>250578881.72680527</v>
      </c>
    </row>
    <row r="6324" spans="1:2" x14ac:dyDescent="0.25">
      <c r="A6324">
        <f ca="1">29719.7609000224*(RANDBETWEEN(2890,3282))</f>
        <v>95014075.597371459</v>
      </c>
      <c r="B6324">
        <v>214632697.37180489</v>
      </c>
    </row>
    <row r="6325" spans="1:2" x14ac:dyDescent="0.25">
      <c r="A6325">
        <f ca="1">27909.8997872192*(RANDBETWEEN(2890,3282))</f>
        <v>88753481.323357031</v>
      </c>
      <c r="B6325">
        <v>217271225.38933861</v>
      </c>
    </row>
    <row r="6326" spans="1:2" x14ac:dyDescent="0.25">
      <c r="A6326">
        <f ca="1">29017.4533456487*(RANDBETWEEN(2890,3282))</f>
        <v>84121597.249035716</v>
      </c>
      <c r="B6326">
        <v>250402545.70766878</v>
      </c>
    </row>
    <row r="6327" spans="1:2" x14ac:dyDescent="0.25">
      <c r="A6327">
        <f ca="1">30704.1348498568*(RANDBETWEEN(2890,3282))</f>
        <v>99419988.643836394</v>
      </c>
      <c r="B6327">
        <v>266793938.91717479</v>
      </c>
    </row>
    <row r="6328" spans="1:2" x14ac:dyDescent="0.25">
      <c r="A6328">
        <f ca="1">33018.7347429438*(RANDBETWEEN(2890,3282))</f>
        <v>100277897.41432019</v>
      </c>
      <c r="B6328">
        <v>225794058.61862656</v>
      </c>
    </row>
    <row r="6329" spans="1:2" x14ac:dyDescent="0.25">
      <c r="A6329">
        <f ca="1">26577.2529403109*(RANDBETWEEN(2890,3282))</f>
        <v>84781436.879591778</v>
      </c>
      <c r="B6329">
        <v>262502953.01813608</v>
      </c>
    </row>
    <row r="6330" spans="1:2" x14ac:dyDescent="0.25">
      <c r="A6330">
        <f ca="1">28664.4560961943*(RANDBETWEEN(2890,3282))</f>
        <v>84904118.956927627</v>
      </c>
      <c r="B6330">
        <v>260464584.28191757</v>
      </c>
    </row>
    <row r="6331" spans="1:2" x14ac:dyDescent="0.25">
      <c r="A6331">
        <f ca="1">30153.3313061696*(RANDBETWEEN(2890,3282))</f>
        <v>88138187.407933861</v>
      </c>
      <c r="B6331">
        <v>211012362.21178669</v>
      </c>
    </row>
    <row r="6332" spans="1:2" x14ac:dyDescent="0.25">
      <c r="A6332">
        <f ca="1">33459.5337674307*(RANDBETWEEN(2890,3282))</f>
        <v>106836291.31940615</v>
      </c>
      <c r="B6332">
        <v>254502440.84645635</v>
      </c>
    </row>
    <row r="6333" spans="1:2" x14ac:dyDescent="0.25">
      <c r="A6333">
        <f ca="1">28600.3375868466*(RANDBETWEEN(2890,3282))</f>
        <v>91692682.303430349</v>
      </c>
      <c r="B6333">
        <v>215812061.81941846</v>
      </c>
    </row>
    <row r="6334" spans="1:2" x14ac:dyDescent="0.25">
      <c r="A6334">
        <f ca="1">25518.5698856502*(RANDBETWEEN(2890,3282))</f>
        <v>78546158.108031288</v>
      </c>
      <c r="B6334">
        <v>226107257.91797844</v>
      </c>
    </row>
    <row r="6335" spans="1:2" x14ac:dyDescent="0.25">
      <c r="A6335">
        <f ca="1">31151.5091119042*(RANDBETWEEN(2890,3282))</f>
        <v>92488830.553243503</v>
      </c>
      <c r="B6335">
        <v>223955747.81541044</v>
      </c>
    </row>
    <row r="6336" spans="1:2" x14ac:dyDescent="0.25">
      <c r="A6336">
        <f ca="1">32329.8551949248*(RANDBETWEEN(2890,3282))</f>
        <v>105233678.65948011</v>
      </c>
      <c r="B6336">
        <v>261200611.51696891</v>
      </c>
    </row>
    <row r="6337" spans="1:2" x14ac:dyDescent="0.25">
      <c r="A6337">
        <f ca="1">31388.9257242024*(RANDBETWEEN(2890,3282))</f>
        <v>98655393.551167995</v>
      </c>
      <c r="B6337">
        <v>253019364.15709049</v>
      </c>
    </row>
    <row r="6338" spans="1:2" x14ac:dyDescent="0.25">
      <c r="A6338">
        <f ca="1">29410.1038839328*(RANDBETWEEN(2890,3282))</f>
        <v>87053907.4964412</v>
      </c>
      <c r="B6338">
        <v>211771756.47940993</v>
      </c>
    </row>
    <row r="6339" spans="1:2" x14ac:dyDescent="0.25">
      <c r="A6339">
        <f ca="1">28609.4721151401*(RANDBETWEEN(2890,3282))</f>
        <v>85885635.289650694</v>
      </c>
      <c r="B6339">
        <v>227460551.21713117</v>
      </c>
    </row>
    <row r="6340" spans="1:2" x14ac:dyDescent="0.25">
      <c r="A6340">
        <f ca="1">31354.5403512277*(RANDBETWEEN(2890,3282))</f>
        <v>93875493.811575651</v>
      </c>
      <c r="B6340">
        <v>265667899.95853961</v>
      </c>
    </row>
    <row r="6341" spans="1:2" x14ac:dyDescent="0.25">
      <c r="A6341">
        <f ca="1">29957.1587079747*(RANDBETWEEN(2890,3282))</f>
        <v>88942804.203976974</v>
      </c>
      <c r="B6341">
        <v>231768074.41428897</v>
      </c>
    </row>
    <row r="6342" spans="1:2" x14ac:dyDescent="0.25">
      <c r="A6342">
        <f ca="1">26540.4463906764*(RANDBETWEEN(2890,3282))</f>
        <v>83549325.23784925</v>
      </c>
      <c r="B6342">
        <v>241579231.3966108</v>
      </c>
    </row>
    <row r="6343" spans="1:2" x14ac:dyDescent="0.25">
      <c r="A6343">
        <f ca="1">28637.4261245486*(RANDBETWEEN(2890,3282))</f>
        <v>91095652.502189234</v>
      </c>
      <c r="B6343">
        <v>228290801.36720237</v>
      </c>
    </row>
    <row r="6344" spans="1:2" x14ac:dyDescent="0.25">
      <c r="A6344">
        <f ca="1">26469.0648726161*(RANDBETWEEN(2890,3282))</f>
        <v>85600955.798040479</v>
      </c>
      <c r="B6344">
        <v>250131826.87148067</v>
      </c>
    </row>
    <row r="6345" spans="1:2" x14ac:dyDescent="0.25">
      <c r="A6345">
        <f ca="1">26112.4396898024*(RANDBETWEEN(2890,3282))</f>
        <v>84969878.750616968</v>
      </c>
      <c r="B6345">
        <v>212066206.0665015</v>
      </c>
    </row>
    <row r="6346" spans="1:2" x14ac:dyDescent="0.25">
      <c r="A6346">
        <f ca="1">27387.8066400829*(RANDBETWEEN(2890,3282))</f>
        <v>79616353.902721196</v>
      </c>
      <c r="B6346">
        <v>205140842.38302916</v>
      </c>
    </row>
    <row r="6347" spans="1:2" x14ac:dyDescent="0.25">
      <c r="A6347">
        <f ca="1">29538.8565099009*(RANDBETWEEN(2890,3282))</f>
        <v>92604315.158539355</v>
      </c>
      <c r="B6347">
        <v>207074966.9788743</v>
      </c>
    </row>
    <row r="6348" spans="1:2" x14ac:dyDescent="0.25">
      <c r="A6348">
        <f ca="1">33197.7988874763*(RANDBETWEEN(2890,3282))</f>
        <v>103776319.32225081</v>
      </c>
      <c r="B6348">
        <v>254349374.51886636</v>
      </c>
    </row>
    <row r="6349" spans="1:2" x14ac:dyDescent="0.25">
      <c r="A6349">
        <f ca="1">27495.6892998457*(RANDBETWEEN(2890,3282))</f>
        <v>82432076.520937517</v>
      </c>
      <c r="B6349">
        <v>264918523.89879605</v>
      </c>
    </row>
    <row r="6350" spans="1:2" x14ac:dyDescent="0.25">
      <c r="A6350">
        <f ca="1">26363.1119967081*(RANDBETWEEN(2890,3282))</f>
        <v>80592033.373936698</v>
      </c>
      <c r="B6350">
        <v>212165812.9855836</v>
      </c>
    </row>
    <row r="6351" spans="1:2" x14ac:dyDescent="0.25">
      <c r="A6351">
        <f ca="1">30586.4727876204*(RANDBETWEEN(2890,3282))</f>
        <v>97356742.88299565</v>
      </c>
      <c r="B6351">
        <v>253112872.14968002</v>
      </c>
    </row>
    <row r="6352" spans="1:2" x14ac:dyDescent="0.25">
      <c r="A6352">
        <f ca="1">28406.2067545867*(RANDBETWEEN(2890,3282))</f>
        <v>84877745.782705173</v>
      </c>
      <c r="B6352">
        <v>204546918.65008104</v>
      </c>
    </row>
    <row r="6353" spans="1:2" x14ac:dyDescent="0.25">
      <c r="A6353">
        <f ca="1">31076.2752805533*(RANDBETWEEN(2890,3282))</f>
        <v>93881427.62255162</v>
      </c>
      <c r="B6353">
        <v>247446941.47221923</v>
      </c>
    </row>
    <row r="6354" spans="1:2" x14ac:dyDescent="0.25">
      <c r="A6354">
        <f ca="1">27401.1530418861*(RANDBETWEEN(2890,3282))</f>
        <v>83847528.308171406</v>
      </c>
      <c r="B6354">
        <v>223369626.82471752</v>
      </c>
    </row>
    <row r="6355" spans="1:2" x14ac:dyDescent="0.25">
      <c r="A6355">
        <f ca="1">31126.1849346334*(RANDBETWEEN(2890,3282))</f>
        <v>91012964.748868018</v>
      </c>
      <c r="B6355">
        <v>242273501.90095246</v>
      </c>
    </row>
    <row r="6356" spans="1:2" x14ac:dyDescent="0.25">
      <c r="A6356">
        <f ca="1">25593.9380497168*(RANDBETWEEN(2890,3282))</f>
        <v>77498444.414542526</v>
      </c>
      <c r="B6356">
        <v>210443229.83964223</v>
      </c>
    </row>
    <row r="6357" spans="1:2" x14ac:dyDescent="0.25">
      <c r="A6357">
        <f ca="1">27622.6342596285*(RANDBETWEEN(2890,3282))</f>
        <v>86652203.67245461</v>
      </c>
      <c r="B6357">
        <v>251191623.91733429</v>
      </c>
    </row>
    <row r="6358" spans="1:2" x14ac:dyDescent="0.25">
      <c r="A6358">
        <f ca="1">27636.1150983709*(RANDBETWEEN(2890,3282))</f>
        <v>88988290.616754368</v>
      </c>
      <c r="B6358">
        <v>206636481.38956141</v>
      </c>
    </row>
    <row r="6359" spans="1:2" x14ac:dyDescent="0.25">
      <c r="A6359">
        <f ca="1">26957.7586104051*(RANDBETWEEN(2890,3282))</f>
        <v>88070997.380193338</v>
      </c>
      <c r="B6359">
        <v>217582668.73133779</v>
      </c>
    </row>
    <row r="6360" spans="1:2" x14ac:dyDescent="0.25">
      <c r="A6360">
        <f ca="1">25836.578273543*(RANDBETWEEN(2890,3282))</f>
        <v>82211992.066413715</v>
      </c>
      <c r="B6360">
        <v>239644284.06543934</v>
      </c>
    </row>
    <row r="6361" spans="1:2" x14ac:dyDescent="0.25">
      <c r="A6361">
        <f ca="1">29645.7806407911*(RANDBETWEEN(2890,3282))</f>
        <v>95103664.295657799</v>
      </c>
      <c r="B6361">
        <v>228223734.902852</v>
      </c>
    </row>
    <row r="6362" spans="1:2" x14ac:dyDescent="0.25">
      <c r="A6362">
        <f ca="1">30604.7138447764*(RANDBETWEEN(2890,3282))</f>
        <v>96496662.752580121</v>
      </c>
      <c r="B6362">
        <v>262057493.48587799</v>
      </c>
    </row>
    <row r="6363" spans="1:2" x14ac:dyDescent="0.25">
      <c r="A6363">
        <f ca="1">30393.2570202866*(RANDBETWEEN(2890,3282))</f>
        <v>90784658.719596028</v>
      </c>
      <c r="B6363">
        <v>256956608.84622315</v>
      </c>
    </row>
    <row r="6364" spans="1:2" x14ac:dyDescent="0.25">
      <c r="A6364">
        <f ca="1">28116.6273024416*(RANDBETWEEN(2890,3282))</f>
        <v>84406115.161929831</v>
      </c>
      <c r="B6364">
        <v>204109337.84851444</v>
      </c>
    </row>
    <row r="6365" spans="1:2" x14ac:dyDescent="0.25">
      <c r="A6365">
        <f ca="1">26785.6721950949*(RANDBETWEEN(2890,3282))</f>
        <v>81428443.473088622</v>
      </c>
      <c r="B6365">
        <v>259258342.97462478</v>
      </c>
    </row>
    <row r="6366" spans="1:2" x14ac:dyDescent="0.25">
      <c r="A6366">
        <f ca="1">30204.5908241047*(RANDBETWEEN(2890,3282))</f>
        <v>89888862.292535722</v>
      </c>
      <c r="B6366">
        <v>232157932.82276276</v>
      </c>
    </row>
    <row r="6367" spans="1:2" x14ac:dyDescent="0.25">
      <c r="A6367">
        <f ca="1">29890.759909248*(RANDBETWEEN(2890,3282))</f>
        <v>88506540.091283411</v>
      </c>
      <c r="B6367">
        <v>237440824.28311554</v>
      </c>
    </row>
    <row r="6368" spans="1:2" x14ac:dyDescent="0.25">
      <c r="A6368">
        <f ca="1">31971.3166797239*(RANDBETWEEN(2890,3282))</f>
        <v>99526708.823980525</v>
      </c>
      <c r="B6368">
        <v>262252966.87013671</v>
      </c>
    </row>
    <row r="6369" spans="1:2" x14ac:dyDescent="0.25">
      <c r="A6369">
        <f ca="1">28153.2024823874*(RANDBETWEEN(2890,3282))</f>
        <v>89020426.249308869</v>
      </c>
      <c r="B6369">
        <v>227715805.26584601</v>
      </c>
    </row>
    <row r="6370" spans="1:2" x14ac:dyDescent="0.25">
      <c r="A6370">
        <f ca="1">28913.3512580813*(RANDBETWEEN(2890,3282))</f>
        <v>94662312.018958315</v>
      </c>
      <c r="B6370">
        <v>258229511.16312644</v>
      </c>
    </row>
    <row r="6371" spans="1:2" x14ac:dyDescent="0.25">
      <c r="A6371">
        <f ca="1">34742.6448514414*(RANDBETWEEN(2890,3282))</f>
        <v>112288228.15985855</v>
      </c>
      <c r="B6371">
        <v>217028850.10027725</v>
      </c>
    </row>
    <row r="6372" spans="1:2" x14ac:dyDescent="0.25">
      <c r="A6372">
        <f ca="1">31568.5085091034*(RANDBETWEEN(2890,3282))</f>
        <v>97609828.310147688</v>
      </c>
      <c r="B6372">
        <v>266125558.9456811</v>
      </c>
    </row>
    <row r="6373" spans="1:2" x14ac:dyDescent="0.25">
      <c r="A6373">
        <f ca="1">28057.7674341564*(RANDBETWEEN(2890,3282))</f>
        <v>83331569.279444456</v>
      </c>
      <c r="B6373">
        <v>211332800.22960442</v>
      </c>
    </row>
    <row r="6374" spans="1:2" x14ac:dyDescent="0.25">
      <c r="A6374">
        <f ca="1">30836.2536478715*(RANDBETWEEN(2890,3282))</f>
        <v>97442561.527274042</v>
      </c>
      <c r="B6374">
        <v>206622057.78893316</v>
      </c>
    </row>
    <row r="6375" spans="1:2" x14ac:dyDescent="0.25">
      <c r="A6375">
        <f ca="1">31940.8854668856*(RANDBETWEEN(2890,3282))</f>
        <v>104382813.70578222</v>
      </c>
      <c r="B6375">
        <v>204678589.72366378</v>
      </c>
    </row>
    <row r="6376" spans="1:2" x14ac:dyDescent="0.25">
      <c r="A6376">
        <f ca="1">30914.0753367253*(RANDBETWEEN(2890,3282))</f>
        <v>96544657.276593208</v>
      </c>
      <c r="B6376">
        <v>234944437.27062276</v>
      </c>
    </row>
    <row r="6377" spans="1:2" x14ac:dyDescent="0.25">
      <c r="A6377">
        <f ca="1">28115.9143605405*(RANDBETWEEN(2890,3282))</f>
        <v>83869772.537492394</v>
      </c>
      <c r="B6377">
        <v>222122322.96058294</v>
      </c>
    </row>
    <row r="6378" spans="1:2" x14ac:dyDescent="0.25">
      <c r="A6378">
        <f ca="1">30538.9579058168*(RANDBETWEEN(2890,3282))</f>
        <v>97419275.719555721</v>
      </c>
      <c r="B6378">
        <v>261584298.8503215</v>
      </c>
    </row>
    <row r="6379" spans="1:2" x14ac:dyDescent="0.25">
      <c r="A6379">
        <f ca="1">26130.8463603779*(RANDBETWEEN(2890,3282))</f>
        <v>83697100.892290354</v>
      </c>
      <c r="B6379">
        <v>223875911.25197175</v>
      </c>
    </row>
    <row r="6380" spans="1:2" x14ac:dyDescent="0.25">
      <c r="A6380">
        <f ca="1">28141.2290564121*(RANDBETWEEN(2890,3282))</f>
        <v>88025764.488457039</v>
      </c>
      <c r="B6380">
        <v>235966831.24924892</v>
      </c>
    </row>
    <row r="6381" spans="1:2" x14ac:dyDescent="0.25">
      <c r="A6381">
        <f ca="1">31922.1611787489*(RANDBETWEEN(2890,3282))</f>
        <v>98416022.91408278</v>
      </c>
      <c r="B6381">
        <v>214747688.53774095</v>
      </c>
    </row>
    <row r="6382" spans="1:2" x14ac:dyDescent="0.25">
      <c r="A6382">
        <f ca="1">30265.0530033717*(RANDBETWEEN(2890,3282))</f>
        <v>92550532.0843108</v>
      </c>
      <c r="B6382">
        <v>246520670.37916166</v>
      </c>
    </row>
    <row r="6383" spans="1:2" x14ac:dyDescent="0.25">
      <c r="A6383">
        <f ca="1">30674.3356177422*(RANDBETWEEN(2890,3282))</f>
        <v>96194716.497239441</v>
      </c>
      <c r="B6383">
        <v>219031099.29438302</v>
      </c>
    </row>
    <row r="6384" spans="1:2" x14ac:dyDescent="0.25">
      <c r="A6384">
        <f ca="1">30271.3789209427*(RANDBETWEEN(2890,3282))</f>
        <v>87756727.4918129</v>
      </c>
      <c r="B6384">
        <v>216592357.45506841</v>
      </c>
    </row>
    <row r="6385" spans="1:2" x14ac:dyDescent="0.25">
      <c r="A6385">
        <f ca="1">31879.8131939051*(RANDBETWEEN(2890,3282))</f>
        <v>99369377.725402057</v>
      </c>
      <c r="B6385">
        <v>252082949.56464356</v>
      </c>
    </row>
    <row r="6386" spans="1:2" x14ac:dyDescent="0.25">
      <c r="A6386">
        <f ca="1">26198.4321619541*(RANDBETWEEN(2890,3282))</f>
        <v>77914137.249651372</v>
      </c>
      <c r="B6386">
        <v>208762381.69294047</v>
      </c>
    </row>
    <row r="6387" spans="1:2" x14ac:dyDescent="0.25">
      <c r="A6387">
        <f ca="1">28805.2884899765*(RANDBETWEEN(2890,3282))</f>
        <v>93357939.996013895</v>
      </c>
      <c r="B6387">
        <v>213923088.24464059</v>
      </c>
    </row>
    <row r="6388" spans="1:2" x14ac:dyDescent="0.25">
      <c r="A6388">
        <f ca="1">26517.1802098229*(RANDBETWEEN(2890,3282))</f>
        <v>81142571.442058012</v>
      </c>
      <c r="B6388">
        <v>224871388.37906438</v>
      </c>
    </row>
    <row r="6389" spans="1:2" x14ac:dyDescent="0.25">
      <c r="A6389">
        <f ca="1">26288.2532299732*(RANDBETWEEN(2890,3282))</f>
        <v>82387385.622735873</v>
      </c>
      <c r="B6389">
        <v>223682454.4962866</v>
      </c>
    </row>
    <row r="6390" spans="1:2" x14ac:dyDescent="0.25">
      <c r="A6390">
        <f ca="1">29549.572834604*(RANDBETWEEN(2890,3282))</f>
        <v>92431063.826641396</v>
      </c>
      <c r="B6390">
        <v>245691098.84363014</v>
      </c>
    </row>
    <row r="6391" spans="1:2" x14ac:dyDescent="0.25">
      <c r="A6391">
        <f ca="1">27791.3683423773*(RANDBETWEEN(2890,3282))</f>
        <v>88543299.538814008</v>
      </c>
      <c r="B6391">
        <v>208159730.06879383</v>
      </c>
    </row>
    <row r="6392" spans="1:2" x14ac:dyDescent="0.25">
      <c r="A6392">
        <f ca="1">32336.0388190208*(RANDBETWEEN(2890,3282))</f>
        <v>103281307.98795241</v>
      </c>
      <c r="B6392">
        <v>260990668.26122648</v>
      </c>
    </row>
    <row r="6393" spans="1:2" x14ac:dyDescent="0.25">
      <c r="A6393">
        <f ca="1">29490.82004039*(RANDBETWEEN(2890,3282))</f>
        <v>94812986.429853931</v>
      </c>
      <c r="B6393">
        <v>210824403.29490948</v>
      </c>
    </row>
    <row r="6394" spans="1:2" x14ac:dyDescent="0.25">
      <c r="A6394">
        <f ca="1">29889.0928781896*(RANDBETWEEN(2890,3282))</f>
        <v>90205282.3063761</v>
      </c>
      <c r="B6394">
        <v>239424486.43372589</v>
      </c>
    </row>
    <row r="6395" spans="1:2" x14ac:dyDescent="0.25">
      <c r="A6395">
        <f ca="1">31890.950035691*(RANDBETWEEN(2890,3282))</f>
        <v>93695611.204860106</v>
      </c>
      <c r="B6395">
        <v>213016414.90982458</v>
      </c>
    </row>
    <row r="6396" spans="1:2" x14ac:dyDescent="0.25">
      <c r="A6396">
        <f ca="1">31299.8345585833*(RANDBETWEEN(2890,3282))</f>
        <v>90894719.558125839</v>
      </c>
      <c r="B6396">
        <v>236954768.70965308</v>
      </c>
    </row>
    <row r="6397" spans="1:2" x14ac:dyDescent="0.25">
      <c r="A6397">
        <f ca="1">29316.0419535608*(RANDBETWEEN(2890,3282))</f>
        <v>90234777.133059993</v>
      </c>
      <c r="B6397">
        <v>208766819.60103679</v>
      </c>
    </row>
    <row r="6398" spans="1:2" x14ac:dyDescent="0.25">
      <c r="A6398">
        <f ca="1">31716.4264713959*(RANDBETWEEN(2890,3282))</f>
        <v>101429131.85552411</v>
      </c>
      <c r="B6398">
        <v>209220035.99032187</v>
      </c>
    </row>
    <row r="6399" spans="1:2" x14ac:dyDescent="0.25">
      <c r="A6399">
        <f ca="1">29311.2752044884*(RANDBETWEEN(2890,3282))</f>
        <v>89721813.400938913</v>
      </c>
      <c r="B6399">
        <v>245285686.78093594</v>
      </c>
    </row>
    <row r="6400" spans="1:2" x14ac:dyDescent="0.25">
      <c r="A6400">
        <f ca="1">31474.7969162734*(RANDBETWEEN(2890,3282))</f>
        <v>97131223.283619642</v>
      </c>
      <c r="B6400">
        <v>246906698.67051527</v>
      </c>
    </row>
    <row r="6401" spans="1:2" x14ac:dyDescent="0.25">
      <c r="A6401">
        <f ca="1">33202.310847835*(RANDBETWEEN(2890,3282))</f>
        <v>108339140.29648545</v>
      </c>
      <c r="B6401">
        <v>253628330.45291981</v>
      </c>
    </row>
    <row r="6402" spans="1:2" x14ac:dyDescent="0.25">
      <c r="A6402">
        <f ca="1">31846.5890992838*(RANDBETWEEN(2890,3282))</f>
        <v>100221215.89544602</v>
      </c>
      <c r="B6402">
        <v>213784158.06714919</v>
      </c>
    </row>
    <row r="6403" spans="1:2" x14ac:dyDescent="0.25">
      <c r="A6403">
        <f ca="1">30255.5375075303*(RANDBETWEEN(2890,3282))</f>
        <v>87801569.846852899</v>
      </c>
      <c r="B6403">
        <v>258849765.32615113</v>
      </c>
    </row>
    <row r="6404" spans="1:2" x14ac:dyDescent="0.25">
      <c r="A6404">
        <f ca="1">25669.6845908713*(RANDBETWEEN(2890,3282))</f>
        <v>74750121.528617203</v>
      </c>
      <c r="B6404">
        <v>249662310.82069242</v>
      </c>
    </row>
    <row r="6405" spans="1:2" x14ac:dyDescent="0.25">
      <c r="A6405">
        <f ca="1">29720.3108166555*(RANDBETWEEN(2890,3282))</f>
        <v>90201143.328549579</v>
      </c>
      <c r="B6405">
        <v>234346758.87205702</v>
      </c>
    </row>
    <row r="6406" spans="1:2" x14ac:dyDescent="0.25">
      <c r="A6406">
        <f ca="1">26554.9647862071*(RANDBETWEEN(2890,3282))</f>
        <v>78310591.154524609</v>
      </c>
      <c r="B6406">
        <v>204990761.41488212</v>
      </c>
    </row>
    <row r="6407" spans="1:2" x14ac:dyDescent="0.25">
      <c r="A6407">
        <f ca="1">27374.3648160782*(RANDBETWEEN(2890,3282))</f>
        <v>85572264.415060326</v>
      </c>
      <c r="B6407">
        <v>241247213.09711</v>
      </c>
    </row>
    <row r="6408" spans="1:2" x14ac:dyDescent="0.25">
      <c r="A6408">
        <f ca="1">32850.891736033*(RANDBETWEEN(2890,3282))</f>
        <v>94971928.008871362</v>
      </c>
      <c r="B6408">
        <v>263890342.09197116</v>
      </c>
    </row>
    <row r="6409" spans="1:2" x14ac:dyDescent="0.25">
      <c r="A6409">
        <f ca="1">26383.1660427523*(RANDBETWEEN(2890,3282))</f>
        <v>84320598.672636271</v>
      </c>
      <c r="B6409">
        <v>212300190.9423534</v>
      </c>
    </row>
    <row r="6410" spans="1:2" x14ac:dyDescent="0.25">
      <c r="A6410">
        <f ca="1">30361.9205710995*(RANDBETWEEN(2890,3282))</f>
        <v>94061229.929266304</v>
      </c>
      <c r="B6410">
        <v>226325819.39573932</v>
      </c>
    </row>
    <row r="6411" spans="1:2" x14ac:dyDescent="0.25">
      <c r="A6411">
        <f ca="1">29943.635101338*(RANDBETWEEN(2890,3282))</f>
        <v>91028650.708067492</v>
      </c>
      <c r="B6411">
        <v>227013626.82263601</v>
      </c>
    </row>
    <row r="6412" spans="1:2" x14ac:dyDescent="0.25">
      <c r="A6412">
        <f ca="1">27867.4850778529*(RANDBETWEEN(2890,3282))</f>
        <v>89900506.861153543</v>
      </c>
      <c r="B6412">
        <v>238347173.09990749</v>
      </c>
    </row>
    <row r="6413" spans="1:2" x14ac:dyDescent="0.25">
      <c r="A6413">
        <f ca="1">28177.516574858*(RANDBETWEEN(2890,3282))</f>
        <v>82729188.663783088</v>
      </c>
      <c r="B6413">
        <v>211179108.65960765</v>
      </c>
    </row>
    <row r="6414" spans="1:2" x14ac:dyDescent="0.25">
      <c r="A6414">
        <f ca="1">30104.1963191184*(RANDBETWEEN(2890,3282))</f>
        <v>95008843.583137527</v>
      </c>
      <c r="B6414">
        <v>245771508.49625322</v>
      </c>
    </row>
    <row r="6415" spans="1:2" x14ac:dyDescent="0.25">
      <c r="A6415">
        <f ca="1">30116.443108173*(RANDBETWEEN(2890,3282))</f>
        <v>90108397.779653654</v>
      </c>
      <c r="B6415">
        <v>228692449.30795133</v>
      </c>
    </row>
    <row r="6416" spans="1:2" x14ac:dyDescent="0.25">
      <c r="A6416">
        <f ca="1">30126.923313647*(RANDBETWEEN(2890,3282))</f>
        <v>94568412.281537786</v>
      </c>
      <c r="B6416">
        <v>255290470.87739807</v>
      </c>
    </row>
    <row r="6417" spans="1:2" x14ac:dyDescent="0.25">
      <c r="A6417">
        <f ca="1">33515.7028320202*(RANDBETWEEN(2890,3282))</f>
        <v>109060097.01539378</v>
      </c>
      <c r="B6417">
        <v>226530475.52550435</v>
      </c>
    </row>
    <row r="6418" spans="1:2" x14ac:dyDescent="0.25">
      <c r="A6418">
        <f ca="1">28971.1754544175*(RANDBETWEEN(2890,3282))</f>
        <v>93258213.787770003</v>
      </c>
      <c r="B6418">
        <v>206228381.79514408</v>
      </c>
    </row>
    <row r="6419" spans="1:2" x14ac:dyDescent="0.25">
      <c r="A6419">
        <f ca="1">32415.1463509349*(RANDBETWEEN(2890,3282))</f>
        <v>104700922.71351974</v>
      </c>
      <c r="B6419">
        <v>262491830.2228263</v>
      </c>
    </row>
    <row r="6420" spans="1:2" x14ac:dyDescent="0.25">
      <c r="A6420">
        <f ca="1">30841.975826219*(RANDBETWEEN(2890,3282))</f>
        <v>93790448.487532035</v>
      </c>
      <c r="B6420">
        <v>260024144.31325346</v>
      </c>
    </row>
    <row r="6421" spans="1:2" x14ac:dyDescent="0.25">
      <c r="A6421">
        <f ca="1">31662.8289534308*(RANDBETWEEN(2890,3282))</f>
        <v>102555902.9801622</v>
      </c>
      <c r="B6421">
        <v>251160755.19889772</v>
      </c>
    </row>
    <row r="6422" spans="1:2" x14ac:dyDescent="0.25">
      <c r="A6422">
        <f ca="1">32279.101947312*(RANDBETWEEN(2890,3282))</f>
        <v>97353771.473092869</v>
      </c>
      <c r="B6422">
        <v>234293062.9268252</v>
      </c>
    </row>
    <row r="6423" spans="1:2" x14ac:dyDescent="0.25">
      <c r="A6423">
        <f ca="1">30217.4579954015*(RANDBETWEEN(2890,3282))</f>
        <v>88355847.178554043</v>
      </c>
      <c r="B6423">
        <v>206119437.0265922</v>
      </c>
    </row>
    <row r="6424" spans="1:2" x14ac:dyDescent="0.25">
      <c r="A6424">
        <f ca="1">30138.5154271196*(RANDBETWEEN(2890,3282))</f>
        <v>96443249.366782784</v>
      </c>
      <c r="B6424">
        <v>206059550.19620502</v>
      </c>
    </row>
    <row r="6425" spans="1:2" x14ac:dyDescent="0.25">
      <c r="A6425">
        <f ca="1">32163.3047219513*(RANDBETWEEN(2890,3282))</f>
        <v>103115554.93857573</v>
      </c>
      <c r="B6425">
        <v>249251403.33432248</v>
      </c>
    </row>
    <row r="6426" spans="1:2" x14ac:dyDescent="0.25">
      <c r="A6426">
        <f ca="1">28890.408390721*(RANDBETWEEN(2890,3282))</f>
        <v>87364594.973540381</v>
      </c>
      <c r="B6426">
        <v>266961399.63817319</v>
      </c>
    </row>
    <row r="6427" spans="1:2" x14ac:dyDescent="0.25">
      <c r="A6427">
        <f ca="1">33902.5952160709*(RANDBETWEEN(2890,3282))</f>
        <v>104860727.00330719</v>
      </c>
      <c r="B6427">
        <v>242273335.34424114</v>
      </c>
    </row>
    <row r="6428" spans="1:2" x14ac:dyDescent="0.25">
      <c r="A6428">
        <f ca="1">30797.5363335872*(RANDBETWEEN(2890,3282))</f>
        <v>94794816.834781379</v>
      </c>
      <c r="B6428">
        <v>241522610.21913785</v>
      </c>
    </row>
    <row r="6429" spans="1:2" x14ac:dyDescent="0.25">
      <c r="A6429">
        <f ca="1">30170.2432976752*(RANDBETWEEN(2890,3282))</f>
        <v>88308302.132295281</v>
      </c>
      <c r="B6429">
        <v>241977172.73987091</v>
      </c>
    </row>
    <row r="6430" spans="1:2" x14ac:dyDescent="0.25">
      <c r="A6430">
        <f ca="1">29159.0197764022*(RANDBETWEEN(2890,3282))</f>
        <v>94358587.996437535</v>
      </c>
      <c r="B6430">
        <v>263876848.75051692</v>
      </c>
    </row>
    <row r="6431" spans="1:2" x14ac:dyDescent="0.25">
      <c r="A6431">
        <f ca="1">28911.118077805*(RANDBETWEEN(2890,3282))</f>
        <v>86357509.698403597</v>
      </c>
      <c r="B6431">
        <v>256873599.55754545</v>
      </c>
    </row>
    <row r="6432" spans="1:2" x14ac:dyDescent="0.25">
      <c r="A6432">
        <f ca="1">28934.4021032002*(RANDBETWEEN(2890,3282))</f>
        <v>94789101.290083736</v>
      </c>
      <c r="B6432">
        <v>235750587.19819072</v>
      </c>
    </row>
    <row r="6433" spans="1:2" x14ac:dyDescent="0.25">
      <c r="A6433">
        <f ca="1">27368.4142238755*(RANDBETWEEN(2890,3282))</f>
        <v>80545243.060865477</v>
      </c>
      <c r="B6433">
        <v>228377573.6629931</v>
      </c>
    </row>
    <row r="6434" spans="1:2" x14ac:dyDescent="0.25">
      <c r="A6434">
        <f ca="1">33350.1510701676*(RANDBETWEEN(2890,3282))</f>
        <v>97515841.729170173</v>
      </c>
      <c r="B6434">
        <v>261485207.75155187</v>
      </c>
    </row>
    <row r="6435" spans="1:2" x14ac:dyDescent="0.25">
      <c r="A6435">
        <f ca="1">26865.7247689576*(RANDBETWEEN(2890,3282))</f>
        <v>87098679.700960383</v>
      </c>
      <c r="B6435">
        <v>221359345.88319352</v>
      </c>
    </row>
    <row r="6436" spans="1:2" x14ac:dyDescent="0.25">
      <c r="A6436">
        <f ca="1">26791.5668193401*(RANDBETWEEN(2890,3282))</f>
        <v>83000274.006315589</v>
      </c>
      <c r="B6436">
        <v>212544854.01473895</v>
      </c>
    </row>
    <row r="6437" spans="1:2" x14ac:dyDescent="0.25">
      <c r="A6437">
        <f ca="1">28743.5812571285*(RANDBETWEEN(2890,3282))</f>
        <v>87897871.484299034</v>
      </c>
      <c r="B6437">
        <v>230556193.26042727</v>
      </c>
    </row>
    <row r="6438" spans="1:2" x14ac:dyDescent="0.25">
      <c r="A6438">
        <f ca="1">32205.9243548831*(RANDBETWEEN(2890,3282))</f>
        <v>93139533.234321967</v>
      </c>
      <c r="B6438">
        <v>207209907.50388131</v>
      </c>
    </row>
    <row r="6439" spans="1:2" x14ac:dyDescent="0.25">
      <c r="A6439">
        <f ca="1">32996.3667201131*(RANDBETWEEN(2890,3282))</f>
        <v>104136533.36867701</v>
      </c>
      <c r="B6439">
        <v>246289016.50404441</v>
      </c>
    </row>
    <row r="6440" spans="1:2" x14ac:dyDescent="0.25">
      <c r="A6440">
        <f ca="1">27180.4029054376*(RANDBETWEEN(2890,3282))</f>
        <v>80617075.017527848</v>
      </c>
      <c r="B6440">
        <v>227053927.42774203</v>
      </c>
    </row>
    <row r="6441" spans="1:2" x14ac:dyDescent="0.25">
      <c r="A6441">
        <f ca="1">26863.7973499775*(RANDBETWEEN(2890,3282))</f>
        <v>81961445.714781448</v>
      </c>
      <c r="B6441">
        <v>257158280.04911613</v>
      </c>
    </row>
    <row r="6442" spans="1:2" x14ac:dyDescent="0.25">
      <c r="A6442">
        <f ca="1">31440.0139580166*(RANDBETWEEN(2890,3282))</f>
        <v>99413324.135248527</v>
      </c>
      <c r="B6442">
        <v>226604991.63239849</v>
      </c>
    </row>
    <row r="6443" spans="1:2" x14ac:dyDescent="0.25">
      <c r="A6443">
        <f ca="1">29705.7619871142*(RANDBETWEEN(2890,3282))</f>
        <v>92919623.495693207</v>
      </c>
      <c r="B6443">
        <v>239267123.65631682</v>
      </c>
    </row>
    <row r="6444" spans="1:2" x14ac:dyDescent="0.25">
      <c r="A6444">
        <f ca="1">32257.6972858478*(RANDBETWEEN(2890,3282))</f>
        <v>103289146.70928471</v>
      </c>
      <c r="B6444">
        <v>240227563.94762111</v>
      </c>
    </row>
    <row r="6445" spans="1:2" x14ac:dyDescent="0.25">
      <c r="A6445">
        <f ca="1">32429.9516500667*(RANDBETWEEN(2890,3282))</f>
        <v>97419574.756800562</v>
      </c>
      <c r="B6445">
        <v>244225085.59145814</v>
      </c>
    </row>
    <row r="6446" spans="1:2" x14ac:dyDescent="0.25">
      <c r="A6446">
        <f ca="1">30935.1502898864*(RANDBETWEEN(2890,3282))</f>
        <v>98342842.771548718</v>
      </c>
      <c r="B6446">
        <v>205926005.75005862</v>
      </c>
    </row>
    <row r="6447" spans="1:2" x14ac:dyDescent="0.25">
      <c r="A6447">
        <f ca="1">27825.5250607639*(RANDBETWEEN(2890,3282))</f>
        <v>89959922.521449685</v>
      </c>
      <c r="B6447">
        <v>204621029.14837161</v>
      </c>
    </row>
    <row r="6448" spans="1:2" x14ac:dyDescent="0.25">
      <c r="A6448">
        <f ca="1">35095.314675807*(RANDBETWEEN(2890,3282))</f>
        <v>103355701.72025155</v>
      </c>
      <c r="B6448">
        <v>215786334.1596989</v>
      </c>
    </row>
    <row r="6449" spans="1:2" x14ac:dyDescent="0.25">
      <c r="A6449">
        <f ca="1">31451.2900825104*(RANDBETWEEN(2890,3282))</f>
        <v>102499754.37890135</v>
      </c>
      <c r="B6449">
        <v>230541559.59589046</v>
      </c>
    </row>
    <row r="6450" spans="1:2" x14ac:dyDescent="0.25">
      <c r="A6450">
        <f ca="1">29847.6158441616*(RANDBETWEEN(2890,3282))</f>
        <v>97601703.810408384</v>
      </c>
      <c r="B6450">
        <v>235463932.55090228</v>
      </c>
    </row>
    <row r="6451" spans="1:2" x14ac:dyDescent="0.25">
      <c r="A6451">
        <f ca="1">29947.8050130368*(RANDBETWEEN(2890,3282))</f>
        <v>93706681.885792106</v>
      </c>
      <c r="B6451">
        <v>226204614.12826663</v>
      </c>
    </row>
    <row r="6452" spans="1:2" x14ac:dyDescent="0.25">
      <c r="A6452">
        <f ca="1">30952.3668273166*(RANDBETWEEN(2890,3282))</f>
        <v>94652337.757934183</v>
      </c>
      <c r="B6452">
        <v>237001767.55209228</v>
      </c>
    </row>
    <row r="6453" spans="1:2" x14ac:dyDescent="0.25">
      <c r="A6453">
        <f ca="1">32551.0780585282*(RANDBETWEEN(2890,3282))</f>
        <v>104098347.63117324</v>
      </c>
      <c r="B6453">
        <v>258861224.1620883</v>
      </c>
    </row>
    <row r="6454" spans="1:2" x14ac:dyDescent="0.25">
      <c r="A6454">
        <f ca="1">31867.8764070629*(RANDBETWEEN(2890,3282))</f>
        <v>94551989.299755737</v>
      </c>
      <c r="B6454">
        <v>219960422.61937994</v>
      </c>
    </row>
    <row r="6455" spans="1:2" x14ac:dyDescent="0.25">
      <c r="A6455">
        <f ca="1">31198.8780289578*(RANDBETWEEN(2890,3282))</f>
        <v>93503037.452786654</v>
      </c>
      <c r="B6455">
        <v>242909603.46570051</v>
      </c>
    </row>
    <row r="6456" spans="1:2" x14ac:dyDescent="0.25">
      <c r="A6456">
        <f ca="1">32839.9380227735*(RANDBETWEEN(2890,3282))</f>
        <v>102460606.63105337</v>
      </c>
      <c r="B6456">
        <v>230503663.11013263</v>
      </c>
    </row>
    <row r="6457" spans="1:2" x14ac:dyDescent="0.25">
      <c r="A6457">
        <f ca="1">30629.5763243821*(RANDBETWEEN(2890,3282))</f>
        <v>96666942.879749984</v>
      </c>
      <c r="B6457">
        <v>247143449.86821133</v>
      </c>
    </row>
    <row r="6458" spans="1:2" x14ac:dyDescent="0.25">
      <c r="A6458">
        <f ca="1">29797.2239244338*(RANDBETWEEN(2890,3282))</f>
        <v>95231927.662490353</v>
      </c>
      <c r="B6458">
        <v>235982772.54963893</v>
      </c>
    </row>
    <row r="6459" spans="1:2" x14ac:dyDescent="0.25">
      <c r="A6459">
        <f ca="1">26920.2682779077*(RANDBETWEEN(2890,3282))</f>
        <v>82376020.930397585</v>
      </c>
      <c r="B6459">
        <v>229123117.76242605</v>
      </c>
    </row>
    <row r="6460" spans="1:2" x14ac:dyDescent="0.25">
      <c r="A6460">
        <f ca="1">32246.469597556*(RANDBETWEEN(2890,3282))</f>
        <v>96158972.339912057</v>
      </c>
      <c r="B6460">
        <v>240020627.68384251</v>
      </c>
    </row>
    <row r="6461" spans="1:2" x14ac:dyDescent="0.25">
      <c r="A6461">
        <f ca="1">30654.2001452416*(RANDBETWEEN(2890,3282))</f>
        <v>93188768.441534579</v>
      </c>
      <c r="B6461">
        <v>243186260.2509976</v>
      </c>
    </row>
    <row r="6462" spans="1:2" x14ac:dyDescent="0.25">
      <c r="A6462">
        <f ca="1">27929.1482657994*(RANDBETWEEN(2890,3282))</f>
        <v>83061286.942487523</v>
      </c>
      <c r="B6462">
        <v>258450136.91727668</v>
      </c>
    </row>
    <row r="6463" spans="1:2" x14ac:dyDescent="0.25">
      <c r="A6463">
        <f ca="1">31649.0295615643*(RANDBETWEEN(2890,3282))</f>
        <v>93839372.650038123</v>
      </c>
      <c r="B6463">
        <v>214030223.28609139</v>
      </c>
    </row>
    <row r="6464" spans="1:2" x14ac:dyDescent="0.25">
      <c r="A6464">
        <f ca="1">31375.8203266016*(RANDBETWEEN(2890,3282))</f>
        <v>95727627.816461474</v>
      </c>
      <c r="B6464">
        <v>214672884.6525282</v>
      </c>
    </row>
    <row r="6465" spans="1:2" x14ac:dyDescent="0.25">
      <c r="A6465">
        <f ca="1">32632.7015898126*(RANDBETWEEN(2890,3282))</f>
        <v>94993794.327944383</v>
      </c>
      <c r="B6465">
        <v>222343542.63680866</v>
      </c>
    </row>
    <row r="6466" spans="1:2" x14ac:dyDescent="0.25">
      <c r="A6466">
        <f ca="1">31035.8537336186*(RANDBETWEEN(2890,3282))</f>
        <v>97762939.260898486</v>
      </c>
      <c r="B6466">
        <v>253552514.94585109</v>
      </c>
    </row>
    <row r="6467" spans="1:2" x14ac:dyDescent="0.25">
      <c r="A6467">
        <f ca="1">32222.7257119866*(RANDBETWEEN(2890,3282))</f>
        <v>103886067.69544485</v>
      </c>
      <c r="B6467">
        <v>252156840.43920511</v>
      </c>
    </row>
    <row r="6468" spans="1:2" x14ac:dyDescent="0.25">
      <c r="A6468">
        <f ca="1">32463.9915813288*(RANDBETWEEN(2890,3282))</f>
        <v>104436660.91713475</v>
      </c>
      <c r="B6468">
        <v>243918184.52754462</v>
      </c>
    </row>
    <row r="6469" spans="1:2" x14ac:dyDescent="0.25">
      <c r="A6469">
        <f ca="1">30661.4425037292*(RANDBETWEEN(2890,3282))</f>
        <v>93946659.831426129</v>
      </c>
      <c r="B6469">
        <v>204460956.59128588</v>
      </c>
    </row>
    <row r="6470" spans="1:2" x14ac:dyDescent="0.25">
      <c r="A6470">
        <f ca="1">27083.0336246332*(RANDBETWEEN(2890,3282))</f>
        <v>81709512.44551827</v>
      </c>
      <c r="B6470">
        <v>233814971.28628296</v>
      </c>
    </row>
    <row r="6471" spans="1:2" x14ac:dyDescent="0.25">
      <c r="A6471">
        <f ca="1">28303.482659348*(RANDBETWEEN(2890,3282))</f>
        <v>89976771.374067277</v>
      </c>
      <c r="B6471">
        <v>247613481.07721782</v>
      </c>
    </row>
    <row r="6472" spans="1:2" x14ac:dyDescent="0.25">
      <c r="A6472">
        <f ca="1">33913.3375777951*(RANDBETWEEN(2890,3282))</f>
        <v>110354000.47814518</v>
      </c>
      <c r="B6472">
        <v>240936356.57937884</v>
      </c>
    </row>
    <row r="6473" spans="1:2" x14ac:dyDescent="0.25">
      <c r="A6473">
        <f ca="1">27181.4644051953*(RANDBETWEEN(2890,3282))</f>
        <v>86301149.486495152</v>
      </c>
      <c r="B6473">
        <v>232007317.03306013</v>
      </c>
    </row>
    <row r="6474" spans="1:2" x14ac:dyDescent="0.25">
      <c r="A6474">
        <f ca="1">27696.0887544473*(RANDBETWEEN(2890,3282))</f>
        <v>88682876.19174017</v>
      </c>
      <c r="B6474">
        <v>248415424.97363093</v>
      </c>
    </row>
    <row r="6475" spans="1:2" x14ac:dyDescent="0.25">
      <c r="A6475">
        <f ca="1">27434.2309992201*(RANDBETWEEN(2890,3282))</f>
        <v>85896577.258558139</v>
      </c>
      <c r="B6475">
        <v>247446919.12137014</v>
      </c>
    </row>
    <row r="6476" spans="1:2" x14ac:dyDescent="0.25">
      <c r="A6476">
        <f ca="1">28797.005180592*(RANDBETWEEN(2890,3282))</f>
        <v>93417484.805840537</v>
      </c>
      <c r="B6476">
        <v>238475786.07248467</v>
      </c>
    </row>
    <row r="6477" spans="1:2" x14ac:dyDescent="0.25">
      <c r="A6477">
        <f ca="1">30394.1775893609*(RANDBETWEEN(2890,3282))</f>
        <v>93948402.928714454</v>
      </c>
      <c r="B6477">
        <v>230416633.61800104</v>
      </c>
    </row>
    <row r="6478" spans="1:2" x14ac:dyDescent="0.25">
      <c r="A6478">
        <f ca="1">27341.710067866*(RANDBETWEEN(2890,3282))</f>
        <v>82435255.854616135</v>
      </c>
      <c r="B6478">
        <v>206157510.68673706</v>
      </c>
    </row>
    <row r="6479" spans="1:2" x14ac:dyDescent="0.25">
      <c r="A6479">
        <f ca="1">27447.4177343392*(RANDBETWEEN(2890,3282))</f>
        <v>83495044.747859985</v>
      </c>
      <c r="B6479">
        <v>216881758.15647811</v>
      </c>
    </row>
    <row r="6480" spans="1:2" x14ac:dyDescent="0.25">
      <c r="A6480">
        <f ca="1">28786.9398335101*(RANDBETWEEN(2890,3282))</f>
        <v>86159310.921695843</v>
      </c>
      <c r="B6480">
        <v>238771099.67708379</v>
      </c>
    </row>
    <row r="6481" spans="1:2" x14ac:dyDescent="0.25">
      <c r="A6481">
        <f ca="1">31838.2587591926*(RANDBETWEEN(2890,3282))</f>
        <v>94368598.962246731</v>
      </c>
      <c r="B6481">
        <v>266936715.8345229</v>
      </c>
    </row>
    <row r="6482" spans="1:2" x14ac:dyDescent="0.25">
      <c r="A6482">
        <f ca="1">33330.3434845853*(RANDBETWEEN(2890,3282))</f>
        <v>101257583.50617006</v>
      </c>
      <c r="B6482">
        <v>261565277.39415345</v>
      </c>
    </row>
    <row r="6483" spans="1:2" x14ac:dyDescent="0.25">
      <c r="A6483">
        <f ca="1">28667.0333138389*(RANDBETWEEN(2890,3282))</f>
        <v>90358489.00522013</v>
      </c>
      <c r="B6483">
        <v>227927909.127251</v>
      </c>
    </row>
    <row r="6484" spans="1:2" x14ac:dyDescent="0.25">
      <c r="A6484">
        <f ca="1">27980.5187222214*(RANDBETWEEN(2890,3282))</f>
        <v>87019413.226108536</v>
      </c>
      <c r="B6484">
        <v>213306724.18186569</v>
      </c>
    </row>
    <row r="6485" spans="1:2" x14ac:dyDescent="0.25">
      <c r="A6485">
        <f ca="1">26924.0164279422*(RANDBETWEEN(2890,3282))</f>
        <v>88203077.817938507</v>
      </c>
      <c r="B6485">
        <v>248934943.54882669</v>
      </c>
    </row>
    <row r="6486" spans="1:2" x14ac:dyDescent="0.25">
      <c r="A6486">
        <f ca="1">30801.5630457022*(RANDBETWEEN(2890,3282))</f>
        <v>91419039.119644195</v>
      </c>
      <c r="B6486">
        <v>232799292.21539289</v>
      </c>
    </row>
    <row r="6487" spans="1:2" x14ac:dyDescent="0.25">
      <c r="A6487">
        <f ca="1">30260.6419644113*(RANDBETWEEN(2890,3282))</f>
        <v>93596165.595924348</v>
      </c>
      <c r="B6487">
        <v>263040142.28263009</v>
      </c>
    </row>
    <row r="6488" spans="1:2" x14ac:dyDescent="0.25">
      <c r="A6488">
        <f ca="1">31701.4127445947*(RANDBETWEEN(2890,3282))</f>
        <v>99066914.826858491</v>
      </c>
      <c r="B6488">
        <v>265163381.03513971</v>
      </c>
    </row>
    <row r="6489" spans="1:2" x14ac:dyDescent="0.25">
      <c r="A6489">
        <f ca="1">26347.9807086883*(RANDBETWEEN(2890,3282))</f>
        <v>86368680.763080239</v>
      </c>
      <c r="B6489">
        <v>264834510.6414122</v>
      </c>
    </row>
    <row r="6490" spans="1:2" x14ac:dyDescent="0.25">
      <c r="A6490">
        <f ca="1">31317.8510336917*(RANDBETWEEN(2890,3282))</f>
        <v>94673863.674849972</v>
      </c>
      <c r="B6490">
        <v>228075834.44856691</v>
      </c>
    </row>
    <row r="6491" spans="1:2" x14ac:dyDescent="0.25">
      <c r="A6491">
        <f ca="1">28584.4499928863*(RANDBETWEEN(2890,3282))</f>
        <v>92670786.876937345</v>
      </c>
      <c r="B6491">
        <v>228886413.855555</v>
      </c>
    </row>
    <row r="6492" spans="1:2" x14ac:dyDescent="0.25">
      <c r="A6492">
        <f ca="1">27060.8845847485*(RANDBETWEEN(2890,3282))</f>
        <v>88462031.707542703</v>
      </c>
      <c r="B6492">
        <v>219467603.11252192</v>
      </c>
    </row>
    <row r="6493" spans="1:2" x14ac:dyDescent="0.25">
      <c r="A6493">
        <f ca="1">28120.6648895662*(RANDBETWEEN(2890,3282))</f>
        <v>83377771.397563741</v>
      </c>
      <c r="B6493">
        <v>266392637.33179718</v>
      </c>
    </row>
    <row r="6494" spans="1:2" x14ac:dyDescent="0.25">
      <c r="A6494">
        <f ca="1">29281.5068122627*(RANDBETWEEN(2890,3282))</f>
        <v>87639549.889102399</v>
      </c>
      <c r="B6494">
        <v>221075042.96616483</v>
      </c>
    </row>
    <row r="6495" spans="1:2" x14ac:dyDescent="0.25">
      <c r="A6495">
        <f ca="1">27158.7545194654*(RANDBETWEEN(2890,3282))</f>
        <v>84056345.237745285</v>
      </c>
      <c r="B6495">
        <v>217606079.09025601</v>
      </c>
    </row>
    <row r="6496" spans="1:2" x14ac:dyDescent="0.25">
      <c r="A6496">
        <f ca="1">27778.3403411802*(RANDBETWEEN(2890,3282))</f>
        <v>83362799.363881677</v>
      </c>
      <c r="B6496">
        <v>267563116.26452431</v>
      </c>
    </row>
    <row r="6497" spans="1:2" x14ac:dyDescent="0.25">
      <c r="A6497">
        <f ca="1">31977.9282303784*(RANDBETWEEN(2890,3282))</f>
        <v>97628614.887345403</v>
      </c>
      <c r="B6497">
        <v>236447265.5178383</v>
      </c>
    </row>
    <row r="6498" spans="1:2" x14ac:dyDescent="0.25">
      <c r="A6498">
        <f ca="1">26296.3044454687*(RANDBETWEEN(2890,3282))</f>
        <v>85936322.927791774</v>
      </c>
      <c r="B6498">
        <v>228970566.5393225</v>
      </c>
    </row>
    <row r="6499" spans="1:2" x14ac:dyDescent="0.25">
      <c r="A6499">
        <f ca="1">32448.9641100177*(RANDBETWEEN(2890,3282))</f>
        <v>103512195.51095648</v>
      </c>
      <c r="B6499">
        <v>258147098.52992436</v>
      </c>
    </row>
    <row r="6500" spans="1:2" x14ac:dyDescent="0.25">
      <c r="A6500">
        <f ca="1">31668.8860371028*(RANDBETWEEN(2890,3282))</f>
        <v>101688793.06513706</v>
      </c>
      <c r="B6500">
        <v>235607924.05743599</v>
      </c>
    </row>
    <row r="6501" spans="1:2" x14ac:dyDescent="0.25">
      <c r="A6501">
        <f ca="1">32032.3794395562*(RANDBETWEEN(2890,3282))</f>
        <v>93246256.548548162</v>
      </c>
      <c r="B6501">
        <v>218718633.82352543</v>
      </c>
    </row>
    <row r="6502" spans="1:2" x14ac:dyDescent="0.25">
      <c r="A6502">
        <f ca="1">27864.8492294484*(RANDBETWEEN(2890,3282))</f>
        <v>88387301.75581032</v>
      </c>
      <c r="B6502">
        <v>217767103.67634171</v>
      </c>
    </row>
    <row r="6503" spans="1:2" x14ac:dyDescent="0.25">
      <c r="A6503">
        <f ca="1">30095.4730023131*(RANDBETWEEN(2890,3282))</f>
        <v>98592769.555577755</v>
      </c>
      <c r="B6503">
        <v>229861017.62628844</v>
      </c>
    </row>
    <row r="6504" spans="1:2" x14ac:dyDescent="0.25">
      <c r="A6504">
        <f ca="1">27394.6163931623*(RANDBETWEEN(2890,3282))</f>
        <v>85608176.228632197</v>
      </c>
      <c r="B6504">
        <v>219879391.13937926</v>
      </c>
    </row>
    <row r="6505" spans="1:2" x14ac:dyDescent="0.25">
      <c r="A6505">
        <f ca="1">29213.7937214107*(RANDBETWEEN(2890,3282))</f>
        <v>92520084.715707824</v>
      </c>
      <c r="B6505">
        <v>222960826.3982136</v>
      </c>
    </row>
    <row r="6506" spans="1:2" x14ac:dyDescent="0.25">
      <c r="A6506">
        <f ca="1">25479.1455975573*(RANDBETWEEN(2890,3282))</f>
        <v>81100120.437024966</v>
      </c>
      <c r="B6506">
        <v>249866572.57674402</v>
      </c>
    </row>
    <row r="6507" spans="1:2" x14ac:dyDescent="0.25">
      <c r="A6507">
        <f ca="1">31959.5957755884*(RANDBETWEEN(2890,3282))</f>
        <v>94440605.516863644</v>
      </c>
      <c r="B6507">
        <v>241563940.74652588</v>
      </c>
    </row>
    <row r="6508" spans="1:2" x14ac:dyDescent="0.25">
      <c r="A6508">
        <f ca="1">30571.6126845577*(RANDBETWEEN(2890,3282))</f>
        <v>94068852.230384022</v>
      </c>
      <c r="B6508">
        <v>224792899.11350447</v>
      </c>
    </row>
    <row r="6509" spans="1:2" x14ac:dyDescent="0.25">
      <c r="A6509">
        <f ca="1">30228.920277219*(RANDBETWEEN(2890,3282))</f>
        <v>91593628.439973444</v>
      </c>
      <c r="B6509">
        <v>236348710.2585004</v>
      </c>
    </row>
    <row r="6510" spans="1:2" x14ac:dyDescent="0.25">
      <c r="A6510">
        <f ca="1">32337.4491331801*(RANDBETWEEN(2890,3282))</f>
        <v>104870347.53890298</v>
      </c>
      <c r="B6510">
        <v>221475812.04053813</v>
      </c>
    </row>
    <row r="6511" spans="1:2" x14ac:dyDescent="0.25">
      <c r="A6511">
        <f ca="1">27396.698841989*(RANDBETWEEN(2890,3282))</f>
        <v>87340675.908261016</v>
      </c>
      <c r="B6511">
        <v>213108801.82493806</v>
      </c>
    </row>
    <row r="6512" spans="1:2" x14ac:dyDescent="0.25">
      <c r="A6512">
        <f ca="1">32847.5983625098*(RANDBETWEEN(2890,3282))</f>
        <v>98904118.6695171</v>
      </c>
      <c r="B6512">
        <v>254621605.32720184</v>
      </c>
    </row>
    <row r="6513" spans="1:2" x14ac:dyDescent="0.25">
      <c r="A6513">
        <f ca="1">27839.7166900238*(RANDBETWEEN(2890,3282))</f>
        <v>81291972.734869361</v>
      </c>
      <c r="B6513">
        <v>214149479.29518369</v>
      </c>
    </row>
    <row r="6514" spans="1:2" x14ac:dyDescent="0.25">
      <c r="A6514">
        <f ca="1">29852.2597018874*(RANDBETWEEN(2890,3282))</f>
        <v>86481996.356367931</v>
      </c>
      <c r="B6514">
        <v>205086105.36863837</v>
      </c>
    </row>
    <row r="6515" spans="1:2" x14ac:dyDescent="0.25">
      <c r="A6515">
        <f ca="1">29013.0476628902*(RANDBETWEEN(2890,3282))</f>
        <v>90926891.375497743</v>
      </c>
      <c r="B6515">
        <v>203697921.33590034</v>
      </c>
    </row>
    <row r="6516" spans="1:2" x14ac:dyDescent="0.25">
      <c r="A6516">
        <f ca="1">28610.3126936658*(RANDBETWEEN(2890,3282))</f>
        <v>86517585.585645288</v>
      </c>
      <c r="B6516">
        <v>206570518.85964054</v>
      </c>
    </row>
    <row r="6517" spans="1:2" x14ac:dyDescent="0.25">
      <c r="A6517">
        <f ca="1">31089.5892562566*(RANDBETWEEN(2890,3282))</f>
        <v>95911382.855551541</v>
      </c>
      <c r="B6517">
        <v>243774250.70831728</v>
      </c>
    </row>
    <row r="6518" spans="1:2" x14ac:dyDescent="0.25">
      <c r="A6518">
        <f ca="1">28031.7470973332*(RANDBETWEEN(2890,3282))</f>
        <v>82020892.006796837</v>
      </c>
      <c r="B6518">
        <v>229309607.44570279</v>
      </c>
    </row>
    <row r="6519" spans="1:2" x14ac:dyDescent="0.25">
      <c r="A6519">
        <f ca="1">26481.4138489553*(RANDBETWEEN(2890,3282))</f>
        <v>83045713.8303238</v>
      </c>
      <c r="B6519">
        <v>217931034.63586113</v>
      </c>
    </row>
    <row r="6520" spans="1:2" x14ac:dyDescent="0.25">
      <c r="A6520">
        <f ca="1">31023.9090392653*(RANDBETWEEN(2890,3282))</f>
        <v>98035552.564078495</v>
      </c>
      <c r="B6520">
        <v>255016228.04515925</v>
      </c>
    </row>
    <row r="6521" spans="1:2" x14ac:dyDescent="0.25">
      <c r="A6521">
        <f ca="1">32348.4962470285*(RANDBETWEEN(2890,3282))</f>
        <v>106167764.68274756</v>
      </c>
      <c r="B6521">
        <v>204727109.2709085</v>
      </c>
    </row>
    <row r="6522" spans="1:2" x14ac:dyDescent="0.25">
      <c r="A6522">
        <f ca="1">27074.3691173782*(RANDBETWEEN(2890,3282))</f>
        <v>85365485.827093467</v>
      </c>
      <c r="B6522">
        <v>229741942.09869236</v>
      </c>
    </row>
    <row r="6523" spans="1:2" x14ac:dyDescent="0.25">
      <c r="A6523">
        <f ca="1">25918.699457086*(RANDBETWEEN(2890,3282))</f>
        <v>83924748.842044488</v>
      </c>
      <c r="B6523">
        <v>255519455.31067491</v>
      </c>
    </row>
    <row r="6524" spans="1:2" x14ac:dyDescent="0.25">
      <c r="A6524">
        <f ca="1">28721.8112318348*(RANDBETWEEN(2890,3282))</f>
        <v>83034756.271234527</v>
      </c>
      <c r="B6524">
        <v>248944152.84365672</v>
      </c>
    </row>
    <row r="6525" spans="1:2" x14ac:dyDescent="0.25">
      <c r="A6525">
        <f ca="1">28218.94109324*(RANDBETWEEN(2890,3282))</f>
        <v>91739777.494123325</v>
      </c>
      <c r="B6525">
        <v>226154644.90854123</v>
      </c>
    </row>
    <row r="6526" spans="1:2" x14ac:dyDescent="0.25">
      <c r="A6526">
        <f ca="1">34141.3505860492*(RANDBETWEEN(2890,3282))</f>
        <v>110413127.79528299</v>
      </c>
      <c r="B6526">
        <v>243957517.61757621</v>
      </c>
    </row>
    <row r="6527" spans="1:2" x14ac:dyDescent="0.25">
      <c r="A6527">
        <f ca="1">26140.4944888975*(RANDBETWEEN(2890,3282))</f>
        <v>81270797.36598219</v>
      </c>
      <c r="B6527">
        <v>241491135.22656006</v>
      </c>
    </row>
    <row r="6528" spans="1:2" x14ac:dyDescent="0.25">
      <c r="A6528">
        <f ca="1">27314.2491798355*(RANDBETWEEN(2890,3282))</f>
        <v>83636230.988656208</v>
      </c>
      <c r="B6528">
        <v>262595424.60032356</v>
      </c>
    </row>
    <row r="6529" spans="1:2" x14ac:dyDescent="0.25">
      <c r="A6529">
        <f ca="1">30058.5718199484*(RANDBETWEEN(2890,3282))</f>
        <v>97510006.983912662</v>
      </c>
      <c r="B6529">
        <v>203889851.07211751</v>
      </c>
    </row>
    <row r="6530" spans="1:2" x14ac:dyDescent="0.25">
      <c r="A6530">
        <f ca="1">30367.654013417*(RANDBETWEEN(2890,3282))</f>
        <v>99545169.855980814</v>
      </c>
      <c r="B6530">
        <v>234082206.67570385</v>
      </c>
    </row>
    <row r="6531" spans="1:2" x14ac:dyDescent="0.25">
      <c r="A6531">
        <f ca="1">27533.9755527467*(RANDBETWEEN(2890,3282))</f>
        <v>84859712.653565452</v>
      </c>
      <c r="B6531">
        <v>216884800.64096507</v>
      </c>
    </row>
    <row r="6532" spans="1:2" x14ac:dyDescent="0.25">
      <c r="A6532">
        <f ca="1">33969.8497987364*(RANDBETWEEN(2890,3282))</f>
        <v>101094273.00103939</v>
      </c>
      <c r="B6532">
        <v>206626113.39250618</v>
      </c>
    </row>
    <row r="6533" spans="1:2" x14ac:dyDescent="0.25">
      <c r="A6533">
        <f ca="1">28464.6273717671*(RANDBETWEEN(2890,3282))</f>
        <v>84511478.666776642</v>
      </c>
      <c r="B6533">
        <v>204226875.27037999</v>
      </c>
    </row>
    <row r="6534" spans="1:2" x14ac:dyDescent="0.25">
      <c r="A6534">
        <f ca="1">32631.8756817327*(RANDBETWEEN(2890,3282))</f>
        <v>96786143.272019237</v>
      </c>
      <c r="B6534">
        <v>260616194.36514857</v>
      </c>
    </row>
    <row r="6535" spans="1:2" x14ac:dyDescent="0.25">
      <c r="A6535">
        <f ca="1">27226.3819583636*(RANDBETWEEN(2890,3282))</f>
        <v>88948589.857973918</v>
      </c>
      <c r="B6535">
        <v>212458151.96531343</v>
      </c>
    </row>
    <row r="6536" spans="1:2" x14ac:dyDescent="0.25">
      <c r="A6536">
        <f ca="1">33135.4358691009*(RANDBETWEEN(2890,3282))</f>
        <v>103018070.11703457</v>
      </c>
      <c r="B6536">
        <v>242442863.57055467</v>
      </c>
    </row>
    <row r="6537" spans="1:2" x14ac:dyDescent="0.25">
      <c r="A6537">
        <f ca="1">29741.2105557486*(RANDBETWEEN(2890,3282))</f>
        <v>89104666.825022668</v>
      </c>
      <c r="B6537">
        <v>223332153.96979195</v>
      </c>
    </row>
    <row r="6538" spans="1:2" x14ac:dyDescent="0.25">
      <c r="A6538">
        <f ca="1">30439.86542136*(RANDBETWEEN(2890,3282))</f>
        <v>91015197.609866247</v>
      </c>
      <c r="B6538">
        <v>252136043.32579112</v>
      </c>
    </row>
    <row r="6539" spans="1:2" x14ac:dyDescent="0.25">
      <c r="A6539">
        <f ca="1">26061.7091209308*(RANDBETWEEN(2890,3282))</f>
        <v>82355000.822141483</v>
      </c>
      <c r="B6539">
        <v>212913234.22143313</v>
      </c>
    </row>
    <row r="6540" spans="1:2" x14ac:dyDescent="0.25">
      <c r="A6540">
        <f ca="1">30651.8717796633*(RANDBETWEEN(2890,3282))</f>
        <v>95756447.439668238</v>
      </c>
      <c r="B6540">
        <v>263309441.54081151</v>
      </c>
    </row>
    <row r="6541" spans="1:2" x14ac:dyDescent="0.25">
      <c r="A6541">
        <f ca="1">28110.5039433805*(RANDBETWEEN(2890,3282))</f>
        <v>90600154.209515333</v>
      </c>
      <c r="B6541">
        <v>205421219.97842118</v>
      </c>
    </row>
    <row r="6542" spans="1:2" x14ac:dyDescent="0.25">
      <c r="A6542">
        <f ca="1">31108.2206281836*(RANDBETWEEN(2890,3282))</f>
        <v>94911181.136588231</v>
      </c>
      <c r="B6542">
        <v>241380444.44933426</v>
      </c>
    </row>
    <row r="6543" spans="1:2" x14ac:dyDescent="0.25">
      <c r="A6543">
        <f ca="1">36015.2904647168*(RANDBETWEEN(2890,3282))</f>
        <v>106353152.74230866</v>
      </c>
      <c r="B6543">
        <v>259573509.77178398</v>
      </c>
    </row>
    <row r="6544" spans="1:2" x14ac:dyDescent="0.25">
      <c r="A6544">
        <f ca="1">30523.2549884765*(RANDBETWEEN(2890,3282))</f>
        <v>97002904.353378162</v>
      </c>
      <c r="B6544">
        <v>227401535.2653949</v>
      </c>
    </row>
    <row r="6545" spans="1:2" x14ac:dyDescent="0.25">
      <c r="A6545">
        <f ca="1">29432.1881660705*(RANDBETWEEN(2890,3282))</f>
        <v>91887291.454472035</v>
      </c>
      <c r="B6545">
        <v>238218201.40011585</v>
      </c>
    </row>
    <row r="6546" spans="1:2" x14ac:dyDescent="0.25">
      <c r="A6546">
        <f ca="1">30065.4385740267*(RANDBETWEEN(2890,3282))</f>
        <v>97351890.102698445</v>
      </c>
      <c r="B6546">
        <v>255598817.4977296</v>
      </c>
    </row>
    <row r="6547" spans="1:2" x14ac:dyDescent="0.25">
      <c r="A6547">
        <f ca="1">27417.9113234116*(RANDBETWEEN(2890,3282))</f>
        <v>82802092.196702987</v>
      </c>
      <c r="B6547">
        <v>215694952.59981045</v>
      </c>
    </row>
    <row r="6548" spans="1:2" x14ac:dyDescent="0.25">
      <c r="A6548">
        <f ca="1">28838.5279507176*(RANDBETWEEN(2890,3282))</f>
        <v>92513997.665902212</v>
      </c>
      <c r="B6548">
        <v>248378513.05178565</v>
      </c>
    </row>
    <row r="6549" spans="1:2" x14ac:dyDescent="0.25">
      <c r="A6549">
        <f ca="1">29642.0736262132*(RANDBETWEEN(2890,3282))</f>
        <v>86495570.841290206</v>
      </c>
      <c r="B6549">
        <v>235195105.42223898</v>
      </c>
    </row>
    <row r="6550" spans="1:2" x14ac:dyDescent="0.25">
      <c r="A6550">
        <f ca="1">29673.5160127162*(RANDBETWEEN(2890,3282))</f>
        <v>90474550.322771817</v>
      </c>
      <c r="B6550">
        <v>236685979.70278254</v>
      </c>
    </row>
    <row r="6551" spans="1:2" x14ac:dyDescent="0.25">
      <c r="A6551">
        <f ca="1">26340.6898798108*(RANDBETWEEN(2890,3282))</f>
        <v>79232795.158470958</v>
      </c>
      <c r="B6551">
        <v>234040581.20810264</v>
      </c>
    </row>
    <row r="6552" spans="1:2" x14ac:dyDescent="0.25">
      <c r="A6552">
        <f ca="1">29596.6427660251*(RANDBETWEEN(2890,3282))</f>
        <v>89559441.00999184</v>
      </c>
      <c r="B6552">
        <v>248686408.55795234</v>
      </c>
    </row>
    <row r="6553" spans="1:2" x14ac:dyDescent="0.25">
      <c r="A6553">
        <f ca="1">30696.9571155314*(RANDBETWEEN(2890,3282))</f>
        <v>90556023.490817681</v>
      </c>
      <c r="B6553">
        <v>223322102.36383596</v>
      </c>
    </row>
    <row r="6554" spans="1:2" x14ac:dyDescent="0.25">
      <c r="A6554">
        <f ca="1">30543.8144144076*(RANDBETWEEN(2890,3282))</f>
        <v>95418876.230609253</v>
      </c>
      <c r="B6554">
        <v>204480158.43160766</v>
      </c>
    </row>
    <row r="6555" spans="1:2" x14ac:dyDescent="0.25">
      <c r="A6555">
        <f ca="1">28564.6297043492*(RANDBETWEEN(2890,3282))</f>
        <v>93434903.762926072</v>
      </c>
      <c r="B6555">
        <v>265449754.4375242</v>
      </c>
    </row>
    <row r="6556" spans="1:2" x14ac:dyDescent="0.25">
      <c r="A6556">
        <f ca="1">27423.5653940533*(RANDBETWEEN(2890,3282))</f>
        <v>88194186.307275504</v>
      </c>
      <c r="B6556">
        <v>212536151.34908155</v>
      </c>
    </row>
    <row r="6557" spans="1:2" x14ac:dyDescent="0.25">
      <c r="A6557">
        <f ca="1">30955.3446104673*(RANDBETWEEN(2890,3282))</f>
        <v>89863365.404186457</v>
      </c>
      <c r="B6557">
        <v>250336056.53490984</v>
      </c>
    </row>
    <row r="6558" spans="1:2" x14ac:dyDescent="0.25">
      <c r="A6558">
        <f ca="1">27716.0479800816*(RANDBETWEEN(2890,3282))</f>
        <v>89827711.503444478</v>
      </c>
      <c r="B6558">
        <v>241865934.18300819</v>
      </c>
    </row>
    <row r="6559" spans="1:2" x14ac:dyDescent="0.25">
      <c r="A6559">
        <f ca="1">30418.0178201105*(RANDBETWEEN(2890,3282))</f>
        <v>98706467.826258451</v>
      </c>
      <c r="B6559">
        <v>267882113.24045634</v>
      </c>
    </row>
    <row r="6560" spans="1:2" x14ac:dyDescent="0.25">
      <c r="A6560">
        <f ca="1">29915.5335369116*(RANDBETWEEN(2890,3282))</f>
        <v>93994606.372976184</v>
      </c>
      <c r="B6560">
        <v>208273356.63335884</v>
      </c>
    </row>
    <row r="6561" spans="1:2" x14ac:dyDescent="0.25">
      <c r="A6561">
        <f ca="1">26099.1940771617*(RANDBETWEEN(2890,3282))</f>
        <v>79706938.711651772</v>
      </c>
      <c r="B6561">
        <v>240242618.33517</v>
      </c>
    </row>
    <row r="6562" spans="1:2" x14ac:dyDescent="0.25">
      <c r="A6562">
        <f ca="1">29303.1027690992*(RANDBETWEEN(2890,3282))</f>
        <v>96172783.288183704</v>
      </c>
      <c r="B6562">
        <v>238534429.0943625</v>
      </c>
    </row>
    <row r="6563" spans="1:2" x14ac:dyDescent="0.25">
      <c r="A6563">
        <f ca="1">30689.5106413414*(RANDBETWEEN(2890,3282))</f>
        <v>94861277.392386407</v>
      </c>
      <c r="B6563">
        <v>223704483.31681246</v>
      </c>
    </row>
    <row r="6564" spans="1:2" x14ac:dyDescent="0.25">
      <c r="A6564">
        <f ca="1">28648.6379628673*(RANDBETWEEN(2890,3282))</f>
        <v>89985371.841366231</v>
      </c>
      <c r="B6564">
        <v>261470570.81887403</v>
      </c>
    </row>
    <row r="6565" spans="1:2" x14ac:dyDescent="0.25">
      <c r="A6565">
        <f ca="1">29277.0702598977*(RANDBETWEEN(2890,3282))</f>
        <v>88855908.238789439</v>
      </c>
      <c r="B6565">
        <v>226640837.8004328</v>
      </c>
    </row>
    <row r="6566" spans="1:2" x14ac:dyDescent="0.25">
      <c r="A6566">
        <f ca="1">33980.5816148057*(RANDBETWEEN(2890,3282))</f>
        <v>107310676.73955633</v>
      </c>
      <c r="B6566">
        <v>259338510.09207842</v>
      </c>
    </row>
    <row r="6567" spans="1:2" x14ac:dyDescent="0.25">
      <c r="A6567">
        <f ca="1">26952.3810708597*(RANDBETWEEN(2890,3282))</f>
        <v>87649143.242435619</v>
      </c>
      <c r="B6567">
        <v>221384853.94752634</v>
      </c>
    </row>
    <row r="6568" spans="1:2" x14ac:dyDescent="0.25">
      <c r="A6568">
        <f ca="1">30970.2684337008*(RANDBETWEEN(2890,3282))</f>
        <v>94830961.943991899</v>
      </c>
      <c r="B6568">
        <v>242566281.17048094</v>
      </c>
    </row>
    <row r="6569" spans="1:2" x14ac:dyDescent="0.25">
      <c r="A6569">
        <f ca="1">25731.1517487551*(RANDBETWEEN(2890,3282))</f>
        <v>84166597.370178089</v>
      </c>
      <c r="B6569">
        <v>205222490.67403397</v>
      </c>
    </row>
    <row r="6570" spans="1:2" x14ac:dyDescent="0.25">
      <c r="A6570">
        <f ca="1">28532.4089134444*(RANDBETWEEN(2890,3282))</f>
        <v>87965416.680149183</v>
      </c>
      <c r="B6570">
        <v>208801003.97644779</v>
      </c>
    </row>
    <row r="6571" spans="1:2" x14ac:dyDescent="0.25">
      <c r="A6571">
        <f ca="1">33724.7051043319*(RANDBETWEEN(2890,3282))</f>
        <v>98037717.738292918</v>
      </c>
      <c r="B6571">
        <v>226551961.02342916</v>
      </c>
    </row>
    <row r="6572" spans="1:2" x14ac:dyDescent="0.25">
      <c r="A6572">
        <f ca="1">27666.7258836539*(RANDBETWEEN(2890,3282))</f>
        <v>80759172.854385644</v>
      </c>
      <c r="B6572">
        <v>219685758.81233311</v>
      </c>
    </row>
    <row r="6573" spans="1:2" x14ac:dyDescent="0.25">
      <c r="A6573">
        <f ca="1">30488.0466239622*(RANDBETWEEN(2890,3282))</f>
        <v>96220275.14522475</v>
      </c>
      <c r="B6573">
        <v>237671016.19584206</v>
      </c>
    </row>
    <row r="6574" spans="1:2" x14ac:dyDescent="0.25">
      <c r="A6574">
        <f ca="1">29133.2828323257*(RANDBETWEEN(2890,3282))</f>
        <v>90750176.022694498</v>
      </c>
      <c r="B6574">
        <v>222729060.07918033</v>
      </c>
    </row>
    <row r="6575" spans="1:2" x14ac:dyDescent="0.25">
      <c r="A6575">
        <f ca="1">32847.4933830463*(RANDBETWEEN(2890,3282))</f>
        <v>100020617.35137604</v>
      </c>
      <c r="B6575">
        <v>252393982.02214503</v>
      </c>
    </row>
    <row r="6576" spans="1:2" x14ac:dyDescent="0.25">
      <c r="A6576">
        <f ca="1">25738.1406739843*(RANDBETWEEN(2890,3282))</f>
        <v>79427902.119915649</v>
      </c>
      <c r="B6576">
        <v>236309775.73151138</v>
      </c>
    </row>
    <row r="6577" spans="1:2" x14ac:dyDescent="0.25">
      <c r="A6577">
        <f ca="1">30262.9631236384*(RANDBETWEEN(2890,3282))</f>
        <v>90909941.223409876</v>
      </c>
      <c r="B6577">
        <v>252477415.6744855</v>
      </c>
    </row>
    <row r="6578" spans="1:2" x14ac:dyDescent="0.25">
      <c r="A6578">
        <f ca="1">32034.737280715*(RANDBETWEEN(2890,3282))</f>
        <v>102062672.97635786</v>
      </c>
      <c r="B6578">
        <v>253611004.09449905</v>
      </c>
    </row>
    <row r="6579" spans="1:2" x14ac:dyDescent="0.25">
      <c r="A6579">
        <f ca="1">27827.5512969371*(RANDBETWEEN(2890,3282))</f>
        <v>89855163.137809753</v>
      </c>
      <c r="B6579">
        <v>221246459.35108066</v>
      </c>
    </row>
    <row r="6580" spans="1:2" x14ac:dyDescent="0.25">
      <c r="A6580">
        <f ca="1">31472.4927531592*(RANDBETWEEN(2890,3282))</f>
        <v>95739322.955110371</v>
      </c>
      <c r="B6580">
        <v>207313332.41237611</v>
      </c>
    </row>
    <row r="6581" spans="1:2" x14ac:dyDescent="0.25">
      <c r="A6581">
        <f ca="1">31962.2347448219*(RANDBETWEEN(2890,3282))</f>
        <v>98635456.422520235</v>
      </c>
      <c r="B6581">
        <v>256995175.23811167</v>
      </c>
    </row>
    <row r="6582" spans="1:2" x14ac:dyDescent="0.25">
      <c r="A6582">
        <f ca="1">30355.7183913593*(RANDBETWEEN(2890,3282))</f>
        <v>93586679.800560653</v>
      </c>
      <c r="B6582">
        <v>218090580.00181901</v>
      </c>
    </row>
    <row r="6583" spans="1:2" x14ac:dyDescent="0.25">
      <c r="A6583">
        <f ca="1">32517.2099193718*(RANDBETWEEN(2890,3282))</f>
        <v>102656831.7154569</v>
      </c>
      <c r="B6583">
        <v>225137095.77582559</v>
      </c>
    </row>
    <row r="6584" spans="1:2" x14ac:dyDescent="0.25">
      <c r="A6584">
        <f ca="1">29840.3451128501*(RANDBETWEEN(2890,3282))</f>
        <v>90684808.797951594</v>
      </c>
      <c r="B6584">
        <v>247044064.14499599</v>
      </c>
    </row>
    <row r="6585" spans="1:2" x14ac:dyDescent="0.25">
      <c r="A6585">
        <f ca="1">31414.0383943099*(RANDBETWEEN(2890,3282))</f>
        <v>91163539.420287237</v>
      </c>
      <c r="B6585">
        <v>215224621.15145746</v>
      </c>
    </row>
    <row r="6586" spans="1:2" x14ac:dyDescent="0.25">
      <c r="A6586">
        <f ca="1">33068.7000403726*(RANDBETWEEN(2890,3282))</f>
        <v>97651871.219220415</v>
      </c>
      <c r="B6586">
        <v>261775113.07786623</v>
      </c>
    </row>
    <row r="6587" spans="1:2" x14ac:dyDescent="0.25">
      <c r="A6587">
        <f ca="1">29786.0699443894*(RANDBETWEEN(2890,3282))</f>
        <v>93915478.534659639</v>
      </c>
      <c r="B6587">
        <v>247617146.89228052</v>
      </c>
    </row>
    <row r="6588" spans="1:2" x14ac:dyDescent="0.25">
      <c r="A6588">
        <f ca="1">26927.9224090631*(RANDBETWEEN(2890,3282))</f>
        <v>78898812.658554941</v>
      </c>
      <c r="B6588">
        <v>209818008.6745905</v>
      </c>
    </row>
    <row r="6589" spans="1:2" x14ac:dyDescent="0.25">
      <c r="A6589">
        <f ca="1">30883.439791932*(RANDBETWEEN(2890,3282))</f>
        <v>92094417.459541276</v>
      </c>
      <c r="B6589">
        <v>221438016.87587592</v>
      </c>
    </row>
    <row r="6590" spans="1:2" x14ac:dyDescent="0.25">
      <c r="A6590">
        <f ca="1">30214.5615572463*(RANDBETWEEN(2890,3282))</f>
        <v>96203163.99827227</v>
      </c>
      <c r="B6590">
        <v>260348219.47033173</v>
      </c>
    </row>
    <row r="6591" spans="1:2" x14ac:dyDescent="0.25">
      <c r="A6591">
        <f ca="1">31131.3307655702*(RANDBETWEEN(2890,3282))</f>
        <v>91432718.458479792</v>
      </c>
      <c r="B6591">
        <v>215057305.35599405</v>
      </c>
    </row>
    <row r="6592" spans="1:2" x14ac:dyDescent="0.25">
      <c r="A6592">
        <f ca="1">27435.4980697243*(RANDBETWEEN(2890,3282))</f>
        <v>84473898.556680992</v>
      </c>
      <c r="B6592">
        <v>261171642.32935089</v>
      </c>
    </row>
    <row r="6593" spans="1:2" x14ac:dyDescent="0.25">
      <c r="A6593">
        <f ca="1">26263.8643736107*(RANDBETWEEN(2890,3282))</f>
        <v>80183577.932633549</v>
      </c>
      <c r="B6593">
        <v>249727920.94329014</v>
      </c>
    </row>
    <row r="6594" spans="1:2" x14ac:dyDescent="0.25">
      <c r="A6594">
        <f ca="1">28177.1906086637*(RANDBETWEEN(2890,3282))</f>
        <v>85884076.975206971</v>
      </c>
      <c r="B6594">
        <v>261279317.13540593</v>
      </c>
    </row>
    <row r="6595" spans="1:2" x14ac:dyDescent="0.25">
      <c r="A6595">
        <f ca="1">31411.2225965521*(RANDBETWEEN(2890,3282))</f>
        <v>92474639.324249461</v>
      </c>
      <c r="B6595">
        <v>230783705.30392396</v>
      </c>
    </row>
    <row r="6596" spans="1:2" x14ac:dyDescent="0.25">
      <c r="A6596">
        <f ca="1">28039.2269816558*(RANDBETWEEN(2890,3282))</f>
        <v>91604154.549069509</v>
      </c>
      <c r="B6596">
        <v>239138771.86391214</v>
      </c>
    </row>
    <row r="6597" spans="1:2" x14ac:dyDescent="0.25">
      <c r="A6597">
        <f ca="1">26512.2998769254*(RANDBETWEEN(2890,3282))</f>
        <v>86748245.197300047</v>
      </c>
      <c r="B6597">
        <v>233099868.88162595</v>
      </c>
    </row>
    <row r="6598" spans="1:2" x14ac:dyDescent="0.25">
      <c r="A6598">
        <f ca="1">28628.7647905982*(RANDBETWEEN(2890,3282))</f>
        <v>89808435.148106545</v>
      </c>
      <c r="B6598">
        <v>245192317.01778626</v>
      </c>
    </row>
    <row r="6599" spans="1:2" x14ac:dyDescent="0.25">
      <c r="A6599">
        <f ca="1">29374.8879667713*(RANDBETWEEN(2890,3282))</f>
        <v>93147769.742631882</v>
      </c>
      <c r="B6599">
        <v>256411663.16672713</v>
      </c>
    </row>
    <row r="6600" spans="1:2" x14ac:dyDescent="0.25">
      <c r="A6600">
        <f ca="1">26826.9126127121*(RANDBETWEEN(2890,3282))</f>
        <v>86892369.952574432</v>
      </c>
      <c r="B6600">
        <v>241006380.05079204</v>
      </c>
    </row>
    <row r="6601" spans="1:2" x14ac:dyDescent="0.25">
      <c r="A6601">
        <f ca="1">29793.6236818806*(RANDBETWEEN(2890,3282))</f>
        <v>88844585.81936793</v>
      </c>
      <c r="B6601">
        <v>263615010.40202945</v>
      </c>
    </row>
    <row r="6602" spans="1:2" x14ac:dyDescent="0.25">
      <c r="A6602">
        <f ca="1">30784.7424378316*(RANDBETWEEN(2890,3282))</f>
        <v>94786221.966083378</v>
      </c>
      <c r="B6602">
        <v>234924068.8315016</v>
      </c>
    </row>
    <row r="6603" spans="1:2" x14ac:dyDescent="0.25">
      <c r="A6603">
        <f ca="1">30719.3553025192*(RANDBETWEEN(2890,3282))</f>
        <v>98609130.521086723</v>
      </c>
      <c r="B6603">
        <v>236850133.98387459</v>
      </c>
    </row>
    <row r="6604" spans="1:2" x14ac:dyDescent="0.25">
      <c r="A6604">
        <f ca="1">32755.8213771542*(RANDBETWEEN(2890,3282))</f>
        <v>106128861.26197976</v>
      </c>
      <c r="B6604">
        <v>230188463.03455827</v>
      </c>
    </row>
    <row r="6605" spans="1:2" x14ac:dyDescent="0.25">
      <c r="A6605">
        <f ca="1">31623.4741289639*(RANDBETWEEN(2890,3282))</f>
        <v>93605483.421733066</v>
      </c>
      <c r="B6605">
        <v>232593207.92439836</v>
      </c>
    </row>
    <row r="6606" spans="1:2" x14ac:dyDescent="0.25">
      <c r="A6606">
        <f ca="1">30791.3362130223*(RANDBETWEEN(2890,3282))</f>
        <v>100287382.04581374</v>
      </c>
      <c r="B6606">
        <v>260711291.782433</v>
      </c>
    </row>
    <row r="6607" spans="1:2" x14ac:dyDescent="0.25">
      <c r="A6607">
        <f ca="1">27298.6503445948*(RANDBETWEEN(2890,3282))</f>
        <v>82059742.935851872</v>
      </c>
      <c r="B6607">
        <v>244666511.25706112</v>
      </c>
    </row>
    <row r="6608" spans="1:2" x14ac:dyDescent="0.25">
      <c r="A6608">
        <f ca="1">33000.1916346481*(RANDBETWEEN(2890,3282))</f>
        <v>99759579.311541304</v>
      </c>
      <c r="B6608">
        <v>227514734.31641603</v>
      </c>
    </row>
    <row r="6609" spans="1:2" x14ac:dyDescent="0.25">
      <c r="A6609">
        <f ca="1">30920.2128724465*(RANDBETWEEN(2890,3282))</f>
        <v>96316463.097670853</v>
      </c>
      <c r="B6609">
        <v>226471361.46609813</v>
      </c>
    </row>
    <row r="6610" spans="1:2" x14ac:dyDescent="0.25">
      <c r="A6610">
        <f ca="1">33166.245937558*(RANDBETWEEN(2890,3282))</f>
        <v>101223382.6014269</v>
      </c>
      <c r="B6610">
        <v>253650878.20730138</v>
      </c>
    </row>
    <row r="6611" spans="1:2" x14ac:dyDescent="0.25">
      <c r="A6611">
        <f ca="1">28059.3603515116*(RANDBETWEEN(2890,3282))</f>
        <v>83476597.045746967</v>
      </c>
      <c r="B6611">
        <v>266433416.143199</v>
      </c>
    </row>
    <row r="6612" spans="1:2" x14ac:dyDescent="0.25">
      <c r="A6612">
        <f ca="1">29965.7581576168*(RANDBETWEEN(2890,3282))</f>
        <v>96609604.300156683</v>
      </c>
      <c r="B6612">
        <v>254831844.40669858</v>
      </c>
    </row>
    <row r="6613" spans="1:2" x14ac:dyDescent="0.25">
      <c r="A6613">
        <f ca="1">29884.3211768378*(RANDBETWEEN(2890,3282))</f>
        <v>93776999.852917314</v>
      </c>
      <c r="B6613">
        <v>228090268.91780719</v>
      </c>
    </row>
    <row r="6614" spans="1:2" x14ac:dyDescent="0.25">
      <c r="A6614">
        <f ca="1">27606.3862606123*(RANDBETWEEN(2890,3282))</f>
        <v>83785382.30095847</v>
      </c>
      <c r="B6614">
        <v>245875087.67291546</v>
      </c>
    </row>
    <row r="6615" spans="1:2" x14ac:dyDescent="0.25">
      <c r="A6615">
        <f ca="1">29142.9390159814*(RANDBETWEEN(2890,3282))</f>
        <v>88448819.913503557</v>
      </c>
      <c r="B6615">
        <v>240536134.44605422</v>
      </c>
    </row>
    <row r="6616" spans="1:2" x14ac:dyDescent="0.25">
      <c r="A6616">
        <f ca="1">30613.1287010533*(RANDBETWEEN(2890,3282))</f>
        <v>90400569.054210544</v>
      </c>
      <c r="B6616">
        <v>259554257.12057459</v>
      </c>
    </row>
    <row r="6617" spans="1:2" x14ac:dyDescent="0.25">
      <c r="A6617">
        <f ca="1">28677.0528412355*(RANDBETWEEN(2890,3282))</f>
        <v>91709214.986271232</v>
      </c>
      <c r="B6617">
        <v>210742179.65524173</v>
      </c>
    </row>
    <row r="6618" spans="1:2" x14ac:dyDescent="0.25">
      <c r="A6618">
        <f ca="1">30495.1740264216*(RANDBETWEEN(2890,3282))</f>
        <v>97554061.710522726</v>
      </c>
      <c r="B6618">
        <v>249058308.62849197</v>
      </c>
    </row>
    <row r="6619" spans="1:2" x14ac:dyDescent="0.25">
      <c r="A6619">
        <f ca="1">32088.3104889004*(RANDBETWEEN(2890,3282))</f>
        <v>97420110.644301549</v>
      </c>
      <c r="B6619">
        <v>235413295.17885268</v>
      </c>
    </row>
    <row r="6620" spans="1:2" x14ac:dyDescent="0.25">
      <c r="A6620">
        <f ca="1">30638.1082733311*(RANDBETWEEN(2890,3282))</f>
        <v>90198590.756686822</v>
      </c>
      <c r="B6620">
        <v>267179661.86641937</v>
      </c>
    </row>
    <row r="6621" spans="1:2" x14ac:dyDescent="0.25">
      <c r="A6621">
        <f ca="1">25474.3677219284*(RANDBETWEEN(2890,3282))</f>
        <v>83530451.760203362</v>
      </c>
      <c r="B6621">
        <v>210096821.58928549</v>
      </c>
    </row>
    <row r="6622" spans="1:2" x14ac:dyDescent="0.25">
      <c r="A6622">
        <f ca="1">26336.999481509*(RANDBETWEEN(2890,3282))</f>
        <v>76324624.497413114</v>
      </c>
      <c r="B6622">
        <v>208887424.22647747</v>
      </c>
    </row>
    <row r="6623" spans="1:2" x14ac:dyDescent="0.25">
      <c r="A6623">
        <f ca="1">30826.5539186722*(RANDBETWEEN(2890,3282))</f>
        <v>93990162.898031667</v>
      </c>
      <c r="B6623">
        <v>264560362.87224165</v>
      </c>
    </row>
    <row r="6624" spans="1:2" x14ac:dyDescent="0.25">
      <c r="A6624">
        <f ca="1">29557.9294686606*(RANDBETWEEN(2890,3282))</f>
        <v>94171563.287152797</v>
      </c>
      <c r="B6624">
        <v>205801637.44113523</v>
      </c>
    </row>
    <row r="6625" spans="1:2" x14ac:dyDescent="0.25">
      <c r="A6625">
        <f ca="1">30106.4364480092*(RANDBETWEEN(2890,3282))</f>
        <v>93450378.734620526</v>
      </c>
      <c r="B6625">
        <v>252048572.2905212</v>
      </c>
    </row>
    <row r="6626" spans="1:2" x14ac:dyDescent="0.25">
      <c r="A6626">
        <f ca="1">31025.3566753226*(RANDBETWEEN(2890,3282))</f>
        <v>100429079.55801918</v>
      </c>
      <c r="B6626">
        <v>225154301.11547396</v>
      </c>
    </row>
    <row r="6627" spans="1:2" x14ac:dyDescent="0.25">
      <c r="A6627">
        <f ca="1">26779.9380783223*(RANDBETWEEN(2890,3282))</f>
        <v>83124927.795112386</v>
      </c>
      <c r="B6627">
        <v>234411749.53929389</v>
      </c>
    </row>
    <row r="6628" spans="1:2" x14ac:dyDescent="0.25">
      <c r="A6628">
        <f ca="1">26451.1641725431*(RANDBETWEEN(2890,3282))</f>
        <v>79485748.338492066</v>
      </c>
      <c r="B6628">
        <v>242732033.31057328</v>
      </c>
    </row>
    <row r="6629" spans="1:2" x14ac:dyDescent="0.25">
      <c r="A6629">
        <f ca="1">27208.1651466716*(RANDBETWEEN(2890,3282))</f>
        <v>82032617.917214751</v>
      </c>
      <c r="B6629">
        <v>204215305.72196335</v>
      </c>
    </row>
    <row r="6630" spans="1:2" x14ac:dyDescent="0.25">
      <c r="A6630">
        <f ca="1">30066.4753606913*(RANDBETWEEN(2890,3282))</f>
        <v>94679330.910816908</v>
      </c>
      <c r="B6630">
        <v>235238775.57248318</v>
      </c>
    </row>
    <row r="6631" spans="1:2" x14ac:dyDescent="0.25">
      <c r="A6631">
        <f ca="1">27089.5969707546*(RANDBETWEEN(2890,3282))</f>
        <v>87689025.394332528</v>
      </c>
      <c r="B6631">
        <v>249317306.62247109</v>
      </c>
    </row>
    <row r="6632" spans="1:2" x14ac:dyDescent="0.25">
      <c r="A6632">
        <f ca="1">31380.4488296301*(RANDBETWEEN(2890,3282))</f>
        <v>92321280.456771851</v>
      </c>
      <c r="B6632">
        <v>262146324.13048065</v>
      </c>
    </row>
    <row r="6633" spans="1:2" x14ac:dyDescent="0.25">
      <c r="A6633">
        <f ca="1">25442.6144543226*(RANDBETWEEN(2890,3282))</f>
        <v>75590007.543792307</v>
      </c>
      <c r="B6633">
        <v>204941287.80747175</v>
      </c>
    </row>
    <row r="6634" spans="1:2" x14ac:dyDescent="0.25">
      <c r="A6634">
        <f ca="1">32180.5952727319*(RANDBETWEEN(2890,3282))</f>
        <v>104586934.63637868</v>
      </c>
      <c r="B6634">
        <v>238182323.84000465</v>
      </c>
    </row>
    <row r="6635" spans="1:2" x14ac:dyDescent="0.25">
      <c r="A6635">
        <f ca="1">31460.6449281606*(RANDBETWEEN(2890,3282))</f>
        <v>95420136.067111149</v>
      </c>
      <c r="B6635">
        <v>204212053.69930536</v>
      </c>
    </row>
    <row r="6636" spans="1:2" x14ac:dyDescent="0.25">
      <c r="A6636">
        <f ca="1">29671.9087890267*(RANDBETWEEN(2890,3282))</f>
        <v>92784058.783286408</v>
      </c>
      <c r="B6636">
        <v>234021461.62909013</v>
      </c>
    </row>
    <row r="6637" spans="1:2" x14ac:dyDescent="0.25">
      <c r="A6637">
        <f ca="1">27953.6714279105*(RANDBETWEEN(2890,3282))</f>
        <v>91324644.55498375</v>
      </c>
      <c r="B6637">
        <v>231950698.5375807</v>
      </c>
    </row>
    <row r="6638" spans="1:2" x14ac:dyDescent="0.25">
      <c r="A6638">
        <f ca="1">32074.1431445141*(RANDBETWEEN(2890,3282))</f>
        <v>99814733.465728119</v>
      </c>
      <c r="B6638">
        <v>240558400.67257613</v>
      </c>
    </row>
    <row r="6639" spans="1:2" x14ac:dyDescent="0.25">
      <c r="A6639">
        <f ca="1">32296.3951584985*(RANDBETWEEN(2890,3282))</f>
        <v>101475273.5880024</v>
      </c>
      <c r="B6639">
        <v>220372787.82672712</v>
      </c>
    </row>
    <row r="6640" spans="1:2" x14ac:dyDescent="0.25">
      <c r="A6640">
        <f ca="1">25233.0149470847*(RANDBETWEEN(2890,3282))</f>
        <v>76859763.528819844</v>
      </c>
      <c r="B6640">
        <v>213718785.02055943</v>
      </c>
    </row>
    <row r="6641" spans="1:2" x14ac:dyDescent="0.25">
      <c r="A6641">
        <f ca="1">31086.2982432652*(RANDBETWEEN(2890,3282))</f>
        <v>97455544.992636472</v>
      </c>
      <c r="B6641">
        <v>220181537.85457698</v>
      </c>
    </row>
    <row r="6642" spans="1:2" x14ac:dyDescent="0.25">
      <c r="A6642">
        <f ca="1">29272.5603688841*(RANDBETWEEN(2890,3282))</f>
        <v>90949845.066122875</v>
      </c>
      <c r="B6642">
        <v>260049709.06154457</v>
      </c>
    </row>
    <row r="6643" spans="1:2" x14ac:dyDescent="0.25">
      <c r="A6643">
        <f ca="1">30238.5438520393*(RANDBETWEEN(2890,3282))</f>
        <v>93285907.783541307</v>
      </c>
      <c r="B6643">
        <v>219499598.33213976</v>
      </c>
    </row>
    <row r="6644" spans="1:2" x14ac:dyDescent="0.25">
      <c r="A6644">
        <f ca="1">30314.4976259794*(RANDBETWEEN(2890,3282))</f>
        <v>92398588.763985068</v>
      </c>
      <c r="B6644">
        <v>258374163.59561253</v>
      </c>
    </row>
    <row r="6645" spans="1:2" x14ac:dyDescent="0.25">
      <c r="A6645">
        <f ca="1">31844.3663874758*(RANDBETWEEN(2890,3282))</f>
        <v>95756009.727139696</v>
      </c>
      <c r="B6645">
        <v>246185764.13246036</v>
      </c>
    </row>
    <row r="6646" spans="1:2" x14ac:dyDescent="0.25">
      <c r="A6646">
        <f ca="1">27295.7483570085*(RANDBETWEEN(2890,3282))</f>
        <v>89530054.610987872</v>
      </c>
      <c r="B6646">
        <v>204837520.27126408</v>
      </c>
    </row>
    <row r="6647" spans="1:2" x14ac:dyDescent="0.25">
      <c r="A6647">
        <f ca="1">27861.9248893684*(RANDBETWEEN(2890,3282))</f>
        <v>83084260.0200966</v>
      </c>
      <c r="B6647">
        <v>229903217.5389536</v>
      </c>
    </row>
    <row r="6648" spans="1:2" x14ac:dyDescent="0.25">
      <c r="A6648">
        <f ca="1">30750.7702803456*(RANDBETWEEN(2890,3282))</f>
        <v>96803424.842528015</v>
      </c>
      <c r="B6648">
        <v>246836063.35734934</v>
      </c>
    </row>
    <row r="6649" spans="1:2" x14ac:dyDescent="0.25">
      <c r="A6649">
        <f ca="1">28064.1276234496*(RANDBETWEEN(2890,3282))</f>
        <v>89805208.395038784</v>
      </c>
      <c r="B6649">
        <v>219874232.38487497</v>
      </c>
    </row>
    <row r="6650" spans="1:2" x14ac:dyDescent="0.25">
      <c r="A6650">
        <f ca="1">27525.7733894972*(RANDBETWEEN(2890,3282))</f>
        <v>89651443.92959249</v>
      </c>
      <c r="B6650">
        <v>224628980.92450038</v>
      </c>
    </row>
    <row r="6651" spans="1:2" x14ac:dyDescent="0.25">
      <c r="A6651">
        <f ca="1">29545.8593217845*(RANDBETWEEN(2890,3282))</f>
        <v>92685360.692437902</v>
      </c>
      <c r="B6651">
        <v>246787933.33034462</v>
      </c>
    </row>
    <row r="6652" spans="1:2" x14ac:dyDescent="0.25">
      <c r="A6652">
        <f ca="1">29983.6849174029*(RANDBETWEEN(2890,3282))</f>
        <v>86952686.260468349</v>
      </c>
      <c r="B6652">
        <v>233395878.97268668</v>
      </c>
    </row>
    <row r="6653" spans="1:2" x14ac:dyDescent="0.25">
      <c r="A6653">
        <f ca="1">30644.0503171698*(RANDBETWEEN(2890,3282))</f>
        <v>90859609.190408379</v>
      </c>
      <c r="B6653">
        <v>257193287.43927407</v>
      </c>
    </row>
    <row r="6654" spans="1:2" x14ac:dyDescent="0.25">
      <c r="A6654">
        <f ca="1">32315.8419371747*(RANDBETWEEN(2890,3282))</f>
        <v>96365840.656654939</v>
      </c>
      <c r="B6654">
        <v>263108041.7876448</v>
      </c>
    </row>
    <row r="6655" spans="1:2" x14ac:dyDescent="0.25">
      <c r="A6655">
        <f ca="1">27782.2315250537*(RANDBETWEEN(2890,3282))</f>
        <v>85458144.171065137</v>
      </c>
      <c r="B6655">
        <v>263376565.93418586</v>
      </c>
    </row>
    <row r="6656" spans="1:2" x14ac:dyDescent="0.25">
      <c r="A6656">
        <f ca="1">32881.8611785405*(RANDBETWEEN(2890,3282))</f>
        <v>107556567.91500588</v>
      </c>
      <c r="B6656">
        <v>263760342.98183632</v>
      </c>
    </row>
    <row r="6657" spans="1:2" x14ac:dyDescent="0.25">
      <c r="A6657">
        <f ca="1">27025.3136400767*(RANDBETWEEN(2890,3282))</f>
        <v>86481003.648245454</v>
      </c>
      <c r="B6657">
        <v>222105147.27994955</v>
      </c>
    </row>
    <row r="6658" spans="1:2" x14ac:dyDescent="0.25">
      <c r="A6658">
        <f ca="1">26507.7009065172*(RANDBETWEEN(2890,3282))</f>
        <v>84612581.293603003</v>
      </c>
      <c r="B6658">
        <v>206864563.08218867</v>
      </c>
    </row>
    <row r="6659" spans="1:2" x14ac:dyDescent="0.25">
      <c r="A6659">
        <f ca="1">30140.4130926754*(RANDBETWEEN(2890,3282))</f>
        <v>88673095.318650901</v>
      </c>
      <c r="B6659">
        <v>204437265.88781241</v>
      </c>
    </row>
    <row r="6660" spans="1:2" x14ac:dyDescent="0.25">
      <c r="A6660">
        <f ca="1">33103.0278653943*(RANDBETWEEN(2890,3282))</f>
        <v>102222150.04833767</v>
      </c>
      <c r="B6660">
        <v>254804875.82882935</v>
      </c>
    </row>
    <row r="6661" spans="1:2" x14ac:dyDescent="0.25">
      <c r="A6661">
        <f ca="1">28075.3658870721*(RANDBETWEEN(2890,3282))</f>
        <v>88886608.398470268</v>
      </c>
      <c r="B6661">
        <v>248351263.19726771</v>
      </c>
    </row>
    <row r="6662" spans="1:2" x14ac:dyDescent="0.25">
      <c r="A6662">
        <f ca="1">30390.7499272809*(RANDBETWEEN(2890,3282))</f>
        <v>93481946.776315942</v>
      </c>
      <c r="B6662">
        <v>227704448.68093902</v>
      </c>
    </row>
    <row r="6663" spans="1:2" x14ac:dyDescent="0.25">
      <c r="A6663">
        <f ca="1">27971.2014062223*(RANDBETWEEN(2890,3282))</f>
        <v>85619847.504446477</v>
      </c>
      <c r="B6663">
        <v>218909750.05564302</v>
      </c>
    </row>
    <row r="6664" spans="1:2" x14ac:dyDescent="0.25">
      <c r="A6664">
        <f ca="1">27482.3864736421*(RANDBETWEEN(2890,3282))</f>
        <v>80523392.36777164</v>
      </c>
      <c r="B6664">
        <v>244647615.35680655</v>
      </c>
    </row>
    <row r="6665" spans="1:2" x14ac:dyDescent="0.25">
      <c r="A6665">
        <f ca="1">28222.4659593248*(RANDBETWEEN(2890,3282))</f>
        <v>83792501.433235273</v>
      </c>
      <c r="B6665">
        <v>238548693.81191283</v>
      </c>
    </row>
    <row r="6666" spans="1:2" x14ac:dyDescent="0.25">
      <c r="A6666">
        <f ca="1">29115.6293225977*(RANDBETWEEN(2890,3282))</f>
        <v>86939269.157276675</v>
      </c>
      <c r="B6666">
        <v>225734171.21999642</v>
      </c>
    </row>
    <row r="6667" spans="1:2" x14ac:dyDescent="0.25">
      <c r="A6667">
        <f ca="1">27203.2079062124*(RANDBETWEEN(2890,3282))</f>
        <v>81391998.055387616</v>
      </c>
      <c r="B6667">
        <v>246488612.43534783</v>
      </c>
    </row>
    <row r="6668" spans="1:2" x14ac:dyDescent="0.25">
      <c r="A6668">
        <f ca="1">32929.4419622679*(RANDBETWEEN(2890,3282))</f>
        <v>95330734.480765536</v>
      </c>
      <c r="B6668">
        <v>218750472.57085684</v>
      </c>
    </row>
    <row r="6669" spans="1:2" x14ac:dyDescent="0.25">
      <c r="A6669">
        <f ca="1">28758.1945560235*(RANDBETWEEN(2890,3282))</f>
        <v>86504649.224518582</v>
      </c>
      <c r="B6669">
        <v>229171063.28916261</v>
      </c>
    </row>
    <row r="6670" spans="1:2" x14ac:dyDescent="0.25">
      <c r="A6670">
        <f ca="1">27356.6848499261*(RANDBETWEEN(2890,3282))</f>
        <v>81358780.743680209</v>
      </c>
      <c r="B6670">
        <v>212566035.28566355</v>
      </c>
    </row>
    <row r="6671" spans="1:2" x14ac:dyDescent="0.25">
      <c r="A6671">
        <f ca="1">29284.8709346992*(RANDBETWEEN(2890,3282))</f>
        <v>93653017.249167904</v>
      </c>
      <c r="B6671">
        <v>267158352.24016699</v>
      </c>
    </row>
    <row r="6672" spans="1:2" x14ac:dyDescent="0.25">
      <c r="A6672">
        <f ca="1">27314.4562689194*(RANDBETWEEN(2890,3282))</f>
        <v>81041991.749883786</v>
      </c>
      <c r="B6672">
        <v>212316026.54631749</v>
      </c>
    </row>
    <row r="6673" spans="1:2" x14ac:dyDescent="0.25">
      <c r="A6673">
        <f ca="1">29481.2525025488*(RANDBETWEEN(2890,3282))</f>
        <v>94015714.230628058</v>
      </c>
      <c r="B6673">
        <v>220840080.61106631</v>
      </c>
    </row>
    <row r="6674" spans="1:2" x14ac:dyDescent="0.25">
      <c r="A6674">
        <f ca="1">30314.2496316031*(RANDBETWEEN(2890,3282))</f>
        <v>95853657.335128888</v>
      </c>
      <c r="B6674">
        <v>247823569.81743741</v>
      </c>
    </row>
    <row r="6675" spans="1:2" x14ac:dyDescent="0.25">
      <c r="A6675">
        <f ca="1">28143.1641109161*(RANDBETWEEN(2890,3282))</f>
        <v>82600186.665538788</v>
      </c>
      <c r="B6675">
        <v>235079463.97428888</v>
      </c>
    </row>
    <row r="6676" spans="1:2" x14ac:dyDescent="0.25">
      <c r="A6676">
        <f ca="1">31567.9934498922*(RANDBETWEEN(2890,3282))</f>
        <v>100102107.22960828</v>
      </c>
      <c r="B6676">
        <v>235328548.0418331</v>
      </c>
    </row>
    <row r="6677" spans="1:2" x14ac:dyDescent="0.25">
      <c r="A6677">
        <f ca="1">30098.2673936128*(RANDBETWEEN(2890,3282))</f>
        <v>87044189.302328363</v>
      </c>
      <c r="B6677">
        <v>258509210.39209196</v>
      </c>
    </row>
    <row r="6678" spans="1:2" x14ac:dyDescent="0.25">
      <c r="A6678">
        <f ca="1">30677.911957746*(RANDBETWEEN(2890,3282))</f>
        <v>98997621.887646422</v>
      </c>
      <c r="B6678">
        <v>205364281.975577</v>
      </c>
    </row>
    <row r="6679" spans="1:2" x14ac:dyDescent="0.25">
      <c r="A6679">
        <f ca="1">28080.9904669532*(RANDBETWEEN(2890,3282))</f>
        <v>87837338.180629522</v>
      </c>
      <c r="B6679">
        <v>248412247.75023919</v>
      </c>
    </row>
    <row r="6680" spans="1:2" x14ac:dyDescent="0.25">
      <c r="A6680">
        <f ca="1">27782.5391599195*(RANDBETWEEN(2890,3282))</f>
        <v>80347103.250487074</v>
      </c>
      <c r="B6680">
        <v>258290890.19982588</v>
      </c>
    </row>
    <row r="6681" spans="1:2" x14ac:dyDescent="0.25">
      <c r="A6681">
        <f ca="1">30588.6042589223*(RANDBETWEEN(2890,3282))</f>
        <v>89594021.874383435</v>
      </c>
      <c r="B6681">
        <v>267195588.64035442</v>
      </c>
    </row>
    <row r="6682" spans="1:2" x14ac:dyDescent="0.25">
      <c r="A6682">
        <f ca="1">32832.3742119958*(RANDBETWEEN(2890,3282))</f>
        <v>107657355.04113415</v>
      </c>
      <c r="B6682">
        <v>230924394.75815365</v>
      </c>
    </row>
    <row r="6683" spans="1:2" x14ac:dyDescent="0.25">
      <c r="A6683">
        <f ca="1">28904.171312697*(RANDBETWEEN(2890,3282))</f>
        <v>88042105.818474919</v>
      </c>
      <c r="B6683">
        <v>217469854.78823298</v>
      </c>
    </row>
    <row r="6684" spans="1:2" x14ac:dyDescent="0.25">
      <c r="A6684">
        <f ca="1">28504.7276490056*(RANDBETWEEN(2890,3282))</f>
        <v>88421665.167215466</v>
      </c>
      <c r="B6684">
        <v>250944166.87772545</v>
      </c>
    </row>
    <row r="6685" spans="1:2" x14ac:dyDescent="0.25">
      <c r="A6685">
        <f ca="1">28697.8013750668*(RANDBETWEEN(2890,3282))</f>
        <v>93095667.660716563</v>
      </c>
      <c r="B6685">
        <v>207063525.633737</v>
      </c>
    </row>
    <row r="6686" spans="1:2" x14ac:dyDescent="0.25">
      <c r="A6686">
        <f ca="1">26569.1443387552*(RANDBETWEEN(2890,3282))</f>
        <v>82098656.006753594</v>
      </c>
      <c r="B6686">
        <v>233490251.92396864</v>
      </c>
    </row>
    <row r="6687" spans="1:2" x14ac:dyDescent="0.25">
      <c r="A6687">
        <f ca="1">27874.8064555343*(RANDBETWEEN(2890,3282))</f>
        <v>85492031.399123609</v>
      </c>
      <c r="B6687">
        <v>221935944.720622</v>
      </c>
    </row>
    <row r="6688" spans="1:2" x14ac:dyDescent="0.25">
      <c r="A6688">
        <f ca="1">27706.0075216018*(RANDBETWEEN(2890,3282))</f>
        <v>87578689.775783226</v>
      </c>
      <c r="B6688">
        <v>219417465.01319697</v>
      </c>
    </row>
    <row r="6689" spans="1:2" x14ac:dyDescent="0.25">
      <c r="A6689">
        <f ca="1">30939.4070939701*(RANDBETWEEN(2890,3282))</f>
        <v>95757464.955837578</v>
      </c>
      <c r="B6689">
        <v>255749105.54490882</v>
      </c>
    </row>
    <row r="6690" spans="1:2" x14ac:dyDescent="0.25">
      <c r="A6690">
        <f ca="1">30742.9701367589*(RANDBETWEEN(2890,3282))</f>
        <v>90445818.142344669</v>
      </c>
      <c r="B6690">
        <v>208185173.49660847</v>
      </c>
    </row>
    <row r="6691" spans="1:2" x14ac:dyDescent="0.25">
      <c r="A6691">
        <f ca="1">29853.2450205125*(RANDBETWEEN(2890,3282))</f>
        <v>97411138.501932234</v>
      </c>
      <c r="B6691">
        <v>209972842.90130785</v>
      </c>
    </row>
    <row r="6692" spans="1:2" x14ac:dyDescent="0.25">
      <c r="A6692">
        <f ca="1">30714.4371905734*(RANDBETWEEN(2890,3282))</f>
        <v>97119050.396592975</v>
      </c>
      <c r="B6692">
        <v>244629096.96525463</v>
      </c>
    </row>
    <row r="6693" spans="1:2" x14ac:dyDescent="0.25">
      <c r="A6693">
        <f ca="1">31454.5092739457*(RANDBETWEEN(2890,3282))</f>
        <v>92916620.395235643</v>
      </c>
      <c r="B6693">
        <v>235536360.52030399</v>
      </c>
    </row>
    <row r="6694" spans="1:2" x14ac:dyDescent="0.25">
      <c r="A6694">
        <f ca="1">31754.1811830083*(RANDBETWEEN(2890,3282))</f>
        <v>98183928.217861623</v>
      </c>
      <c r="B6694">
        <v>233421197.65801132</v>
      </c>
    </row>
    <row r="6695" spans="1:2" x14ac:dyDescent="0.25">
      <c r="A6695">
        <f ca="1">27386.6191711958*(RANDBETWEEN(2890,3282))</f>
        <v>88595713.018818304</v>
      </c>
      <c r="B6695">
        <v>258881060.85058382</v>
      </c>
    </row>
    <row r="6696" spans="1:2" x14ac:dyDescent="0.25">
      <c r="A6696">
        <f ca="1">34858.3789509826*(RANDBETWEEN(2890,3282))</f>
        <v>104749428.74770261</v>
      </c>
      <c r="B6696">
        <v>221731232.92246181</v>
      </c>
    </row>
    <row r="6697" spans="1:2" x14ac:dyDescent="0.25">
      <c r="A6697">
        <f ca="1">34254.9078171578*(RANDBETWEEN(2890,3282))</f>
        <v>105881920.06283487</v>
      </c>
      <c r="B6697">
        <v>237564116.13215119</v>
      </c>
    </row>
    <row r="6698" spans="1:2" x14ac:dyDescent="0.25">
      <c r="A6698">
        <f ca="1">29476.7559454226*(RANDBETWEEN(2890,3282))</f>
        <v>91053699.115410328</v>
      </c>
      <c r="B6698">
        <v>256082255.86411631</v>
      </c>
    </row>
    <row r="6699" spans="1:2" x14ac:dyDescent="0.25">
      <c r="A6699">
        <f ca="1">31126.4401042545*(RANDBETWEEN(2890,3282))</f>
        <v>101845712.0211208</v>
      </c>
      <c r="B6699">
        <v>219581669.23748654</v>
      </c>
    </row>
    <row r="6700" spans="1:2" x14ac:dyDescent="0.25">
      <c r="A6700">
        <f ca="1">27137.6729609758*(RANDBETWEEN(2890,3282))</f>
        <v>79242005.046049416</v>
      </c>
      <c r="B6700">
        <v>208078754.46277755</v>
      </c>
    </row>
    <row r="6701" spans="1:2" x14ac:dyDescent="0.25">
      <c r="A6701">
        <f ca="1">27459.1391329486*(RANDBETWEEN(2890,3282))</f>
        <v>85645054.955666646</v>
      </c>
      <c r="B6701">
        <v>248523365.73522118</v>
      </c>
    </row>
    <row r="6702" spans="1:2" x14ac:dyDescent="0.25">
      <c r="A6702">
        <f ca="1">32970.601183958*(RANDBETWEEN(2890,3282))</f>
        <v>104187099.74130724</v>
      </c>
      <c r="B6702">
        <v>260305245.44707721</v>
      </c>
    </row>
    <row r="6703" spans="1:2" x14ac:dyDescent="0.25">
      <c r="A6703">
        <f ca="1">31545.3599972908*(RANDBETWEEN(2890,3282))</f>
        <v>100471971.59137119</v>
      </c>
      <c r="B6703">
        <v>267497493.44890741</v>
      </c>
    </row>
    <row r="6704" spans="1:2" x14ac:dyDescent="0.25">
      <c r="A6704">
        <f ca="1">26062.5603339192*(RANDBETWEEN(2890,3282))</f>
        <v>81497626.164165273</v>
      </c>
      <c r="B6704">
        <v>207334790.90518445</v>
      </c>
    </row>
    <row r="6705" spans="1:2" x14ac:dyDescent="0.25">
      <c r="A6705">
        <f ca="1">31656.700077143*(RANDBETWEEN(2890,3282))</f>
        <v>97059442.436520353</v>
      </c>
      <c r="B6705">
        <v>247595194.05657163</v>
      </c>
    </row>
    <row r="6706" spans="1:2" x14ac:dyDescent="0.25">
      <c r="A6706">
        <f ca="1">29010.8553388994*(RANDBETWEEN(2890,3282))</f>
        <v>86887511.74000369</v>
      </c>
      <c r="B6706">
        <v>255812352.90989244</v>
      </c>
    </row>
    <row r="6707" spans="1:2" x14ac:dyDescent="0.25">
      <c r="A6707">
        <f ca="1">33095.7998705448*(RANDBETWEEN(2890,3282))</f>
        <v>98923345.813058436</v>
      </c>
      <c r="B6707">
        <v>264141601.59513068</v>
      </c>
    </row>
    <row r="6708" spans="1:2" x14ac:dyDescent="0.25">
      <c r="A6708">
        <f ca="1">30239.6181885108*(RANDBETWEEN(2890,3282))</f>
        <v>89660467.92893438</v>
      </c>
      <c r="B6708">
        <v>240474400.72644383</v>
      </c>
    </row>
    <row r="6709" spans="1:2" x14ac:dyDescent="0.25">
      <c r="A6709">
        <f ca="1">28020.618638677*(RANDBETWEEN(2890,3282))</f>
        <v>90982948.719784066</v>
      </c>
      <c r="B6709">
        <v>223960516.45288944</v>
      </c>
    </row>
    <row r="6710" spans="1:2" x14ac:dyDescent="0.25">
      <c r="A6710">
        <f ca="1">30906.1958530066*(RANDBETWEEN(2890,3282))</f>
        <v>99301607.275710225</v>
      </c>
      <c r="B6710">
        <v>266183685.83222967</v>
      </c>
    </row>
    <row r="6711" spans="1:2" x14ac:dyDescent="0.25">
      <c r="A6711">
        <f ca="1">26677.9128304571*(RANDBETWEEN(2890,3282))</f>
        <v>77232557.644173443</v>
      </c>
      <c r="B6711">
        <v>251306486.74912935</v>
      </c>
    </row>
    <row r="6712" spans="1:2" x14ac:dyDescent="0.25">
      <c r="A6712">
        <f ca="1">28564.0005599433*(RANDBETWEEN(2890,3282))</f>
        <v>86491793.695508331</v>
      </c>
      <c r="B6712">
        <v>217218982.43693507</v>
      </c>
    </row>
    <row r="6713" spans="1:2" x14ac:dyDescent="0.25">
      <c r="A6713">
        <f ca="1">28267.3786821606*(RANDBETWEEN(2890,3282))</f>
        <v>82766884.781366229</v>
      </c>
      <c r="B6713">
        <v>210531230.51867414</v>
      </c>
    </row>
    <row r="6714" spans="1:2" x14ac:dyDescent="0.25">
      <c r="A6714">
        <f ca="1">29200.7650044667*(RANDBETWEEN(2890,3282))</f>
        <v>86959878.183301955</v>
      </c>
      <c r="B6714">
        <v>264616001.50375342</v>
      </c>
    </row>
    <row r="6715" spans="1:2" x14ac:dyDescent="0.25">
      <c r="A6715">
        <f ca="1">30813.6379832689*(RANDBETWEEN(2890,3282))</f>
        <v>94936818.626451582</v>
      </c>
      <c r="B6715">
        <v>207577738.93676567</v>
      </c>
    </row>
    <row r="6716" spans="1:2" x14ac:dyDescent="0.25">
      <c r="A6716">
        <f ca="1">31166.9165296873*(RANDBETWEEN(2890,3282))</f>
        <v>97521281.821391538</v>
      </c>
      <c r="B6716">
        <v>234238271.02277368</v>
      </c>
    </row>
    <row r="6717" spans="1:2" x14ac:dyDescent="0.25">
      <c r="A6717">
        <f ca="1">33239.3932194737*(RANDBETWEEN(2890,3282))</f>
        <v>103407752.30578275</v>
      </c>
      <c r="B6717">
        <v>251859410.6653814</v>
      </c>
    </row>
    <row r="6718" spans="1:2" x14ac:dyDescent="0.25">
      <c r="A6718">
        <f ca="1">28484.8171666737*(RANDBETWEEN(2890,3282))</f>
        <v>85368997.048520997</v>
      </c>
      <c r="B6718">
        <v>243876847.85027885</v>
      </c>
    </row>
    <row r="6719" spans="1:2" x14ac:dyDescent="0.25">
      <c r="A6719">
        <f ca="1">28620.7881534876*(RANDBETWEEN(2890,3282))</f>
        <v>87522370.173364967</v>
      </c>
      <c r="B6719">
        <v>257462853.89590898</v>
      </c>
    </row>
    <row r="6720" spans="1:2" x14ac:dyDescent="0.25">
      <c r="A6720">
        <f ca="1">27130.0211155305*(RANDBETWEEN(2890,3282))</f>
        <v>88986469.258939892</v>
      </c>
      <c r="B6720">
        <v>240221326.11779442</v>
      </c>
    </row>
    <row r="6721" spans="1:2" x14ac:dyDescent="0.25">
      <c r="A6721">
        <f ca="1">26079.0044261416*(RANDBETWEEN(2890,3282))</f>
        <v>76020297.902202681</v>
      </c>
      <c r="B6721">
        <v>233561983.41248727</v>
      </c>
    </row>
    <row r="6722" spans="1:2" x14ac:dyDescent="0.25">
      <c r="A6722">
        <f ca="1">27890.3153693262*(RANDBETWEEN(2890,3282))</f>
        <v>88858544.766673237</v>
      </c>
      <c r="B6722">
        <v>204873528.27147511</v>
      </c>
    </row>
    <row r="6723" spans="1:2" x14ac:dyDescent="0.25">
      <c r="A6723">
        <f ca="1">30250.7097649823*(RANDBETWEEN(2890,3282))</f>
        <v>90933633.553536698</v>
      </c>
      <c r="B6723">
        <v>255218102.62712517</v>
      </c>
    </row>
    <row r="6724" spans="1:2" x14ac:dyDescent="0.25">
      <c r="A6724">
        <f ca="1">27520.634745062*(RANDBETWEEN(2890,3282))</f>
        <v>89799831.173137233</v>
      </c>
      <c r="B6724">
        <v>252206831.63573587</v>
      </c>
    </row>
    <row r="6725" spans="1:2" x14ac:dyDescent="0.25">
      <c r="A6725">
        <f ca="1">30757.6608709944*(RANDBETWEEN(2890,3282))</f>
        <v>92242224.952112213</v>
      </c>
      <c r="B6725">
        <v>228159448.28499597</v>
      </c>
    </row>
    <row r="6726" spans="1:2" x14ac:dyDescent="0.25">
      <c r="A6726">
        <f ca="1">29427.6147800753*(RANDBETWEEN(2890,3282))</f>
        <v>89018534.709727749</v>
      </c>
      <c r="B6726">
        <v>218905965.23798507</v>
      </c>
    </row>
    <row r="6727" spans="1:2" x14ac:dyDescent="0.25">
      <c r="A6727">
        <f ca="1">26360.753072372*(RANDBETWEEN(2890,3282))</f>
        <v>78502322.64952381</v>
      </c>
      <c r="B6727">
        <v>204973752.42604944</v>
      </c>
    </row>
    <row r="6728" spans="1:2" x14ac:dyDescent="0.25">
      <c r="A6728">
        <f ca="1">31576.2881136294*(RANDBETWEEN(2890,3282))</f>
        <v>101170427.11606844</v>
      </c>
      <c r="B6728">
        <v>212260447.03431496</v>
      </c>
    </row>
    <row r="6729" spans="1:2" x14ac:dyDescent="0.25">
      <c r="A6729">
        <f ca="1">28660.8911318785*(RANDBETWEEN(2890,3282))</f>
        <v>85896690.722239971</v>
      </c>
      <c r="B6729">
        <v>233865709.03077197</v>
      </c>
    </row>
    <row r="6730" spans="1:2" x14ac:dyDescent="0.25">
      <c r="A6730">
        <f ca="1">29750.757855374*(RANDBETWEEN(2890,3282))</f>
        <v>93209124.360886648</v>
      </c>
      <c r="B6730">
        <v>212363390.33291119</v>
      </c>
    </row>
    <row r="6731" spans="1:2" x14ac:dyDescent="0.25">
      <c r="A6731">
        <f ca="1">27681.4167706657*(RANDBETWEEN(2890,3282))</f>
        <v>88082268.164258227</v>
      </c>
      <c r="B6731">
        <v>231877661.65397578</v>
      </c>
    </row>
    <row r="6732" spans="1:2" x14ac:dyDescent="0.25">
      <c r="A6732">
        <f ca="1">27884.300694678*(RANDBETWEEN(2890,3282))</f>
        <v>82593298.657636344</v>
      </c>
      <c r="B6732">
        <v>245995552.78403863</v>
      </c>
    </row>
    <row r="6733" spans="1:2" x14ac:dyDescent="0.25">
      <c r="A6733">
        <f ca="1">31007.3675835069*(RANDBETWEEN(2890,3282))</f>
        <v>100091782.55956033</v>
      </c>
      <c r="B6733">
        <v>247150657.54660529</v>
      </c>
    </row>
    <row r="6734" spans="1:2" x14ac:dyDescent="0.25">
      <c r="A6734">
        <f ca="1">30329.2472850707*(RANDBETWEEN(2890,3282))</f>
        <v>92868155.186886504</v>
      </c>
      <c r="B6734">
        <v>260967836.48049313</v>
      </c>
    </row>
    <row r="6735" spans="1:2" x14ac:dyDescent="0.25">
      <c r="A6735">
        <f ca="1">28921.4550539741*(RANDBETWEEN(2890,3282))</f>
        <v>84277120.027280509</v>
      </c>
      <c r="B6735">
        <v>254239321.87700224</v>
      </c>
    </row>
    <row r="6736" spans="1:2" x14ac:dyDescent="0.25">
      <c r="A6736">
        <f ca="1">30183.1040550628*(RANDBETWEEN(2890,3282))</f>
        <v>89523086.627316207</v>
      </c>
      <c r="B6736">
        <v>211822760.9542802</v>
      </c>
    </row>
    <row r="6737" spans="1:2" x14ac:dyDescent="0.25">
      <c r="A6737">
        <f ca="1">26626.9957256944*(RANDBETWEEN(2890,3282))</f>
        <v>78416502.412169993</v>
      </c>
      <c r="B6737">
        <v>239508194.28714404</v>
      </c>
    </row>
    <row r="6738" spans="1:2" x14ac:dyDescent="0.25">
      <c r="A6738">
        <f ca="1">31782.1541114491*(RANDBETWEEN(2890,3282))</f>
        <v>101289725.1531882</v>
      </c>
      <c r="B6738">
        <v>204318770.4095847</v>
      </c>
    </row>
    <row r="6739" spans="1:2" x14ac:dyDescent="0.25">
      <c r="A6739">
        <f ca="1">31385.2530780825*(RANDBETWEEN(2890,3282))</f>
        <v>95505325.116605043</v>
      </c>
      <c r="B6739">
        <v>233238478.83127028</v>
      </c>
    </row>
    <row r="6740" spans="1:2" x14ac:dyDescent="0.25">
      <c r="A6740">
        <f ca="1">28323.9601811365*(RANDBETWEEN(2890,3282))</f>
        <v>89163826.650217727</v>
      </c>
      <c r="B6740">
        <v>249474075.05207384</v>
      </c>
    </row>
    <row r="6741" spans="1:2" x14ac:dyDescent="0.25">
      <c r="A6741">
        <f ca="1">28265.9225397112*(RANDBETWEEN(2890,3282))</f>
        <v>82988748.576592103</v>
      </c>
      <c r="B6741">
        <v>235579909.9029721</v>
      </c>
    </row>
    <row r="6742" spans="1:2" x14ac:dyDescent="0.25">
      <c r="A6742">
        <f ca="1">31081.0602252343*(RANDBETWEEN(2890,3282))</f>
        <v>91564803.423540384</v>
      </c>
      <c r="B6742">
        <v>255773864.20495725</v>
      </c>
    </row>
    <row r="6743" spans="1:2" x14ac:dyDescent="0.25">
      <c r="A6743">
        <f ca="1">26529.0565277636*(RANDBETWEEN(2890,3282))</f>
        <v>77650548.456763998</v>
      </c>
      <c r="B6743">
        <v>257163468.57488617</v>
      </c>
    </row>
    <row r="6744" spans="1:2" x14ac:dyDescent="0.25">
      <c r="A6744">
        <f ca="1">30941.3674428972*(RANDBETWEEN(2890,3282))</f>
        <v>96629890.524167985</v>
      </c>
      <c r="B6744">
        <v>259230130.71624491</v>
      </c>
    </row>
    <row r="6745" spans="1:2" x14ac:dyDescent="0.25">
      <c r="A6745">
        <f ca="1">28243.278893184*(RANDBETWEEN(2890,3282))</f>
        <v>86848082.596540913</v>
      </c>
      <c r="B6745">
        <v>223212199.5151847</v>
      </c>
    </row>
    <row r="6746" spans="1:2" x14ac:dyDescent="0.25">
      <c r="A6746">
        <f ca="1">30792.9343994939*(RANDBETWEEN(2890,3282))</f>
        <v>93518141.771262854</v>
      </c>
      <c r="B6746">
        <v>220775969.73353434</v>
      </c>
    </row>
    <row r="6747" spans="1:2" x14ac:dyDescent="0.25">
      <c r="A6747">
        <f ca="1">31619.3942983427*(RANDBETWEEN(2890,3282))</f>
        <v>103047606.01829891</v>
      </c>
      <c r="B6747">
        <v>218404774.26686913</v>
      </c>
    </row>
    <row r="6748" spans="1:2" x14ac:dyDescent="0.25">
      <c r="A6748">
        <f ca="1">26590.1989657207*(RANDBETWEEN(2890,3282))</f>
        <v>77244527.995418668</v>
      </c>
      <c r="B6748">
        <v>216208150.1302841</v>
      </c>
    </row>
    <row r="6749" spans="1:2" x14ac:dyDescent="0.25">
      <c r="A6749">
        <f ca="1">30418.5378298468*(RANDBETWEEN(2890,3282))</f>
        <v>94084537.507716149</v>
      </c>
      <c r="B6749">
        <v>255116972.14679089</v>
      </c>
    </row>
    <row r="6750" spans="1:2" x14ac:dyDescent="0.25">
      <c r="A6750">
        <f ca="1">29247.3096942128*(RANDBETWEEN(2890,3282))</f>
        <v>95697197.319464132</v>
      </c>
      <c r="B6750">
        <v>208684918.62707895</v>
      </c>
    </row>
    <row r="6751" spans="1:2" x14ac:dyDescent="0.25">
      <c r="A6751">
        <f ca="1">28021.7277617918*(RANDBETWEEN(2890,3282))</f>
        <v>89921724.387589887</v>
      </c>
      <c r="B6751">
        <v>211599615.84418869</v>
      </c>
    </row>
    <row r="6752" spans="1:2" x14ac:dyDescent="0.25">
      <c r="A6752">
        <f ca="1">33629.9255342264*(RANDBETWEEN(2890,3282))</f>
        <v>107884801.11379841</v>
      </c>
      <c r="B6752">
        <v>213751771.37599739</v>
      </c>
    </row>
    <row r="6753" spans="1:2" x14ac:dyDescent="0.25">
      <c r="A6753">
        <f ca="1">30745.7784152371*(RANDBETWEEN(2890,3282))</f>
        <v>96234286.43969211</v>
      </c>
      <c r="B6753">
        <v>204919749.37966666</v>
      </c>
    </row>
    <row r="6754" spans="1:2" x14ac:dyDescent="0.25">
      <c r="A6754">
        <f ca="1">32670.115944208*(RANDBETWEEN(2890,3282))</f>
        <v>95070037.397645339</v>
      </c>
      <c r="B6754">
        <v>266471567.37316698</v>
      </c>
    </row>
    <row r="6755" spans="1:2" x14ac:dyDescent="0.25">
      <c r="A6755">
        <f ca="1">29451.0174526917*(RANDBETWEEN(2890,3282))</f>
        <v>94302157.883518919</v>
      </c>
      <c r="B6755">
        <v>263094694.01494566</v>
      </c>
    </row>
    <row r="6756" spans="1:2" x14ac:dyDescent="0.25">
      <c r="A6756">
        <f ca="1">31390.3985215393*(RANDBETWEEN(2890,3282))</f>
        <v>97843872.191638097</v>
      </c>
      <c r="B6756">
        <v>226462668.36990792</v>
      </c>
    </row>
    <row r="6757" spans="1:2" x14ac:dyDescent="0.25">
      <c r="A6757">
        <f ca="1">33845.6666747661*(RANDBETWEEN(2890,3282))</f>
        <v>98998575.023690775</v>
      </c>
      <c r="B6757">
        <v>217572957.97889659</v>
      </c>
    </row>
    <row r="6758" spans="1:2" x14ac:dyDescent="0.25">
      <c r="A6758">
        <f ca="1">27952.5127400915*(RANDBETWEEN(2890,3282))</f>
        <v>87938605.080327809</v>
      </c>
      <c r="B6758">
        <v>264762124.17153174</v>
      </c>
    </row>
    <row r="6759" spans="1:2" x14ac:dyDescent="0.25">
      <c r="A6759">
        <f ca="1">28735.8306974121*(RANDBETWEEN(2890,3282))</f>
        <v>94253524.687511802</v>
      </c>
      <c r="B6759">
        <v>204825478.53307873</v>
      </c>
    </row>
    <row r="6760" spans="1:2" x14ac:dyDescent="0.25">
      <c r="A6760">
        <f ca="1">29521.6801236132*(RANDBETWEEN(2890,3282))</f>
        <v>92373337.106785834</v>
      </c>
      <c r="B6760">
        <v>204697539.13956153</v>
      </c>
    </row>
    <row r="6761" spans="1:2" x14ac:dyDescent="0.25">
      <c r="A6761">
        <f ca="1">27509.6664892263*(RANDBETWEEN(2890,3282))</f>
        <v>87260662.103825778</v>
      </c>
      <c r="B6761">
        <v>206319616.63416559</v>
      </c>
    </row>
    <row r="6762" spans="1:2" x14ac:dyDescent="0.25">
      <c r="A6762">
        <f ca="1">26689.8763098378*(RANDBETWEEN(2890,3282))</f>
        <v>84420078.768017039</v>
      </c>
      <c r="B6762">
        <v>214266902.9878476</v>
      </c>
    </row>
    <row r="6763" spans="1:2" x14ac:dyDescent="0.25">
      <c r="A6763">
        <f ca="1">28785.0580074707*(RANDBETWEEN(2890,3282))</f>
        <v>85664332.630232722</v>
      </c>
      <c r="B6763">
        <v>259822781.0515404</v>
      </c>
    </row>
    <row r="6764" spans="1:2" x14ac:dyDescent="0.25">
      <c r="A6764">
        <f ca="1">32412.2319691854*(RANDBETWEEN(2890,3282))</f>
        <v>105696288.4515136</v>
      </c>
      <c r="B6764">
        <v>212377559.56274867</v>
      </c>
    </row>
    <row r="6765" spans="1:2" x14ac:dyDescent="0.25">
      <c r="A6765">
        <f ca="1">26912.6713581947*(RANDBETWEEN(2890,3282))</f>
        <v>86551151.087954208</v>
      </c>
      <c r="B6765">
        <v>217178178.56531203</v>
      </c>
    </row>
    <row r="6766" spans="1:2" x14ac:dyDescent="0.25">
      <c r="A6766">
        <f ca="1">31347.0504856278*(RANDBETWEEN(2890,3282))</f>
        <v>98461085.575356796</v>
      </c>
      <c r="B6766">
        <v>242010774.9333632</v>
      </c>
    </row>
    <row r="6767" spans="1:2" x14ac:dyDescent="0.25">
      <c r="A6767">
        <f ca="1">25319.5100409474*(RANDBETWEEN(2890,3282))</f>
        <v>76743434.93411167</v>
      </c>
      <c r="B6767">
        <v>261326872.20624578</v>
      </c>
    </row>
    <row r="6768" spans="1:2" x14ac:dyDescent="0.25">
      <c r="A6768">
        <f ca="1">26966.1353298301*(RANDBETWEEN(2890,3282))</f>
        <v>87774770.498596907</v>
      </c>
      <c r="B6768">
        <v>238848191.60580593</v>
      </c>
    </row>
    <row r="6769" spans="1:2" x14ac:dyDescent="0.25">
      <c r="A6769">
        <f ca="1">28537.4210562262*(RANDBETWEEN(2890,3282))</f>
        <v>86382773.537196696</v>
      </c>
      <c r="B6769">
        <v>248564968.68324658</v>
      </c>
    </row>
    <row r="6770" spans="1:2" x14ac:dyDescent="0.25">
      <c r="A6770">
        <f ca="1">31621.7755852183*(RANDBETWEEN(2890,3282))</f>
        <v>101189681.87269856</v>
      </c>
      <c r="B6770">
        <v>262847860.12301072</v>
      </c>
    </row>
    <row r="6771" spans="1:2" x14ac:dyDescent="0.25">
      <c r="A6771">
        <f ca="1">29271.7949412225*(RANDBETWEEN(2890,3282))</f>
        <v>93699015.606853157</v>
      </c>
      <c r="B6771">
        <v>238424623.20213103</v>
      </c>
    </row>
    <row r="6772" spans="1:2" x14ac:dyDescent="0.25">
      <c r="A6772">
        <f ca="1">28337.7636031193*(RANDBETWEEN(2890,3282))</f>
        <v>86260152.407895252</v>
      </c>
      <c r="B6772">
        <v>248753071.56180659</v>
      </c>
    </row>
    <row r="6773" spans="1:2" x14ac:dyDescent="0.25">
      <c r="A6773">
        <f ca="1">31133.2668463606*(RANDBETWEEN(2890,3282))</f>
        <v>98785855.703502297</v>
      </c>
      <c r="B6773">
        <v>235019079.8960253</v>
      </c>
    </row>
    <row r="6774" spans="1:2" x14ac:dyDescent="0.25">
      <c r="A6774">
        <f ca="1">32465.9003938469*(RANDBETWEEN(2890,3282))</f>
        <v>99085928.002020836</v>
      </c>
      <c r="B6774">
        <v>251814685.81392404</v>
      </c>
    </row>
    <row r="6775" spans="1:2" x14ac:dyDescent="0.25">
      <c r="A6775">
        <f ca="1">27741.4436517363*(RANDBETWEEN(2890,3282))</f>
        <v>88689395.354600966</v>
      </c>
      <c r="B6775">
        <v>234681214.88724655</v>
      </c>
    </row>
    <row r="6776" spans="1:2" x14ac:dyDescent="0.25">
      <c r="A6776">
        <f ca="1">27710.3208515822*(RANDBETWEEN(2890,3282))</f>
        <v>86400780.415233314</v>
      </c>
      <c r="B6776">
        <v>225056135.4691053</v>
      </c>
    </row>
    <row r="6777" spans="1:2" x14ac:dyDescent="0.25">
      <c r="A6777">
        <f ca="1">33141.1783760807*(RANDBETWEEN(2890,3282))</f>
        <v>100185782.2308919</v>
      </c>
      <c r="B6777">
        <v>267480470.44923383</v>
      </c>
    </row>
    <row r="6778" spans="1:2" x14ac:dyDescent="0.25">
      <c r="A6778">
        <f ca="1">30221.5978540678*(RANDBETWEEN(2890,3282))</f>
        <v>92357203.042031258</v>
      </c>
      <c r="B6778">
        <v>236676076.93367958</v>
      </c>
    </row>
    <row r="6779" spans="1:2" x14ac:dyDescent="0.25">
      <c r="A6779">
        <f ca="1">27590.7062845221*(RANDBETWEEN(2890,3282))</f>
        <v>81696081.308469847</v>
      </c>
      <c r="B6779">
        <v>231334043.512205</v>
      </c>
    </row>
    <row r="6780" spans="1:2" x14ac:dyDescent="0.25">
      <c r="A6780">
        <f ca="1">29822.2004533273*(RANDBETWEEN(2890,3282))</f>
        <v>88243891.141395494</v>
      </c>
      <c r="B6780">
        <v>226902598.63467976</v>
      </c>
    </row>
    <row r="6781" spans="1:2" x14ac:dyDescent="0.25">
      <c r="A6781">
        <f ca="1">31704.7960456144*(RANDBETWEEN(2890,3282))</f>
        <v>102786948.77988185</v>
      </c>
      <c r="B6781">
        <v>216968572.22244942</v>
      </c>
    </row>
    <row r="6782" spans="1:2" x14ac:dyDescent="0.25">
      <c r="A6782">
        <f ca="1">28513.6467904059*(RANDBETWEEN(2890,3282))</f>
        <v>91528806.197202936</v>
      </c>
      <c r="B6782">
        <v>255088019.28275746</v>
      </c>
    </row>
    <row r="6783" spans="1:2" x14ac:dyDescent="0.25">
      <c r="A6783">
        <f ca="1">29606.9243016725*(RANDBETWEEN(2890,3282))</f>
        <v>93528273.868983582</v>
      </c>
      <c r="B6783">
        <v>254045478.83423543</v>
      </c>
    </row>
    <row r="6784" spans="1:2" x14ac:dyDescent="0.25">
      <c r="A6784">
        <f ca="1">33139.490398534*(RANDBETWEEN(2890,3282))</f>
        <v>104488813.22657762</v>
      </c>
      <c r="B6784">
        <v>236696037.63596934</v>
      </c>
    </row>
    <row r="6785" spans="1:2" x14ac:dyDescent="0.25">
      <c r="A6785">
        <f ca="1">30123.282208828*(RANDBETWEEN(2890,3282))</f>
        <v>95852283.988490775</v>
      </c>
      <c r="B6785">
        <v>234672928.6412541</v>
      </c>
    </row>
    <row r="6786" spans="1:2" x14ac:dyDescent="0.25">
      <c r="A6786">
        <f ca="1">28623.7519443641*(RANDBETWEEN(2890,3282))</f>
        <v>88762254.779473111</v>
      </c>
      <c r="B6786">
        <v>228576713.68246645</v>
      </c>
    </row>
    <row r="6787" spans="1:2" x14ac:dyDescent="0.25">
      <c r="A6787">
        <f ca="1">25669.3232870628*(RANDBETWEEN(2890,3282))</f>
        <v>81346085.49670203</v>
      </c>
      <c r="B6787">
        <v>238988300.71491191</v>
      </c>
    </row>
    <row r="6788" spans="1:2" x14ac:dyDescent="0.25">
      <c r="A6788">
        <f ca="1">27209.745158172*(RANDBETWEEN(2890,3282))</f>
        <v>80295957.961765543</v>
      </c>
      <c r="B6788">
        <v>220286745.42042309</v>
      </c>
    </row>
    <row r="6789" spans="1:2" x14ac:dyDescent="0.25">
      <c r="A6789">
        <f ca="1">32755.9725890633*(RANDBETWEEN(2890,3282))</f>
        <v>100331544.04030088</v>
      </c>
      <c r="B6789">
        <v>259518941.47153863</v>
      </c>
    </row>
    <row r="6790" spans="1:2" x14ac:dyDescent="0.25">
      <c r="A6790">
        <f ca="1">26171.7002355641*(RANDBETWEEN(2890,3282))</f>
        <v>80582665.025301963</v>
      </c>
      <c r="B6790">
        <v>237664654.6795333</v>
      </c>
    </row>
    <row r="6791" spans="1:2" x14ac:dyDescent="0.25">
      <c r="A6791">
        <f ca="1">27523.0635027468*(RANDBETWEEN(2890,3282))</f>
        <v>81413221.841124982</v>
      </c>
      <c r="B6791">
        <v>208839063.00208604</v>
      </c>
    </row>
    <row r="6792" spans="1:2" x14ac:dyDescent="0.25">
      <c r="A6792">
        <f ca="1">28649.7336429832*(RANDBETWEEN(2890,3282))</f>
        <v>90619107.512755945</v>
      </c>
      <c r="B6792">
        <v>253036187.61944211</v>
      </c>
    </row>
    <row r="6793" spans="1:2" x14ac:dyDescent="0.25">
      <c r="A6793">
        <f ca="1">32587.7480900928*(RANDBETWEEN(2890,3282))</f>
        <v>101967063.77390051</v>
      </c>
      <c r="B6793">
        <v>227040012.62287271</v>
      </c>
    </row>
    <row r="6794" spans="1:2" x14ac:dyDescent="0.25">
      <c r="A6794">
        <f ca="1">31536.5826833546*(RANDBETWEEN(2890,3282))</f>
        <v>93852870.065663159</v>
      </c>
      <c r="B6794">
        <v>262329350.94697797</v>
      </c>
    </row>
    <row r="6795" spans="1:2" x14ac:dyDescent="0.25">
      <c r="A6795">
        <f ca="1">31295.3589546908*(RANDBETWEEN(2890,3282))</f>
        <v>91163380.635014236</v>
      </c>
      <c r="B6795">
        <v>263096540.05250224</v>
      </c>
    </row>
    <row r="6796" spans="1:2" x14ac:dyDescent="0.25">
      <c r="A6796">
        <f ca="1">27025.531032494*(RANDBETWEEN(2890,3282))</f>
        <v>87211388.64185819</v>
      </c>
      <c r="B6796">
        <v>214011469.63587427</v>
      </c>
    </row>
    <row r="6797" spans="1:2" x14ac:dyDescent="0.25">
      <c r="A6797">
        <f ca="1">26289.9196578083*(RANDBETWEEN(2890,3282))</f>
        <v>80105385.197341874</v>
      </c>
      <c r="B6797">
        <v>228144738.32143885</v>
      </c>
    </row>
    <row r="6798" spans="1:2" x14ac:dyDescent="0.25">
      <c r="A6798">
        <f ca="1">31783.2463003017*(RANDBETWEEN(2890,3282))</f>
        <v>92807079.196880832</v>
      </c>
      <c r="B6798">
        <v>219389268.6495136</v>
      </c>
    </row>
    <row r="6799" spans="1:2" x14ac:dyDescent="0.25">
      <c r="A6799">
        <f ca="1">29010.4224219017*(RANDBETWEEN(2890,3282))</f>
        <v>89323090.6370354</v>
      </c>
      <c r="B6799">
        <v>226618128.87719116</v>
      </c>
    </row>
    <row r="6800" spans="1:2" x14ac:dyDescent="0.25">
      <c r="A6800">
        <f ca="1">31487.0713535144*(RANDBETWEEN(2890,3282))</f>
        <v>92571989.77933237</v>
      </c>
      <c r="B6800">
        <v>261623564.07572117</v>
      </c>
    </row>
    <row r="6801" spans="1:2" x14ac:dyDescent="0.25">
      <c r="A6801">
        <f ca="1">29477.0969971051*(RANDBETWEEN(2890,3282))</f>
        <v>93000241.025866732</v>
      </c>
      <c r="B6801">
        <v>255927286.39960656</v>
      </c>
    </row>
    <row r="6802" spans="1:2" x14ac:dyDescent="0.25">
      <c r="A6802">
        <f ca="1">32834.1319224406*(RANDBETWEEN(2890,3282))</f>
        <v>103263344.89607561</v>
      </c>
      <c r="B6802">
        <v>247712337.07211226</v>
      </c>
    </row>
    <row r="6803" spans="1:2" x14ac:dyDescent="0.25">
      <c r="A6803">
        <f ca="1">31971.7390248477*(RANDBETWEEN(2890,3282))</f>
        <v>96778454.028214097</v>
      </c>
      <c r="B6803">
        <v>238945777.99214971</v>
      </c>
    </row>
    <row r="6804" spans="1:2" x14ac:dyDescent="0.25">
      <c r="A6804">
        <f ca="1">28804.7396977667*(RANDBETWEEN(2890,3282))</f>
        <v>90936563.225849554</v>
      </c>
      <c r="B6804">
        <v>220416558.89395297</v>
      </c>
    </row>
    <row r="6805" spans="1:2" x14ac:dyDescent="0.25">
      <c r="A6805">
        <f ca="1">30499.321660406*(RANDBETWEEN(2890,3282))</f>
        <v>95218882.223787442</v>
      </c>
      <c r="B6805">
        <v>210583018.02618146</v>
      </c>
    </row>
    <row r="6806" spans="1:2" x14ac:dyDescent="0.25">
      <c r="A6806">
        <f ca="1">28112.1008616102*(RANDBETWEEN(2890,3282))</f>
        <v>87091288.469268456</v>
      </c>
      <c r="B6806">
        <v>229880053.49884334</v>
      </c>
    </row>
    <row r="6807" spans="1:2" x14ac:dyDescent="0.25">
      <c r="A6807">
        <f ca="1">26170.3340950598*(RANDBETWEEN(2890,3282))</f>
        <v>78196958.276038736</v>
      </c>
      <c r="B6807">
        <v>258689880.45191097</v>
      </c>
    </row>
    <row r="6808" spans="1:2" x14ac:dyDescent="0.25">
      <c r="A6808">
        <f ca="1">33924.1540770543*(RANDBETWEEN(2890,3282))</f>
        <v>100720813.45477426</v>
      </c>
      <c r="B6808">
        <v>260759915.84044862</v>
      </c>
    </row>
    <row r="6809" spans="1:2" x14ac:dyDescent="0.25">
      <c r="A6809">
        <f ca="1">32199.5312425031*(RANDBETWEEN(2890,3282))</f>
        <v>101170927.16394465</v>
      </c>
      <c r="B6809">
        <v>205105443.67278585</v>
      </c>
    </row>
    <row r="6810" spans="1:2" x14ac:dyDescent="0.25">
      <c r="A6810">
        <f ca="1">33324.1960246676*(RANDBETWEEN(2890,3282))</f>
        <v>104404706.14528349</v>
      </c>
      <c r="B6810">
        <v>232177417.0362097</v>
      </c>
    </row>
    <row r="6811" spans="1:2" x14ac:dyDescent="0.25">
      <c r="A6811">
        <f ca="1">28235.2315302455*(RANDBETWEEN(2890,3282))</f>
        <v>87952746.216714889</v>
      </c>
      <c r="B6811">
        <v>226461628.12942335</v>
      </c>
    </row>
    <row r="6812" spans="1:2" x14ac:dyDescent="0.25">
      <c r="A6812">
        <f ca="1">30120.9242200135*(RANDBETWEEN(2890,3282))</f>
        <v>90724223.750680551</v>
      </c>
      <c r="B6812">
        <v>266516413.76512229</v>
      </c>
    </row>
    <row r="6813" spans="1:2" x14ac:dyDescent="0.25">
      <c r="A6813">
        <f ca="1">29734.6515573683*(RANDBETWEEN(2890,3282))</f>
        <v>88460588.383170575</v>
      </c>
      <c r="B6813">
        <v>225982594.93398148</v>
      </c>
    </row>
    <row r="6814" spans="1:2" x14ac:dyDescent="0.25">
      <c r="A6814">
        <f ca="1">27082.0910742962*(RANDBETWEEN(2890,3282))</f>
        <v>84306549.514284134</v>
      </c>
      <c r="B6814">
        <v>210589664.18478066</v>
      </c>
    </row>
    <row r="6815" spans="1:2" x14ac:dyDescent="0.25">
      <c r="A6815">
        <f ca="1">27197.6279333169*(RANDBETWEEN(2890,3282))</f>
        <v>81674476.6837506</v>
      </c>
      <c r="B6815">
        <v>253259713.69284666</v>
      </c>
    </row>
    <row r="6816" spans="1:2" x14ac:dyDescent="0.25">
      <c r="A6816">
        <f ca="1">27246.9926056094*(RANDBETWEEN(2890,3282))</f>
        <v>81032556.009082288</v>
      </c>
      <c r="B6816">
        <v>212432404.17801434</v>
      </c>
    </row>
    <row r="6817" spans="1:2" x14ac:dyDescent="0.25">
      <c r="A6817">
        <f ca="1">29454.2070762493*(RANDBETWEEN(2890,3282))</f>
        <v>95608356.169505209</v>
      </c>
      <c r="B6817">
        <v>248457653.08016962</v>
      </c>
    </row>
    <row r="6818" spans="1:2" x14ac:dyDescent="0.25">
      <c r="A6818">
        <f ca="1">29974.0465610716*(RANDBETWEEN(2890,3282))</f>
        <v>96456481.83352834</v>
      </c>
      <c r="B6818">
        <v>249816979.64107618</v>
      </c>
    </row>
    <row r="6819" spans="1:2" x14ac:dyDescent="0.25">
      <c r="A6819">
        <f ca="1">27488.8537480219*(RANDBETWEEN(2890,3282))</f>
        <v>84858091.520143509</v>
      </c>
      <c r="B6819">
        <v>237715737.82145318</v>
      </c>
    </row>
    <row r="6820" spans="1:2" x14ac:dyDescent="0.25">
      <c r="A6820">
        <f ca="1">27373.567361433*(RANDBETWEEN(2890,3282))</f>
        <v>81190000.794010341</v>
      </c>
      <c r="B6820">
        <v>218471654.92876312</v>
      </c>
    </row>
    <row r="6821" spans="1:2" x14ac:dyDescent="0.25">
      <c r="A6821">
        <f ca="1">26909.6527487703*(RANDBETWEEN(2890,3282))</f>
        <v>88021474.141227633</v>
      </c>
      <c r="B6821">
        <v>225958714.29862729</v>
      </c>
    </row>
    <row r="6822" spans="1:2" x14ac:dyDescent="0.25">
      <c r="A6822">
        <f ca="1">29770.101545816*(RANDBETWEEN(2890,3282))</f>
        <v>93478118.853862122</v>
      </c>
      <c r="B6822">
        <v>263591813.09520099</v>
      </c>
    </row>
    <row r="6823" spans="1:2" x14ac:dyDescent="0.25">
      <c r="A6823">
        <f ca="1">28651.9184442554*(RANDBETWEEN(2890,3282))</f>
        <v>90368150.773181573</v>
      </c>
      <c r="B6823">
        <v>242237849.60909951</v>
      </c>
    </row>
    <row r="6824" spans="1:2" x14ac:dyDescent="0.25">
      <c r="A6824">
        <f ca="1">27480.7076923112*(RANDBETWEEN(2890,3282))</f>
        <v>80490992.830779478</v>
      </c>
      <c r="B6824">
        <v>232879939.34548497</v>
      </c>
    </row>
    <row r="6825" spans="1:2" x14ac:dyDescent="0.25">
      <c r="A6825">
        <f ca="1">27279.0402396508*(RANDBETWEEN(2890,3282))</f>
        <v>80855075.270324886</v>
      </c>
      <c r="B6825">
        <v>231900757.19465709</v>
      </c>
    </row>
    <row r="6826" spans="1:2" x14ac:dyDescent="0.25">
      <c r="A6826">
        <f ca="1">33094.8277940861*(RANDBETWEEN(2890,3282))</f>
        <v>100939224.77196261</v>
      </c>
      <c r="B6826">
        <v>234453562.94351113</v>
      </c>
    </row>
    <row r="6827" spans="1:2" x14ac:dyDescent="0.25">
      <c r="A6827">
        <f ca="1">29669.030806204*(RANDBETWEEN(2890,3282))</f>
        <v>89956501.404410377</v>
      </c>
      <c r="B6827">
        <v>228399917.02321872</v>
      </c>
    </row>
    <row r="6828" spans="1:2" x14ac:dyDescent="0.25">
      <c r="A6828">
        <f ca="1">30402.2529899734*(RANDBETWEEN(2890,3282))</f>
        <v>98108070.39864406</v>
      </c>
      <c r="B6828">
        <v>245420583.64823499</v>
      </c>
    </row>
    <row r="6829" spans="1:2" x14ac:dyDescent="0.25">
      <c r="A6829">
        <f ca="1">29568.913998416*(RANDBETWEEN(2890,3282))</f>
        <v>92698545.385034144</v>
      </c>
      <c r="B6829">
        <v>221257396.39690524</v>
      </c>
    </row>
    <row r="6830" spans="1:2" x14ac:dyDescent="0.25">
      <c r="A6830">
        <f ca="1">29809.5354990497*(RANDBETWEEN(2890,3282))</f>
        <v>90084416.278128177</v>
      </c>
      <c r="B6830">
        <v>222794016.94361535</v>
      </c>
    </row>
    <row r="6831" spans="1:2" x14ac:dyDescent="0.25">
      <c r="A6831">
        <f ca="1">26512.6311158979*(RANDBETWEEN(2890,3282))</f>
        <v>82639871.188253686</v>
      </c>
      <c r="B6831">
        <v>266675605.74578044</v>
      </c>
    </row>
    <row r="6832" spans="1:2" x14ac:dyDescent="0.25">
      <c r="A6832">
        <f ca="1">33405.5214976622*(RANDBETWEEN(2890,3282))</f>
        <v>102254301.30434401</v>
      </c>
      <c r="B6832">
        <v>249620399.39178684</v>
      </c>
    </row>
    <row r="6833" spans="1:2" x14ac:dyDescent="0.25">
      <c r="A6833">
        <f ca="1">28525.3857132362*(RANDBETWEEN(2890,3282))</f>
        <v>83436753.211215973</v>
      </c>
      <c r="B6833">
        <v>214436351.35040665</v>
      </c>
    </row>
    <row r="6834" spans="1:2" x14ac:dyDescent="0.25">
      <c r="A6834">
        <f ca="1">30212.3388202664*(RANDBETWEEN(2890,3282))</f>
        <v>95470990.672041878</v>
      </c>
      <c r="B6834">
        <v>225112795.74781087</v>
      </c>
    </row>
    <row r="6835" spans="1:2" x14ac:dyDescent="0.25">
      <c r="A6835">
        <f ca="1">34013.9932205891*(RANDBETWEEN(2890,3282))</f>
        <v>103572609.35669392</v>
      </c>
      <c r="B6835">
        <v>245391169.68279159</v>
      </c>
    </row>
    <row r="6836" spans="1:2" x14ac:dyDescent="0.25">
      <c r="A6836">
        <f ca="1">25741.1092707896*(RANDBETWEEN(2890,3282))</f>
        <v>78098525.527575701</v>
      </c>
      <c r="B6836">
        <v>211430504.23082411</v>
      </c>
    </row>
    <row r="6837" spans="1:2" x14ac:dyDescent="0.25">
      <c r="A6837">
        <f ca="1">29917.2951538858*(RANDBETWEEN(2890,3282))</f>
        <v>95555840.721511185</v>
      </c>
      <c r="B6837">
        <v>231806524.48044893</v>
      </c>
    </row>
    <row r="6838" spans="1:2" x14ac:dyDescent="0.25">
      <c r="A6838">
        <f ca="1">30837.1131952496*(RANDBETWEEN(2890,3282))</f>
        <v>96273467.395569131</v>
      </c>
      <c r="B6838">
        <v>209910033.35035488</v>
      </c>
    </row>
    <row r="6839" spans="1:2" x14ac:dyDescent="0.25">
      <c r="A6839">
        <f ca="1">24921.785124298*(RANDBETWEEN(2890,3282))</f>
        <v>74715511.802645415</v>
      </c>
      <c r="B6839">
        <v>226915563.61595878</v>
      </c>
    </row>
    <row r="6840" spans="1:2" x14ac:dyDescent="0.25">
      <c r="A6840">
        <f ca="1">30370.5094520021*(RANDBETWEEN(2890,3282))</f>
        <v>97307112.284214824</v>
      </c>
      <c r="B6840">
        <v>251333710.53362358</v>
      </c>
    </row>
    <row r="6841" spans="1:2" x14ac:dyDescent="0.25">
      <c r="A6841">
        <f ca="1">32729.0061341781*(RANDBETWEEN(2890,3282))</f>
        <v>99725281.690840721</v>
      </c>
      <c r="B6841">
        <v>236935766.27303785</v>
      </c>
    </row>
    <row r="6842" spans="1:2" x14ac:dyDescent="0.25">
      <c r="A6842">
        <f ca="1">29272.0885454865*(RANDBETWEEN(2890,3282))</f>
        <v>85591586.907002494</v>
      </c>
      <c r="B6842">
        <v>222963718.24478635</v>
      </c>
    </row>
    <row r="6843" spans="1:2" x14ac:dyDescent="0.25">
      <c r="A6843">
        <f ca="1">27423.2415056462*(RANDBETWEEN(2890,3282))</f>
        <v>85834745.91267249</v>
      </c>
      <c r="B6843">
        <v>246218322.51699165</v>
      </c>
    </row>
    <row r="6844" spans="1:2" x14ac:dyDescent="0.25">
      <c r="A6844">
        <f ca="1">28529.9772372551*(RANDBETWEEN(2890,3282))</f>
        <v>89897958.274590939</v>
      </c>
      <c r="B6844">
        <v>262295843.19296312</v>
      </c>
    </row>
    <row r="6845" spans="1:2" x14ac:dyDescent="0.25">
      <c r="A6845">
        <f ca="1">29265.9272876391*(RANDBETWEEN(2890,3282))</f>
        <v>88383100.408670187</v>
      </c>
      <c r="B6845">
        <v>239918519.29548162</v>
      </c>
    </row>
    <row r="6846" spans="1:2" x14ac:dyDescent="0.25">
      <c r="A6846">
        <f ca="1">33792.5341546152*(RANDBETWEEN(2890,3282))</f>
        <v>101141054.7247632</v>
      </c>
      <c r="B6846">
        <v>253615647.21689108</v>
      </c>
    </row>
    <row r="6847" spans="1:2" x14ac:dyDescent="0.25">
      <c r="A6847">
        <f ca="1">26766.2356456454*(RANDBETWEEN(2890,3282))</f>
        <v>78853330.21207127</v>
      </c>
      <c r="B6847">
        <v>253619520.44747865</v>
      </c>
    </row>
    <row r="6848" spans="1:2" x14ac:dyDescent="0.25">
      <c r="A6848">
        <f ca="1">31516.4596515519*(RANDBETWEEN(2890,3282))</f>
        <v>99938693.555070952</v>
      </c>
      <c r="B6848">
        <v>234560824.37685275</v>
      </c>
    </row>
    <row r="6849" spans="1:2" x14ac:dyDescent="0.25">
      <c r="A6849">
        <f ca="1">32216.4512887771*(RANDBETWEEN(2890,3282))</f>
        <v>94394202.276116773</v>
      </c>
      <c r="B6849">
        <v>219833231.73777094</v>
      </c>
    </row>
    <row r="6850" spans="1:2" x14ac:dyDescent="0.25">
      <c r="A6850">
        <f ca="1">28765.3803427832*(RANDBETWEEN(2890,3282))</f>
        <v>87878236.947202578</v>
      </c>
      <c r="B6850">
        <v>227930464.49848005</v>
      </c>
    </row>
    <row r="6851" spans="1:2" x14ac:dyDescent="0.25">
      <c r="A6851">
        <f ca="1">28445.838138482*(RANDBETWEEN(2890,3282))</f>
        <v>82322255.572766796</v>
      </c>
      <c r="B6851">
        <v>256611166.27236792</v>
      </c>
    </row>
    <row r="6852" spans="1:2" x14ac:dyDescent="0.25">
      <c r="A6852">
        <f ca="1">29220.7691155893*(RANDBETWEEN(2890,3282))</f>
        <v>91548669.639141217</v>
      </c>
      <c r="B6852">
        <v>240607289.91480207</v>
      </c>
    </row>
    <row r="6853" spans="1:2" x14ac:dyDescent="0.25">
      <c r="A6853">
        <f ca="1">31745.3920824463*(RANDBETWEEN(2890,3282))</f>
        <v>98378970.063501135</v>
      </c>
      <c r="B6853">
        <v>243598511.73434067</v>
      </c>
    </row>
    <row r="6854" spans="1:2" x14ac:dyDescent="0.25">
      <c r="A6854">
        <f ca="1">27781.328797877*(RANDBETWEEN(2890,3282))</f>
        <v>83732924.996801153</v>
      </c>
      <c r="B6854">
        <v>244082107.71599662</v>
      </c>
    </row>
    <row r="6855" spans="1:2" x14ac:dyDescent="0.25">
      <c r="A6855">
        <f ca="1">30277.0841401191*(RANDBETWEEN(2890,3282))</f>
        <v>97007777.584941655</v>
      </c>
      <c r="B6855">
        <v>257668886.01419738</v>
      </c>
    </row>
    <row r="6856" spans="1:2" x14ac:dyDescent="0.25">
      <c r="A6856">
        <f ca="1">32925.7699311666*(RANDBETWEEN(2890,3282))</f>
        <v>104802725.69090335</v>
      </c>
      <c r="B6856">
        <v>259645520.38146156</v>
      </c>
    </row>
    <row r="6857" spans="1:2" x14ac:dyDescent="0.25">
      <c r="A6857">
        <f ca="1">27279.4549677063*(RANDBETWEEN(2890,3282))</f>
        <v>83584250.021052152</v>
      </c>
      <c r="B6857">
        <v>254859927.82433939</v>
      </c>
    </row>
    <row r="6858" spans="1:2" x14ac:dyDescent="0.25">
      <c r="A6858">
        <f ca="1">30432.1967851729*(RANDBETWEEN(2890,3282))</f>
        <v>88709853.628778934</v>
      </c>
      <c r="B6858">
        <v>254652320.58582532</v>
      </c>
    </row>
    <row r="6859" spans="1:2" x14ac:dyDescent="0.25">
      <c r="A6859">
        <f ca="1">28639.2558747626*(RANDBETWEEN(2890,3282))</f>
        <v>85373621.762667432</v>
      </c>
      <c r="B6859">
        <v>246769532.05657151</v>
      </c>
    </row>
    <row r="6860" spans="1:2" x14ac:dyDescent="0.25">
      <c r="A6860">
        <f ca="1">30018.8189138574*(RANDBETWEEN(2890,3282))</f>
        <v>93778790.286890417</v>
      </c>
      <c r="B6860">
        <v>246474141.03249663</v>
      </c>
    </row>
    <row r="6861" spans="1:2" x14ac:dyDescent="0.25">
      <c r="A6861">
        <f ca="1">31956.2905379423*(RANDBETWEEN(2890,3282))</f>
        <v>103762075.37669873</v>
      </c>
      <c r="B6861">
        <v>222114867.07230058</v>
      </c>
    </row>
    <row r="6862" spans="1:2" x14ac:dyDescent="0.25">
      <c r="A6862">
        <f ca="1">30166.848738569*(RANDBETWEEN(2890,3282))</f>
        <v>88811202.686347187</v>
      </c>
      <c r="B6862">
        <v>213808947.72495392</v>
      </c>
    </row>
    <row r="6863" spans="1:2" x14ac:dyDescent="0.25">
      <c r="A6863">
        <f ca="1">31629.2883644423*(RANDBETWEEN(2890,3282))</f>
        <v>101308610.63130881</v>
      </c>
      <c r="B6863">
        <v>250509483.77177551</v>
      </c>
    </row>
    <row r="6864" spans="1:2" x14ac:dyDescent="0.25">
      <c r="A6864">
        <f ca="1">33191.3573455139*(RANDBETWEEN(2890,3282))</f>
        <v>104486392.9236778</v>
      </c>
      <c r="B6864">
        <v>234109763.45105144</v>
      </c>
    </row>
    <row r="6865" spans="1:2" x14ac:dyDescent="0.25">
      <c r="A6865">
        <f ca="1">34388.300523517*(RANDBETWEEN(2890,3282))</f>
        <v>108804582.85640772</v>
      </c>
      <c r="B6865">
        <v>255509939.04881033</v>
      </c>
    </row>
    <row r="6866" spans="1:2" x14ac:dyDescent="0.25">
      <c r="A6866">
        <f ca="1">31695.2015023293*(RANDBETWEEN(2890,3282))</f>
        <v>103326356.89759351</v>
      </c>
      <c r="B6866">
        <v>255539913.08216029</v>
      </c>
    </row>
    <row r="6867" spans="1:2" x14ac:dyDescent="0.25">
      <c r="A6867">
        <f ca="1">33982.9600125227*(RANDBETWEEN(2890,3282))</f>
        <v>101914897.07755567</v>
      </c>
      <c r="B6867">
        <v>234797877.50122046</v>
      </c>
    </row>
    <row r="6868" spans="1:2" x14ac:dyDescent="0.25">
      <c r="A6868">
        <f ca="1">27865.9174960852*(RANDBETWEEN(2890,3282))</f>
        <v>82343786.200931728</v>
      </c>
      <c r="B6868">
        <v>254404447.39813721</v>
      </c>
    </row>
    <row r="6869" spans="1:2" x14ac:dyDescent="0.25">
      <c r="A6869">
        <f ca="1">32801.9248228913*(RANDBETWEEN(2890,3282))</f>
        <v>104014903.61338846</v>
      </c>
      <c r="B6869">
        <v>243661329.94514394</v>
      </c>
    </row>
    <row r="6870" spans="1:2" x14ac:dyDescent="0.25">
      <c r="A6870">
        <f ca="1">32488.6267013829*(RANDBETWEEN(2890,3282))</f>
        <v>96133846.409391925</v>
      </c>
      <c r="B6870">
        <v>233170598.4399282</v>
      </c>
    </row>
    <row r="6871" spans="1:2" x14ac:dyDescent="0.25">
      <c r="A6871">
        <f ca="1">28957.8989221381*(RANDBETWEEN(2890,3282))</f>
        <v>86004959.798750222</v>
      </c>
      <c r="B6871">
        <v>264046663.14686188</v>
      </c>
    </row>
    <row r="6872" spans="1:2" x14ac:dyDescent="0.25">
      <c r="A6872">
        <f ca="1">30654.5044123363*(RANDBETWEEN(2890,3282))</f>
        <v>91810240.714947239</v>
      </c>
      <c r="B6872">
        <v>247954373.23490828</v>
      </c>
    </row>
    <row r="6873" spans="1:2" x14ac:dyDescent="0.25">
      <c r="A6873">
        <f ca="1">31681.4149030917*(RANDBETWEEN(2890,3282))</f>
        <v>98212386.19958441</v>
      </c>
      <c r="B6873">
        <v>250017878.51341429</v>
      </c>
    </row>
    <row r="6874" spans="1:2" x14ac:dyDescent="0.25">
      <c r="A6874">
        <f ca="1">29468.9796821162*(RANDBETWEEN(2890,3282))</f>
        <v>87788090.473024279</v>
      </c>
      <c r="B6874">
        <v>212988091.98527461</v>
      </c>
    </row>
    <row r="6875" spans="1:2" x14ac:dyDescent="0.25">
      <c r="A6875">
        <f ca="1">30333.5521364815*(RANDBETWEEN(2890,3282))</f>
        <v>88786307.103481218</v>
      </c>
      <c r="B6875">
        <v>247508285.67970005</v>
      </c>
    </row>
    <row r="6876" spans="1:2" x14ac:dyDescent="0.25">
      <c r="A6876">
        <f ca="1">29568.1636927948*(RANDBETWEEN(2890,3282))</f>
        <v>96007827.510504633</v>
      </c>
      <c r="B6876">
        <v>227323014.70448098</v>
      </c>
    </row>
    <row r="6877" spans="1:2" x14ac:dyDescent="0.25">
      <c r="A6877">
        <f ca="1">29541.0971151465*(RANDBETWEEN(2890,3282))</f>
        <v>86555414.547379375</v>
      </c>
      <c r="B6877">
        <v>238834230.30143476</v>
      </c>
    </row>
    <row r="6878" spans="1:2" x14ac:dyDescent="0.25">
      <c r="A6878">
        <f ca="1">30320.8621841715*(RANDBETWEEN(2890,3282))</f>
        <v>94206918.8062208</v>
      </c>
      <c r="B6878">
        <v>216477269.18650156</v>
      </c>
    </row>
    <row r="6879" spans="1:2" x14ac:dyDescent="0.25">
      <c r="A6879">
        <f ca="1">27307.7147511683*(RANDBETWEEN(2890,3282))</f>
        <v>80721604.804453582</v>
      </c>
      <c r="B6879">
        <v>247567406.91310665</v>
      </c>
    </row>
    <row r="6880" spans="1:2" x14ac:dyDescent="0.25">
      <c r="A6880">
        <f ca="1">25677.449287042*(RANDBETWEEN(2890,3282))</f>
        <v>84042291.516488403</v>
      </c>
      <c r="B6880">
        <v>205682280.05602968</v>
      </c>
    </row>
    <row r="6881" spans="1:2" x14ac:dyDescent="0.25">
      <c r="A6881">
        <f ca="1">29566.9688206018*(RANDBETWEEN(2890,3282))</f>
        <v>88937442.212370142</v>
      </c>
      <c r="B6881">
        <v>228950412.22477221</v>
      </c>
    </row>
    <row r="6882" spans="1:2" x14ac:dyDescent="0.25">
      <c r="A6882">
        <f ca="1">32228.690577177*(RANDBETWEEN(2890,3282))</f>
        <v>105001073.90044256</v>
      </c>
      <c r="B6882">
        <v>252283382.38732129</v>
      </c>
    </row>
    <row r="6883" spans="1:2" x14ac:dyDescent="0.25">
      <c r="A6883">
        <f ca="1">32167.2353042288*(RANDBETWEEN(2890,3282))</f>
        <v>101519794.62014624</v>
      </c>
      <c r="B6883">
        <v>210659692.59472835</v>
      </c>
    </row>
    <row r="6884" spans="1:2" x14ac:dyDescent="0.25">
      <c r="A6884">
        <f ca="1">26701.2162777051*(RANDBETWEEN(2890,3282))</f>
        <v>85497294.521211728</v>
      </c>
      <c r="B6884">
        <v>227457783.59784943</v>
      </c>
    </row>
    <row r="6885" spans="1:2" x14ac:dyDescent="0.25">
      <c r="A6885">
        <f ca="1">26255.405075434*(RANDBETWEEN(2890,3282))</f>
        <v>77269657.137002364</v>
      </c>
      <c r="B6885">
        <v>207939773.48938271</v>
      </c>
    </row>
    <row r="6886" spans="1:2" x14ac:dyDescent="0.25">
      <c r="A6886">
        <f ca="1">26657.1330570255*(RANDBETWEEN(2890,3282))</f>
        <v>81864055.618125409</v>
      </c>
      <c r="B6886">
        <v>231131843.86646169</v>
      </c>
    </row>
    <row r="6887" spans="1:2" x14ac:dyDescent="0.25">
      <c r="A6887">
        <f ca="1">30886.1138511093*(RANDBETWEEN(2890,3282))</f>
        <v>98186955.932676569</v>
      </c>
      <c r="B6887">
        <v>251229142.56030989</v>
      </c>
    </row>
    <row r="6888" spans="1:2" x14ac:dyDescent="0.25">
      <c r="A6888">
        <f ca="1">31293.244663497*(RANDBETWEEN(2890,3282))</f>
        <v>97697509.839437708</v>
      </c>
      <c r="B6888">
        <v>229603848.16892588</v>
      </c>
    </row>
    <row r="6889" spans="1:2" x14ac:dyDescent="0.25">
      <c r="A6889">
        <f ca="1">29024.9365316579*(RANDBETWEEN(2890,3282))</f>
        <v>91631724.630443946</v>
      </c>
      <c r="B6889">
        <v>242496590.39446524</v>
      </c>
    </row>
    <row r="6890" spans="1:2" x14ac:dyDescent="0.25">
      <c r="A6890">
        <f ca="1">29256.5709890905*(RANDBETWEEN(2890,3282))</f>
        <v>91456040.911896914</v>
      </c>
      <c r="B6890">
        <v>249755237.31097752</v>
      </c>
    </row>
    <row r="6891" spans="1:2" x14ac:dyDescent="0.25">
      <c r="A6891">
        <f ca="1">29526.7479709993*(RANDBETWEEN(2890,3282))</f>
        <v>96759153.100964755</v>
      </c>
      <c r="B6891">
        <v>251716926.18882638</v>
      </c>
    </row>
    <row r="6892" spans="1:2" x14ac:dyDescent="0.25">
      <c r="A6892">
        <f ca="1">27755.9824557401*(RANDBETWEEN(2890,3282))</f>
        <v>90817574.595181689</v>
      </c>
      <c r="B6892">
        <v>242098858.52135456</v>
      </c>
    </row>
    <row r="6893" spans="1:2" x14ac:dyDescent="0.25">
      <c r="A6893">
        <f ca="1">28083.615348173*(RANDBETWEEN(2890,3282))</f>
        <v>84672100.27474162</v>
      </c>
      <c r="B6893">
        <v>204717520.52461457</v>
      </c>
    </row>
    <row r="6894" spans="1:2" x14ac:dyDescent="0.25">
      <c r="A6894">
        <f ca="1">27929.3737686533*(RANDBETWEEN(2890,3282))</f>
        <v>88452326.725324973</v>
      </c>
      <c r="B6894">
        <v>230083622.21684226</v>
      </c>
    </row>
    <row r="6895" spans="1:2" x14ac:dyDescent="0.25">
      <c r="A6895">
        <f ca="1">31006.5242798836*(RANDBETWEEN(2890,3282))</f>
        <v>97856590.627312601</v>
      </c>
      <c r="B6895">
        <v>264662549.85917723</v>
      </c>
    </row>
    <row r="6896" spans="1:2" x14ac:dyDescent="0.25">
      <c r="A6896">
        <f ca="1">30748.5862238061*(RANDBETWEEN(2890,3282))</f>
        <v>98733710.364641234</v>
      </c>
      <c r="B6896">
        <v>262503957.24209857</v>
      </c>
    </row>
    <row r="6897" spans="1:2" x14ac:dyDescent="0.25">
      <c r="A6897">
        <f ca="1">32857.4011621397*(RANDBETWEEN(2890,3282))</f>
        <v>100740791.96312043</v>
      </c>
      <c r="B6897">
        <v>267279001.11187062</v>
      </c>
    </row>
    <row r="6898" spans="1:2" x14ac:dyDescent="0.25">
      <c r="A6898">
        <f ca="1">27091.502813191*(RANDBETWEEN(2890,3282))</f>
        <v>80922318.903001487</v>
      </c>
      <c r="B6898">
        <v>225215355.80027387</v>
      </c>
    </row>
    <row r="6899" spans="1:2" x14ac:dyDescent="0.25">
      <c r="A6899">
        <f ca="1">29673.0974964636*(RANDBETWEEN(2890,3282))</f>
        <v>90324908.779235139</v>
      </c>
      <c r="B6899">
        <v>212739443.72800899</v>
      </c>
    </row>
    <row r="6900" spans="1:2" x14ac:dyDescent="0.25">
      <c r="A6900">
        <f ca="1">29743.3908287047*(RANDBETWEEN(2890,3282))</f>
        <v>89349146.049428999</v>
      </c>
      <c r="B6900">
        <v>243558709.26351368</v>
      </c>
    </row>
    <row r="6901" spans="1:2" x14ac:dyDescent="0.25">
      <c r="A6901">
        <f ca="1">28647.9225789037*(RANDBETWEEN(2890,3282))</f>
        <v>84568667.452923864</v>
      </c>
      <c r="B6901">
        <v>234342776.52599663</v>
      </c>
    </row>
    <row r="6902" spans="1:2" x14ac:dyDescent="0.25">
      <c r="A6902">
        <f ca="1">27561.2370755726*(RANDBETWEEN(2890,3282))</f>
        <v>85798131.016257644</v>
      </c>
      <c r="B6902">
        <v>208580235.43889496</v>
      </c>
    </row>
    <row r="6903" spans="1:2" x14ac:dyDescent="0.25">
      <c r="A6903">
        <f ca="1">29397.7673318974*(RANDBETWEEN(2890,3282))</f>
        <v>94572617.506713897</v>
      </c>
      <c r="B6903">
        <v>229512623.43829453</v>
      </c>
    </row>
    <row r="6904" spans="1:2" x14ac:dyDescent="0.25">
      <c r="A6904">
        <f ca="1">30692.8708269446*(RANDBETWEEN(2890,3282))</f>
        <v>98309265.258703455</v>
      </c>
      <c r="B6904">
        <v>219113174.28080297</v>
      </c>
    </row>
    <row r="6905" spans="1:2" x14ac:dyDescent="0.25">
      <c r="A6905">
        <f ca="1">28284.9544115633*(RANDBETWEEN(2890,3282))</f>
        <v>89041036.487601236</v>
      </c>
      <c r="B6905">
        <v>216580137.94326544</v>
      </c>
    </row>
    <row r="6906" spans="1:2" x14ac:dyDescent="0.25">
      <c r="A6906">
        <f ca="1">29697.0598210069*(RANDBETWEEN(2890,3282))</f>
        <v>93783314.914739728</v>
      </c>
      <c r="B6906">
        <v>234553883.02662656</v>
      </c>
    </row>
    <row r="6907" spans="1:2" x14ac:dyDescent="0.25">
      <c r="A6907">
        <f ca="1">26793.1070050819*(RANDBETWEEN(2890,3282))</f>
        <v>84317907.744992808</v>
      </c>
      <c r="B6907">
        <v>230270479.98103431</v>
      </c>
    </row>
    <row r="6908" spans="1:2" x14ac:dyDescent="0.25">
      <c r="A6908">
        <f ca="1">26743.1854059436*(RANDBETWEEN(2890,3282))</f>
        <v>81031851.78000921</v>
      </c>
      <c r="B6908">
        <v>206068673.40645814</v>
      </c>
    </row>
    <row r="6909" spans="1:2" x14ac:dyDescent="0.25">
      <c r="A6909">
        <f ca="1">30238.8213329782*(RANDBETWEEN(2890,3282))</f>
        <v>94707988.414887622</v>
      </c>
      <c r="B6909">
        <v>235170956.15056181</v>
      </c>
    </row>
    <row r="6910" spans="1:2" x14ac:dyDescent="0.25">
      <c r="A6910">
        <f ca="1">31124.6147776099*(RANDBETWEEN(2890,3282))</f>
        <v>96641928.884478807</v>
      </c>
      <c r="B6910">
        <v>228505201.93576968</v>
      </c>
    </row>
    <row r="6911" spans="1:2" x14ac:dyDescent="0.25">
      <c r="A6911">
        <f ca="1">28951.3923163748*(RANDBETWEEN(2890,3282))</f>
        <v>92210184.527653798</v>
      </c>
      <c r="B6911">
        <v>231632955.04737735</v>
      </c>
    </row>
    <row r="6912" spans="1:2" x14ac:dyDescent="0.25">
      <c r="A6912">
        <f ca="1">32053.1167832871*(RANDBETWEEN(2890,3282))</f>
        <v>93627154.12398164</v>
      </c>
      <c r="B6912">
        <v>225709401.08061346</v>
      </c>
    </row>
    <row r="6913" spans="1:2" x14ac:dyDescent="0.25">
      <c r="A6913">
        <f ca="1">26656.6625379948*(RANDBETWEEN(2890,3282))</f>
        <v>79276914.38799645</v>
      </c>
      <c r="B6913">
        <v>204887309.72366351</v>
      </c>
    </row>
    <row r="6914" spans="1:2" x14ac:dyDescent="0.25">
      <c r="A6914">
        <f ca="1">31932.9596395511*(RANDBETWEEN(2890,3282))</f>
        <v>103845984.74782033</v>
      </c>
      <c r="B6914">
        <v>217461711.16428012</v>
      </c>
    </row>
    <row r="6915" spans="1:2" x14ac:dyDescent="0.25">
      <c r="A6915">
        <f ca="1">28178.6973675785*(RANDBETWEEN(2890,3282))</f>
        <v>82845370.260680735</v>
      </c>
      <c r="B6915">
        <v>261135747.04833427</v>
      </c>
    </row>
    <row r="6916" spans="1:2" x14ac:dyDescent="0.25">
      <c r="A6916">
        <f ca="1">29188.8747403542*(RANDBETWEEN(2890,3282))</f>
        <v>92353599.678480774</v>
      </c>
      <c r="B6916">
        <v>247420448.88183475</v>
      </c>
    </row>
    <row r="6917" spans="1:2" x14ac:dyDescent="0.25">
      <c r="A6917">
        <f ca="1">26102.6529500781*(RANDBETWEEN(2890,3282))</f>
        <v>77681495.179432347</v>
      </c>
      <c r="B6917">
        <v>221528225.10082686</v>
      </c>
    </row>
    <row r="6918" spans="1:2" x14ac:dyDescent="0.25">
      <c r="A6918">
        <f ca="1">30049.3748987063*(RANDBETWEEN(2890,3282))</f>
        <v>97329925.2969096</v>
      </c>
      <c r="B6918">
        <v>214945025.50273278</v>
      </c>
    </row>
    <row r="6919" spans="1:2" x14ac:dyDescent="0.25">
      <c r="A6919">
        <f ca="1">27220.878074662*(RANDBETWEEN(2890,3282))</f>
        <v>80682682.613298118</v>
      </c>
      <c r="B6919">
        <v>212681769.80196071</v>
      </c>
    </row>
    <row r="6920" spans="1:2" x14ac:dyDescent="0.25">
      <c r="A6920">
        <f ca="1">30890.7027903492*(RANDBETWEEN(2890,3282))</f>
        <v>91838059.395708174</v>
      </c>
      <c r="B6920">
        <v>236968317.01461709</v>
      </c>
    </row>
    <row r="6921" spans="1:2" x14ac:dyDescent="0.25">
      <c r="A6921">
        <f ca="1">28226.6632060002*(RANDBETWEEN(2890,3282))</f>
        <v>82054909.939842537</v>
      </c>
      <c r="B6921">
        <v>264121126.32261416</v>
      </c>
    </row>
    <row r="6922" spans="1:2" x14ac:dyDescent="0.25">
      <c r="A6922">
        <f ca="1">26855.6711671115*(RANDBETWEEN(2890,3282))</f>
        <v>78606549.506135285</v>
      </c>
      <c r="B6922">
        <v>212995613.72670123</v>
      </c>
    </row>
    <row r="6923" spans="1:2" x14ac:dyDescent="0.25">
      <c r="A6923">
        <f ca="1">27432.9361927458*(RANDBETWEEN(2890,3282))</f>
        <v>85782791.474716097</v>
      </c>
      <c r="B6923">
        <v>252100828.9819352</v>
      </c>
    </row>
    <row r="6924" spans="1:2" x14ac:dyDescent="0.25">
      <c r="A6924">
        <f ca="1">30216.5789028851*(RANDBETWEEN(2890,3282))</f>
        <v>95091573.807379544</v>
      </c>
      <c r="B6924">
        <v>263192968.47076842</v>
      </c>
    </row>
    <row r="6925" spans="1:2" x14ac:dyDescent="0.25">
      <c r="A6925">
        <f ca="1">29147.0115467249*(RANDBETWEEN(2890,3282))</f>
        <v>86916388.432333514</v>
      </c>
      <c r="B6925">
        <v>258990972.17630768</v>
      </c>
    </row>
    <row r="6926" spans="1:2" x14ac:dyDescent="0.25">
      <c r="A6926">
        <f ca="1">32964.8410242484*(RANDBETWEEN(2890,3282))</f>
        <v>104729299.93403718</v>
      </c>
      <c r="B6926">
        <v>234631943.31325635</v>
      </c>
    </row>
    <row r="6927" spans="1:2" x14ac:dyDescent="0.25">
      <c r="A6927">
        <f ca="1">34928.8061573107*(RANDBETWEEN(2890,3282))</f>
        <v>101572968.30545965</v>
      </c>
      <c r="B6927">
        <v>263442825.5719651</v>
      </c>
    </row>
    <row r="6928" spans="1:2" x14ac:dyDescent="0.25">
      <c r="A6928">
        <f ca="1">26202.0156980639*(RANDBETWEEN(2890,3282))</f>
        <v>80466390.208754361</v>
      </c>
      <c r="B6928">
        <v>230887383.22457621</v>
      </c>
    </row>
    <row r="6929" spans="1:2" x14ac:dyDescent="0.25">
      <c r="A6929">
        <f ca="1">31798.7887209011*(RANDBETWEEN(2890,3282))</f>
        <v>103346063.34292871</v>
      </c>
      <c r="B6929">
        <v>204192566.97758457</v>
      </c>
    </row>
    <row r="6930" spans="1:2" x14ac:dyDescent="0.25">
      <c r="A6930">
        <f ca="1">27686.3055921*(RANDBETWEEN(2890,3282))</f>
        <v>88513118.977943674</v>
      </c>
      <c r="B6930">
        <v>252562938.55277461</v>
      </c>
    </row>
    <row r="6931" spans="1:2" x14ac:dyDescent="0.25">
      <c r="A6931">
        <f ca="1">29338.4107899046*(RANDBETWEEN(2890,3282))</f>
        <v>95232481.424030289</v>
      </c>
      <c r="B6931">
        <v>228932520.12987092</v>
      </c>
    </row>
    <row r="6932" spans="1:2" x14ac:dyDescent="0.25">
      <c r="A6932">
        <f ca="1">26052.0208261759*(RANDBETWEEN(2890,3282))</f>
        <v>75316392.208474591</v>
      </c>
      <c r="B6932">
        <v>209627940.94840205</v>
      </c>
    </row>
    <row r="6933" spans="1:2" x14ac:dyDescent="0.25">
      <c r="A6933">
        <f ca="1">29224.8392366011*(RANDBETWEEN(2890,3282))</f>
        <v>95272975.911319539</v>
      </c>
      <c r="B6933">
        <v>254635925.81592026</v>
      </c>
    </row>
    <row r="6934" spans="1:2" x14ac:dyDescent="0.25">
      <c r="A6934">
        <f ca="1">30726.5584951414*(RANDBETWEEN(2890,3282))</f>
        <v>91134972.496589497</v>
      </c>
      <c r="B6934">
        <v>209101889.99375001</v>
      </c>
    </row>
    <row r="6935" spans="1:2" x14ac:dyDescent="0.25">
      <c r="A6935">
        <f ca="1">31331.6586314309*(RANDBETWEEN(2890,3282))</f>
        <v>95342237.215444207</v>
      </c>
      <c r="B6935">
        <v>253850745.62865412</v>
      </c>
    </row>
    <row r="6936" spans="1:2" x14ac:dyDescent="0.25">
      <c r="A6936">
        <f ca="1">32647.3227956575*(RANDBETWEEN(2890,3282))</f>
        <v>105907915.14911291</v>
      </c>
      <c r="B6936">
        <v>207409798.59691495</v>
      </c>
    </row>
    <row r="6937" spans="1:2" x14ac:dyDescent="0.25">
      <c r="A6937">
        <f ca="1">33731.1335857268*(RANDBETWEEN(2890,3282))</f>
        <v>98528641.203907982</v>
      </c>
      <c r="B6937">
        <v>222924687.65631258</v>
      </c>
    </row>
    <row r="6938" spans="1:2" x14ac:dyDescent="0.25">
      <c r="A6938">
        <f ca="1">25883.7831022388*(RANDBETWEEN(2890,3282))</f>
        <v>78065489.836352095</v>
      </c>
      <c r="B6938">
        <v>221949212.61899987</v>
      </c>
    </row>
    <row r="6939" spans="1:2" x14ac:dyDescent="0.25">
      <c r="A6939">
        <f ca="1">32952.1183031761*(RANDBETWEEN(2890,3282))</f>
        <v>104128693.83803634</v>
      </c>
      <c r="B6939">
        <v>264197091.21897072</v>
      </c>
    </row>
    <row r="6940" spans="1:2" x14ac:dyDescent="0.25">
      <c r="A6940">
        <f ca="1">27354.2829149744*(RANDBETWEEN(2890,3282))</f>
        <v>83622042.871076658</v>
      </c>
      <c r="B6940">
        <v>247076751.48982352</v>
      </c>
    </row>
    <row r="6941" spans="1:2" x14ac:dyDescent="0.25">
      <c r="A6941">
        <f ca="1">33318.9239842571*(RANDBETWEEN(2890,3282))</f>
        <v>106154091.81384309</v>
      </c>
      <c r="B6941">
        <v>245947861.5177063</v>
      </c>
    </row>
    <row r="6942" spans="1:2" x14ac:dyDescent="0.25">
      <c r="A6942">
        <f ca="1">29119.9194460979*(RANDBETWEEN(2890,3282))</f>
        <v>93329341.824743882</v>
      </c>
      <c r="B6942">
        <v>227742849.74873492</v>
      </c>
    </row>
    <row r="6943" spans="1:2" x14ac:dyDescent="0.25">
      <c r="A6943">
        <f ca="1">28145.1502331994*(RANDBETWEEN(2890,3282))</f>
        <v>86602627.267554447</v>
      </c>
      <c r="B6943">
        <v>264131471.03237382</v>
      </c>
    </row>
    <row r="6944" spans="1:2" x14ac:dyDescent="0.25">
      <c r="A6944">
        <f ca="1">31421.6585409856*(RANDBETWEEN(2890,3282))</f>
        <v>97847044.696629271</v>
      </c>
      <c r="B6944">
        <v>247016424.05394349</v>
      </c>
    </row>
    <row r="6945" spans="1:2" x14ac:dyDescent="0.25">
      <c r="A6945">
        <f ca="1">29035.9757552986*(RANDBETWEEN(2890,3282))</f>
        <v>84639869.326695547</v>
      </c>
      <c r="B6945">
        <v>211586474.40794128</v>
      </c>
    </row>
    <row r="6946" spans="1:2" x14ac:dyDescent="0.25">
      <c r="A6946">
        <f ca="1">30602.3012264593*(RANDBETWEEN(2890,3282))</f>
        <v>90858232.341357604</v>
      </c>
      <c r="B6946">
        <v>219299442.48116514</v>
      </c>
    </row>
    <row r="6947" spans="1:2" x14ac:dyDescent="0.25">
      <c r="A6947">
        <f ca="1">32085.7072728262*(RANDBETWEEN(2890,3282))</f>
        <v>93979036.602107972</v>
      </c>
      <c r="B6947">
        <v>261014115.62280163</v>
      </c>
    </row>
    <row r="6948" spans="1:2" x14ac:dyDescent="0.25">
      <c r="A6948">
        <f ca="1">33192.6755089561*(RANDBETWEEN(2890,3282))</f>
        <v>107809810.05308945</v>
      </c>
      <c r="B6948">
        <v>209970297.657902</v>
      </c>
    </row>
    <row r="6949" spans="1:2" x14ac:dyDescent="0.25">
      <c r="A6949">
        <f ca="1">29311.6870424978*(RANDBETWEEN(2890,3282))</f>
        <v>90279996.090893164</v>
      </c>
      <c r="B6949">
        <v>216735083.33370835</v>
      </c>
    </row>
    <row r="6950" spans="1:2" x14ac:dyDescent="0.25">
      <c r="A6950">
        <f ca="1">29078.2552693993*(RANDBETWEEN(2890,3282))</f>
        <v>90869547.716872707</v>
      </c>
      <c r="B6950">
        <v>253916055.86506146</v>
      </c>
    </row>
    <row r="6951" spans="1:2" x14ac:dyDescent="0.25">
      <c r="A6951">
        <f ca="1">27757.9688189719*(RANDBETWEEN(2890,3282))</f>
        <v>81330848.639587626</v>
      </c>
      <c r="B6951">
        <v>256761871.34306192</v>
      </c>
    </row>
    <row r="6952" spans="1:2" x14ac:dyDescent="0.25">
      <c r="A6952">
        <f ca="1">30749.6653192844*(RANDBETWEEN(2890,3282))</f>
        <v>90096519.385503307</v>
      </c>
      <c r="B6952">
        <v>264937867.88160551</v>
      </c>
    </row>
    <row r="6953" spans="1:2" x14ac:dyDescent="0.25">
      <c r="A6953">
        <f ca="1">26351.8617253036*(RANDBETWEEN(2890,3282))</f>
        <v>82454975.338475049</v>
      </c>
      <c r="B6953">
        <v>229108142.71584648</v>
      </c>
    </row>
    <row r="6954" spans="1:2" x14ac:dyDescent="0.25">
      <c r="A6954">
        <f ca="1">29991.1813610206*(RANDBETWEEN(2890,3282))</f>
        <v>94952080.188991114</v>
      </c>
      <c r="B6954">
        <v>210409458.44591546</v>
      </c>
    </row>
    <row r="6955" spans="1:2" x14ac:dyDescent="0.25">
      <c r="A6955">
        <f ca="1">30639.5677960202*(RANDBETWEEN(2890,3282))</f>
        <v>97495104.726936385</v>
      </c>
      <c r="B6955">
        <v>245923802.34064969</v>
      </c>
    </row>
    <row r="6956" spans="1:2" x14ac:dyDescent="0.25">
      <c r="A6956">
        <f ca="1">27449.7913784519*(RANDBETWEEN(2890,3282))</f>
        <v>85094353.273200795</v>
      </c>
      <c r="B6956">
        <v>230370501.67682222</v>
      </c>
    </row>
    <row r="6957" spans="1:2" x14ac:dyDescent="0.25">
      <c r="A6957">
        <f ca="1">28597.5217932461*(RANDBETWEEN(2890,3282))</f>
        <v>92398592.913978159</v>
      </c>
      <c r="B6957">
        <v>232581517.06743214</v>
      </c>
    </row>
    <row r="6958" spans="1:2" x14ac:dyDescent="0.25">
      <c r="A6958">
        <f ca="1">27711.8654289839*(RANDBETWEEN(2890,3282))</f>
        <v>90894918.607067272</v>
      </c>
      <c r="B6958">
        <v>249878117.32681265</v>
      </c>
    </row>
    <row r="6959" spans="1:2" x14ac:dyDescent="0.25">
      <c r="A6959">
        <f ca="1">27079.7438241567*(RANDBETWEEN(2890,3282))</f>
        <v>78341698.883285463</v>
      </c>
      <c r="B6959">
        <v>215722175.5822244</v>
      </c>
    </row>
    <row r="6960" spans="1:2" x14ac:dyDescent="0.25">
      <c r="A6960">
        <f ca="1">28187.4971000176*(RANDBETWEEN(2890,3282))</f>
        <v>81941054.069751099</v>
      </c>
      <c r="B6960">
        <v>222844223.21091944</v>
      </c>
    </row>
    <row r="6961" spans="1:2" x14ac:dyDescent="0.25">
      <c r="A6961">
        <f ca="1">31852.7728153533*(RANDBETWEEN(2890,3282))</f>
        <v>100845878.7334086</v>
      </c>
      <c r="B6961">
        <v>213462784.93164766</v>
      </c>
    </row>
    <row r="6962" spans="1:2" x14ac:dyDescent="0.25">
      <c r="A6962">
        <f ca="1">27794.4088435781*(RANDBETWEEN(2890,3282))</f>
        <v>84272647.613728911</v>
      </c>
      <c r="B6962">
        <v>264331496.70174235</v>
      </c>
    </row>
    <row r="6963" spans="1:2" x14ac:dyDescent="0.25">
      <c r="A6963">
        <f ca="1">28887.967762888*(RANDBETWEEN(2890,3282))</f>
        <v>94665870.358983845</v>
      </c>
      <c r="B6963">
        <v>205319269.66941518</v>
      </c>
    </row>
    <row r="6964" spans="1:2" x14ac:dyDescent="0.25">
      <c r="A6964">
        <f ca="1">29801.8848211128*(RANDBETWEEN(2890,3282))</f>
        <v>93548116.453473032</v>
      </c>
      <c r="B6964">
        <v>218016842.14200276</v>
      </c>
    </row>
    <row r="6965" spans="1:2" x14ac:dyDescent="0.25">
      <c r="A6965">
        <f ca="1">31621.0275811015*(RANDBETWEEN(2890,3282))</f>
        <v>101092425.17678145</v>
      </c>
      <c r="B6965">
        <v>208347552.9055725</v>
      </c>
    </row>
    <row r="6966" spans="1:2" x14ac:dyDescent="0.25">
      <c r="A6966">
        <f ca="1">33422.276078189*(RANDBETWEEN(2890,3282))</f>
        <v>100935273.75613083</v>
      </c>
      <c r="B6966">
        <v>249282456.80346909</v>
      </c>
    </row>
    <row r="6967" spans="1:2" x14ac:dyDescent="0.25">
      <c r="A6967">
        <f ca="1">26484.3119907558*(RANDBETWEEN(2890,3282))</f>
        <v>79505904.596248806</v>
      </c>
      <c r="B6967">
        <v>210631545.32184106</v>
      </c>
    </row>
    <row r="6968" spans="1:2" x14ac:dyDescent="0.25">
      <c r="A6968">
        <f ca="1">27335.2170239558*(RANDBETWEEN(2890,3282))</f>
        <v>83235735.837945521</v>
      </c>
      <c r="B6968">
        <v>229196310.19449323</v>
      </c>
    </row>
    <row r="6969" spans="1:2" x14ac:dyDescent="0.25">
      <c r="A6969">
        <f ca="1">29676.0925442978*(RANDBETWEEN(2890,3282))</f>
        <v>88879897.170172036</v>
      </c>
      <c r="B6969">
        <v>237689199.55706641</v>
      </c>
    </row>
    <row r="6970" spans="1:2" x14ac:dyDescent="0.25">
      <c r="A6970">
        <f ca="1">31499.3336368948*(RANDBETWEEN(2890,3282))</f>
        <v>92261548.222464994</v>
      </c>
      <c r="B6970">
        <v>264041894.65102172</v>
      </c>
    </row>
    <row r="6971" spans="1:2" x14ac:dyDescent="0.25">
      <c r="A6971">
        <f ca="1">29788.0744134037*(RANDBETWEEN(2890,3282))</f>
        <v>91896209.565350369</v>
      </c>
      <c r="B6971">
        <v>227952807.86361292</v>
      </c>
    </row>
    <row r="6972" spans="1:2" x14ac:dyDescent="0.25">
      <c r="A6972">
        <f ca="1">31762.5489011077*(RANDBETWEEN(2890,3282))</f>
        <v>97415737.479697302</v>
      </c>
      <c r="B6972">
        <v>226850289.23944449</v>
      </c>
    </row>
    <row r="6973" spans="1:2" x14ac:dyDescent="0.25">
      <c r="A6973">
        <f ca="1">26146.02887711*(RANDBETWEEN(2890,3282))</f>
        <v>81235711.721180841</v>
      </c>
      <c r="B6973">
        <v>225088240.46299949</v>
      </c>
    </row>
    <row r="6974" spans="1:2" x14ac:dyDescent="0.25">
      <c r="A6974">
        <f ca="1">29431.3598881097*(RANDBETWEEN(2890,3282))</f>
        <v>90766313.894930214</v>
      </c>
      <c r="B6974">
        <v>252414828.41564703</v>
      </c>
    </row>
    <row r="6975" spans="1:2" x14ac:dyDescent="0.25">
      <c r="A6975">
        <f ca="1">26828.5355027311*(RANDBETWEEN(2890,3282))</f>
        <v>83436745.413493678</v>
      </c>
      <c r="B6975">
        <v>213620712.63800687</v>
      </c>
    </row>
    <row r="6976" spans="1:2" x14ac:dyDescent="0.25">
      <c r="A6976">
        <f ca="1">28155.6125275026*(RANDBETWEEN(2890,3282))</f>
        <v>91505740.714383408</v>
      </c>
      <c r="B6976">
        <v>210039807.33540142</v>
      </c>
    </row>
    <row r="6977" spans="1:2" x14ac:dyDescent="0.25">
      <c r="A6977">
        <f ca="1">27402.245103551*(RANDBETWEEN(2890,3282))</f>
        <v>82946595.928448886</v>
      </c>
      <c r="B6977">
        <v>236834515.26733691</v>
      </c>
    </row>
    <row r="6978" spans="1:2" x14ac:dyDescent="0.25">
      <c r="A6978">
        <f ca="1">32107.2741608436*(RANDBETWEEN(2890,3282))</f>
        <v>93335845.985572338</v>
      </c>
      <c r="B6978">
        <v>262446387.28892431</v>
      </c>
    </row>
    <row r="6979" spans="1:2" x14ac:dyDescent="0.25">
      <c r="A6979">
        <f ca="1">30144.1821478444*(RANDBETWEEN(2890,3282))</f>
        <v>93688118.11550048</v>
      </c>
      <c r="B6979">
        <v>231244994.68582782</v>
      </c>
    </row>
    <row r="6980" spans="1:2" x14ac:dyDescent="0.25">
      <c r="A6980">
        <f ca="1">29502.9112282714*(RANDBETWEEN(2890,3282))</f>
        <v>87446628.88059631</v>
      </c>
      <c r="B6980">
        <v>205832765.26894322</v>
      </c>
    </row>
    <row r="6981" spans="1:2" x14ac:dyDescent="0.25">
      <c r="A6981">
        <f ca="1">31872.6502461887*(RANDBETWEEN(2890,3282))</f>
        <v>99602032.019339785</v>
      </c>
      <c r="B6981">
        <v>245805840.45292336</v>
      </c>
    </row>
    <row r="6982" spans="1:2" x14ac:dyDescent="0.25">
      <c r="A6982">
        <f ca="1">31405.572830225*(RANDBETWEEN(2890,3282))</f>
        <v>99461449.153322726</v>
      </c>
      <c r="B6982">
        <v>232451355.13731229</v>
      </c>
    </row>
    <row r="6983" spans="1:2" x14ac:dyDescent="0.25">
      <c r="A6983">
        <f ca="1">30475.5138903983*(RANDBETWEEN(2890,3282))</f>
        <v>93316023.532399565</v>
      </c>
      <c r="B6983">
        <v>204148825.07252213</v>
      </c>
    </row>
    <row r="6984" spans="1:2" x14ac:dyDescent="0.25">
      <c r="A6984">
        <f ca="1">26608.178789097*(RANDBETWEEN(2890,3282))</f>
        <v>83656114.112921104</v>
      </c>
      <c r="B6984">
        <v>238311040.02650088</v>
      </c>
    </row>
    <row r="6985" spans="1:2" x14ac:dyDescent="0.25">
      <c r="A6985">
        <f ca="1">26685.4284180237*(RANDBETWEEN(2890,3282))</f>
        <v>81497298.388644487</v>
      </c>
      <c r="B6985">
        <v>228197532.8029629</v>
      </c>
    </row>
    <row r="6986" spans="1:2" x14ac:dyDescent="0.25">
      <c r="A6986">
        <f ca="1">29763.6658751497*(RANDBETWEEN(2890,3282))</f>
        <v>91166108.575583547</v>
      </c>
      <c r="B6986">
        <v>223801817.12696695</v>
      </c>
    </row>
    <row r="6987" spans="1:2" x14ac:dyDescent="0.25">
      <c r="A6987">
        <f ca="1">26252.986287822*(RANDBETWEEN(2890,3282))</f>
        <v>85584735.298299551</v>
      </c>
      <c r="B6987">
        <v>258022331.39118546</v>
      </c>
    </row>
    <row r="6988" spans="1:2" x14ac:dyDescent="0.25">
      <c r="A6988">
        <f ca="1">28388.0702960577*(RANDBETWEEN(2890,3282))</f>
        <v>91892183.548338875</v>
      </c>
      <c r="B6988">
        <v>217929874.29432458</v>
      </c>
    </row>
    <row r="6989" spans="1:2" x14ac:dyDescent="0.25">
      <c r="A6989">
        <f ca="1">28903.9656572674*(RANDBETWEEN(2890,3282))</f>
        <v>83763692.474760845</v>
      </c>
      <c r="B6989">
        <v>222040206.57429254</v>
      </c>
    </row>
    <row r="6990" spans="1:2" x14ac:dyDescent="0.25">
      <c r="A6990">
        <f ca="1">31665.2180634437*(RANDBETWEEN(2890,3282))</f>
        <v>94963988.972267717</v>
      </c>
      <c r="B6990">
        <v>205643755.15586817</v>
      </c>
    </row>
    <row r="6991" spans="1:2" x14ac:dyDescent="0.25">
      <c r="A6991">
        <f ca="1">32203.4845840005*(RANDBETWEEN(2890,3282))</f>
        <v>105015563.22842574</v>
      </c>
      <c r="B6991">
        <v>217619569.62486571</v>
      </c>
    </row>
    <row r="6992" spans="1:2" x14ac:dyDescent="0.25">
      <c r="A6992">
        <f ca="1">31707.2224056379*(RANDBETWEEN(2890,3282))</f>
        <v>98704583.3487508</v>
      </c>
      <c r="B6992">
        <v>240371836.52322403</v>
      </c>
    </row>
    <row r="6993" spans="1:2" x14ac:dyDescent="0.25">
      <c r="A6993">
        <f ca="1">31616.5168412538*(RANDBETWEEN(2890,3282))</f>
        <v>97378871.871061563</v>
      </c>
      <c r="B6993">
        <v>234052127.56279552</v>
      </c>
    </row>
    <row r="6994" spans="1:2" x14ac:dyDescent="0.25">
      <c r="A6994">
        <f ca="1">29740.7569124755*(RANDBETWEEN(2890,3282))</f>
        <v>94248458.655634969</v>
      </c>
      <c r="B6994">
        <v>205721464.74726158</v>
      </c>
    </row>
    <row r="6995" spans="1:2" x14ac:dyDescent="0.25">
      <c r="A6995">
        <f ca="1">26153.2257413081*(RANDBETWEEN(2890,3282))</f>
        <v>81990362.69900094</v>
      </c>
      <c r="B6995">
        <v>252016194.40477377</v>
      </c>
    </row>
    <row r="6996" spans="1:2" x14ac:dyDescent="0.25">
      <c r="A6996">
        <f ca="1">31880.2880255751*(RANDBETWEEN(2890,3282))</f>
        <v>93696166.507165343</v>
      </c>
      <c r="B6996">
        <v>235345989.20747942</v>
      </c>
    </row>
    <row r="6997" spans="1:2" x14ac:dyDescent="0.25">
      <c r="A6997">
        <f ca="1">26340.7969253429*(RANDBETWEEN(2890,3282))</f>
        <v>86213428.336647287</v>
      </c>
      <c r="B6997">
        <v>221723824.28048223</v>
      </c>
    </row>
    <row r="6998" spans="1:2" x14ac:dyDescent="0.25">
      <c r="A6998">
        <f ca="1">31116.7557098604*(RANDBETWEEN(2890,3282))</f>
        <v>97053161.059054732</v>
      </c>
      <c r="B6998">
        <v>230666482.62756345</v>
      </c>
    </row>
    <row r="6999" spans="1:2" x14ac:dyDescent="0.25">
      <c r="A6999">
        <f ca="1">30647.1956138323*(RANDBETWEEN(2890,3282))</f>
        <v>90930229.386240438</v>
      </c>
      <c r="B6999">
        <v>218382405.8556596</v>
      </c>
    </row>
    <row r="7000" spans="1:2" x14ac:dyDescent="0.25">
      <c r="A7000">
        <f ca="1">27542.3441388584*(RANDBETWEEN(2890,3282))</f>
        <v>86482960.59601523</v>
      </c>
      <c r="B7000">
        <v>263610328.61943153</v>
      </c>
    </row>
    <row r="7001" spans="1:2" x14ac:dyDescent="0.25">
      <c r="A7001">
        <f ca="1">31680.6130404906*(RANDBETWEEN(2890,3282))</f>
        <v>102613505.63814902</v>
      </c>
      <c r="B7001">
        <v>266884064.11033362</v>
      </c>
    </row>
    <row r="7002" spans="1:2" x14ac:dyDescent="0.25">
      <c r="A7002">
        <f ca="1">28052.35386106*(RANDBETWEEN(2890,3282))</f>
        <v>85615783.983955175</v>
      </c>
      <c r="B7002">
        <v>246213437.22695088</v>
      </c>
    </row>
    <row r="7003" spans="1:2" x14ac:dyDescent="0.25">
      <c r="A7003">
        <f ca="1">29936.6718840762*(RANDBETWEEN(2890,3282))</f>
        <v>90049509.027301103</v>
      </c>
      <c r="B7003">
        <v>243385370.66161513</v>
      </c>
    </row>
    <row r="7004" spans="1:2" x14ac:dyDescent="0.25">
      <c r="A7004">
        <f ca="1">27782.825165541*(RANDBETWEEN(2890,3282))</f>
        <v>86710197.3416536</v>
      </c>
      <c r="B7004">
        <v>234422657.91814175</v>
      </c>
    </row>
    <row r="7005" spans="1:2" x14ac:dyDescent="0.25">
      <c r="A7005">
        <f ca="1">30758.7891586397*(RANDBETWEEN(2890,3282))</f>
        <v>94121894.82543759</v>
      </c>
      <c r="B7005">
        <v>267451033.65598491</v>
      </c>
    </row>
    <row r="7006" spans="1:2" x14ac:dyDescent="0.25">
      <c r="A7006">
        <f ca="1">30083.013664348*(RANDBETWEEN(2890,3282))</f>
        <v>93377674.414136156</v>
      </c>
      <c r="B7006">
        <v>209985873.86801666</v>
      </c>
    </row>
    <row r="7007" spans="1:2" x14ac:dyDescent="0.25">
      <c r="A7007">
        <f ca="1">32484.9708766959*(RANDBETWEEN(2890,3282))</f>
        <v>96447878.532910168</v>
      </c>
      <c r="B7007">
        <v>207588993.08393845</v>
      </c>
    </row>
    <row r="7008" spans="1:2" x14ac:dyDescent="0.25">
      <c r="A7008">
        <f ca="1">29997.3620992801*(RANDBETWEEN(2890,3282))</f>
        <v>94821661.595824435</v>
      </c>
      <c r="B7008">
        <v>211982834.3049508</v>
      </c>
    </row>
    <row r="7009" spans="1:2" x14ac:dyDescent="0.25">
      <c r="A7009">
        <f ca="1">27397.1574072566*(RANDBETWEEN(2890,3282))</f>
        <v>87451726.443963215</v>
      </c>
      <c r="B7009">
        <v>216716142.574514</v>
      </c>
    </row>
    <row r="7010" spans="1:2" x14ac:dyDescent="0.25">
      <c r="A7010">
        <f ca="1">32066.6402858479*(RANDBETWEEN(2890,3282))</f>
        <v>95494454.771254942</v>
      </c>
      <c r="B7010">
        <v>236103233.80989355</v>
      </c>
    </row>
    <row r="7011" spans="1:2" x14ac:dyDescent="0.25">
      <c r="A7011">
        <f ca="1">29692.328746751*(RANDBETWEEN(2890,3282))</f>
        <v>91333603.225005955</v>
      </c>
      <c r="B7011">
        <v>247470895.96176681</v>
      </c>
    </row>
    <row r="7012" spans="1:2" x14ac:dyDescent="0.25">
      <c r="A7012">
        <f ca="1">33012.5044305697*(RANDBETWEEN(2890,3282))</f>
        <v>96066387.892957941</v>
      </c>
      <c r="B7012">
        <v>243508522.70724553</v>
      </c>
    </row>
    <row r="7013" spans="1:2" x14ac:dyDescent="0.25">
      <c r="A7013">
        <f ca="1">31723.5031182272*(RANDBETWEEN(2890,3282))</f>
        <v>99802140.809942782</v>
      </c>
      <c r="B7013">
        <v>244531042.6751658</v>
      </c>
    </row>
    <row r="7014" spans="1:2" x14ac:dyDescent="0.25">
      <c r="A7014">
        <f ca="1">28222.7993951544*(RANDBETWEEN(2890,3282))</f>
        <v>89042932.091712192</v>
      </c>
      <c r="B7014">
        <v>253671078.8360621</v>
      </c>
    </row>
    <row r="7015" spans="1:2" x14ac:dyDescent="0.25">
      <c r="A7015">
        <f ca="1">33009.9633750317*(RANDBETWEEN(2890,3282))</f>
        <v>101802727.04859781</v>
      </c>
      <c r="B7015">
        <v>229325622.526651</v>
      </c>
    </row>
    <row r="7016" spans="1:2" x14ac:dyDescent="0.25">
      <c r="A7016">
        <f ca="1">26339.3089491272*(RANDBETWEEN(2890,3282))</f>
        <v>76463013.879316166</v>
      </c>
      <c r="B7016">
        <v>246292255.99787784</v>
      </c>
    </row>
    <row r="7017" spans="1:2" x14ac:dyDescent="0.25">
      <c r="A7017">
        <f ca="1">31340.8481809114*(RANDBETWEEN(2890,3282))</f>
        <v>94022544.54273428</v>
      </c>
      <c r="B7017">
        <v>262856984.34495178</v>
      </c>
    </row>
    <row r="7018" spans="1:2" x14ac:dyDescent="0.25">
      <c r="A7018">
        <f ca="1">28685.4341278732*(RANDBETWEEN(2890,3282))</f>
        <v>86113673.25187549</v>
      </c>
      <c r="B7018">
        <v>245796688.11125159</v>
      </c>
    </row>
    <row r="7019" spans="1:2" x14ac:dyDescent="0.25">
      <c r="A7019">
        <f ca="1">31255.5430234841*(RANDBETWEEN(2890,3282))</f>
        <v>95141872.963485464</v>
      </c>
      <c r="B7019">
        <v>230835716.35976213</v>
      </c>
    </row>
    <row r="7020" spans="1:2" x14ac:dyDescent="0.25">
      <c r="A7020">
        <f ca="1">28437.4563693511*(RANDBETWEEN(2890,3282))</f>
        <v>86990179.033844948</v>
      </c>
      <c r="B7020">
        <v>232038030.92161351</v>
      </c>
    </row>
    <row r="7021" spans="1:2" x14ac:dyDescent="0.25">
      <c r="A7021">
        <f ca="1">27167.9481314988*(RANDBETWEEN(2890,3282))</f>
        <v>80498630.313630879</v>
      </c>
      <c r="B7021">
        <v>216285715.66457337</v>
      </c>
    </row>
    <row r="7022" spans="1:2" x14ac:dyDescent="0.25">
      <c r="A7022">
        <f ca="1">28662.4115971304*(RANDBETWEEN(2890,3282))</f>
        <v>86761119.904513672</v>
      </c>
      <c r="B7022">
        <v>239272964.85377297</v>
      </c>
    </row>
    <row r="7023" spans="1:2" x14ac:dyDescent="0.25">
      <c r="A7023">
        <f ca="1">32689.329014565*(RANDBETWEEN(2890,3282))</f>
        <v>107253688.49678771</v>
      </c>
      <c r="B7023">
        <v>258421969.69419</v>
      </c>
    </row>
    <row r="7024" spans="1:2" x14ac:dyDescent="0.25">
      <c r="A7024">
        <f ca="1">29734.4110585766*(RANDBETWEEN(2890,3282))</f>
        <v>95328521.853796437</v>
      </c>
      <c r="B7024">
        <v>257528452.90794313</v>
      </c>
    </row>
    <row r="7025" spans="1:2" x14ac:dyDescent="0.25">
      <c r="A7025">
        <f ca="1">27588.4660384327*(RANDBETWEEN(2890,3282))</f>
        <v>81054913.220915243</v>
      </c>
      <c r="B7025">
        <v>224529141.08799785</v>
      </c>
    </row>
    <row r="7026" spans="1:2" x14ac:dyDescent="0.25">
      <c r="A7026">
        <f ca="1">27890.1801950494*(RANDBETWEEN(2890,3282))</f>
        <v>86961581.848163947</v>
      </c>
      <c r="B7026">
        <v>224312745.93865481</v>
      </c>
    </row>
    <row r="7027" spans="1:2" x14ac:dyDescent="0.25">
      <c r="A7027">
        <f ca="1">29245.530814427*(RANDBETWEEN(2890,3282))</f>
        <v>87590364.789209008</v>
      </c>
      <c r="B7027">
        <v>208433804.48126358</v>
      </c>
    </row>
    <row r="7028" spans="1:2" x14ac:dyDescent="0.25">
      <c r="A7028">
        <f ca="1">28473.7819971609*(RANDBETWEEN(2890,3282))</f>
        <v>85335924.645491317</v>
      </c>
      <c r="B7028">
        <v>221707222.79484832</v>
      </c>
    </row>
    <row r="7029" spans="1:2" x14ac:dyDescent="0.25">
      <c r="A7029">
        <f ca="1">26454.8483546741*(RANDBETWEEN(2890,3282))</f>
        <v>80951835.965302989</v>
      </c>
      <c r="B7029">
        <v>242692011.36222258</v>
      </c>
    </row>
    <row r="7030" spans="1:2" x14ac:dyDescent="0.25">
      <c r="A7030">
        <f ca="1">26662.9667256719*(RANDBETWEEN(2890,3282))</f>
        <v>82681859.816308647</v>
      </c>
      <c r="B7030">
        <v>254231132.42675912</v>
      </c>
    </row>
    <row r="7031" spans="1:2" x14ac:dyDescent="0.25">
      <c r="A7031">
        <f ca="1">26588.0601595567*(RANDBETWEEN(2890,3282))</f>
        <v>86490959.699038059</v>
      </c>
      <c r="B7031">
        <v>206760941.64165005</v>
      </c>
    </row>
    <row r="7032" spans="1:2" x14ac:dyDescent="0.25">
      <c r="A7032">
        <f ca="1">30764.8814931875*(RANDBETWEEN(2890,3282))</f>
        <v>98755269.59313184</v>
      </c>
      <c r="B7032">
        <v>207256829.08295861</v>
      </c>
    </row>
    <row r="7033" spans="1:2" x14ac:dyDescent="0.25">
      <c r="A7033">
        <f ca="1">31676.6566251221*(RANDBETWEEN(2890,3282))</f>
        <v>99369671.833008185</v>
      </c>
      <c r="B7033">
        <v>221811510.3148618</v>
      </c>
    </row>
    <row r="7034" spans="1:2" x14ac:dyDescent="0.25">
      <c r="A7034">
        <f ca="1">26548.1798835943*(RANDBETWEEN(2890,3282))</f>
        <v>80440985.047290638</v>
      </c>
      <c r="B7034">
        <v>250619557.31853193</v>
      </c>
    </row>
    <row r="7035" spans="1:2" x14ac:dyDescent="0.25">
      <c r="A7035">
        <f ca="1">33632.2395429596*(RANDBETWEEN(2890,3282))</f>
        <v>107858592.21427132</v>
      </c>
      <c r="B7035">
        <v>253896197.89454544</v>
      </c>
    </row>
    <row r="7036" spans="1:2" x14ac:dyDescent="0.25">
      <c r="A7036">
        <f ca="1">27452.4994134405*(RANDBETWEEN(2890,3282))</f>
        <v>81451565.759678096</v>
      </c>
      <c r="B7036">
        <v>265583966.05298638</v>
      </c>
    </row>
    <row r="7037" spans="1:2" x14ac:dyDescent="0.25">
      <c r="A7037">
        <f ca="1">30345.2204414704*(RANDBETWEEN(2890,3282))</f>
        <v>92522577.12604323</v>
      </c>
      <c r="B7037">
        <v>241458252.68422985</v>
      </c>
    </row>
    <row r="7038" spans="1:2" x14ac:dyDescent="0.25">
      <c r="A7038">
        <f ca="1">32469.4099552444*(RANDBETWEEN(2890,3282))</f>
        <v>94713268.839447796</v>
      </c>
      <c r="B7038">
        <v>266620310.05756143</v>
      </c>
    </row>
    <row r="7039" spans="1:2" x14ac:dyDescent="0.25">
      <c r="A7039">
        <f ca="1">29796.4059077445*(RANDBETWEEN(2890,3282))</f>
        <v>87929193.833754122</v>
      </c>
      <c r="B7039">
        <v>242027187.17666221</v>
      </c>
    </row>
    <row r="7040" spans="1:2" x14ac:dyDescent="0.25">
      <c r="A7040">
        <f ca="1">27869.2974009423*(RANDBETWEEN(2890,3282))</f>
        <v>84527579.01705794</v>
      </c>
      <c r="B7040">
        <v>253927548.00879049</v>
      </c>
    </row>
    <row r="7041" spans="1:2" x14ac:dyDescent="0.25">
      <c r="A7041">
        <f ca="1">27562.2176958291*(RANDBETWEEN(2890,3282))</f>
        <v>89108649.81061548</v>
      </c>
      <c r="B7041">
        <v>209799497.26120764</v>
      </c>
    </row>
    <row r="7042" spans="1:2" x14ac:dyDescent="0.25">
      <c r="A7042">
        <f ca="1">27822.2876632943*(RANDBETWEEN(2890,3282))</f>
        <v>86666426.071161807</v>
      </c>
      <c r="B7042">
        <v>232196603.64898545</v>
      </c>
    </row>
    <row r="7043" spans="1:2" x14ac:dyDescent="0.25">
      <c r="A7043">
        <f ca="1">31641.1442469637*(RANDBETWEEN(2890,3282))</f>
        <v>96505489.953239307</v>
      </c>
      <c r="B7043">
        <v>258832991.37355238</v>
      </c>
    </row>
    <row r="7044" spans="1:2" x14ac:dyDescent="0.25">
      <c r="A7044">
        <f ca="1">29471.5277735511*(RANDBETWEEN(2890,3282))</f>
        <v>86498934.015372381</v>
      </c>
      <c r="B7044">
        <v>267416109.83092093</v>
      </c>
    </row>
    <row r="7045" spans="1:2" x14ac:dyDescent="0.25">
      <c r="A7045">
        <f ca="1">32384.492211664*(RANDBETWEEN(2890,3282))</f>
        <v>103436068.12405469</v>
      </c>
      <c r="B7045">
        <v>253776345.33408239</v>
      </c>
    </row>
    <row r="7046" spans="1:2" x14ac:dyDescent="0.25">
      <c r="A7046">
        <f ca="1">32297.2592321674*(RANDBETWEEN(2890,3282))</f>
        <v>101348799.47054131</v>
      </c>
      <c r="B7046">
        <v>263796850.97966808</v>
      </c>
    </row>
    <row r="7047" spans="1:2" x14ac:dyDescent="0.25">
      <c r="A7047">
        <f ca="1">31215.9839300448*(RANDBETWEEN(2890,3282))</f>
        <v>94365919.420525461</v>
      </c>
      <c r="B7047">
        <v>223501802.35670415</v>
      </c>
    </row>
    <row r="7048" spans="1:2" x14ac:dyDescent="0.25">
      <c r="A7048">
        <f ca="1">29520.7667747922*(RANDBETWEEN(2890,3282))</f>
        <v>94495974.446109891</v>
      </c>
      <c r="B7048">
        <v>221502486.96212924</v>
      </c>
    </row>
    <row r="7049" spans="1:2" x14ac:dyDescent="0.25">
      <c r="A7049">
        <f ca="1">26603.4699008985*(RANDBETWEEN(2890,3282))</f>
        <v>84732051.634361714</v>
      </c>
      <c r="B7049">
        <v>231558028.8520982</v>
      </c>
    </row>
    <row r="7050" spans="1:2" x14ac:dyDescent="0.25">
      <c r="A7050">
        <f ca="1">31073.4124163797*(RANDBETWEEN(2890,3282))</f>
        <v>99124185.608251348</v>
      </c>
      <c r="B7050">
        <v>252712927.8671093</v>
      </c>
    </row>
    <row r="7051" spans="1:2" x14ac:dyDescent="0.25">
      <c r="A7051">
        <f ca="1">31261.3608050978*(RANDBETWEEN(2890,3282))</f>
        <v>93502730.168047547</v>
      </c>
      <c r="B7051">
        <v>249892038.20242003</v>
      </c>
    </row>
    <row r="7052" spans="1:2" x14ac:dyDescent="0.25">
      <c r="A7052">
        <f ca="1">31058.2852478784*(RANDBETWEEN(2890,3282))</f>
        <v>101094718.4818441</v>
      </c>
      <c r="B7052">
        <v>267248080.05555856</v>
      </c>
    </row>
    <row r="7053" spans="1:2" x14ac:dyDescent="0.25">
      <c r="A7053">
        <f ca="1">30067.36341381*(RANDBETWEEN(2890,3282))</f>
        <v>97328055.370502904</v>
      </c>
      <c r="B7053">
        <v>212924779.81901377</v>
      </c>
    </row>
    <row r="7054" spans="1:2" x14ac:dyDescent="0.25">
      <c r="A7054">
        <f ca="1">29362.3115021625*(RANDBETWEEN(2890,3282))</f>
        <v>95515599.316534624</v>
      </c>
      <c r="B7054">
        <v>267050442.13562164</v>
      </c>
    </row>
    <row r="7055" spans="1:2" x14ac:dyDescent="0.25">
      <c r="A7055">
        <f ca="1">29654.2361316376*(RANDBETWEEN(2890,3282))</f>
        <v>87924810.130305395</v>
      </c>
      <c r="B7055">
        <v>212073595.17221332</v>
      </c>
    </row>
    <row r="7056" spans="1:2" x14ac:dyDescent="0.25">
      <c r="A7056">
        <f ca="1">29718.5563195144*(RANDBETWEEN(2890,3282))</f>
        <v>95872062.686753333</v>
      </c>
      <c r="B7056">
        <v>248828286.76473877</v>
      </c>
    </row>
    <row r="7057" spans="1:2" x14ac:dyDescent="0.25">
      <c r="A7057">
        <f ca="1">31710.7200030354*(RANDBETWEEN(2890,3282))</f>
        <v>99127710.729488701</v>
      </c>
      <c r="B7057">
        <v>251370545.55127239</v>
      </c>
    </row>
    <row r="7058" spans="1:2" x14ac:dyDescent="0.25">
      <c r="A7058">
        <f ca="1">32073.2587542817*(RANDBETWEEN(2890,3282))</f>
        <v>104398457.24518703</v>
      </c>
      <c r="B7058">
        <v>244508011.05819589</v>
      </c>
    </row>
    <row r="7059" spans="1:2" x14ac:dyDescent="0.25">
      <c r="A7059">
        <f ca="1">28011.755607065*(RANDBETWEEN(2890,3282))</f>
        <v>82046432.173093528</v>
      </c>
      <c r="B7059">
        <v>227767501.10363972</v>
      </c>
    </row>
    <row r="7060" spans="1:2" x14ac:dyDescent="0.25">
      <c r="A7060">
        <f ca="1">31771.0921854852*(RANDBETWEEN(2890,3282))</f>
        <v>93629408.670624807</v>
      </c>
      <c r="B7060">
        <v>231059920.38616151</v>
      </c>
    </row>
    <row r="7061" spans="1:2" x14ac:dyDescent="0.25">
      <c r="A7061">
        <f ca="1">27633.4765424967*(RANDBETWEEN(2890,3282))</f>
        <v>89698264.856944144</v>
      </c>
      <c r="B7061">
        <v>235253097.48280177</v>
      </c>
    </row>
    <row r="7062" spans="1:2" x14ac:dyDescent="0.25">
      <c r="A7062">
        <f ca="1">31815.832304719*(RANDBETWEEN(2890,3282))</f>
        <v>103465086.65494624</v>
      </c>
      <c r="B7062">
        <v>205984935.70243376</v>
      </c>
    </row>
    <row r="7063" spans="1:2" x14ac:dyDescent="0.25">
      <c r="A7063">
        <f ca="1">27779.3373133815*(RANDBETWEEN(2890,3282))</f>
        <v>89643921.510282055</v>
      </c>
      <c r="B7063">
        <v>266322042.50351739</v>
      </c>
    </row>
    <row r="7064" spans="1:2" x14ac:dyDescent="0.25">
      <c r="A7064">
        <f ca="1">26038.4667619687*(RANDBETWEEN(2890,3282))</f>
        <v>84208401.508206725</v>
      </c>
      <c r="B7064">
        <v>221466160.29065293</v>
      </c>
    </row>
    <row r="7065" spans="1:2" x14ac:dyDescent="0.25">
      <c r="A7065">
        <f ca="1">31284.995600297*(RANDBETWEEN(2890,3282))</f>
        <v>99924275.947348744</v>
      </c>
      <c r="B7065">
        <v>214180050.04906932</v>
      </c>
    </row>
    <row r="7066" spans="1:2" x14ac:dyDescent="0.25">
      <c r="A7066">
        <f ca="1">28599.74156954*(RANDBETWEEN(2890,3282))</f>
        <v>92348565.528044522</v>
      </c>
      <c r="B7066">
        <v>228253898.33643818</v>
      </c>
    </row>
    <row r="7067" spans="1:2" x14ac:dyDescent="0.25">
      <c r="A7067">
        <f ca="1">26418.2439890127*(RANDBETWEEN(2890,3282))</f>
        <v>78673530.599279746</v>
      </c>
      <c r="B7067">
        <v>206150906.94560167</v>
      </c>
    </row>
    <row r="7068" spans="1:2" x14ac:dyDescent="0.25">
      <c r="A7068">
        <f ca="1">29145.5702353861*(RANDBETWEEN(2890,3282))</f>
        <v>88835698.077456921</v>
      </c>
      <c r="B7068">
        <v>254634498.65440649</v>
      </c>
    </row>
    <row r="7069" spans="1:2" x14ac:dyDescent="0.25">
      <c r="A7069">
        <f ca="1">26078.3273096622*(RANDBETWEEN(2890,3282))</f>
        <v>78965175.09365721</v>
      </c>
      <c r="B7069">
        <v>254793428.7030305</v>
      </c>
    </row>
    <row r="7070" spans="1:2" x14ac:dyDescent="0.25">
      <c r="A7070">
        <f ca="1">31611.0823454454*(RANDBETWEEN(2890,3282))</f>
        <v>92873359.930918604</v>
      </c>
      <c r="B7070">
        <v>253586787.60252523</v>
      </c>
    </row>
    <row r="7071" spans="1:2" x14ac:dyDescent="0.25">
      <c r="A7071">
        <f ca="1">32324.4055303913*(RANDBETWEEN(2890,3282))</f>
        <v>100916794.06588162</v>
      </c>
      <c r="B7071">
        <v>265908524.59538975</v>
      </c>
    </row>
    <row r="7072" spans="1:2" x14ac:dyDescent="0.25">
      <c r="A7072">
        <f ca="1">30804.2123545743*(RANDBETWEEN(2890,3282))</f>
        <v>100421732.2759123</v>
      </c>
      <c r="B7072">
        <v>246991587.91815588</v>
      </c>
    </row>
    <row r="7073" spans="1:2" x14ac:dyDescent="0.25">
      <c r="A7073">
        <f ca="1">27207.0752254703*(RANDBETWEEN(2890,3282))</f>
        <v>82573473.309302345</v>
      </c>
      <c r="B7073">
        <v>226103008.12197757</v>
      </c>
    </row>
    <row r="7074" spans="1:2" x14ac:dyDescent="0.25">
      <c r="A7074">
        <f ca="1">32004.7034796051*(RANDBETWEEN(2890,3282))</f>
        <v>104431347.45395158</v>
      </c>
      <c r="B7074">
        <v>258417999.28457111</v>
      </c>
    </row>
    <row r="7075" spans="1:2" x14ac:dyDescent="0.25">
      <c r="A7075">
        <f ca="1">30184.8159364137*(RANDBETWEEN(2890,3282))</f>
        <v>95836790.598113403</v>
      </c>
      <c r="B7075">
        <v>214025618.35770085</v>
      </c>
    </row>
    <row r="7076" spans="1:2" x14ac:dyDescent="0.25">
      <c r="A7076">
        <f ca="1">29204.6662083526*(RANDBETWEEN(2890,3282))</f>
        <v>95762100.49718833</v>
      </c>
      <c r="B7076">
        <v>209947038.33138031</v>
      </c>
    </row>
    <row r="7077" spans="1:2" x14ac:dyDescent="0.25">
      <c r="A7077">
        <f ca="1">29326.9197808451*(RANDBETWEEN(2890,3282))</f>
        <v>88567297.73815231</v>
      </c>
      <c r="B7077">
        <v>245900445.95240211</v>
      </c>
    </row>
    <row r="7078" spans="1:2" x14ac:dyDescent="0.25">
      <c r="A7078">
        <f ca="1">29829.8708061377*(RANDBETWEEN(2890,3282))</f>
        <v>95694225.546090052</v>
      </c>
      <c r="B7078">
        <v>267909993.52377063</v>
      </c>
    </row>
    <row r="7079" spans="1:2" x14ac:dyDescent="0.25">
      <c r="A7079">
        <f ca="1">28708.098852356*(RANDBETWEEN(2890,3282))</f>
        <v>85779799.370839879</v>
      </c>
      <c r="B7079">
        <v>215845161.72710007</v>
      </c>
    </row>
    <row r="7080" spans="1:2" x14ac:dyDescent="0.25">
      <c r="A7080">
        <f ca="1">26503.0311037789*(RANDBETWEEN(2890,3282))</f>
        <v>85472275.30968681</v>
      </c>
      <c r="B7080">
        <v>241905729.55557472</v>
      </c>
    </row>
    <row r="7081" spans="1:2" x14ac:dyDescent="0.25">
      <c r="A7081">
        <f ca="1">33049.8747708903*(RANDBETWEEN(2890,3282))</f>
        <v>100372469.67919381</v>
      </c>
      <c r="B7081">
        <v>267654139.88456535</v>
      </c>
    </row>
    <row r="7082" spans="1:2" x14ac:dyDescent="0.25">
      <c r="A7082">
        <f ca="1">33845.5729829439*(RANDBETWEEN(2890,3282))</f>
        <v>109016590.57806225</v>
      </c>
      <c r="B7082">
        <v>242658981.90172175</v>
      </c>
    </row>
    <row r="7083" spans="1:2" x14ac:dyDescent="0.25">
      <c r="A7083">
        <f ca="1">25544.5365231721*(RANDBETWEEN(2890,3282))</f>
        <v>82892021.01769352</v>
      </c>
      <c r="B7083">
        <v>247269725.57674745</v>
      </c>
    </row>
    <row r="7084" spans="1:2" x14ac:dyDescent="0.25">
      <c r="A7084">
        <f ca="1">31639.1024126057*(RANDBETWEEN(2890,3282))</f>
        <v>103554782.19645846</v>
      </c>
      <c r="B7084">
        <v>229925676.48780251</v>
      </c>
    </row>
    <row r="7085" spans="1:2" x14ac:dyDescent="0.25">
      <c r="A7085">
        <f ca="1">33803.4864151526*(RANDBETWEEN(2890,3282))</f>
        <v>106413375.23490049</v>
      </c>
      <c r="B7085">
        <v>224135378.03871149</v>
      </c>
    </row>
    <row r="7086" spans="1:2" x14ac:dyDescent="0.25">
      <c r="A7086">
        <f ca="1">29722.4614646777*(RANDBETWEEN(2890,3282))</f>
        <v>95319933.917221308</v>
      </c>
      <c r="B7086">
        <v>235293264.27095738</v>
      </c>
    </row>
    <row r="7087" spans="1:2" x14ac:dyDescent="0.25">
      <c r="A7087">
        <f ca="1">25849.3706921078*(RANDBETWEEN(2890,3282))</f>
        <v>80572488.447300136</v>
      </c>
      <c r="B7087">
        <v>243073834.05613095</v>
      </c>
    </row>
    <row r="7088" spans="1:2" x14ac:dyDescent="0.25">
      <c r="A7088">
        <f ca="1">30994.6418766669*(RANDBETWEEN(2890,3282))</f>
        <v>91062257.833647266</v>
      </c>
      <c r="B7088">
        <v>257616856.31163841</v>
      </c>
    </row>
    <row r="7089" spans="1:2" x14ac:dyDescent="0.25">
      <c r="A7089">
        <f ca="1">31781.5084836196*(RANDBETWEEN(2890,3282))</f>
        <v>92865567.789136499</v>
      </c>
      <c r="B7089">
        <v>261921475.47399306</v>
      </c>
    </row>
    <row r="7090" spans="1:2" x14ac:dyDescent="0.25">
      <c r="A7090">
        <f ca="1">30448.443147717*(RANDBETWEEN(2890,3282))</f>
        <v>96947842.982330978</v>
      </c>
      <c r="B7090">
        <v>235248641.45327652</v>
      </c>
    </row>
    <row r="7091" spans="1:2" x14ac:dyDescent="0.25">
      <c r="A7091">
        <f ca="1">26182.4396259124*(RANDBETWEEN(2890,3282))</f>
        <v>78233129.602226153</v>
      </c>
      <c r="B7091">
        <v>244053391.95010284</v>
      </c>
    </row>
    <row r="7092" spans="1:2" x14ac:dyDescent="0.25">
      <c r="A7092">
        <f ca="1">29977.1639483659*(RANDBETWEEN(2890,3282))</f>
        <v>96316627.766099542</v>
      </c>
      <c r="B7092">
        <v>234843680.99871248</v>
      </c>
    </row>
    <row r="7093" spans="1:2" x14ac:dyDescent="0.25">
      <c r="A7093">
        <f ca="1">27916.7822277597*(RANDBETWEEN(2890,3282))</f>
        <v>82522008.265257686</v>
      </c>
      <c r="B7093">
        <v>218307646.43987176</v>
      </c>
    </row>
    <row r="7094" spans="1:2" x14ac:dyDescent="0.25">
      <c r="A7094">
        <f ca="1">30827.2168930417*(RANDBETWEEN(2890,3282))</f>
        <v>100342590.98685087</v>
      </c>
      <c r="B7094">
        <v>217081254.95565525</v>
      </c>
    </row>
    <row r="7095" spans="1:2" x14ac:dyDescent="0.25">
      <c r="A7095">
        <f ca="1">27932.5251584837*(RANDBETWEEN(2890,3282))</f>
        <v>81535040.937613875</v>
      </c>
      <c r="B7095">
        <v>235280608.76340097</v>
      </c>
    </row>
    <row r="7096" spans="1:2" x14ac:dyDescent="0.25">
      <c r="A7096">
        <f ca="1">28711.8334528089*(RANDBETWEEN(2890,3282))</f>
        <v>88489870.701556906</v>
      </c>
      <c r="B7096">
        <v>214444097.54724306</v>
      </c>
    </row>
    <row r="7097" spans="1:2" x14ac:dyDescent="0.25">
      <c r="A7097">
        <f ca="1">27334.4107739737*(RANDBETWEEN(2890,3282))</f>
        <v>84299322.826934889</v>
      </c>
      <c r="B7097">
        <v>252008462.30892003</v>
      </c>
    </row>
    <row r="7098" spans="1:2" x14ac:dyDescent="0.25">
      <c r="A7098">
        <f ca="1">27585.4494542447*(RANDBETWEEN(2890,3282))</f>
        <v>85818333.252155289</v>
      </c>
      <c r="B7098">
        <v>204825247.31060258</v>
      </c>
    </row>
    <row r="7099" spans="1:2" x14ac:dyDescent="0.25">
      <c r="A7099">
        <f ca="1">28429.6290155253*(RANDBETWEEN(2890,3282))</f>
        <v>92993316.509783328</v>
      </c>
      <c r="B7099">
        <v>237978432.70831138</v>
      </c>
    </row>
    <row r="7100" spans="1:2" x14ac:dyDescent="0.25">
      <c r="A7100">
        <f ca="1">29674.8438630397*(RANDBETWEEN(2890,3282))</f>
        <v>88965181.901392981</v>
      </c>
      <c r="B7100">
        <v>220459012.27009881</v>
      </c>
    </row>
    <row r="7101" spans="1:2" x14ac:dyDescent="0.25">
      <c r="A7101">
        <f ca="1">30853.9814535817*(RANDBETWEEN(2890,3282))</f>
        <v>98146515.003843412</v>
      </c>
      <c r="B7101">
        <v>243237819.10472411</v>
      </c>
    </row>
    <row r="7102" spans="1:2" x14ac:dyDescent="0.25">
      <c r="A7102">
        <f ca="1">31645.7233249164*(RANDBETWEEN(2890,3282))</f>
        <v>94177672.614951313</v>
      </c>
      <c r="B7102">
        <v>246373194.29156852</v>
      </c>
    </row>
    <row r="7103" spans="1:2" x14ac:dyDescent="0.25">
      <c r="A7103">
        <f ca="1">29404.5816490866*(RANDBETWEEN(2890,3282))</f>
        <v>88772431.998592466</v>
      </c>
      <c r="B7103">
        <v>262009723.39106125</v>
      </c>
    </row>
    <row r="7104" spans="1:2" x14ac:dyDescent="0.25">
      <c r="A7104">
        <f ca="1">33381.2336391933*(RANDBETWEEN(2890,3282))</f>
        <v>101378806.56223002</v>
      </c>
      <c r="B7104">
        <v>264022531.25288278</v>
      </c>
    </row>
    <row r="7105" spans="1:2" x14ac:dyDescent="0.25">
      <c r="A7105">
        <f ca="1">29690.5744761677*(RANDBETWEEN(2890,3282))</f>
        <v>93436237.876499593</v>
      </c>
      <c r="B7105">
        <v>230221857.72195387</v>
      </c>
    </row>
    <row r="7106" spans="1:2" x14ac:dyDescent="0.25">
      <c r="A7106">
        <f ca="1">27191.3301606858*(RANDBETWEEN(2890,3282))</f>
        <v>84755376.110857576</v>
      </c>
      <c r="B7106">
        <v>208745298.74381074</v>
      </c>
    </row>
    <row r="7107" spans="1:2" x14ac:dyDescent="0.25">
      <c r="A7107">
        <f ca="1">27484.9164492212*(RANDBETWEEN(2890,3282))</f>
        <v>83334266.674038753</v>
      </c>
      <c r="B7107">
        <v>241197019.05618241</v>
      </c>
    </row>
    <row r="7108" spans="1:2" x14ac:dyDescent="0.25">
      <c r="A7108">
        <f ca="1">27623.0509362718*(RANDBETWEEN(2890,3282))</f>
        <v>88587124.352623656</v>
      </c>
      <c r="B7108">
        <v>233813582.14484811</v>
      </c>
    </row>
    <row r="7109" spans="1:2" x14ac:dyDescent="0.25">
      <c r="A7109">
        <f ca="1">27683.2647077499*(RANDBETWEEN(2890,3282))</f>
        <v>84627740.211591542</v>
      </c>
      <c r="B7109">
        <v>221124963.78121978</v>
      </c>
    </row>
    <row r="7110" spans="1:2" x14ac:dyDescent="0.25">
      <c r="A7110">
        <f ca="1">29257.1861658883*(RANDBETWEEN(2890,3282))</f>
        <v>90726534.300419718</v>
      </c>
      <c r="B7110">
        <v>251886264.0183216</v>
      </c>
    </row>
    <row r="7111" spans="1:2" x14ac:dyDescent="0.25">
      <c r="A7111">
        <f ca="1">30281.8125839136*(RANDBETWEEN(2890,3282))</f>
        <v>98052509.146712229</v>
      </c>
      <c r="B7111">
        <v>227158095.18471929</v>
      </c>
    </row>
    <row r="7112" spans="1:2" x14ac:dyDescent="0.25">
      <c r="A7112">
        <f ca="1">29051.593377032*(RANDBETWEEN(2890,3282))</f>
        <v>94533884.848862037</v>
      </c>
      <c r="B7112">
        <v>243063520.24601445</v>
      </c>
    </row>
    <row r="7113" spans="1:2" x14ac:dyDescent="0.25">
      <c r="A7113">
        <f ca="1">30535.3166057343*(RANDBETWEEN(2890,3282))</f>
        <v>91270061.33453992</v>
      </c>
      <c r="B7113">
        <v>245211289.37251651</v>
      </c>
    </row>
    <row r="7114" spans="1:2" x14ac:dyDescent="0.25">
      <c r="A7114">
        <f ca="1">28769.8030182826*(RANDBETWEEN(2890,3282))</f>
        <v>94364953.899967045</v>
      </c>
      <c r="B7114">
        <v>229064432.41564256</v>
      </c>
    </row>
    <row r="7115" spans="1:2" x14ac:dyDescent="0.25">
      <c r="A7115">
        <f ca="1">31070.3742394642*(RANDBETWEEN(2890,3282))</f>
        <v>101631194.13728741</v>
      </c>
      <c r="B7115">
        <v>224607463.39617285</v>
      </c>
    </row>
    <row r="7116" spans="1:2" x14ac:dyDescent="0.25">
      <c r="A7116">
        <f ca="1">30738.0113722646*(RANDBETWEEN(2890,3282))</f>
        <v>94611599.003830567</v>
      </c>
      <c r="B7116">
        <v>265751635.0272986</v>
      </c>
    </row>
    <row r="7117" spans="1:2" x14ac:dyDescent="0.25">
      <c r="A7117">
        <f ca="1">32699.2642590505*(RANDBETWEEN(2890,3282))</f>
        <v>95383753.843650222</v>
      </c>
      <c r="B7117">
        <v>265081460.67016804</v>
      </c>
    </row>
    <row r="7118" spans="1:2" x14ac:dyDescent="0.25">
      <c r="A7118">
        <f ca="1">27803.9768352864*(RANDBETWEEN(2890,3282))</f>
        <v>88805902.011904761</v>
      </c>
      <c r="B7118">
        <v>211593926.60738057</v>
      </c>
    </row>
    <row r="7119" spans="1:2" x14ac:dyDescent="0.25">
      <c r="A7119">
        <f ca="1">27790.8840349763*(RANDBETWEEN(2890,3282))</f>
        <v>85401386.639482155</v>
      </c>
      <c r="B7119">
        <v>203884202.95051458</v>
      </c>
    </row>
    <row r="7120" spans="1:2" x14ac:dyDescent="0.25">
      <c r="A7120">
        <f ca="1">30028.2696212442*(RANDBETWEEN(2890,3282))</f>
        <v>92727296.590402067</v>
      </c>
      <c r="B7120">
        <v>228613695.07304803</v>
      </c>
    </row>
    <row r="7121" spans="1:2" x14ac:dyDescent="0.25">
      <c r="A7121">
        <f ca="1">27770.9580680756*(RANDBETWEEN(2890,3282))</f>
        <v>90477781.385790229</v>
      </c>
      <c r="B7121">
        <v>213657235.73191416</v>
      </c>
    </row>
    <row r="7122" spans="1:2" x14ac:dyDescent="0.25">
      <c r="A7122">
        <f ca="1">33011.4452292701*(RANDBETWEEN(2890,3282))</f>
        <v>104250144.03403486</v>
      </c>
      <c r="B7122">
        <v>267315369.73171043</v>
      </c>
    </row>
    <row r="7123" spans="1:2" x14ac:dyDescent="0.25">
      <c r="A7123">
        <f ca="1">32534.4474409535*(RANDBETWEEN(2890,3282))</f>
        <v>103719818.44175985</v>
      </c>
      <c r="B7123">
        <v>261514106.30013594</v>
      </c>
    </row>
    <row r="7124" spans="1:2" x14ac:dyDescent="0.25">
      <c r="A7124">
        <f ca="1">27505.6652461215*(RANDBETWEEN(2890,3282))</f>
        <v>82379467.412133887</v>
      </c>
      <c r="B7124">
        <v>217690683.43691018</v>
      </c>
    </row>
    <row r="7125" spans="1:2" x14ac:dyDescent="0.25">
      <c r="A7125">
        <f ca="1">25996.9949374955*(RANDBETWEEN(2890,3282))</f>
        <v>78198960.77198638</v>
      </c>
      <c r="B7125">
        <v>207637133.95618042</v>
      </c>
    </row>
    <row r="7126" spans="1:2" x14ac:dyDescent="0.25">
      <c r="A7126">
        <f ca="1">27598.701634559*(RANDBETWEEN(2890,3282))</f>
        <v>87184298.463571817</v>
      </c>
      <c r="B7126">
        <v>203729153.61485687</v>
      </c>
    </row>
    <row r="7127" spans="1:2" x14ac:dyDescent="0.25">
      <c r="A7127">
        <f ca="1">29356.6209147839*(RANDBETWEEN(2890,3282))</f>
        <v>93765047.201819867</v>
      </c>
      <c r="B7127">
        <v>213092644.29123634</v>
      </c>
    </row>
    <row r="7128" spans="1:2" x14ac:dyDescent="0.25">
      <c r="A7128">
        <f ca="1">27303.2169682646*(RANDBETWEEN(2890,3282))</f>
        <v>85322553.02582702</v>
      </c>
      <c r="B7128">
        <v>236999216.40017459</v>
      </c>
    </row>
    <row r="7129" spans="1:2" x14ac:dyDescent="0.25">
      <c r="A7129">
        <f ca="1">28495.9493572385*(RANDBETWEEN(2890,3282))</f>
        <v>86599190.096647665</v>
      </c>
      <c r="B7129">
        <v>235963432.92178139</v>
      </c>
    </row>
    <row r="7130" spans="1:2" x14ac:dyDescent="0.25">
      <c r="A7130">
        <f ca="1">32428.4373858026*(RANDBETWEEN(2890,3282))</f>
        <v>101728008.07926287</v>
      </c>
      <c r="B7130">
        <v>230378865.89244032</v>
      </c>
    </row>
    <row r="7131" spans="1:2" x14ac:dyDescent="0.25">
      <c r="A7131">
        <f ca="1">31560.9487476319*(RANDBETWEEN(2890,3282))</f>
        <v>95124699.525362462</v>
      </c>
      <c r="B7131">
        <v>231264673.09841746</v>
      </c>
    </row>
    <row r="7132" spans="1:2" x14ac:dyDescent="0.25">
      <c r="A7132">
        <f ca="1">32790.4709643744*(RANDBETWEEN(2890,3282))</f>
        <v>100994650.57027328</v>
      </c>
      <c r="B7132">
        <v>216285987.30006897</v>
      </c>
    </row>
    <row r="7133" spans="1:2" x14ac:dyDescent="0.25">
      <c r="A7133">
        <f ca="1">28232.5227268578*(RANDBETWEEN(2890,3282))</f>
        <v>83991755.112401977</v>
      </c>
      <c r="B7133">
        <v>213555886.60533801</v>
      </c>
    </row>
    <row r="7134" spans="1:2" x14ac:dyDescent="0.25">
      <c r="A7134">
        <f ca="1">29047.4893733582*(RANDBETWEEN(2890,3282))</f>
        <v>93039108.462866366</v>
      </c>
      <c r="B7134">
        <v>267478182.26544201</v>
      </c>
    </row>
    <row r="7135" spans="1:2" x14ac:dyDescent="0.25">
      <c r="A7135">
        <f ca="1">31353.5072447662*(RANDBETWEEN(2890,3282))</f>
        <v>97101811.93704097</v>
      </c>
      <c r="B7135">
        <v>241041941.91403806</v>
      </c>
    </row>
    <row r="7136" spans="1:2" x14ac:dyDescent="0.25">
      <c r="A7136">
        <f ca="1">33243.3936471518*(RANDBETWEEN(2890,3282))</f>
        <v>97835307.50356774</v>
      </c>
      <c r="B7136">
        <v>225085490.12833691</v>
      </c>
    </row>
    <row r="7137" spans="1:2" x14ac:dyDescent="0.25">
      <c r="A7137">
        <f ca="1">33079.9104201406*(RANDBETWEEN(2890,3282))</f>
        <v>96560258.516390324</v>
      </c>
      <c r="B7137">
        <v>247154579.67076796</v>
      </c>
    </row>
    <row r="7138" spans="1:2" x14ac:dyDescent="0.25">
      <c r="A7138">
        <f ca="1">28793.0083813474*(RANDBETWEEN(2890,3282))</f>
        <v>87905054.588253498</v>
      </c>
      <c r="B7138">
        <v>222448697.57101768</v>
      </c>
    </row>
    <row r="7139" spans="1:2" x14ac:dyDescent="0.25">
      <c r="A7139">
        <f ca="1">28109.9044685649*(RANDBETWEEN(2890,3282))</f>
        <v>84667032.259317622</v>
      </c>
      <c r="B7139">
        <v>254274603.42587891</v>
      </c>
    </row>
    <row r="7140" spans="1:2" x14ac:dyDescent="0.25">
      <c r="A7140">
        <f ca="1">29289.2012259126*(RANDBETWEEN(2890,3282))</f>
        <v>87106084.445864141</v>
      </c>
      <c r="B7140">
        <v>205863741.25560027</v>
      </c>
    </row>
    <row r="7141" spans="1:2" x14ac:dyDescent="0.25">
      <c r="A7141">
        <f ca="1">29580.1033453178*(RANDBETWEEN(2890,3282))</f>
        <v>94390109.774909154</v>
      </c>
      <c r="B7141">
        <v>255649021.92820179</v>
      </c>
    </row>
    <row r="7142" spans="1:2" x14ac:dyDescent="0.25">
      <c r="A7142">
        <f ca="1">27810.3699483196*(RANDBETWEEN(2890,3282))</f>
        <v>88715080.135139614</v>
      </c>
      <c r="B7142">
        <v>253719368.447523</v>
      </c>
    </row>
    <row r="7143" spans="1:2" x14ac:dyDescent="0.25">
      <c r="A7143">
        <f ca="1">29265.3396673177*(RANDBETWEEN(2890,3282))</f>
        <v>86186425.32025069</v>
      </c>
      <c r="B7143">
        <v>210271061.50527403</v>
      </c>
    </row>
    <row r="7144" spans="1:2" x14ac:dyDescent="0.25">
      <c r="A7144">
        <f ca="1">28230.0762653203*(RANDBETWEEN(2890,3282))</f>
        <v>82996424.220041662</v>
      </c>
      <c r="B7144">
        <v>238799836.36415839</v>
      </c>
    </row>
    <row r="7145" spans="1:2" x14ac:dyDescent="0.25">
      <c r="A7145">
        <f ca="1">32186.2931812743*(RANDBETWEEN(2890,3282))</f>
        <v>95818594.800653651</v>
      </c>
      <c r="B7145">
        <v>221542817.12421963</v>
      </c>
    </row>
    <row r="7146" spans="1:2" x14ac:dyDescent="0.25">
      <c r="A7146">
        <f ca="1">26426.0428242046*(RANDBETWEEN(2890,3282))</f>
        <v>81312933.770077601</v>
      </c>
      <c r="B7146">
        <v>242128907.20869195</v>
      </c>
    </row>
    <row r="7147" spans="1:2" x14ac:dyDescent="0.25">
      <c r="A7147">
        <f ca="1">28770.4231688692*(RANDBETWEEN(2890,3282))</f>
        <v>86397580.77611424</v>
      </c>
      <c r="B7147">
        <v>244679244.06698978</v>
      </c>
    </row>
    <row r="7148" spans="1:2" x14ac:dyDescent="0.25">
      <c r="A7148">
        <f ca="1">33339.5432001277*(RANDBETWEEN(2890,3282))</f>
        <v>101385550.87158847</v>
      </c>
      <c r="B7148">
        <v>258221388.86185127</v>
      </c>
    </row>
    <row r="7149" spans="1:2" x14ac:dyDescent="0.25">
      <c r="A7149">
        <f ca="1">27702.1582293579*(RANDBETWEEN(2890,3282))</f>
        <v>84325369.650165305</v>
      </c>
      <c r="B7149">
        <v>248567560.59756213</v>
      </c>
    </row>
    <row r="7150" spans="1:2" x14ac:dyDescent="0.25">
      <c r="A7150">
        <f ca="1">28444.9400482803*(RANDBETWEEN(2890,3282))</f>
        <v>85306375.204792738</v>
      </c>
      <c r="B7150">
        <v>249614611.42857504</v>
      </c>
    </row>
    <row r="7151" spans="1:2" x14ac:dyDescent="0.25">
      <c r="A7151">
        <f ca="1">28232.0861104573*(RANDBETWEEN(2890,3282))</f>
        <v>85430292.570243865</v>
      </c>
      <c r="B7151">
        <v>211067060.10451221</v>
      </c>
    </row>
    <row r="7152" spans="1:2" x14ac:dyDescent="0.25">
      <c r="A7152">
        <f ca="1">28664.6362025262*(RANDBETWEEN(2890,3282))</f>
        <v>85707262.245553315</v>
      </c>
      <c r="B7152">
        <v>266245119.93018338</v>
      </c>
    </row>
    <row r="7153" spans="1:2" x14ac:dyDescent="0.25">
      <c r="A7153">
        <f ca="1">29518.3292670768*(RANDBETWEEN(2890,3282))</f>
        <v>86282076.447665617</v>
      </c>
      <c r="B7153">
        <v>220951198.72789353</v>
      </c>
    </row>
    <row r="7154" spans="1:2" x14ac:dyDescent="0.25">
      <c r="A7154">
        <f ca="1">33192.2094777206*(RANDBETWEEN(2890,3282))</f>
        <v>96821675.04651086</v>
      </c>
      <c r="B7154">
        <v>237585285.11854643</v>
      </c>
    </row>
    <row r="7155" spans="1:2" x14ac:dyDescent="0.25">
      <c r="A7155">
        <f ca="1">34228.9680712222*(RANDBETWEEN(2890,3282))</f>
        <v>111209917.26340084</v>
      </c>
      <c r="B7155">
        <v>246433739.13702807</v>
      </c>
    </row>
    <row r="7156" spans="1:2" x14ac:dyDescent="0.25">
      <c r="A7156">
        <f ca="1">31731.7958109785*(RANDBETWEEN(2890,3282))</f>
        <v>98400298.809844375</v>
      </c>
      <c r="B7156">
        <v>224865609.50193399</v>
      </c>
    </row>
    <row r="7157" spans="1:2" x14ac:dyDescent="0.25">
      <c r="A7157">
        <f ca="1">32835.0970919723*(RANDBETWEEN(2890,3282))</f>
        <v>95648637.828915402</v>
      </c>
      <c r="B7157">
        <v>252621824.54310173</v>
      </c>
    </row>
    <row r="7158" spans="1:2" x14ac:dyDescent="0.25">
      <c r="A7158">
        <f ca="1">30512.1580376548*(RANDBETWEEN(2890,3282))</f>
        <v>99469635.202754632</v>
      </c>
      <c r="B7158">
        <v>220950283.98889732</v>
      </c>
    </row>
    <row r="7159" spans="1:2" x14ac:dyDescent="0.25">
      <c r="A7159">
        <f ca="1">28477.2893825289*(RANDBETWEEN(2890,3282))</f>
        <v>93006827.123339519</v>
      </c>
      <c r="B7159">
        <v>213577541.39254957</v>
      </c>
    </row>
    <row r="7160" spans="1:2" x14ac:dyDescent="0.25">
      <c r="A7160">
        <f ca="1">32506.546675728*(RANDBETWEEN(2890,3282))</f>
        <v>103565857.70886937</v>
      </c>
      <c r="B7160">
        <v>222016151.9838649</v>
      </c>
    </row>
    <row r="7161" spans="1:2" x14ac:dyDescent="0.25">
      <c r="A7161">
        <f ca="1">30636.2885261672*(RANDBETWEEN(2890,3282))</f>
        <v>91020413.211242676</v>
      </c>
      <c r="B7161">
        <v>208545366.1352967</v>
      </c>
    </row>
    <row r="7162" spans="1:2" x14ac:dyDescent="0.25">
      <c r="A7162">
        <f ca="1">31058.2343485083*(RANDBETWEEN(2890,3282))</f>
        <v>99044709.337392986</v>
      </c>
      <c r="B7162">
        <v>248336481.01738822</v>
      </c>
    </row>
    <row r="7163" spans="1:2" x14ac:dyDescent="0.25">
      <c r="A7163">
        <f ca="1">30667.9923990614*(RANDBETWEEN(2890,3282))</f>
        <v>95377456.36108087</v>
      </c>
      <c r="B7163">
        <v>218690162.9921861</v>
      </c>
    </row>
    <row r="7164" spans="1:2" x14ac:dyDescent="0.25">
      <c r="A7164">
        <f ca="1">29824.721141716*(RANDBETWEEN(2890,3282))</f>
        <v>96602271.778018013</v>
      </c>
      <c r="B7164">
        <v>204389964.68362319</v>
      </c>
    </row>
    <row r="7165" spans="1:2" x14ac:dyDescent="0.25">
      <c r="A7165">
        <f ca="1">30440.4003530364*(RANDBETWEEN(2890,3282))</f>
        <v>92021330.267229035</v>
      </c>
      <c r="B7165">
        <v>249184002.67989799</v>
      </c>
    </row>
    <row r="7166" spans="1:2" x14ac:dyDescent="0.25">
      <c r="A7166">
        <f ca="1">27244.8191508568*(RANDBETWEEN(2890,3282))</f>
        <v>84976590.931522354</v>
      </c>
      <c r="B7166">
        <v>212219855.2143997</v>
      </c>
    </row>
    <row r="7167" spans="1:2" x14ac:dyDescent="0.25">
      <c r="A7167">
        <f ca="1">26473.9534986579*(RANDBETWEEN(2890,3282))</f>
        <v>83340005.61377506</v>
      </c>
      <c r="B7167">
        <v>266494411.79726344</v>
      </c>
    </row>
    <row r="7168" spans="1:2" x14ac:dyDescent="0.25">
      <c r="A7168">
        <f ca="1">30799.4800464614*(RANDBETWEEN(2890,3282))</f>
        <v>94000013.101800263</v>
      </c>
      <c r="B7168">
        <v>220529882.99819878</v>
      </c>
    </row>
    <row r="7169" spans="1:2" x14ac:dyDescent="0.25">
      <c r="A7169">
        <f ca="1">28693.9421766609*(RANDBETWEEN(2890,3282))</f>
        <v>93284006.016324535</v>
      </c>
      <c r="B7169">
        <v>207329702.49648523</v>
      </c>
    </row>
    <row r="7170" spans="1:2" x14ac:dyDescent="0.25">
      <c r="A7170">
        <f ca="1">31231.2801762716*(RANDBETWEEN(2890,3282))</f>
        <v>101033191.37023853</v>
      </c>
      <c r="B7170">
        <v>263982963.24016786</v>
      </c>
    </row>
    <row r="7171" spans="1:2" x14ac:dyDescent="0.25">
      <c r="A7171">
        <f ca="1">31011.0103028979*(RANDBETWEEN(2890,3282))</f>
        <v>94397515.362021118</v>
      </c>
      <c r="B7171">
        <v>262837793.19597214</v>
      </c>
    </row>
    <row r="7172" spans="1:2" x14ac:dyDescent="0.25">
      <c r="A7172">
        <f ca="1">30233.9571728743*(RANDBETWEEN(2890,3282))</f>
        <v>98502232.469224453</v>
      </c>
      <c r="B7172">
        <v>205452289.73117259</v>
      </c>
    </row>
    <row r="7173" spans="1:2" x14ac:dyDescent="0.25">
      <c r="A7173">
        <f ca="1">32909.0107317438*(RANDBETWEEN(2890,3282))</f>
        <v>100306664.7103551</v>
      </c>
      <c r="B7173">
        <v>263013833.72189671</v>
      </c>
    </row>
    <row r="7174" spans="1:2" x14ac:dyDescent="0.25">
      <c r="A7174">
        <f ca="1">32847.1270427785*(RANDBETWEEN(2890,3282))</f>
        <v>100545055.87794507</v>
      </c>
      <c r="B7174">
        <v>224611065.64842379</v>
      </c>
    </row>
    <row r="7175" spans="1:2" x14ac:dyDescent="0.25">
      <c r="A7175">
        <f ca="1">29859.9407939102*(RANDBETWEEN(2890,3282))</f>
        <v>96716348.231475264</v>
      </c>
      <c r="B7175">
        <v>259350102.27911419</v>
      </c>
    </row>
    <row r="7176" spans="1:2" x14ac:dyDescent="0.25">
      <c r="A7176">
        <f ca="1">27734.0206561913*(RANDBETWEEN(2890,3282))</f>
        <v>81205212.481328115</v>
      </c>
      <c r="B7176">
        <v>266050281.87867486</v>
      </c>
    </row>
    <row r="7177" spans="1:2" x14ac:dyDescent="0.25">
      <c r="A7177">
        <f ca="1">27153.9826259934*(RANDBETWEEN(2890,3282))</f>
        <v>86947052.368430853</v>
      </c>
      <c r="B7177">
        <v>227988265.12617326</v>
      </c>
    </row>
    <row r="7178" spans="1:2" x14ac:dyDescent="0.25">
      <c r="A7178">
        <f ca="1">33409.4084090724*(RANDBETWEEN(2890,3282))</f>
        <v>99960949.959944665</v>
      </c>
      <c r="B7178">
        <v>247421634.15403241</v>
      </c>
    </row>
    <row r="7179" spans="1:2" x14ac:dyDescent="0.25">
      <c r="A7179">
        <f ca="1">31804.7158517852*(RANDBETWEEN(2890,3282))</f>
        <v>96082046.588243052</v>
      </c>
      <c r="B7179">
        <v>224346088.57387006</v>
      </c>
    </row>
    <row r="7180" spans="1:2" x14ac:dyDescent="0.25">
      <c r="A7180">
        <f ca="1">31997.2847345353*(RANDBETWEEN(2890,3282))</f>
        <v>92536147.45227614</v>
      </c>
      <c r="B7180">
        <v>241414667.22105354</v>
      </c>
    </row>
    <row r="7181" spans="1:2" x14ac:dyDescent="0.25">
      <c r="A7181">
        <f ca="1">29620.6610110014*(RANDBETWEEN(2890,3282))</f>
        <v>94726873.913182601</v>
      </c>
      <c r="B7181">
        <v>241954159.8053419</v>
      </c>
    </row>
    <row r="7182" spans="1:2" x14ac:dyDescent="0.25">
      <c r="A7182">
        <f ca="1">31828.6370422538*(RANDBETWEEN(2890,3282))</f>
        <v>95454082.489719301</v>
      </c>
      <c r="B7182">
        <v>250922311.49731672</v>
      </c>
    </row>
    <row r="7183" spans="1:2" x14ac:dyDescent="0.25">
      <c r="A7183">
        <f ca="1">32026.9893892774*(RANDBETWEEN(2890,3282))</f>
        <v>102037988.19423763</v>
      </c>
      <c r="B7183">
        <v>244360355.03297153</v>
      </c>
    </row>
    <row r="7184" spans="1:2" x14ac:dyDescent="0.25">
      <c r="A7184">
        <f ca="1">25202.035268071*(RANDBETWEEN(2890,3282))</f>
        <v>80646512.857827172</v>
      </c>
      <c r="B7184">
        <v>248160271.3217873</v>
      </c>
    </row>
    <row r="7185" spans="1:2" x14ac:dyDescent="0.25">
      <c r="A7185">
        <f ca="1">27238.422993307*(RANDBETWEEN(2890,3282))</f>
        <v>87135715.155589104</v>
      </c>
      <c r="B7185">
        <v>224737537.51763961</v>
      </c>
    </row>
    <row r="7186" spans="1:2" x14ac:dyDescent="0.25">
      <c r="A7186">
        <f ca="1">29669.558001239*(RANDBETWEEN(2890,3282))</f>
        <v>88949334.88771458</v>
      </c>
      <c r="B7186">
        <v>249637751.41402638</v>
      </c>
    </row>
    <row r="7187" spans="1:2" x14ac:dyDescent="0.25">
      <c r="A7187">
        <f ca="1">30183.1459096458*(RANDBETWEEN(2890,3282))</f>
        <v>95107092.761293873</v>
      </c>
      <c r="B7187">
        <v>264580907.26666462</v>
      </c>
    </row>
    <row r="7188" spans="1:2" x14ac:dyDescent="0.25">
      <c r="A7188">
        <f ca="1">33527.022356989*(RANDBETWEEN(2890,3282))</f>
        <v>104570782.73144871</v>
      </c>
      <c r="B7188">
        <v>232848431.17803296</v>
      </c>
    </row>
    <row r="7189" spans="1:2" x14ac:dyDescent="0.25">
      <c r="A7189">
        <f ca="1">30801.4899758566*(RANDBETWEEN(2890,3282))</f>
        <v>91511226.718270048</v>
      </c>
      <c r="B7189">
        <v>255486160.2061587</v>
      </c>
    </row>
    <row r="7190" spans="1:2" x14ac:dyDescent="0.25">
      <c r="A7190">
        <f ca="1">27254.1171470394*(RANDBETWEEN(2890,3282))</f>
        <v>87267683.104820296</v>
      </c>
      <c r="B7190">
        <v>221787115.67765543</v>
      </c>
    </row>
    <row r="7191" spans="1:2" x14ac:dyDescent="0.25">
      <c r="A7191">
        <f ca="1">33256.0587413721*(RANDBETWEEN(2890,3282))</f>
        <v>100566321.63390915</v>
      </c>
      <c r="B7191">
        <v>226512898.15815958</v>
      </c>
    </row>
    <row r="7192" spans="1:2" x14ac:dyDescent="0.25">
      <c r="A7192">
        <f ca="1">32110.3745600158*(RANDBETWEEN(2890,3282))</f>
        <v>96844889.673007637</v>
      </c>
      <c r="B7192">
        <v>223522837.44917166</v>
      </c>
    </row>
    <row r="7193" spans="1:2" x14ac:dyDescent="0.25">
      <c r="A7193">
        <f ca="1">29144.4401514843*(RANDBETWEEN(2890,3282))</f>
        <v>90464342.230207175</v>
      </c>
      <c r="B7193">
        <v>224495353.14666814</v>
      </c>
    </row>
    <row r="7194" spans="1:2" x14ac:dyDescent="0.25">
      <c r="A7194">
        <f ca="1">25640.5707360771*(RANDBETWEEN(2890,3282))</f>
        <v>84024150.302124739</v>
      </c>
      <c r="B7194">
        <v>238926620.23331222</v>
      </c>
    </row>
    <row r="7195" spans="1:2" x14ac:dyDescent="0.25">
      <c r="A7195">
        <f ca="1">31596.8236614699*(RANDBETWEEN(2890,3282))</f>
        <v>99814365.946583539</v>
      </c>
      <c r="B7195">
        <v>238497422.61187857</v>
      </c>
    </row>
    <row r="7196" spans="1:2" x14ac:dyDescent="0.25">
      <c r="A7196">
        <f ca="1">26879.6221588825*(RANDBETWEEN(2890,3282))</f>
        <v>79966875.922675341</v>
      </c>
      <c r="B7196">
        <v>208010650.24590546</v>
      </c>
    </row>
    <row r="7197" spans="1:2" x14ac:dyDescent="0.25">
      <c r="A7197">
        <f ca="1">30129.0591485462*(RANDBETWEEN(2890,3282))</f>
        <v>93852019.247721344</v>
      </c>
      <c r="B7197">
        <v>206284055.04760224</v>
      </c>
    </row>
    <row r="7198" spans="1:2" x14ac:dyDescent="0.25">
      <c r="A7198">
        <f ca="1">32002.1566801087*(RANDBETWEEN(2890,3282))</f>
        <v>103142950.97999033</v>
      </c>
      <c r="B7198">
        <v>206555647.4755235</v>
      </c>
    </row>
    <row r="7199" spans="1:2" x14ac:dyDescent="0.25">
      <c r="A7199">
        <f ca="1">28692.9430929371*(RANDBETWEEN(2890,3282))</f>
        <v>84070323.262305588</v>
      </c>
      <c r="B7199">
        <v>225447963.71232879</v>
      </c>
    </row>
    <row r="7200" spans="1:2" x14ac:dyDescent="0.25">
      <c r="A7200">
        <f ca="1">32837.174097096*(RANDBETWEEN(2890,3282))</f>
        <v>104619236.67334798</v>
      </c>
      <c r="B7200">
        <v>207146817.25259903</v>
      </c>
    </row>
    <row r="7201" spans="1:2" x14ac:dyDescent="0.25">
      <c r="A7201">
        <f ca="1">27624.6744607673*(RANDBETWEEN(2890,3282))</f>
        <v>87211097.272642449</v>
      </c>
      <c r="B7201">
        <v>256031791.3734419</v>
      </c>
    </row>
    <row r="7202" spans="1:2" x14ac:dyDescent="0.25">
      <c r="A7202">
        <f ca="1">32052.0634708023*(RANDBETWEEN(2890,3282))</f>
        <v>96027982.158523694</v>
      </c>
      <c r="B7202">
        <v>224358108.12957147</v>
      </c>
    </row>
    <row r="7203" spans="1:2" x14ac:dyDescent="0.25">
      <c r="A7203">
        <f ca="1">31000.0787116913*(RANDBETWEEN(2890,3282))</f>
        <v>100254254.55360951</v>
      </c>
      <c r="B7203">
        <v>237085829.68398893</v>
      </c>
    </row>
    <row r="7204" spans="1:2" x14ac:dyDescent="0.25">
      <c r="A7204">
        <f ca="1">31766.1682254864*(RANDBETWEEN(2890,3282))</f>
        <v>95298504.676459312</v>
      </c>
      <c r="B7204">
        <v>205707792.51958239</v>
      </c>
    </row>
    <row r="7205" spans="1:2" x14ac:dyDescent="0.25">
      <c r="A7205">
        <f ca="1">28331.0425293784*(RANDBETWEEN(2890,3282))</f>
        <v>84596492.992723882</v>
      </c>
      <c r="B7205">
        <v>214298393.16222444</v>
      </c>
    </row>
    <row r="7206" spans="1:2" x14ac:dyDescent="0.25">
      <c r="A7206">
        <f ca="1">29194.6933229496*(RANDBETWEEN(2890,3282))</f>
        <v>84810584.103168592</v>
      </c>
      <c r="B7206">
        <v>234040785.28159621</v>
      </c>
    </row>
    <row r="7207" spans="1:2" x14ac:dyDescent="0.25">
      <c r="A7207">
        <f ca="1">26841.1415290348*(RANDBETWEEN(2890,3282))</f>
        <v>79932919.473465756</v>
      </c>
      <c r="B7207">
        <v>203762687.10233295</v>
      </c>
    </row>
    <row r="7208" spans="1:2" x14ac:dyDescent="0.25">
      <c r="A7208">
        <f ca="1">30165.2843795393*(RANDBETWEEN(2890,3282))</f>
        <v>93150398.164017364</v>
      </c>
      <c r="B7208">
        <v>204940304.86410835</v>
      </c>
    </row>
    <row r="7209" spans="1:2" x14ac:dyDescent="0.25">
      <c r="A7209">
        <f ca="1">31890.4289965595*(RANDBETWEEN(2890,3282))</f>
        <v>101730468.49902494</v>
      </c>
      <c r="B7209">
        <v>228171506.57159048</v>
      </c>
    </row>
    <row r="7210" spans="1:2" x14ac:dyDescent="0.25">
      <c r="A7210">
        <f ca="1">28391.121792853*(RANDBETWEEN(2890,3282))</f>
        <v>88381562.141151428</v>
      </c>
      <c r="B7210">
        <v>233352909.12266129</v>
      </c>
    </row>
    <row r="7211" spans="1:2" x14ac:dyDescent="0.25">
      <c r="A7211">
        <f ca="1">27740.8301563435*(RANDBETWEEN(2890,3282))</f>
        <v>89380954.763738647</v>
      </c>
      <c r="B7211">
        <v>229150197.21617556</v>
      </c>
    </row>
    <row r="7212" spans="1:2" x14ac:dyDescent="0.25">
      <c r="A7212">
        <f ca="1">29836.6595383854*(RANDBETWEEN(2890,3282))</f>
        <v>92612991.207148343</v>
      </c>
      <c r="B7212">
        <v>243284755.75176078</v>
      </c>
    </row>
    <row r="7213" spans="1:2" x14ac:dyDescent="0.25">
      <c r="A7213">
        <f ca="1">33970.3210881059*(RANDBETWEEN(2890,3282))</f>
        <v>102624340.00716786</v>
      </c>
      <c r="B7213">
        <v>240478189.28327009</v>
      </c>
    </row>
    <row r="7214" spans="1:2" x14ac:dyDescent="0.25">
      <c r="A7214">
        <f ca="1">32116.0628347572*(RANDBETWEEN(2890,3282))</f>
        <v>97600714.954827249</v>
      </c>
      <c r="B7214">
        <v>221190873.17265382</v>
      </c>
    </row>
    <row r="7215" spans="1:2" x14ac:dyDescent="0.25">
      <c r="A7215">
        <f ca="1">29967.3416608776*(RANDBETWEEN(2890,3282))</f>
        <v>86785421.44990164</v>
      </c>
      <c r="B7215">
        <v>211163365.92799118</v>
      </c>
    </row>
    <row r="7216" spans="1:2" x14ac:dyDescent="0.25">
      <c r="A7216">
        <f ca="1">30226.5088565327*(RANDBETWEEN(2890,3282))</f>
        <v>96543469.287765414</v>
      </c>
      <c r="B7216">
        <v>265543631.0990231</v>
      </c>
    </row>
    <row r="7217" spans="1:2" x14ac:dyDescent="0.25">
      <c r="A7217">
        <f ca="1">26691.4844780937*(RANDBETWEEN(2890,3282))</f>
        <v>85332675.876465708</v>
      </c>
      <c r="B7217">
        <v>257310019.06425178</v>
      </c>
    </row>
    <row r="7218" spans="1:2" x14ac:dyDescent="0.25">
      <c r="A7218">
        <f ca="1">30151.7517065032*(RANDBETWEEN(2890,3282))</f>
        <v>97239399.253472716</v>
      </c>
      <c r="B7218">
        <v>221302776.57469872</v>
      </c>
    </row>
    <row r="7219" spans="1:2" x14ac:dyDescent="0.25">
      <c r="A7219">
        <f ca="1">25928.5619053207*(RANDBETWEEN(2890,3282))</f>
        <v>76385543.373074681</v>
      </c>
      <c r="B7219">
        <v>230409829.86437541</v>
      </c>
    </row>
    <row r="7220" spans="1:2" x14ac:dyDescent="0.25">
      <c r="A7220">
        <f ca="1">33367.6102208077*(RANDBETWEEN(2890,3282))</f>
        <v>97833833.167408109</v>
      </c>
      <c r="B7220">
        <v>240000708.61380368</v>
      </c>
    </row>
    <row r="7221" spans="1:2" x14ac:dyDescent="0.25">
      <c r="A7221">
        <f ca="1">32791.2329942681*(RANDBETWEEN(2890,3282))</f>
        <v>99783722.001557767</v>
      </c>
      <c r="B7221">
        <v>218729906.88035372</v>
      </c>
    </row>
    <row r="7222" spans="1:2" x14ac:dyDescent="0.25">
      <c r="A7222">
        <f ca="1">30597.0382051596*(RANDBETWEEN(2890,3282))</f>
        <v>94024698.404455408</v>
      </c>
      <c r="B7222">
        <v>216066253.87392733</v>
      </c>
    </row>
    <row r="7223" spans="1:2" x14ac:dyDescent="0.25">
      <c r="A7223">
        <f ca="1">28772.6711097905*(RANDBETWEEN(2890,3282))</f>
        <v>89108962.427021205</v>
      </c>
      <c r="B7223">
        <v>230879798.72266072</v>
      </c>
    </row>
    <row r="7224" spans="1:2" x14ac:dyDescent="0.25">
      <c r="A7224">
        <f ca="1">29289.7719579333*(RANDBETWEEN(2890,3282))</f>
        <v>90534685.121971846</v>
      </c>
      <c r="B7224">
        <v>265843055.14919621</v>
      </c>
    </row>
    <row r="7225" spans="1:2" x14ac:dyDescent="0.25">
      <c r="A7225">
        <f ca="1">30689.6449561341*(RANDBETWEEN(2890,3282))</f>
        <v>98360312.084409654</v>
      </c>
      <c r="B7225">
        <v>228953351.56733432</v>
      </c>
    </row>
    <row r="7226" spans="1:2" x14ac:dyDescent="0.25">
      <c r="A7226">
        <f ca="1">32250.1615207303*(RANDBETWEEN(2890,3282))</f>
        <v>94815474.870947167</v>
      </c>
      <c r="B7226">
        <v>263942669.875451</v>
      </c>
    </row>
    <row r="7227" spans="1:2" x14ac:dyDescent="0.25">
      <c r="A7227">
        <f ca="1">31827.9223186051*(RANDBETWEEN(2890,3282))</f>
        <v>97138818.9163827</v>
      </c>
      <c r="B7227">
        <v>205534684.28091824</v>
      </c>
    </row>
    <row r="7228" spans="1:2" x14ac:dyDescent="0.25">
      <c r="A7228">
        <f ca="1">29349.9064133174*(RANDBETWEEN(2890,3282))</f>
        <v>87961669.520712122</v>
      </c>
      <c r="B7228">
        <v>243263101.0288012</v>
      </c>
    </row>
    <row r="7229" spans="1:2" x14ac:dyDescent="0.25">
      <c r="A7229">
        <f ca="1">27624.4339364055*(RANDBETWEEN(2890,3282))</f>
        <v>81298709.07484147</v>
      </c>
      <c r="B7229">
        <v>262572420.02669337</v>
      </c>
    </row>
    <row r="7230" spans="1:2" x14ac:dyDescent="0.25">
      <c r="A7230">
        <f ca="1">26643.0667382765*(RANDBETWEEN(2890,3282))</f>
        <v>81607713.419341043</v>
      </c>
      <c r="B7230">
        <v>233030882.43811452</v>
      </c>
    </row>
    <row r="7231" spans="1:2" x14ac:dyDescent="0.25">
      <c r="A7231">
        <f ca="1">27035.8813759864*(RANDBETWEEN(2890,3282))</f>
        <v>84162698.723445758</v>
      </c>
      <c r="B7231">
        <v>245546759.15965611</v>
      </c>
    </row>
    <row r="7232" spans="1:2" x14ac:dyDescent="0.25">
      <c r="A7232">
        <f ca="1">31763.5496858612*(RANDBETWEEN(2890,3282))</f>
        <v>94496560.315437064</v>
      </c>
      <c r="B7232">
        <v>234310338.79009646</v>
      </c>
    </row>
    <row r="7233" spans="1:2" x14ac:dyDescent="0.25">
      <c r="A7233">
        <f ca="1">33586.1124836832*(RANDBETWEEN(2890,3282))</f>
        <v>108147282.19746014</v>
      </c>
      <c r="B7233">
        <v>249366404.3743217</v>
      </c>
    </row>
    <row r="7234" spans="1:2" x14ac:dyDescent="0.25">
      <c r="A7234">
        <f ca="1">30324.7153268778*(RANDBETWEEN(2890,3282))</f>
        <v>98039804.651795834</v>
      </c>
      <c r="B7234">
        <v>216023403.65321532</v>
      </c>
    </row>
    <row r="7235" spans="1:2" x14ac:dyDescent="0.25">
      <c r="A7235">
        <f ca="1">27437.0165780823*(RANDBETWEEN(2890,3282))</f>
        <v>79786844.209063321</v>
      </c>
      <c r="B7235">
        <v>248080661.20065004</v>
      </c>
    </row>
    <row r="7236" spans="1:2" x14ac:dyDescent="0.25">
      <c r="A7236">
        <f ca="1">31547.9693928054*(RANDBETWEEN(2890,3282))</f>
        <v>95653443.198985934</v>
      </c>
      <c r="B7236">
        <v>248506753.20509034</v>
      </c>
    </row>
    <row r="7237" spans="1:2" x14ac:dyDescent="0.25">
      <c r="A7237">
        <f ca="1">29718.0280724504*(RANDBETWEEN(2890,3282))</f>
        <v>93998122.793160453</v>
      </c>
      <c r="B7237">
        <v>264213444.30399036</v>
      </c>
    </row>
    <row r="7238" spans="1:2" x14ac:dyDescent="0.25">
      <c r="A7238">
        <f ca="1">28105.0415592441*(RANDBETWEEN(2890,3282))</f>
        <v>87238048.999893844</v>
      </c>
      <c r="B7238">
        <v>207491588.59105965</v>
      </c>
    </row>
    <row r="7239" spans="1:2" x14ac:dyDescent="0.25">
      <c r="A7239">
        <f ca="1">28165.9238299864*(RANDBETWEEN(2890,3282))</f>
        <v>90412615.494256198</v>
      </c>
      <c r="B7239">
        <v>214780376.53445321</v>
      </c>
    </row>
    <row r="7240" spans="1:2" x14ac:dyDescent="0.25">
      <c r="A7240">
        <f ca="1">31045.2114360985*(RANDBETWEEN(2890,3282))</f>
        <v>96426426.720522046</v>
      </c>
      <c r="B7240">
        <v>243756423.68964571</v>
      </c>
    </row>
    <row r="7241" spans="1:2" x14ac:dyDescent="0.25">
      <c r="A7241">
        <f ca="1">31791.9277683789*(RANDBETWEEN(2890,3282))</f>
        <v>101765960.7865808</v>
      </c>
      <c r="B7241">
        <v>239338732.84272993</v>
      </c>
    </row>
    <row r="7242" spans="1:2" x14ac:dyDescent="0.25">
      <c r="A7242">
        <f ca="1">31015.1538515862*(RANDBETWEEN(2890,3282))</f>
        <v>95185507.170518041</v>
      </c>
      <c r="B7242">
        <v>231783829.56250861</v>
      </c>
    </row>
    <row r="7243" spans="1:2" x14ac:dyDescent="0.25">
      <c r="A7243">
        <f ca="1">29142.9482419546*(RANDBETWEEN(2890,3282))</f>
        <v>87108272.29520224</v>
      </c>
      <c r="B7243">
        <v>265747954.72677055</v>
      </c>
    </row>
    <row r="7244" spans="1:2" x14ac:dyDescent="0.25">
      <c r="A7244">
        <f ca="1">31324.4952110732*(RANDBETWEEN(2890,3282))</f>
        <v>100676927.60838912</v>
      </c>
      <c r="B7244">
        <v>211867751.03711957</v>
      </c>
    </row>
    <row r="7245" spans="1:2" x14ac:dyDescent="0.25">
      <c r="A7245">
        <f ca="1">29776.3383696413*(RANDBETWEEN(2890,3282))</f>
        <v>92515083.314475566</v>
      </c>
      <c r="B7245">
        <v>252819577.15279898</v>
      </c>
    </row>
    <row r="7246" spans="1:2" x14ac:dyDescent="0.25">
      <c r="A7246">
        <f ca="1">29285.6806792204*(RANDBETWEEN(2890,3282))</f>
        <v>88764898.13871707</v>
      </c>
      <c r="B7246">
        <v>253356322.48996162</v>
      </c>
    </row>
    <row r="7247" spans="1:2" x14ac:dyDescent="0.25">
      <c r="A7247">
        <f ca="1">28256.0438590009*(RANDBETWEEN(2890,3282))</f>
        <v>92595055.72594586</v>
      </c>
      <c r="B7247">
        <v>218736877.66609567</v>
      </c>
    </row>
    <row r="7248" spans="1:2" x14ac:dyDescent="0.25">
      <c r="A7248">
        <f ca="1">31136.8688957808*(RANDBETWEEN(2890,3282))</f>
        <v>94438123.360903308</v>
      </c>
      <c r="B7248">
        <v>241336316.43173435</v>
      </c>
    </row>
    <row r="7249" spans="1:2" x14ac:dyDescent="0.25">
      <c r="A7249">
        <f ca="1">27367.0479678093*(RANDBETWEEN(2890,3282))</f>
        <v>81909574.567653194</v>
      </c>
      <c r="B7249">
        <v>265128225.99198222</v>
      </c>
    </row>
    <row r="7250" spans="1:2" x14ac:dyDescent="0.25">
      <c r="A7250">
        <f ca="1">27169.2544269306*(RANDBETWEEN(2890,3282))</f>
        <v>84007334.688069403</v>
      </c>
      <c r="B7250">
        <v>261117226.98247737</v>
      </c>
    </row>
    <row r="7251" spans="1:2" x14ac:dyDescent="0.25">
      <c r="A7251">
        <f ca="1">28838.5982071464*(RANDBETWEEN(2890,3282))</f>
        <v>89486170.23677513</v>
      </c>
      <c r="B7251">
        <v>245598781.31364694</v>
      </c>
    </row>
    <row r="7252" spans="1:2" x14ac:dyDescent="0.25">
      <c r="A7252">
        <f ca="1">30664.9231823052*(RANDBETWEEN(2890,3282))</f>
        <v>90216204.002341911</v>
      </c>
      <c r="B7252">
        <v>251344183.58300579</v>
      </c>
    </row>
    <row r="7253" spans="1:2" x14ac:dyDescent="0.25">
      <c r="A7253">
        <f ca="1">31533.9260604308*(RANDBETWEEN(2890,3282))</f>
        <v>100057147.38974679</v>
      </c>
      <c r="B7253">
        <v>234761316.5820263</v>
      </c>
    </row>
    <row r="7254" spans="1:2" x14ac:dyDescent="0.25">
      <c r="A7254">
        <f ca="1">27406.0210211664*(RANDBETWEEN(2890,3282))</f>
        <v>86411184.279737815</v>
      </c>
      <c r="B7254">
        <v>225866365.58104092</v>
      </c>
    </row>
    <row r="7255" spans="1:2" x14ac:dyDescent="0.25">
      <c r="A7255">
        <f ca="1">27191.7601099428*(RANDBETWEEN(2890,3282))</f>
        <v>79100830.159823641</v>
      </c>
      <c r="B7255">
        <v>243141786.37409016</v>
      </c>
    </row>
    <row r="7256" spans="1:2" x14ac:dyDescent="0.25">
      <c r="A7256">
        <f ca="1">34268.6463718784*(RANDBETWEEN(2890,3282))</f>
        <v>104587908.72697274</v>
      </c>
      <c r="B7256">
        <v>226424972.41671783</v>
      </c>
    </row>
    <row r="7257" spans="1:2" x14ac:dyDescent="0.25">
      <c r="A7257">
        <f ca="1">26311.5245633055*(RANDBETWEEN(2890,3282))</f>
        <v>77803178.133694366</v>
      </c>
      <c r="B7257">
        <v>224807867.26320389</v>
      </c>
    </row>
    <row r="7258" spans="1:2" x14ac:dyDescent="0.25">
      <c r="A7258">
        <f ca="1">31275.7411695344*(RANDBETWEEN(2890,3282))</f>
        <v>102115294.91852979</v>
      </c>
      <c r="B7258">
        <v>238129648.31225595</v>
      </c>
    </row>
    <row r="7259" spans="1:2" x14ac:dyDescent="0.25">
      <c r="A7259">
        <f ca="1">29564.1186889993*(RANDBETWEEN(2890,3282))</f>
        <v>85913328.910231888</v>
      </c>
      <c r="B7259">
        <v>255953869.13757679</v>
      </c>
    </row>
    <row r="7260" spans="1:2" x14ac:dyDescent="0.25">
      <c r="A7260">
        <f ca="1">31333.1635350171*(RANDBETWEEN(2890,3282))</f>
        <v>92276166.610625401</v>
      </c>
      <c r="B7260">
        <v>212938971.96281254</v>
      </c>
    </row>
    <row r="7261" spans="1:2" x14ac:dyDescent="0.25">
      <c r="A7261">
        <f ca="1">31454.5700781715*(RANDBETWEEN(2890,3282))</f>
        <v>101063533.66116489</v>
      </c>
      <c r="B7261">
        <v>247505074.33164212</v>
      </c>
    </row>
    <row r="7262" spans="1:2" x14ac:dyDescent="0.25">
      <c r="A7262">
        <f ca="1">27777.4664384707*(RANDBETWEEN(2890,3282))</f>
        <v>82749072.520204306</v>
      </c>
      <c r="B7262">
        <v>219803777.7476598</v>
      </c>
    </row>
    <row r="7263" spans="1:2" x14ac:dyDescent="0.25">
      <c r="A7263">
        <f ca="1">29592.3180743933*(RANDBETWEEN(2890,3282))</f>
        <v>90434124.035345852</v>
      </c>
      <c r="B7263">
        <v>242079327.5996291</v>
      </c>
    </row>
    <row r="7264" spans="1:2" x14ac:dyDescent="0.25">
      <c r="A7264">
        <f ca="1">29917.2413069466*(RANDBETWEEN(2890,3282))</f>
        <v>91935682.53624703</v>
      </c>
      <c r="B7264">
        <v>265942253.57453761</v>
      </c>
    </row>
    <row r="7265" spans="1:2" x14ac:dyDescent="0.25">
      <c r="A7265">
        <f ca="1">27430.0150667223*(RANDBETWEEN(2890,3282))</f>
        <v>80369944.145496488</v>
      </c>
      <c r="B7265">
        <v>216554846.75355077</v>
      </c>
    </row>
    <row r="7266" spans="1:2" x14ac:dyDescent="0.25">
      <c r="A7266">
        <f ca="1">28933.8747118118*(RANDBETWEEN(2890,3282))</f>
        <v>83879302.789542541</v>
      </c>
      <c r="B7266">
        <v>235504988.44643766</v>
      </c>
    </row>
    <row r="7267" spans="1:2" x14ac:dyDescent="0.25">
      <c r="A7267">
        <f ca="1">28573.56113929*(RANDBETWEEN(2890,3282))</f>
        <v>93721280.536871254</v>
      </c>
      <c r="B7267">
        <v>223057172.2167502</v>
      </c>
    </row>
    <row r="7268" spans="1:2" x14ac:dyDescent="0.25">
      <c r="A7268">
        <f ca="1">26490.8066452255*(RANDBETWEEN(2890,3282))</f>
        <v>84346728.358398005</v>
      </c>
      <c r="B7268">
        <v>213357617.85450771</v>
      </c>
    </row>
    <row r="7269" spans="1:2" x14ac:dyDescent="0.25">
      <c r="A7269">
        <f ca="1">26396.0218488047*(RANDBETWEEN(2890,3282))</f>
        <v>85523110.790127143</v>
      </c>
      <c r="B7269">
        <v>238553116.9843387</v>
      </c>
    </row>
    <row r="7270" spans="1:2" x14ac:dyDescent="0.25">
      <c r="A7270">
        <f ca="1">30002.9554326648*(RANDBETWEEN(2890,3282))</f>
        <v>94239283.014000013</v>
      </c>
      <c r="B7270">
        <v>259180011.21877995</v>
      </c>
    </row>
    <row r="7271" spans="1:2" x14ac:dyDescent="0.25">
      <c r="A7271">
        <f ca="1">29269.3933944508*(RANDBETWEEN(2890,3282))</f>
        <v>87895988.363535881</v>
      </c>
      <c r="B7271">
        <v>206448849.9640156</v>
      </c>
    </row>
    <row r="7272" spans="1:2" x14ac:dyDescent="0.25">
      <c r="A7272">
        <f ca="1">27413.471933031*(RANDBETWEEN(2890,3282))</f>
        <v>79279760.830325708</v>
      </c>
      <c r="B7272">
        <v>262288135.72859949</v>
      </c>
    </row>
    <row r="7273" spans="1:2" x14ac:dyDescent="0.25">
      <c r="A7273">
        <f ca="1">27555.7338595273*(RANDBETWEEN(2890,3282))</f>
        <v>83411206.392789021</v>
      </c>
      <c r="B7273">
        <v>220552727.42146301</v>
      </c>
    </row>
    <row r="7274" spans="1:2" x14ac:dyDescent="0.25">
      <c r="A7274">
        <f ca="1">30326.4852112877*(RANDBETWEEN(2890,3282))</f>
        <v>98530750.451473862</v>
      </c>
      <c r="B7274">
        <v>238864669.31129029</v>
      </c>
    </row>
    <row r="7275" spans="1:2" x14ac:dyDescent="0.25">
      <c r="A7275">
        <f ca="1">31538.4680031949*(RANDBETWEEN(2890,3282))</f>
        <v>96633865.961789072</v>
      </c>
      <c r="B7275">
        <v>212984822.50132072</v>
      </c>
    </row>
    <row r="7276" spans="1:2" x14ac:dyDescent="0.25">
      <c r="A7276">
        <f ca="1">30783.168345122*(RANDBETWEEN(2890,3282))</f>
        <v>90810346.618109763</v>
      </c>
      <c r="B7276">
        <v>238042231.9600032</v>
      </c>
    </row>
    <row r="7277" spans="1:2" x14ac:dyDescent="0.25">
      <c r="A7277">
        <f ca="1">25026.439256241*(RANDBETWEEN(2890,3282))</f>
        <v>78557992.825340584</v>
      </c>
      <c r="B7277">
        <v>261467221.7772679</v>
      </c>
    </row>
    <row r="7278" spans="1:2" x14ac:dyDescent="0.25">
      <c r="A7278">
        <f ca="1">31730.8338036791*(RANDBETWEEN(2890,3282))</f>
        <v>100237703.98582235</v>
      </c>
      <c r="B7278">
        <v>263338995.58989313</v>
      </c>
    </row>
    <row r="7279" spans="1:2" x14ac:dyDescent="0.25">
      <c r="A7279">
        <f ca="1">28241.3132331419*(RANDBETWEEN(2890,3282))</f>
        <v>91106476.490115717</v>
      </c>
      <c r="B7279">
        <v>231932337.66337767</v>
      </c>
    </row>
    <row r="7280" spans="1:2" x14ac:dyDescent="0.25">
      <c r="A7280">
        <f ca="1">24592.8434295066*(RANDBETWEEN(2890,3282))</f>
        <v>73139116.359352604</v>
      </c>
      <c r="B7280">
        <v>230179061.48728567</v>
      </c>
    </row>
    <row r="7281" spans="1:2" x14ac:dyDescent="0.25">
      <c r="A7281">
        <f ca="1">32341.7390218849*(RANDBETWEEN(2890,3282))</f>
        <v>101488377.05067466</v>
      </c>
      <c r="B7281">
        <v>205437925.81892478</v>
      </c>
    </row>
    <row r="7282" spans="1:2" x14ac:dyDescent="0.25">
      <c r="A7282">
        <f ca="1">27455.7988523967*(RANDBETWEEN(2890,3282))</f>
        <v>80527858.034079462</v>
      </c>
      <c r="B7282">
        <v>240332982.40316534</v>
      </c>
    </row>
    <row r="7283" spans="1:2" x14ac:dyDescent="0.25">
      <c r="A7283">
        <f ca="1">27279.8364959145*(RANDBETWEEN(2890,3282))</f>
        <v>84431093.954855472</v>
      </c>
      <c r="B7283">
        <v>225432159.49893177</v>
      </c>
    </row>
    <row r="7284" spans="1:2" x14ac:dyDescent="0.25">
      <c r="A7284">
        <f ca="1">32662.1054192969*(RANDBETWEEN(2890,3282))</f>
        <v>103114266.8087202</v>
      </c>
      <c r="B7284">
        <v>259899162.35840288</v>
      </c>
    </row>
    <row r="7285" spans="1:2" x14ac:dyDescent="0.25">
      <c r="A7285">
        <f ca="1">33942.3306329302*(RANDBETWEEN(2890,3282))</f>
        <v>101283914.60866384</v>
      </c>
      <c r="B7285">
        <v>255393325.40197134</v>
      </c>
    </row>
    <row r="7286" spans="1:2" x14ac:dyDescent="0.25">
      <c r="A7286">
        <f ca="1">29315.6134699314*(RANDBETWEEN(2890,3282))</f>
        <v>94806693.961758122</v>
      </c>
      <c r="B7286">
        <v>218792448.06201589</v>
      </c>
    </row>
    <row r="7287" spans="1:2" x14ac:dyDescent="0.25">
      <c r="A7287">
        <f ca="1">27477.8267031038*(RANDBETWEEN(2890,3282))</f>
        <v>89467803.745305955</v>
      </c>
      <c r="B7287">
        <v>249201091.47167432</v>
      </c>
    </row>
    <row r="7288" spans="1:2" x14ac:dyDescent="0.25">
      <c r="A7288">
        <f ca="1">26366.101899388*(RANDBETWEEN(2890,3282))</f>
        <v>86058956.599602565</v>
      </c>
      <c r="B7288">
        <v>257796167.49138212</v>
      </c>
    </row>
    <row r="7289" spans="1:2" x14ac:dyDescent="0.25">
      <c r="A7289">
        <f ca="1">30893.0029814005*(RANDBETWEEN(2890,3282))</f>
        <v>93482227.021717951</v>
      </c>
      <c r="B7289">
        <v>217090395.89701137</v>
      </c>
    </row>
    <row r="7290" spans="1:2" x14ac:dyDescent="0.25">
      <c r="A7290">
        <f ca="1">27778.6821035677*(RANDBETWEEN(2890,3282))</f>
        <v>86752824.209441826</v>
      </c>
      <c r="B7290">
        <v>246004025.16837409</v>
      </c>
    </row>
    <row r="7291" spans="1:2" x14ac:dyDescent="0.25">
      <c r="A7291">
        <f ca="1">29406.0413959037*(RANDBETWEEN(2890,3282))</f>
        <v>89453177.926339179</v>
      </c>
      <c r="B7291">
        <v>257708766.71940872</v>
      </c>
    </row>
    <row r="7292" spans="1:2" x14ac:dyDescent="0.25">
      <c r="A7292">
        <f ca="1">29533.5035326871*(RANDBETWEEN(2890,3282))</f>
        <v>87891706.513276711</v>
      </c>
      <c r="B7292">
        <v>261820860.39829093</v>
      </c>
    </row>
    <row r="7293" spans="1:2" x14ac:dyDescent="0.25">
      <c r="A7293">
        <f ca="1">29024.1269432676*(RANDBETWEEN(2890,3282))</f>
        <v>89336262.731377825</v>
      </c>
      <c r="B7293">
        <v>237708180.36338979</v>
      </c>
    </row>
    <row r="7294" spans="1:2" x14ac:dyDescent="0.25">
      <c r="A7294">
        <f ca="1">31352.9353058549*(RANDBETWEEN(2890,3282))</f>
        <v>97162746.512844369</v>
      </c>
      <c r="B7294">
        <v>262146553.52444485</v>
      </c>
    </row>
    <row r="7295" spans="1:2" x14ac:dyDescent="0.25">
      <c r="A7295">
        <f ca="1">32485.4117948151*(RANDBETWEEN(2890,3282))</f>
        <v>96741556.324959502</v>
      </c>
      <c r="B7295">
        <v>237312090.025213</v>
      </c>
    </row>
    <row r="7296" spans="1:2" x14ac:dyDescent="0.25">
      <c r="A7296">
        <f ca="1">29000.1396908773*(RANDBETWEEN(2890,3282))</f>
        <v>85550412.088088125</v>
      </c>
      <c r="B7296">
        <v>224649013.22944558</v>
      </c>
    </row>
    <row r="7297" spans="1:2" x14ac:dyDescent="0.25">
      <c r="A7297">
        <f ca="1">32301.0938757274*(RANDBETWEEN(2890,3282))</f>
        <v>102039155.55342297</v>
      </c>
      <c r="B7297">
        <v>259944655.49602363</v>
      </c>
    </row>
    <row r="7298" spans="1:2" x14ac:dyDescent="0.25">
      <c r="A7298">
        <f ca="1">30305.5742691349*(RANDBETWEEN(2890,3282))</f>
        <v>98402199.651880875</v>
      </c>
      <c r="B7298">
        <v>249375292.5124979</v>
      </c>
    </row>
    <row r="7299" spans="1:2" x14ac:dyDescent="0.25">
      <c r="A7299">
        <f ca="1">27566.8862799615*(RANDBETWEEN(2890,3282))</f>
        <v>85705449.444400489</v>
      </c>
      <c r="B7299">
        <v>205400502.12219173</v>
      </c>
    </row>
    <row r="7300" spans="1:2" x14ac:dyDescent="0.25">
      <c r="A7300">
        <f ca="1">27219.8374904911*(RANDBETWEEN(2890,3282))</f>
        <v>87430118.01945743</v>
      </c>
      <c r="B7300">
        <v>241706522.39330095</v>
      </c>
    </row>
    <row r="7301" spans="1:2" x14ac:dyDescent="0.25">
      <c r="A7301">
        <f ca="1">25952.2779079909*(RANDBETWEEN(2890,3282))</f>
        <v>75183749.099449709</v>
      </c>
      <c r="B7301">
        <v>214525054.81200933</v>
      </c>
    </row>
    <row r="7302" spans="1:2" x14ac:dyDescent="0.25">
      <c r="A7302">
        <f ca="1">32584.7832788097*(RANDBETWEEN(2890,3282))</f>
        <v>98829647.684629679</v>
      </c>
      <c r="B7302">
        <v>261708125.73778677</v>
      </c>
    </row>
    <row r="7303" spans="1:2" x14ac:dyDescent="0.25">
      <c r="A7303">
        <f ca="1">33079.3438725753*(RANDBETWEEN(2890,3282))</f>
        <v>108169454.46332113</v>
      </c>
      <c r="B7303">
        <v>250529839.8676084</v>
      </c>
    </row>
    <row r="7304" spans="1:2" x14ac:dyDescent="0.25">
      <c r="A7304">
        <f ca="1">31221.3918079427*(RANDBETWEEN(2890,3282))</f>
        <v>93039747.587669209</v>
      </c>
      <c r="B7304">
        <v>213070445.6301648</v>
      </c>
    </row>
    <row r="7305" spans="1:2" x14ac:dyDescent="0.25">
      <c r="A7305">
        <f ca="1">27820.5871360514*(RANDBETWEEN(2890,3282))</f>
        <v>82821887.904024944</v>
      </c>
      <c r="B7305">
        <v>223594723.68361267</v>
      </c>
    </row>
    <row r="7306" spans="1:2" x14ac:dyDescent="0.25">
      <c r="A7306">
        <f ca="1">29779.550838155*(RANDBETWEEN(2890,3282))</f>
        <v>94371396.606113255</v>
      </c>
      <c r="B7306">
        <v>209232370.80619848</v>
      </c>
    </row>
    <row r="7307" spans="1:2" x14ac:dyDescent="0.25">
      <c r="A7307">
        <f ca="1">27365.0119858348*(RANDBETWEEN(2890,3282))</f>
        <v>86966008.090982974</v>
      </c>
      <c r="B7307">
        <v>230429862.03491068</v>
      </c>
    </row>
    <row r="7308" spans="1:2" x14ac:dyDescent="0.25">
      <c r="A7308">
        <f ca="1">30728.3409731907*(RANDBETWEEN(2890,3282))</f>
        <v>96671360.701657966</v>
      </c>
      <c r="B7308">
        <v>206826466.69245765</v>
      </c>
    </row>
    <row r="7309" spans="1:2" x14ac:dyDescent="0.25">
      <c r="A7309">
        <f ca="1">30253.5956564425*(RANDBETWEEN(2890,3282))</f>
        <v>98112410.713843167</v>
      </c>
      <c r="B7309">
        <v>231168370.60023725</v>
      </c>
    </row>
    <row r="7310" spans="1:2" x14ac:dyDescent="0.25">
      <c r="A7310">
        <f ca="1">28913.9250695209*(RANDBETWEEN(2890,3282))</f>
        <v>91686056.395450875</v>
      </c>
      <c r="B7310">
        <v>234091324.32770696</v>
      </c>
    </row>
    <row r="7311" spans="1:2" x14ac:dyDescent="0.25">
      <c r="A7311">
        <f ca="1">30859.1750989453*(RANDBETWEEN(2890,3282))</f>
        <v>89861917.888128713</v>
      </c>
      <c r="B7311">
        <v>218360678.33903387</v>
      </c>
    </row>
    <row r="7312" spans="1:2" x14ac:dyDescent="0.25">
      <c r="A7312">
        <f ca="1">26872.7695162219*(RANDBETWEEN(2890,3282))</f>
        <v>87927701.857078061</v>
      </c>
      <c r="B7312">
        <v>257896129.04304135</v>
      </c>
    </row>
    <row r="7313" spans="1:2" x14ac:dyDescent="0.25">
      <c r="A7313">
        <f ca="1">29926.5854723817*(RANDBETWEEN(2890,3282))</f>
        <v>86487832.015183061</v>
      </c>
      <c r="B7313">
        <v>264414401.36591762</v>
      </c>
    </row>
    <row r="7314" spans="1:2" x14ac:dyDescent="0.25">
      <c r="A7314">
        <f ca="1">28931.654559982*(RANDBETWEEN(2890,3282))</f>
        <v>94693305.374821067</v>
      </c>
      <c r="B7314">
        <v>235359006.73057801</v>
      </c>
    </row>
    <row r="7315" spans="1:2" x14ac:dyDescent="0.25">
      <c r="A7315">
        <f ca="1">27882.4814756131*(RANDBETWEEN(2890,3282))</f>
        <v>86937577.240961552</v>
      </c>
      <c r="B7315">
        <v>203793433.08057183</v>
      </c>
    </row>
    <row r="7316" spans="1:2" x14ac:dyDescent="0.25">
      <c r="A7316">
        <f ca="1">30379.6885923202*(RANDBETWEEN(2890,3282))</f>
        <v>91412482.974291474</v>
      </c>
      <c r="B7316">
        <v>222712777.41585743</v>
      </c>
    </row>
    <row r="7317" spans="1:2" x14ac:dyDescent="0.25">
      <c r="A7317">
        <f ca="1">31700.3931600374*(RANDBETWEEN(2890,3282))</f>
        <v>101948464.40268011</v>
      </c>
      <c r="B7317">
        <v>255733547.51183623</v>
      </c>
    </row>
    <row r="7318" spans="1:2" x14ac:dyDescent="0.25">
      <c r="A7318">
        <f ca="1">27259.065079757*(RANDBETWEEN(2890,3282))</f>
        <v>78969511.536055937</v>
      </c>
      <c r="B7318">
        <v>256361204.04625642</v>
      </c>
    </row>
    <row r="7319" spans="1:2" x14ac:dyDescent="0.25">
      <c r="A7319">
        <f ca="1">30801.5102663521*(RANDBETWEEN(2890,3282))</f>
        <v>95977505.989953265</v>
      </c>
      <c r="B7319">
        <v>206777957.21545616</v>
      </c>
    </row>
    <row r="7320" spans="1:2" x14ac:dyDescent="0.25">
      <c r="A7320">
        <f ca="1">28816.7596147159*(RANDBETWEEN(2890,3282))</f>
        <v>87372415.151818588</v>
      </c>
      <c r="B7320">
        <v>210252373.41706833</v>
      </c>
    </row>
    <row r="7321" spans="1:2" x14ac:dyDescent="0.25">
      <c r="A7321">
        <f ca="1">26282.6636431668*(RANDBETWEEN(2890,3282))</f>
        <v>81791649.257535204</v>
      </c>
      <c r="B7321">
        <v>247063146.05406389</v>
      </c>
    </row>
    <row r="7322" spans="1:2" x14ac:dyDescent="0.25">
      <c r="A7322">
        <f ca="1">26861.5967290909*(RANDBETWEEN(2890,3282))</f>
        <v>82438240.36157991</v>
      </c>
      <c r="B7322">
        <v>212459354.14108586</v>
      </c>
    </row>
    <row r="7323" spans="1:2" x14ac:dyDescent="0.25">
      <c r="A7323">
        <f ca="1">28898.4120862315*(RANDBETWEEN(2890,3282))</f>
        <v>86435150.549918517</v>
      </c>
      <c r="B7323">
        <v>221630957.30290744</v>
      </c>
    </row>
    <row r="7324" spans="1:2" x14ac:dyDescent="0.25">
      <c r="A7324">
        <f ca="1">29821.5694536365*(RANDBETWEEN(2890,3282))</f>
        <v>89255957.37473391</v>
      </c>
      <c r="B7324">
        <v>240907627.89087331</v>
      </c>
    </row>
    <row r="7325" spans="1:2" x14ac:dyDescent="0.25">
      <c r="A7325">
        <f ca="1">29904.1452155837*(RANDBETWEEN(2890,3282))</f>
        <v>86751925.270408362</v>
      </c>
      <c r="B7325">
        <v>245123484.06121138</v>
      </c>
    </row>
    <row r="7326" spans="1:2" x14ac:dyDescent="0.25">
      <c r="A7326">
        <f ca="1">34546.9233563966*(RANDBETWEEN(2890,3282))</f>
        <v>106197242.39756329</v>
      </c>
      <c r="B7326">
        <v>204185609.30779099</v>
      </c>
    </row>
    <row r="7327" spans="1:2" x14ac:dyDescent="0.25">
      <c r="A7327">
        <f ca="1">33266.8891866603*(RANDBETWEEN(2890,3282))</f>
        <v>105356238.05415329</v>
      </c>
      <c r="B7327">
        <v>264280649.17025775</v>
      </c>
    </row>
    <row r="7328" spans="1:2" x14ac:dyDescent="0.25">
      <c r="A7328">
        <f ca="1">28659.7139230715*(RANDBETWEEN(2890,3282))</f>
        <v>83313788.374368951</v>
      </c>
      <c r="B7328">
        <v>204676795.38617772</v>
      </c>
    </row>
    <row r="7329" spans="1:2" x14ac:dyDescent="0.25">
      <c r="A7329">
        <f ca="1">27847.2079197221*(RANDBETWEEN(2890,3282))</f>
        <v>81982180.11566183</v>
      </c>
      <c r="B7329">
        <v>244714998.09569189</v>
      </c>
    </row>
    <row r="7330" spans="1:2" x14ac:dyDescent="0.25">
      <c r="A7330">
        <f ca="1">31706.6018430327*(RANDBETWEEN(2890,3282))</f>
        <v>96863668.630464822</v>
      </c>
      <c r="B7330">
        <v>210195118.56808531</v>
      </c>
    </row>
    <row r="7331" spans="1:2" x14ac:dyDescent="0.25">
      <c r="A7331">
        <f ca="1">30354.2086199872*(RANDBETWEEN(2890,3282))</f>
        <v>90030582.766881898</v>
      </c>
      <c r="B7331">
        <v>239498919.51295531</v>
      </c>
    </row>
    <row r="7332" spans="1:2" x14ac:dyDescent="0.25">
      <c r="A7332">
        <f ca="1">25916.8034765185*(RANDBETWEEN(2890,3282))</f>
        <v>80393924.384160444</v>
      </c>
      <c r="B7332">
        <v>230938265.33954874</v>
      </c>
    </row>
    <row r="7333" spans="1:2" x14ac:dyDescent="0.25">
      <c r="A7333">
        <f ca="1">32681.286754111*(RANDBETWEEN(2890,3282))</f>
        <v>105756643.93630335</v>
      </c>
      <c r="B7333">
        <v>233801069.64747059</v>
      </c>
    </row>
    <row r="7334" spans="1:2" x14ac:dyDescent="0.25">
      <c r="A7334">
        <f ca="1">32305.4893621636*(RANDBETWEEN(2890,3282))</f>
        <v>93847446.597085312</v>
      </c>
      <c r="B7334">
        <v>252867413.2760213</v>
      </c>
    </row>
    <row r="7335" spans="1:2" x14ac:dyDescent="0.25">
      <c r="A7335">
        <f ca="1">29388.3728400185*(RANDBETWEEN(2890,3282))</f>
        <v>93837074.478178993</v>
      </c>
      <c r="B7335">
        <v>253433670.68477875</v>
      </c>
    </row>
    <row r="7336" spans="1:2" x14ac:dyDescent="0.25">
      <c r="A7336">
        <f ca="1">31127.098972604*(RANDBETWEEN(2890,3282))</f>
        <v>91264654.187675014</v>
      </c>
      <c r="B7336">
        <v>207103606.64542964</v>
      </c>
    </row>
    <row r="7337" spans="1:2" x14ac:dyDescent="0.25">
      <c r="A7337">
        <f ca="1">31206.6907980401*(RANDBETWEEN(2890,3282))</f>
        <v>99268483.428565532</v>
      </c>
      <c r="B7337">
        <v>262501058.17019475</v>
      </c>
    </row>
    <row r="7338" spans="1:2" x14ac:dyDescent="0.25">
      <c r="A7338">
        <f ca="1">28318.1230656101*(RANDBETWEEN(2890,3282))</f>
        <v>89287042.025868639</v>
      </c>
      <c r="B7338">
        <v>264155598.64097589</v>
      </c>
    </row>
    <row r="7339" spans="1:2" x14ac:dyDescent="0.25">
      <c r="A7339">
        <f ca="1">30605.8271782951*(RANDBETWEEN(2890,3282))</f>
        <v>96775625.53776902</v>
      </c>
      <c r="B7339">
        <v>250459686.9764578</v>
      </c>
    </row>
    <row r="7340" spans="1:2" x14ac:dyDescent="0.25">
      <c r="A7340">
        <f ca="1">30786.2855248523*(RANDBETWEEN(2890,3282))</f>
        <v>92204925.146932647</v>
      </c>
      <c r="B7340">
        <v>262709928.27243477</v>
      </c>
    </row>
    <row r="7341" spans="1:2" x14ac:dyDescent="0.25">
      <c r="A7341">
        <f ca="1">35030.3593409842*(RANDBETWEEN(2890,3282))</f>
        <v>110660905.15816894</v>
      </c>
      <c r="B7341">
        <v>236332686.91185975</v>
      </c>
    </row>
    <row r="7342" spans="1:2" x14ac:dyDescent="0.25">
      <c r="A7342">
        <f ca="1">30368.5668557416*(RANDBETWEEN(2890,3282))</f>
        <v>95083982.825326979</v>
      </c>
      <c r="B7342">
        <v>248553493.51113126</v>
      </c>
    </row>
    <row r="7343" spans="1:2" x14ac:dyDescent="0.25">
      <c r="A7343">
        <f ca="1">33084.2881432677*(RANDBETWEEN(2890,3282))</f>
        <v>102495124.66784348</v>
      </c>
      <c r="B7343">
        <v>254858996.24805182</v>
      </c>
    </row>
    <row r="7344" spans="1:2" x14ac:dyDescent="0.25">
      <c r="A7344">
        <f ca="1">28753.5141967449*(RANDBETWEEN(2890,3282))</f>
        <v>86778105.845775962</v>
      </c>
      <c r="B7344">
        <v>207144262.52554676</v>
      </c>
    </row>
    <row r="7345" spans="1:2" x14ac:dyDescent="0.25">
      <c r="A7345">
        <f ca="1">29315.1782625918*(RANDBETWEEN(2890,3282))</f>
        <v>85512374.99198018</v>
      </c>
      <c r="B7345">
        <v>239906579.50468567</v>
      </c>
    </row>
    <row r="7346" spans="1:2" x14ac:dyDescent="0.25">
      <c r="A7346">
        <f ca="1">26083.5897052537*(RANDBETWEEN(2890,3282))</f>
        <v>77024840.399614319</v>
      </c>
      <c r="B7346">
        <v>222090217.78882444</v>
      </c>
    </row>
    <row r="7347" spans="1:2" x14ac:dyDescent="0.25">
      <c r="A7347">
        <f ca="1">29018.7409391081*(RANDBETWEEN(2890,3282))</f>
        <v>85779398.216003448</v>
      </c>
      <c r="B7347">
        <v>267583409.31481552</v>
      </c>
    </row>
    <row r="7348" spans="1:2" x14ac:dyDescent="0.25">
      <c r="A7348">
        <f ca="1">31964.3087870294*(RANDBETWEEN(2890,3282))</f>
        <v>103756146.32269739</v>
      </c>
      <c r="B7348">
        <v>216812105.87730879</v>
      </c>
    </row>
    <row r="7349" spans="1:2" x14ac:dyDescent="0.25">
      <c r="A7349">
        <f ca="1">26974.6860646386*(RANDBETWEEN(2890,3282))</f>
        <v>86238071.3486498</v>
      </c>
      <c r="B7349">
        <v>239432580.51110995</v>
      </c>
    </row>
    <row r="7350" spans="1:2" x14ac:dyDescent="0.25">
      <c r="A7350">
        <f ca="1">26151.9158712914*(RANDBETWEEN(2890,3282))</f>
        <v>82117015.835854858</v>
      </c>
      <c r="B7350">
        <v>235812820.94588691</v>
      </c>
    </row>
    <row r="7351" spans="1:2" x14ac:dyDescent="0.25">
      <c r="A7351">
        <f ca="1">30910.2831541623*(RANDBETWEEN(2890,3282))</f>
        <v>94585466.45173654</v>
      </c>
      <c r="B7351">
        <v>216570606.10159755</v>
      </c>
    </row>
    <row r="7352" spans="1:2" x14ac:dyDescent="0.25">
      <c r="A7352">
        <f ca="1">31241.2266748446*(RANDBETWEEN(2890,3282))</f>
        <v>101002885.83977263</v>
      </c>
      <c r="B7352">
        <v>261266083.6892398</v>
      </c>
    </row>
    <row r="7353" spans="1:2" x14ac:dyDescent="0.25">
      <c r="A7353">
        <f ca="1">26663.02326279*(RANDBETWEEN(2890,3282))</f>
        <v>87054770.953009278</v>
      </c>
      <c r="B7353">
        <v>260768181.48662877</v>
      </c>
    </row>
    <row r="7354" spans="1:2" x14ac:dyDescent="0.25">
      <c r="A7354">
        <f ca="1">27760.0756591153*(RANDBETWEEN(2890,3282))</f>
        <v>83085906.447732031</v>
      </c>
      <c r="B7354">
        <v>245707496.52385843</v>
      </c>
    </row>
    <row r="7355" spans="1:2" x14ac:dyDescent="0.25">
      <c r="A7355">
        <f ca="1">25284.7983556236*(RANDBETWEEN(2890,3282))</f>
        <v>79090849.256390557</v>
      </c>
      <c r="B7355">
        <v>206477641.90857407</v>
      </c>
    </row>
    <row r="7356" spans="1:2" x14ac:dyDescent="0.25">
      <c r="A7356">
        <f ca="1">29594.2301005843*(RANDBETWEEN(2890,3282))</f>
        <v>96861915.119212359</v>
      </c>
      <c r="B7356">
        <v>235495099.93973964</v>
      </c>
    </row>
    <row r="7357" spans="1:2" x14ac:dyDescent="0.25">
      <c r="A7357">
        <f ca="1">32057.1559558181*(RANDBETWEEN(2890,3282))</f>
        <v>99281011.995168507</v>
      </c>
      <c r="B7357">
        <v>264048389.03534037</v>
      </c>
    </row>
    <row r="7358" spans="1:2" x14ac:dyDescent="0.25">
      <c r="A7358">
        <f ca="1">27796.6913234677*(RANDBETWEEN(2890,3282))</f>
        <v>91117554.158327118</v>
      </c>
      <c r="B7358">
        <v>233320832.94809914</v>
      </c>
    </row>
    <row r="7359" spans="1:2" x14ac:dyDescent="0.25">
      <c r="A7359">
        <f ca="1">27126.5832558877*(RANDBETWEEN(2890,3282))</f>
        <v>78585711.692306727</v>
      </c>
      <c r="B7359">
        <v>246144122.03536916</v>
      </c>
    </row>
    <row r="7360" spans="1:2" x14ac:dyDescent="0.25">
      <c r="A7360">
        <f ca="1">30587.1341313361*(RANDBETWEEN(2890,3282))</f>
        <v>99377598.792710945</v>
      </c>
      <c r="B7360">
        <v>235993841.05659294</v>
      </c>
    </row>
    <row r="7361" spans="1:2" x14ac:dyDescent="0.25">
      <c r="A7361">
        <f ca="1">28314.3270982277*(RANDBETWEEN(2890,3282))</f>
        <v>84688152.350799203</v>
      </c>
      <c r="B7361">
        <v>234340431.01130971</v>
      </c>
    </row>
    <row r="7362" spans="1:2" x14ac:dyDescent="0.25">
      <c r="A7362">
        <f ca="1">29817.9496553827*(RANDBETWEEN(2890,3282))</f>
        <v>96520703.034473658</v>
      </c>
      <c r="B7362">
        <v>240766419.85769564</v>
      </c>
    </row>
    <row r="7363" spans="1:2" x14ac:dyDescent="0.25">
      <c r="A7363">
        <f ca="1">33003.0371390781*(RANDBETWEEN(2890,3282))</f>
        <v>103002478.91106273</v>
      </c>
      <c r="B7363">
        <v>244563450.95572913</v>
      </c>
    </row>
    <row r="7364" spans="1:2" x14ac:dyDescent="0.25">
      <c r="A7364">
        <f ca="1">34135.2024064995*(RANDBETWEEN(2890,3282))</f>
        <v>100289224.67029555</v>
      </c>
      <c r="B7364">
        <v>229531745.15736753</v>
      </c>
    </row>
    <row r="7365" spans="1:2" x14ac:dyDescent="0.25">
      <c r="A7365">
        <f ca="1">32479.9536608446*(RANDBETWEEN(2890,3282))</f>
        <v>95685943.484848052</v>
      </c>
      <c r="B7365">
        <v>249655966.13619179</v>
      </c>
    </row>
    <row r="7366" spans="1:2" x14ac:dyDescent="0.25">
      <c r="A7366">
        <f ca="1">31712.8889199774*(RANDBETWEEN(2890,3282))</f>
        <v>98785648.985729456</v>
      </c>
      <c r="B7366">
        <v>250377086.58685473</v>
      </c>
    </row>
    <row r="7367" spans="1:2" x14ac:dyDescent="0.25">
      <c r="A7367">
        <f ca="1">26421.5951676285*(RANDBETWEEN(2890,3282))</f>
        <v>83412975.944203079</v>
      </c>
      <c r="B7367">
        <v>210014886.28259718</v>
      </c>
    </row>
    <row r="7368" spans="1:2" x14ac:dyDescent="0.25">
      <c r="A7368">
        <f ca="1">27432.5549579307*(RANDBETWEEN(2890,3282))</f>
        <v>86028492.348070532</v>
      </c>
      <c r="B7368">
        <v>219566885.6903809</v>
      </c>
    </row>
    <row r="7369" spans="1:2" x14ac:dyDescent="0.25">
      <c r="A7369">
        <f ca="1">28635.924897856*(RANDBETWEEN(2890,3282))</f>
        <v>84762337.697653696</v>
      </c>
      <c r="B7369">
        <v>219660427.13915944</v>
      </c>
    </row>
    <row r="7370" spans="1:2" x14ac:dyDescent="0.25">
      <c r="A7370">
        <f ca="1">31995.9544228283*(RANDBETWEEN(2890,3282))</f>
        <v>96627782.356941372</v>
      </c>
      <c r="B7370">
        <v>256500898.00450799</v>
      </c>
    </row>
    <row r="7371" spans="1:2" x14ac:dyDescent="0.25">
      <c r="A7371">
        <f ca="1">27706.9984742089*(RANDBETWEEN(2890,3282))</f>
        <v>88163669.144932583</v>
      </c>
      <c r="B7371">
        <v>215813757.49073625</v>
      </c>
    </row>
    <row r="7372" spans="1:2" x14ac:dyDescent="0.25">
      <c r="A7372">
        <f ca="1">28128.7575884398*(RANDBETWEEN(2890,3282))</f>
        <v>85905225.675095022</v>
      </c>
      <c r="B7372">
        <v>265662335.56076109</v>
      </c>
    </row>
    <row r="7373" spans="1:2" x14ac:dyDescent="0.25">
      <c r="A7373">
        <f ca="1">31891.0328341135*(RANDBETWEEN(2890,3282))</f>
        <v>92866687.612938419</v>
      </c>
      <c r="B7373">
        <v>254572949.54748014</v>
      </c>
    </row>
    <row r="7374" spans="1:2" x14ac:dyDescent="0.25">
      <c r="A7374">
        <f ca="1">30472.912085155*(RANDBETWEEN(2890,3282))</f>
        <v>89285632.409504011</v>
      </c>
      <c r="B7374">
        <v>216427552.55534369</v>
      </c>
    </row>
    <row r="7375" spans="1:2" x14ac:dyDescent="0.25">
      <c r="A7375">
        <f ca="1">32943.0504234371*(RANDBETWEEN(2890,3282))</f>
        <v>98730322.119041026</v>
      </c>
      <c r="B7375">
        <v>263154330.05217707</v>
      </c>
    </row>
    <row r="7376" spans="1:2" x14ac:dyDescent="0.25">
      <c r="A7376">
        <f ca="1">32924.8972625417*(RANDBETWEEN(2890,3282))</f>
        <v>103845125.9660565</v>
      </c>
      <c r="B7376">
        <v>247824129.32936978</v>
      </c>
    </row>
    <row r="7377" spans="1:2" x14ac:dyDescent="0.25">
      <c r="A7377">
        <f ca="1">30822.9019544905*(RANDBETWEEN(2890,3282))</f>
        <v>92530351.667380437</v>
      </c>
      <c r="B7377">
        <v>212312917.75138313</v>
      </c>
    </row>
    <row r="7378" spans="1:2" x14ac:dyDescent="0.25">
      <c r="A7378">
        <f ca="1">35125.7833341877*(RANDBETWEEN(2890,3282))</f>
        <v>109030431.46931848</v>
      </c>
      <c r="B7378">
        <v>229832774.75358832</v>
      </c>
    </row>
    <row r="7379" spans="1:2" x14ac:dyDescent="0.25">
      <c r="A7379">
        <f ca="1">28030.5811266587*(RANDBETWEEN(2890,3282))</f>
        <v>91884244.933187261</v>
      </c>
      <c r="B7379">
        <v>227167091.21518421</v>
      </c>
    </row>
    <row r="7380" spans="1:2" x14ac:dyDescent="0.25">
      <c r="A7380">
        <f ca="1">31233.7076124169*(RANDBETWEEN(2890,3282))</f>
        <v>90359116.122722059</v>
      </c>
      <c r="B7380">
        <v>246742384.78057829</v>
      </c>
    </row>
    <row r="7381" spans="1:2" x14ac:dyDescent="0.25">
      <c r="A7381">
        <f ca="1">26678.1330338267*(RANDBETWEEN(2890,3282))</f>
        <v>83609268.928012878</v>
      </c>
      <c r="B7381">
        <v>217449249.3224718</v>
      </c>
    </row>
    <row r="7382" spans="1:2" x14ac:dyDescent="0.25">
      <c r="A7382">
        <f ca="1">31906.68214557*(RANDBETWEEN(2890,3282))</f>
        <v>95145726.158089802</v>
      </c>
      <c r="B7382">
        <v>255064291.40926665</v>
      </c>
    </row>
    <row r="7383" spans="1:2" x14ac:dyDescent="0.25">
      <c r="A7383">
        <f ca="1">32602.2253471087*(RANDBETWEEN(2890,3282))</f>
        <v>94937680.210780427</v>
      </c>
      <c r="B7383">
        <v>215026528.56942034</v>
      </c>
    </row>
    <row r="7384" spans="1:2" x14ac:dyDescent="0.25">
      <c r="A7384">
        <f ca="1">28082.1391355511*(RANDBETWEEN(2890,3282))</f>
        <v>89750516.677221313</v>
      </c>
      <c r="B7384">
        <v>207643342.06284001</v>
      </c>
    </row>
    <row r="7385" spans="1:2" x14ac:dyDescent="0.25">
      <c r="A7385">
        <f ca="1">31172.4044595649*(RANDBETWEEN(2890,3282))</f>
        <v>97133212.296004131</v>
      </c>
      <c r="B7385">
        <v>229985296.8590126</v>
      </c>
    </row>
    <row r="7386" spans="1:2" x14ac:dyDescent="0.25">
      <c r="A7386">
        <f ca="1">27435.6984437376*(RANDBETWEEN(2890,3282))</f>
        <v>87108342.558866993</v>
      </c>
      <c r="B7386">
        <v>244179032.21696538</v>
      </c>
    </row>
    <row r="7387" spans="1:2" x14ac:dyDescent="0.25">
      <c r="A7387">
        <f ca="1">30628.4378850996*(RANDBETWEEN(2890,3282))</f>
        <v>96050781.207672477</v>
      </c>
      <c r="B7387">
        <v>213977517.17177275</v>
      </c>
    </row>
    <row r="7388" spans="1:2" x14ac:dyDescent="0.25">
      <c r="A7388">
        <f ca="1">25567.817786853*(RANDBETWEEN(2890,3282))</f>
        <v>75731876.284658536</v>
      </c>
      <c r="B7388">
        <v>263457456.76486227</v>
      </c>
    </row>
    <row r="7389" spans="1:2" x14ac:dyDescent="0.25">
      <c r="A7389">
        <f ca="1">32805.8584417839*(RANDBETWEEN(2890,3282))</f>
        <v>106520622.36047226</v>
      </c>
      <c r="B7389">
        <v>254361196.71896464</v>
      </c>
    </row>
    <row r="7390" spans="1:2" x14ac:dyDescent="0.25">
      <c r="A7390">
        <f ca="1">28146.1822954259*(RANDBETWEEN(2890,3282))</f>
        <v>84635570.162345782</v>
      </c>
      <c r="B7390">
        <v>244026891.73085976</v>
      </c>
    </row>
    <row r="7391" spans="1:2" x14ac:dyDescent="0.25">
      <c r="A7391">
        <f ca="1">25381.3271324398*(RANDBETWEEN(2890,3282))</f>
        <v>76854658.557027757</v>
      </c>
      <c r="B7391">
        <v>262536829.51089096</v>
      </c>
    </row>
    <row r="7392" spans="1:2" x14ac:dyDescent="0.25">
      <c r="A7392">
        <f ca="1">28881.3593590789*(RANDBETWEEN(2890,3282))</f>
        <v>88261434.201345176</v>
      </c>
      <c r="B7392">
        <v>235867181.69845912</v>
      </c>
    </row>
    <row r="7393" spans="1:2" x14ac:dyDescent="0.25">
      <c r="A7393">
        <f ca="1">29356.9825361229*(RANDBETWEEN(2890,3282))</f>
        <v>94118486.010810137</v>
      </c>
      <c r="B7393">
        <v>225241908.25187209</v>
      </c>
    </row>
    <row r="7394" spans="1:2" x14ac:dyDescent="0.25">
      <c r="A7394">
        <f ca="1">28556.5751844133*(RANDBETWEEN(2890,3282))</f>
        <v>91352484.014938027</v>
      </c>
      <c r="B7394">
        <v>213772630.12417817</v>
      </c>
    </row>
    <row r="7395" spans="1:2" x14ac:dyDescent="0.25">
      <c r="A7395">
        <f ca="1">27504.4455921353*(RANDBETWEEN(2890,3282))</f>
        <v>88866863.708189294</v>
      </c>
      <c r="B7395">
        <v>220511932.16816527</v>
      </c>
    </row>
    <row r="7396" spans="1:2" x14ac:dyDescent="0.25">
      <c r="A7396">
        <f ca="1">31790.8461532599*(RANDBETWEEN(2890,3282))</f>
        <v>102112197.84427069</v>
      </c>
      <c r="B7396">
        <v>236210601.34758684</v>
      </c>
    </row>
    <row r="7397" spans="1:2" x14ac:dyDescent="0.25">
      <c r="A7397">
        <f ca="1">28757.6522103558*(RANDBETWEEN(2890,3282))</f>
        <v>85525257.6735982</v>
      </c>
      <c r="B7397">
        <v>209988418.98997891</v>
      </c>
    </row>
    <row r="7398" spans="1:2" x14ac:dyDescent="0.25">
      <c r="A7398">
        <f ca="1">32926.3826135716*(RANDBETWEEN(2890,3282))</f>
        <v>107142449.02456185</v>
      </c>
      <c r="B7398">
        <v>226305594.7574861</v>
      </c>
    </row>
    <row r="7399" spans="1:2" x14ac:dyDescent="0.25">
      <c r="A7399">
        <f ca="1">30522.5953995943*(RANDBETWEEN(2890,3282))</f>
        <v>97916486.041898444</v>
      </c>
      <c r="B7399">
        <v>208649186.821576</v>
      </c>
    </row>
    <row r="7400" spans="1:2" x14ac:dyDescent="0.25">
      <c r="A7400">
        <f ca="1">30860.3405414151*(RANDBETWEEN(2890,3282))</f>
        <v>90976283.9160918</v>
      </c>
      <c r="B7400">
        <v>220354816.79102561</v>
      </c>
    </row>
    <row r="7401" spans="1:2" x14ac:dyDescent="0.25">
      <c r="A7401">
        <f ca="1">30073.2810336635*(RANDBETWEEN(2890,3282))</f>
        <v>87332808.121758804</v>
      </c>
      <c r="B7401">
        <v>248699210.06209683</v>
      </c>
    </row>
    <row r="7402" spans="1:2" x14ac:dyDescent="0.25">
      <c r="A7402">
        <f ca="1">25596.5514959096*(RANDBETWEEN(2890,3282))</f>
        <v>79861240.667237848</v>
      </c>
      <c r="B7402">
        <v>228449881.10460961</v>
      </c>
    </row>
    <row r="7403" spans="1:2" x14ac:dyDescent="0.25">
      <c r="A7403">
        <f ca="1">28127.3199691075*(RANDBETWEEN(2890,3282))</f>
        <v>85788325.905777857</v>
      </c>
      <c r="B7403">
        <v>243528644.9937444</v>
      </c>
    </row>
    <row r="7404" spans="1:2" x14ac:dyDescent="0.25">
      <c r="A7404">
        <f ca="1">25458.4100629026*(RANDBETWEEN(2890,3282))</f>
        <v>78233694.123299673</v>
      </c>
      <c r="B7404">
        <v>224034701.18260363</v>
      </c>
    </row>
    <row r="7405" spans="1:2" x14ac:dyDescent="0.25">
      <c r="A7405">
        <f ca="1">32784.5637427946*(RANDBETWEEN(2890,3282))</f>
        <v>102681253.64243263</v>
      </c>
      <c r="B7405">
        <v>233043696.34469813</v>
      </c>
    </row>
    <row r="7406" spans="1:2" x14ac:dyDescent="0.25">
      <c r="A7406">
        <f ca="1">29792.8281572307*(RANDBETWEEN(2890,3282))</f>
        <v>87680293.266729951</v>
      </c>
      <c r="B7406">
        <v>220493492.2628299</v>
      </c>
    </row>
    <row r="7407" spans="1:2" x14ac:dyDescent="0.25">
      <c r="A7407">
        <f ca="1">31268.6774669386*(RANDBETWEEN(2890,3282))</f>
        <v>101873351.18728589</v>
      </c>
      <c r="B7407">
        <v>253041012.8005372</v>
      </c>
    </row>
    <row r="7408" spans="1:2" x14ac:dyDescent="0.25">
      <c r="A7408">
        <f ca="1">29657.7597255484*(RANDBETWEEN(2890,3282))</f>
        <v>87104840.313935667</v>
      </c>
      <c r="B7408">
        <v>217493240.4987644</v>
      </c>
    </row>
    <row r="7409" spans="1:2" x14ac:dyDescent="0.25">
      <c r="A7409">
        <f ca="1">27937.4732939723*(RANDBETWEEN(2890,3282))</f>
        <v>81996484.117808819</v>
      </c>
      <c r="B7409">
        <v>255317676.82332215</v>
      </c>
    </row>
    <row r="7410" spans="1:2" x14ac:dyDescent="0.25">
      <c r="A7410">
        <f ca="1">33094.6583480753*(RANDBETWEEN(2890,3282))</f>
        <v>108054059.50646599</v>
      </c>
      <c r="B7410">
        <v>247529570.14752999</v>
      </c>
    </row>
    <row r="7411" spans="1:2" x14ac:dyDescent="0.25">
      <c r="A7411">
        <f ca="1">31187.6722363955*(RANDBETWEEN(2890,3282))</f>
        <v>93531829.036950067</v>
      </c>
      <c r="B7411">
        <v>258065451.70106441</v>
      </c>
    </row>
    <row r="7412" spans="1:2" x14ac:dyDescent="0.25">
      <c r="A7412">
        <f ca="1">29655.5906187297*(RANDBETWEEN(2890,3282))</f>
        <v>86742602.559784487</v>
      </c>
      <c r="B7412">
        <v>215260466.09464616</v>
      </c>
    </row>
    <row r="7413" spans="1:2" x14ac:dyDescent="0.25">
      <c r="A7413">
        <f ca="1">32400.5980036604*(RANDBETWEEN(2890,3282))</f>
        <v>98595019.72513862</v>
      </c>
      <c r="B7413">
        <v>235135736.2246556</v>
      </c>
    </row>
    <row r="7414" spans="1:2" x14ac:dyDescent="0.25">
      <c r="A7414">
        <f ca="1">26088.3956867359*(RANDBETWEEN(2890,3282))</f>
        <v>81343617.751242653</v>
      </c>
      <c r="B7414">
        <v>204853330.81403893</v>
      </c>
    </row>
    <row r="7415" spans="1:2" x14ac:dyDescent="0.25">
      <c r="A7415">
        <f ca="1">32686.7423457202*(RANDBETWEEN(2890,3282))</f>
        <v>98517841.430000722</v>
      </c>
      <c r="B7415">
        <v>244716805.39045298</v>
      </c>
    </row>
    <row r="7416" spans="1:2" x14ac:dyDescent="0.25">
      <c r="A7416">
        <f ca="1">31730.9056156816*(RANDBETWEEN(2890,3282))</f>
        <v>91956164.474245369</v>
      </c>
      <c r="B7416">
        <v>236475777.7632035</v>
      </c>
    </row>
    <row r="7417" spans="1:2" x14ac:dyDescent="0.25">
      <c r="A7417">
        <f ca="1">31306.2969821477*(RANDBETWEEN(2890,3282))</f>
        <v>97550421.396372139</v>
      </c>
      <c r="B7417">
        <v>230422727.91021076</v>
      </c>
    </row>
    <row r="7418" spans="1:2" x14ac:dyDescent="0.25">
      <c r="A7418">
        <f ca="1">27190.5765486073*(RANDBETWEEN(2890,3282))</f>
        <v>84317977.877231225</v>
      </c>
      <c r="B7418">
        <v>250489640.04598317</v>
      </c>
    </row>
    <row r="7419" spans="1:2" x14ac:dyDescent="0.25">
      <c r="A7419">
        <f ca="1">32191.0554468244*(RANDBETWEEN(2890,3282))</f>
        <v>98150528.057367742</v>
      </c>
      <c r="B7419">
        <v>252974175.64660627</v>
      </c>
    </row>
    <row r="7420" spans="1:2" x14ac:dyDescent="0.25">
      <c r="A7420">
        <f ca="1">26614.1063001576*(RANDBETWEEN(2890,3282))</f>
        <v>83302152.719493166</v>
      </c>
      <c r="B7420">
        <v>262822756.51222977</v>
      </c>
    </row>
    <row r="7421" spans="1:2" x14ac:dyDescent="0.25">
      <c r="A7421">
        <f ca="1">31492.7200955157*(RANDBETWEEN(2890,3282))</f>
        <v>94919058.367884412</v>
      </c>
      <c r="B7421">
        <v>236361708.08602685</v>
      </c>
    </row>
    <row r="7422" spans="1:2" x14ac:dyDescent="0.25">
      <c r="A7422">
        <f ca="1">30883.5448858238*(RANDBETWEEN(2890,3282))</f>
        <v>92712401.747243047</v>
      </c>
      <c r="B7422">
        <v>250176950.95120993</v>
      </c>
    </row>
    <row r="7423" spans="1:2" x14ac:dyDescent="0.25">
      <c r="A7423">
        <f ca="1">31545.7302886097*(RANDBETWEEN(2890,3282))</f>
        <v>99242867.487966016</v>
      </c>
      <c r="B7423">
        <v>229306094.20783198</v>
      </c>
    </row>
    <row r="7424" spans="1:2" x14ac:dyDescent="0.25">
      <c r="A7424">
        <f ca="1">28294.8501730411*(RANDBETWEEN(2890,3282))</f>
        <v>88251637.689715043</v>
      </c>
      <c r="B7424">
        <v>204815706.05372977</v>
      </c>
    </row>
    <row r="7425" spans="1:2" x14ac:dyDescent="0.25">
      <c r="A7425">
        <f ca="1">28776.7405522523*(RANDBETWEEN(2890,3282))</f>
        <v>89207895.711982056</v>
      </c>
      <c r="B7425">
        <v>251856317.26300454</v>
      </c>
    </row>
    <row r="7426" spans="1:2" x14ac:dyDescent="0.25">
      <c r="A7426">
        <f ca="1">26818.2915982224*(RANDBETWEEN(2890,3282))</f>
        <v>86676718.445454746</v>
      </c>
      <c r="B7426">
        <v>214777026.29156065</v>
      </c>
    </row>
    <row r="7427" spans="1:2" x14ac:dyDescent="0.25">
      <c r="A7427">
        <f ca="1">30249.1299878861*(RANDBETWEEN(2890,3282))</f>
        <v>95738496.41165936</v>
      </c>
      <c r="B7427">
        <v>241424194.6259833</v>
      </c>
    </row>
    <row r="7428" spans="1:2" x14ac:dyDescent="0.25">
      <c r="A7428">
        <f ca="1">30015.4619118543*(RANDBETWEEN(2890,3282))</f>
        <v>87615133.320702732</v>
      </c>
      <c r="B7428">
        <v>222777544.95964095</v>
      </c>
    </row>
    <row r="7429" spans="1:2" x14ac:dyDescent="0.25">
      <c r="A7429">
        <f ca="1">25984.0402707425*(RANDBETWEEN(2890,3282))</f>
        <v>82239487.456899956</v>
      </c>
      <c r="B7429">
        <v>266243683.91142887</v>
      </c>
    </row>
    <row r="7430" spans="1:2" x14ac:dyDescent="0.25">
      <c r="A7430">
        <f ca="1">33159.7290967697*(RANDBETWEEN(2890,3282))</f>
        <v>108564953.06282392</v>
      </c>
      <c r="B7430">
        <v>217576355.57046884</v>
      </c>
    </row>
    <row r="7431" spans="1:2" x14ac:dyDescent="0.25">
      <c r="A7431">
        <f ca="1">27771.8279885677*(RANDBETWEEN(2890,3282))</f>
        <v>90869421.178593367</v>
      </c>
      <c r="B7431">
        <v>246491773.79657385</v>
      </c>
    </row>
    <row r="7432" spans="1:2" x14ac:dyDescent="0.25">
      <c r="A7432">
        <f ca="1">34490.9531330541*(RANDBETWEEN(2890,3282))</f>
        <v>112130088.63555883</v>
      </c>
      <c r="B7432">
        <v>239090530.7581701</v>
      </c>
    </row>
    <row r="7433" spans="1:2" x14ac:dyDescent="0.25">
      <c r="A7433">
        <f ca="1">28065.4497835209*(RANDBETWEEN(2890,3282))</f>
        <v>86834501.630213812</v>
      </c>
      <c r="B7433">
        <v>223591937.85905758</v>
      </c>
    </row>
    <row r="7434" spans="1:2" x14ac:dyDescent="0.25">
      <c r="A7434">
        <f ca="1">31458.2387660475*(RANDBETWEEN(2890,3282))</f>
        <v>98495745.576494843</v>
      </c>
      <c r="B7434">
        <v>243635159.19149134</v>
      </c>
    </row>
    <row r="7435" spans="1:2" x14ac:dyDescent="0.25">
      <c r="A7435">
        <f ca="1">29251.8793461638*(RANDBETWEEN(2890,3282))</f>
        <v>90710077.852453917</v>
      </c>
      <c r="B7435">
        <v>238669948.73915157</v>
      </c>
    </row>
    <row r="7436" spans="1:2" x14ac:dyDescent="0.25">
      <c r="A7436">
        <f ca="1">29624.6905120748*(RANDBETWEEN(2890,3282))</f>
        <v>92903029.445866451</v>
      </c>
      <c r="B7436">
        <v>207245089.4928776</v>
      </c>
    </row>
    <row r="7437" spans="1:2" x14ac:dyDescent="0.25">
      <c r="A7437">
        <f ca="1">31604.4882690762*(RANDBETWEEN(2890,3282))</f>
        <v>95192718.66645743</v>
      </c>
      <c r="B7437">
        <v>240244164.35649562</v>
      </c>
    </row>
    <row r="7438" spans="1:2" x14ac:dyDescent="0.25">
      <c r="A7438">
        <f ca="1">27966.1368964312*(RANDBETWEEN(2890,3282))</f>
        <v>85212819.123425752</v>
      </c>
      <c r="B7438">
        <v>245090180.61658999</v>
      </c>
    </row>
    <row r="7439" spans="1:2" x14ac:dyDescent="0.25">
      <c r="A7439">
        <f ca="1">30832.3459990606*(RANDBETWEEN(2890,3282))</f>
        <v>97861866.201018482</v>
      </c>
      <c r="B7439">
        <v>209528616.44202763</v>
      </c>
    </row>
    <row r="7440" spans="1:2" x14ac:dyDescent="0.25">
      <c r="A7440">
        <f ca="1">32292.0857503914*(RANDBETWEEN(2890,3282))</f>
        <v>99653376.625708014</v>
      </c>
      <c r="B7440">
        <v>241964258.07527685</v>
      </c>
    </row>
    <row r="7441" spans="1:2" x14ac:dyDescent="0.25">
      <c r="A7441">
        <f ca="1">29066.3616748564*(RANDBETWEEN(2890,3282))</f>
        <v>88914000.363385856</v>
      </c>
      <c r="B7441">
        <v>204815767.03388357</v>
      </c>
    </row>
    <row r="7442" spans="1:2" x14ac:dyDescent="0.25">
      <c r="A7442">
        <f ca="1">32596.6629489977*(RANDBETWEEN(2890,3282))</f>
        <v>94660709.20388943</v>
      </c>
      <c r="B7442">
        <v>244494314.40657854</v>
      </c>
    </row>
    <row r="7443" spans="1:2" x14ac:dyDescent="0.25">
      <c r="A7443">
        <f ca="1">26709.0481992688*(RANDBETWEEN(2890,3282))</f>
        <v>78711565.043245181</v>
      </c>
      <c r="B7443">
        <v>209260289.53220323</v>
      </c>
    </row>
    <row r="7444" spans="1:2" x14ac:dyDescent="0.25">
      <c r="A7444">
        <f ca="1">29240.2956310741*(RANDBETWEEN(2890,3282))</f>
        <v>93715147.497592419</v>
      </c>
      <c r="B7444">
        <v>210622457.29367357</v>
      </c>
    </row>
    <row r="7445" spans="1:2" x14ac:dyDescent="0.25">
      <c r="A7445">
        <f ca="1">29351.1941288287*(RANDBETWEEN(2890,3282))</f>
        <v>86850183.427204013</v>
      </c>
      <c r="B7445">
        <v>241999408.60177121</v>
      </c>
    </row>
    <row r="7446" spans="1:2" x14ac:dyDescent="0.25">
      <c r="A7446">
        <f ca="1">27932.0325964688*(RANDBETWEEN(2890,3282))</f>
        <v>91393610.655645967</v>
      </c>
      <c r="B7446">
        <v>209121730.70455417</v>
      </c>
    </row>
    <row r="7447" spans="1:2" x14ac:dyDescent="0.25">
      <c r="A7447">
        <f ca="1">29123.9779796785*(RANDBETWEEN(2890,3282))</f>
        <v>92410382.129519925</v>
      </c>
      <c r="B7447">
        <v>205606058.69775921</v>
      </c>
    </row>
    <row r="7448" spans="1:2" x14ac:dyDescent="0.25">
      <c r="A7448">
        <f ca="1">32493.2474821362*(RANDBETWEEN(2890,3282))</f>
        <v>97219796.466551498</v>
      </c>
      <c r="B7448">
        <v>209274910.65306836</v>
      </c>
    </row>
    <row r="7449" spans="1:2" x14ac:dyDescent="0.25">
      <c r="A7449">
        <f ca="1">33866.3767915321*(RANDBETWEEN(2890,3282))</f>
        <v>109049733.26873353</v>
      </c>
      <c r="B7449">
        <v>236994637.53160727</v>
      </c>
    </row>
    <row r="7450" spans="1:2" x14ac:dyDescent="0.25">
      <c r="A7450">
        <f ca="1">27134.2300219374*(RANDBETWEEN(2890,3282))</f>
        <v>85527093.029146627</v>
      </c>
      <c r="B7450">
        <v>249504848.15599549</v>
      </c>
    </row>
    <row r="7451" spans="1:2" x14ac:dyDescent="0.25">
      <c r="A7451">
        <f ca="1">30482.7850059488*(RANDBETWEEN(2890,3282))</f>
        <v>94435667.948429346</v>
      </c>
      <c r="B7451">
        <v>205844824.16619152</v>
      </c>
    </row>
    <row r="7452" spans="1:2" x14ac:dyDescent="0.25">
      <c r="A7452">
        <f ca="1">31280.7526451027*(RANDBETWEEN(2890,3282))</f>
        <v>96782648.683947757</v>
      </c>
      <c r="B7452">
        <v>215090696.03852993</v>
      </c>
    </row>
    <row r="7453" spans="1:2" x14ac:dyDescent="0.25">
      <c r="A7453">
        <f ca="1">29656.135406142*(RANDBETWEEN(2890,3282))</f>
        <v>88493908.051927656</v>
      </c>
      <c r="B7453">
        <v>213340832.87368804</v>
      </c>
    </row>
    <row r="7454" spans="1:2" x14ac:dyDescent="0.25">
      <c r="A7454">
        <f ca="1">32184.5450452957*(RANDBETWEEN(2890,3282))</f>
        <v>99707720.550326139</v>
      </c>
      <c r="B7454">
        <v>226327808.62920675</v>
      </c>
    </row>
    <row r="7455" spans="1:2" x14ac:dyDescent="0.25">
      <c r="A7455">
        <f ca="1">30508.7738758921*(RANDBETWEEN(2890,3282))</f>
        <v>95919585.065804884</v>
      </c>
      <c r="B7455">
        <v>256627472.08594763</v>
      </c>
    </row>
    <row r="7456" spans="1:2" x14ac:dyDescent="0.25">
      <c r="A7456">
        <f ca="1">29177.4587206262*(RANDBETWEEN(2890,3282))</f>
        <v>86481987.647935957</v>
      </c>
      <c r="B7456">
        <v>224515179.05129629</v>
      </c>
    </row>
    <row r="7457" spans="1:2" x14ac:dyDescent="0.25">
      <c r="A7457">
        <f ca="1">30986.5554594438*(RANDBETWEEN(2890,3282))</f>
        <v>90480741.941575885</v>
      </c>
      <c r="B7457">
        <v>256377804.16737434</v>
      </c>
    </row>
    <row r="7458" spans="1:2" x14ac:dyDescent="0.25">
      <c r="A7458">
        <f ca="1">26602.1452200246*(RANDBETWEEN(2890,3282))</f>
        <v>84781036.816218287</v>
      </c>
      <c r="B7458">
        <v>225434639.94277984</v>
      </c>
    </row>
    <row r="7459" spans="1:2" x14ac:dyDescent="0.25">
      <c r="A7459">
        <f ca="1">29375.4868176662*(RANDBETWEEN(2890,3282))</f>
        <v>89653985.767517328</v>
      </c>
      <c r="B7459">
        <v>254293207.88314492</v>
      </c>
    </row>
    <row r="7460" spans="1:2" x14ac:dyDescent="0.25">
      <c r="A7460">
        <f ca="1">32165.9041622408*(RANDBETWEEN(2890,3282))</f>
        <v>95468403.553530753</v>
      </c>
      <c r="B7460">
        <v>248999757.50897413</v>
      </c>
    </row>
    <row r="7461" spans="1:2" x14ac:dyDescent="0.25">
      <c r="A7461">
        <f ca="1">28587.3290367103*(RANDBETWEEN(2890,3282))</f>
        <v>91536627.575546533</v>
      </c>
      <c r="B7461">
        <v>263354431.87427223</v>
      </c>
    </row>
    <row r="7462" spans="1:2" x14ac:dyDescent="0.25">
      <c r="A7462">
        <f ca="1">28586.9779506773*(RANDBETWEEN(2890,3282))</f>
        <v>90592133.125696376</v>
      </c>
      <c r="B7462">
        <v>203722443.19082743</v>
      </c>
    </row>
    <row r="7463" spans="1:2" x14ac:dyDescent="0.25">
      <c r="A7463">
        <f ca="1">27186.5246666564*(RANDBETWEEN(2890,3282))</f>
        <v>85936604.47130096</v>
      </c>
      <c r="B7463">
        <v>231553716.19450992</v>
      </c>
    </row>
    <row r="7464" spans="1:2" x14ac:dyDescent="0.25">
      <c r="A7464">
        <f ca="1">26364.6108293909*(RANDBETWEEN(2890,3282))</f>
        <v>82099398.122723103</v>
      </c>
      <c r="B7464">
        <v>239925796.79510182</v>
      </c>
    </row>
    <row r="7465" spans="1:2" x14ac:dyDescent="0.25">
      <c r="A7465">
        <f ca="1">26811.1145549638*(RANDBETWEEN(2890,3282))</f>
        <v>86841200.043527752</v>
      </c>
      <c r="B7465">
        <v>207588247.65991631</v>
      </c>
    </row>
    <row r="7466" spans="1:2" x14ac:dyDescent="0.25">
      <c r="A7466">
        <f ca="1">29150.171011833*(RANDBETWEEN(2890,3282))</f>
        <v>94679755.446433604</v>
      </c>
      <c r="B7466">
        <v>224437153.3448835</v>
      </c>
    </row>
    <row r="7467" spans="1:2" x14ac:dyDescent="0.25">
      <c r="A7467">
        <f ca="1">27316.7892426946*(RANDBETWEEN(2890,3282))</f>
        <v>81567932.678686172</v>
      </c>
      <c r="B7467">
        <v>231390671.96486181</v>
      </c>
    </row>
    <row r="7468" spans="1:2" x14ac:dyDescent="0.25">
      <c r="A7468">
        <f ca="1">28261.3671313483*(RANDBETWEEN(2890,3282))</f>
        <v>90945079.428678975</v>
      </c>
      <c r="B7468">
        <v>267088678.21283752</v>
      </c>
    </row>
    <row r="7469" spans="1:2" x14ac:dyDescent="0.25">
      <c r="A7469">
        <f ca="1">26551.3684542259*(RANDBETWEEN(2890,3282))</f>
        <v>77184828.096434772</v>
      </c>
      <c r="B7469">
        <v>248954515.87198761</v>
      </c>
    </row>
    <row r="7470" spans="1:2" x14ac:dyDescent="0.25">
      <c r="A7470">
        <f ca="1">26427.2901723603*(RANDBETWEEN(2890,3282))</f>
        <v>80233252.963285774</v>
      </c>
      <c r="B7470">
        <v>223123490.25709176</v>
      </c>
    </row>
    <row r="7471" spans="1:2" x14ac:dyDescent="0.25">
      <c r="A7471">
        <f ca="1">26333.940648377*(RANDBETWEEN(2890,3282))</f>
        <v>85927648.335654005</v>
      </c>
      <c r="B7471">
        <v>244857444.73762712</v>
      </c>
    </row>
    <row r="7472" spans="1:2" x14ac:dyDescent="0.25">
      <c r="A7472">
        <f ca="1">27829.4713031161*(RANDBETWEEN(2890,3282))</f>
        <v>80566319.422521055</v>
      </c>
      <c r="B7472">
        <v>223076965.7744953</v>
      </c>
    </row>
    <row r="7473" spans="1:2" x14ac:dyDescent="0.25">
      <c r="A7473">
        <f ca="1">32841.9229880923*(RANDBETWEEN(2890,3282))</f>
        <v>99182607.424038664</v>
      </c>
      <c r="B7473">
        <v>216094425.29348445</v>
      </c>
    </row>
    <row r="7474" spans="1:2" x14ac:dyDescent="0.25">
      <c r="A7474">
        <f ca="1">27233.9832660212*(RANDBETWEEN(2890,3282))</f>
        <v>86658534.752479434</v>
      </c>
      <c r="B7474">
        <v>214583051.89661193</v>
      </c>
    </row>
    <row r="7475" spans="1:2" x14ac:dyDescent="0.25">
      <c r="A7475">
        <f ca="1">30337.6296477351*(RANDBETWEEN(2890,3282))</f>
        <v>98384932.947605073</v>
      </c>
      <c r="B7475">
        <v>262690861.58847639</v>
      </c>
    </row>
    <row r="7476" spans="1:2" x14ac:dyDescent="0.25">
      <c r="A7476">
        <f ca="1">27035.922899967*(RANDBETWEEN(2890,3282))</f>
        <v>83378786.223498166</v>
      </c>
      <c r="B7476">
        <v>236294240.83807147</v>
      </c>
    </row>
    <row r="7477" spans="1:2" x14ac:dyDescent="0.25">
      <c r="A7477">
        <f ca="1">28275.6670163236*(RANDBETWEEN(2890,3282))</f>
        <v>82480120.686616078</v>
      </c>
      <c r="B7477">
        <v>209747837.70587119</v>
      </c>
    </row>
    <row r="7478" spans="1:2" x14ac:dyDescent="0.25">
      <c r="A7478">
        <f ca="1">31964.1409551592*(RANDBETWEEN(2890,3282))</f>
        <v>95253140.046374545</v>
      </c>
      <c r="B7478">
        <v>220651972.59479195</v>
      </c>
    </row>
    <row r="7479" spans="1:2" x14ac:dyDescent="0.25">
      <c r="A7479">
        <f ca="1">28441.8776768199*(RANDBETWEEN(2890,3282))</f>
        <v>84301725.434094101</v>
      </c>
      <c r="B7479">
        <v>236993456.93624455</v>
      </c>
    </row>
    <row r="7480" spans="1:2" x14ac:dyDescent="0.25">
      <c r="A7480">
        <f ca="1">28671.3859294775*(RANDBETWEEN(2890,3282))</f>
        <v>83233033.353273079</v>
      </c>
      <c r="B7480">
        <v>208575934.82234085</v>
      </c>
    </row>
    <row r="7481" spans="1:2" x14ac:dyDescent="0.25">
      <c r="A7481">
        <f ca="1">28499.0052664469*(RANDBETWEEN(2890,3282))</f>
        <v>86209490.931001961</v>
      </c>
      <c r="B7481">
        <v>228434702.94312796</v>
      </c>
    </row>
    <row r="7482" spans="1:2" x14ac:dyDescent="0.25">
      <c r="A7482">
        <f ca="1">32328.3584066561*(RANDBETWEEN(2890,3282))</f>
        <v>103159791.67563973</v>
      </c>
      <c r="B7482">
        <v>255496804.15976942</v>
      </c>
    </row>
    <row r="7483" spans="1:2" x14ac:dyDescent="0.25">
      <c r="A7483">
        <f ca="1">28674.4914846193*(RANDBETWEEN(2890,3282))</f>
        <v>83586142.677665129</v>
      </c>
      <c r="B7483">
        <v>267623522.41167164</v>
      </c>
    </row>
    <row r="7484" spans="1:2" x14ac:dyDescent="0.25">
      <c r="A7484">
        <f ca="1">27018.430109161*(RANDBETWEEN(2890,3282))</f>
        <v>87647787.27411817</v>
      </c>
      <c r="B7484">
        <v>224941004.05788407</v>
      </c>
    </row>
    <row r="7485" spans="1:2" x14ac:dyDescent="0.25">
      <c r="A7485">
        <f ca="1">27318.8787923*(RANDBETWEEN(2890,3282))</f>
        <v>87939470.832413852</v>
      </c>
      <c r="B7485">
        <v>208622947.23820785</v>
      </c>
    </row>
    <row r="7486" spans="1:2" x14ac:dyDescent="0.25">
      <c r="A7486">
        <f ca="1">30489.9046103796*(RANDBETWEEN(2890,3282))</f>
        <v>95707810.571981668</v>
      </c>
      <c r="B7486">
        <v>239799451.58503017</v>
      </c>
    </row>
    <row r="7487" spans="1:2" x14ac:dyDescent="0.25">
      <c r="A7487">
        <f ca="1">33164.9665986972*(RANDBETWEEN(2890,3282))</f>
        <v>96742207.568399802</v>
      </c>
      <c r="B7487">
        <v>243712971.99762583</v>
      </c>
    </row>
    <row r="7488" spans="1:2" x14ac:dyDescent="0.25">
      <c r="A7488">
        <f ca="1">30345.6636988862*(RANDBETWEEN(2890,3282))</f>
        <v>93889483.484353811</v>
      </c>
      <c r="B7488">
        <v>220873103.29013842</v>
      </c>
    </row>
    <row r="7489" spans="1:2" x14ac:dyDescent="0.25">
      <c r="A7489">
        <f ca="1">27728.5259693365*(RANDBETWEEN(2890,3282))</f>
        <v>85736602.297188386</v>
      </c>
      <c r="B7489">
        <v>266485757.99127489</v>
      </c>
    </row>
    <row r="7490" spans="1:2" x14ac:dyDescent="0.25">
      <c r="A7490">
        <f ca="1">30423.4459114891*(RANDBETWEEN(2890,3282))</f>
        <v>91513725.301759109</v>
      </c>
      <c r="B7490">
        <v>251015505.16592336</v>
      </c>
    </row>
    <row r="7491" spans="1:2" x14ac:dyDescent="0.25">
      <c r="A7491">
        <f ca="1">29564.6632255083*(RANDBETWEEN(2890,3282))</f>
        <v>95168650.922911242</v>
      </c>
      <c r="B7491">
        <v>222091397.63825464</v>
      </c>
    </row>
    <row r="7492" spans="1:2" x14ac:dyDescent="0.25">
      <c r="A7492">
        <f ca="1">27234.9958471761*(RANDBETWEEN(2890,3282))</f>
        <v>79853007.82392031</v>
      </c>
      <c r="B7492">
        <v>225026630.23085558</v>
      </c>
    </row>
    <row r="7493" spans="1:2" x14ac:dyDescent="0.25">
      <c r="A7493">
        <f ca="1">27320.2082173803*(RANDBETWEEN(2890,3282))</f>
        <v>81796703.402836695</v>
      </c>
      <c r="B7493">
        <v>256491597.98378754</v>
      </c>
    </row>
    <row r="7494" spans="1:2" x14ac:dyDescent="0.25">
      <c r="A7494">
        <f ca="1">33119.6485320047*(RANDBETWEEN(2890,3282))</f>
        <v>102140996.07270251</v>
      </c>
      <c r="B7494">
        <v>239785623.83893737</v>
      </c>
    </row>
    <row r="7495" spans="1:2" x14ac:dyDescent="0.25">
      <c r="A7495">
        <f ca="1">28152.0551156119*(RANDBETWEEN(2890,3282))</f>
        <v>92226132.558744609</v>
      </c>
      <c r="B7495">
        <v>231072156.30479521</v>
      </c>
    </row>
    <row r="7496" spans="1:2" x14ac:dyDescent="0.25">
      <c r="A7496">
        <f ca="1">33021.5481525589*(RANDBETWEEN(2890,3282))</f>
        <v>98404213.494625404</v>
      </c>
      <c r="B7496">
        <v>251288867.66950527</v>
      </c>
    </row>
    <row r="7497" spans="1:2" x14ac:dyDescent="0.25">
      <c r="A7497">
        <f ca="1">27322.3120719376*(RANDBETWEEN(2890,3282))</f>
        <v>86939597.012905538</v>
      </c>
      <c r="B7497">
        <v>260592628.0548456</v>
      </c>
    </row>
    <row r="7498" spans="1:2" x14ac:dyDescent="0.25">
      <c r="A7498">
        <f ca="1">27176.2968068541*(RANDBETWEEN(2890,3282))</f>
        <v>83947580.836372346</v>
      </c>
      <c r="B7498">
        <v>223973361.18435729</v>
      </c>
    </row>
    <row r="7499" spans="1:2" x14ac:dyDescent="0.25">
      <c r="A7499">
        <f ca="1">26737.7509576865*(RANDBETWEEN(2890,3282))</f>
        <v>83903062.50522019</v>
      </c>
      <c r="B7499">
        <v>267078181.3057858</v>
      </c>
    </row>
    <row r="7500" spans="1:2" x14ac:dyDescent="0.25">
      <c r="A7500">
        <f ca="1">26922.3601001093*(RANDBETWEEN(2890,3282))</f>
        <v>85801561.639048293</v>
      </c>
      <c r="B7500">
        <v>207887577.85780126</v>
      </c>
    </row>
    <row r="7501" spans="1:2" x14ac:dyDescent="0.25">
      <c r="A7501">
        <f ca="1">29589.7047613932*(RANDBETWEEN(2890,3282))</f>
        <v>94331978.779321626</v>
      </c>
      <c r="B7501">
        <v>233793019.42820936</v>
      </c>
    </row>
    <row r="7502" spans="1:2" x14ac:dyDescent="0.25">
      <c r="A7502">
        <f ca="1">30044.0683090374*(RANDBETWEEN(2890,3282))</f>
        <v>93707449.055887625</v>
      </c>
      <c r="B7502">
        <v>252296907.37553573</v>
      </c>
    </row>
    <row r="7503" spans="1:2" x14ac:dyDescent="0.25">
      <c r="A7503">
        <f ca="1">30553.6260886569*(RANDBETWEEN(2890,3282))</f>
        <v>88880498.291902795</v>
      </c>
      <c r="B7503">
        <v>212062545.80322537</v>
      </c>
    </row>
    <row r="7504" spans="1:2" x14ac:dyDescent="0.25">
      <c r="A7504">
        <f ca="1">30209.6919908084*(RANDBETWEEN(2890,3282))</f>
        <v>96973111.290494978</v>
      </c>
      <c r="B7504">
        <v>219279763.96574369</v>
      </c>
    </row>
    <row r="7505" spans="1:2" x14ac:dyDescent="0.25">
      <c r="A7505">
        <f ca="1">26963.1473889783*(RANDBETWEEN(2890,3282))</f>
        <v>86929187.182066143</v>
      </c>
      <c r="B7505">
        <v>206613073.81839573</v>
      </c>
    </row>
    <row r="7506" spans="1:2" x14ac:dyDescent="0.25">
      <c r="A7506">
        <f ca="1">33396.3698321636*(RANDBETWEEN(2890,3282))</f>
        <v>105532528.66963708</v>
      </c>
      <c r="B7506">
        <v>231251002.68969825</v>
      </c>
    </row>
    <row r="7507" spans="1:2" x14ac:dyDescent="0.25">
      <c r="A7507">
        <f ca="1">31016.238904539*(RANDBETWEEN(2890,3282))</f>
        <v>97297941.44353877</v>
      </c>
      <c r="B7507">
        <v>221191609.74628749</v>
      </c>
    </row>
    <row r="7508" spans="1:2" x14ac:dyDescent="0.25">
      <c r="A7508">
        <f ca="1">29785.3784730688*(RANDBETWEEN(2890,3282))</f>
        <v>93823942.190166831</v>
      </c>
      <c r="B7508">
        <v>262255849.2395542</v>
      </c>
    </row>
    <row r="7509" spans="1:2" x14ac:dyDescent="0.25">
      <c r="A7509">
        <f ca="1">27760.2537023864*(RANDBETWEEN(2890,3282))</f>
        <v>81642906.138718277</v>
      </c>
      <c r="B7509">
        <v>249202352.68516383</v>
      </c>
    </row>
    <row r="7510" spans="1:2" x14ac:dyDescent="0.25">
      <c r="A7510">
        <f ca="1">31405.9467807565*(RANDBETWEEN(2890,3282))</f>
        <v>95913761.468430221</v>
      </c>
      <c r="B7510">
        <v>242108896.86955199</v>
      </c>
    </row>
    <row r="7511" spans="1:2" x14ac:dyDescent="0.25">
      <c r="A7511">
        <f ca="1">29790.1354587467*(RANDBETWEEN(2890,3282))</f>
        <v>97383952.814642996</v>
      </c>
      <c r="B7511">
        <v>229178191.21944296</v>
      </c>
    </row>
    <row r="7512" spans="1:2" x14ac:dyDescent="0.25">
      <c r="A7512">
        <f ca="1">28180.6941889865*(RANDBETWEEN(2890,3282))</f>
        <v>81554928.982926846</v>
      </c>
      <c r="B7512">
        <v>257947893.46535361</v>
      </c>
    </row>
    <row r="7513" spans="1:2" x14ac:dyDescent="0.25">
      <c r="A7513">
        <f ca="1">27103.3593811696*(RANDBETWEEN(2890,3282))</f>
        <v>78572638.846010804</v>
      </c>
      <c r="B7513">
        <v>221655488.64063939</v>
      </c>
    </row>
    <row r="7514" spans="1:2" x14ac:dyDescent="0.25">
      <c r="A7514">
        <f ca="1">30764.4008962055*(RANDBETWEEN(2890,3282))</f>
        <v>97892323.651725993</v>
      </c>
      <c r="B7514">
        <v>266355899.89033127</v>
      </c>
    </row>
    <row r="7515" spans="1:2" x14ac:dyDescent="0.25">
      <c r="A7515">
        <f ca="1">33344.2550575466*(RANDBETWEEN(2890,3282))</f>
        <v>97732011.57366918</v>
      </c>
      <c r="B7515">
        <v>213037216.51991904</v>
      </c>
    </row>
    <row r="7516" spans="1:2" x14ac:dyDescent="0.25">
      <c r="A7516">
        <f ca="1">28610.8388928275*(RANDBETWEEN(2890,3282))</f>
        <v>83772536.278198794</v>
      </c>
      <c r="B7516">
        <v>242347571.88496751</v>
      </c>
    </row>
    <row r="7517" spans="1:2" x14ac:dyDescent="0.25">
      <c r="A7517">
        <f ca="1">27354.1403431922*(RANDBETWEEN(2890,3282))</f>
        <v>82636857.976783842</v>
      </c>
      <c r="B7517">
        <v>255389964.74927893</v>
      </c>
    </row>
    <row r="7518" spans="1:2" x14ac:dyDescent="0.25">
      <c r="A7518">
        <f ca="1">31236.4974429729*(RANDBETWEEN(2890,3282))</f>
        <v>92678687.913300723</v>
      </c>
      <c r="B7518">
        <v>267821474.84594414</v>
      </c>
    </row>
    <row r="7519" spans="1:2" x14ac:dyDescent="0.25">
      <c r="A7519">
        <f ca="1">26682.9236484957*(RANDBETWEEN(2890,3282))</f>
        <v>80449014.800214663</v>
      </c>
      <c r="B7519">
        <v>204399120.30639908</v>
      </c>
    </row>
    <row r="7520" spans="1:2" x14ac:dyDescent="0.25">
      <c r="A7520">
        <f ca="1">30658.2693647187*(RANDBETWEEN(2890,3282))</f>
        <v>88725031.541495815</v>
      </c>
      <c r="B7520">
        <v>255098297.21432698</v>
      </c>
    </row>
    <row r="7521" spans="1:2" x14ac:dyDescent="0.25">
      <c r="A7521">
        <f ca="1">27724.9823978607*(RANDBETWEEN(2890,3282))</f>
        <v>82786797.440011963</v>
      </c>
      <c r="B7521">
        <v>237265095.10397786</v>
      </c>
    </row>
    <row r="7522" spans="1:2" x14ac:dyDescent="0.25">
      <c r="A7522">
        <f ca="1">31655.6981566285*(RANDBETWEEN(2890,3282))</f>
        <v>98512532.663428009</v>
      </c>
      <c r="B7522">
        <v>256321479.69582945</v>
      </c>
    </row>
    <row r="7523" spans="1:2" x14ac:dyDescent="0.25">
      <c r="A7523">
        <f ca="1">31706.765926016*(RANDBETWEEN(2890,3282))</f>
        <v>99749485.603246197</v>
      </c>
      <c r="B7523">
        <v>241313114.83133292</v>
      </c>
    </row>
    <row r="7524" spans="1:2" x14ac:dyDescent="0.25">
      <c r="A7524">
        <f ca="1">28074.075137573*(RANDBETWEEN(2890,3282))</f>
        <v>92054892.376101881</v>
      </c>
      <c r="B7524">
        <v>250575436.27695572</v>
      </c>
    </row>
    <row r="7525" spans="1:2" x14ac:dyDescent="0.25">
      <c r="A7525">
        <f ca="1">30741.3875899545*(RANDBETWEEN(2890,3282))</f>
        <v>100370630.48120151</v>
      </c>
      <c r="B7525">
        <v>222679088.59377044</v>
      </c>
    </row>
    <row r="7526" spans="1:2" x14ac:dyDescent="0.25">
      <c r="A7526">
        <f ca="1">33968.4410856061*(RANDBETWEEN(2890,3282))</f>
        <v>106558999.68554635</v>
      </c>
      <c r="B7526">
        <v>223851443.36251339</v>
      </c>
    </row>
    <row r="7527" spans="1:2" x14ac:dyDescent="0.25">
      <c r="A7527">
        <f ca="1">29061.7900559233*(RANDBETWEEN(2890,3282))</f>
        <v>90498414.234145209</v>
      </c>
      <c r="B7527">
        <v>205154860.23223373</v>
      </c>
    </row>
    <row r="7528" spans="1:2" x14ac:dyDescent="0.25">
      <c r="A7528">
        <f ca="1">31729.6763728185*(RANDBETWEEN(2890,3282))</f>
        <v>101312856.65840931</v>
      </c>
      <c r="B7528">
        <v>253259456.91340458</v>
      </c>
    </row>
    <row r="7529" spans="1:2" x14ac:dyDescent="0.25">
      <c r="A7529">
        <f ca="1">30687.4389787276*(RANDBETWEEN(2890,3282))</f>
        <v>97340556.440524027</v>
      </c>
      <c r="B7529">
        <v>236274864.70632824</v>
      </c>
    </row>
    <row r="7530" spans="1:2" x14ac:dyDescent="0.25">
      <c r="A7530">
        <f ca="1">32063.0367072828*(RANDBETWEEN(2890,3282))</f>
        <v>95066903.837093532</v>
      </c>
      <c r="B7530">
        <v>212490627.52040571</v>
      </c>
    </row>
    <row r="7531" spans="1:2" x14ac:dyDescent="0.25">
      <c r="A7531">
        <f ca="1">31774.1174258714*(RANDBETWEEN(2890,3282))</f>
        <v>98150248.728516906</v>
      </c>
      <c r="B7531">
        <v>228958752.90688115</v>
      </c>
    </row>
    <row r="7532" spans="1:2" x14ac:dyDescent="0.25">
      <c r="A7532">
        <f ca="1">32968.3388609659*(RANDBETWEEN(2890,3282))</f>
        <v>107905373.09194137</v>
      </c>
      <c r="B7532">
        <v>206217315.70681748</v>
      </c>
    </row>
    <row r="7533" spans="1:2" x14ac:dyDescent="0.25">
      <c r="A7533">
        <f ca="1">32514.6838486552*(RANDBETWEEN(2890,3282))</f>
        <v>99299844.47379303</v>
      </c>
      <c r="B7533">
        <v>257546770.23981634</v>
      </c>
    </row>
    <row r="7534" spans="1:2" x14ac:dyDescent="0.25">
      <c r="A7534">
        <f ca="1">28679.8195679647*(RANDBETWEEN(2890,3282))</f>
        <v>87043252.38877289</v>
      </c>
      <c r="B7534">
        <v>267880911.91257524</v>
      </c>
    </row>
    <row r="7535" spans="1:2" x14ac:dyDescent="0.25">
      <c r="A7535">
        <f ca="1">30511.6998393403*(RANDBETWEEN(2890,3282))</f>
        <v>95471108.797295943</v>
      </c>
      <c r="B7535">
        <v>267372801.93875033</v>
      </c>
    </row>
    <row r="7536" spans="1:2" x14ac:dyDescent="0.25">
      <c r="A7536">
        <f ca="1">26498.9254608716*(RANDBETWEEN(2890,3282))</f>
        <v>83657107.679971635</v>
      </c>
      <c r="B7536">
        <v>240924996.7989296</v>
      </c>
    </row>
    <row r="7537" spans="1:2" x14ac:dyDescent="0.25">
      <c r="A7537">
        <f ca="1">25663.9246058167*(RANDBETWEEN(2890,3282))</f>
        <v>78557273.218404785</v>
      </c>
      <c r="B7537">
        <v>254891293.04243982</v>
      </c>
    </row>
    <row r="7538" spans="1:2" x14ac:dyDescent="0.25">
      <c r="A7538">
        <f ca="1">26923.3275978876*(RANDBETWEEN(2890,3282))</f>
        <v>80689212.810869232</v>
      </c>
      <c r="B7538">
        <v>208932116.9325518</v>
      </c>
    </row>
    <row r="7539" spans="1:2" x14ac:dyDescent="0.25">
      <c r="A7539">
        <f ca="1">29035.9629699417*(RANDBETWEEN(2890,3282))</f>
        <v>94483023.504190147</v>
      </c>
      <c r="B7539">
        <v>257211705.76820919</v>
      </c>
    </row>
    <row r="7540" spans="1:2" x14ac:dyDescent="0.25">
      <c r="A7540">
        <f ca="1">27260.4599629919*(RANDBETWEEN(2890,3282))</f>
        <v>79682324.471825287</v>
      </c>
      <c r="B7540">
        <v>233065890.22362804</v>
      </c>
    </row>
    <row r="7541" spans="1:2" x14ac:dyDescent="0.25">
      <c r="A7541">
        <f ca="1">33675.8679135047*(RANDBETWEEN(2890,3282))</f>
        <v>110456846.75629546</v>
      </c>
      <c r="B7541">
        <v>222551948.35099608</v>
      </c>
    </row>
    <row r="7542" spans="1:2" x14ac:dyDescent="0.25">
      <c r="A7542">
        <f ca="1">26837.0643412756*(RANDBETWEEN(2890,3282))</f>
        <v>85180842.219208643</v>
      </c>
      <c r="B7542">
        <v>221152886.58361125</v>
      </c>
    </row>
    <row r="7543" spans="1:2" x14ac:dyDescent="0.25">
      <c r="A7543">
        <f ca="1">29314.048781063*(RANDBETWEEN(2890,3282))</f>
        <v>95475856.879922196</v>
      </c>
      <c r="B7543">
        <v>256311784.83309114</v>
      </c>
    </row>
    <row r="7544" spans="1:2" x14ac:dyDescent="0.25">
      <c r="A7544">
        <f ca="1">29637.4038538479*(RANDBETWEEN(2890,3282))</f>
        <v>87400703.96499756</v>
      </c>
      <c r="B7544">
        <v>265697529.8915185</v>
      </c>
    </row>
    <row r="7545" spans="1:2" x14ac:dyDescent="0.25">
      <c r="A7545">
        <f ca="1">26726.8277922534*(RANDBETWEEN(2890,3282))</f>
        <v>86755283.013654664</v>
      </c>
      <c r="B7545">
        <v>263230336.27436298</v>
      </c>
    </row>
    <row r="7546" spans="1:2" x14ac:dyDescent="0.25">
      <c r="A7546">
        <f ca="1">26628.9440991005*(RANDBETWEEN(2890,3282))</f>
        <v>83242079.253788307</v>
      </c>
      <c r="B7546">
        <v>205458736.46433923</v>
      </c>
    </row>
    <row r="7547" spans="1:2" x14ac:dyDescent="0.25">
      <c r="A7547">
        <f ca="1">32374.3055329726*(RANDBETWEEN(2890,3282))</f>
        <v>94759592.295010805</v>
      </c>
      <c r="B7547">
        <v>251594591.85549963</v>
      </c>
    </row>
    <row r="7548" spans="1:2" x14ac:dyDescent="0.25">
      <c r="A7548">
        <f ca="1">31469.2887391664*(RANDBETWEEN(2890,3282))</f>
        <v>97303040.781502649</v>
      </c>
      <c r="B7548">
        <v>266797416.61896527</v>
      </c>
    </row>
    <row r="7549" spans="1:2" x14ac:dyDescent="0.25">
      <c r="A7549">
        <f ca="1">31599.2006985284*(RANDBETWEEN(2890,3282))</f>
        <v>100327462.21782754</v>
      </c>
      <c r="B7549">
        <v>262437674.80696499</v>
      </c>
    </row>
    <row r="7550" spans="1:2" x14ac:dyDescent="0.25">
      <c r="A7550">
        <f ca="1">27449.3075378428*(RANDBETWEEN(2890,3282))</f>
        <v>85367346.442690998</v>
      </c>
      <c r="B7550">
        <v>267584436.19633794</v>
      </c>
    </row>
    <row r="7551" spans="1:2" x14ac:dyDescent="0.25">
      <c r="A7551">
        <f ca="1">27332.8774680021*(RANDBETWEEN(2890,3282))</f>
        <v>80549989.898202091</v>
      </c>
      <c r="B7551">
        <v>203815481.41634077</v>
      </c>
    </row>
    <row r="7552" spans="1:2" x14ac:dyDescent="0.25">
      <c r="A7552">
        <f ca="1">32205.3987315005*(RANDBETWEEN(2890,3282))</f>
        <v>98097644.536150455</v>
      </c>
      <c r="B7552">
        <v>226855024.15332094</v>
      </c>
    </row>
    <row r="7553" spans="1:2" x14ac:dyDescent="0.25">
      <c r="A7553">
        <f ca="1">27576.3632930032*(RANDBETWEEN(2890,3282))</f>
        <v>89154382.52627942</v>
      </c>
      <c r="B7553">
        <v>233388137.25611147</v>
      </c>
    </row>
    <row r="7554" spans="1:2" x14ac:dyDescent="0.25">
      <c r="A7554">
        <f ca="1">27777.6082932922*(RANDBETWEEN(2890,3282))</f>
        <v>89249455.446347937</v>
      </c>
      <c r="B7554">
        <v>214789081.21251664</v>
      </c>
    </row>
    <row r="7555" spans="1:2" x14ac:dyDescent="0.25">
      <c r="A7555">
        <f ca="1">33047.4355775152*(RANDBETWEEN(2890,3282))</f>
        <v>101786101.57874686</v>
      </c>
      <c r="B7555">
        <v>255435801.90981746</v>
      </c>
    </row>
    <row r="7556" spans="1:2" x14ac:dyDescent="0.25">
      <c r="A7556">
        <f ca="1">32647.6413187554*(RANDBETWEEN(2890,3282))</f>
        <v>96734961.227472156</v>
      </c>
      <c r="B7556">
        <v>207052455.0550929</v>
      </c>
    </row>
    <row r="7557" spans="1:2" x14ac:dyDescent="0.25">
      <c r="A7557">
        <f ca="1">27249.7962709895*(RANDBETWEEN(2890,3282))</f>
        <v>80114401.036709085</v>
      </c>
      <c r="B7557">
        <v>259618875.12034699</v>
      </c>
    </row>
    <row r="7558" spans="1:2" x14ac:dyDescent="0.25">
      <c r="A7558">
        <f ca="1">29059.6346896743*(RANDBETWEEN(2890,3282))</f>
        <v>86684890.27929835</v>
      </c>
      <c r="B7558">
        <v>248582665.40178943</v>
      </c>
    </row>
    <row r="7559" spans="1:2" x14ac:dyDescent="0.25">
      <c r="A7559">
        <f ca="1">34284.1147074557*(RANDBETWEEN(2890,3282))</f>
        <v>100658160.78108992</v>
      </c>
      <c r="B7559">
        <v>254967487.32908374</v>
      </c>
    </row>
    <row r="7560" spans="1:2" x14ac:dyDescent="0.25">
      <c r="A7560">
        <f ca="1">28621.9079401397*(RANDBETWEEN(2890,3282))</f>
        <v>88241342.179450557</v>
      </c>
      <c r="B7560">
        <v>257720774.80327177</v>
      </c>
    </row>
    <row r="7561" spans="1:2" x14ac:dyDescent="0.25">
      <c r="A7561">
        <f ca="1">32351.7436342738*(RANDBETWEEN(2890,3282))</f>
        <v>96440547.773770183</v>
      </c>
      <c r="B7561">
        <v>204882489.73588288</v>
      </c>
    </row>
    <row r="7562" spans="1:2" x14ac:dyDescent="0.25">
      <c r="A7562">
        <f ca="1">28725.9808418107*(RANDBETWEEN(2890,3282))</f>
        <v>83305344.441251144</v>
      </c>
      <c r="B7562">
        <v>238112175.73945975</v>
      </c>
    </row>
    <row r="7563" spans="1:2" x14ac:dyDescent="0.25">
      <c r="A7563">
        <f ca="1">30026.5995956418*(RANDBETWEEN(2890,3282))</f>
        <v>94223469.531123817</v>
      </c>
      <c r="B7563">
        <v>224453758.66089082</v>
      </c>
    </row>
    <row r="7564" spans="1:2" x14ac:dyDescent="0.25">
      <c r="A7564">
        <f ca="1">27432.1310709676*(RANDBETWEEN(2890,3282))</f>
        <v>81061947.314709231</v>
      </c>
      <c r="B7564">
        <v>252675803.82137018</v>
      </c>
    </row>
    <row r="7565" spans="1:2" x14ac:dyDescent="0.25">
      <c r="A7565">
        <f ca="1">29519.1934609438*(RANDBETWEEN(2890,3282))</f>
        <v>92070364.40468365</v>
      </c>
      <c r="B7565">
        <v>247058115.56292754</v>
      </c>
    </row>
    <row r="7566" spans="1:2" x14ac:dyDescent="0.25">
      <c r="A7566">
        <f ca="1">31332.0466719535*(RANDBETWEEN(2890,3282))</f>
        <v>102612452.85064784</v>
      </c>
      <c r="B7566">
        <v>235959698.38770854</v>
      </c>
    </row>
    <row r="7567" spans="1:2" x14ac:dyDescent="0.25">
      <c r="A7567">
        <f ca="1">28355.9885238415*(RANDBETWEEN(2890,3282))</f>
        <v>86230561.101002008</v>
      </c>
      <c r="B7567">
        <v>211306053.15760311</v>
      </c>
    </row>
    <row r="7568" spans="1:2" x14ac:dyDescent="0.25">
      <c r="A7568">
        <f ca="1">29108.492181264*(RANDBETWEEN(2890,3282))</f>
        <v>87383693.528154388</v>
      </c>
      <c r="B7568">
        <v>240833925.32900244</v>
      </c>
    </row>
    <row r="7569" spans="1:2" x14ac:dyDescent="0.25">
      <c r="A7569">
        <f ca="1">27312.7873278427*(RANDBETWEEN(2890,3282))</f>
        <v>88493430.942210495</v>
      </c>
      <c r="B7569">
        <v>257376625.49139759</v>
      </c>
    </row>
    <row r="7570" spans="1:2" x14ac:dyDescent="0.25">
      <c r="A7570">
        <f ca="1">28375.5635051675*(RANDBETWEEN(2890,3282))</f>
        <v>90716676.526020378</v>
      </c>
      <c r="B7570">
        <v>244106177.40048772</v>
      </c>
    </row>
    <row r="7571" spans="1:2" x14ac:dyDescent="0.25">
      <c r="A7571">
        <f ca="1">27356.5983451294*(RANDBETWEEN(2890,3282))</f>
        <v>87076052.532547027</v>
      </c>
      <c r="B7571">
        <v>230603334.73485005</v>
      </c>
    </row>
    <row r="7572" spans="1:2" x14ac:dyDescent="0.25">
      <c r="A7572">
        <f ca="1">25966.5785864891*(RANDBETWEEN(2890,3282))</f>
        <v>79821262.574867412</v>
      </c>
      <c r="B7572">
        <v>219098306.61153808</v>
      </c>
    </row>
    <row r="7573" spans="1:2" x14ac:dyDescent="0.25">
      <c r="A7573">
        <f ca="1">33263.2064273138*(RANDBETWEEN(2890,3282))</f>
        <v>98059932.547721028</v>
      </c>
      <c r="B7573">
        <v>228971230.42591345</v>
      </c>
    </row>
    <row r="7574" spans="1:2" x14ac:dyDescent="0.25">
      <c r="A7574">
        <f ca="1">33844.2172920826*(RANDBETWEEN(2890,3282))</f>
        <v>104646319.86711937</v>
      </c>
      <c r="B7574">
        <v>258697411.46618468</v>
      </c>
    </row>
    <row r="7575" spans="1:2" x14ac:dyDescent="0.25">
      <c r="A7575">
        <f ca="1">31363.6437120095*(RANDBETWEEN(2890,3282))</f>
        <v>99046386.842525855</v>
      </c>
      <c r="B7575">
        <v>263890746.57928705</v>
      </c>
    </row>
    <row r="7576" spans="1:2" x14ac:dyDescent="0.25">
      <c r="A7576">
        <f ca="1">28890.5412010336*(RANDBETWEEN(2890,3282))</f>
        <v>93807587.279756114</v>
      </c>
      <c r="B7576">
        <v>256581331.68378496</v>
      </c>
    </row>
    <row r="7577" spans="1:2" x14ac:dyDescent="0.25">
      <c r="A7577">
        <f ca="1">31115.9991123198*(RANDBETWEEN(2890,3282))</f>
        <v>91325457.394658908</v>
      </c>
      <c r="B7577">
        <v>221572014.0402649</v>
      </c>
    </row>
    <row r="7578" spans="1:2" x14ac:dyDescent="0.25">
      <c r="A7578">
        <f ca="1">31492.3037769827*(RANDBETWEEN(2890,3282))</f>
        <v>92996773.053429946</v>
      </c>
      <c r="B7578">
        <v>240727032.49645323</v>
      </c>
    </row>
    <row r="7579" spans="1:2" x14ac:dyDescent="0.25">
      <c r="A7579">
        <f ca="1">30001.7825769644*(RANDBETWEEN(2890,3282))</f>
        <v>92495495.684781343</v>
      </c>
      <c r="B7579">
        <v>263935055.76268613</v>
      </c>
    </row>
    <row r="7580" spans="1:2" x14ac:dyDescent="0.25">
      <c r="A7580">
        <f ca="1">31884.2254483657*(RANDBETWEEN(2890,3282))</f>
        <v>98490372.41000177</v>
      </c>
      <c r="B7580">
        <v>204708047.03800872</v>
      </c>
    </row>
    <row r="7581" spans="1:2" x14ac:dyDescent="0.25">
      <c r="A7581">
        <f ca="1">28546.5038215821*(RANDBETWEEN(2890,3282))</f>
        <v>91006254.183203802</v>
      </c>
      <c r="B7581">
        <v>231004306.29552439</v>
      </c>
    </row>
    <row r="7582" spans="1:2" x14ac:dyDescent="0.25">
      <c r="A7582">
        <f ca="1">30188.1454915894*(RANDBETWEEN(2890,3282))</f>
        <v>91138011.239108443</v>
      </c>
      <c r="B7582">
        <v>255626728.75566924</v>
      </c>
    </row>
    <row r="7583" spans="1:2" x14ac:dyDescent="0.25">
      <c r="A7583">
        <f ca="1">29654.191280207*(RANDBETWEEN(2890,3282))</f>
        <v>87598481.041731387</v>
      </c>
      <c r="B7583">
        <v>240252479.64347875</v>
      </c>
    </row>
    <row r="7584" spans="1:2" x14ac:dyDescent="0.25">
      <c r="A7584">
        <f ca="1">29248.9005801323*(RANDBETWEEN(2890,3282))</f>
        <v>92075539.026256591</v>
      </c>
      <c r="B7584">
        <v>220126070.09572053</v>
      </c>
    </row>
    <row r="7585" spans="1:2" x14ac:dyDescent="0.25">
      <c r="A7585">
        <f ca="1">29744.5729068024*(RANDBETWEEN(2890,3282))</f>
        <v>86021304.846472487</v>
      </c>
      <c r="B7585">
        <v>209386621.53188694</v>
      </c>
    </row>
    <row r="7586" spans="1:2" x14ac:dyDescent="0.25">
      <c r="A7586">
        <f ca="1">29617.3744532466*(RANDBETWEEN(2890,3282))</f>
        <v>95042154.620468289</v>
      </c>
      <c r="B7586">
        <v>210937107.41707027</v>
      </c>
    </row>
    <row r="7587" spans="1:2" x14ac:dyDescent="0.25">
      <c r="A7587">
        <f ca="1">29184.140130293*(RANDBETWEEN(2890,3282))</f>
        <v>89682862.620390534</v>
      </c>
      <c r="B7587">
        <v>207588574.0651044</v>
      </c>
    </row>
    <row r="7588" spans="1:2" x14ac:dyDescent="0.25">
      <c r="A7588">
        <f ca="1">30407.8376432715*(RANDBETWEEN(2890,3282))</f>
        <v>96179990.465667695</v>
      </c>
      <c r="B7588">
        <v>210783794.0664933</v>
      </c>
    </row>
    <row r="7589" spans="1:2" x14ac:dyDescent="0.25">
      <c r="A7589">
        <f ca="1">26790.4310344111*(RANDBETWEEN(2890,3282))</f>
        <v>86559882.672182307</v>
      </c>
      <c r="B7589">
        <v>258521336.41221154</v>
      </c>
    </row>
    <row r="7590" spans="1:2" x14ac:dyDescent="0.25">
      <c r="A7590">
        <f ca="1">28890.3938471152*(RANDBETWEEN(2890,3282))</f>
        <v>84302169.245882139</v>
      </c>
      <c r="B7590">
        <v>213402460.48134127</v>
      </c>
    </row>
    <row r="7591" spans="1:2" x14ac:dyDescent="0.25">
      <c r="A7591">
        <f ca="1">27285.169515461*(RANDBETWEEN(2890,3282))</f>
        <v>89140648.807010949</v>
      </c>
      <c r="B7591">
        <v>224474969.22006196</v>
      </c>
    </row>
    <row r="7592" spans="1:2" x14ac:dyDescent="0.25">
      <c r="A7592">
        <f ca="1">28563.4732139431*(RANDBETWEEN(2890,3282))</f>
        <v>87090029.829312474</v>
      </c>
      <c r="B7592">
        <v>209315799.83423263</v>
      </c>
    </row>
    <row r="7593" spans="1:2" x14ac:dyDescent="0.25">
      <c r="A7593">
        <f ca="1">32558.5905882744*(RANDBETWEEN(2890,3282))</f>
        <v>95689697.738938436</v>
      </c>
      <c r="B7593">
        <v>264917823.97056386</v>
      </c>
    </row>
    <row r="7594" spans="1:2" x14ac:dyDescent="0.25">
      <c r="A7594">
        <f ca="1">29176.9504042251*(RANDBETWEEN(2890,3282))</f>
        <v>95379450.871411949</v>
      </c>
      <c r="B7594">
        <v>214284048.54822558</v>
      </c>
    </row>
    <row r="7595" spans="1:2" x14ac:dyDescent="0.25">
      <c r="A7595">
        <f ca="1">28351.8049313349*(RANDBETWEEN(2890,3282))</f>
        <v>89506648.168224216</v>
      </c>
      <c r="B7595">
        <v>234345064.63437563</v>
      </c>
    </row>
    <row r="7596" spans="1:2" x14ac:dyDescent="0.25">
      <c r="A7596">
        <f ca="1">33851.6547733487*(RANDBETWEEN(2890,3282))</f>
        <v>103924580.15418041</v>
      </c>
      <c r="B7596">
        <v>259429152.96840578</v>
      </c>
    </row>
    <row r="7597" spans="1:2" x14ac:dyDescent="0.25">
      <c r="A7597">
        <f ca="1">26423.2267156473*(RANDBETWEEN(2890,3282))</f>
        <v>81832733.138359949</v>
      </c>
      <c r="B7597">
        <v>207212709.27476668</v>
      </c>
    </row>
    <row r="7598" spans="1:2" x14ac:dyDescent="0.25">
      <c r="A7598">
        <f ca="1">27997.4534070346*(RANDBETWEEN(2890,3282))</f>
        <v>83572398.419998169</v>
      </c>
      <c r="B7598">
        <v>214278901.26248041</v>
      </c>
    </row>
    <row r="7599" spans="1:2" x14ac:dyDescent="0.25">
      <c r="A7599">
        <f ca="1">28762.6948394398*(RANDBETWEEN(2890,3282))</f>
        <v>86834575.720268726</v>
      </c>
      <c r="B7599">
        <v>219991725.20637643</v>
      </c>
    </row>
    <row r="7600" spans="1:2" x14ac:dyDescent="0.25">
      <c r="A7600">
        <f ca="1">27307.8623199719*(RANDBETWEEN(2890,3282))</f>
        <v>89433249.097907886</v>
      </c>
      <c r="B7600">
        <v>228623762.06570557</v>
      </c>
    </row>
    <row r="7601" spans="1:2" x14ac:dyDescent="0.25">
      <c r="A7601">
        <f ca="1">31396.7804227832*(RANDBETWEEN(2890,3282))</f>
        <v>100720871.59628841</v>
      </c>
      <c r="B7601">
        <v>212773261.46185678</v>
      </c>
    </row>
    <row r="7602" spans="1:2" x14ac:dyDescent="0.25">
      <c r="A7602">
        <f ca="1">28856.2891564816*(RANDBETWEEN(2890,3282))</f>
        <v>93811796.047721758</v>
      </c>
      <c r="B7602">
        <v>219395057.98647177</v>
      </c>
    </row>
    <row r="7603" spans="1:2" x14ac:dyDescent="0.25">
      <c r="A7603">
        <f ca="1">26709.5412463068*(RANDBETWEEN(2890,3282))</f>
        <v>86058141.895600647</v>
      </c>
      <c r="B7603">
        <v>253750801.94438425</v>
      </c>
    </row>
    <row r="7604" spans="1:2" x14ac:dyDescent="0.25">
      <c r="A7604">
        <f ca="1">30384.6681327657*(RANDBETWEEN(2890,3282))</f>
        <v>99631326.807338804</v>
      </c>
      <c r="B7604">
        <v>258910021.71984613</v>
      </c>
    </row>
    <row r="7605" spans="1:2" x14ac:dyDescent="0.25">
      <c r="A7605">
        <f ca="1">25351.9885291276*(RANDBETWEEN(2890,3282))</f>
        <v>81937626.926140532</v>
      </c>
      <c r="B7605">
        <v>204242148.24739507</v>
      </c>
    </row>
    <row r="7606" spans="1:2" x14ac:dyDescent="0.25">
      <c r="A7606">
        <f ca="1">30971.981597668*(RANDBETWEEN(2890,3282))</f>
        <v>92234561.197855443</v>
      </c>
      <c r="B7606">
        <v>261302693.21357182</v>
      </c>
    </row>
    <row r="7607" spans="1:2" x14ac:dyDescent="0.25">
      <c r="A7607">
        <f ca="1">28470.2116248092*(RANDBETWEEN(2890,3282))</f>
        <v>84556528.525683478</v>
      </c>
      <c r="B7607">
        <v>210460686.0102036</v>
      </c>
    </row>
    <row r="7608" spans="1:2" x14ac:dyDescent="0.25">
      <c r="A7608">
        <f ca="1">28207.2023472906*(RANDBETWEEN(2890,3282))</f>
        <v>91616993.223999947</v>
      </c>
      <c r="B7608">
        <v>221716993.3112601</v>
      </c>
    </row>
    <row r="7609" spans="1:2" x14ac:dyDescent="0.25">
      <c r="A7609">
        <f ca="1">28999.471353017*(RANDBETWEEN(2890,3282))</f>
        <v>87404406.657993212</v>
      </c>
      <c r="B7609">
        <v>250496413.38109511</v>
      </c>
    </row>
    <row r="7610" spans="1:2" x14ac:dyDescent="0.25">
      <c r="A7610">
        <f ca="1">32785.3910622833*(RANDBETWEEN(2890,3282))</f>
        <v>104290328.96912307</v>
      </c>
      <c r="B7610">
        <v>242642963.83427188</v>
      </c>
    </row>
    <row r="7611" spans="1:2" x14ac:dyDescent="0.25">
      <c r="A7611">
        <f ca="1">29833.2371899224*(RANDBETWEEN(2890,3282))</f>
        <v>92542701.763139173</v>
      </c>
      <c r="B7611">
        <v>253257050.8384726</v>
      </c>
    </row>
    <row r="7612" spans="1:2" x14ac:dyDescent="0.25">
      <c r="A7612">
        <f ca="1">26830.9413186638*(RANDBETWEEN(2890,3282))</f>
        <v>81619723.491375223</v>
      </c>
      <c r="B7612">
        <v>209443858.83332583</v>
      </c>
    </row>
    <row r="7613" spans="1:2" x14ac:dyDescent="0.25">
      <c r="A7613">
        <f ca="1">27508.5957701823*(RANDBETWEEN(2890,3282))</f>
        <v>80572677.010863975</v>
      </c>
      <c r="B7613">
        <v>217436614.61488655</v>
      </c>
    </row>
    <row r="7614" spans="1:2" x14ac:dyDescent="0.25">
      <c r="A7614">
        <f ca="1">27548.3263293903*(RANDBETWEEN(2890,3282))</f>
        <v>88154644.254049078</v>
      </c>
      <c r="B7614">
        <v>259881795.27020681</v>
      </c>
    </row>
    <row r="7615" spans="1:2" x14ac:dyDescent="0.25">
      <c r="A7615">
        <f ca="1">30326.922119525*(RANDBETWEEN(2890,3282))</f>
        <v>92739727.84150748</v>
      </c>
      <c r="B7615">
        <v>228188045.11262259</v>
      </c>
    </row>
    <row r="7616" spans="1:2" x14ac:dyDescent="0.25">
      <c r="A7616">
        <f ca="1">31103.1216467941*(RANDBETWEEN(2890,3282))</f>
        <v>93558189.913556516</v>
      </c>
      <c r="B7616">
        <v>258080309.60907468</v>
      </c>
    </row>
    <row r="7617" spans="1:2" x14ac:dyDescent="0.25">
      <c r="A7617">
        <f ca="1">31446.7940102837*(RANDBETWEEN(2890,3282))</f>
        <v>102956803.58966888</v>
      </c>
      <c r="B7617">
        <v>234085624.00251034</v>
      </c>
    </row>
    <row r="7618" spans="1:2" x14ac:dyDescent="0.25">
      <c r="A7618">
        <f ca="1">32724.3681980425*(RANDBETWEEN(2890,3282))</f>
        <v>105339741.22949879</v>
      </c>
      <c r="B7618">
        <v>256067135.53042033</v>
      </c>
    </row>
    <row r="7619" spans="1:2" x14ac:dyDescent="0.25">
      <c r="A7619">
        <f ca="1">32066.920298379*(RANDBETWEEN(2890,3282))</f>
        <v>104858829.37569922</v>
      </c>
      <c r="B7619">
        <v>262649482.43833709</v>
      </c>
    </row>
    <row r="7620" spans="1:2" x14ac:dyDescent="0.25">
      <c r="A7620">
        <f ca="1">29348.998768784*(RANDBETWEEN(2890,3282))</f>
        <v>91128641.177074268</v>
      </c>
      <c r="B7620">
        <v>207703179.82403952</v>
      </c>
    </row>
    <row r="7621" spans="1:2" x14ac:dyDescent="0.25">
      <c r="A7621">
        <f ca="1">27709.4883357395*(RANDBETWEEN(2890,3282))</f>
        <v>83183883.983889937</v>
      </c>
      <c r="B7621">
        <v>210661053.89679736</v>
      </c>
    </row>
    <row r="7622" spans="1:2" x14ac:dyDescent="0.25">
      <c r="A7622">
        <f ca="1">30603.7708467352*(RANDBETWEEN(2890,3282))</f>
        <v>99125613.772575259</v>
      </c>
      <c r="B7622">
        <v>253188878.90540332</v>
      </c>
    </row>
    <row r="7623" spans="1:2" x14ac:dyDescent="0.25">
      <c r="A7623">
        <f ca="1">31523.4861562391*(RANDBETWEEN(2890,3282))</f>
        <v>101127343.589215</v>
      </c>
      <c r="B7623">
        <v>216521456.62357891</v>
      </c>
    </row>
    <row r="7624" spans="1:2" x14ac:dyDescent="0.25">
      <c r="A7624">
        <f ca="1">31883.2841273823*(RANDBETWEEN(2890,3282))</f>
        <v>102472875.18540657</v>
      </c>
      <c r="B7624">
        <v>224725553.47317487</v>
      </c>
    </row>
    <row r="7625" spans="1:2" x14ac:dyDescent="0.25">
      <c r="A7625">
        <f ca="1">31222.1837677084*(RANDBETWEEN(2890,3282))</f>
        <v>93604106.935589865</v>
      </c>
      <c r="B7625">
        <v>211339420.1698508</v>
      </c>
    </row>
    <row r="7626" spans="1:2" x14ac:dyDescent="0.25">
      <c r="A7626">
        <f ca="1">28076.7408298327*(RANDBETWEEN(2890,3282))</f>
        <v>84875987.528584212</v>
      </c>
      <c r="B7626">
        <v>223196463.00334942</v>
      </c>
    </row>
    <row r="7627" spans="1:2" x14ac:dyDescent="0.25">
      <c r="A7627">
        <f ca="1">33165.2349365895*(RANDBETWEEN(2890,3282))</f>
        <v>101585114.61077379</v>
      </c>
      <c r="B7627">
        <v>258994281.15003535</v>
      </c>
    </row>
    <row r="7628" spans="1:2" x14ac:dyDescent="0.25">
      <c r="A7628">
        <f ca="1">28525.290795741*(RANDBETWEEN(2890,3282))</f>
        <v>90139918.914541408</v>
      </c>
      <c r="B7628">
        <v>246089068.39986417</v>
      </c>
    </row>
    <row r="7629" spans="1:2" x14ac:dyDescent="0.25">
      <c r="A7629">
        <f ca="1">34213.8029041505*(RANDBETWEEN(2890,3282))</f>
        <v>104557381.67508386</v>
      </c>
      <c r="B7629">
        <v>250165939.46586293</v>
      </c>
    </row>
    <row r="7630" spans="1:2" x14ac:dyDescent="0.25">
      <c r="A7630">
        <f ca="1">29954.9281392421*(RANDBETWEEN(2890,3282))</f>
        <v>92770412.447232634</v>
      </c>
      <c r="B7630">
        <v>260845588.40409508</v>
      </c>
    </row>
    <row r="7631" spans="1:2" x14ac:dyDescent="0.25">
      <c r="A7631">
        <f ca="1">27872.4472322218*(RANDBETWEEN(2890,3282))</f>
        <v>87435866.96747981</v>
      </c>
      <c r="B7631">
        <v>208082771.21286303</v>
      </c>
    </row>
    <row r="7632" spans="1:2" x14ac:dyDescent="0.25">
      <c r="A7632">
        <f ca="1">30424.492113518*(RANDBETWEEN(2890,3282))</f>
        <v>96962856.365781829</v>
      </c>
      <c r="B7632">
        <v>246043548.29090941</v>
      </c>
    </row>
    <row r="7633" spans="1:2" x14ac:dyDescent="0.25">
      <c r="A7633">
        <f ca="1">29187.8340245256*(RANDBETWEEN(2890,3282))</f>
        <v>86892181.891012728</v>
      </c>
      <c r="B7633">
        <v>249741375.91271561</v>
      </c>
    </row>
    <row r="7634" spans="1:2" x14ac:dyDescent="0.25">
      <c r="A7634">
        <f ca="1">27313.003156386*(RANDBETWEEN(2890,3282))</f>
        <v>88958451.28034918</v>
      </c>
      <c r="B7634">
        <v>206363710.31565446</v>
      </c>
    </row>
    <row r="7635" spans="1:2" x14ac:dyDescent="0.25">
      <c r="A7635">
        <f ca="1">30166.3987318511*(RANDBETWEEN(2890,3282))</f>
        <v>87211058.733781636</v>
      </c>
      <c r="B7635">
        <v>263810699.70938104</v>
      </c>
    </row>
    <row r="7636" spans="1:2" x14ac:dyDescent="0.25">
      <c r="A7636">
        <f ca="1">26958.5709609392*(RANDBETWEEN(2890,3282))</f>
        <v>88100609.900349349</v>
      </c>
      <c r="B7636">
        <v>213615337.53349721</v>
      </c>
    </row>
    <row r="7637" spans="1:2" x14ac:dyDescent="0.25">
      <c r="A7637">
        <f ca="1">33210.2329041338*(RANDBETWEEN(2890,3282))</f>
        <v>108896353.69265483</v>
      </c>
      <c r="B7637">
        <v>224331241.91015404</v>
      </c>
    </row>
    <row r="7638" spans="1:2" x14ac:dyDescent="0.25">
      <c r="A7638">
        <f ca="1">29579.5352453238*(RANDBETWEEN(2890,3282))</f>
        <v>97080034.675152659</v>
      </c>
      <c r="B7638">
        <v>225069975.24811998</v>
      </c>
    </row>
    <row r="7639" spans="1:2" x14ac:dyDescent="0.25">
      <c r="A7639">
        <f ca="1">30129.236904324*(RANDBETWEEN(2890,3282))</f>
        <v>96112265.724793658</v>
      </c>
      <c r="B7639">
        <v>250259848.19036886</v>
      </c>
    </row>
    <row r="7640" spans="1:2" x14ac:dyDescent="0.25">
      <c r="A7640">
        <f ca="1">31820.4869761276*(RANDBETWEEN(2890,3282))</f>
        <v>94920512.649788588</v>
      </c>
      <c r="B7640">
        <v>264345735.70788956</v>
      </c>
    </row>
    <row r="7641" spans="1:2" x14ac:dyDescent="0.25">
      <c r="A7641">
        <f ca="1">31111.5991739091*(RANDBETWEEN(2890,3282))</f>
        <v>97005966.224248722</v>
      </c>
      <c r="B7641">
        <v>233800983.77466434</v>
      </c>
    </row>
    <row r="7642" spans="1:2" x14ac:dyDescent="0.25">
      <c r="A7642">
        <f ca="1">32915.316754028*(RANDBETWEEN(2890,3282))</f>
        <v>99963816.981983006</v>
      </c>
      <c r="B7642">
        <v>224640638.83840069</v>
      </c>
    </row>
    <row r="7643" spans="1:2" x14ac:dyDescent="0.25">
      <c r="A7643">
        <f ca="1">30562.2434346801*(RANDBETWEEN(2890,3282))</f>
        <v>93856649.587902665</v>
      </c>
      <c r="B7643">
        <v>252408916.44394609</v>
      </c>
    </row>
    <row r="7644" spans="1:2" x14ac:dyDescent="0.25">
      <c r="A7644">
        <f ca="1">28135.294445626*(RANDBETWEEN(2890,3282))</f>
        <v>87782118.67035313</v>
      </c>
      <c r="B7644">
        <v>211079633.70065141</v>
      </c>
    </row>
    <row r="7645" spans="1:2" x14ac:dyDescent="0.25">
      <c r="A7645">
        <f ca="1">28508.0349677193*(RANDBETWEEN(2890,3282))</f>
        <v>92480065.43528156</v>
      </c>
      <c r="B7645">
        <v>231970638.31681678</v>
      </c>
    </row>
    <row r="7646" spans="1:2" x14ac:dyDescent="0.25">
      <c r="A7646">
        <f ca="1">30951.3536736303*(RANDBETWEEN(2890,3282))</f>
        <v>96722980.230094612</v>
      </c>
      <c r="B7646">
        <v>209917484.252417</v>
      </c>
    </row>
    <row r="7647" spans="1:2" x14ac:dyDescent="0.25">
      <c r="A7647">
        <f ca="1">25683.9922443359*(RANDBETWEEN(2890,3282))</f>
        <v>82779507.003494486</v>
      </c>
      <c r="B7647">
        <v>236986292.03325486</v>
      </c>
    </row>
    <row r="7648" spans="1:2" x14ac:dyDescent="0.25">
      <c r="A7648">
        <f ca="1">31625.6064967979*(RANDBETWEEN(2890,3282))</f>
        <v>92789529.461605161</v>
      </c>
      <c r="B7648">
        <v>225322644.2907629</v>
      </c>
    </row>
    <row r="7649" spans="1:2" x14ac:dyDescent="0.25">
      <c r="A7649">
        <f ca="1">27154.2198962229*(RANDBETWEEN(2890,3282))</f>
        <v>87355125.406149194</v>
      </c>
      <c r="B7649">
        <v>236396331.70692244</v>
      </c>
    </row>
    <row r="7650" spans="1:2" x14ac:dyDescent="0.25">
      <c r="A7650">
        <f ca="1">27315.1707583307*(RANDBETWEEN(2890,3282))</f>
        <v>83748313.545042053</v>
      </c>
      <c r="B7650">
        <v>220413765.91003805</v>
      </c>
    </row>
    <row r="7651" spans="1:2" x14ac:dyDescent="0.25">
      <c r="A7651">
        <f ca="1">31062.0235851439*(RANDBETWEEN(2890,3282))</f>
        <v>94397489.675252393</v>
      </c>
      <c r="B7651">
        <v>214986687.56927413</v>
      </c>
    </row>
    <row r="7652" spans="1:2" x14ac:dyDescent="0.25">
      <c r="A7652">
        <f ca="1">31396.4128280027*(RANDBETWEEN(2890,3282))</f>
        <v>101096449.30616879</v>
      </c>
      <c r="B7652">
        <v>251624332.74210888</v>
      </c>
    </row>
    <row r="7653" spans="1:2" x14ac:dyDescent="0.25">
      <c r="A7653">
        <f ca="1">29758.6080749012*(RANDBETWEEN(2890,3282))</f>
        <v>93352753.530965149</v>
      </c>
      <c r="B7653">
        <v>254021519.55618826</v>
      </c>
    </row>
    <row r="7654" spans="1:2" x14ac:dyDescent="0.25">
      <c r="A7654">
        <f ca="1">29342.3657088958*(RANDBETWEEN(2890,3282))</f>
        <v>90462513.480525777</v>
      </c>
      <c r="B7654">
        <v>249267413.51917887</v>
      </c>
    </row>
    <row r="7655" spans="1:2" x14ac:dyDescent="0.25">
      <c r="A7655">
        <f ca="1">30781.183807592*(RANDBETWEEN(2890,3282))</f>
        <v>100131190.92609677</v>
      </c>
      <c r="B7655">
        <v>238662731.10479313</v>
      </c>
    </row>
    <row r="7656" spans="1:2" x14ac:dyDescent="0.25">
      <c r="A7656">
        <f ca="1">33677.5797310705*(RANDBETWEEN(2890,3282))</f>
        <v>106219086.47179639</v>
      </c>
      <c r="B7656">
        <v>258539219.27736968</v>
      </c>
    </row>
    <row r="7657" spans="1:2" x14ac:dyDescent="0.25">
      <c r="A7657">
        <f ca="1">29753.3954823264*(RANDBETWEEN(2890,3282))</f>
        <v>96311741.176290512</v>
      </c>
      <c r="B7657">
        <v>205284633.13799497</v>
      </c>
    </row>
    <row r="7658" spans="1:2" x14ac:dyDescent="0.25">
      <c r="A7658">
        <f ca="1">30443.9011528739*(RANDBETWEEN(2890,3282))</f>
        <v>96628942.259221613</v>
      </c>
      <c r="B7658">
        <v>212951230.91364348</v>
      </c>
    </row>
    <row r="7659" spans="1:2" x14ac:dyDescent="0.25">
      <c r="A7659">
        <f ca="1">29811.5053120639*(RANDBETWEEN(2890,3282))</f>
        <v>88003563.681212708</v>
      </c>
      <c r="B7659">
        <v>239731040.63525325</v>
      </c>
    </row>
    <row r="7660" spans="1:2" x14ac:dyDescent="0.25">
      <c r="A7660">
        <f ca="1">32321.3910628104*(RANDBETWEEN(2890,3282))</f>
        <v>98612564.132634416</v>
      </c>
      <c r="B7660">
        <v>258011442.70267695</v>
      </c>
    </row>
    <row r="7661" spans="1:2" x14ac:dyDescent="0.25">
      <c r="A7661">
        <f ca="1">31651.5742844953*(RANDBETWEEN(2890,3282))</f>
        <v>95587754.339175865</v>
      </c>
      <c r="B7661">
        <v>229218148.56434056</v>
      </c>
    </row>
    <row r="7662" spans="1:2" x14ac:dyDescent="0.25">
      <c r="A7662">
        <f ca="1">28334.2290800848*(RANDBETWEEN(2890,3282))</f>
        <v>84974353.011174366</v>
      </c>
      <c r="B7662">
        <v>255793733.74993396</v>
      </c>
    </row>
    <row r="7663" spans="1:2" x14ac:dyDescent="0.25">
      <c r="A7663">
        <f ca="1">30296.0739383231*(RANDBETWEEN(2890,3282))</f>
        <v>93917829.208801746</v>
      </c>
      <c r="B7663">
        <v>212372752.00844896</v>
      </c>
    </row>
    <row r="7664" spans="1:2" x14ac:dyDescent="0.25">
      <c r="A7664">
        <f ca="1">29271.8980049615*(RANDBETWEEN(2890,3282))</f>
        <v>89601279.793187276</v>
      </c>
      <c r="B7664">
        <v>255202400.7430113</v>
      </c>
    </row>
    <row r="7665" spans="1:2" x14ac:dyDescent="0.25">
      <c r="A7665">
        <f ca="1">30996.2382372807*(RANDBETWEEN(2890,3282))</f>
        <v>90416026.938147709</v>
      </c>
      <c r="B7665">
        <v>213056241.29276386</v>
      </c>
    </row>
    <row r="7666" spans="1:2" x14ac:dyDescent="0.25">
      <c r="A7666">
        <f ca="1">27559.9256650189*(RANDBETWEEN(2890,3282))</f>
        <v>84057773.278307736</v>
      </c>
      <c r="B7666">
        <v>252274773.50795624</v>
      </c>
    </row>
    <row r="7667" spans="1:2" x14ac:dyDescent="0.25">
      <c r="A7667">
        <f ca="1">27657.3382058732*(RANDBETWEEN(2890,3282))</f>
        <v>84078308.145854473</v>
      </c>
      <c r="B7667">
        <v>214128568.16379315</v>
      </c>
    </row>
    <row r="7668" spans="1:2" x14ac:dyDescent="0.25">
      <c r="A7668">
        <f ca="1">24466.1145075982*(RANDBETWEEN(2890,3282))</f>
        <v>77949040.821207851</v>
      </c>
      <c r="B7668">
        <v>244345312.12144467</v>
      </c>
    </row>
    <row r="7669" spans="1:2" x14ac:dyDescent="0.25">
      <c r="A7669">
        <f ca="1">32483.9246751407*(RANDBETWEEN(2890,3282))</f>
        <v>102454298.42539383</v>
      </c>
      <c r="B7669">
        <v>239435683.67304248</v>
      </c>
    </row>
    <row r="7670" spans="1:2" x14ac:dyDescent="0.25">
      <c r="A7670">
        <f ca="1">32495.7564162743*(RANDBETWEEN(2890,3282))</f>
        <v>96707371.094832301</v>
      </c>
      <c r="B7670">
        <v>209988046.96877468</v>
      </c>
    </row>
    <row r="7671" spans="1:2" x14ac:dyDescent="0.25">
      <c r="A7671">
        <f ca="1">28087.793724576*(RANDBETWEEN(2890,3282))</f>
        <v>86959809.371287256</v>
      </c>
      <c r="B7671">
        <v>255666847.1603401</v>
      </c>
    </row>
    <row r="7672" spans="1:2" x14ac:dyDescent="0.25">
      <c r="A7672">
        <f ca="1">27324.0826156978*(RANDBETWEEN(2890,3282))</f>
        <v>82873942.573411539</v>
      </c>
      <c r="B7672">
        <v>208729669.26718906</v>
      </c>
    </row>
    <row r="7673" spans="1:2" x14ac:dyDescent="0.25">
      <c r="A7673">
        <f ca="1">32848.2743904357*(RANDBETWEEN(2890,3282))</f>
        <v>103603457.42743444</v>
      </c>
      <c r="B7673">
        <v>212227619.75893557</v>
      </c>
    </row>
    <row r="7674" spans="1:2" x14ac:dyDescent="0.25">
      <c r="A7674">
        <f ca="1">27532.207313134*(RANDBETWEEN(2890,3282))</f>
        <v>81027286.122553363</v>
      </c>
      <c r="B7674">
        <v>215173647.11407149</v>
      </c>
    </row>
    <row r="7675" spans="1:2" x14ac:dyDescent="0.25">
      <c r="A7675">
        <f ca="1">26906.5996588416*(RANDBETWEEN(2890,3282))</f>
        <v>82414914.755031943</v>
      </c>
      <c r="B7675">
        <v>234495217.89761597</v>
      </c>
    </row>
    <row r="7676" spans="1:2" x14ac:dyDescent="0.25">
      <c r="A7676">
        <f ca="1">30089.9665937326*(RANDBETWEEN(2890,3282))</f>
        <v>91142508.812416002</v>
      </c>
      <c r="B7676">
        <v>228554191.32658285</v>
      </c>
    </row>
    <row r="7677" spans="1:2" x14ac:dyDescent="0.25">
      <c r="A7677">
        <f ca="1">33802.9355927669*(RANDBETWEEN(2890,3282))</f>
        <v>104146844.56131478</v>
      </c>
      <c r="B7677">
        <v>264424543.75526255</v>
      </c>
    </row>
    <row r="7678" spans="1:2" x14ac:dyDescent="0.25">
      <c r="A7678">
        <f ca="1">28995.668305087*(RANDBETWEEN(2890,3282))</f>
        <v>94119939.318312556</v>
      </c>
      <c r="B7678">
        <v>228776716.51219565</v>
      </c>
    </row>
    <row r="7679" spans="1:2" x14ac:dyDescent="0.25">
      <c r="A7679">
        <f ca="1">28234.2850728167*(RANDBETWEEN(2890,3282))</f>
        <v>83601718.100610211</v>
      </c>
      <c r="B7679">
        <v>245678117.35108525</v>
      </c>
    </row>
    <row r="7680" spans="1:2" x14ac:dyDescent="0.25">
      <c r="A7680">
        <f ca="1">26893.2062400405*(RANDBETWEEN(2890,3282))</f>
        <v>86380978.443010181</v>
      </c>
      <c r="B7680">
        <v>267837630.68227652</v>
      </c>
    </row>
    <row r="7681" spans="1:2" x14ac:dyDescent="0.25">
      <c r="A7681">
        <f ca="1">29178.4876264697*(RANDBETWEEN(2890,3282))</f>
        <v>90570025.592562065</v>
      </c>
      <c r="B7681">
        <v>242991773.33420876</v>
      </c>
    </row>
    <row r="7682" spans="1:2" x14ac:dyDescent="0.25">
      <c r="A7682">
        <f ca="1">32077.766600057*(RANDBETWEEN(2890,3282))</f>
        <v>104092352.61718497</v>
      </c>
      <c r="B7682">
        <v>216625513.63952011</v>
      </c>
    </row>
    <row r="7683" spans="1:2" x14ac:dyDescent="0.25">
      <c r="A7683">
        <f ca="1">30714.3270600102*(RANDBETWEEN(2890,3282))</f>
        <v>88795119.530489579</v>
      </c>
      <c r="B7683">
        <v>257633327.61608452</v>
      </c>
    </row>
    <row r="7684" spans="1:2" x14ac:dyDescent="0.25">
      <c r="A7684">
        <f ca="1">31149.9973752511*(RANDBETWEEN(2890,3282))</f>
        <v>97779841.760913312</v>
      </c>
      <c r="B7684">
        <v>239988180.3683441</v>
      </c>
    </row>
    <row r="7685" spans="1:2" x14ac:dyDescent="0.25">
      <c r="A7685">
        <f ca="1">28921.8895604695*(RANDBETWEEN(2890,3282))</f>
        <v>85377417.982506052</v>
      </c>
      <c r="B7685">
        <v>255495609.08706972</v>
      </c>
    </row>
    <row r="7686" spans="1:2" x14ac:dyDescent="0.25">
      <c r="A7686">
        <f ca="1">27572.867499486*(RANDBETWEEN(2890,3282))</f>
        <v>90218422.458318144</v>
      </c>
      <c r="B7686">
        <v>236828889.68285999</v>
      </c>
    </row>
    <row r="7687" spans="1:2" x14ac:dyDescent="0.25">
      <c r="A7687">
        <f ca="1">30679.0885323101*(RANDBETWEEN(2890,3282))</f>
        <v>96025547.10613057</v>
      </c>
      <c r="B7687">
        <v>232780904.24259144</v>
      </c>
    </row>
    <row r="7688" spans="1:2" x14ac:dyDescent="0.25">
      <c r="A7688">
        <f ca="1">34194.76767341*(RANDBETWEEN(2890,3282))</f>
        <v>99951305.909377411</v>
      </c>
      <c r="B7688">
        <v>260964059.79347467</v>
      </c>
    </row>
    <row r="7689" spans="1:2" x14ac:dyDescent="0.25">
      <c r="A7689">
        <f ca="1">34725.6794348881*(RANDBETWEEN(2890,3282))</f>
        <v>109837324.05255118</v>
      </c>
      <c r="B7689">
        <v>228946198.68502909</v>
      </c>
    </row>
    <row r="7690" spans="1:2" x14ac:dyDescent="0.25">
      <c r="A7690">
        <f ca="1">29088.8433459538*(RANDBETWEEN(2890,3282))</f>
        <v>89040949.481964454</v>
      </c>
      <c r="B7690">
        <v>235151535.1756075</v>
      </c>
    </row>
    <row r="7691" spans="1:2" x14ac:dyDescent="0.25">
      <c r="A7691">
        <f ca="1">30833.5111244165*(RANDBETWEEN(2890,3282))</f>
        <v>92654700.928871632</v>
      </c>
      <c r="B7691">
        <v>267488387.86518502</v>
      </c>
    </row>
    <row r="7692" spans="1:2" x14ac:dyDescent="0.25">
      <c r="A7692">
        <f ca="1">28505.8787072973*(RANDBETWEEN(2890,3282))</f>
        <v>91617894.165253401</v>
      </c>
      <c r="B7692">
        <v>257646173.68395329</v>
      </c>
    </row>
    <row r="7693" spans="1:2" x14ac:dyDescent="0.25">
      <c r="A7693">
        <f ca="1">30544.1862372863*(RANDBETWEEN(2890,3282))</f>
        <v>91571470.339384332</v>
      </c>
      <c r="B7693">
        <v>249879712.65335006</v>
      </c>
    </row>
    <row r="7694" spans="1:2" x14ac:dyDescent="0.25">
      <c r="A7694">
        <f ca="1">30799.0016735157*(RANDBETWEEN(2890,3282))</f>
        <v>100404745.45566124</v>
      </c>
      <c r="B7694">
        <v>230063039.32146478</v>
      </c>
    </row>
    <row r="7695" spans="1:2" x14ac:dyDescent="0.25">
      <c r="A7695">
        <f ca="1">27159.315021531*(RANDBETWEEN(2890,3282))</f>
        <v>79332359.177891985</v>
      </c>
      <c r="B7695">
        <v>226054785.74003685</v>
      </c>
    </row>
    <row r="7696" spans="1:2" x14ac:dyDescent="0.25">
      <c r="A7696">
        <f ca="1">28499.5589418708*(RANDBETWEEN(2890,3282))</f>
        <v>87693142.864136577</v>
      </c>
      <c r="B7696">
        <v>225541464.39602432</v>
      </c>
    </row>
    <row r="7697" spans="1:2" x14ac:dyDescent="0.25">
      <c r="A7697">
        <f ca="1">28849.0993921199*(RANDBETWEEN(2890,3282))</f>
        <v>86085712.586085767</v>
      </c>
      <c r="B7697">
        <v>260469375.96076763</v>
      </c>
    </row>
    <row r="7698" spans="1:2" x14ac:dyDescent="0.25">
      <c r="A7698">
        <f ca="1">27407.850730877*(RANDBETWEEN(2890,3282))</f>
        <v>82579854.252132371</v>
      </c>
      <c r="B7698">
        <v>239382307.73713982</v>
      </c>
    </row>
    <row r="7699" spans="1:2" x14ac:dyDescent="0.25">
      <c r="A7699">
        <f ca="1">30388.5132916728*(RANDBETWEEN(2890,3282))</f>
        <v>98944999.277686521</v>
      </c>
      <c r="B7699">
        <v>258782541.8249349</v>
      </c>
    </row>
    <row r="7700" spans="1:2" x14ac:dyDescent="0.25">
      <c r="A7700">
        <f ca="1">27131.6982605636*(RANDBETWEEN(2890,3282))</f>
        <v>80689670.6269162</v>
      </c>
      <c r="B7700">
        <v>230048344.40359244</v>
      </c>
    </row>
    <row r="7701" spans="1:2" x14ac:dyDescent="0.25">
      <c r="A7701">
        <f ca="1">27142.1273729956*(RANDBETWEEN(2890,3282))</f>
        <v>85986259.517649919</v>
      </c>
      <c r="B7701">
        <v>230812689.46605161</v>
      </c>
    </row>
    <row r="7702" spans="1:2" x14ac:dyDescent="0.25">
      <c r="A7702">
        <f ca="1">29339.732573768*(RANDBETWEEN(2890,3282))</f>
        <v>92537516.537664413</v>
      </c>
      <c r="B7702">
        <v>232622007.6327199</v>
      </c>
    </row>
    <row r="7703" spans="1:2" x14ac:dyDescent="0.25">
      <c r="A7703">
        <f ca="1">33212.718816061*(RANDBETWEEN(2890,3282))</f>
        <v>103059066.48623718</v>
      </c>
      <c r="B7703">
        <v>261593459.76404893</v>
      </c>
    </row>
    <row r="7704" spans="1:2" x14ac:dyDescent="0.25">
      <c r="A7704">
        <f ca="1">29738.0530753964*(RANDBETWEEN(2890,3282))</f>
        <v>88322017.633927166</v>
      </c>
      <c r="B7704">
        <v>229646264.63653767</v>
      </c>
    </row>
    <row r="7705" spans="1:2" x14ac:dyDescent="0.25">
      <c r="A7705">
        <f ca="1">32018.2186792549*(RANDBETWEEN(2890,3282))</f>
        <v>97623548.753048137</v>
      </c>
      <c r="B7705">
        <v>230274522.64959478</v>
      </c>
    </row>
    <row r="7706" spans="1:2" x14ac:dyDescent="0.25">
      <c r="A7706">
        <f ca="1">26249.7095444153*(RANDBETWEEN(2890,3282))</f>
        <v>85679051.952971697</v>
      </c>
      <c r="B7706">
        <v>213198415.9311437</v>
      </c>
    </row>
    <row r="7707" spans="1:2" x14ac:dyDescent="0.25">
      <c r="A7707">
        <f ca="1">29651.4899320888*(RANDBETWEEN(2890,3282))</f>
        <v>92957420.937098533</v>
      </c>
      <c r="B7707">
        <v>217632303.97087958</v>
      </c>
    </row>
    <row r="7708" spans="1:2" x14ac:dyDescent="0.25">
      <c r="A7708">
        <f ca="1">29646.5550580333*(RANDBETWEEN(2890,3282))</f>
        <v>94453924.414894223</v>
      </c>
      <c r="B7708">
        <v>214677631.18223464</v>
      </c>
    </row>
    <row r="7709" spans="1:2" x14ac:dyDescent="0.25">
      <c r="A7709">
        <f ca="1">30482.6796894409*(RANDBETWEEN(2890,3282))</f>
        <v>97392161.607763618</v>
      </c>
      <c r="B7709">
        <v>265543408.2922681</v>
      </c>
    </row>
    <row r="7710" spans="1:2" x14ac:dyDescent="0.25">
      <c r="A7710">
        <f ca="1">28533.0060262529*(RANDBETWEEN(2890,3282))</f>
        <v>90335497.079116672</v>
      </c>
      <c r="B7710">
        <v>243498448.92273062</v>
      </c>
    </row>
    <row r="7711" spans="1:2" x14ac:dyDescent="0.25">
      <c r="A7711">
        <f ca="1">30272.741131633*(RANDBETWEEN(2890,3282))</f>
        <v>97205771.773673669</v>
      </c>
      <c r="B7711">
        <v>249914395.72216955</v>
      </c>
    </row>
    <row r="7712" spans="1:2" x14ac:dyDescent="0.25">
      <c r="A7712">
        <f ca="1">29487.1281323745*(RANDBETWEEN(2890,3282))</f>
        <v>96481883.24912931</v>
      </c>
      <c r="B7712">
        <v>229085929.12275812</v>
      </c>
    </row>
    <row r="7713" spans="1:2" x14ac:dyDescent="0.25">
      <c r="A7713">
        <f ca="1">31748.1374109572*(RANDBETWEEN(2890,3282))</f>
        <v>94260219.973131806</v>
      </c>
      <c r="B7713">
        <v>231937869.1303795</v>
      </c>
    </row>
    <row r="7714" spans="1:2" x14ac:dyDescent="0.25">
      <c r="A7714">
        <f ca="1">29499.5875021454*(RANDBETWEEN(2890,3282))</f>
        <v>91065226.619122982</v>
      </c>
      <c r="B7714">
        <v>238420523.78984386</v>
      </c>
    </row>
    <row r="7715" spans="1:2" x14ac:dyDescent="0.25">
      <c r="A7715">
        <f ca="1">31451.3736461307*(RANDBETWEEN(2890,3282))</f>
        <v>92844455.003377751</v>
      </c>
      <c r="B7715">
        <v>238737121.95352417</v>
      </c>
    </row>
    <row r="7716" spans="1:2" x14ac:dyDescent="0.25">
      <c r="A7716">
        <f ca="1">30414.3101783928*(RANDBETWEEN(2890,3282))</f>
        <v>91273344.845356718</v>
      </c>
      <c r="B7716">
        <v>233846711.34012747</v>
      </c>
    </row>
    <row r="7717" spans="1:2" x14ac:dyDescent="0.25">
      <c r="A7717">
        <f ca="1">30184.000697892*(RANDBETWEEN(2890,3282))</f>
        <v>88891882.055291981</v>
      </c>
      <c r="B7717">
        <v>233867640.74150378</v>
      </c>
    </row>
    <row r="7718" spans="1:2" x14ac:dyDescent="0.25">
      <c r="A7718">
        <f ca="1">25671.3681539118*(RANDBETWEEN(2890,3282))</f>
        <v>79016471.17774044</v>
      </c>
      <c r="B7718">
        <v>250459415.21081764</v>
      </c>
    </row>
    <row r="7719" spans="1:2" x14ac:dyDescent="0.25">
      <c r="A7719">
        <f ca="1">31254.4650155008*(RANDBETWEEN(2890,3282))</f>
        <v>96826332.618021458</v>
      </c>
      <c r="B7719">
        <v>232458283.83076167</v>
      </c>
    </row>
    <row r="7720" spans="1:2" x14ac:dyDescent="0.25">
      <c r="A7720">
        <f ca="1">28160.7681972078*(RANDBETWEEN(2890,3282))</f>
        <v>82961623.108974159</v>
      </c>
      <c r="B7720">
        <v>224714229.01669496</v>
      </c>
    </row>
    <row r="7721" spans="1:2" x14ac:dyDescent="0.25">
      <c r="A7721">
        <f ca="1">33447.5359125629*(RANDBETWEEN(2890,3282))</f>
        <v>105995241.30691183</v>
      </c>
      <c r="B7721">
        <v>230566320.48328733</v>
      </c>
    </row>
    <row r="7722" spans="1:2" x14ac:dyDescent="0.25">
      <c r="A7722">
        <f ca="1">31351.679506528*(RANDBETWEEN(2890,3282))</f>
        <v>101736199.99868324</v>
      </c>
      <c r="B7722">
        <v>257716213.1929079</v>
      </c>
    </row>
    <row r="7723" spans="1:2" x14ac:dyDescent="0.25">
      <c r="A7723">
        <f ca="1">31809.427481844*(RANDBETWEEN(2890,3282))</f>
        <v>92374577.407274947</v>
      </c>
      <c r="B7723">
        <v>267019002.09590268</v>
      </c>
    </row>
    <row r="7724" spans="1:2" x14ac:dyDescent="0.25">
      <c r="A7724">
        <f ca="1">27078.7382962021*(RANDBETWEEN(2890,3282))</f>
        <v>83727458.811856776</v>
      </c>
      <c r="B7724">
        <v>218647411.60737818</v>
      </c>
    </row>
    <row r="7725" spans="1:2" x14ac:dyDescent="0.25">
      <c r="A7725">
        <f ca="1">31811.8110711423*(RANDBETWEEN(2890,3282))</f>
        <v>97407765.499837637</v>
      </c>
      <c r="B7725">
        <v>235895132.9375402</v>
      </c>
    </row>
    <row r="7726" spans="1:2" x14ac:dyDescent="0.25">
      <c r="A7726">
        <f ca="1">29847.9704093092*(RANDBETWEEN(2890,3282))</f>
        <v>91155701.63003017</v>
      </c>
      <c r="B7726">
        <v>226284484.7012502</v>
      </c>
    </row>
    <row r="7727" spans="1:2" x14ac:dyDescent="0.25">
      <c r="A7727">
        <f ca="1">29386.4372867268*(RANDBETWEEN(2890,3282))</f>
        <v>95065124.622561112</v>
      </c>
      <c r="B7727">
        <v>265193866.39131555</v>
      </c>
    </row>
    <row r="7728" spans="1:2" x14ac:dyDescent="0.25">
      <c r="A7728">
        <f ca="1">27320.7105744057*(RANDBETWEEN(2890,3282))</f>
        <v>79366664.218648583</v>
      </c>
      <c r="B7728">
        <v>238780130.43951142</v>
      </c>
    </row>
    <row r="7729" spans="1:2" x14ac:dyDescent="0.25">
      <c r="A7729">
        <f ca="1">28872.5886923716*(RANDBETWEEN(2890,3282))</f>
        <v>84510067.102571696</v>
      </c>
      <c r="B7729">
        <v>221902848.9831813</v>
      </c>
    </row>
    <row r="7730" spans="1:2" x14ac:dyDescent="0.25">
      <c r="A7730">
        <f ca="1">28055.6012121448*(RANDBETWEEN(2890,3282))</f>
        <v>84054581.231585741</v>
      </c>
      <c r="B7730">
        <v>219772819.34270331</v>
      </c>
    </row>
    <row r="7731" spans="1:2" x14ac:dyDescent="0.25">
      <c r="A7731">
        <f ca="1">29108.8267092812*(RANDBETWEEN(2890,3282))</f>
        <v>94923883.898965999</v>
      </c>
      <c r="B7731">
        <v>236818401.23017004</v>
      </c>
    </row>
    <row r="7732" spans="1:2" x14ac:dyDescent="0.25">
      <c r="A7732">
        <f ca="1">31532.0903815988*(RANDBETWEEN(2890,3282))</f>
        <v>97371095.098377049</v>
      </c>
      <c r="B7732">
        <v>252296061.11448577</v>
      </c>
    </row>
    <row r="7733" spans="1:2" x14ac:dyDescent="0.25">
      <c r="A7733">
        <f ca="1">26584.5111891015*(RANDBETWEEN(2890,3282))</f>
        <v>77201420.493150622</v>
      </c>
      <c r="B7733">
        <v>232245568.31587559</v>
      </c>
    </row>
    <row r="7734" spans="1:2" x14ac:dyDescent="0.25">
      <c r="A7734">
        <f ca="1">27477.5329008451*(RANDBETWEEN(2890,3282))</f>
        <v>85400172.255826533</v>
      </c>
      <c r="B7734">
        <v>213574662.20499483</v>
      </c>
    </row>
    <row r="7735" spans="1:2" x14ac:dyDescent="0.25">
      <c r="A7735">
        <f ca="1">30760.6690663358*(RANDBETWEEN(2890,3282))</f>
        <v>90405606.385960922</v>
      </c>
      <c r="B7735">
        <v>256506711.90128615</v>
      </c>
    </row>
    <row r="7736" spans="1:2" x14ac:dyDescent="0.25">
      <c r="A7736">
        <f ca="1">27445.7862971331*(RANDBETWEEN(2890,3282))</f>
        <v>87085479.920803249</v>
      </c>
      <c r="B7736">
        <v>252904600.50219539</v>
      </c>
    </row>
    <row r="7737" spans="1:2" x14ac:dyDescent="0.25">
      <c r="A7737">
        <f ca="1">33184.0672168049*(RANDBETWEEN(2890,3282))</f>
        <v>104728916.13623622</v>
      </c>
      <c r="B7737">
        <v>261441352.6347608</v>
      </c>
    </row>
    <row r="7738" spans="1:2" x14ac:dyDescent="0.25">
      <c r="A7738">
        <f ca="1">31794.0619906664*(RANDBETWEEN(2890,3282))</f>
        <v>93601718.500521973</v>
      </c>
      <c r="B7738">
        <v>224728024.3489016</v>
      </c>
    </row>
    <row r="7739" spans="1:2" x14ac:dyDescent="0.25">
      <c r="A7739">
        <f ca="1">28872.665946424*(RANDBETWEEN(2890,3282))</f>
        <v>84308184.563557968</v>
      </c>
      <c r="B7739">
        <v>209403657.59003246</v>
      </c>
    </row>
    <row r="7740" spans="1:2" x14ac:dyDescent="0.25">
      <c r="A7740">
        <f ca="1">27221.8700952545*(RANDBETWEEN(2890,3282))</f>
        <v>87844974.797386378</v>
      </c>
      <c r="B7740">
        <v>212018895.62358981</v>
      </c>
    </row>
    <row r="7741" spans="1:2" x14ac:dyDescent="0.25">
      <c r="A7741">
        <f ca="1">33101.1503122877*(RANDBETWEEN(2890,3282))</f>
        <v>106188490.20181908</v>
      </c>
      <c r="B7741">
        <v>225131341.50118613</v>
      </c>
    </row>
    <row r="7742" spans="1:2" x14ac:dyDescent="0.25">
      <c r="A7742">
        <f ca="1">26618.9900644964*(RANDBETWEEN(2890,3282))</f>
        <v>85793004.97787185</v>
      </c>
      <c r="B7742">
        <v>225001469.72530997</v>
      </c>
    </row>
    <row r="7743" spans="1:2" x14ac:dyDescent="0.25">
      <c r="A7743">
        <f ca="1">30386.9115668702*(RANDBETWEEN(2890,3282))</f>
        <v>91130347.78904368</v>
      </c>
      <c r="B7743">
        <v>240498431.92475492</v>
      </c>
    </row>
    <row r="7744" spans="1:2" x14ac:dyDescent="0.25">
      <c r="A7744">
        <f ca="1">26978.7042351632*(RANDBETWEEN(2890,3282))</f>
        <v>79128539.521733731</v>
      </c>
      <c r="B7744">
        <v>208118237.51511705</v>
      </c>
    </row>
    <row r="7745" spans="1:2" x14ac:dyDescent="0.25">
      <c r="A7745">
        <f ca="1">26293.8523920453*(RANDBETWEEN(2890,3282))</f>
        <v>83535569.049527973</v>
      </c>
      <c r="B7745">
        <v>212898389.70667517</v>
      </c>
    </row>
    <row r="7746" spans="1:2" x14ac:dyDescent="0.25">
      <c r="A7746">
        <f ca="1">24890.4572400002*(RANDBETWEEN(2890,3282))</f>
        <v>76239470.526120469</v>
      </c>
      <c r="B7746">
        <v>223527464.1762332</v>
      </c>
    </row>
    <row r="7747" spans="1:2" x14ac:dyDescent="0.25">
      <c r="A7747">
        <f ca="1">32256.3225428197*(RANDBETWEEN(2890,3282))</f>
        <v>103381513.74973729</v>
      </c>
      <c r="B7747">
        <v>246052077.48995748</v>
      </c>
    </row>
    <row r="7748" spans="1:2" x14ac:dyDescent="0.25">
      <c r="A7748">
        <f ca="1">31652.7375048353*(RANDBETWEEN(2890,3282))</f>
        <v>96572502.127252415</v>
      </c>
      <c r="B7748">
        <v>224369114.3559103</v>
      </c>
    </row>
    <row r="7749" spans="1:2" x14ac:dyDescent="0.25">
      <c r="A7749">
        <f ca="1">29832.1712287124*(RANDBETWEEN(2890,3282))</f>
        <v>95254122.733278558</v>
      </c>
      <c r="B7749">
        <v>216744542.18175906</v>
      </c>
    </row>
    <row r="7750" spans="1:2" x14ac:dyDescent="0.25">
      <c r="A7750">
        <f ca="1">26507.2808015715*(RANDBETWEEN(2890,3282))</f>
        <v>86864359.186749831</v>
      </c>
      <c r="B7750">
        <v>249571163.18606529</v>
      </c>
    </row>
    <row r="7751" spans="1:2" x14ac:dyDescent="0.25">
      <c r="A7751">
        <f ca="1">29220.2772438261*(RANDBETWEEN(2890,3282))</f>
        <v>92569838.308441103</v>
      </c>
      <c r="B7751">
        <v>210050034.3737742</v>
      </c>
    </row>
    <row r="7752" spans="1:2" x14ac:dyDescent="0.25">
      <c r="A7752">
        <f ca="1">26271.9323256294*(RANDBETWEEN(2890,3282))</f>
        <v>84280358.900619015</v>
      </c>
      <c r="B7752">
        <v>258305065.57100484</v>
      </c>
    </row>
    <row r="7753" spans="1:2" x14ac:dyDescent="0.25">
      <c r="A7753">
        <f ca="1">28945.5327686873*(RANDBETWEEN(2890,3282))</f>
        <v>93928253.834390238</v>
      </c>
      <c r="B7753">
        <v>204656815.37778515</v>
      </c>
    </row>
    <row r="7754" spans="1:2" x14ac:dyDescent="0.25">
      <c r="A7754">
        <f ca="1">27356.94016523*(RANDBETWEEN(2890,3282))</f>
        <v>87131854.426257536</v>
      </c>
      <c r="B7754">
        <v>209875542.29003319</v>
      </c>
    </row>
    <row r="7755" spans="1:2" x14ac:dyDescent="0.25">
      <c r="A7755">
        <f ca="1">28719.0659021756*(RANDBETWEEN(2890,3282))</f>
        <v>89172699.626255259</v>
      </c>
      <c r="B7755">
        <v>238711704.11263603</v>
      </c>
    </row>
    <row r="7756" spans="1:2" x14ac:dyDescent="0.25">
      <c r="A7756">
        <f ca="1">26750.9550271764*(RANDBETWEEN(2890,3282))</f>
        <v>78005784.859246522</v>
      </c>
      <c r="B7756">
        <v>214500171.97158176</v>
      </c>
    </row>
    <row r="7757" spans="1:2" x14ac:dyDescent="0.25">
      <c r="A7757">
        <f ca="1">33064.4396187325*(RANDBETWEEN(2890,3282))</f>
        <v>99523963.252384961</v>
      </c>
      <c r="B7757">
        <v>209870217.38346508</v>
      </c>
    </row>
    <row r="7758" spans="1:2" x14ac:dyDescent="0.25">
      <c r="A7758">
        <f ca="1">32378.0038225555*(RANDBETWEEN(2890,3282))</f>
        <v>99691873.769648299</v>
      </c>
      <c r="B7758">
        <v>230171583.43938076</v>
      </c>
    </row>
    <row r="7759" spans="1:2" x14ac:dyDescent="0.25">
      <c r="A7759">
        <f ca="1">29280.7347920009*(RANDBETWEEN(2890,3282))</f>
        <v>89247679.646018639</v>
      </c>
      <c r="B7759">
        <v>232153149.89745882</v>
      </c>
    </row>
    <row r="7760" spans="1:2" x14ac:dyDescent="0.25">
      <c r="A7760">
        <f ca="1">27820.5443998032*(RANDBETWEEN(2890,3282))</f>
        <v>83322530.477410704</v>
      </c>
      <c r="B7760">
        <v>267542888.19175786</v>
      </c>
    </row>
    <row r="7761" spans="1:2" x14ac:dyDescent="0.25">
      <c r="A7761">
        <f ca="1">26135.0898413239*(RANDBETWEEN(2890,3282))</f>
        <v>81097183.777628019</v>
      </c>
      <c r="B7761">
        <v>237761941.92399478</v>
      </c>
    </row>
    <row r="7762" spans="1:2" x14ac:dyDescent="0.25">
      <c r="A7762">
        <f ca="1">28253.8550647982*(RANDBETWEEN(2890,3282))</f>
        <v>84846326.759588838</v>
      </c>
      <c r="B7762">
        <v>223376000.01458904</v>
      </c>
    </row>
    <row r="7763" spans="1:2" x14ac:dyDescent="0.25">
      <c r="A7763">
        <f ca="1">29965.98045354*(RANDBETWEEN(2890,3282))</f>
        <v>93643688.917312548</v>
      </c>
      <c r="B7763">
        <v>246378561.41247621</v>
      </c>
    </row>
    <row r="7764" spans="1:2" x14ac:dyDescent="0.25">
      <c r="A7764">
        <f ca="1">26317.3561674291*(RANDBETWEEN(2890,3282))</f>
        <v>80741648.721672505</v>
      </c>
      <c r="B7764">
        <v>226562965.60591853</v>
      </c>
    </row>
    <row r="7765" spans="1:2" x14ac:dyDescent="0.25">
      <c r="A7765">
        <f ca="1">30757.5166683539*(RANDBETWEEN(2890,3282))</f>
        <v>99100718.705436245</v>
      </c>
      <c r="B7765">
        <v>265314870.52972543</v>
      </c>
    </row>
    <row r="7766" spans="1:2" x14ac:dyDescent="0.25">
      <c r="A7766">
        <f ca="1">32471.1555628995*(RANDBETWEEN(2890,3282))</f>
        <v>98549957.133399829</v>
      </c>
      <c r="B7766">
        <v>221518696.83430243</v>
      </c>
    </row>
    <row r="7767" spans="1:2" x14ac:dyDescent="0.25">
      <c r="A7767">
        <f ca="1">32594.3742781214*(RANDBETWEEN(2890,3282))</f>
        <v>96511942.237517491</v>
      </c>
      <c r="B7767">
        <v>247007967.71639425</v>
      </c>
    </row>
    <row r="7768" spans="1:2" x14ac:dyDescent="0.25">
      <c r="A7768">
        <f ca="1">28219.3127360721*(RANDBETWEEN(2890,3282))</f>
        <v>83783139.513398066</v>
      </c>
      <c r="B7768">
        <v>240673226.33756423</v>
      </c>
    </row>
    <row r="7769" spans="1:2" x14ac:dyDescent="0.25">
      <c r="A7769">
        <f ca="1">30675.7485840022*(RANDBETWEEN(2890,3282))</f>
        <v>94880090.370318785</v>
      </c>
      <c r="B7769">
        <v>219131081.97567773</v>
      </c>
    </row>
    <row r="7770" spans="1:2" x14ac:dyDescent="0.25">
      <c r="A7770">
        <f ca="1">31555.1727902075*(RANDBETWEEN(2890,3282))</f>
        <v>94381521.815510586</v>
      </c>
      <c r="B7770">
        <v>206816471.27364546</v>
      </c>
    </row>
    <row r="7771" spans="1:2" x14ac:dyDescent="0.25">
      <c r="A7771">
        <f ca="1">30672.5138114251*(RANDBETWEEN(2890,3282))</f>
        <v>94900757.732549161</v>
      </c>
      <c r="B7771">
        <v>206230492.42222261</v>
      </c>
    </row>
    <row r="7772" spans="1:2" x14ac:dyDescent="0.25">
      <c r="A7772">
        <f ca="1">29760.3259479552*(RANDBETWEEN(2890,3282))</f>
        <v>88566730.021114588</v>
      </c>
      <c r="B7772">
        <v>267404507.88084275</v>
      </c>
    </row>
    <row r="7773" spans="1:2" x14ac:dyDescent="0.25">
      <c r="A7773">
        <f ca="1">29465.8807630241*(RANDBETWEEN(2890,3282))</f>
        <v>96353430.095088705</v>
      </c>
      <c r="B7773">
        <v>208807166.83933583</v>
      </c>
    </row>
    <row r="7774" spans="1:2" x14ac:dyDescent="0.25">
      <c r="A7774">
        <f ca="1">33697.78924453*(RANDBETWEEN(2890,3282))</f>
        <v>98936709.221940219</v>
      </c>
      <c r="B7774">
        <v>248651266.64239529</v>
      </c>
    </row>
    <row r="7775" spans="1:2" x14ac:dyDescent="0.25">
      <c r="A7775">
        <f ca="1">28556.0204301569*(RANDBETWEEN(2890,3282))</f>
        <v>85382501.086169004</v>
      </c>
      <c r="B7775">
        <v>219054444.77105436</v>
      </c>
    </row>
    <row r="7776" spans="1:2" x14ac:dyDescent="0.25">
      <c r="A7776">
        <f ca="1">29035.106263924*(RANDBETWEEN(2890,3282))</f>
        <v>92476813.450597972</v>
      </c>
      <c r="B7776">
        <v>230032835.8488254</v>
      </c>
    </row>
    <row r="7777" spans="1:2" x14ac:dyDescent="0.25">
      <c r="A7777">
        <f ca="1">29640.7202661113*(RANDBETWEEN(2890,3282))</f>
        <v>91204496.258824378</v>
      </c>
      <c r="B7777">
        <v>211188769.14550728</v>
      </c>
    </row>
    <row r="7778" spans="1:2" x14ac:dyDescent="0.25">
      <c r="A7778">
        <f ca="1">27656.7517138376*(RANDBETWEEN(2890,3282))</f>
        <v>82251179.596953094</v>
      </c>
      <c r="B7778">
        <v>232387166.18829238</v>
      </c>
    </row>
    <row r="7779" spans="1:2" x14ac:dyDescent="0.25">
      <c r="A7779">
        <f ca="1">30084.2677248429*(RANDBETWEEN(2890,3282))</f>
        <v>94314179.31738244</v>
      </c>
      <c r="B7779">
        <v>252535135.28739691</v>
      </c>
    </row>
    <row r="7780" spans="1:2" x14ac:dyDescent="0.25">
      <c r="A7780">
        <f ca="1">27422.5327499398*(RANDBETWEEN(2890,3282))</f>
        <v>79799570.302324742</v>
      </c>
      <c r="B7780">
        <v>211839653.13752913</v>
      </c>
    </row>
    <row r="7781" spans="1:2" x14ac:dyDescent="0.25">
      <c r="A7781">
        <f ca="1">28129.2240376368*(RANDBETWEEN(2890,3282))</f>
        <v>91363719.67424421</v>
      </c>
      <c r="B7781">
        <v>225223763.77843612</v>
      </c>
    </row>
    <row r="7782" spans="1:2" x14ac:dyDescent="0.25">
      <c r="A7782">
        <f ca="1">29651.2136146405*(RANDBETWEEN(2890,3282))</f>
        <v>93875742.303951934</v>
      </c>
      <c r="B7782">
        <v>259360562.61247301</v>
      </c>
    </row>
    <row r="7783" spans="1:2" x14ac:dyDescent="0.25">
      <c r="A7783">
        <f ca="1">31589.0767563303*(RANDBETWEEN(2890,3282))</f>
        <v>94609284.885209382</v>
      </c>
      <c r="B7783">
        <v>264341724.42670488</v>
      </c>
    </row>
    <row r="7784" spans="1:2" x14ac:dyDescent="0.25">
      <c r="A7784">
        <f ca="1">32453.0298374185*(RANDBETWEEN(2890,3282))</f>
        <v>96904747.094531745</v>
      </c>
      <c r="B7784">
        <v>240369775.76762873</v>
      </c>
    </row>
    <row r="7785" spans="1:2" x14ac:dyDescent="0.25">
      <c r="A7785">
        <f ca="1">27671.7063313904*(RANDBETWEEN(2890,3282))</f>
        <v>87442592.007193625</v>
      </c>
      <c r="B7785">
        <v>209095380.57850546</v>
      </c>
    </row>
    <row r="7786" spans="1:2" x14ac:dyDescent="0.25">
      <c r="A7786">
        <f ca="1">32641.545314107*(RANDBETWEEN(2890,3282))</f>
        <v>101417281.29093055</v>
      </c>
      <c r="B7786">
        <v>243672694.91823319</v>
      </c>
    </row>
    <row r="7787" spans="1:2" x14ac:dyDescent="0.25">
      <c r="A7787">
        <f ca="1">28985.1199807016*(RANDBETWEEN(2890,3282))</f>
        <v>84375684.263822451</v>
      </c>
      <c r="B7787">
        <v>213877496.33416736</v>
      </c>
    </row>
    <row r="7788" spans="1:2" x14ac:dyDescent="0.25">
      <c r="A7788">
        <f ca="1">28486.8040458849*(RANDBETWEEN(2890,3282))</f>
        <v>87027186.360178262</v>
      </c>
      <c r="B7788">
        <v>234149699.45251942</v>
      </c>
    </row>
    <row r="7789" spans="1:2" x14ac:dyDescent="0.25">
      <c r="A7789">
        <f ca="1">29072.8025071657*(RANDBETWEEN(2890,3282))</f>
        <v>86520660.261324987</v>
      </c>
      <c r="B7789">
        <v>258370923.51642272</v>
      </c>
    </row>
    <row r="7790" spans="1:2" x14ac:dyDescent="0.25">
      <c r="A7790">
        <f ca="1">30878.5503860107*(RANDBETWEEN(2890,3282))</f>
        <v>100447924.40569289</v>
      </c>
      <c r="B7790">
        <v>261661947.00680986</v>
      </c>
    </row>
    <row r="7791" spans="1:2" x14ac:dyDescent="0.25">
      <c r="A7791">
        <f ca="1">28243.0692023655*(RANDBETWEEN(2890,3282))</f>
        <v>88993911.056653589</v>
      </c>
      <c r="B7791">
        <v>211229845.11216229</v>
      </c>
    </row>
    <row r="7792" spans="1:2" x14ac:dyDescent="0.25">
      <c r="A7792">
        <f ca="1">31625.7871551229*(RANDBETWEEN(2890,3282))</f>
        <v>95604754.569936439</v>
      </c>
      <c r="B7792">
        <v>242487611.50128305</v>
      </c>
    </row>
    <row r="7793" spans="1:2" x14ac:dyDescent="0.25">
      <c r="A7793">
        <f ca="1">29729.208950713*(RANDBETWEEN(2890,3282))</f>
        <v>86244435.166018292</v>
      </c>
      <c r="B7793">
        <v>208012639.11348242</v>
      </c>
    </row>
    <row r="7794" spans="1:2" x14ac:dyDescent="0.25">
      <c r="A7794">
        <f ca="1">29637.4486715683*(RANDBETWEEN(2890,3282))</f>
        <v>97210831.642744169</v>
      </c>
      <c r="B7794">
        <v>250758439.61992782</v>
      </c>
    </row>
    <row r="7795" spans="1:2" x14ac:dyDescent="0.25">
      <c r="A7795">
        <f ca="1">32052.1481641096*(RANDBETWEEN(2890,3282))</f>
        <v>95002567.158420876</v>
      </c>
      <c r="B7795">
        <v>255202996.9152022</v>
      </c>
    </row>
    <row r="7796" spans="1:2" x14ac:dyDescent="0.25">
      <c r="A7796">
        <f ca="1">31798.2555430767*(RANDBETWEEN(2890,3282))</f>
        <v>98828978.227882504</v>
      </c>
      <c r="B7796">
        <v>211462780.51552081</v>
      </c>
    </row>
    <row r="7797" spans="1:2" x14ac:dyDescent="0.25">
      <c r="A7797">
        <f ca="1">31063.9219082177*(RANDBETWEEN(2890,3282))</f>
        <v>95459432.023953065</v>
      </c>
      <c r="B7797">
        <v>266163651.02679336</v>
      </c>
    </row>
    <row r="7798" spans="1:2" x14ac:dyDescent="0.25">
      <c r="A7798">
        <f ca="1">28683.9525005246*(RANDBETWEEN(2890,3282))</f>
        <v>90612605.949157208</v>
      </c>
      <c r="B7798">
        <v>237244831.06117404</v>
      </c>
    </row>
    <row r="7799" spans="1:2" x14ac:dyDescent="0.25">
      <c r="A7799">
        <f ca="1">28982.8552005906*(RANDBETWEEN(2890,3282))</f>
        <v>94976816.492335528</v>
      </c>
      <c r="B7799">
        <v>225042106.97575733</v>
      </c>
    </row>
    <row r="7800" spans="1:2" x14ac:dyDescent="0.25">
      <c r="A7800">
        <f ca="1">31680.852470172*(RANDBETWEEN(2890,3282))</f>
        <v>93236748.819716305</v>
      </c>
      <c r="B7800">
        <v>245213720.55813953</v>
      </c>
    </row>
    <row r="7801" spans="1:2" x14ac:dyDescent="0.25">
      <c r="A7801">
        <f ca="1">28053.6500618058*(RANDBETWEEN(2890,3282))</f>
        <v>86601617.740794584</v>
      </c>
      <c r="B7801">
        <v>257022596.48613733</v>
      </c>
    </row>
    <row r="7802" spans="1:2" x14ac:dyDescent="0.25">
      <c r="A7802">
        <f ca="1">31772.2944368637*(RANDBETWEEN(2890,3282))</f>
        <v>93378773.349942476</v>
      </c>
      <c r="B7802">
        <v>227033364.53078145</v>
      </c>
    </row>
    <row r="7803" spans="1:2" x14ac:dyDescent="0.25">
      <c r="A7803">
        <f ca="1">26096.3743046943*(RANDBETWEEN(2890,3282))</f>
        <v>82568928.300052911</v>
      </c>
      <c r="B7803">
        <v>237933506.89868274</v>
      </c>
    </row>
    <row r="7804" spans="1:2" x14ac:dyDescent="0.25">
      <c r="A7804">
        <f ca="1">27545.0431013609*(RANDBETWEEN(2890,3282))</f>
        <v>81120151.933507845</v>
      </c>
      <c r="B7804">
        <v>245957857.88145342</v>
      </c>
    </row>
    <row r="7805" spans="1:2" x14ac:dyDescent="0.25">
      <c r="A7805">
        <f ca="1">29765.1381898104*(RANDBETWEEN(2890,3282))</f>
        <v>93581594.468763903</v>
      </c>
      <c r="B7805">
        <v>233221062.23729515</v>
      </c>
    </row>
    <row r="7806" spans="1:2" x14ac:dyDescent="0.25">
      <c r="A7806">
        <f ca="1">31322.5028723257*(RANDBETWEEN(2890,3282))</f>
        <v>95752891.280699685</v>
      </c>
      <c r="B7806">
        <v>265748212.19965774</v>
      </c>
    </row>
    <row r="7807" spans="1:2" x14ac:dyDescent="0.25">
      <c r="A7807">
        <f ca="1">28827.5055224751*(RANDBETWEEN(2890,3282))</f>
        <v>84897003.763689131</v>
      </c>
      <c r="B7807">
        <v>243113009.46666148</v>
      </c>
    </row>
    <row r="7808" spans="1:2" x14ac:dyDescent="0.25">
      <c r="A7808">
        <f ca="1">30784.36353358*(RANDBETWEEN(2890,3282))</f>
        <v>95062114.591695189</v>
      </c>
      <c r="B7808">
        <v>204499813.1871312</v>
      </c>
    </row>
    <row r="7809" spans="1:2" x14ac:dyDescent="0.25">
      <c r="A7809">
        <f ca="1">29019.6907353478*(RANDBETWEEN(2890,3282))</f>
        <v>91934380.249581754</v>
      </c>
      <c r="B7809">
        <v>222280360.72944245</v>
      </c>
    </row>
    <row r="7810" spans="1:2" x14ac:dyDescent="0.25">
      <c r="A7810">
        <f ca="1">28618.9375474738*(RANDBETWEEN(2890,3282))</f>
        <v>83395584.013338715</v>
      </c>
      <c r="B7810">
        <v>244999024.48650479</v>
      </c>
    </row>
    <row r="7811" spans="1:2" x14ac:dyDescent="0.25">
      <c r="A7811">
        <f ca="1">27964.6696628324*(RANDBETWEEN(2890,3282))</f>
        <v>86326935.249163464</v>
      </c>
      <c r="B7811">
        <v>248826902.63004631</v>
      </c>
    </row>
    <row r="7812" spans="1:2" x14ac:dyDescent="0.25">
      <c r="A7812">
        <f ca="1">30746.1228594322*(RANDBETWEEN(2890,3282))</f>
        <v>90916285.295341089</v>
      </c>
      <c r="B7812">
        <v>232309027.29405236</v>
      </c>
    </row>
    <row r="7813" spans="1:2" x14ac:dyDescent="0.25">
      <c r="A7813">
        <f ca="1">32713.48638767*(RANDBETWEEN(2890,3282))</f>
        <v>99154577.241027743</v>
      </c>
      <c r="B7813">
        <v>257497836.40514931</v>
      </c>
    </row>
    <row r="7814" spans="1:2" x14ac:dyDescent="0.25">
      <c r="A7814">
        <f ca="1">27120.2149106378*(RANDBETWEEN(2890,3282))</f>
        <v>85211715.249223933</v>
      </c>
      <c r="B7814">
        <v>248630125.83809957</v>
      </c>
    </row>
    <row r="7815" spans="1:2" x14ac:dyDescent="0.25">
      <c r="A7815">
        <f ca="1">32302.3209778291*(RANDBETWEEN(2890,3282))</f>
        <v>101138566.98158301</v>
      </c>
      <c r="B7815">
        <v>249784697.40071654</v>
      </c>
    </row>
    <row r="7816" spans="1:2" x14ac:dyDescent="0.25">
      <c r="A7816">
        <f ca="1">27957.8982324488*(RANDBETWEEN(2890,3282))</f>
        <v>81804810.228145242</v>
      </c>
      <c r="B7816">
        <v>260341258.19406971</v>
      </c>
    </row>
    <row r="7817" spans="1:2" x14ac:dyDescent="0.25">
      <c r="A7817">
        <f ca="1">30750.5655883458*(RANDBETWEEN(2890,3282))</f>
        <v>100093090.99006566</v>
      </c>
      <c r="B7817">
        <v>267848543.44136566</v>
      </c>
    </row>
    <row r="7818" spans="1:2" x14ac:dyDescent="0.25">
      <c r="A7818">
        <f ca="1">31981.7070345181*(RANDBETWEEN(2890,3282))</f>
        <v>102149572.26825085</v>
      </c>
      <c r="B7818">
        <v>240266561.47757554</v>
      </c>
    </row>
    <row r="7819" spans="1:2" x14ac:dyDescent="0.25">
      <c r="A7819">
        <f ca="1">28742.4855640016*(RANDBETWEEN(2890,3282))</f>
        <v>89849009.873069063</v>
      </c>
      <c r="B7819">
        <v>260247842.28715688</v>
      </c>
    </row>
    <row r="7820" spans="1:2" x14ac:dyDescent="0.25">
      <c r="A7820">
        <f ca="1">32172.1508364415*(RANDBETWEEN(2890,3282))</f>
        <v>93878336.140736371</v>
      </c>
      <c r="B7820">
        <v>251741978.82593665</v>
      </c>
    </row>
    <row r="7821" spans="1:2" x14ac:dyDescent="0.25">
      <c r="A7821">
        <f ca="1">30314.1698600976*(RANDBETWEEN(2890,3282))</f>
        <v>90245283.673510566</v>
      </c>
      <c r="B7821">
        <v>249400662.8276633</v>
      </c>
    </row>
    <row r="7822" spans="1:2" x14ac:dyDescent="0.25">
      <c r="A7822">
        <f ca="1">32986.0251285053*(RANDBETWEEN(2890,3282))</f>
        <v>104499727.60710488</v>
      </c>
      <c r="B7822">
        <v>257212278.19210035</v>
      </c>
    </row>
    <row r="7823" spans="1:2" x14ac:dyDescent="0.25">
      <c r="A7823">
        <f ca="1">32922.8023841687*(RANDBETWEEN(2890,3282))</f>
        <v>96694270.602303609</v>
      </c>
      <c r="B7823">
        <v>209817413.84746426</v>
      </c>
    </row>
    <row r="7824" spans="1:2" x14ac:dyDescent="0.25">
      <c r="A7824">
        <f ca="1">29125.36235124*(RANDBETWEEN(2890,3282))</f>
        <v>85512063.863240615</v>
      </c>
      <c r="B7824">
        <v>216983092.80263719</v>
      </c>
    </row>
    <row r="7825" spans="1:2" x14ac:dyDescent="0.25">
      <c r="A7825">
        <f ca="1">31178.6157811*(RANDBETWEEN(2890,3282))</f>
        <v>96653708.921410009</v>
      </c>
      <c r="B7825">
        <v>261235491.25907519</v>
      </c>
    </row>
    <row r="7826" spans="1:2" x14ac:dyDescent="0.25">
      <c r="A7826">
        <f ca="1">27192.405574455*(RANDBETWEEN(2890,3282))</f>
        <v>87423583.921872899</v>
      </c>
      <c r="B7826">
        <v>234324145.75176191</v>
      </c>
    </row>
    <row r="7827" spans="1:2" x14ac:dyDescent="0.25">
      <c r="A7827">
        <f ca="1">27951.6112328766*(RANDBETWEEN(2890,3282))</f>
        <v>89864430.113698363</v>
      </c>
      <c r="B7827">
        <v>265818042.48913568</v>
      </c>
    </row>
    <row r="7828" spans="1:2" x14ac:dyDescent="0.25">
      <c r="A7828">
        <f ca="1">33485.4235592293*(RANDBETWEEN(2890,3282))</f>
        <v>106918957.42461933</v>
      </c>
      <c r="B7828">
        <v>264687336.14642575</v>
      </c>
    </row>
    <row r="7829" spans="1:2" x14ac:dyDescent="0.25">
      <c r="A7829">
        <f ca="1">28216.4831815163*(RANDBETWEEN(2890,3282))</f>
        <v>89587334.101314127</v>
      </c>
      <c r="B7829">
        <v>252580055.8443678</v>
      </c>
    </row>
    <row r="7830" spans="1:2" x14ac:dyDescent="0.25">
      <c r="A7830">
        <f ca="1">27380.8802896962*(RANDBETWEEN(2890,3282))</f>
        <v>84689062.736030355</v>
      </c>
      <c r="B7830">
        <v>252510143.48661688</v>
      </c>
    </row>
    <row r="7831" spans="1:2" x14ac:dyDescent="0.25">
      <c r="A7831">
        <f ca="1">32885.2621504586*(RANDBETWEEN(2890,3282))</f>
        <v>102075853.71502335</v>
      </c>
      <c r="B7831">
        <v>214648301.30739689</v>
      </c>
    </row>
    <row r="7832" spans="1:2" x14ac:dyDescent="0.25">
      <c r="A7832">
        <f ca="1">26525.1962587961*(RANDBETWEEN(2890,3282))</f>
        <v>84907153.224406198</v>
      </c>
      <c r="B7832">
        <v>236775463.47020954</v>
      </c>
    </row>
    <row r="7833" spans="1:2" x14ac:dyDescent="0.25">
      <c r="A7833">
        <f ca="1">31389.4248768052*(RANDBETWEEN(2890,3282))</f>
        <v>94890231.402582183</v>
      </c>
      <c r="B7833">
        <v>251687026.10826558</v>
      </c>
    </row>
    <row r="7834" spans="1:2" x14ac:dyDescent="0.25">
      <c r="A7834">
        <f ca="1">26438.1353974166*(RANDBETWEEN(2890,3282))</f>
        <v>82857116.335503474</v>
      </c>
      <c r="B7834">
        <v>245566069.6006119</v>
      </c>
    </row>
    <row r="7835" spans="1:2" x14ac:dyDescent="0.25">
      <c r="A7835">
        <f ca="1">29372.6609500144*(RANDBETWEEN(2890,3282))</f>
        <v>95255539.46089673</v>
      </c>
      <c r="B7835">
        <v>231678144.65951464</v>
      </c>
    </row>
    <row r="7836" spans="1:2" x14ac:dyDescent="0.25">
      <c r="A7836">
        <f ca="1">29471.8510464937*(RANDBETWEEN(2890,3282))</f>
        <v>96137178.113662317</v>
      </c>
      <c r="B7836">
        <v>261343129.48825255</v>
      </c>
    </row>
    <row r="7837" spans="1:2" x14ac:dyDescent="0.25">
      <c r="A7837">
        <f ca="1">32416.9545042182*(RANDBETWEEN(2890,3282))</f>
        <v>97315697.421663046</v>
      </c>
      <c r="B7837">
        <v>222180016.82134792</v>
      </c>
    </row>
    <row r="7838" spans="1:2" x14ac:dyDescent="0.25">
      <c r="A7838">
        <f ca="1">33855.0145174463*(RANDBETWEEN(2890,3282))</f>
        <v>107794366.22354898</v>
      </c>
      <c r="B7838">
        <v>222568286.81612742</v>
      </c>
    </row>
    <row r="7839" spans="1:2" x14ac:dyDescent="0.25">
      <c r="A7839">
        <f ca="1">28574.958771796*(RANDBETWEEN(2890,3282))</f>
        <v>87753698.388185427</v>
      </c>
      <c r="B7839">
        <v>218164950.83410013</v>
      </c>
    </row>
    <row r="7840" spans="1:2" x14ac:dyDescent="0.25">
      <c r="A7840">
        <f ca="1">32000.63268911*(RANDBETWEEN(2890,3282))</f>
        <v>102658029.6666649</v>
      </c>
      <c r="B7840">
        <v>205459610.95710963</v>
      </c>
    </row>
    <row r="7841" spans="1:2" x14ac:dyDescent="0.25">
      <c r="A7841">
        <f ca="1">27158.6089042188*(RANDBETWEEN(2890,3282))</f>
        <v>87695148.151722521</v>
      </c>
      <c r="B7841">
        <v>206296644.29056895</v>
      </c>
    </row>
    <row r="7842" spans="1:2" x14ac:dyDescent="0.25">
      <c r="A7842">
        <f ca="1">31402.5152963066*(RANDBETWEEN(2890,3282))</f>
        <v>99420363.428106681</v>
      </c>
      <c r="B7842">
        <v>222283605.40895811</v>
      </c>
    </row>
    <row r="7843" spans="1:2" x14ac:dyDescent="0.25">
      <c r="A7843">
        <f ca="1">29928.9424555658*(RANDBETWEEN(2890,3282))</f>
        <v>87033364.660785303</v>
      </c>
      <c r="B7843">
        <v>234014218.18462545</v>
      </c>
    </row>
    <row r="7844" spans="1:2" x14ac:dyDescent="0.25">
      <c r="A7844">
        <f ca="1">29588.6834316758*(RANDBETWEEN(2890,3282))</f>
        <v>90689314.718086347</v>
      </c>
      <c r="B7844">
        <v>253929641.94046605</v>
      </c>
    </row>
    <row r="7845" spans="1:2" x14ac:dyDescent="0.25">
      <c r="A7845">
        <f ca="1">29239.7336671221*(RANDBETWEEN(2890,3282))</f>
        <v>91666565.046427876</v>
      </c>
      <c r="B7845">
        <v>232766226.78444582</v>
      </c>
    </row>
    <row r="7846" spans="1:2" x14ac:dyDescent="0.25">
      <c r="A7846">
        <f ca="1">30680.5393628463*(RANDBETWEEN(2890,3282))</f>
        <v>95293755.261000633</v>
      </c>
      <c r="B7846">
        <v>205240916.28449601</v>
      </c>
    </row>
    <row r="7847" spans="1:2" x14ac:dyDescent="0.25">
      <c r="A7847">
        <f ca="1">25974.2652154829*(RANDBETWEEN(2890,3282))</f>
        <v>81091656.002737477</v>
      </c>
      <c r="B7847">
        <v>212960035.94078535</v>
      </c>
    </row>
    <row r="7848" spans="1:2" x14ac:dyDescent="0.25">
      <c r="A7848">
        <f ca="1">28552.416413384*(RANDBETWEEN(2890,3282))</f>
        <v>86742241.063860551</v>
      </c>
      <c r="B7848">
        <v>231724745.48873606</v>
      </c>
    </row>
    <row r="7849" spans="1:2" x14ac:dyDescent="0.25">
      <c r="A7849">
        <f ca="1">29369.5759594769*(RANDBETWEEN(2890,3282))</f>
        <v>96155991.691327438</v>
      </c>
      <c r="B7849">
        <v>266519642.65947708</v>
      </c>
    </row>
    <row r="7850" spans="1:2" x14ac:dyDescent="0.25">
      <c r="A7850">
        <f ca="1">29437.8239683767*(RANDBETWEEN(2890,3282))</f>
        <v>95555176.601350784</v>
      </c>
      <c r="B7850">
        <v>212864625.5657765</v>
      </c>
    </row>
    <row r="7851" spans="1:2" x14ac:dyDescent="0.25">
      <c r="A7851">
        <f ca="1">26786.9052400845*(RANDBETWEEN(2890,3282))</f>
        <v>83467996.728103414</v>
      </c>
      <c r="B7851">
        <v>227745013.66877055</v>
      </c>
    </row>
    <row r="7852" spans="1:2" x14ac:dyDescent="0.25">
      <c r="A7852">
        <f ca="1">30778.1579916314*(RANDBETWEEN(2890,3282))</f>
        <v>95812405.82794866</v>
      </c>
      <c r="B7852">
        <v>242334615.00731108</v>
      </c>
    </row>
    <row r="7853" spans="1:2" x14ac:dyDescent="0.25">
      <c r="A7853">
        <f ca="1">32023.3377332812*(RANDBETWEEN(2890,3282))</f>
        <v>97831296.775173977</v>
      </c>
      <c r="B7853">
        <v>232945283.31561959</v>
      </c>
    </row>
    <row r="7854" spans="1:2" x14ac:dyDescent="0.25">
      <c r="A7854">
        <f ca="1">31578.6705250082*(RANDBETWEEN(2890,3282))</f>
        <v>101967527.12525132</v>
      </c>
      <c r="B7854">
        <v>232765007.16285336</v>
      </c>
    </row>
    <row r="7855" spans="1:2" x14ac:dyDescent="0.25">
      <c r="A7855">
        <f ca="1">33815.445749248*(RANDBETWEEN(2890,3282))</f>
        <v>104692620.03967187</v>
      </c>
      <c r="B7855">
        <v>212029771.8159712</v>
      </c>
    </row>
    <row r="7856" spans="1:2" x14ac:dyDescent="0.25">
      <c r="A7856">
        <f ca="1">35104.7098107968*(RANDBETWEEN(2890,3282))</f>
        <v>102330229.09847257</v>
      </c>
      <c r="B7856">
        <v>236736663.64817822</v>
      </c>
    </row>
    <row r="7857" spans="1:2" x14ac:dyDescent="0.25">
      <c r="A7857">
        <f ca="1">27727.1318324192*(RANDBETWEEN(2890,3282))</f>
        <v>85150021.857359305</v>
      </c>
      <c r="B7857">
        <v>212802051.82681492</v>
      </c>
    </row>
    <row r="7858" spans="1:2" x14ac:dyDescent="0.25">
      <c r="A7858">
        <f ca="1">26408.1620849972*(RANDBETWEEN(2890,3282))</f>
        <v>77587180.20572184</v>
      </c>
      <c r="B7858">
        <v>210792852.04675621</v>
      </c>
    </row>
    <row r="7859" spans="1:2" x14ac:dyDescent="0.25">
      <c r="A7859">
        <f ca="1">31282.0284802462*(RANDBETWEEN(2890,3282))</f>
        <v>95785571.206513837</v>
      </c>
      <c r="B7859">
        <v>240929872.67018804</v>
      </c>
    </row>
    <row r="7860" spans="1:2" x14ac:dyDescent="0.25">
      <c r="A7860">
        <f ca="1">26348.2023495631*(RANDBETWEEN(2890,3282))</f>
        <v>77015795.467772901</v>
      </c>
      <c r="B7860">
        <v>220339401.35463241</v>
      </c>
    </row>
    <row r="7861" spans="1:2" x14ac:dyDescent="0.25">
      <c r="A7861">
        <f ca="1">27541.6026197932*(RANDBETWEEN(2890,3282))</f>
        <v>86453090.623530746</v>
      </c>
      <c r="B7861">
        <v>211787367.26378325</v>
      </c>
    </row>
    <row r="7862" spans="1:2" x14ac:dyDescent="0.25">
      <c r="A7862">
        <f ca="1">30608.3173733724*(RANDBETWEEN(2890,3282))</f>
        <v>92253468.563344494</v>
      </c>
      <c r="B7862">
        <v>204632884.42711028</v>
      </c>
    </row>
    <row r="7863" spans="1:2" x14ac:dyDescent="0.25">
      <c r="A7863">
        <f ca="1">29147.5554079331*(RANDBETWEEN(2890,3282))</f>
        <v>94175751.523031682</v>
      </c>
      <c r="B7863">
        <v>259156800.82808036</v>
      </c>
    </row>
    <row r="7864" spans="1:2" x14ac:dyDescent="0.25">
      <c r="A7864">
        <f ca="1">29387.44431504*(RANDBETWEEN(2890,3282))</f>
        <v>93599010.143402338</v>
      </c>
      <c r="B7864">
        <v>216123501.78752518</v>
      </c>
    </row>
    <row r="7865" spans="1:2" x14ac:dyDescent="0.25">
      <c r="A7865">
        <f ca="1">30769.8467811136*(RANDBETWEEN(2890,3282))</f>
        <v>92709548.351495191</v>
      </c>
      <c r="B7865">
        <v>262774509.24308962</v>
      </c>
    </row>
    <row r="7866" spans="1:2" x14ac:dyDescent="0.25">
      <c r="A7866">
        <f ca="1">30511.1608288807*(RANDBETWEEN(2890,3282))</f>
        <v>95194821.786107883</v>
      </c>
      <c r="B7866">
        <v>264558763.06705472</v>
      </c>
    </row>
    <row r="7867" spans="1:2" x14ac:dyDescent="0.25">
      <c r="A7867">
        <f ca="1">27605.1033581199*(RANDBETWEEN(2890,3282))</f>
        <v>88253515.43590939</v>
      </c>
      <c r="B7867">
        <v>254060085.61550149</v>
      </c>
    </row>
    <row r="7868" spans="1:2" x14ac:dyDescent="0.25">
      <c r="A7868">
        <f ca="1">29304.7886572549*(RANDBETWEEN(2890,3282))</f>
        <v>95006124.826820359</v>
      </c>
      <c r="B7868">
        <v>249678020.13408616</v>
      </c>
    </row>
    <row r="7869" spans="1:2" x14ac:dyDescent="0.25">
      <c r="A7869">
        <f ca="1">29868.6409951777*(RANDBETWEEN(2890,3282))</f>
        <v>87246300.346914098</v>
      </c>
      <c r="B7869">
        <v>235421893.0212276</v>
      </c>
    </row>
    <row r="7870" spans="1:2" x14ac:dyDescent="0.25">
      <c r="A7870">
        <f ca="1">25744.9373698386*(RANDBETWEEN(2890,3282))</f>
        <v>77749710.856912613</v>
      </c>
      <c r="B7870">
        <v>228048460.89318356</v>
      </c>
    </row>
    <row r="7871" spans="1:2" x14ac:dyDescent="0.25">
      <c r="A7871">
        <f ca="1">30699.9836077517*(RANDBETWEEN(2890,3282))</f>
        <v>90657051.593690872</v>
      </c>
      <c r="B7871">
        <v>260550033.08991617</v>
      </c>
    </row>
    <row r="7872" spans="1:2" x14ac:dyDescent="0.25">
      <c r="A7872">
        <f ca="1">29913.3550767168*(RANDBETWEEN(2890,3282))</f>
        <v>91804086.730443701</v>
      </c>
      <c r="B7872">
        <v>257040594.23332226</v>
      </c>
    </row>
    <row r="7873" spans="1:2" x14ac:dyDescent="0.25">
      <c r="A7873">
        <f ca="1">26926.7474517032*(RANDBETWEEN(2890,3282))</f>
        <v>82288140.212405115</v>
      </c>
      <c r="B7873">
        <v>206585233.82912123</v>
      </c>
    </row>
    <row r="7874" spans="1:2" x14ac:dyDescent="0.25">
      <c r="A7874">
        <f ca="1">26472.0360751386*(RANDBETWEEN(2890,3282))</f>
        <v>76874792.762202486</v>
      </c>
      <c r="B7874">
        <v>212278408.16808367</v>
      </c>
    </row>
    <row r="7875" spans="1:2" x14ac:dyDescent="0.25">
      <c r="A7875">
        <f ca="1">28085.8870803068*(RANDBETWEEN(2890,3282))</f>
        <v>91082531.80143486</v>
      </c>
      <c r="B7875">
        <v>204218587.7547124</v>
      </c>
    </row>
    <row r="7876" spans="1:2" x14ac:dyDescent="0.25">
      <c r="A7876">
        <f ca="1">27138.7799066631*(RANDBETWEEN(2890,3282))</f>
        <v>80737870.222322822</v>
      </c>
      <c r="B7876">
        <v>221800366.16675273</v>
      </c>
    </row>
    <row r="7877" spans="1:2" x14ac:dyDescent="0.25">
      <c r="A7877">
        <f ca="1">30660.3631344537*(RANDBETWEEN(2890,3282))</f>
        <v>99124954.013688907</v>
      </c>
      <c r="B7877">
        <v>242660914.61643445</v>
      </c>
    </row>
    <row r="7878" spans="1:2" x14ac:dyDescent="0.25">
      <c r="A7878">
        <f ca="1">28663.7061994855*(RANDBETWEEN(2890,3282))</f>
        <v>85962454.892257124</v>
      </c>
      <c r="B7878">
        <v>236507559.18452811</v>
      </c>
    </row>
    <row r="7879" spans="1:2" x14ac:dyDescent="0.25">
      <c r="A7879">
        <f ca="1">26248.516899524*(RANDBETWEEN(2890,3282))</f>
        <v>81212911.287127197</v>
      </c>
      <c r="B7879">
        <v>214593884.30539271</v>
      </c>
    </row>
    <row r="7880" spans="1:2" x14ac:dyDescent="0.25">
      <c r="A7880">
        <f ca="1">30131.7955440423*(RANDBETWEEN(2890,3282))</f>
        <v>92775798.48010613</v>
      </c>
      <c r="B7880">
        <v>266835175.93493482</v>
      </c>
    </row>
    <row r="7881" spans="1:2" x14ac:dyDescent="0.25">
      <c r="A7881">
        <f ca="1">33846.8295521328*(RANDBETWEEN(2890,3282))</f>
        <v>109088331.64652407</v>
      </c>
      <c r="B7881">
        <v>255455036.14397249</v>
      </c>
    </row>
    <row r="7882" spans="1:2" x14ac:dyDescent="0.25">
      <c r="A7882">
        <f ca="1">26651.5649018382*(RANDBETWEEN(2890,3282))</f>
        <v>85897993.678624615</v>
      </c>
      <c r="B7882">
        <v>205438826.0692538</v>
      </c>
    </row>
    <row r="7883" spans="1:2" x14ac:dyDescent="0.25">
      <c r="A7883">
        <f ca="1">33548.2957015418*(RANDBETWEEN(2890,3282))</f>
        <v>109099057.62141398</v>
      </c>
      <c r="B7883">
        <v>222243408.04271972</v>
      </c>
    </row>
    <row r="7884" spans="1:2" x14ac:dyDescent="0.25">
      <c r="A7884">
        <f ca="1">32747.5093609664*(RANDBETWEEN(2890,3282))</f>
        <v>103842352.18362446</v>
      </c>
      <c r="B7884">
        <v>266895294.35949904</v>
      </c>
    </row>
    <row r="7885" spans="1:2" x14ac:dyDescent="0.25">
      <c r="A7885">
        <f ca="1">29197.459939453*(RANDBETWEEN(2890,3282))</f>
        <v>94336993.06437251</v>
      </c>
      <c r="B7885">
        <v>210941632.07606125</v>
      </c>
    </row>
    <row r="7886" spans="1:2" x14ac:dyDescent="0.25">
      <c r="A7886">
        <f ca="1">27406.6180169878*(RANDBETWEEN(2890,3282))</f>
        <v>87893023.980479896</v>
      </c>
      <c r="B7886">
        <v>209129292.62665388</v>
      </c>
    </row>
    <row r="7887" spans="1:2" x14ac:dyDescent="0.25">
      <c r="A7887">
        <f ca="1">31715.9398656732*(RANDBETWEEN(2890,3282))</f>
        <v>97209355.688288435</v>
      </c>
      <c r="B7887">
        <v>263311616.06084225</v>
      </c>
    </row>
    <row r="7888" spans="1:2" x14ac:dyDescent="0.25">
      <c r="A7888">
        <f ca="1">34261.2318086363*(RANDBETWEEN(2890,3282))</f>
        <v>106312602.30219842</v>
      </c>
      <c r="B7888">
        <v>235290161.36467779</v>
      </c>
    </row>
    <row r="7889" spans="1:2" x14ac:dyDescent="0.25">
      <c r="A7889">
        <f ca="1">27490.0985834433*(RANDBETWEEN(2890,3282))</f>
        <v>82305355.158829138</v>
      </c>
      <c r="B7889">
        <v>210268589.38143599</v>
      </c>
    </row>
    <row r="7890" spans="1:2" x14ac:dyDescent="0.25">
      <c r="A7890">
        <f ca="1">34085.7698743094*(RANDBETWEEN(2890,3282))</f>
        <v>102904939.25054003</v>
      </c>
      <c r="B7890">
        <v>237182151.355923</v>
      </c>
    </row>
    <row r="7891" spans="1:2" x14ac:dyDescent="0.25">
      <c r="A7891">
        <f ca="1">27614.1804891127*(RANDBETWEEN(2890,3282))</f>
        <v>82621628.023425296</v>
      </c>
      <c r="B7891">
        <v>223602030.13713717</v>
      </c>
    </row>
    <row r="7892" spans="1:2" x14ac:dyDescent="0.25">
      <c r="A7892">
        <f ca="1">32362.742026872*(RANDBETWEEN(2890,3282))</f>
        <v>93593049.941713929</v>
      </c>
      <c r="B7892">
        <v>213700349.09846431</v>
      </c>
    </row>
    <row r="7893" spans="1:2" x14ac:dyDescent="0.25">
      <c r="A7893">
        <f ca="1">34381.8568701216*(RANDBETWEEN(2890,3282))</f>
        <v>105277245.73631224</v>
      </c>
      <c r="B7893">
        <v>265215863.85759977</v>
      </c>
    </row>
    <row r="7894" spans="1:2" x14ac:dyDescent="0.25">
      <c r="A7894">
        <f ca="1">31449.9666695598*(RANDBETWEEN(2890,3282))</f>
        <v>96362697.875531286</v>
      </c>
      <c r="B7894">
        <v>207662110.14076793</v>
      </c>
    </row>
    <row r="7895" spans="1:2" x14ac:dyDescent="0.25">
      <c r="A7895">
        <f ca="1">31752.1446976287*(RANDBETWEEN(2890,3282))</f>
        <v>103766008.87185074</v>
      </c>
      <c r="B7895">
        <v>235778865.99744165</v>
      </c>
    </row>
    <row r="7896" spans="1:2" x14ac:dyDescent="0.25">
      <c r="A7896">
        <f ca="1">26949.9800440912*(RANDBETWEEN(2890,3282))</f>
        <v>84461237.458181947</v>
      </c>
      <c r="B7896">
        <v>216271820.76161239</v>
      </c>
    </row>
    <row r="7897" spans="1:2" x14ac:dyDescent="0.25">
      <c r="A7897">
        <f ca="1">30203.3122125441*(RANDBETWEEN(2890,3282))</f>
        <v>89280990.900280491</v>
      </c>
      <c r="B7897">
        <v>212217367.64965615</v>
      </c>
    </row>
    <row r="7898" spans="1:2" x14ac:dyDescent="0.25">
      <c r="A7898">
        <f ca="1">30956.5261117134*(RANDBETWEEN(2890,3282))</f>
        <v>92002795.60401237</v>
      </c>
      <c r="B7898">
        <v>258425103.42100537</v>
      </c>
    </row>
    <row r="7899" spans="1:2" x14ac:dyDescent="0.25">
      <c r="A7899">
        <f ca="1">30270.5714027657*(RANDBETWEEN(2890,3282))</f>
        <v>89388997.352367163</v>
      </c>
      <c r="B7899">
        <v>263239242.54074186</v>
      </c>
    </row>
    <row r="7900" spans="1:2" x14ac:dyDescent="0.25">
      <c r="A7900">
        <f ca="1">27328.5367912207*(RANDBETWEEN(2890,3282))</f>
        <v>85893591.134806782</v>
      </c>
      <c r="B7900">
        <v>217067008.84647557</v>
      </c>
    </row>
    <row r="7901" spans="1:2" x14ac:dyDescent="0.25">
      <c r="A7901">
        <f ca="1">26065.2811150707*(RANDBETWEEN(2890,3282))</f>
        <v>81063024.267869771</v>
      </c>
      <c r="B7901">
        <v>251135146.23800671</v>
      </c>
    </row>
    <row r="7902" spans="1:2" x14ac:dyDescent="0.25">
      <c r="A7902">
        <f ca="1">29168.6699882127*(RANDBETWEEN(2890,3282))</f>
        <v>95352382.19146727</v>
      </c>
      <c r="B7902">
        <v>238431705.53068233</v>
      </c>
    </row>
    <row r="7903" spans="1:2" x14ac:dyDescent="0.25">
      <c r="A7903">
        <f ca="1">28816.6982993334*(RANDBETWEEN(2890,3282))</f>
        <v>89879281.995620951</v>
      </c>
      <c r="B7903">
        <v>237904742.46560213</v>
      </c>
    </row>
    <row r="7904" spans="1:2" x14ac:dyDescent="0.25">
      <c r="A7904">
        <f ca="1">30343.3004412412*(RANDBETWEEN(2890,3282))</f>
        <v>92971872.551963106</v>
      </c>
      <c r="B7904">
        <v>260816411.30305573</v>
      </c>
    </row>
    <row r="7905" spans="1:2" x14ac:dyDescent="0.25">
      <c r="A7905">
        <f ca="1">27280.2005755211*(RANDBETWEEN(2890,3282))</f>
        <v>86450955.623826504</v>
      </c>
      <c r="B7905">
        <v>231212148.73679668</v>
      </c>
    </row>
    <row r="7906" spans="1:2" x14ac:dyDescent="0.25">
      <c r="A7906">
        <f ca="1">31642.6202342286*(RANDBETWEEN(2890,3282))</f>
        <v>95022788.563388616</v>
      </c>
      <c r="B7906">
        <v>226363539.8029775</v>
      </c>
    </row>
    <row r="7907" spans="1:2" x14ac:dyDescent="0.25">
      <c r="A7907">
        <f ca="1">29920.6316492822*(RANDBETWEEN(2890,3282))</f>
        <v>88684752.208472416</v>
      </c>
      <c r="B7907">
        <v>243047671.40218267</v>
      </c>
    </row>
    <row r="7908" spans="1:2" x14ac:dyDescent="0.25">
      <c r="A7908">
        <f ca="1">33929.5422493286*(RANDBETWEEN(2890,3282))</f>
        <v>98836756.57229434</v>
      </c>
      <c r="B7908">
        <v>266048068.99898094</v>
      </c>
    </row>
    <row r="7909" spans="1:2" x14ac:dyDescent="0.25">
      <c r="A7909">
        <f ca="1">31213.2338212919*(RANDBETWEEN(2890,3282))</f>
        <v>97791061.562107474</v>
      </c>
      <c r="B7909">
        <v>255590856.9351739</v>
      </c>
    </row>
    <row r="7910" spans="1:2" x14ac:dyDescent="0.25">
      <c r="A7910">
        <f ca="1">31389.8342696345*(RANDBETWEEN(2890,3282))</f>
        <v>98626859.275191635</v>
      </c>
      <c r="B7910">
        <v>246874166.26524481</v>
      </c>
    </row>
    <row r="7911" spans="1:2" x14ac:dyDescent="0.25">
      <c r="A7911">
        <f ca="1">28662.4542871682*(RANDBETWEEN(2890,3282))</f>
        <v>86646599.310109392</v>
      </c>
      <c r="B7911">
        <v>208139807.09483078</v>
      </c>
    </row>
    <row r="7912" spans="1:2" x14ac:dyDescent="0.25">
      <c r="A7912">
        <f ca="1">28936.1545259378*(RANDBETWEEN(2890,3282))</f>
        <v>94273991.445505381</v>
      </c>
      <c r="B7912">
        <v>260349675.13086304</v>
      </c>
    </row>
    <row r="7913" spans="1:2" x14ac:dyDescent="0.25">
      <c r="A7913">
        <f ca="1">25772.9850870146*(RANDBETWEEN(2890,3282))</f>
        <v>77679777.052261889</v>
      </c>
      <c r="B7913">
        <v>217584755.07129562</v>
      </c>
    </row>
    <row r="7914" spans="1:2" x14ac:dyDescent="0.25">
      <c r="A7914">
        <f ca="1">29538.8380476542*(RANDBETWEEN(2890,3282))</f>
        <v>93697194.287159145</v>
      </c>
      <c r="B7914">
        <v>219170262.16573432</v>
      </c>
    </row>
    <row r="7915" spans="1:2" x14ac:dyDescent="0.25">
      <c r="A7915">
        <f ca="1">30286.2347925259*(RANDBETWEEN(2890,3282))</f>
        <v>97309672.388385803</v>
      </c>
      <c r="B7915">
        <v>237943681.73755777</v>
      </c>
    </row>
    <row r="7916" spans="1:2" x14ac:dyDescent="0.25">
      <c r="A7916">
        <f ca="1">28813.8796290229*(RANDBETWEEN(2890,3282))</f>
        <v>94480711.303566024</v>
      </c>
      <c r="B7916">
        <v>254051911.0218378</v>
      </c>
    </row>
    <row r="7917" spans="1:2" x14ac:dyDescent="0.25">
      <c r="A7917">
        <f ca="1">29631.1975034054*(RANDBETWEEN(2890,3282))</f>
        <v>96360654.281074464</v>
      </c>
      <c r="B7917">
        <v>211789619.04770204</v>
      </c>
    </row>
    <row r="7918" spans="1:2" x14ac:dyDescent="0.25">
      <c r="A7918">
        <f ca="1">26610.2819919447*(RANDBETWEEN(2890,3282))</f>
        <v>82145940.509133428</v>
      </c>
      <c r="B7918">
        <v>219984054.21671331</v>
      </c>
    </row>
    <row r="7919" spans="1:2" x14ac:dyDescent="0.25">
      <c r="A7919">
        <f ca="1">30278.9120317749*(RANDBETWEEN(2890,3282))</f>
        <v>97891722.598728389</v>
      </c>
      <c r="B7919">
        <v>252791568.50342011</v>
      </c>
    </row>
    <row r="7920" spans="1:2" x14ac:dyDescent="0.25">
      <c r="A7920">
        <f ca="1">32050.1798642126*(RANDBETWEEN(2890,3282))</f>
        <v>101502919.62996115</v>
      </c>
      <c r="B7920">
        <v>236786303.27536231</v>
      </c>
    </row>
    <row r="7921" spans="1:2" x14ac:dyDescent="0.25">
      <c r="A7921">
        <f ca="1">27905.2745510387*(RANDBETWEEN(2890,3282))</f>
        <v>83325149.809401482</v>
      </c>
      <c r="B7921">
        <v>249898400.03093356</v>
      </c>
    </row>
    <row r="7922" spans="1:2" x14ac:dyDescent="0.25">
      <c r="A7922">
        <f ca="1">31648.1672940507*(RANDBETWEEN(2890,3282))</f>
        <v>94406483.038153231</v>
      </c>
      <c r="B7922">
        <v>237472086.7942135</v>
      </c>
    </row>
    <row r="7923" spans="1:2" x14ac:dyDescent="0.25">
      <c r="A7923">
        <f ca="1">30602.7836398531*(RANDBETWEEN(2890,3282))</f>
        <v>93644517.937950522</v>
      </c>
      <c r="B7923">
        <v>218824834.08874625</v>
      </c>
    </row>
    <row r="7924" spans="1:2" x14ac:dyDescent="0.25">
      <c r="A7924">
        <f ca="1">31400.1620869598*(RANDBETWEEN(2890,3282))</f>
        <v>100386318.19201045</v>
      </c>
      <c r="B7924">
        <v>237411039.45765173</v>
      </c>
    </row>
    <row r="7925" spans="1:2" x14ac:dyDescent="0.25">
      <c r="A7925">
        <f ca="1">28330.2110668225*(RANDBETWEEN(2890,3282))</f>
        <v>85075623.83366783</v>
      </c>
      <c r="B7925">
        <v>225951620.17101136</v>
      </c>
    </row>
    <row r="7926" spans="1:2" x14ac:dyDescent="0.25">
      <c r="A7926">
        <f ca="1">27557.8869161371*(RANDBETWEEN(2890,3282))</f>
        <v>81654018.93251425</v>
      </c>
      <c r="B7926">
        <v>253279868.0421536</v>
      </c>
    </row>
    <row r="7927" spans="1:2" x14ac:dyDescent="0.25">
      <c r="A7927">
        <f ca="1">28012.5376885162*(RANDBETWEEN(2890,3282))</f>
        <v>90004283.593202472</v>
      </c>
      <c r="B7927">
        <v>255591956.61729997</v>
      </c>
    </row>
    <row r="7928" spans="1:2" x14ac:dyDescent="0.25">
      <c r="A7928">
        <f ca="1">30272.2764917438*(RANDBETWEEN(2890,3282))</f>
        <v>94358685.824765369</v>
      </c>
      <c r="B7928">
        <v>234534928.89228895</v>
      </c>
    </row>
    <row r="7929" spans="1:2" x14ac:dyDescent="0.25">
      <c r="A7929">
        <f ca="1">29934.9942020658*(RANDBETWEEN(2890,3282))</f>
        <v>90074397.55401586</v>
      </c>
      <c r="B7929">
        <v>212509018.08717075</v>
      </c>
    </row>
    <row r="7930" spans="1:2" x14ac:dyDescent="0.25">
      <c r="A7930">
        <f ca="1">33095.4516394953*(RANDBETWEEN(2890,3282))</f>
        <v>105773063.43982688</v>
      </c>
      <c r="B7930">
        <v>229679592.23206785</v>
      </c>
    </row>
    <row r="7931" spans="1:2" x14ac:dyDescent="0.25">
      <c r="A7931">
        <f ca="1">29706.0047981414*(RANDBETWEEN(2890,3282))</f>
        <v>96544515.59395963</v>
      </c>
      <c r="B7931">
        <v>216492503.98243201</v>
      </c>
    </row>
    <row r="7932" spans="1:2" x14ac:dyDescent="0.25">
      <c r="A7932">
        <f ca="1">31697.4141748147*(RANDBETWEEN(2890,3282))</f>
        <v>92017593.349486992</v>
      </c>
      <c r="B7932">
        <v>259275778.92733547</v>
      </c>
    </row>
    <row r="7933" spans="1:2" x14ac:dyDescent="0.25">
      <c r="A7933">
        <f ca="1">26086.2729768749*(RANDBETWEEN(2890,3282))</f>
        <v>82458708.879901469</v>
      </c>
      <c r="B7933">
        <v>204101505.61725771</v>
      </c>
    </row>
    <row r="7934" spans="1:2" x14ac:dyDescent="0.25">
      <c r="A7934">
        <f ca="1">28539.995504187*(RANDBETWEEN(2890,3282))</f>
        <v>92612285.411086977</v>
      </c>
      <c r="B7934">
        <v>207394147.50948042</v>
      </c>
    </row>
    <row r="7935" spans="1:2" x14ac:dyDescent="0.25">
      <c r="A7935">
        <f ca="1">28319.7840451431*(RANDBETWEEN(2890,3282))</f>
        <v>91699460.738173291</v>
      </c>
      <c r="B7935">
        <v>226632656.02723697</v>
      </c>
    </row>
    <row r="7936" spans="1:2" x14ac:dyDescent="0.25">
      <c r="A7936">
        <f ca="1">32457.5629704731*(RANDBETWEEN(2890,3282))</f>
        <v>102663271.6756064</v>
      </c>
      <c r="B7936">
        <v>211955607.4755004</v>
      </c>
    </row>
    <row r="7937" spans="1:2" x14ac:dyDescent="0.25">
      <c r="A7937">
        <f ca="1">26313.8487035586*(RANDBETWEEN(2890,3282))</f>
        <v>81730814.073253036</v>
      </c>
      <c r="B7937">
        <v>266615815.87070885</v>
      </c>
    </row>
    <row r="7938" spans="1:2" x14ac:dyDescent="0.25">
      <c r="A7938">
        <f ca="1">28889.1336932683*(RANDBETWEEN(2890,3282))</f>
        <v>83576263.774625182</v>
      </c>
      <c r="B7938">
        <v>259551635.1421895</v>
      </c>
    </row>
    <row r="7939" spans="1:2" x14ac:dyDescent="0.25">
      <c r="A7939">
        <f ca="1">32913.6846186836*(RANDBETWEEN(2890,3282))</f>
        <v>96173786.455793574</v>
      </c>
      <c r="B7939">
        <v>236852537.20520526</v>
      </c>
    </row>
    <row r="7940" spans="1:2" x14ac:dyDescent="0.25">
      <c r="A7940">
        <f ca="1">27004.5723912312*(RANDBETWEEN(2890,3282))</f>
        <v>81283762.897605896</v>
      </c>
      <c r="B7940">
        <v>246800113.48442531</v>
      </c>
    </row>
    <row r="7941" spans="1:2" x14ac:dyDescent="0.25">
      <c r="A7941">
        <f ca="1">32751.2187106977*(RANDBETWEEN(2890,3282))</f>
        <v>97271119.57077226</v>
      </c>
      <c r="B7941">
        <v>244636312.24022162</v>
      </c>
    </row>
    <row r="7942" spans="1:2" x14ac:dyDescent="0.25">
      <c r="A7942">
        <f ca="1">26647.346540304*(RANDBETWEEN(2890,3282))</f>
        <v>78289904.1354132</v>
      </c>
      <c r="B7942">
        <v>233242212.70489207</v>
      </c>
    </row>
    <row r="7943" spans="1:2" x14ac:dyDescent="0.25">
      <c r="A7943">
        <f ca="1">27139.8802311357*(RANDBETWEEN(2890,3282))</f>
        <v>88096051.230266586</v>
      </c>
      <c r="B7943">
        <v>203864550.05430099</v>
      </c>
    </row>
    <row r="7944" spans="1:2" x14ac:dyDescent="0.25">
      <c r="A7944">
        <f ca="1">28916.0486619063*(RANDBETWEEN(2890,3282))</f>
        <v>84839686.774033234</v>
      </c>
      <c r="B7944">
        <v>220225159.06368709</v>
      </c>
    </row>
    <row r="7945" spans="1:2" x14ac:dyDescent="0.25">
      <c r="A7945">
        <f ca="1">31639.6628132234*(RANDBETWEEN(2890,3282))</f>
        <v>97070485.510969371</v>
      </c>
      <c r="B7945">
        <v>228411122.44837171</v>
      </c>
    </row>
    <row r="7946" spans="1:2" x14ac:dyDescent="0.25">
      <c r="A7946">
        <f ca="1">33264.0290803074*(RANDBETWEEN(2890,3282))</f>
        <v>102885641.94539069</v>
      </c>
      <c r="B7946">
        <v>257329289.36683992</v>
      </c>
    </row>
    <row r="7947" spans="1:2" x14ac:dyDescent="0.25">
      <c r="A7947">
        <f ca="1">29834.912141008*(RANDBETWEEN(2890,3282))</f>
        <v>88460514.498088717</v>
      </c>
      <c r="B7947">
        <v>257827408.76575643</v>
      </c>
    </row>
    <row r="7948" spans="1:2" x14ac:dyDescent="0.25">
      <c r="A7948">
        <f ca="1">30541.0711130579*(RANDBETWEEN(2890,3282))</f>
        <v>95349224.014966771</v>
      </c>
      <c r="B7948">
        <v>224382046.83415267</v>
      </c>
    </row>
    <row r="7949" spans="1:2" x14ac:dyDescent="0.25">
      <c r="A7949">
        <f ca="1">33180.2147789559*(RANDBETWEEN(2890,3282))</f>
        <v>108200680.39417508</v>
      </c>
      <c r="B7949">
        <v>260366139.47725928</v>
      </c>
    </row>
    <row r="7950" spans="1:2" x14ac:dyDescent="0.25">
      <c r="A7950">
        <f ca="1">31940.3217734665*(RANDBETWEEN(2890,3282))</f>
        <v>104253210.26859471</v>
      </c>
      <c r="B7950">
        <v>252372437.2275514</v>
      </c>
    </row>
    <row r="7951" spans="1:2" x14ac:dyDescent="0.25">
      <c r="A7951">
        <f ca="1">32757.8293389729*(RANDBETWEEN(2890,3282))</f>
        <v>104759538.22603518</v>
      </c>
      <c r="B7951">
        <v>212204591.84943178</v>
      </c>
    </row>
    <row r="7952" spans="1:2" x14ac:dyDescent="0.25">
      <c r="A7952">
        <f ca="1">27947.7419554471*(RANDBETWEEN(2890,3282))</f>
        <v>83032741.349633425</v>
      </c>
      <c r="B7952">
        <v>209918697.60149583</v>
      </c>
    </row>
    <row r="7953" spans="1:2" x14ac:dyDescent="0.25">
      <c r="A7953">
        <f ca="1">27789.2780086399*(RANDBETWEEN(2890,3282))</f>
        <v>86230129.66080974</v>
      </c>
      <c r="B7953">
        <v>221344144.10738316</v>
      </c>
    </row>
    <row r="7954" spans="1:2" x14ac:dyDescent="0.25">
      <c r="A7954">
        <f ca="1">30765.9933016538*(RANDBETWEEN(2890,3282))</f>
        <v>96820580.920304433</v>
      </c>
      <c r="B7954">
        <v>260449801.86466494</v>
      </c>
    </row>
    <row r="7955" spans="1:2" x14ac:dyDescent="0.25">
      <c r="A7955">
        <f ca="1">29944.2197391376*(RANDBETWEEN(2890,3282))</f>
        <v>91569423.962282687</v>
      </c>
      <c r="B7955">
        <v>257959233.77927208</v>
      </c>
    </row>
    <row r="7956" spans="1:2" x14ac:dyDescent="0.25">
      <c r="A7956">
        <f ca="1">31548.8723755371*(RANDBETWEEN(2890,3282))</f>
        <v>96886587.065274373</v>
      </c>
      <c r="B7956">
        <v>248421005.96945655</v>
      </c>
    </row>
    <row r="7957" spans="1:2" x14ac:dyDescent="0.25">
      <c r="A7957">
        <f ca="1">29538.4011447273*(RANDBETWEEN(2890,3282))</f>
        <v>90387507.502865657</v>
      </c>
      <c r="B7957">
        <v>214611693.77147424</v>
      </c>
    </row>
    <row r="7958" spans="1:2" x14ac:dyDescent="0.25">
      <c r="A7958">
        <f ca="1">26473.2874686105*(RANDBETWEEN(2890,3282))</f>
        <v>78149144.607338145</v>
      </c>
      <c r="B7958">
        <v>227664079.16696665</v>
      </c>
    </row>
    <row r="7959" spans="1:2" x14ac:dyDescent="0.25">
      <c r="A7959">
        <f ca="1">30485.4164228626*(RANDBETWEEN(2890,3282))</f>
        <v>94748674.242256895</v>
      </c>
      <c r="B7959">
        <v>253973238.23024213</v>
      </c>
    </row>
    <row r="7960" spans="1:2" x14ac:dyDescent="0.25">
      <c r="A7960">
        <f ca="1">32065.1736422156*(RANDBETWEEN(2890,3282))</f>
        <v>102127578.05045661</v>
      </c>
      <c r="B7960">
        <v>245741934.80108321</v>
      </c>
    </row>
    <row r="7961" spans="1:2" x14ac:dyDescent="0.25">
      <c r="A7961">
        <f ca="1">27305.6287420459*(RANDBETWEEN(2890,3282))</f>
        <v>80114714.729162559</v>
      </c>
      <c r="B7961">
        <v>249503957.50319332</v>
      </c>
    </row>
    <row r="7962" spans="1:2" x14ac:dyDescent="0.25">
      <c r="A7962">
        <f ca="1">29184.6163399292*(RANDBETWEEN(2890,3282))</f>
        <v>93507510.753133118</v>
      </c>
      <c r="B7962">
        <v>261481847.51404795</v>
      </c>
    </row>
    <row r="7963" spans="1:2" x14ac:dyDescent="0.25">
      <c r="A7963">
        <f ca="1">30092.4983747194*(RANDBETWEEN(2890,3282))</f>
        <v>90307587.622532934</v>
      </c>
      <c r="B7963">
        <v>231878689.25135213</v>
      </c>
    </row>
    <row r="7964" spans="1:2" x14ac:dyDescent="0.25">
      <c r="A7964">
        <f ca="1">29587.7015234542*(RANDBETWEEN(2890,3282))</f>
        <v>92875795.082122862</v>
      </c>
      <c r="B7964">
        <v>264541108.86330873</v>
      </c>
    </row>
    <row r="7965" spans="1:2" x14ac:dyDescent="0.25">
      <c r="A7965">
        <f ca="1">34693.7270738395*(RANDBETWEEN(2890,3282))</f>
        <v>110048502.278219</v>
      </c>
      <c r="B7965">
        <v>265441910.11313444</v>
      </c>
    </row>
    <row r="7966" spans="1:2" x14ac:dyDescent="0.25">
      <c r="A7966">
        <f ca="1">29383.5943411322*(RANDBETWEEN(2890,3282))</f>
        <v>90795306.51409854</v>
      </c>
      <c r="B7966">
        <v>251265490.37756956</v>
      </c>
    </row>
    <row r="7967" spans="1:2" x14ac:dyDescent="0.25">
      <c r="A7967">
        <f ca="1">31167.062937068*(RANDBETWEEN(2890,3282))</f>
        <v>98082747.062953144</v>
      </c>
      <c r="B7967">
        <v>207501173.70515382</v>
      </c>
    </row>
    <row r="7968" spans="1:2" x14ac:dyDescent="0.25">
      <c r="A7968">
        <f ca="1">30567.040678116*(RANDBETWEEN(2890,3282))</f>
        <v>94360454.573344007</v>
      </c>
      <c r="B7968">
        <v>215164915.03273299</v>
      </c>
    </row>
    <row r="7969" spans="1:2" x14ac:dyDescent="0.25">
      <c r="A7969">
        <f ca="1">30002.4309312139*(RANDBETWEEN(2890,3282))</f>
        <v>93307560.19607529</v>
      </c>
      <c r="B7969">
        <v>245028897.89379454</v>
      </c>
    </row>
    <row r="7970" spans="1:2" x14ac:dyDescent="0.25">
      <c r="A7970">
        <f ca="1">25990.3502575095*(RANDBETWEEN(2890,3282))</f>
        <v>82883226.971197754</v>
      </c>
      <c r="B7970">
        <v>236325852.06774411</v>
      </c>
    </row>
    <row r="7971" spans="1:2" x14ac:dyDescent="0.25">
      <c r="A7971">
        <f ca="1">27850.1427600609*(RANDBETWEEN(2890,3282))</f>
        <v>85722739.415467396</v>
      </c>
      <c r="B7971">
        <v>232946648.72877732</v>
      </c>
    </row>
    <row r="7972" spans="1:2" x14ac:dyDescent="0.25">
      <c r="A7972">
        <f ca="1">30385.8688265371*(RANDBETWEEN(2890,3282))</f>
        <v>93345389.035122022</v>
      </c>
      <c r="B7972">
        <v>262691763.58626157</v>
      </c>
    </row>
    <row r="7973" spans="1:2" x14ac:dyDescent="0.25">
      <c r="A7973">
        <f ca="1">31027.4462608937*(RANDBETWEEN(2890,3282))</f>
        <v>93702887.707899064</v>
      </c>
      <c r="B7973">
        <v>262848399.520547</v>
      </c>
    </row>
    <row r="7974" spans="1:2" x14ac:dyDescent="0.25">
      <c r="A7974">
        <f ca="1">28352.3121092977*(RANDBETWEEN(2890,3282))</f>
        <v>83525911.473991036</v>
      </c>
      <c r="B7974">
        <v>213986264.88012487</v>
      </c>
    </row>
    <row r="7975" spans="1:2" x14ac:dyDescent="0.25">
      <c r="A7975">
        <f ca="1">27350.2975660374*(RANDBETWEEN(2890,3282))</f>
        <v>81093632.283300877</v>
      </c>
      <c r="B7975">
        <v>215385049.32132918</v>
      </c>
    </row>
    <row r="7976" spans="1:2" x14ac:dyDescent="0.25">
      <c r="A7976">
        <f ca="1">31526.651782289*(RANDBETWEEN(2890,3282))</f>
        <v>99655746.283815503</v>
      </c>
      <c r="B7976">
        <v>248729715.16153449</v>
      </c>
    </row>
    <row r="7977" spans="1:2" x14ac:dyDescent="0.25">
      <c r="A7977">
        <f ca="1">29736.5736478263*(RANDBETWEEN(2890,3282))</f>
        <v>96792547.223674759</v>
      </c>
      <c r="B7977">
        <v>219944322.08218449</v>
      </c>
    </row>
    <row r="7978" spans="1:2" x14ac:dyDescent="0.25">
      <c r="A7978">
        <f ca="1">30336.1228776735*(RANDBETWEEN(2890,3282))</f>
        <v>90158957.192445621</v>
      </c>
      <c r="B7978">
        <v>246109012.91137475</v>
      </c>
    </row>
    <row r="7979" spans="1:2" x14ac:dyDescent="0.25">
      <c r="A7979">
        <f ca="1">33268.7421128417*(RANDBETWEEN(2890,3282))</f>
        <v>105129225.07657968</v>
      </c>
      <c r="B7979">
        <v>209543263.32649285</v>
      </c>
    </row>
    <row r="7980" spans="1:2" x14ac:dyDescent="0.25">
      <c r="A7980">
        <f ca="1">28895.6214617968*(RANDBETWEEN(2890,3282))</f>
        <v>90876729.497351035</v>
      </c>
      <c r="B7980">
        <v>221146771.9770394</v>
      </c>
    </row>
    <row r="7981" spans="1:2" x14ac:dyDescent="0.25">
      <c r="A7981">
        <f ca="1">30513.6843156167*(RANDBETWEEN(2890,3282))</f>
        <v>96545297.174611315</v>
      </c>
      <c r="B7981">
        <v>250968508.95571333</v>
      </c>
    </row>
    <row r="7982" spans="1:2" x14ac:dyDescent="0.25">
      <c r="A7982">
        <f ca="1">25285.5775559011*(RANDBETWEEN(2890,3282))</f>
        <v>74036171.083678454</v>
      </c>
      <c r="B7982">
        <v>233785993.28529364</v>
      </c>
    </row>
    <row r="7983" spans="1:2" x14ac:dyDescent="0.25">
      <c r="A7983">
        <f ca="1">29598.0294894159*(RANDBETWEEN(2890,3282))</f>
        <v>94772890.425109729</v>
      </c>
      <c r="B7983">
        <v>255341226.96932831</v>
      </c>
    </row>
    <row r="7984" spans="1:2" x14ac:dyDescent="0.25">
      <c r="A7984">
        <f ca="1">28256.5963406373*(RANDBETWEEN(2890,3282))</f>
        <v>83809064.746330142</v>
      </c>
      <c r="B7984">
        <v>259523590.09934863</v>
      </c>
    </row>
    <row r="7985" spans="1:2" x14ac:dyDescent="0.25">
      <c r="A7985">
        <f ca="1">30551.5355229702*(RANDBETWEEN(2890,3282))</f>
        <v>94984723.940914467</v>
      </c>
      <c r="B7985">
        <v>263981636.14676565</v>
      </c>
    </row>
    <row r="7986" spans="1:2" x14ac:dyDescent="0.25">
      <c r="A7986">
        <f ca="1">27331.9676411758*(RANDBETWEEN(2890,3282))</f>
        <v>79536025.835821658</v>
      </c>
      <c r="B7986">
        <v>206675236.88858598</v>
      </c>
    </row>
    <row r="7987" spans="1:2" x14ac:dyDescent="0.25">
      <c r="A7987">
        <f ca="1">28548.6452044816*(RANDBETWEEN(2890,3282))</f>
        <v>88329508.262666047</v>
      </c>
      <c r="B7987">
        <v>241289421.31829488</v>
      </c>
    </row>
    <row r="7988" spans="1:2" x14ac:dyDescent="0.25">
      <c r="A7988">
        <f ca="1">28750.0029573828*(RANDBETWEEN(2890,3282))</f>
        <v>89125009.16788663</v>
      </c>
      <c r="B7988">
        <v>234748861.78198436</v>
      </c>
    </row>
    <row r="7989" spans="1:2" x14ac:dyDescent="0.25">
      <c r="A7989">
        <f ca="1">30126.5814648743*(RANDBETWEEN(2890,3282))</f>
        <v>97308858.131544128</v>
      </c>
      <c r="B7989">
        <v>257356854.10965812</v>
      </c>
    </row>
    <row r="7990" spans="1:2" x14ac:dyDescent="0.25">
      <c r="A7990">
        <f ca="1">27207.8755584711*(RANDBETWEEN(2890,3282))</f>
        <v>79855114.764112726</v>
      </c>
      <c r="B7990">
        <v>259214745.13388652</v>
      </c>
    </row>
    <row r="7991" spans="1:2" x14ac:dyDescent="0.25">
      <c r="A7991">
        <f ca="1">30668.0861988534*(RANDBETWEEN(2890,3282))</f>
        <v>99855288.663466543</v>
      </c>
      <c r="B7991">
        <v>239308062.44289321</v>
      </c>
    </row>
    <row r="7992" spans="1:2" x14ac:dyDescent="0.25">
      <c r="A7992">
        <f ca="1">28124.6824159896*(RANDBETWEEN(2890,3282))</f>
        <v>89577113.494926736</v>
      </c>
      <c r="B7992">
        <v>216822588.41085255</v>
      </c>
    </row>
    <row r="7993" spans="1:2" x14ac:dyDescent="0.25">
      <c r="A7993">
        <f ca="1">30419.5491160356*(RANDBETWEEN(2890,3282))</f>
        <v>93053400.745953172</v>
      </c>
      <c r="B7993">
        <v>206432873.63803482</v>
      </c>
    </row>
    <row r="7994" spans="1:2" x14ac:dyDescent="0.25">
      <c r="A7994">
        <f ca="1">30112.3279769473*(RANDBETWEEN(2890,3282))</f>
        <v>98015627.56496352</v>
      </c>
      <c r="B7994">
        <v>220133561.32486385</v>
      </c>
    </row>
    <row r="7995" spans="1:2" x14ac:dyDescent="0.25">
      <c r="A7995">
        <f ca="1">30510.9459064354*(RANDBETWEEN(2890,3282))</f>
        <v>96139990.551177979</v>
      </c>
      <c r="B7995">
        <v>267809380.51061019</v>
      </c>
    </row>
    <row r="7996" spans="1:2" x14ac:dyDescent="0.25">
      <c r="A7996">
        <f ca="1">31375.1872780848*(RANDBETWEEN(2890,3282))</f>
        <v>99647594.795197189</v>
      </c>
      <c r="B7996">
        <v>211491660.524804</v>
      </c>
    </row>
    <row r="7997" spans="1:2" x14ac:dyDescent="0.25">
      <c r="A7997">
        <f ca="1">30306.1111062357*(RANDBETWEEN(2890,3282))</f>
        <v>90403129.429901004</v>
      </c>
      <c r="B7997">
        <v>204986790.49232164</v>
      </c>
    </row>
    <row r="7998" spans="1:2" x14ac:dyDescent="0.25">
      <c r="A7998">
        <f ca="1">30732.8740913695*(RANDBETWEEN(2890,3282))</f>
        <v>100557964.02696101</v>
      </c>
      <c r="B7998">
        <v>204344586.72661358</v>
      </c>
    </row>
    <row r="7999" spans="1:2" x14ac:dyDescent="0.25">
      <c r="A7999">
        <f ca="1">32453.3241702097*(RANDBETWEEN(2890,3282))</f>
        <v>97327519.186458856</v>
      </c>
      <c r="B7999">
        <v>221937766.32540974</v>
      </c>
    </row>
    <row r="8000" spans="1:2" x14ac:dyDescent="0.25">
      <c r="A8000">
        <f ca="1">27456.4075331366*(RANDBETWEEN(2890,3282))</f>
        <v>81023858.630286142</v>
      </c>
      <c r="B8000">
        <v>255059903.5436444</v>
      </c>
    </row>
    <row r="8001" spans="1:2" x14ac:dyDescent="0.25">
      <c r="A8001">
        <f ca="1">26805.2760500684*(RANDBETWEEN(2890,3282))</f>
        <v>86286183.605170116</v>
      </c>
      <c r="B8001">
        <v>208242989.42712215</v>
      </c>
    </row>
    <row r="8002" spans="1:2" x14ac:dyDescent="0.25">
      <c r="A8002">
        <f ca="1">27710.1197404587*(RANDBETWEEN(2890,3282))</f>
        <v>90889192.748704538</v>
      </c>
      <c r="B8002">
        <v>206244643.88533932</v>
      </c>
    </row>
    <row r="8003" spans="1:2" x14ac:dyDescent="0.25">
      <c r="A8003">
        <f ca="1">28715.3777738005*(RANDBETWEEN(2890,3282))</f>
        <v>90683163.009662122</v>
      </c>
      <c r="B8003">
        <v>205997072.94483781</v>
      </c>
    </row>
    <row r="8004" spans="1:2" x14ac:dyDescent="0.25">
      <c r="A8004">
        <f ca="1">30814.9929344934*(RANDBETWEEN(2890,3282))</f>
        <v>90411189.269803569</v>
      </c>
      <c r="B8004">
        <v>248004264.02088374</v>
      </c>
    </row>
    <row r="8005" spans="1:2" x14ac:dyDescent="0.25">
      <c r="A8005">
        <f ca="1">29300.6740321757*(RANDBETWEEN(2890,3282))</f>
        <v>89542859.842329085</v>
      </c>
      <c r="B8005">
        <v>259546142.43827868</v>
      </c>
    </row>
    <row r="8006" spans="1:2" x14ac:dyDescent="0.25">
      <c r="A8006">
        <f ca="1">27197.8177020702*(RANDBETWEEN(2890,3282))</f>
        <v>81294277.111487791</v>
      </c>
      <c r="B8006">
        <v>244189618.432991</v>
      </c>
    </row>
    <row r="8007" spans="1:2" x14ac:dyDescent="0.25">
      <c r="A8007">
        <f ca="1">30151.3122743577*(RANDBETWEEN(2890,3282))</f>
        <v>98745547.698521346</v>
      </c>
      <c r="B8007">
        <v>235243971.87745577</v>
      </c>
    </row>
    <row r="8008" spans="1:2" x14ac:dyDescent="0.25">
      <c r="A8008">
        <f ca="1">26747.9806174405*(RANDBETWEEN(2890,3282))</f>
        <v>85165570.285930634</v>
      </c>
      <c r="B8008">
        <v>242355164.66029853</v>
      </c>
    </row>
    <row r="8009" spans="1:2" x14ac:dyDescent="0.25">
      <c r="A8009">
        <f ca="1">27937.0636084297*(RANDBETWEEN(2890,3282))</f>
        <v>85124232.814885318</v>
      </c>
      <c r="B8009">
        <v>208853142.02425969</v>
      </c>
    </row>
    <row r="8010" spans="1:2" x14ac:dyDescent="0.25">
      <c r="A8010">
        <f ca="1">32796.0982123934*(RANDBETWEEN(2890,3282))</f>
        <v>101766292.75305684</v>
      </c>
      <c r="B8010">
        <v>256483717.27681759</v>
      </c>
    </row>
    <row r="8011" spans="1:2" x14ac:dyDescent="0.25">
      <c r="A8011">
        <f ca="1">25625.9977641837*(RANDBETWEEN(2890,3282))</f>
        <v>76621733.314909324</v>
      </c>
      <c r="B8011">
        <v>227812766.87187478</v>
      </c>
    </row>
    <row r="8012" spans="1:2" x14ac:dyDescent="0.25">
      <c r="A8012">
        <f ca="1">26658.2364978959*(RANDBETWEEN(2890,3282))</f>
        <v>79468203.00022763</v>
      </c>
      <c r="B8012">
        <v>250851138.69810736</v>
      </c>
    </row>
    <row r="8013" spans="1:2" x14ac:dyDescent="0.25">
      <c r="A8013">
        <f ca="1">29390.4194841735*(RANDBETWEEN(2890,3282))</f>
        <v>88964799.778593272</v>
      </c>
      <c r="B8013">
        <v>204595245.05816594</v>
      </c>
    </row>
    <row r="8014" spans="1:2" x14ac:dyDescent="0.25">
      <c r="A8014">
        <f ca="1">28704.2519109642*(RANDBETWEEN(2890,3282))</f>
        <v>93805495.245031148</v>
      </c>
      <c r="B8014">
        <v>227697677.94366467</v>
      </c>
    </row>
    <row r="8015" spans="1:2" x14ac:dyDescent="0.25">
      <c r="A8015">
        <f ca="1">28376.4323558697*(RANDBETWEEN(2890,3282))</f>
        <v>87910187.438484266</v>
      </c>
      <c r="B8015">
        <v>247782328.56357348</v>
      </c>
    </row>
    <row r="8016" spans="1:2" x14ac:dyDescent="0.25">
      <c r="A8016">
        <f ca="1">27468.4732002743*(RANDBETWEEN(2890,3282))</f>
        <v>85289609.286851585</v>
      </c>
      <c r="B8016">
        <v>239026191.48638463</v>
      </c>
    </row>
    <row r="8017" spans="1:2" x14ac:dyDescent="0.25">
      <c r="A8017">
        <f ca="1">31614.4600837972*(RANDBETWEEN(2890,3282))</f>
        <v>101672103.6294919</v>
      </c>
      <c r="B8017">
        <v>265558446.24187246</v>
      </c>
    </row>
    <row r="8018" spans="1:2" x14ac:dyDescent="0.25">
      <c r="A8018">
        <f ca="1">31109.3321020165*(RANDBETWEEN(2890,3282))</f>
        <v>95567868.217394799</v>
      </c>
      <c r="B8018">
        <v>264476600.20515034</v>
      </c>
    </row>
    <row r="8019" spans="1:2" x14ac:dyDescent="0.25">
      <c r="A8019">
        <f ca="1">30108.7419000716*(RANDBETWEEN(2890,3282))</f>
        <v>91500466.634317517</v>
      </c>
      <c r="B8019">
        <v>253135504.13868287</v>
      </c>
    </row>
    <row r="8020" spans="1:2" x14ac:dyDescent="0.25">
      <c r="A8020">
        <f ca="1">30151.1239203716*(RANDBETWEEN(2890,3282))</f>
        <v>92775008.302983403</v>
      </c>
      <c r="B8020">
        <v>230312701.90680808</v>
      </c>
    </row>
    <row r="8021" spans="1:2" x14ac:dyDescent="0.25">
      <c r="A8021">
        <f ca="1">33246.5986704003*(RANDBETWEEN(2890,3282))</f>
        <v>106056649.75857683</v>
      </c>
      <c r="B8021">
        <v>240312302.02054459</v>
      </c>
    </row>
    <row r="8022" spans="1:2" x14ac:dyDescent="0.25">
      <c r="A8022">
        <f ca="1">31268.2392471261*(RANDBETWEEN(2890,3282))</f>
        <v>99620610.241343811</v>
      </c>
      <c r="B8022">
        <v>242459559.44242021</v>
      </c>
    </row>
    <row r="8023" spans="1:2" x14ac:dyDescent="0.25">
      <c r="A8023">
        <f ca="1">30735.6314675046*(RANDBETWEEN(2890,3282))</f>
        <v>94604273.656979203</v>
      </c>
      <c r="B8023">
        <v>243930666.67209494</v>
      </c>
    </row>
    <row r="8024" spans="1:2" x14ac:dyDescent="0.25">
      <c r="A8024">
        <f ca="1">29148.4051689387*(RANDBETWEEN(2890,3282))</f>
        <v>90826430.506412953</v>
      </c>
      <c r="B8024">
        <v>221307924.20865053</v>
      </c>
    </row>
    <row r="8025" spans="1:2" x14ac:dyDescent="0.25">
      <c r="A8025">
        <f ca="1">31750.5550314858*(RANDBETWEEN(2890,3282))</f>
        <v>94013393.448229417</v>
      </c>
      <c r="B8025">
        <v>265696623.8076151</v>
      </c>
    </row>
    <row r="8026" spans="1:2" x14ac:dyDescent="0.25">
      <c r="A8026">
        <f ca="1">27413.3666573222*(RANDBETWEEN(2890,3282))</f>
        <v>85940904.470704973</v>
      </c>
      <c r="B8026">
        <v>229841302.28643084</v>
      </c>
    </row>
    <row r="8027" spans="1:2" x14ac:dyDescent="0.25">
      <c r="A8027">
        <f ca="1">27533.3993508435*(RANDBETWEEN(2890,3282))</f>
        <v>80975727.490830645</v>
      </c>
      <c r="B8027">
        <v>243733486.08580905</v>
      </c>
    </row>
    <row r="8028" spans="1:2" x14ac:dyDescent="0.25">
      <c r="A8028">
        <f ca="1">27723.2760737841*(RANDBETWEEN(2890,3282))</f>
        <v>85470860.135476515</v>
      </c>
      <c r="B8028">
        <v>260146173.15714741</v>
      </c>
    </row>
    <row r="8029" spans="1:2" x14ac:dyDescent="0.25">
      <c r="A8029">
        <f ca="1">26513.2939397831*(RANDBETWEEN(2890,3282))</f>
        <v>79354288.761770785</v>
      </c>
      <c r="B8029">
        <v>212424706.96030751</v>
      </c>
    </row>
    <row r="8030" spans="1:2" x14ac:dyDescent="0.25">
      <c r="A8030">
        <f ca="1">33816.4245486154*(RANDBETWEEN(2890,3282))</f>
        <v>106758452.29997882</v>
      </c>
      <c r="B8030">
        <v>210835472.03291965</v>
      </c>
    </row>
    <row r="8031" spans="1:2" x14ac:dyDescent="0.25">
      <c r="A8031">
        <f ca="1">30150.6232553701*(RANDBETWEEN(2890,3282))</f>
        <v>94522203.9055852</v>
      </c>
      <c r="B8031">
        <v>226237870.52639374</v>
      </c>
    </row>
    <row r="8032" spans="1:2" x14ac:dyDescent="0.25">
      <c r="A8032">
        <f ca="1">27751.5784964041*(RANDBETWEEN(2890,3282))</f>
        <v>89665350.121881574</v>
      </c>
      <c r="B8032">
        <v>226099975.27476022</v>
      </c>
    </row>
    <row r="8033" spans="1:2" x14ac:dyDescent="0.25">
      <c r="A8033">
        <f ca="1">27628.6710282793*(RANDBETWEEN(2890,3282))</f>
        <v>89765552.170879334</v>
      </c>
      <c r="B8033">
        <v>250637609.86369836</v>
      </c>
    </row>
    <row r="8034" spans="1:2" x14ac:dyDescent="0.25">
      <c r="A8034">
        <f ca="1">29216.0050766934*(RANDBETWEEN(2890,3282))</f>
        <v>90774127.773286313</v>
      </c>
      <c r="B8034">
        <v>243179682.12825656</v>
      </c>
    </row>
    <row r="8035" spans="1:2" x14ac:dyDescent="0.25">
      <c r="A8035">
        <f ca="1">30552.6204609408*(RANDBETWEEN(2890,3282))</f>
        <v>95263070.597213477</v>
      </c>
      <c r="B8035">
        <v>228037991.48345816</v>
      </c>
    </row>
    <row r="8036" spans="1:2" x14ac:dyDescent="0.25">
      <c r="A8036">
        <f ca="1">27233.1406368557*(RANDBETWEEN(2890,3282))</f>
        <v>80528396.863182366</v>
      </c>
      <c r="B8036">
        <v>219044034.06900799</v>
      </c>
    </row>
    <row r="8037" spans="1:2" x14ac:dyDescent="0.25">
      <c r="A8037">
        <f ca="1">28166.7392402462*(RANDBETWEEN(2890,3282))</f>
        <v>89006895.999178082</v>
      </c>
      <c r="B8037">
        <v>248686103.85466754</v>
      </c>
    </row>
    <row r="8038" spans="1:2" x14ac:dyDescent="0.25">
      <c r="A8038">
        <f ca="1">32342.9963144848*(RANDBETWEEN(2890,3282))</f>
        <v>98452080.781291872</v>
      </c>
      <c r="B8038">
        <v>256018076.60888094</v>
      </c>
    </row>
    <row r="8039" spans="1:2" x14ac:dyDescent="0.25">
      <c r="A8039">
        <f ca="1">27538.1764009243*(RANDBETWEEN(2890,3282))</f>
        <v>83688518.082408994</v>
      </c>
      <c r="B8039">
        <v>207722468.87983793</v>
      </c>
    </row>
    <row r="8040" spans="1:2" x14ac:dyDescent="0.25">
      <c r="A8040">
        <f ca="1">31631.5362747183*(RANDBETWEEN(2890,3282))</f>
        <v>96507817.174165592</v>
      </c>
      <c r="B8040">
        <v>228765090.32286158</v>
      </c>
    </row>
    <row r="8041" spans="1:2" x14ac:dyDescent="0.25">
      <c r="A8041">
        <f ca="1">29603.3064247624*(RANDBETWEEN(2890,3282))</f>
        <v>92658349.109506324</v>
      </c>
      <c r="B8041">
        <v>212018894.36123312</v>
      </c>
    </row>
    <row r="8042" spans="1:2" x14ac:dyDescent="0.25">
      <c r="A8042">
        <f ca="1">32866.3905623276*(RANDBETWEEN(2890,3282))</f>
        <v>97843244.704049304</v>
      </c>
      <c r="B8042">
        <v>205241906.67387193</v>
      </c>
    </row>
    <row r="8043" spans="1:2" x14ac:dyDescent="0.25">
      <c r="A8043">
        <f ca="1">26895.436352399*(RANDBETWEEN(2890,3282))</f>
        <v>80928367.984368637</v>
      </c>
      <c r="B8043">
        <v>240814195.87842411</v>
      </c>
    </row>
    <row r="8044" spans="1:2" x14ac:dyDescent="0.25">
      <c r="A8044">
        <f ca="1">25127.9948857852*(RANDBETWEEN(2890,3282))</f>
        <v>73675281.005122319</v>
      </c>
      <c r="B8044">
        <v>253918628.48937565</v>
      </c>
    </row>
    <row r="8045" spans="1:2" x14ac:dyDescent="0.25">
      <c r="A8045">
        <f ca="1">29927.2842062865*(RANDBETWEEN(2890,3282))</f>
        <v>88824179.524258256</v>
      </c>
      <c r="B8045">
        <v>219156285.25448391</v>
      </c>
    </row>
    <row r="8046" spans="1:2" x14ac:dyDescent="0.25">
      <c r="A8046">
        <f ca="1">30926.4276102216*(RANDBETWEEN(2890,3282))</f>
        <v>101407756.1339166</v>
      </c>
      <c r="B8046">
        <v>226701978.69755343</v>
      </c>
    </row>
    <row r="8047" spans="1:2" x14ac:dyDescent="0.25">
      <c r="A8047">
        <f ca="1">30160.6260851823*(RANDBETWEEN(2890,3282))</f>
        <v>98022034.776842579</v>
      </c>
      <c r="B8047">
        <v>250106142.43442953</v>
      </c>
    </row>
    <row r="8048" spans="1:2" x14ac:dyDescent="0.25">
      <c r="A8048">
        <f ca="1">27160.6583505673*(RANDBETWEEN(2890,3282))</f>
        <v>80775797.934587196</v>
      </c>
      <c r="B8048">
        <v>256561537.18162984</v>
      </c>
    </row>
    <row r="8049" spans="1:2" x14ac:dyDescent="0.25">
      <c r="A8049">
        <f ca="1">31688.5528383213*(RANDBETWEEN(2890,3282))</f>
        <v>100611155.26167004</v>
      </c>
      <c r="B8049">
        <v>240438375.02041525</v>
      </c>
    </row>
    <row r="8050" spans="1:2" x14ac:dyDescent="0.25">
      <c r="A8050">
        <f ca="1">33311.4340986381*(RANDBETWEEN(2890,3282))</f>
        <v>99801056.559519768</v>
      </c>
      <c r="B8050">
        <v>261699197.81083548</v>
      </c>
    </row>
    <row r="8051" spans="1:2" x14ac:dyDescent="0.25">
      <c r="A8051">
        <f ca="1">26547.7326884786*(RANDBETWEEN(2890,3282))</f>
        <v>86386322.168309435</v>
      </c>
      <c r="B8051">
        <v>213664970.46714479</v>
      </c>
    </row>
    <row r="8052" spans="1:2" x14ac:dyDescent="0.25">
      <c r="A8052">
        <f ca="1">31841.0074584665*(RANDBETWEEN(2890,3282))</f>
        <v>94535951.144187048</v>
      </c>
      <c r="B8052">
        <v>207727147.21993071</v>
      </c>
    </row>
    <row r="8053" spans="1:2" x14ac:dyDescent="0.25">
      <c r="A8053">
        <f ca="1">27909.9962512618*(RANDBETWEEN(2890,3282))</f>
        <v>90093467.899072975</v>
      </c>
      <c r="B8053">
        <v>219475953.84559509</v>
      </c>
    </row>
    <row r="8054" spans="1:2" x14ac:dyDescent="0.25">
      <c r="A8054">
        <f ca="1">26582.883454905*(RANDBETWEEN(2890,3282))</f>
        <v>80652468.402181745</v>
      </c>
      <c r="B8054">
        <v>243389802.18104407</v>
      </c>
    </row>
    <row r="8055" spans="1:2" x14ac:dyDescent="0.25">
      <c r="A8055">
        <f ca="1">29105.7445561956*(RANDBETWEEN(2890,3282))</f>
        <v>86618695.799238235</v>
      </c>
      <c r="B8055">
        <v>207648247.36974025</v>
      </c>
    </row>
    <row r="8056" spans="1:2" x14ac:dyDescent="0.25">
      <c r="A8056">
        <f ca="1">26717.8102488858*(RANDBETWEEN(2890,3282))</f>
        <v>77695392.203759789</v>
      </c>
      <c r="B8056">
        <v>237218200.05394253</v>
      </c>
    </row>
    <row r="8057" spans="1:2" x14ac:dyDescent="0.25">
      <c r="A8057">
        <f ca="1">28095.4674027168*(RANDBETWEEN(2890,3282))</f>
        <v>91310269.058829725</v>
      </c>
      <c r="B8057">
        <v>231128158.54461843</v>
      </c>
    </row>
    <row r="8058" spans="1:2" x14ac:dyDescent="0.25">
      <c r="A8058">
        <f ca="1">32036.5862423318*(RANDBETWEEN(2890,3282))</f>
        <v>101171539.35328385</v>
      </c>
      <c r="B8058">
        <v>251794429.12251005</v>
      </c>
    </row>
    <row r="8059" spans="1:2" x14ac:dyDescent="0.25">
      <c r="A8059">
        <f ca="1">27558.2895411642*(RANDBETWEEN(2890,3282))</f>
        <v>81076487.830105126</v>
      </c>
      <c r="B8059">
        <v>239520303.21330622</v>
      </c>
    </row>
    <row r="8060" spans="1:2" x14ac:dyDescent="0.25">
      <c r="A8060">
        <f ca="1">31188.9263211004*(RANDBETWEEN(2890,3282))</f>
        <v>96716860.521732301</v>
      </c>
      <c r="B8060">
        <v>228765701.59815058</v>
      </c>
    </row>
    <row r="8061" spans="1:2" x14ac:dyDescent="0.25">
      <c r="A8061">
        <f ca="1">26285.8527828594*(RANDBETWEEN(2890,3282))</f>
        <v>82117004.093652666</v>
      </c>
      <c r="B8061">
        <v>241923829.23400414</v>
      </c>
    </row>
    <row r="8062" spans="1:2" x14ac:dyDescent="0.25">
      <c r="A8062">
        <f ca="1">29833.4349924294*(RANDBETWEEN(2890,3282))</f>
        <v>91021810.161901996</v>
      </c>
      <c r="B8062">
        <v>258789937.46748337</v>
      </c>
    </row>
    <row r="8063" spans="1:2" x14ac:dyDescent="0.25">
      <c r="A8063">
        <f ca="1">26121.0645189241*(RANDBETWEEN(2890,3282))</f>
        <v>84971822.880060047</v>
      </c>
      <c r="B8063">
        <v>214338497.33097672</v>
      </c>
    </row>
    <row r="8064" spans="1:2" x14ac:dyDescent="0.25">
      <c r="A8064">
        <f ca="1">26153.0464339003*(RANDBETWEEN(2890,3282))</f>
        <v>77700700.955117866</v>
      </c>
      <c r="B8064">
        <v>254291731.41068825</v>
      </c>
    </row>
    <row r="8065" spans="1:2" x14ac:dyDescent="0.25">
      <c r="A8065">
        <f ca="1">31767.9387107579*(RANDBETWEEN(2890,3282))</f>
        <v>96828677.19039008</v>
      </c>
      <c r="B8065">
        <v>231874299.54520532</v>
      </c>
    </row>
    <row r="8066" spans="1:2" x14ac:dyDescent="0.25">
      <c r="A8066">
        <f ca="1">32045.3103583038*(RANDBETWEEN(2890,3282))</f>
        <v>96071840.45419468</v>
      </c>
      <c r="B8066">
        <v>216330224.39323911</v>
      </c>
    </row>
    <row r="8067" spans="1:2" x14ac:dyDescent="0.25">
      <c r="A8067">
        <f ca="1">28050.772966628*(RANDBETWEEN(2890,3282))</f>
        <v>85190197.499649316</v>
      </c>
      <c r="B8067">
        <v>232006705.63458183</v>
      </c>
    </row>
    <row r="8068" spans="1:2" x14ac:dyDescent="0.25">
      <c r="A8068">
        <f ca="1">30763.8353860858*(RANDBETWEEN(2890,3282))</f>
        <v>91522410.273605391</v>
      </c>
      <c r="B8068">
        <v>229220055.61862427</v>
      </c>
    </row>
    <row r="8069" spans="1:2" x14ac:dyDescent="0.25">
      <c r="A8069">
        <f ca="1">32509.9321806945*(RANDBETWEEN(2890,3282))</f>
        <v>101853617.52211578</v>
      </c>
      <c r="B8069">
        <v>262412437.73549908</v>
      </c>
    </row>
    <row r="8070" spans="1:2" x14ac:dyDescent="0.25">
      <c r="A8070">
        <f ca="1">31411.2128423281*(RANDBETWEEN(2890,3282))</f>
        <v>97971572.855221197</v>
      </c>
      <c r="B8070">
        <v>205967162.72582731</v>
      </c>
    </row>
    <row r="8071" spans="1:2" x14ac:dyDescent="0.25">
      <c r="A8071">
        <f ca="1">26932.2526873717*(RANDBETWEEN(2890,3282))</f>
        <v>78480584.331001237</v>
      </c>
      <c r="B8071">
        <v>236675646.46362352</v>
      </c>
    </row>
    <row r="8072" spans="1:2" x14ac:dyDescent="0.25">
      <c r="A8072">
        <f ca="1">33186.0289576612*(RANDBETWEEN(2890,3282))</f>
        <v>104370061.07184462</v>
      </c>
      <c r="B8072">
        <v>223740405.20678401</v>
      </c>
    </row>
    <row r="8073" spans="1:2" x14ac:dyDescent="0.25">
      <c r="A8073">
        <f ca="1">28755.3500510828*(RANDBETWEEN(2890,3282))</f>
        <v>86093518.052941993</v>
      </c>
      <c r="B8073">
        <v>209697690.74291152</v>
      </c>
    </row>
    <row r="8074" spans="1:2" x14ac:dyDescent="0.25">
      <c r="A8074">
        <f ca="1">30009.3231842421*(RANDBETWEEN(2890,3282))</f>
        <v>97470281.702418178</v>
      </c>
      <c r="B8074">
        <v>228699069.53503966</v>
      </c>
    </row>
    <row r="8075" spans="1:2" x14ac:dyDescent="0.25">
      <c r="A8075">
        <f ca="1">30787.2263548877*(RANDBETWEEN(2890,3282))</f>
        <v>95902210.095475301</v>
      </c>
      <c r="B8075">
        <v>214986467.82784235</v>
      </c>
    </row>
    <row r="8076" spans="1:2" x14ac:dyDescent="0.25">
      <c r="A8076">
        <f ca="1">33357.3944977053*(RANDBETWEEN(2890,3282))</f>
        <v>105376009.218251</v>
      </c>
      <c r="B8076">
        <v>244705480.03436723</v>
      </c>
    </row>
    <row r="8077" spans="1:2" x14ac:dyDescent="0.25">
      <c r="A8077">
        <f ca="1">30375.7487568907*(RANDBETWEEN(2890,3282))</f>
        <v>99328698.435032651</v>
      </c>
      <c r="B8077">
        <v>214490944.95268744</v>
      </c>
    </row>
    <row r="8078" spans="1:2" x14ac:dyDescent="0.25">
      <c r="A8078">
        <f ca="1">30175.5129179466*(RANDBETWEEN(2890,3282))</f>
        <v>98462698.651259884</v>
      </c>
      <c r="B8078">
        <v>233581748.17548037</v>
      </c>
    </row>
    <row r="8079" spans="1:2" x14ac:dyDescent="0.25">
      <c r="A8079">
        <f ca="1">26517.9324932882*(RANDBETWEEN(2890,3282))</f>
        <v>83133718.366458431</v>
      </c>
      <c r="B8079">
        <v>231991669.5964331</v>
      </c>
    </row>
    <row r="8080" spans="1:2" x14ac:dyDescent="0.25">
      <c r="A8080">
        <f ca="1">27306.811316825*(RANDBETWEEN(2890,3282))</f>
        <v>86917580.421453878</v>
      </c>
      <c r="B8080">
        <v>205542909.52214572</v>
      </c>
    </row>
    <row r="8081" spans="1:2" x14ac:dyDescent="0.25">
      <c r="A8081">
        <f ca="1">27205.2159464667*(RANDBETWEEN(2890,3282))</f>
        <v>79058357.540432215</v>
      </c>
      <c r="B8081">
        <v>241861503.29818833</v>
      </c>
    </row>
    <row r="8082" spans="1:2" x14ac:dyDescent="0.25">
      <c r="A8082">
        <f ca="1">28778.7040622581*(RANDBETWEEN(2890,3282))</f>
        <v>90134901.122992396</v>
      </c>
      <c r="B8082">
        <v>250830872.28459501</v>
      </c>
    </row>
    <row r="8083" spans="1:2" x14ac:dyDescent="0.25">
      <c r="A8083">
        <f ca="1">26527.8566063718*(RANDBETWEEN(2890,3282))</f>
        <v>85764560.408400178</v>
      </c>
      <c r="B8083">
        <v>233549636.99247274</v>
      </c>
    </row>
    <row r="8084" spans="1:2" x14ac:dyDescent="0.25">
      <c r="A8084">
        <f ca="1">32567.315457931*(RANDBETWEEN(2890,3282))</f>
        <v>95617638.184485346</v>
      </c>
      <c r="B8084">
        <v>265820871.6157932</v>
      </c>
    </row>
    <row r="8085" spans="1:2" x14ac:dyDescent="0.25">
      <c r="A8085">
        <f ca="1">29509.5342982412*(RANDBETWEEN(2890,3282))</f>
        <v>93692771.396915779</v>
      </c>
      <c r="B8085">
        <v>251830473.65455955</v>
      </c>
    </row>
    <row r="8086" spans="1:2" x14ac:dyDescent="0.25">
      <c r="A8086">
        <f ca="1">31311.7988616534*(RANDBETWEEN(2890,3282))</f>
        <v>91837506.061229452</v>
      </c>
      <c r="B8086">
        <v>203761175.19689256</v>
      </c>
    </row>
    <row r="8087" spans="1:2" x14ac:dyDescent="0.25">
      <c r="A8087">
        <f ca="1">29288.5080402029*(RANDBETWEEN(2890,3282))</f>
        <v>84848807.792467684</v>
      </c>
      <c r="B8087">
        <v>264286946.02454308</v>
      </c>
    </row>
    <row r="8088" spans="1:2" x14ac:dyDescent="0.25">
      <c r="A8088">
        <f ca="1">30555.6658369878*(RANDBETWEEN(2890,3282))</f>
        <v>94294784.772944212</v>
      </c>
      <c r="B8088">
        <v>252447920.59780383</v>
      </c>
    </row>
    <row r="8089" spans="1:2" x14ac:dyDescent="0.25">
      <c r="A8089">
        <f ca="1">26296.4333265458*(RANDBETWEEN(2890,3282))</f>
        <v>78705224.946351722</v>
      </c>
      <c r="B8089">
        <v>240917437.88628832</v>
      </c>
    </row>
    <row r="8090" spans="1:2" x14ac:dyDescent="0.25">
      <c r="A8090">
        <f ca="1">29017.8263282535*(RANDBETWEEN(2890,3282))</f>
        <v>91057939.018059641</v>
      </c>
      <c r="B8090">
        <v>239381502.69390303</v>
      </c>
    </row>
    <row r="8091" spans="1:2" x14ac:dyDescent="0.25">
      <c r="A8091">
        <f ca="1">27917.1918846711*(RANDBETWEEN(2890,3282))</f>
        <v>87492479.366559371</v>
      </c>
      <c r="B8091">
        <v>203716304.41540581</v>
      </c>
    </row>
    <row r="8092" spans="1:2" x14ac:dyDescent="0.25">
      <c r="A8092">
        <f ca="1">28013.279186925*(RANDBETWEEN(2890,3282))</f>
        <v>85496528.078495026</v>
      </c>
      <c r="B8092">
        <v>232312365.30489212</v>
      </c>
    </row>
    <row r="8093" spans="1:2" x14ac:dyDescent="0.25">
      <c r="A8093">
        <f ca="1">28494.2712721865*(RANDBETWEEN(2890,3282))</f>
        <v>84684974.220938236</v>
      </c>
      <c r="B8093">
        <v>239019300.64135134</v>
      </c>
    </row>
    <row r="8094" spans="1:2" x14ac:dyDescent="0.25">
      <c r="A8094">
        <f ca="1">26695.8794310093*(RANDBETWEEN(2890,3282))</f>
        <v>81048689.952544197</v>
      </c>
      <c r="B8094">
        <v>214934571.60886371</v>
      </c>
    </row>
    <row r="8095" spans="1:2" x14ac:dyDescent="0.25">
      <c r="A8095">
        <f ca="1">30778.5195971528*(RANDBETWEEN(2890,3282))</f>
        <v>92212444.713069633</v>
      </c>
      <c r="B8095">
        <v>231554264.23811093</v>
      </c>
    </row>
    <row r="8096" spans="1:2" x14ac:dyDescent="0.25">
      <c r="A8096">
        <f ca="1">32189.4729917225*(RANDBETWEEN(2890,3282))</f>
        <v>97888187.367828012</v>
      </c>
      <c r="B8096">
        <v>258348105.05086172</v>
      </c>
    </row>
    <row r="8097" spans="1:2" x14ac:dyDescent="0.25">
      <c r="A8097">
        <f ca="1">32948.1593657278*(RANDBETWEEN(2890,3282))</f>
        <v>101546227.16517304</v>
      </c>
      <c r="B8097">
        <v>263567688.30212939</v>
      </c>
    </row>
    <row r="8098" spans="1:2" x14ac:dyDescent="0.25">
      <c r="A8098">
        <f ca="1">30177.4989610428*(RANDBETWEEN(2890,3282))</f>
        <v>96054979.192999139</v>
      </c>
      <c r="B8098">
        <v>265740968.33859706</v>
      </c>
    </row>
    <row r="8099" spans="1:2" x14ac:dyDescent="0.25">
      <c r="A8099">
        <f ca="1">27197.8331036244*(RANDBETWEEN(2890,3282))</f>
        <v>80804762.150867939</v>
      </c>
      <c r="B8099">
        <v>215888073.23698798</v>
      </c>
    </row>
    <row r="8100" spans="1:2" x14ac:dyDescent="0.25">
      <c r="A8100">
        <f ca="1">31914.2092105672*(RANDBETWEEN(2890,3282))</f>
        <v>92391635.664592087</v>
      </c>
      <c r="B8100">
        <v>211545974.55596575</v>
      </c>
    </row>
    <row r="8101" spans="1:2" x14ac:dyDescent="0.25">
      <c r="A8101">
        <f ca="1">26480.4503769587*(RANDBETWEEN(2890,3282))</f>
        <v>78249730.86391297</v>
      </c>
      <c r="B8101">
        <v>208398111.69518307</v>
      </c>
    </row>
    <row r="8102" spans="1:2" x14ac:dyDescent="0.25">
      <c r="A8102">
        <f ca="1">26694.9945927415*(RANDBETWEEN(2890,3282))</f>
        <v>81046003.583563328</v>
      </c>
      <c r="B8102">
        <v>208810934.59356204</v>
      </c>
    </row>
    <row r="8103" spans="1:2" x14ac:dyDescent="0.25">
      <c r="A8103">
        <f ca="1">30352.8133063006*(RANDBETWEEN(2890,3282))</f>
        <v>89601504.880199417</v>
      </c>
      <c r="B8103">
        <v>241761027.72710925</v>
      </c>
    </row>
    <row r="8104" spans="1:2" x14ac:dyDescent="0.25">
      <c r="A8104">
        <f ca="1">31686.0351429177*(RANDBETWEEN(2890,3282))</f>
        <v>101775544.87905161</v>
      </c>
      <c r="B8104">
        <v>260295616.05828393</v>
      </c>
    </row>
    <row r="8105" spans="1:2" x14ac:dyDescent="0.25">
      <c r="A8105">
        <f ca="1">30987.6771398382*(RANDBETWEEN(2890,3282))</f>
        <v>101298716.5701312</v>
      </c>
      <c r="B8105">
        <v>257715236.79516903</v>
      </c>
    </row>
    <row r="8106" spans="1:2" x14ac:dyDescent="0.25">
      <c r="A8106">
        <f ca="1">29849.4125231307*(RANDBETWEEN(2890,3282))</f>
        <v>93010769.422075406</v>
      </c>
      <c r="B8106">
        <v>213144623.57062864</v>
      </c>
    </row>
    <row r="8107" spans="1:2" x14ac:dyDescent="0.25">
      <c r="A8107">
        <f ca="1">27962.0746510674*(RANDBETWEEN(2890,3282))</f>
        <v>84249730.923666209</v>
      </c>
      <c r="B8107">
        <v>218957337.23981923</v>
      </c>
    </row>
    <row r="8108" spans="1:2" x14ac:dyDescent="0.25">
      <c r="A8108">
        <f ca="1">26667.7935083933*(RANDBETWEEN(2890,3282))</f>
        <v>85150264.672299758</v>
      </c>
      <c r="B8108">
        <v>209507550.51577008</v>
      </c>
    </row>
    <row r="8109" spans="1:2" x14ac:dyDescent="0.25">
      <c r="A8109">
        <f ca="1">30312.6516318848*(RANDBETWEEN(2890,3282))</f>
        <v>96424544.841025651</v>
      </c>
      <c r="B8109">
        <v>237389029.737885</v>
      </c>
    </row>
    <row r="8110" spans="1:2" x14ac:dyDescent="0.25">
      <c r="A8110">
        <f ca="1">30260.4989223674*(RANDBETWEEN(2890,3282))</f>
        <v>91205143.752015293</v>
      </c>
      <c r="B8110">
        <v>266076978.02859569</v>
      </c>
    </row>
    <row r="8111" spans="1:2" x14ac:dyDescent="0.25">
      <c r="A8111">
        <f ca="1">27297.8162618125*(RANDBETWEEN(2890,3282))</f>
        <v>87025438.242658257</v>
      </c>
      <c r="B8111">
        <v>211492440.50031501</v>
      </c>
    </row>
    <row r="8112" spans="1:2" x14ac:dyDescent="0.25">
      <c r="A8112">
        <f ca="1">27575.2753910342*(RANDBETWEEN(2890,3282))</f>
        <v>80409503.040255785</v>
      </c>
      <c r="B8112">
        <v>210803642.54486632</v>
      </c>
    </row>
    <row r="8113" spans="1:2" x14ac:dyDescent="0.25">
      <c r="A8113">
        <f ca="1">26963.1163357912*(RANDBETWEEN(2890,3282))</f>
        <v>79325488.259897739</v>
      </c>
      <c r="B8113">
        <v>223932849.64701873</v>
      </c>
    </row>
    <row r="8114" spans="1:2" x14ac:dyDescent="0.25">
      <c r="A8114">
        <f ca="1">25495.0226583952*(RANDBETWEEN(2890,3282))</f>
        <v>79467985.626217991</v>
      </c>
      <c r="B8114">
        <v>219762788.21480834</v>
      </c>
    </row>
    <row r="8115" spans="1:2" x14ac:dyDescent="0.25">
      <c r="A8115">
        <f ca="1">31939.5482996627*(RANDBETWEEN(2890,3282))</f>
        <v>100609577.1439376</v>
      </c>
      <c r="B8115">
        <v>265858390.10861784</v>
      </c>
    </row>
    <row r="8116" spans="1:2" x14ac:dyDescent="0.25">
      <c r="A8116">
        <f ca="1">27333.3870542853*(RANDBETWEEN(2890,3282))</f>
        <v>88423507.120613024</v>
      </c>
      <c r="B8116">
        <v>228428895.9912928</v>
      </c>
    </row>
    <row r="8117" spans="1:2" x14ac:dyDescent="0.25">
      <c r="A8117">
        <f ca="1">26596.4254004849*(RANDBETWEEN(2890,3282))</f>
        <v>81677622.404889151</v>
      </c>
      <c r="B8117">
        <v>244586992.14787382</v>
      </c>
    </row>
    <row r="8118" spans="1:2" x14ac:dyDescent="0.25">
      <c r="A8118">
        <f ca="1">27032.6605618015*(RANDBETWEEN(2890,3282))</f>
        <v>83720149.75989911</v>
      </c>
      <c r="B8118">
        <v>227548810.70006979</v>
      </c>
    </row>
    <row r="8119" spans="1:2" x14ac:dyDescent="0.25">
      <c r="A8119">
        <f ca="1">31334.4654639922*(RANDBETWEEN(2890,3282))</f>
        <v>93439376.013624847</v>
      </c>
      <c r="B8119">
        <v>208985583.56601617</v>
      </c>
    </row>
    <row r="8120" spans="1:2" x14ac:dyDescent="0.25">
      <c r="A8120">
        <f ca="1">31648.1131225867*(RANDBETWEEN(2890,3282))</f>
        <v>96969818.607605562</v>
      </c>
      <c r="B8120">
        <v>205475319.55652708</v>
      </c>
    </row>
    <row r="8121" spans="1:2" x14ac:dyDescent="0.25">
      <c r="A8121">
        <f ca="1">26659.3237675169*(RANDBETWEEN(2890,3282))</f>
        <v>77392016.897101521</v>
      </c>
      <c r="B8121">
        <v>238840340.30187035</v>
      </c>
    </row>
    <row r="8122" spans="1:2" x14ac:dyDescent="0.25">
      <c r="A8122">
        <f ca="1">31545.4621746417*(RANDBETWEEN(2890,3282))</f>
        <v>101734115.51321954</v>
      </c>
      <c r="B8122">
        <v>252656001.10421887</v>
      </c>
    </row>
    <row r="8123" spans="1:2" x14ac:dyDescent="0.25">
      <c r="A8123">
        <f ca="1">26811.0237179172*(RANDBETWEEN(2890,3282))</f>
        <v>77966456.971703351</v>
      </c>
      <c r="B8123">
        <v>265860904.1173183</v>
      </c>
    </row>
    <row r="8124" spans="1:2" x14ac:dyDescent="0.25">
      <c r="A8124">
        <f ca="1">31063.950559048*(RANDBETWEEN(2890,3282))</f>
        <v>91048439.088569805</v>
      </c>
      <c r="B8124">
        <v>208829464.24743468</v>
      </c>
    </row>
    <row r="8125" spans="1:2" x14ac:dyDescent="0.25">
      <c r="A8125">
        <f ca="1">29251.806382525*(RANDBETWEEN(2890,3282))</f>
        <v>92230945.524101317</v>
      </c>
      <c r="B8125">
        <v>250678717.41031033</v>
      </c>
    </row>
    <row r="8126" spans="1:2" x14ac:dyDescent="0.25">
      <c r="A8126">
        <f ca="1">27233.4993644467*(RANDBETWEEN(2890,3282))</f>
        <v>84886817.51898028</v>
      </c>
      <c r="B8126">
        <v>211028554.78022724</v>
      </c>
    </row>
    <row r="8127" spans="1:2" x14ac:dyDescent="0.25">
      <c r="A8127">
        <f ca="1">31261.8072584806*(RANDBETWEEN(2890,3282))</f>
        <v>93160185.630272284</v>
      </c>
      <c r="B8127">
        <v>226766120.11547855</v>
      </c>
    </row>
    <row r="8128" spans="1:2" x14ac:dyDescent="0.25">
      <c r="A8128">
        <f ca="1">32848.6191785961*(RANDBETWEEN(2890,3282))</f>
        <v>106758012.3304373</v>
      </c>
      <c r="B8128">
        <v>250436958.92512822</v>
      </c>
    </row>
    <row r="8129" spans="1:2" x14ac:dyDescent="0.25">
      <c r="A8129">
        <f ca="1">27663.9482904217*(RANDBETWEEN(2890,3282))</f>
        <v>80557417.421707958</v>
      </c>
      <c r="B8129">
        <v>232554275.77393082</v>
      </c>
    </row>
    <row r="8130" spans="1:2" x14ac:dyDescent="0.25">
      <c r="A8130">
        <f ca="1">29162.737616238*(RANDBETWEEN(2890,3282))</f>
        <v>89879557.333245382</v>
      </c>
      <c r="B8130">
        <v>259360994.21933573</v>
      </c>
    </row>
    <row r="8131" spans="1:2" x14ac:dyDescent="0.25">
      <c r="A8131">
        <f ca="1">31075.019280728*(RANDBETWEEN(2890,3282))</f>
        <v>100154787.14178643</v>
      </c>
      <c r="B8131">
        <v>214971496.51258758</v>
      </c>
    </row>
    <row r="8132" spans="1:2" x14ac:dyDescent="0.25">
      <c r="A8132">
        <f ca="1">28564.6699063474*(RANDBETWEEN(2890,3282))</f>
        <v>84694246.272320136</v>
      </c>
      <c r="B8132">
        <v>210000752.32565218</v>
      </c>
    </row>
    <row r="8133" spans="1:2" x14ac:dyDescent="0.25">
      <c r="A8133">
        <f ca="1">33620.021013286*(RANDBETWEEN(2890,3282))</f>
        <v>108828008.02000688</v>
      </c>
      <c r="B8133">
        <v>219386911.43682423</v>
      </c>
    </row>
    <row r="8134" spans="1:2" x14ac:dyDescent="0.25">
      <c r="A8134">
        <f ca="1">29547.4866239634*(RANDBETWEEN(2890,3282))</f>
        <v>93901912.490955561</v>
      </c>
      <c r="B8134">
        <v>237692320.19872576</v>
      </c>
    </row>
    <row r="8135" spans="1:2" x14ac:dyDescent="0.25">
      <c r="A8135">
        <f ca="1">27760.2569581617*(RANDBETWEEN(2890,3282))</f>
        <v>82614524.707489148</v>
      </c>
      <c r="B8135">
        <v>204055944.20267758</v>
      </c>
    </row>
    <row r="8136" spans="1:2" x14ac:dyDescent="0.25">
      <c r="A8136">
        <f ca="1">30271.3703470902*(RANDBETWEEN(2890,3282))</f>
        <v>95052102.889863193</v>
      </c>
      <c r="B8136">
        <v>232238950.64254642</v>
      </c>
    </row>
    <row r="8137" spans="1:2" x14ac:dyDescent="0.25">
      <c r="A8137">
        <f ca="1">32353.956030424*(RANDBETWEEN(2890,3282))</f>
        <v>98711919.848823637</v>
      </c>
      <c r="B8137">
        <v>230908444.7464228</v>
      </c>
    </row>
    <row r="8138" spans="1:2" x14ac:dyDescent="0.25">
      <c r="A8138">
        <f ca="1">29812.0323704665*(RANDBETWEEN(2890,3282))</f>
        <v>87021322.489391848</v>
      </c>
      <c r="B8138">
        <v>206384746.49835446</v>
      </c>
    </row>
    <row r="8139" spans="1:2" x14ac:dyDescent="0.25">
      <c r="A8139">
        <f ca="1">31452.2887224423*(RANDBETWEEN(2890,3282))</f>
        <v>97344833.595959023</v>
      </c>
      <c r="B8139">
        <v>208032335.12223929</v>
      </c>
    </row>
    <row r="8140" spans="1:2" x14ac:dyDescent="0.25">
      <c r="A8140">
        <f ca="1">31419.489819378*(RANDBETWEEN(2890,3282))</f>
        <v>98939973.441221237</v>
      </c>
      <c r="B8140">
        <v>262352765.94178843</v>
      </c>
    </row>
    <row r="8141" spans="1:2" x14ac:dyDescent="0.25">
      <c r="A8141">
        <f ca="1">31646.1775130402*(RANDBETWEEN(2890,3282))</f>
        <v>94843594.006581455</v>
      </c>
      <c r="B8141">
        <v>251805275.02800703</v>
      </c>
    </row>
    <row r="8142" spans="1:2" x14ac:dyDescent="0.25">
      <c r="A8142">
        <f ca="1">31388.561130907*(RANDBETWEEN(2890,3282))</f>
        <v>97995087.850691646</v>
      </c>
      <c r="B8142">
        <v>261889352.5472424</v>
      </c>
    </row>
    <row r="8143" spans="1:2" x14ac:dyDescent="0.25">
      <c r="A8143">
        <f ca="1">30688.2113968759*(RANDBETWEEN(2890,3282))</f>
        <v>100411827.69057794</v>
      </c>
      <c r="B8143">
        <v>259639975.74089244</v>
      </c>
    </row>
    <row r="8144" spans="1:2" x14ac:dyDescent="0.25">
      <c r="A8144">
        <f ca="1">28908.3544003494*(RANDBETWEEN(2890,3282))</f>
        <v>94530318.889142454</v>
      </c>
      <c r="B8144">
        <v>237799048.26819992</v>
      </c>
    </row>
    <row r="8145" spans="1:2" x14ac:dyDescent="0.25">
      <c r="A8145">
        <f ca="1">28689.6873199766*(RANDBETWEEN(2890,3282))</f>
        <v>88823271.942647517</v>
      </c>
      <c r="B8145">
        <v>260806509.47059962</v>
      </c>
    </row>
    <row r="8146" spans="1:2" x14ac:dyDescent="0.25">
      <c r="A8146">
        <f ca="1">30202.840857914*(RANDBETWEEN(2890,3282))</f>
        <v>94867123.134707734</v>
      </c>
      <c r="B8146">
        <v>242685317.33277163</v>
      </c>
    </row>
    <row r="8147" spans="1:2" x14ac:dyDescent="0.25">
      <c r="A8147">
        <f ca="1">32721.5050117866*(RANDBETWEEN(2890,3282))</f>
        <v>100356855.87114947</v>
      </c>
      <c r="B8147">
        <v>256330701.84173623</v>
      </c>
    </row>
    <row r="8148" spans="1:2" x14ac:dyDescent="0.25">
      <c r="A8148">
        <f ca="1">32793.8568004946*(RANDBETWEEN(2890,3282))</f>
        <v>99594943.103102237</v>
      </c>
      <c r="B8148">
        <v>209907096.76713151</v>
      </c>
    </row>
    <row r="8149" spans="1:2" x14ac:dyDescent="0.25">
      <c r="A8149">
        <f ca="1">32158.9188673102*(RANDBETWEEN(2890,3282))</f>
        <v>104870234.42629842</v>
      </c>
      <c r="B8149">
        <v>221531662.6237734</v>
      </c>
    </row>
    <row r="8150" spans="1:2" x14ac:dyDescent="0.25">
      <c r="A8150">
        <f ca="1">28227.5486658748*(RANDBETWEEN(2890,3282))</f>
        <v>90497521.0227945</v>
      </c>
      <c r="B8150">
        <v>213420847.78913775</v>
      </c>
    </row>
    <row r="8151" spans="1:2" x14ac:dyDescent="0.25">
      <c r="A8151">
        <f ca="1">31149.5733627619*(RANDBETWEEN(2890,3282))</f>
        <v>96127583.397483289</v>
      </c>
      <c r="B8151">
        <v>259576404.65495923</v>
      </c>
    </row>
    <row r="8152" spans="1:2" x14ac:dyDescent="0.25">
      <c r="A8152">
        <f ca="1">31337.7151101603*(RANDBETWEEN(2890,3282))</f>
        <v>101095468.9453771</v>
      </c>
      <c r="B8152">
        <v>245910552.32758391</v>
      </c>
    </row>
    <row r="8153" spans="1:2" x14ac:dyDescent="0.25">
      <c r="A8153">
        <f ca="1">32191.7747789412*(RANDBETWEEN(2890,3282))</f>
        <v>98764365.021791503</v>
      </c>
      <c r="B8153">
        <v>208427120.60667899</v>
      </c>
    </row>
    <row r="8154" spans="1:2" x14ac:dyDescent="0.25">
      <c r="A8154">
        <f ca="1">31117.6718045179*(RANDBETWEEN(2890,3282))</f>
        <v>92077190.869568497</v>
      </c>
      <c r="B8154">
        <v>209414299.52424324</v>
      </c>
    </row>
    <row r="8155" spans="1:2" x14ac:dyDescent="0.25">
      <c r="A8155">
        <f ca="1">34047.8991474349*(RANDBETWEEN(2890,3282))</f>
        <v>98875099.124151021</v>
      </c>
      <c r="B8155">
        <v>236913032.87858295</v>
      </c>
    </row>
    <row r="8156" spans="1:2" x14ac:dyDescent="0.25">
      <c r="A8156">
        <f ca="1">31063.3651398559*(RANDBETWEEN(2890,3282))</f>
        <v>97166206.157469243</v>
      </c>
      <c r="B8156">
        <v>214716625.51428938</v>
      </c>
    </row>
    <row r="8157" spans="1:2" x14ac:dyDescent="0.25">
      <c r="A8157">
        <f ca="1">27563.7090254419*(RANDBETWEEN(2890,3282))</f>
        <v>79769373.919628739</v>
      </c>
      <c r="B8157">
        <v>254729948.97835606</v>
      </c>
    </row>
    <row r="8158" spans="1:2" x14ac:dyDescent="0.25">
      <c r="A8158">
        <f ca="1">26520.1773917196*(RANDBETWEEN(2890,3282))</f>
        <v>76988074.968162119</v>
      </c>
      <c r="B8158">
        <v>241334149.71451545</v>
      </c>
    </row>
    <row r="8159" spans="1:2" x14ac:dyDescent="0.25">
      <c r="A8159">
        <f ca="1">31649.2736047543*(RANDBETWEEN(2890,3282))</f>
        <v>93365357.134025052</v>
      </c>
      <c r="B8159">
        <v>263409221.47443417</v>
      </c>
    </row>
    <row r="8160" spans="1:2" x14ac:dyDescent="0.25">
      <c r="A8160">
        <f ca="1">29740.0311052146*(RANDBETWEEN(2890,3282))</f>
        <v>88803732.880170822</v>
      </c>
      <c r="B8160">
        <v>266586106.90351492</v>
      </c>
    </row>
    <row r="8161" spans="1:2" x14ac:dyDescent="0.25">
      <c r="A8161">
        <f ca="1">31695.5793989856*(RANDBETWEEN(2890,3282))</f>
        <v>100633464.59177934</v>
      </c>
      <c r="B8161">
        <v>261824802.19926599</v>
      </c>
    </row>
    <row r="8162" spans="1:2" x14ac:dyDescent="0.25">
      <c r="A8162">
        <f ca="1">29628.8327878031*(RANDBETWEEN(2890,3282))</f>
        <v>90249424.671648204</v>
      </c>
      <c r="B8162">
        <v>205654756.62937769</v>
      </c>
    </row>
    <row r="8163" spans="1:2" x14ac:dyDescent="0.25">
      <c r="A8163">
        <f ca="1">34114.7178274301*(RANDBETWEEN(2890,3282))</f>
        <v>104459265.98759098</v>
      </c>
      <c r="B8163">
        <v>257116596.6926209</v>
      </c>
    </row>
    <row r="8164" spans="1:2" x14ac:dyDescent="0.25">
      <c r="A8164">
        <f ca="1">29955.0926416871*(RANDBETWEEN(2890,3282))</f>
        <v>87169319.587309554</v>
      </c>
      <c r="B8164">
        <v>244996191.31956908</v>
      </c>
    </row>
    <row r="8165" spans="1:2" x14ac:dyDescent="0.25">
      <c r="A8165">
        <f ca="1">32287.8354545959*(RANDBETWEEN(2890,3282))</f>
        <v>101803545.18834078</v>
      </c>
      <c r="B8165">
        <v>222845241.01012349</v>
      </c>
    </row>
    <row r="8166" spans="1:2" x14ac:dyDescent="0.25">
      <c r="A8166">
        <f ca="1">26984.7927972798*(RANDBETWEEN(2890,3282))</f>
        <v>85946565.059336096</v>
      </c>
      <c r="B8166">
        <v>267198163.7114802</v>
      </c>
    </row>
    <row r="8167" spans="1:2" x14ac:dyDescent="0.25">
      <c r="A8167">
        <f ca="1">25734.5236931564*(RANDBETWEEN(2890,3282))</f>
        <v>79030722.261683255</v>
      </c>
      <c r="B8167">
        <v>234474633.64758369</v>
      </c>
    </row>
    <row r="8168" spans="1:2" x14ac:dyDescent="0.25">
      <c r="A8168">
        <f ca="1">27520.2095786643*(RANDBETWEEN(2890,3282))</f>
        <v>83606396.699982107</v>
      </c>
      <c r="B8168">
        <v>240619099.87879431</v>
      </c>
    </row>
    <row r="8169" spans="1:2" x14ac:dyDescent="0.25">
      <c r="A8169">
        <f ca="1">28855.9762136823*(RANDBETWEEN(2890,3282))</f>
        <v>83711186.995892495</v>
      </c>
      <c r="B8169">
        <v>248785983.9085069</v>
      </c>
    </row>
    <row r="8170" spans="1:2" x14ac:dyDescent="0.25">
      <c r="A8170">
        <f ca="1">26533.0576701661*(RANDBETWEEN(2890,3282))</f>
        <v>85648710.159296244</v>
      </c>
      <c r="B8170">
        <v>231399420.06665942</v>
      </c>
    </row>
    <row r="8171" spans="1:2" x14ac:dyDescent="0.25">
      <c r="A8171">
        <f ca="1">33012.3219811612*(RANDBETWEEN(2890,3282))</f>
        <v>104946171.57811159</v>
      </c>
      <c r="B8171">
        <v>261364136.88282263</v>
      </c>
    </row>
    <row r="8172" spans="1:2" x14ac:dyDescent="0.25">
      <c r="A8172">
        <f ca="1">31861.1420783065*(RANDBETWEEN(2890,3282))</f>
        <v>96379954.786877245</v>
      </c>
      <c r="B8172">
        <v>260464125.79484299</v>
      </c>
    </row>
    <row r="8173" spans="1:2" x14ac:dyDescent="0.25">
      <c r="A8173">
        <f ca="1">30113.9658397123*(RANDBETWEEN(2890,3282))</f>
        <v>91365772.357686996</v>
      </c>
      <c r="B8173">
        <v>223542355.27002707</v>
      </c>
    </row>
    <row r="8174" spans="1:2" x14ac:dyDescent="0.25">
      <c r="A8174">
        <f ca="1">30868.6928753746*(RANDBETWEEN(2890,3282))</f>
        <v>97977231.186438873</v>
      </c>
      <c r="B8174">
        <v>217532801.86703533</v>
      </c>
    </row>
    <row r="8175" spans="1:2" x14ac:dyDescent="0.25">
      <c r="A8175">
        <f ca="1">24062.2020008319*(RANDBETWEEN(2890,3282))</f>
        <v>75531252.080611214</v>
      </c>
      <c r="B8175">
        <v>229555344.24078774</v>
      </c>
    </row>
    <row r="8176" spans="1:2" x14ac:dyDescent="0.25">
      <c r="A8176">
        <f ca="1">29646.8828438967*(RANDBETWEEN(2890,3282))</f>
        <v>87665832.56940259</v>
      </c>
      <c r="B8176">
        <v>267368552.2570641</v>
      </c>
    </row>
    <row r="8177" spans="1:2" x14ac:dyDescent="0.25">
      <c r="A8177">
        <f ca="1">28402.8986950092*(RANDBETWEEN(2890,3282))</f>
        <v>88333014.941478595</v>
      </c>
      <c r="B8177">
        <v>243372148.00500873</v>
      </c>
    </row>
    <row r="8178" spans="1:2" x14ac:dyDescent="0.25">
      <c r="A8178">
        <f ca="1">29317.6383224244*(RANDBETWEEN(2890,3282))</f>
        <v>88920397.031913295</v>
      </c>
      <c r="B8178">
        <v>238174914.02771348</v>
      </c>
    </row>
    <row r="8179" spans="1:2" x14ac:dyDescent="0.25">
      <c r="A8179">
        <f ca="1">26434.7332240921*(RANDBETWEEN(2890,3282))</f>
        <v>78696200.808122322</v>
      </c>
      <c r="B8179">
        <v>227915940.93982428</v>
      </c>
    </row>
    <row r="8180" spans="1:2" x14ac:dyDescent="0.25">
      <c r="A8180">
        <f ca="1">30942.8901346557*(RANDBETWEEN(2890,3282))</f>
        <v>92426412.832216457</v>
      </c>
      <c r="B8180">
        <v>259175684.63862091</v>
      </c>
    </row>
    <row r="8181" spans="1:2" x14ac:dyDescent="0.25">
      <c r="A8181">
        <f ca="1">28550.3828472931*(RANDBETWEEN(2890,3282))</f>
        <v>83252916.382706642</v>
      </c>
      <c r="B8181">
        <v>225980211.89874345</v>
      </c>
    </row>
    <row r="8182" spans="1:2" x14ac:dyDescent="0.25">
      <c r="A8182">
        <f ca="1">29127.8945134049*(RANDBETWEEN(2890,3282))</f>
        <v>92510192.974574104</v>
      </c>
      <c r="B8182">
        <v>235760200.44413134</v>
      </c>
    </row>
    <row r="8183" spans="1:2" x14ac:dyDescent="0.25">
      <c r="A8183">
        <f ca="1">28488.3566851363*(RANDBETWEEN(2890,3282))</f>
        <v>90422044.118622497</v>
      </c>
      <c r="B8183">
        <v>260932991.78874767</v>
      </c>
    </row>
    <row r="8184" spans="1:2" x14ac:dyDescent="0.25">
      <c r="A8184">
        <f ca="1">29991.112216215*(RANDBETWEEN(2890,3282))</f>
        <v>89763398.863131404</v>
      </c>
      <c r="B8184">
        <v>238113339.99323577</v>
      </c>
    </row>
    <row r="8185" spans="1:2" x14ac:dyDescent="0.25">
      <c r="A8185">
        <f ca="1">28446.7591473288*(RANDBETWEEN(2890,3282))</f>
        <v>90659821.402537033</v>
      </c>
      <c r="B8185">
        <v>218990439.3288818</v>
      </c>
    </row>
    <row r="8186" spans="1:2" x14ac:dyDescent="0.25">
      <c r="A8186">
        <f ca="1">26713.9851095151*(RANDBETWEEN(2890,3282))</f>
        <v>82359216.092635036</v>
      </c>
      <c r="B8186">
        <v>213052243.32611802</v>
      </c>
    </row>
    <row r="8187" spans="1:2" x14ac:dyDescent="0.25">
      <c r="A8187">
        <f ca="1">30752.3260476761*(RANDBETWEEN(2890,3282))</f>
        <v>100406344.54566257</v>
      </c>
      <c r="B8187">
        <v>250127812.45105526</v>
      </c>
    </row>
    <row r="8188" spans="1:2" x14ac:dyDescent="0.25">
      <c r="A8188">
        <f ca="1">28540.73482274*(RANDBETWEEN(2890,3282))</f>
        <v>91901166.129222944</v>
      </c>
      <c r="B8188">
        <v>260682325.75644141</v>
      </c>
    </row>
    <row r="8189" spans="1:2" x14ac:dyDescent="0.25">
      <c r="A8189">
        <f ca="1">26985.362152314*(RANDBETWEEN(2890,3282))</f>
        <v>82764105.721147075</v>
      </c>
      <c r="B8189">
        <v>207166859.48740613</v>
      </c>
    </row>
    <row r="8190" spans="1:2" x14ac:dyDescent="0.25">
      <c r="A8190">
        <f ca="1">27225.4600283689*(RANDBETWEEN(2890,3282))</f>
        <v>81186321.804596081</v>
      </c>
      <c r="B8190">
        <v>208704957.19631213</v>
      </c>
    </row>
    <row r="8191" spans="1:2" x14ac:dyDescent="0.25">
      <c r="A8191">
        <f ca="1">31648.3905977347*(RANDBETWEEN(2890,3282))</f>
        <v>93647587.77869685</v>
      </c>
      <c r="B8191">
        <v>263108644.69935054</v>
      </c>
    </row>
    <row r="8192" spans="1:2" x14ac:dyDescent="0.25">
      <c r="A8192">
        <f ca="1">26579.44435388*(RANDBETWEEN(2890,3282))</f>
        <v>86702147.482356533</v>
      </c>
      <c r="B8192">
        <v>231266114.81607252</v>
      </c>
    </row>
    <row r="8193" spans="1:2" x14ac:dyDescent="0.25">
      <c r="A8193">
        <f ca="1">28349.4337889099*(RANDBETWEEN(2890,3282))</f>
        <v>88903824.362021342</v>
      </c>
      <c r="B8193">
        <v>241043528.72128856</v>
      </c>
    </row>
    <row r="8194" spans="1:2" x14ac:dyDescent="0.25">
      <c r="A8194">
        <f ca="1">27308.677920614*(RANDBETWEEN(2890,3282))</f>
        <v>82581442.031936616</v>
      </c>
      <c r="B8194">
        <v>217044647.2098344</v>
      </c>
    </row>
    <row r="8195" spans="1:2" x14ac:dyDescent="0.25">
      <c r="A8195">
        <f ca="1">29731.8132207285*(RANDBETWEEN(2890,3282))</f>
        <v>95082338.679889873</v>
      </c>
      <c r="B8195">
        <v>208929346.62521026</v>
      </c>
    </row>
    <row r="8196" spans="1:2" x14ac:dyDescent="0.25">
      <c r="A8196">
        <f ca="1">28795.6503175443*(RANDBETWEEN(2890,3282))</f>
        <v>88114689.971685708</v>
      </c>
      <c r="B8196">
        <v>252874068.78522193</v>
      </c>
    </row>
    <row r="8197" spans="1:2" x14ac:dyDescent="0.25">
      <c r="A8197">
        <f ca="1">29523.3524897689*(RANDBETWEEN(2890,3282))</f>
        <v>87064366.492328435</v>
      </c>
      <c r="B8197">
        <v>216479494.64540839</v>
      </c>
    </row>
    <row r="8198" spans="1:2" x14ac:dyDescent="0.25">
      <c r="A8198">
        <f ca="1">30880.9349511309*(RANDBETWEEN(2890,3282))</f>
        <v>92179590.829125658</v>
      </c>
      <c r="B8198">
        <v>206166378.63145691</v>
      </c>
    </row>
    <row r="8199" spans="1:2" x14ac:dyDescent="0.25">
      <c r="A8199">
        <f ca="1">26490.1994257867*(RANDBETWEEN(2890,3282))</f>
        <v>78172578.505496621</v>
      </c>
      <c r="B8199">
        <v>212368008.68109694</v>
      </c>
    </row>
    <row r="8200" spans="1:2" x14ac:dyDescent="0.25">
      <c r="A8200">
        <f ca="1">30775.9251762984*(RANDBETWEEN(2890,3282))</f>
        <v>94974505.094056889</v>
      </c>
      <c r="B8200">
        <v>262975032.53736901</v>
      </c>
    </row>
    <row r="8201" spans="1:2" x14ac:dyDescent="0.25">
      <c r="A8201">
        <f ca="1">33800.0330703259*(RANDBETWEEN(2890,3282))</f>
        <v>109376907.01557474</v>
      </c>
      <c r="B8201">
        <v>265242452.68516433</v>
      </c>
    </row>
    <row r="8202" spans="1:2" x14ac:dyDescent="0.25">
      <c r="A8202">
        <f ca="1">29276.5388700401*(RANDBETWEEN(2890,3282))</f>
        <v>92396756.673846394</v>
      </c>
      <c r="B8202">
        <v>217979085.67822593</v>
      </c>
    </row>
    <row r="8203" spans="1:2" x14ac:dyDescent="0.25">
      <c r="A8203">
        <f ca="1">27840.0427607129*(RANDBETWEEN(2890,3282))</f>
        <v>88197255.465938494</v>
      </c>
      <c r="B8203">
        <v>249009850.99014854</v>
      </c>
    </row>
    <row r="8204" spans="1:2" x14ac:dyDescent="0.25">
      <c r="A8204">
        <f ca="1">32027.7968886319*(RANDBETWEEN(2890,3282))</f>
        <v>100791476.80852453</v>
      </c>
      <c r="B8204">
        <v>233098757.50857288</v>
      </c>
    </row>
    <row r="8205" spans="1:2" x14ac:dyDescent="0.25">
      <c r="A8205">
        <f ca="1">27337.0698298081*(RANDBETWEEN(2890,3282))</f>
        <v>86330466.522534028</v>
      </c>
      <c r="B8205">
        <v>250990236.89150912</v>
      </c>
    </row>
    <row r="8206" spans="1:2" x14ac:dyDescent="0.25">
      <c r="A8206">
        <f ca="1">30080.9344576815*(RANDBETWEEN(2890,3282))</f>
        <v>89430618.142687067</v>
      </c>
      <c r="B8206">
        <v>261336333.04284459</v>
      </c>
    </row>
    <row r="8207" spans="1:2" x14ac:dyDescent="0.25">
      <c r="A8207">
        <f ca="1">27116.2589187733*(RANDBETWEEN(2890,3282))</f>
        <v>84521379.04981637</v>
      </c>
      <c r="B8207">
        <v>261799550.62119287</v>
      </c>
    </row>
    <row r="8208" spans="1:2" x14ac:dyDescent="0.25">
      <c r="A8208">
        <f ca="1">30212.4308759874*(RANDBETWEEN(2890,3282))</f>
        <v>87736899.263867468</v>
      </c>
      <c r="B8208">
        <v>264287511.3194389</v>
      </c>
    </row>
    <row r="8209" spans="1:2" x14ac:dyDescent="0.25">
      <c r="A8209">
        <f ca="1">29668.2236755456*(RANDBETWEEN(2890,3282))</f>
        <v>93603245.696346223</v>
      </c>
      <c r="B8209">
        <v>241809611.39173275</v>
      </c>
    </row>
    <row r="8210" spans="1:2" x14ac:dyDescent="0.25">
      <c r="A8210">
        <f ca="1">27737.9269658661*(RANDBETWEEN(2890,3282))</f>
        <v>87540897.504273355</v>
      </c>
      <c r="B8210">
        <v>235654122.27005142</v>
      </c>
    </row>
    <row r="8211" spans="1:2" x14ac:dyDescent="0.25">
      <c r="A8211">
        <f ca="1">33116.3491072284*(RANDBETWEEN(2890,3282))</f>
        <v>105045059.36812855</v>
      </c>
      <c r="B8211">
        <v>222331654.3828603</v>
      </c>
    </row>
    <row r="8212" spans="1:2" x14ac:dyDescent="0.25">
      <c r="A8212">
        <f ca="1">30361.264653868*(RANDBETWEEN(2890,3282))</f>
        <v>94970035.837299049</v>
      </c>
      <c r="B8212">
        <v>225032870.85904324</v>
      </c>
    </row>
    <row r="8213" spans="1:2" x14ac:dyDescent="0.25">
      <c r="A8213">
        <f ca="1">27192.3849104833*(RANDBETWEEN(2890,3282))</f>
        <v>78721954.315849245</v>
      </c>
      <c r="B8213">
        <v>257644865.24216104</v>
      </c>
    </row>
    <row r="8214" spans="1:2" x14ac:dyDescent="0.25">
      <c r="A8214">
        <f ca="1">26603.0824049336*(RANDBETWEEN(2890,3282))</f>
        <v>82655777.032128736</v>
      </c>
      <c r="B8214">
        <v>210848394.55567858</v>
      </c>
    </row>
    <row r="8215" spans="1:2" x14ac:dyDescent="0.25">
      <c r="A8215">
        <f ca="1">25305.5396177677*(RANDBETWEEN(2890,3282))</f>
        <v>75309285.902476624</v>
      </c>
      <c r="B8215">
        <v>238479579.07547688</v>
      </c>
    </row>
    <row r="8216" spans="1:2" x14ac:dyDescent="0.25">
      <c r="A8216">
        <f ca="1">28724.3106844523*(RANDBETWEEN(2890,3282))</f>
        <v>89849643.820966661</v>
      </c>
      <c r="B8216">
        <v>221644468.60005203</v>
      </c>
    </row>
    <row r="8217" spans="1:2" x14ac:dyDescent="0.25">
      <c r="A8217">
        <f ca="1">29481.2272762276*(RANDBETWEEN(2890,3282))</f>
        <v>90861142.465333462</v>
      </c>
      <c r="B8217">
        <v>235017263.85381037</v>
      </c>
    </row>
    <row r="8218" spans="1:2" x14ac:dyDescent="0.25">
      <c r="A8218">
        <f ca="1">29528.4455533912*(RANDBETWEEN(2890,3282))</f>
        <v>95435936.028560236</v>
      </c>
      <c r="B8218">
        <v>264634288.96109858</v>
      </c>
    </row>
    <row r="8219" spans="1:2" x14ac:dyDescent="0.25">
      <c r="A8219">
        <f ca="1">31831.2095325366*(RANDBETWEEN(2890,3282))</f>
        <v>96193915.207325652</v>
      </c>
      <c r="B8219">
        <v>264157914.38989699</v>
      </c>
    </row>
    <row r="8220" spans="1:2" x14ac:dyDescent="0.25">
      <c r="A8220">
        <f ca="1">33086.7884510003*(RANDBETWEEN(2890,3282))</f>
        <v>103164606.39021888</v>
      </c>
      <c r="B8220">
        <v>239393447.26520047</v>
      </c>
    </row>
    <row r="8221" spans="1:2" x14ac:dyDescent="0.25">
      <c r="A8221">
        <f ca="1">28953.3201929262*(RANDBETWEEN(2890,3282))</f>
        <v>84398928.362379879</v>
      </c>
      <c r="B8221">
        <v>248361925.93564367</v>
      </c>
    </row>
    <row r="8222" spans="1:2" x14ac:dyDescent="0.25">
      <c r="A8222">
        <f ca="1">27916.7752838084*(RANDBETWEEN(2890,3282))</f>
        <v>91539106.155607849</v>
      </c>
      <c r="B8222">
        <v>205017345.13259724</v>
      </c>
    </row>
    <row r="8223" spans="1:2" x14ac:dyDescent="0.25">
      <c r="A8223">
        <f ca="1">26756.6053893761*(RANDBETWEEN(2890,3282))</f>
        <v>78905229.293270245</v>
      </c>
      <c r="B8223">
        <v>225742423.90770581</v>
      </c>
    </row>
    <row r="8224" spans="1:2" x14ac:dyDescent="0.25">
      <c r="A8224">
        <f ca="1">30158.4193422317*(RANDBETWEEN(2890,3282))</f>
        <v>90113356.994588226</v>
      </c>
      <c r="B8224">
        <v>256370858.64234367</v>
      </c>
    </row>
    <row r="8225" spans="1:2" x14ac:dyDescent="0.25">
      <c r="A8225">
        <f ca="1">32153.5013192243*(RANDBETWEEN(2890,3282))</f>
        <v>104241651.27692524</v>
      </c>
      <c r="B8225">
        <v>242946961.82714143</v>
      </c>
    </row>
    <row r="8226" spans="1:2" x14ac:dyDescent="0.25">
      <c r="A8226">
        <f ca="1">30040.7280870862*(RANDBETWEEN(2890,3282))</f>
        <v>96040207.694414616</v>
      </c>
      <c r="B8226">
        <v>262541923.08607686</v>
      </c>
    </row>
    <row r="8227" spans="1:2" x14ac:dyDescent="0.25">
      <c r="A8227">
        <f ca="1">31085.4028433155*(RANDBETWEEN(2890,3282))</f>
        <v>99286776.681549549</v>
      </c>
      <c r="B8227">
        <v>217444369.91994026</v>
      </c>
    </row>
    <row r="8228" spans="1:2" x14ac:dyDescent="0.25">
      <c r="A8228">
        <f ca="1">27614.5366796905*(RANDBETWEEN(2890,3282))</f>
        <v>88808349.961884543</v>
      </c>
      <c r="B8228">
        <v>251867820.90908581</v>
      </c>
    </row>
    <row r="8229" spans="1:2" x14ac:dyDescent="0.25">
      <c r="A8229">
        <f ca="1">31928.6680670588*(RANDBETWEEN(2890,3282))</f>
        <v>97031222.255791709</v>
      </c>
      <c r="B8229">
        <v>237180623.37529469</v>
      </c>
    </row>
    <row r="8230" spans="1:2" x14ac:dyDescent="0.25">
      <c r="A8230">
        <f ca="1">26361.4361081015*(RANDBETWEEN(2890,3282))</f>
        <v>83803005.387654722</v>
      </c>
      <c r="B8230">
        <v>209606055.46790832</v>
      </c>
    </row>
    <row r="8231" spans="1:2" x14ac:dyDescent="0.25">
      <c r="A8231">
        <f ca="1">31606.2584062699*(RANDBETWEEN(2890,3282))</f>
        <v>96335875.622310564</v>
      </c>
      <c r="B8231">
        <v>236010798.75863171</v>
      </c>
    </row>
    <row r="8232" spans="1:2" x14ac:dyDescent="0.25">
      <c r="A8232">
        <f ca="1">31925.0458594947*(RANDBETWEEN(2890,3282))</f>
        <v>104394899.96054766</v>
      </c>
      <c r="B8232">
        <v>263156027.62813559</v>
      </c>
    </row>
    <row r="8233" spans="1:2" x14ac:dyDescent="0.25">
      <c r="A8233">
        <f ca="1">31258.3522760099*(RANDBETWEEN(2890,3282))</f>
        <v>95681816.316866234</v>
      </c>
      <c r="B8233">
        <v>234025390.67270899</v>
      </c>
    </row>
    <row r="8234" spans="1:2" x14ac:dyDescent="0.25">
      <c r="A8234">
        <f ca="1">29927.9873177594*(RANDBETWEEN(2890,3282))</f>
        <v>92537336.786512166</v>
      </c>
      <c r="B8234">
        <v>213461919.96413383</v>
      </c>
    </row>
    <row r="8235" spans="1:2" x14ac:dyDescent="0.25">
      <c r="A8235">
        <f ca="1">31239.8651858053*(RANDBETWEEN(2890,3282))</f>
        <v>94344392.861132085</v>
      </c>
      <c r="B8235">
        <v>252028723.16426042</v>
      </c>
    </row>
    <row r="8236" spans="1:2" x14ac:dyDescent="0.25">
      <c r="A8236">
        <f ca="1">28991.1001502268*(RANDBETWEEN(2890,3282))</f>
        <v>89437543.963449776</v>
      </c>
      <c r="B8236">
        <v>205093168.25925016</v>
      </c>
    </row>
    <row r="8237" spans="1:2" x14ac:dyDescent="0.25">
      <c r="A8237">
        <f ca="1">27033.3653870448*(RANDBETWEEN(2890,3282))</f>
        <v>79180727.2186542</v>
      </c>
      <c r="B8237">
        <v>220421021.64152583</v>
      </c>
    </row>
    <row r="8238" spans="1:2" x14ac:dyDescent="0.25">
      <c r="A8238">
        <f ca="1">27306.4526787997*(RANDBETWEEN(2890,3282))</f>
        <v>80499422.497101486</v>
      </c>
      <c r="B8238">
        <v>259897359.79762357</v>
      </c>
    </row>
    <row r="8239" spans="1:2" x14ac:dyDescent="0.25">
      <c r="A8239">
        <f ca="1">32914.9134966896*(RANDBETWEEN(2890,3282))</f>
        <v>98316846.614611924</v>
      </c>
      <c r="B8239">
        <v>266453807.53962183</v>
      </c>
    </row>
    <row r="8240" spans="1:2" x14ac:dyDescent="0.25">
      <c r="A8240">
        <f ca="1">32472.9892736639*(RANDBETWEEN(2890,3282))</f>
        <v>104010984.64354534</v>
      </c>
      <c r="B8240">
        <v>225536484.45496237</v>
      </c>
    </row>
    <row r="8241" spans="1:2" x14ac:dyDescent="0.25">
      <c r="A8241">
        <f ca="1">31884.7134334805*(RANDBETWEEN(2890,3282))</f>
        <v>97439684.252716467</v>
      </c>
      <c r="B8241">
        <v>238551686.67412961</v>
      </c>
    </row>
    <row r="8242" spans="1:2" x14ac:dyDescent="0.25">
      <c r="A8242">
        <f ca="1">28915.2389719283*(RANDBETWEEN(2890,3282))</f>
        <v>86167412.136346206</v>
      </c>
      <c r="B8242">
        <v>222387705.85026723</v>
      </c>
    </row>
    <row r="8243" spans="1:2" x14ac:dyDescent="0.25">
      <c r="A8243">
        <f ca="1">31738.9358718338*(RANDBETWEEN(2890,3282))</f>
        <v>93915511.244756311</v>
      </c>
      <c r="B8243">
        <v>206776401.09355345</v>
      </c>
    </row>
    <row r="8244" spans="1:2" x14ac:dyDescent="0.25">
      <c r="A8244">
        <f ca="1">31480.7162807348*(RANDBETWEEN(2890,3282))</f>
        <v>100297562.0704212</v>
      </c>
      <c r="B8244">
        <v>225044858.50697094</v>
      </c>
    </row>
    <row r="8245" spans="1:2" x14ac:dyDescent="0.25">
      <c r="A8245">
        <f ca="1">31872.2450263283*(RANDBETWEEN(2890,3282))</f>
        <v>93258188.947036728</v>
      </c>
      <c r="B8245">
        <v>250819797.92670017</v>
      </c>
    </row>
    <row r="8246" spans="1:2" x14ac:dyDescent="0.25">
      <c r="A8246">
        <f ca="1">24850.6556309081*(RANDBETWEEN(2890,3282))</f>
        <v>80217916.376571491</v>
      </c>
      <c r="B8246">
        <v>267584754.60436696</v>
      </c>
    </row>
    <row r="8247" spans="1:2" x14ac:dyDescent="0.25">
      <c r="A8247">
        <f ca="1">28449.2784556776*(RANDBETWEEN(2890,3282))</f>
        <v>84665052.684096634</v>
      </c>
      <c r="B8247">
        <v>222857882.48088089</v>
      </c>
    </row>
    <row r="8248" spans="1:2" x14ac:dyDescent="0.25">
      <c r="A8248">
        <f ca="1">29950.6148764797*(RANDBETWEEN(2890,3282))</f>
        <v>94584041.779922917</v>
      </c>
      <c r="B8248">
        <v>262528424.34768516</v>
      </c>
    </row>
    <row r="8249" spans="1:2" x14ac:dyDescent="0.25">
      <c r="A8249">
        <f ca="1">26393.5410452526*(RANDBETWEEN(2890,3282))</f>
        <v>80421119.564884812</v>
      </c>
      <c r="B8249">
        <v>224735859.93955907</v>
      </c>
    </row>
    <row r="8250" spans="1:2" x14ac:dyDescent="0.25">
      <c r="A8250">
        <f ca="1">27147.6429605905*(RANDBETWEEN(2890,3282))</f>
        <v>83207525.674209744</v>
      </c>
      <c r="B8250">
        <v>253226852.23663685</v>
      </c>
    </row>
    <row r="8251" spans="1:2" x14ac:dyDescent="0.25">
      <c r="A8251">
        <f ca="1">25843.1346112301*(RANDBETWEEN(2890,3282))</f>
        <v>81431717.159985974</v>
      </c>
      <c r="B8251">
        <v>215181202.28423029</v>
      </c>
    </row>
    <row r="8252" spans="1:2" x14ac:dyDescent="0.25">
      <c r="A8252">
        <f ca="1">26953.7857794969*(RANDBETWEEN(2890,3282))</f>
        <v>81400433.054080546</v>
      </c>
      <c r="B8252">
        <v>229707629.79682761</v>
      </c>
    </row>
    <row r="8253" spans="1:2" x14ac:dyDescent="0.25">
      <c r="A8253">
        <f ca="1">28052.0681520157*(RANDBETWEEN(2890,3282))</f>
        <v>84633089.614631653</v>
      </c>
      <c r="B8253">
        <v>207838347.57324845</v>
      </c>
    </row>
    <row r="8254" spans="1:2" x14ac:dyDescent="0.25">
      <c r="A8254">
        <f ca="1">29035.1019549974*(RANDBETWEEN(2890,3282))</f>
        <v>90502412.793726772</v>
      </c>
      <c r="B8254">
        <v>253457169.65083599</v>
      </c>
    </row>
    <row r="8255" spans="1:2" x14ac:dyDescent="0.25">
      <c r="A8255">
        <f ca="1">27238.0928031531*(RANDBETWEEN(2890,3282))</f>
        <v>79535230.98520714</v>
      </c>
      <c r="B8255">
        <v>217073371.20166564</v>
      </c>
    </row>
    <row r="8256" spans="1:2" x14ac:dyDescent="0.25">
      <c r="A8256">
        <f ca="1">31286.3072892477*(RANDBETWEEN(2890,3282))</f>
        <v>102681660.52331091</v>
      </c>
      <c r="B8256">
        <v>242118646.32315701</v>
      </c>
    </row>
    <row r="8257" spans="1:2" x14ac:dyDescent="0.25">
      <c r="A8257">
        <f ca="1">27908.4968859751*(RANDBETWEEN(2890,3282))</f>
        <v>82888235.751345932</v>
      </c>
      <c r="B8257">
        <v>244921140.89168397</v>
      </c>
    </row>
    <row r="8258" spans="1:2" x14ac:dyDescent="0.25">
      <c r="A8258">
        <f ca="1">31563.7777203614*(RANDBETWEEN(2890,3282))</f>
        <v>97500509.378196299</v>
      </c>
      <c r="B8258">
        <v>242819071.14104408</v>
      </c>
    </row>
    <row r="8259" spans="1:2" x14ac:dyDescent="0.25">
      <c r="A8259">
        <f ca="1">32001.9674659032*(RANDBETWEEN(2890,3282))</f>
        <v>96101908.300107166</v>
      </c>
      <c r="B8259">
        <v>222125428.13464421</v>
      </c>
    </row>
    <row r="8260" spans="1:2" x14ac:dyDescent="0.25">
      <c r="A8260">
        <f ca="1">28971.7290886734*(RANDBETWEEN(2890,3282))</f>
        <v>85988091.935182542</v>
      </c>
      <c r="B8260">
        <v>224823459.35890663</v>
      </c>
    </row>
    <row r="8261" spans="1:2" x14ac:dyDescent="0.25">
      <c r="A8261">
        <f ca="1">26298.8489075263*(RANDBETWEEN(2890,3282))</f>
        <v>76398156.076364011</v>
      </c>
      <c r="B8261">
        <v>242745714.21702355</v>
      </c>
    </row>
    <row r="8262" spans="1:2" x14ac:dyDescent="0.25">
      <c r="A8262">
        <f ca="1">32133.4643007106*(RANDBETWEEN(2890,3282))</f>
        <v>101734547.97604974</v>
      </c>
      <c r="B8262">
        <v>261737703.72874406</v>
      </c>
    </row>
    <row r="8263" spans="1:2" x14ac:dyDescent="0.25">
      <c r="A8263">
        <f ca="1">29403.7743806562*(RANDBETWEEN(2890,3282))</f>
        <v>87123383.489884198</v>
      </c>
      <c r="B8263">
        <v>263072792.21572864</v>
      </c>
    </row>
    <row r="8264" spans="1:2" x14ac:dyDescent="0.25">
      <c r="A8264">
        <f ca="1">30955.2100694435*(RANDBETWEEN(2890,3282))</f>
        <v>90915451.973955601</v>
      </c>
      <c r="B8264">
        <v>248067993.90560332</v>
      </c>
    </row>
    <row r="8265" spans="1:2" x14ac:dyDescent="0.25">
      <c r="A8265">
        <f ca="1">32107.0314507998*(RANDBETWEEN(2890,3282))</f>
        <v>101554540.47887976</v>
      </c>
      <c r="B8265">
        <v>223625072.10198638</v>
      </c>
    </row>
    <row r="8266" spans="1:2" x14ac:dyDescent="0.25">
      <c r="A8266">
        <f ca="1">27584.2710236194*(RANDBETWEEN(2890,3282))</f>
        <v>87690397.584086195</v>
      </c>
      <c r="B8266">
        <v>257570096.95351738</v>
      </c>
    </row>
    <row r="8267" spans="1:2" x14ac:dyDescent="0.25">
      <c r="A8267">
        <f ca="1">29425.6469422356*(RANDBETWEEN(2890,3282))</f>
        <v>85805186.483558923</v>
      </c>
      <c r="B8267">
        <v>253720840.71802562</v>
      </c>
    </row>
    <row r="8268" spans="1:2" x14ac:dyDescent="0.25">
      <c r="A8268">
        <f ca="1">32250.3108583038*(RANDBETWEEN(2890,3282))</f>
        <v>99814712.106450245</v>
      </c>
      <c r="B8268">
        <v>238945970.2901037</v>
      </c>
    </row>
    <row r="8269" spans="1:2" x14ac:dyDescent="0.25">
      <c r="A8269">
        <f ca="1">27232.041272521*(RANDBETWEEN(2890,3282))</f>
        <v>79789880.928486511</v>
      </c>
      <c r="B8269">
        <v>247950228.76236254</v>
      </c>
    </row>
    <row r="8270" spans="1:2" x14ac:dyDescent="0.25">
      <c r="A8270">
        <f ca="1">31635.6526343461*(RANDBETWEEN(2890,3282))</f>
        <v>96520376.187390059</v>
      </c>
      <c r="B8270">
        <v>262843643.23016727</v>
      </c>
    </row>
    <row r="8271" spans="1:2" x14ac:dyDescent="0.25">
      <c r="A8271">
        <f ca="1">29979.6281312697*(RANDBETWEEN(2890,3282))</f>
        <v>91347926.915978879</v>
      </c>
      <c r="B8271">
        <v>242382910.58083397</v>
      </c>
    </row>
    <row r="8272" spans="1:2" x14ac:dyDescent="0.25">
      <c r="A8272">
        <f ca="1">34241.3215293515*(RANDBETWEEN(2890,3282))</f>
        <v>106456268.63475379</v>
      </c>
      <c r="B8272">
        <v>248090335.18944377</v>
      </c>
    </row>
    <row r="8273" spans="1:2" x14ac:dyDescent="0.25">
      <c r="A8273">
        <f ca="1">27913.6808619166*(RANDBETWEEN(2890,3282))</f>
        <v>86671979.076250911</v>
      </c>
      <c r="B8273">
        <v>234530125.86156133</v>
      </c>
    </row>
    <row r="8274" spans="1:2" x14ac:dyDescent="0.25">
      <c r="A8274">
        <f ca="1">28974.5740100892*(RANDBETWEEN(2890,3282))</f>
        <v>90139899.745387629</v>
      </c>
      <c r="B8274">
        <v>208518140.39895132</v>
      </c>
    </row>
    <row r="8275" spans="1:2" x14ac:dyDescent="0.25">
      <c r="A8275">
        <f ca="1">29279.5842467539*(RANDBETWEEN(2890,3282))</f>
        <v>92113572.040287718</v>
      </c>
      <c r="B8275">
        <v>247833064.27312571</v>
      </c>
    </row>
    <row r="8276" spans="1:2" x14ac:dyDescent="0.25">
      <c r="A8276">
        <f ca="1">29382.0992367277*(RANDBETWEEN(2890,3282))</f>
        <v>89732931.068966523</v>
      </c>
      <c r="B8276">
        <v>249102360.36754763</v>
      </c>
    </row>
    <row r="8277" spans="1:2" x14ac:dyDescent="0.25">
      <c r="A8277">
        <f ca="1">26018.592318874*(RANDBETWEEN(2890,3282))</f>
        <v>78888371.910826072</v>
      </c>
      <c r="B8277">
        <v>206544948.31783175</v>
      </c>
    </row>
    <row r="8278" spans="1:2" x14ac:dyDescent="0.25">
      <c r="A8278">
        <f ca="1">30219.5948917149*(RANDBETWEEN(2890,3282))</f>
        <v>88120338.704240739</v>
      </c>
      <c r="B8278">
        <v>235606052.78260002</v>
      </c>
    </row>
    <row r="8279" spans="1:2" x14ac:dyDescent="0.25">
      <c r="A8279">
        <f ca="1">27588.3060264547*(RANDBETWEEN(2890,3282))</f>
        <v>87758401.470152289</v>
      </c>
      <c r="B8279">
        <v>232154868.32143855</v>
      </c>
    </row>
    <row r="8280" spans="1:2" x14ac:dyDescent="0.25">
      <c r="A8280">
        <f ca="1">26831.0215457299*(RANDBETWEEN(2890,3282))</f>
        <v>79446654.796906084</v>
      </c>
      <c r="B8280">
        <v>230134458.72505325</v>
      </c>
    </row>
    <row r="8281" spans="1:2" x14ac:dyDescent="0.25">
      <c r="A8281">
        <f ca="1">28279.004494779*(RANDBETWEEN(2890,3282))</f>
        <v>87184170.857403666</v>
      </c>
      <c r="B8281">
        <v>210320206.77392852</v>
      </c>
    </row>
    <row r="8282" spans="1:2" x14ac:dyDescent="0.25">
      <c r="A8282">
        <f ca="1">29041.8774255868*(RANDBETWEEN(2890,3282))</f>
        <v>90000778.141893491</v>
      </c>
      <c r="B8282">
        <v>204234624.36369535</v>
      </c>
    </row>
    <row r="8283" spans="1:2" x14ac:dyDescent="0.25">
      <c r="A8283">
        <f ca="1">30172.3292733546*(RANDBETWEEN(2890,3282))</f>
        <v>89973885.893143281</v>
      </c>
      <c r="B8283">
        <v>211111596.87819898</v>
      </c>
    </row>
    <row r="8284" spans="1:2" x14ac:dyDescent="0.25">
      <c r="A8284">
        <f ca="1">26100.9225882357*(RANDBETWEEN(2890,3282))</f>
        <v>84097172.579295486</v>
      </c>
      <c r="B8284">
        <v>239566864.38651437</v>
      </c>
    </row>
    <row r="8285" spans="1:2" x14ac:dyDescent="0.25">
      <c r="A8285">
        <f ca="1">31246.1580455122*(RANDBETWEEN(2890,3282))</f>
        <v>101112567.43527758</v>
      </c>
      <c r="B8285">
        <v>219732711.57003111</v>
      </c>
    </row>
    <row r="8286" spans="1:2" x14ac:dyDescent="0.25">
      <c r="A8286">
        <f ca="1">28810.0157034151*(RANDBETWEEN(2890,3282))</f>
        <v>92249670.282335028</v>
      </c>
      <c r="B8286">
        <v>258280484.83140472</v>
      </c>
    </row>
    <row r="8287" spans="1:2" x14ac:dyDescent="0.25">
      <c r="A8287">
        <f ca="1">30291.8273192877*(RANDBETWEEN(2890,3282))</f>
        <v>93117077.179490462</v>
      </c>
      <c r="B8287">
        <v>265175517.67202854</v>
      </c>
    </row>
    <row r="8288" spans="1:2" x14ac:dyDescent="0.25">
      <c r="A8288">
        <f ca="1">28502.6266088608*(RANDBETWEEN(2890,3282))</f>
        <v>84111251.122748286</v>
      </c>
      <c r="B8288">
        <v>207248908.62347549</v>
      </c>
    </row>
    <row r="8289" spans="1:2" x14ac:dyDescent="0.25">
      <c r="A8289">
        <f ca="1">32129.27713767*(RANDBETWEEN(2890,3282))</f>
        <v>96805512.015799597</v>
      </c>
      <c r="B8289">
        <v>239115128.77235496</v>
      </c>
    </row>
    <row r="8290" spans="1:2" x14ac:dyDescent="0.25">
      <c r="A8290">
        <f ca="1">32326.0806629371*(RANDBETWEEN(2890,3282))</f>
        <v>95749850.923619717</v>
      </c>
      <c r="B8290">
        <v>245202815.35163945</v>
      </c>
    </row>
    <row r="8291" spans="1:2" x14ac:dyDescent="0.25">
      <c r="A8291">
        <f ca="1">33842.0139739323*(RANDBETWEEN(2890,3282))</f>
        <v>103522720.74625903</v>
      </c>
      <c r="B8291">
        <v>235407766.97984999</v>
      </c>
    </row>
    <row r="8292" spans="1:2" x14ac:dyDescent="0.25">
      <c r="A8292">
        <f ca="1">28365.5763956608*(RANDBETWEEN(2890,3282))</f>
        <v>85777503.020478189</v>
      </c>
      <c r="B8292">
        <v>226099112.21752682</v>
      </c>
    </row>
    <row r="8293" spans="1:2" x14ac:dyDescent="0.25">
      <c r="A8293">
        <f ca="1">28004.9898396883*(RANDBETWEEN(2890,3282))</f>
        <v>84883124.204095349</v>
      </c>
      <c r="B8293">
        <v>232857425.8305729</v>
      </c>
    </row>
    <row r="8294" spans="1:2" x14ac:dyDescent="0.25">
      <c r="A8294">
        <f ca="1">30523.8056337321*(RANDBETWEEN(2890,3282))</f>
        <v>89556845.729369894</v>
      </c>
      <c r="B8294">
        <v>213797662.55799574</v>
      </c>
    </row>
    <row r="8295" spans="1:2" x14ac:dyDescent="0.25">
      <c r="A8295">
        <f ca="1">29467.4480218748*(RANDBETWEEN(2890,3282))</f>
        <v>85396664.36739324</v>
      </c>
      <c r="B8295">
        <v>265530903.23957634</v>
      </c>
    </row>
    <row r="8296" spans="1:2" x14ac:dyDescent="0.25">
      <c r="A8296">
        <f ca="1">32314.0507380068*(RANDBETWEEN(2890,3282))</f>
        <v>97232978.670662388</v>
      </c>
      <c r="B8296">
        <v>221200864.13605827</v>
      </c>
    </row>
    <row r="8297" spans="1:2" x14ac:dyDescent="0.25">
      <c r="A8297">
        <f ca="1">27875.1170915575*(RANDBETWEEN(2890,3282))</f>
        <v>88280495.82896252</v>
      </c>
      <c r="B8297">
        <v>206968485.80912691</v>
      </c>
    </row>
    <row r="8298" spans="1:2" x14ac:dyDescent="0.25">
      <c r="A8298">
        <f ca="1">28555.4120351769*(RANDBETWEEN(2890,3282))</f>
        <v>89663993.790455461</v>
      </c>
      <c r="B8298">
        <v>240980888.75664172</v>
      </c>
    </row>
    <row r="8299" spans="1:2" x14ac:dyDescent="0.25">
      <c r="A8299">
        <f ca="1">28948.0986426601*(RANDBETWEEN(2890,3282))</f>
        <v>87307465.506262735</v>
      </c>
      <c r="B8299">
        <v>243208642.92558527</v>
      </c>
    </row>
    <row r="8300" spans="1:2" x14ac:dyDescent="0.25">
      <c r="A8300">
        <f ca="1">28232.4454324703*(RANDBETWEEN(2890,3282))</f>
        <v>90117965.82044524</v>
      </c>
      <c r="B8300">
        <v>226316821.59920067</v>
      </c>
    </row>
    <row r="8301" spans="1:2" x14ac:dyDescent="0.25">
      <c r="A8301">
        <f ca="1">32002.2754820764*(RANDBETWEEN(2890,3282))</f>
        <v>102631297.47101907</v>
      </c>
      <c r="B8301">
        <v>222361408.02237964</v>
      </c>
    </row>
    <row r="8302" spans="1:2" x14ac:dyDescent="0.25">
      <c r="A8302">
        <f ca="1">31457.1804179747*(RANDBETWEEN(2890,3282))</f>
        <v>95912943.094404966</v>
      </c>
      <c r="B8302">
        <v>205161799.34768972</v>
      </c>
    </row>
    <row r="8303" spans="1:2" x14ac:dyDescent="0.25">
      <c r="A8303">
        <f ca="1">32162.4426952306*(RANDBETWEEN(2890,3282))</f>
        <v>97613013.580024928</v>
      </c>
      <c r="B8303">
        <v>222065920.64955649</v>
      </c>
    </row>
    <row r="8304" spans="1:2" x14ac:dyDescent="0.25">
      <c r="A8304">
        <f ca="1">31185.0266609145*(RANDBETWEEN(2890,3282))</f>
        <v>98014538.795254335</v>
      </c>
      <c r="B8304">
        <v>227026304.82041419</v>
      </c>
    </row>
    <row r="8305" spans="1:2" x14ac:dyDescent="0.25">
      <c r="A8305">
        <f ca="1">29447.1394707599*(RANDBETWEEN(2890,3282))</f>
        <v>92051757.985595539</v>
      </c>
      <c r="B8305">
        <v>218129815.75423014</v>
      </c>
    </row>
    <row r="8306" spans="1:2" x14ac:dyDescent="0.25">
      <c r="A8306">
        <f ca="1">27323.8390227661*(RANDBETWEEN(2890,3282))</f>
        <v>85933473.726599351</v>
      </c>
      <c r="B8306">
        <v>225244204.57078427</v>
      </c>
    </row>
    <row r="8307" spans="1:2" x14ac:dyDescent="0.25">
      <c r="A8307">
        <f ca="1">28942.3023302033*(RANDBETWEEN(2890,3282))</f>
        <v>90705175.502857223</v>
      </c>
      <c r="B8307">
        <v>265252020.58217037</v>
      </c>
    </row>
    <row r="8308" spans="1:2" x14ac:dyDescent="0.25">
      <c r="A8308">
        <f ca="1">30656.7508805467*(RANDBETWEEN(2890,3282))</f>
        <v>97764378.558063447</v>
      </c>
      <c r="B8308">
        <v>244928202.03061986</v>
      </c>
    </row>
    <row r="8309" spans="1:2" x14ac:dyDescent="0.25">
      <c r="A8309">
        <f ca="1">28668.2486257309*(RANDBETWEEN(2890,3282))</f>
        <v>91480381.364707217</v>
      </c>
      <c r="B8309">
        <v>240341413.31942713</v>
      </c>
    </row>
    <row r="8310" spans="1:2" x14ac:dyDescent="0.25">
      <c r="A8310">
        <f ca="1">30899.8883759236*(RANDBETWEEN(2890,3282))</f>
        <v>101320733.9846534</v>
      </c>
      <c r="B8310">
        <v>249779874.23104548</v>
      </c>
    </row>
    <row r="8311" spans="1:2" x14ac:dyDescent="0.25">
      <c r="A8311">
        <f ca="1">30733.9018408101*(RANDBETWEEN(2890,3282))</f>
        <v>100469125.11760823</v>
      </c>
      <c r="B8311">
        <v>267775155.92918614</v>
      </c>
    </row>
    <row r="8312" spans="1:2" x14ac:dyDescent="0.25">
      <c r="A8312">
        <f ca="1">29039.3291738378*(RANDBETWEEN(2890,3282))</f>
        <v>92606420.735368669</v>
      </c>
      <c r="B8312">
        <v>209002284.6701515</v>
      </c>
    </row>
    <row r="8313" spans="1:2" x14ac:dyDescent="0.25">
      <c r="A8313">
        <f ca="1">31287.7901215222*(RANDBETWEEN(2890,3282))</f>
        <v>95646774.401493356</v>
      </c>
      <c r="B8313">
        <v>230471047.92829278</v>
      </c>
    </row>
    <row r="8314" spans="1:2" x14ac:dyDescent="0.25">
      <c r="A8314">
        <f ca="1">26366.7394511908*(RANDBETWEEN(2890,3282))</f>
        <v>79522086.18479152</v>
      </c>
      <c r="B8314">
        <v>234762694.58466622</v>
      </c>
    </row>
    <row r="8315" spans="1:2" x14ac:dyDescent="0.25">
      <c r="A8315">
        <f ca="1">29780.1274376062*(RANDBETWEEN(2890,3282))</f>
        <v>87672695.176312625</v>
      </c>
      <c r="B8315">
        <v>258186538.17738122</v>
      </c>
    </row>
    <row r="8316" spans="1:2" x14ac:dyDescent="0.25">
      <c r="A8316">
        <f ca="1">27671.2248694749*(RANDBETWEEN(2890,3282))</f>
        <v>87551755.487018481</v>
      </c>
      <c r="B8316">
        <v>229770790.68673211</v>
      </c>
    </row>
    <row r="8317" spans="1:2" x14ac:dyDescent="0.25">
      <c r="A8317">
        <f ca="1">26593.6282050715*(RANDBETWEEN(2890,3282))</f>
        <v>79222418.422908053</v>
      </c>
      <c r="B8317">
        <v>224746525.31301108</v>
      </c>
    </row>
    <row r="8318" spans="1:2" x14ac:dyDescent="0.25">
      <c r="A8318">
        <f ca="1">32433.022444626*(RANDBETWEEN(2890,3282))</f>
        <v>105634354.10214689</v>
      </c>
      <c r="B8318">
        <v>267318315.81264707</v>
      </c>
    </row>
    <row r="8319" spans="1:2" x14ac:dyDescent="0.25">
      <c r="A8319">
        <f ca="1">29665.9235069395*(RANDBETWEEN(2890,3282))</f>
        <v>90303071.155123919</v>
      </c>
      <c r="B8319">
        <v>210283964.79805219</v>
      </c>
    </row>
    <row r="8320" spans="1:2" x14ac:dyDescent="0.25">
      <c r="A8320">
        <f ca="1">31358.9559598541*(RANDBETWEEN(2890,3282))</f>
        <v>100003710.55597478</v>
      </c>
      <c r="B8320">
        <v>233336750.6881811</v>
      </c>
    </row>
    <row r="8321" spans="1:2" x14ac:dyDescent="0.25">
      <c r="A8321">
        <f ca="1">26880.6842347344*(RANDBETWEEN(2890,3282))</f>
        <v>87980479.500285625</v>
      </c>
      <c r="B8321">
        <v>211894850.23050663</v>
      </c>
    </row>
    <row r="8322" spans="1:2" x14ac:dyDescent="0.25">
      <c r="A8322">
        <f ca="1">33966.9720920629*(RANDBETWEEN(2890,3282))</f>
        <v>98470252.094890386</v>
      </c>
      <c r="B8322">
        <v>267258342.07547015</v>
      </c>
    </row>
    <row r="8323" spans="1:2" x14ac:dyDescent="0.25">
      <c r="A8323">
        <f ca="1">26844.5363800836*(RANDBETWEEN(2890,3282))</f>
        <v>82466415.759616822</v>
      </c>
      <c r="B8323">
        <v>234163154.28887457</v>
      </c>
    </row>
    <row r="8324" spans="1:2" x14ac:dyDescent="0.25">
      <c r="A8324">
        <f ca="1">33399.1658393692*(RANDBETWEEN(2890,3282))</f>
        <v>104205397.41883177</v>
      </c>
      <c r="B8324">
        <v>232596338.56113887</v>
      </c>
    </row>
    <row r="8325" spans="1:2" x14ac:dyDescent="0.25">
      <c r="A8325">
        <f ca="1">28261.7580083107*(RANDBETWEEN(2890,3282))</f>
        <v>83965683.042691112</v>
      </c>
      <c r="B8325">
        <v>222926881.7848753</v>
      </c>
    </row>
    <row r="8326" spans="1:2" x14ac:dyDescent="0.25">
      <c r="A8326">
        <f ca="1">26611.1483533106*(RANDBETWEEN(2890,3282))</f>
        <v>86299954.109786198</v>
      </c>
      <c r="B8326">
        <v>257021568.73557544</v>
      </c>
    </row>
    <row r="8327" spans="1:2" x14ac:dyDescent="0.25">
      <c r="A8327">
        <f ca="1">30880.9004277679*(RANDBETWEEN(2890,3282))</f>
        <v>97738049.853885472</v>
      </c>
      <c r="B8327">
        <v>258320194.68653655</v>
      </c>
    </row>
    <row r="8328" spans="1:2" x14ac:dyDescent="0.25">
      <c r="A8328">
        <f ca="1">28417.1388967045*(RANDBETWEEN(2890,3282))</f>
        <v>83375885.52293101</v>
      </c>
      <c r="B8328">
        <v>257021448.4161523</v>
      </c>
    </row>
    <row r="8329" spans="1:2" x14ac:dyDescent="0.25">
      <c r="A8329">
        <f ca="1">33696.5453425275*(RANDBETWEEN(2890,3282))</f>
        <v>109918130.90732463</v>
      </c>
      <c r="B8329">
        <v>223737786.33218282</v>
      </c>
    </row>
    <row r="8330" spans="1:2" x14ac:dyDescent="0.25">
      <c r="A8330">
        <f ca="1">32133.9440629877*(RANDBETWEEN(2890,3282))</f>
        <v>103374898.05063134</v>
      </c>
      <c r="B8330">
        <v>206368012.90443727</v>
      </c>
    </row>
    <row r="8331" spans="1:2" x14ac:dyDescent="0.25">
      <c r="A8331">
        <f ca="1">27594.4208197133*(RANDBETWEEN(2890,3282))</f>
        <v>80686086.476841569</v>
      </c>
      <c r="B8331">
        <v>217737379.87769067</v>
      </c>
    </row>
    <row r="8332" spans="1:2" x14ac:dyDescent="0.25">
      <c r="A8332">
        <f ca="1">32417.6152465788*(RANDBETWEEN(2890,3282))</f>
        <v>94918777.44198285</v>
      </c>
      <c r="B8332">
        <v>223308758.9513174</v>
      </c>
    </row>
    <row r="8333" spans="1:2" x14ac:dyDescent="0.25">
      <c r="A8333">
        <f ca="1">31233.5960619596*(RANDBETWEEN(2890,3282))</f>
        <v>99479003.457341447</v>
      </c>
      <c r="B8333">
        <v>240953935.31656009</v>
      </c>
    </row>
    <row r="8334" spans="1:2" x14ac:dyDescent="0.25">
      <c r="A8334">
        <f ca="1">29170.5461060602*(RANDBETWEEN(2890,3282))</f>
        <v>89116018.354014114</v>
      </c>
      <c r="B8334">
        <v>225486730.27120286</v>
      </c>
    </row>
    <row r="8335" spans="1:2" x14ac:dyDescent="0.25">
      <c r="A8335">
        <f ca="1">27919.6368739796*(RANDBETWEEN(2890,3282))</f>
        <v>91436810.762283176</v>
      </c>
      <c r="B8335">
        <v>205149848.2257421</v>
      </c>
    </row>
    <row r="8336" spans="1:2" x14ac:dyDescent="0.25">
      <c r="A8336">
        <f ca="1">33380.6529761998*(RANDBETWEEN(2890,3282))</f>
        <v>108787548.04943518</v>
      </c>
      <c r="B8336">
        <v>208862248.04799107</v>
      </c>
    </row>
    <row r="8337" spans="1:2" x14ac:dyDescent="0.25">
      <c r="A8337">
        <f ca="1">31762.8364091023*(RANDBETWEEN(2890,3282))</f>
        <v>99957646.179445073</v>
      </c>
      <c r="B8337">
        <v>260146467.80165917</v>
      </c>
    </row>
    <row r="8338" spans="1:2" x14ac:dyDescent="0.25">
      <c r="A8338">
        <f ca="1">30372.2488195679*(RANDBETWEEN(2890,3282))</f>
        <v>90144834.4964775</v>
      </c>
      <c r="B8338">
        <v>266409420.18139529</v>
      </c>
    </row>
    <row r="8339" spans="1:2" x14ac:dyDescent="0.25">
      <c r="A8339">
        <f ca="1">30097.7065707502*(RANDBETWEEN(2890,3282))</f>
        <v>93332988.075896457</v>
      </c>
      <c r="B8339">
        <v>214885545.42638156</v>
      </c>
    </row>
    <row r="8340" spans="1:2" x14ac:dyDescent="0.25">
      <c r="A8340">
        <f ca="1">27473.8007737073*(RANDBETWEEN(2890,3282))</f>
        <v>85580889.410098329</v>
      </c>
      <c r="B8340">
        <v>228473733.04820722</v>
      </c>
    </row>
    <row r="8341" spans="1:2" x14ac:dyDescent="0.25">
      <c r="A8341">
        <f ca="1">31343.5791499897*(RANDBETWEEN(2890,3282))</f>
        <v>92902368.600569472</v>
      </c>
      <c r="B8341">
        <v>208679743.50637501</v>
      </c>
    </row>
    <row r="8342" spans="1:2" x14ac:dyDescent="0.25">
      <c r="A8342">
        <f ca="1">30330.6545899694*(RANDBETWEEN(2890,3282))</f>
        <v>99545208.364279538</v>
      </c>
      <c r="B8342">
        <v>209111449.06693542</v>
      </c>
    </row>
    <row r="8343" spans="1:2" x14ac:dyDescent="0.25">
      <c r="A8343">
        <f ca="1">32503.9068701002*(RANDBETWEEN(2890,3282))</f>
        <v>97056665.914119169</v>
      </c>
      <c r="B8343">
        <v>220724908.90698692</v>
      </c>
    </row>
    <row r="8344" spans="1:2" x14ac:dyDescent="0.25">
      <c r="A8344">
        <f ca="1">30249.3267238256*(RANDBETWEEN(2890,3282))</f>
        <v>92199947.854220316</v>
      </c>
      <c r="B8344">
        <v>255103732.91682908</v>
      </c>
    </row>
    <row r="8345" spans="1:2" x14ac:dyDescent="0.25">
      <c r="A8345">
        <f ca="1">28603.9510241642*(RANDBETWEEN(2890,3282))</f>
        <v>85697437.268396005</v>
      </c>
      <c r="B8345">
        <v>215853687.65745252</v>
      </c>
    </row>
    <row r="8346" spans="1:2" x14ac:dyDescent="0.25">
      <c r="A8346">
        <f ca="1">26868.1081497054*(RANDBETWEEN(2890,3282))</f>
        <v>80335643.367619097</v>
      </c>
      <c r="B8346">
        <v>251729439.21290007</v>
      </c>
    </row>
    <row r="8347" spans="1:2" x14ac:dyDescent="0.25">
      <c r="A8347">
        <f ca="1">27329.1940023721*(RANDBETWEEN(2890,3282))</f>
        <v>80921743.441023782</v>
      </c>
      <c r="B8347">
        <v>237803235.65914136</v>
      </c>
    </row>
    <row r="8348" spans="1:2" x14ac:dyDescent="0.25">
      <c r="A8348">
        <f ca="1">32842.749614887*(RANDBETWEEN(2890,3282))</f>
        <v>96590526.617382646</v>
      </c>
      <c r="B8348">
        <v>226276613.14040172</v>
      </c>
    </row>
    <row r="8349" spans="1:2" x14ac:dyDescent="0.25">
      <c r="A8349">
        <f ca="1">30218.1488095792*(RANDBETWEEN(2890,3282))</f>
        <v>91077500.512071773</v>
      </c>
      <c r="B8349">
        <v>220955670.86983082</v>
      </c>
    </row>
    <row r="8350" spans="1:2" x14ac:dyDescent="0.25">
      <c r="A8350">
        <f ca="1">28173.3997161644*(RANDBETWEEN(2890,3282))</f>
        <v>84407505.549628526</v>
      </c>
      <c r="B8350">
        <v>233256284.69882876</v>
      </c>
    </row>
    <row r="8351" spans="1:2" x14ac:dyDescent="0.25">
      <c r="A8351">
        <f ca="1">28442.6501191358*(RANDBETWEEN(2890,3282))</f>
        <v>90049430.277183905</v>
      </c>
      <c r="B8351">
        <v>220670493.42281502</v>
      </c>
    </row>
    <row r="8352" spans="1:2" x14ac:dyDescent="0.25">
      <c r="A8352">
        <f ca="1">29452.1482351654*(RANDBETWEEN(2890,3282))</f>
        <v>91625633.159599513</v>
      </c>
      <c r="B8352">
        <v>213643796.70634076</v>
      </c>
    </row>
    <row r="8353" spans="1:2" x14ac:dyDescent="0.25">
      <c r="A8353">
        <f ca="1">26495.5423462951*(RANDBETWEEN(2890,3282))</f>
        <v>83964373.695409268</v>
      </c>
      <c r="B8353">
        <v>224081947.91616309</v>
      </c>
    </row>
    <row r="8354" spans="1:2" x14ac:dyDescent="0.25">
      <c r="A8354">
        <f ca="1">28565.9482999798*(RANDBETWEEN(2890,3282))</f>
        <v>90068434.98983638</v>
      </c>
      <c r="B8354">
        <v>222404942.25439858</v>
      </c>
    </row>
    <row r="8355" spans="1:2" x14ac:dyDescent="0.25">
      <c r="A8355">
        <f ca="1">29426.8885632928*(RANDBETWEEN(2890,3282))</f>
        <v>87603847.252922773</v>
      </c>
      <c r="B8355">
        <v>229203368.32047668</v>
      </c>
    </row>
    <row r="8356" spans="1:2" x14ac:dyDescent="0.25">
      <c r="A8356">
        <f ca="1">30928.6754861198*(RANDBETWEEN(2890,3282))</f>
        <v>96744896.920582667</v>
      </c>
      <c r="B8356">
        <v>258940509.40397578</v>
      </c>
    </row>
    <row r="8357" spans="1:2" x14ac:dyDescent="0.25">
      <c r="A8357">
        <f ca="1">29648.2663131912*(RANDBETWEEN(2890,3282))</f>
        <v>86632234.167144671</v>
      </c>
      <c r="B8357">
        <v>223162653.3371599</v>
      </c>
    </row>
    <row r="8358" spans="1:2" x14ac:dyDescent="0.25">
      <c r="A8358">
        <f ca="1">29532.9275987579*(RANDBETWEEN(2890,3282))</f>
        <v>89780099.900224105</v>
      </c>
      <c r="B8358">
        <v>238915737.53422213</v>
      </c>
    </row>
    <row r="8359" spans="1:2" x14ac:dyDescent="0.25">
      <c r="A8359">
        <f ca="1">33456.8684384761*(RANDBETWEEN(2890,3282))</f>
        <v>101641966.3160903</v>
      </c>
      <c r="B8359">
        <v>222203522.71960208</v>
      </c>
    </row>
    <row r="8360" spans="1:2" x14ac:dyDescent="0.25">
      <c r="A8360">
        <f ca="1">26296.2589212106*(RANDBETWEEN(2890,3282))</f>
        <v>77915815.18354702</v>
      </c>
      <c r="B8360">
        <v>230223833.96349922</v>
      </c>
    </row>
    <row r="8361" spans="1:2" x14ac:dyDescent="0.25">
      <c r="A8361">
        <f ca="1">35183.3604923264*(RANDBETWEEN(2890,3282))</f>
        <v>106992599.2571646</v>
      </c>
      <c r="B8361">
        <v>243018812.06014651</v>
      </c>
    </row>
    <row r="8362" spans="1:2" x14ac:dyDescent="0.25">
      <c r="A8362">
        <f ca="1">31400.2184852644*(RANDBETWEEN(2890,3282))</f>
        <v>92567844.094559416</v>
      </c>
      <c r="B8362">
        <v>253960182.74793577</v>
      </c>
    </row>
    <row r="8363" spans="1:2" x14ac:dyDescent="0.25">
      <c r="A8363">
        <f ca="1">31938.4359763723*(RANDBETWEEN(2890,3282))</f>
        <v>100031181.47799812</v>
      </c>
      <c r="B8363">
        <v>258285868.69348842</v>
      </c>
    </row>
    <row r="8364" spans="1:2" x14ac:dyDescent="0.25">
      <c r="A8364">
        <f ca="1">30923.2977684661*(RANDBETWEEN(2890,3282))</f>
        <v>94254211.598284528</v>
      </c>
      <c r="B8364">
        <v>248929731.11393136</v>
      </c>
    </row>
    <row r="8365" spans="1:2" x14ac:dyDescent="0.25">
      <c r="A8365">
        <f ca="1">30888.7762082898*(RANDBETWEEN(2890,3282))</f>
        <v>95075653.169115975</v>
      </c>
      <c r="B8365">
        <v>249223603.25793356</v>
      </c>
    </row>
    <row r="8366" spans="1:2" x14ac:dyDescent="0.25">
      <c r="A8366">
        <f ca="1">29162.2592707753*(RANDBETWEEN(2890,3282))</f>
        <v>88244996.55336614</v>
      </c>
      <c r="B8366">
        <v>259690847.62182346</v>
      </c>
    </row>
    <row r="8367" spans="1:2" x14ac:dyDescent="0.25">
      <c r="A8367">
        <f ca="1">33054.748297452*(RANDBETWEEN(2890,3282))</f>
        <v>95627386.824528545</v>
      </c>
      <c r="B8367">
        <v>265792352.16109449</v>
      </c>
    </row>
    <row r="8368" spans="1:2" x14ac:dyDescent="0.25">
      <c r="A8368">
        <f ca="1">26292.9057343732*(RANDBETWEEN(2890,3282))</f>
        <v>81744643.928166315</v>
      </c>
      <c r="B8368">
        <v>215297416.82054445</v>
      </c>
    </row>
    <row r="8369" spans="1:2" x14ac:dyDescent="0.25">
      <c r="A8369">
        <f ca="1">29225.024695512*(RANDBETWEEN(2890,3282))</f>
        <v>95098230.359195903</v>
      </c>
      <c r="B8369">
        <v>253482150.32431906</v>
      </c>
    </row>
    <row r="8370" spans="1:2" x14ac:dyDescent="0.25">
      <c r="A8370">
        <f ca="1">32496.7407640007*(RANDBETWEEN(2890,3282))</f>
        <v>95442927.623870105</v>
      </c>
      <c r="B8370">
        <v>249807798.45722625</v>
      </c>
    </row>
    <row r="8371" spans="1:2" x14ac:dyDescent="0.25">
      <c r="A8371">
        <f ca="1">27801.9769891586*(RANDBETWEEN(2890,3282))</f>
        <v>88299078.91756779</v>
      </c>
      <c r="B8371">
        <v>216127207.32204884</v>
      </c>
    </row>
    <row r="8372" spans="1:2" x14ac:dyDescent="0.25">
      <c r="A8372">
        <f ca="1">31165.67952866*(RANDBETWEEN(2890,3282))</f>
        <v>91595932.134731725</v>
      </c>
      <c r="B8372">
        <v>254172372.39766881</v>
      </c>
    </row>
    <row r="8373" spans="1:2" x14ac:dyDescent="0.25">
      <c r="A8373">
        <f ca="1">28642.8151193042*(RANDBETWEEN(2890,3282))</f>
        <v>92143936.238801628</v>
      </c>
      <c r="B8373">
        <v>223102175.15678498</v>
      </c>
    </row>
    <row r="8374" spans="1:2" x14ac:dyDescent="0.25">
      <c r="A8374">
        <f ca="1">31028.3865046773*(RANDBETWEEN(2890,3282))</f>
        <v>99228780.04195787</v>
      </c>
      <c r="B8374">
        <v>226410688.62654474</v>
      </c>
    </row>
    <row r="8375" spans="1:2" x14ac:dyDescent="0.25">
      <c r="A8375">
        <f ca="1">28745.581443526*(RANDBETWEEN(2890,3282))</f>
        <v>85086921.072836921</v>
      </c>
      <c r="B8375">
        <v>241628987.79156142</v>
      </c>
    </row>
    <row r="8376" spans="1:2" x14ac:dyDescent="0.25">
      <c r="A8376">
        <f ca="1">26730.2506471084*(RANDBETWEEN(2890,3282))</f>
        <v>81340152.719150797</v>
      </c>
      <c r="B8376">
        <v>230010654.07477236</v>
      </c>
    </row>
    <row r="8377" spans="1:2" x14ac:dyDescent="0.25">
      <c r="A8377">
        <f ca="1">27878.2627630388*(RANDBETWEEN(2890,3282))</f>
        <v>81320892.479784295</v>
      </c>
      <c r="B8377">
        <v>249156788.07837659</v>
      </c>
    </row>
    <row r="8378" spans="1:2" x14ac:dyDescent="0.25">
      <c r="A8378">
        <f ca="1">31388.9336738351*(RANDBETWEEN(2890,3282))</f>
        <v>92157909.266379938</v>
      </c>
      <c r="B8378">
        <v>259517506.58063936</v>
      </c>
    </row>
    <row r="8379" spans="1:2" x14ac:dyDescent="0.25">
      <c r="A8379">
        <f ca="1">27301.6124556954*(RANDBETWEEN(2890,3282))</f>
        <v>89358177.567491084</v>
      </c>
      <c r="B8379">
        <v>204488746.5124808</v>
      </c>
    </row>
    <row r="8380" spans="1:2" x14ac:dyDescent="0.25">
      <c r="A8380">
        <f ca="1">32833.58354364*(RANDBETWEEN(2890,3282))</f>
        <v>106807647.26746093</v>
      </c>
      <c r="B8380">
        <v>253215324.76482317</v>
      </c>
    </row>
    <row r="8381" spans="1:2" x14ac:dyDescent="0.25">
      <c r="A8381">
        <f ca="1">30098.12324243*(RANDBETWEEN(2890,3282))</f>
        <v>92461434.600744933</v>
      </c>
      <c r="B8381">
        <v>258233367.7939083</v>
      </c>
    </row>
    <row r="8382" spans="1:2" x14ac:dyDescent="0.25">
      <c r="A8382">
        <f ca="1">32381.3847556048*(RANDBETWEEN(2890,3282))</f>
        <v>94229829.63880983</v>
      </c>
      <c r="B8382">
        <v>234577395.48911658</v>
      </c>
    </row>
    <row r="8383" spans="1:2" x14ac:dyDescent="0.25">
      <c r="A8383">
        <f ca="1">26572.5810981766*(RANDBETWEEN(2890,3282))</f>
        <v>81471533.647009313</v>
      </c>
      <c r="B8383">
        <v>219604999.59159386</v>
      </c>
    </row>
    <row r="8384" spans="1:2" x14ac:dyDescent="0.25">
      <c r="A8384">
        <f ca="1">31583.5132898843*(RANDBETWEEN(2890,3282))</f>
        <v>92413359.886201516</v>
      </c>
      <c r="B8384">
        <v>265504833.99399933</v>
      </c>
    </row>
    <row r="8385" spans="1:2" x14ac:dyDescent="0.25">
      <c r="A8385">
        <f ca="1">30282.4104509915*(RANDBETWEEN(2890,3282))</f>
        <v>94844509.532505468</v>
      </c>
      <c r="B8385">
        <v>211038910.85239804</v>
      </c>
    </row>
    <row r="8386" spans="1:2" x14ac:dyDescent="0.25">
      <c r="A8386">
        <f ca="1">27740.4859952497*(RANDBETWEEN(2890,3282))</f>
        <v>84192374.995582864</v>
      </c>
      <c r="B8386">
        <v>232856870.24607965</v>
      </c>
    </row>
    <row r="8387" spans="1:2" x14ac:dyDescent="0.25">
      <c r="A8387">
        <f ca="1">27708.5025243849*(RANDBETWEEN(2890,3282))</f>
        <v>86783029.906373635</v>
      </c>
      <c r="B8387">
        <v>212253459.17148754</v>
      </c>
    </row>
    <row r="8388" spans="1:2" x14ac:dyDescent="0.25">
      <c r="A8388">
        <f ca="1">29945.3938362432*(RANDBETWEEN(2890,3282))</f>
        <v>94477717.553347319</v>
      </c>
      <c r="B8388">
        <v>253225768.58564094</v>
      </c>
    </row>
    <row r="8389" spans="1:2" x14ac:dyDescent="0.25">
      <c r="A8389">
        <f ca="1">26797.8655061757*(RANDBETWEEN(2890,3282))</f>
        <v>77981788.622971341</v>
      </c>
      <c r="B8389">
        <v>220868849.32136863</v>
      </c>
    </row>
    <row r="8390" spans="1:2" x14ac:dyDescent="0.25">
      <c r="A8390">
        <f ca="1">30610.6456822654*(RANDBETWEEN(2890,3282))</f>
        <v>96943914.875734478</v>
      </c>
      <c r="B8390">
        <v>209708887.47601834</v>
      </c>
    </row>
    <row r="8391" spans="1:2" x14ac:dyDescent="0.25">
      <c r="A8391">
        <f ca="1">27049.2432965003*(RANDBETWEEN(2890,3282))</f>
        <v>88451025.579555884</v>
      </c>
      <c r="B8391">
        <v>210737102.30445755</v>
      </c>
    </row>
    <row r="8392" spans="1:2" x14ac:dyDescent="0.25">
      <c r="A8392">
        <f ca="1">34214.705393689*(RANDBETWEEN(2890,3282))</f>
        <v>107639463.16854565</v>
      </c>
      <c r="B8392">
        <v>255169648.05119729</v>
      </c>
    </row>
    <row r="8393" spans="1:2" x14ac:dyDescent="0.25">
      <c r="A8393">
        <f ca="1">31744.5697070115*(RANDBETWEEN(2890,3282))</f>
        <v>98090720.394665405</v>
      </c>
      <c r="B8393">
        <v>229002783.45810321</v>
      </c>
    </row>
    <row r="8394" spans="1:2" x14ac:dyDescent="0.25">
      <c r="A8394">
        <f ca="1">31483.1808294138*(RANDBETWEEN(2890,3282))</f>
        <v>98447906.453577012</v>
      </c>
      <c r="B8394">
        <v>232932674.41646522</v>
      </c>
    </row>
    <row r="8395" spans="1:2" x14ac:dyDescent="0.25">
      <c r="A8395">
        <f ca="1">28523.3701873123*(RANDBETWEEN(2890,3282))</f>
        <v>84999643.158190504</v>
      </c>
      <c r="B8395">
        <v>225605194.22243458</v>
      </c>
    </row>
    <row r="8396" spans="1:2" x14ac:dyDescent="0.25">
      <c r="A8396">
        <f ca="1">30515.0798469183*(RANDBETWEEN(2890,3282))</f>
        <v>94535717.365752831</v>
      </c>
      <c r="B8396">
        <v>240474637.50469592</v>
      </c>
    </row>
    <row r="8397" spans="1:2" x14ac:dyDescent="0.25">
      <c r="A8397">
        <f ca="1">30304.4486443264*(RANDBETWEEN(2890,3282))</f>
        <v>88761730.079232037</v>
      </c>
      <c r="B8397">
        <v>257383622.57180038</v>
      </c>
    </row>
    <row r="8398" spans="1:2" x14ac:dyDescent="0.25">
      <c r="A8398">
        <f ca="1">26333.2134154214*(RANDBETWEEN(2890,3282))</f>
        <v>78235977.057216838</v>
      </c>
      <c r="B8398">
        <v>256005172.62945768</v>
      </c>
    </row>
    <row r="8399" spans="1:2" x14ac:dyDescent="0.25">
      <c r="A8399">
        <f ca="1">32986.2617633914*(RANDBETWEEN(2890,3282))</f>
        <v>107799103.44276316</v>
      </c>
      <c r="B8399">
        <v>245228069.86601692</v>
      </c>
    </row>
    <row r="8400" spans="1:2" x14ac:dyDescent="0.25">
      <c r="A8400">
        <f ca="1">31631.4316733406*(RANDBETWEEN(2890,3282))</f>
        <v>102422575.75827673</v>
      </c>
      <c r="B8400">
        <v>213694355.93400866</v>
      </c>
    </row>
    <row r="8401" spans="1:2" x14ac:dyDescent="0.25">
      <c r="A8401">
        <f ca="1">32817.1839525446*(RANDBETWEEN(2890,3282))</f>
        <v>95005747.542616606</v>
      </c>
      <c r="B8401">
        <v>264611184.57770577</v>
      </c>
    </row>
    <row r="8402" spans="1:2" x14ac:dyDescent="0.25">
      <c r="A8402">
        <f ca="1">28228.4135021361*(RANDBETWEEN(2890,3282))</f>
        <v>85899062.287</v>
      </c>
      <c r="B8402">
        <v>207163436.13149995</v>
      </c>
    </row>
    <row r="8403" spans="1:2" x14ac:dyDescent="0.25">
      <c r="A8403">
        <f ca="1">31251.8860794641*(RANDBETWEEN(2890,3282))</f>
        <v>101568629.75825836</v>
      </c>
      <c r="B8403">
        <v>260268627.3109861</v>
      </c>
    </row>
    <row r="8404" spans="1:2" x14ac:dyDescent="0.25">
      <c r="A8404">
        <f ca="1">28061.5226569995*(RANDBETWEEN(2890,3282))</f>
        <v>88730534.641432345</v>
      </c>
      <c r="B8404">
        <v>224947492.57782462</v>
      </c>
    </row>
    <row r="8405" spans="1:2" x14ac:dyDescent="0.25">
      <c r="A8405">
        <f ca="1">29638.1513702141*(RANDBETWEEN(2890,3282))</f>
        <v>94723531.779204279</v>
      </c>
      <c r="B8405">
        <v>260104107.63399816</v>
      </c>
    </row>
    <row r="8406" spans="1:2" x14ac:dyDescent="0.25">
      <c r="A8406">
        <f ca="1">27664.9003381011*(RANDBETWEEN(2890,3282))</f>
        <v>89053314.18834731</v>
      </c>
      <c r="B8406">
        <v>240763821.17769399</v>
      </c>
    </row>
    <row r="8407" spans="1:2" x14ac:dyDescent="0.25">
      <c r="A8407">
        <f ca="1">28464.0563554669*(RANDBETWEEN(2890,3282))</f>
        <v>85050600.39013499</v>
      </c>
      <c r="B8407">
        <v>229882984.88546079</v>
      </c>
    </row>
    <row r="8408" spans="1:2" x14ac:dyDescent="0.25">
      <c r="A8408">
        <f ca="1">29642.3584676182*(RANDBETWEEN(2890,3282))</f>
        <v>91802384.174213558</v>
      </c>
      <c r="B8408">
        <v>222356911.32208985</v>
      </c>
    </row>
    <row r="8409" spans="1:2" x14ac:dyDescent="0.25">
      <c r="A8409">
        <f ca="1">31152.7655730106*(RANDBETWEEN(2890,3282))</f>
        <v>99315016.646757752</v>
      </c>
      <c r="B8409">
        <v>234607388.04028553</v>
      </c>
    </row>
    <row r="8410" spans="1:2" x14ac:dyDescent="0.25">
      <c r="A8410">
        <f ca="1">30096.3479324186*(RANDBETWEEN(2890,3282))</f>
        <v>91763764.845944449</v>
      </c>
      <c r="B8410">
        <v>246200376.43395984</v>
      </c>
    </row>
    <row r="8411" spans="1:2" x14ac:dyDescent="0.25">
      <c r="A8411">
        <f ca="1">28580.2608983482*(RANDBETWEEN(2890,3282))</f>
        <v>85054856.433484226</v>
      </c>
      <c r="B8411">
        <v>203789071.36739898</v>
      </c>
    </row>
    <row r="8412" spans="1:2" x14ac:dyDescent="0.25">
      <c r="A8412">
        <f ca="1">27977.9317168788*(RANDBETWEEN(2890,3282))</f>
        <v>83737949.628618106</v>
      </c>
      <c r="B8412">
        <v>207431027.4111321</v>
      </c>
    </row>
    <row r="8413" spans="1:2" x14ac:dyDescent="0.25">
      <c r="A8413">
        <f ca="1">29797.8209812721*(RANDBETWEEN(2890,3282))</f>
        <v>88141954.462602958</v>
      </c>
      <c r="B8413">
        <v>251757070.42078042</v>
      </c>
    </row>
    <row r="8414" spans="1:2" x14ac:dyDescent="0.25">
      <c r="A8414">
        <f ca="1">28995.4394622499*(RANDBETWEEN(2890,3282))</f>
        <v>94728100.72317037</v>
      </c>
      <c r="B8414">
        <v>219615323.97507954</v>
      </c>
    </row>
    <row r="8415" spans="1:2" x14ac:dyDescent="0.25">
      <c r="A8415">
        <f ca="1">30876.7299033524*(RANDBETWEEN(2890,3282))</f>
        <v>93957889.095901266</v>
      </c>
      <c r="B8415">
        <v>253414958.06696969</v>
      </c>
    </row>
    <row r="8416" spans="1:2" x14ac:dyDescent="0.25">
      <c r="A8416">
        <f ca="1">33021.084010193*(RANDBETWEEN(2890,3282))</f>
        <v>105370279.07652588</v>
      </c>
      <c r="B8416">
        <v>205715459.63436028</v>
      </c>
    </row>
    <row r="8417" spans="1:2" x14ac:dyDescent="0.25">
      <c r="A8417">
        <f ca="1">31608.2759938629*(RANDBETWEEN(2890,3282))</f>
        <v>93434063.837858766</v>
      </c>
      <c r="B8417">
        <v>243477631.17353266</v>
      </c>
    </row>
    <row r="8418" spans="1:2" x14ac:dyDescent="0.25">
      <c r="A8418">
        <f ca="1">30643.1216213761*(RANDBETWEEN(2890,3282))</f>
        <v>95024320.147887334</v>
      </c>
      <c r="B8418">
        <v>216624724.72298151</v>
      </c>
    </row>
    <row r="8419" spans="1:2" x14ac:dyDescent="0.25">
      <c r="A8419">
        <f ca="1">24131.9265432103*(RANDBETWEEN(2890,3282))</f>
        <v>75388138.520989075</v>
      </c>
      <c r="B8419">
        <v>239657073.20527071</v>
      </c>
    </row>
    <row r="8420" spans="1:2" x14ac:dyDescent="0.25">
      <c r="A8420">
        <f ca="1">27450.4439048168*(RANDBETWEEN(2890,3282))</f>
        <v>83998358.348739356</v>
      </c>
      <c r="B8420">
        <v>218712575.34142593</v>
      </c>
    </row>
    <row r="8421" spans="1:2" x14ac:dyDescent="0.25">
      <c r="A8421">
        <f ca="1">30599.7739203177*(RANDBETWEEN(2890,3282))</f>
        <v>95471294.631391108</v>
      </c>
      <c r="B8421">
        <v>257326870.79153591</v>
      </c>
    </row>
    <row r="8422" spans="1:2" x14ac:dyDescent="0.25">
      <c r="A8422">
        <f ca="1">31410.6063485485*(RANDBETWEEN(2890,3282))</f>
        <v>99445979.699504405</v>
      </c>
      <c r="B8422">
        <v>260283698.00830114</v>
      </c>
    </row>
    <row r="8423" spans="1:2" x14ac:dyDescent="0.25">
      <c r="A8423">
        <f ca="1">28187.198929449*(RANDBETWEEN(2890,3282))</f>
        <v>82954926.449368447</v>
      </c>
      <c r="B8423">
        <v>263881564.49135017</v>
      </c>
    </row>
    <row r="8424" spans="1:2" x14ac:dyDescent="0.25">
      <c r="A8424">
        <f ca="1">28036.6758310296*(RANDBETWEEN(2890,3282))</f>
        <v>82988560.459847748</v>
      </c>
      <c r="B8424">
        <v>237223552.20657876</v>
      </c>
    </row>
    <row r="8425" spans="1:2" x14ac:dyDescent="0.25">
      <c r="A8425">
        <f ca="1">30713.4820368176*(RANDBETWEEN(2890,3282))</f>
        <v>97699586.359116927</v>
      </c>
      <c r="B8425">
        <v>227845744.08928481</v>
      </c>
    </row>
    <row r="8426" spans="1:2" x14ac:dyDescent="0.25">
      <c r="A8426">
        <f ca="1">28650.2008006673*(RANDBETWEEN(2890,3282))</f>
        <v>86982009.630825847</v>
      </c>
      <c r="B8426">
        <v>259712913.14978239</v>
      </c>
    </row>
    <row r="8427" spans="1:2" x14ac:dyDescent="0.25">
      <c r="A8427">
        <f ca="1">27826.7350272973*(RANDBETWEEN(2890,3282))</f>
        <v>87153334.10549511</v>
      </c>
      <c r="B8427">
        <v>213948139.23734793</v>
      </c>
    </row>
    <row r="8428" spans="1:2" x14ac:dyDescent="0.25">
      <c r="A8428">
        <f ca="1">27756.2106072856*(RANDBETWEEN(2890,3282))</f>
        <v>83934780.876431748</v>
      </c>
      <c r="B8428">
        <v>239304537.83210507</v>
      </c>
    </row>
    <row r="8429" spans="1:2" x14ac:dyDescent="0.25">
      <c r="A8429">
        <f ca="1">28741.0893685249*(RANDBETWEEN(2890,3282))</f>
        <v>88781225.059373409</v>
      </c>
      <c r="B8429">
        <v>246031963.24189323</v>
      </c>
    </row>
    <row r="8430" spans="1:2" x14ac:dyDescent="0.25">
      <c r="A8430">
        <f ca="1">30682.5561213665*(RANDBETWEEN(2890,3282))</f>
        <v>98736465.598557234</v>
      </c>
      <c r="B8430">
        <v>212641109.69455814</v>
      </c>
    </row>
    <row r="8431" spans="1:2" x14ac:dyDescent="0.25">
      <c r="A8431">
        <f ca="1">29044.3141808528*(RANDBETWEEN(2890,3282))</f>
        <v>87626695.883633047</v>
      </c>
      <c r="B8431">
        <v>244286860.0164777</v>
      </c>
    </row>
    <row r="8432" spans="1:2" x14ac:dyDescent="0.25">
      <c r="A8432">
        <f ca="1">27477.6239850785*(RANDBETWEEN(2890,3282))</f>
        <v>89357233.199475288</v>
      </c>
      <c r="B8432">
        <v>213874427.39215568</v>
      </c>
    </row>
    <row r="8433" spans="1:2" x14ac:dyDescent="0.25">
      <c r="A8433">
        <f ca="1">31847.0949987675*(RANDBETWEEN(2890,3282))</f>
        <v>97738734.551217407</v>
      </c>
      <c r="B8433">
        <v>234936145.58154148</v>
      </c>
    </row>
    <row r="8434" spans="1:2" x14ac:dyDescent="0.25">
      <c r="A8434">
        <f ca="1">27930.8584934677*(RANDBETWEEN(2890,3282))</f>
        <v>82898788.008612245</v>
      </c>
      <c r="B8434">
        <v>266792976.47595578</v>
      </c>
    </row>
    <row r="8435" spans="1:2" x14ac:dyDescent="0.25">
      <c r="A8435">
        <f ca="1">27832.8307267821*(RANDBETWEEN(2890,3282))</f>
        <v>90456699.862041727</v>
      </c>
      <c r="B8435">
        <v>219117599.63858131</v>
      </c>
    </row>
    <row r="8436" spans="1:2" x14ac:dyDescent="0.25">
      <c r="A8436">
        <f ca="1">29542.4326456873*(RANDBETWEEN(2890,3282))</f>
        <v>95303887.714987189</v>
      </c>
      <c r="B8436">
        <v>266763582.79788524</v>
      </c>
    </row>
    <row r="8437" spans="1:2" x14ac:dyDescent="0.25">
      <c r="A8437">
        <f ca="1">33321.5824399201*(RANDBETWEEN(2890,3282))</f>
        <v>102897046.57447314</v>
      </c>
      <c r="B8437">
        <v>228529276.43035027</v>
      </c>
    </row>
    <row r="8438" spans="1:2" x14ac:dyDescent="0.25">
      <c r="A8438">
        <f ca="1">27662.7476019595*(RANDBETWEEN(2890,3282))</f>
        <v>85809843.061278209</v>
      </c>
      <c r="B8438">
        <v>229906214.08025828</v>
      </c>
    </row>
    <row r="8439" spans="1:2" x14ac:dyDescent="0.25">
      <c r="A8439">
        <f ca="1">29262.9556706184*(RANDBETWEEN(2890,3282))</f>
        <v>89164225.92837438</v>
      </c>
      <c r="B8439">
        <v>233892390.34568349</v>
      </c>
    </row>
    <row r="8440" spans="1:2" x14ac:dyDescent="0.25">
      <c r="A8440">
        <f ca="1">33026.9056108413*(RANDBETWEEN(2890,3282))</f>
        <v>107931927.53622939</v>
      </c>
      <c r="B8440">
        <v>249546136.31439704</v>
      </c>
    </row>
    <row r="8441" spans="1:2" x14ac:dyDescent="0.25">
      <c r="A8441">
        <f ca="1">30251.7003151034*(RANDBETWEEN(2890,3282))</f>
        <v>93931529.478395998</v>
      </c>
      <c r="B8441">
        <v>262112164.06885967</v>
      </c>
    </row>
    <row r="8442" spans="1:2" x14ac:dyDescent="0.25">
      <c r="A8442">
        <f ca="1">32456.8395647265*(RANDBETWEEN(2890,3282))</f>
        <v>94222205.256401062</v>
      </c>
      <c r="B8442">
        <v>246150884.91606736</v>
      </c>
    </row>
    <row r="8443" spans="1:2" x14ac:dyDescent="0.25">
      <c r="A8443">
        <f ca="1">28705.2160013603*(RANDBETWEEN(2890,3282))</f>
        <v>91311292.100327104</v>
      </c>
      <c r="B8443">
        <v>222065438.56426007</v>
      </c>
    </row>
    <row r="8444" spans="1:2" x14ac:dyDescent="0.25">
      <c r="A8444">
        <f ca="1">24951.4305855462*(RANDBETWEEN(2890,3282))</f>
        <v>81017295.11126852</v>
      </c>
      <c r="B8444">
        <v>222431715.61980808</v>
      </c>
    </row>
    <row r="8445" spans="1:2" x14ac:dyDescent="0.25">
      <c r="A8445">
        <f ca="1">31547.3241307545*(RANDBETWEEN(2890,3282))</f>
        <v>92875322.240941122</v>
      </c>
      <c r="B8445">
        <v>210381001.90595743</v>
      </c>
    </row>
    <row r="8446" spans="1:2" x14ac:dyDescent="0.25">
      <c r="A8446">
        <f ca="1">27926.2544079395*(RANDBETWEEN(2890,3282))</f>
        <v>89308161.596590519</v>
      </c>
      <c r="B8446">
        <v>223643843.71632192</v>
      </c>
    </row>
    <row r="8447" spans="1:2" x14ac:dyDescent="0.25">
      <c r="A8447">
        <f ca="1">30250.1341061085*(RANDBETWEEN(2890,3282))</f>
        <v>96165176.323318899</v>
      </c>
      <c r="B8447">
        <v>215767806.10659987</v>
      </c>
    </row>
    <row r="8448" spans="1:2" x14ac:dyDescent="0.25">
      <c r="A8448">
        <f ca="1">30137.7839315727*(RANDBETWEEN(2890,3282))</f>
        <v>96471046.364964247</v>
      </c>
      <c r="B8448">
        <v>242410725.85174331</v>
      </c>
    </row>
    <row r="8449" spans="1:2" x14ac:dyDescent="0.25">
      <c r="A8449">
        <f ca="1">28512.371322165*(RANDBETWEEN(2890,3282))</f>
        <v>87761078.929623842</v>
      </c>
      <c r="B8449">
        <v>203761015.44729319</v>
      </c>
    </row>
    <row r="8450" spans="1:2" x14ac:dyDescent="0.25">
      <c r="A8450">
        <f ca="1">30896.8047570361*(RANDBETWEEN(2890,3282))</f>
        <v>96305340.42768155</v>
      </c>
      <c r="B8450">
        <v>238403700.33532453</v>
      </c>
    </row>
    <row r="8451" spans="1:2" x14ac:dyDescent="0.25">
      <c r="A8451">
        <f ca="1">27994.5866433649*(RANDBETWEEN(2890,3282))</f>
        <v>83143922.330793902</v>
      </c>
      <c r="B8451">
        <v>246302091.84040177</v>
      </c>
    </row>
    <row r="8452" spans="1:2" x14ac:dyDescent="0.25">
      <c r="A8452">
        <f ca="1">30953.4794249506*(RANDBETWEEN(2890,3282))</f>
        <v>99670203.748341039</v>
      </c>
      <c r="B8452">
        <v>225950658.72724581</v>
      </c>
    </row>
    <row r="8453" spans="1:2" x14ac:dyDescent="0.25">
      <c r="A8453">
        <f ca="1">28785.847987055*(RANDBETWEEN(2890,3282))</f>
        <v>89149771.215909466</v>
      </c>
      <c r="B8453">
        <v>221953068.29203722</v>
      </c>
    </row>
    <row r="8454" spans="1:2" x14ac:dyDescent="0.25">
      <c r="A8454">
        <f ca="1">26299.5298446646*(RANDBETWEEN(2890,3282))</f>
        <v>85578670.114538699</v>
      </c>
      <c r="B8454">
        <v>206184226.02502048</v>
      </c>
    </row>
    <row r="8455" spans="1:2" x14ac:dyDescent="0.25">
      <c r="A8455">
        <f ca="1">31123.4978313073*(RANDBETWEEN(2890,3282))</f>
        <v>95580261.839944765</v>
      </c>
      <c r="B8455">
        <v>211089227.4886682</v>
      </c>
    </row>
    <row r="8456" spans="1:2" x14ac:dyDescent="0.25">
      <c r="A8456">
        <f ca="1">27757.8050368384*(RANDBETWEEN(2890,3282))</f>
        <v>87881210.746630251</v>
      </c>
      <c r="B8456">
        <v>261714751.78921798</v>
      </c>
    </row>
    <row r="8457" spans="1:2" x14ac:dyDescent="0.25">
      <c r="A8457">
        <f ca="1">31676.0906998443*(RANDBETWEEN(2890,3282))</f>
        <v>102693886.04889522</v>
      </c>
      <c r="B8457">
        <v>222568978.31691831</v>
      </c>
    </row>
    <row r="8458" spans="1:2" x14ac:dyDescent="0.25">
      <c r="A8458">
        <f ca="1">28805.7647085587*(RANDBETWEEN(2890,3282))</f>
        <v>89960403.184828967</v>
      </c>
      <c r="B8458">
        <v>215817789.14719903</v>
      </c>
    </row>
    <row r="8459" spans="1:2" x14ac:dyDescent="0.25">
      <c r="A8459">
        <f ca="1">31829.0916968987*(RANDBETWEEN(2890,3282))</f>
        <v>98765671.535476595</v>
      </c>
      <c r="B8459">
        <v>224545325.0949637</v>
      </c>
    </row>
    <row r="8460" spans="1:2" x14ac:dyDescent="0.25">
      <c r="A8460">
        <f ca="1">28971.3782506294*(RANDBETWEEN(2890,3282))</f>
        <v>84016996.926825196</v>
      </c>
      <c r="B8460">
        <v>248949053.58942515</v>
      </c>
    </row>
    <row r="8461" spans="1:2" x14ac:dyDescent="0.25">
      <c r="A8461">
        <f ca="1">29294.5018911174*(RANDBETWEEN(2890,3282))</f>
        <v>87531971.650658891</v>
      </c>
      <c r="B8461">
        <v>235224215.92296767</v>
      </c>
    </row>
    <row r="8462" spans="1:2" x14ac:dyDescent="0.25">
      <c r="A8462">
        <f ca="1">34073.9426340203*(RANDBETWEEN(2890,3282))</f>
        <v>99189247.007632986</v>
      </c>
      <c r="B8462">
        <v>259910643.96609372</v>
      </c>
    </row>
    <row r="8463" spans="1:2" x14ac:dyDescent="0.25">
      <c r="A8463">
        <f ca="1">29832.7947395385*(RANDBETWEEN(2890,3282))</f>
        <v>94182132.992723048</v>
      </c>
      <c r="B8463">
        <v>243650240.52520734</v>
      </c>
    </row>
    <row r="8464" spans="1:2" x14ac:dyDescent="0.25">
      <c r="A8464">
        <f ca="1">27933.9649321274*(RANDBETWEEN(2890,3282))</f>
        <v>88550668.83484371</v>
      </c>
      <c r="B8464">
        <v>257366374.11453682</v>
      </c>
    </row>
    <row r="8465" spans="1:2" x14ac:dyDescent="0.25">
      <c r="A8465">
        <f ca="1">28529.1657267713*(RANDBETWEEN(2890,3282))</f>
        <v>90551572.016772106</v>
      </c>
      <c r="B8465">
        <v>255402574.34149832</v>
      </c>
    </row>
    <row r="8466" spans="1:2" x14ac:dyDescent="0.25">
      <c r="A8466">
        <f ca="1">28248.6064899328*(RANDBETWEEN(2890,3282))</f>
        <v>87175199.627932534</v>
      </c>
      <c r="B8466">
        <v>243862272.33349597</v>
      </c>
    </row>
    <row r="8467" spans="1:2" x14ac:dyDescent="0.25">
      <c r="A8467">
        <f ca="1">28452.5719804597*(RANDBETWEEN(2890,3282))</f>
        <v>92527764.080454901</v>
      </c>
      <c r="B8467">
        <v>228173715.24196124</v>
      </c>
    </row>
    <row r="8468" spans="1:2" x14ac:dyDescent="0.25">
      <c r="A8468">
        <f ca="1">30211.7385459364*(RANDBETWEEN(2890,3282))</f>
        <v>87553618.306123793</v>
      </c>
      <c r="B8468">
        <v>236073994.08548078</v>
      </c>
    </row>
    <row r="8469" spans="1:2" x14ac:dyDescent="0.25">
      <c r="A8469">
        <f ca="1">29001.7210942297*(RANDBETWEEN(2890,3282))</f>
        <v>88397245.895212203</v>
      </c>
      <c r="B8469">
        <v>223532420.15083039</v>
      </c>
    </row>
    <row r="8470" spans="1:2" x14ac:dyDescent="0.25">
      <c r="A8470">
        <f ca="1">28771.5293424898*(RANDBETWEEN(2890,3282))</f>
        <v>89162969.432376012</v>
      </c>
      <c r="B8470">
        <v>242860615.53780591</v>
      </c>
    </row>
    <row r="8471" spans="1:2" x14ac:dyDescent="0.25">
      <c r="A8471">
        <f ca="1">31410.3342790964*(RANDBETWEEN(2890,3282))</f>
        <v>101675252.06143488</v>
      </c>
      <c r="B8471">
        <v>222017514.44881964</v>
      </c>
    </row>
    <row r="8472" spans="1:2" x14ac:dyDescent="0.25">
      <c r="A8472">
        <f ca="1">31650.450105175*(RANDBETWEEN(2890,3282))</f>
        <v>100490179.08393046</v>
      </c>
      <c r="B8472">
        <v>216357713.51193914</v>
      </c>
    </row>
    <row r="8473" spans="1:2" x14ac:dyDescent="0.25">
      <c r="A8473">
        <f ca="1">33169.4578788171*(RANDBETWEEN(2890,3282))</f>
        <v>98778645.563117445</v>
      </c>
      <c r="B8473">
        <v>261162330.22225422</v>
      </c>
    </row>
    <row r="8474" spans="1:2" x14ac:dyDescent="0.25">
      <c r="A8474">
        <f ca="1">27602.4465170658*(RANDBETWEEN(2890,3282))</f>
        <v>90149590.324736863</v>
      </c>
      <c r="B8474">
        <v>208943036.48329002</v>
      </c>
    </row>
    <row r="8475" spans="1:2" x14ac:dyDescent="0.25">
      <c r="A8475">
        <f ca="1">27043.7376586087*(RANDBETWEEN(2890,3282))</f>
        <v>82510443.596415296</v>
      </c>
      <c r="B8475">
        <v>217034248.05891472</v>
      </c>
    </row>
    <row r="8476" spans="1:2" x14ac:dyDescent="0.25">
      <c r="A8476">
        <f ca="1">28151.5287585946*(RANDBETWEEN(2890,3282))</f>
        <v>87776466.669297829</v>
      </c>
      <c r="B8476">
        <v>210473049.74432701</v>
      </c>
    </row>
    <row r="8477" spans="1:2" x14ac:dyDescent="0.25">
      <c r="A8477">
        <f ca="1">26801.0179544347*(RANDBETWEEN(2890,3282))</f>
        <v>82064716.976479113</v>
      </c>
      <c r="B8477">
        <v>253162247.28001577</v>
      </c>
    </row>
    <row r="8478" spans="1:2" x14ac:dyDescent="0.25">
      <c r="A8478">
        <f ca="1">31261.4846972397*(RANDBETWEEN(2890,3282))</f>
        <v>101005857.05678137</v>
      </c>
      <c r="B8478">
        <v>238481140.18933487</v>
      </c>
    </row>
    <row r="8479" spans="1:2" x14ac:dyDescent="0.25">
      <c r="A8479">
        <f ca="1">29226.6955437933*(RANDBETWEEN(2890,3282))</f>
        <v>94051506.259926975</v>
      </c>
      <c r="B8479">
        <v>258963183.76595154</v>
      </c>
    </row>
    <row r="8480" spans="1:2" x14ac:dyDescent="0.25">
      <c r="A8480">
        <f ca="1">34379.4767418796*(RANDBETWEEN(2890,3282))</f>
        <v>103275948.13260646</v>
      </c>
      <c r="B8480">
        <v>248701428.60382</v>
      </c>
    </row>
    <row r="8481" spans="1:2" x14ac:dyDescent="0.25">
      <c r="A8481">
        <f ca="1">26079.6794141005*(RANDBETWEEN(2890,3282))</f>
        <v>78604153.754098758</v>
      </c>
      <c r="B8481">
        <v>205246445.35310817</v>
      </c>
    </row>
    <row r="8482" spans="1:2" x14ac:dyDescent="0.25">
      <c r="A8482">
        <f ca="1">27323.7605131675*(RANDBETWEEN(2890,3282))</f>
        <v>84894923.914411351</v>
      </c>
      <c r="B8482">
        <v>226499814.44157693</v>
      </c>
    </row>
    <row r="8483" spans="1:2" x14ac:dyDescent="0.25">
      <c r="A8483">
        <f ca="1">28226.7636500934*(RANDBETWEEN(2890,3282))</f>
        <v>88406223.752092436</v>
      </c>
      <c r="B8483">
        <v>236218640.85452789</v>
      </c>
    </row>
    <row r="8484" spans="1:2" x14ac:dyDescent="0.25">
      <c r="A8484">
        <f ca="1">30454.8826917009*(RANDBETWEEN(2890,3282))</f>
        <v>92095565.259703621</v>
      </c>
      <c r="B8484">
        <v>239522292.37526459</v>
      </c>
    </row>
    <row r="8485" spans="1:2" x14ac:dyDescent="0.25">
      <c r="A8485">
        <f ca="1">28566.2710660611*(RANDBETWEEN(2890,3282))</f>
        <v>84698993.710871056</v>
      </c>
      <c r="B8485">
        <v>256231444.91000104</v>
      </c>
    </row>
    <row r="8486" spans="1:2" x14ac:dyDescent="0.25">
      <c r="A8486">
        <f ca="1">28621.4482721751*(RANDBETWEEN(2890,3282))</f>
        <v>86608502.471601993</v>
      </c>
      <c r="B8486">
        <v>221013419.04720438</v>
      </c>
    </row>
    <row r="8487" spans="1:2" x14ac:dyDescent="0.25">
      <c r="A8487">
        <f ca="1">27785.6414759008*(RANDBETWEEN(2890,3282))</f>
        <v>90914618.909147277</v>
      </c>
      <c r="B8487">
        <v>206208292.55841631</v>
      </c>
    </row>
    <row r="8488" spans="1:2" x14ac:dyDescent="0.25">
      <c r="A8488">
        <f ca="1">33029.3437641578*(RANDBETWEEN(2890,3282))</f>
        <v>104405755.63850294</v>
      </c>
      <c r="B8488">
        <v>204976063.81961289</v>
      </c>
    </row>
    <row r="8489" spans="1:2" x14ac:dyDescent="0.25">
      <c r="A8489">
        <f ca="1">26735.7648308861*(RANDBETWEEN(2890,3282))</f>
        <v>77774339.893047556</v>
      </c>
      <c r="B8489">
        <v>242577100.56724328</v>
      </c>
    </row>
    <row r="8490" spans="1:2" x14ac:dyDescent="0.25">
      <c r="A8490">
        <f ca="1">30270.4390904799*(RANDBETWEEN(2890,3282))</f>
        <v>93505386.350492403</v>
      </c>
      <c r="B8490">
        <v>232360982.0565924</v>
      </c>
    </row>
    <row r="8491" spans="1:2" x14ac:dyDescent="0.25">
      <c r="A8491">
        <f ca="1">27439.6632599916*(RANDBETWEEN(2890,3282))</f>
        <v>85941025.33029379</v>
      </c>
      <c r="B8491">
        <v>211870526.84714687</v>
      </c>
    </row>
    <row r="8492" spans="1:2" x14ac:dyDescent="0.25">
      <c r="A8492">
        <f ca="1">27059.1657909031*(RANDBETWEEN(2890,3282))</f>
        <v>84749307.257108435</v>
      </c>
      <c r="B8492">
        <v>210422550.29896688</v>
      </c>
    </row>
    <row r="8493" spans="1:2" x14ac:dyDescent="0.25">
      <c r="A8493">
        <f ca="1">26750.8095793252*(RANDBETWEEN(2890,3282))</f>
        <v>87127386.799862206</v>
      </c>
      <c r="B8493">
        <v>206799668.78034374</v>
      </c>
    </row>
    <row r="8494" spans="1:2" x14ac:dyDescent="0.25">
      <c r="A8494">
        <f ca="1">32902.3986887895*(RANDBETWEEN(2890,3282))</f>
        <v>103478043.87624295</v>
      </c>
      <c r="B8494">
        <v>252072560.62306321</v>
      </c>
    </row>
    <row r="8495" spans="1:2" x14ac:dyDescent="0.25">
      <c r="A8495">
        <f ca="1">28417.0472994859*(RANDBETWEEN(2890,3282))</f>
        <v>92213318.486831784</v>
      </c>
      <c r="B8495">
        <v>226652333.06993335</v>
      </c>
    </row>
    <row r="8496" spans="1:2" x14ac:dyDescent="0.25">
      <c r="A8496">
        <f ca="1">28093.5651556682*(RANDBETWEEN(2890,3282))</f>
        <v>81611806.777216211</v>
      </c>
      <c r="B8496">
        <v>244442192.04871142</v>
      </c>
    </row>
    <row r="8497" spans="1:2" x14ac:dyDescent="0.25">
      <c r="A8497">
        <f ca="1">28960.3705793106*(RANDBETWEEN(2890,3282))</f>
        <v>90501158.060345918</v>
      </c>
      <c r="B8497">
        <v>204710546.25444058</v>
      </c>
    </row>
    <row r="8498" spans="1:2" x14ac:dyDescent="0.25">
      <c r="A8498">
        <f ca="1">30986.9457431577*(RANDBETWEEN(2890,3282))</f>
        <v>96400388.206963494</v>
      </c>
      <c r="B8498">
        <v>260365103.7341572</v>
      </c>
    </row>
    <row r="8499" spans="1:2" x14ac:dyDescent="0.25">
      <c r="A8499">
        <f ca="1">31163.3428026582*(RANDBETWEEN(2890,3282))</f>
        <v>91433247.782999247</v>
      </c>
      <c r="B8499">
        <v>213263903.39133841</v>
      </c>
    </row>
    <row r="8500" spans="1:2" x14ac:dyDescent="0.25">
      <c r="A8500">
        <f ca="1">28698.5110884699*(RANDBETWEEN(2890,3282))</f>
        <v>90457706.950857162</v>
      </c>
      <c r="B8500">
        <v>255311592.24760282</v>
      </c>
    </row>
    <row r="8501" spans="1:2" x14ac:dyDescent="0.25">
      <c r="A8501">
        <f ca="1">28195.798367161*(RANDBETWEEN(2890,3282))</f>
        <v>82134360.643540084</v>
      </c>
      <c r="B8501">
        <v>212453564.48919079</v>
      </c>
    </row>
    <row r="8502" spans="1:2" x14ac:dyDescent="0.25">
      <c r="A8502">
        <f ca="1">29291.7543712644*(RANDBETWEEN(2890,3282))</f>
        <v>85209713.466008037</v>
      </c>
      <c r="B8502">
        <v>242087720.91487151</v>
      </c>
    </row>
    <row r="8503" spans="1:2" x14ac:dyDescent="0.25">
      <c r="A8503">
        <f ca="1">28022.371191196*(RANDBETWEEN(2890,3282))</f>
        <v>89671587.811827257</v>
      </c>
      <c r="B8503">
        <v>205861825.18958521</v>
      </c>
    </row>
    <row r="8504" spans="1:2" x14ac:dyDescent="0.25">
      <c r="A8504">
        <f ca="1">28236.4067134004*(RANDBETWEEN(2890,3282))</f>
        <v>82958562.923970506</v>
      </c>
      <c r="B8504">
        <v>243968611.49300063</v>
      </c>
    </row>
    <row r="8505" spans="1:2" x14ac:dyDescent="0.25">
      <c r="A8505">
        <f ca="1">29465.6944206357*(RANDBETWEEN(2890,3282))</f>
        <v>93494648.396676987</v>
      </c>
      <c r="B8505">
        <v>229109467.95557365</v>
      </c>
    </row>
    <row r="8506" spans="1:2" x14ac:dyDescent="0.25">
      <c r="A8506">
        <f ca="1">28617.4569068136*(RANDBETWEEN(2890,3282))</f>
        <v>85394491.409931704</v>
      </c>
      <c r="B8506">
        <v>248890523.68909836</v>
      </c>
    </row>
    <row r="8507" spans="1:2" x14ac:dyDescent="0.25">
      <c r="A8507">
        <f ca="1">32349.6482469618*(RANDBETWEEN(2890,3282))</f>
        <v>96304902.831205145</v>
      </c>
      <c r="B8507">
        <v>238818797.13504586</v>
      </c>
    </row>
    <row r="8508" spans="1:2" x14ac:dyDescent="0.25">
      <c r="A8508">
        <f ca="1">33851.5869412577*(RANDBETWEEN(2890,3282))</f>
        <v>100708471.15024152</v>
      </c>
      <c r="B8508">
        <v>250505115.99006182</v>
      </c>
    </row>
    <row r="8509" spans="1:2" x14ac:dyDescent="0.25">
      <c r="A8509">
        <f ca="1">31410.769734543*(RANDBETWEEN(2890,3282))</f>
        <v>91656626.085396484</v>
      </c>
      <c r="B8509">
        <v>248998528.82640016</v>
      </c>
    </row>
    <row r="8510" spans="1:2" x14ac:dyDescent="0.25">
      <c r="A8510">
        <f ca="1">33198.2670021258*(RANDBETWEEN(2890,3282))</f>
        <v>101088723.02147301</v>
      </c>
      <c r="B8510">
        <v>243811460.72517586</v>
      </c>
    </row>
    <row r="8511" spans="1:2" x14ac:dyDescent="0.25">
      <c r="A8511">
        <f ca="1">27784.6125013768*(RANDBETWEEN(2890,3282))</f>
        <v>86715775.616796866</v>
      </c>
      <c r="B8511">
        <v>218149265.5317066</v>
      </c>
    </row>
    <row r="8512" spans="1:2" x14ac:dyDescent="0.25">
      <c r="A8512">
        <f ca="1">27777.2490054438*(RANDBETWEEN(2890,3282))</f>
        <v>84220618.984505504</v>
      </c>
      <c r="B8512">
        <v>243764718.66707128</v>
      </c>
    </row>
    <row r="8513" spans="1:2" x14ac:dyDescent="0.25">
      <c r="A8513">
        <f ca="1">31496.2463593479*(RANDBETWEEN(2890,3282))</f>
        <v>96976942.540432081</v>
      </c>
      <c r="B8513">
        <v>205248823.41831321</v>
      </c>
    </row>
    <row r="8514" spans="1:2" x14ac:dyDescent="0.25">
      <c r="A8514">
        <f ca="1">31293.6773175809*(RANDBETWEEN(2890,3282))</f>
        <v>98731551.936967745</v>
      </c>
      <c r="B8514">
        <v>228659107.38658515</v>
      </c>
    </row>
    <row r="8515" spans="1:2" x14ac:dyDescent="0.25">
      <c r="A8515">
        <f ca="1">30438.3312618683*(RANDBETWEEN(2890,3282))</f>
        <v>93719621.955292538</v>
      </c>
      <c r="B8515">
        <v>226670576.74789932</v>
      </c>
    </row>
    <row r="8516" spans="1:2" x14ac:dyDescent="0.25">
      <c r="A8516">
        <f ca="1">33336.3764683451*(RANDBETWEEN(2890,3282))</f>
        <v>103209421.54599655</v>
      </c>
      <c r="B8516">
        <v>209134615.86446047</v>
      </c>
    </row>
    <row r="8517" spans="1:2" x14ac:dyDescent="0.25">
      <c r="A8517">
        <f ca="1">29393.266290856*(RANDBETWEEN(2890,3282))</f>
        <v>85798944.303008705</v>
      </c>
      <c r="B8517">
        <v>248694767.03497803</v>
      </c>
    </row>
    <row r="8518" spans="1:2" x14ac:dyDescent="0.25">
      <c r="A8518">
        <f ca="1">28596.9622688015*(RANDBETWEEN(2890,3282))</f>
        <v>90595176.467563108</v>
      </c>
      <c r="B8518">
        <v>225548274.64036351</v>
      </c>
    </row>
    <row r="8519" spans="1:2" x14ac:dyDescent="0.25">
      <c r="A8519">
        <f ca="1">26519.8992761627*(RANDBETWEEN(2890,3282))</f>
        <v>84227200.101092607</v>
      </c>
      <c r="B8519">
        <v>215967153.73415184</v>
      </c>
    </row>
    <row r="8520" spans="1:2" x14ac:dyDescent="0.25">
      <c r="A8520">
        <f ca="1">26879.3877176299*(RANDBETWEEN(2890,3282))</f>
        <v>86766663.552509263</v>
      </c>
      <c r="B8520">
        <v>213747900.21664506</v>
      </c>
    </row>
    <row r="8521" spans="1:2" x14ac:dyDescent="0.25">
      <c r="A8521">
        <f ca="1">34801.8921748418*(RANDBETWEEN(2890,3282))</f>
        <v>108686309.26203087</v>
      </c>
      <c r="B8521">
        <v>248394116.3685329</v>
      </c>
    </row>
    <row r="8522" spans="1:2" x14ac:dyDescent="0.25">
      <c r="A8522">
        <f ca="1">26995.0778689939*(RANDBETWEEN(2890,3282))</f>
        <v>79095578.156152189</v>
      </c>
      <c r="B8522">
        <v>211608440.91364098</v>
      </c>
    </row>
    <row r="8523" spans="1:2" x14ac:dyDescent="0.25">
      <c r="A8523">
        <f ca="1">32370.873567023*(RANDBETWEEN(2890,3282))</f>
        <v>101741655.62115344</v>
      </c>
      <c r="B8523">
        <v>253355814.89641476</v>
      </c>
    </row>
    <row r="8524" spans="1:2" x14ac:dyDescent="0.25">
      <c r="A8524">
        <f ca="1">28646.593572575*(RANDBETWEEN(2890,3282))</f>
        <v>85510081.814136505</v>
      </c>
      <c r="B8524">
        <v>212072544.63264263</v>
      </c>
    </row>
    <row r="8525" spans="1:2" x14ac:dyDescent="0.25">
      <c r="A8525">
        <f ca="1">28423.6421911813*(RANDBETWEEN(2890,3282))</f>
        <v>88369103.572382718</v>
      </c>
      <c r="B8525">
        <v>226949106.10570633</v>
      </c>
    </row>
    <row r="8526" spans="1:2" x14ac:dyDescent="0.25">
      <c r="A8526">
        <f ca="1">31172.6965187479*(RANDBETWEEN(2890,3282))</f>
        <v>99035656.840062171</v>
      </c>
      <c r="B8526">
        <v>217006414.64957127</v>
      </c>
    </row>
    <row r="8527" spans="1:2" x14ac:dyDescent="0.25">
      <c r="A8527">
        <f ca="1">31536.4995816627*(RANDBETWEEN(2890,3282))</f>
        <v>92023505.779291779</v>
      </c>
      <c r="B8527">
        <v>208877720.5542973</v>
      </c>
    </row>
    <row r="8528" spans="1:2" x14ac:dyDescent="0.25">
      <c r="A8528">
        <f ca="1">30376.6613959898*(RANDBETWEEN(2890,3282))</f>
        <v>92861453.887540773</v>
      </c>
      <c r="B8528">
        <v>259484606.61662808</v>
      </c>
    </row>
    <row r="8529" spans="1:2" x14ac:dyDescent="0.25">
      <c r="A8529">
        <f ca="1">27796.4793297935*(RANDBETWEEN(2890,3282))</f>
        <v>83361641.510050744</v>
      </c>
      <c r="B8529">
        <v>207348127.77630422</v>
      </c>
    </row>
    <row r="8530" spans="1:2" x14ac:dyDescent="0.25">
      <c r="A8530">
        <f ca="1">27521.2077848891*(RANDBETWEEN(2890,3282))</f>
        <v>80912350.887574047</v>
      </c>
      <c r="B8530">
        <v>229214997.95577654</v>
      </c>
    </row>
    <row r="8531" spans="1:2" x14ac:dyDescent="0.25">
      <c r="A8531">
        <f ca="1">27702.8759169928*(RANDBETWEEN(2890,3282))</f>
        <v>84299851.415409014</v>
      </c>
      <c r="B8531">
        <v>208724215.27103394</v>
      </c>
    </row>
    <row r="8532" spans="1:2" x14ac:dyDescent="0.25">
      <c r="A8532">
        <f ca="1">30448.942602715*(RANDBETWEEN(2890,3282))</f>
        <v>96766739.59142822</v>
      </c>
      <c r="B8532">
        <v>225959348.11823148</v>
      </c>
    </row>
    <row r="8533" spans="1:2" x14ac:dyDescent="0.25">
      <c r="A8533">
        <f ca="1">29699.3254366647*(RANDBETWEEN(2890,3282))</f>
        <v>92899489.965887114</v>
      </c>
      <c r="B8533">
        <v>205678184.25834575</v>
      </c>
    </row>
    <row r="8534" spans="1:2" x14ac:dyDescent="0.25">
      <c r="A8534">
        <f ca="1">27746.4740977523*(RANDBETWEEN(2890,3282))</f>
        <v>88455759.423634246</v>
      </c>
      <c r="B8534">
        <v>212892653.7824834</v>
      </c>
    </row>
    <row r="8535" spans="1:2" x14ac:dyDescent="0.25">
      <c r="A8535">
        <f ca="1">25921.4690760703*(RANDBETWEEN(2890,3282))</f>
        <v>76027668.800114051</v>
      </c>
      <c r="B8535">
        <v>218000450.82983142</v>
      </c>
    </row>
    <row r="8536" spans="1:2" x14ac:dyDescent="0.25">
      <c r="A8536">
        <f ca="1">27906.1545935*(RANDBETWEEN(2890,3282))</f>
        <v>81346440.640052631</v>
      </c>
      <c r="B8536">
        <v>247467279.38133705</v>
      </c>
    </row>
    <row r="8537" spans="1:2" x14ac:dyDescent="0.25">
      <c r="A8537">
        <f ca="1">34538.618235691*(RANDBETWEEN(2890,3282))</f>
        <v>110661732.82715406</v>
      </c>
      <c r="B8537">
        <v>241017536.51943648</v>
      </c>
    </row>
    <row r="8538" spans="1:2" x14ac:dyDescent="0.25">
      <c r="A8538">
        <f ca="1">28467.6381624693*(RANDBETWEEN(2890,3282))</f>
        <v>82840827.052785724</v>
      </c>
      <c r="B8538">
        <v>219650081.38867953</v>
      </c>
    </row>
    <row r="8539" spans="1:2" x14ac:dyDescent="0.25">
      <c r="A8539">
        <f ca="1">28948.8068752222*(RANDBETWEEN(2890,3282))</f>
        <v>93359902.172591463</v>
      </c>
      <c r="B8539">
        <v>214905108.61486644</v>
      </c>
    </row>
    <row r="8540" spans="1:2" x14ac:dyDescent="0.25">
      <c r="A8540">
        <f ca="1">30076.205785682*(RANDBETWEEN(2890,3282))</f>
        <v>90318845.974403143</v>
      </c>
      <c r="B8540">
        <v>241817829.50413135</v>
      </c>
    </row>
    <row r="8541" spans="1:2" x14ac:dyDescent="0.25">
      <c r="A8541">
        <f ca="1">29922.8928570125*(RANDBETWEEN(2890,3282))</f>
        <v>95304413.749584734</v>
      </c>
      <c r="B8541">
        <v>249813791.8309724</v>
      </c>
    </row>
    <row r="8542" spans="1:2" x14ac:dyDescent="0.25">
      <c r="A8542">
        <f ca="1">33188.2002041519*(RANDBETWEEN(2890,3282))</f>
        <v>103016173.4336876</v>
      </c>
      <c r="B8542">
        <v>215072007.21212751</v>
      </c>
    </row>
    <row r="8543" spans="1:2" x14ac:dyDescent="0.25">
      <c r="A8543">
        <f ca="1">31106.5664330136*(RANDBETWEEN(2890,3282))</f>
        <v>94999453.886423692</v>
      </c>
      <c r="B8543">
        <v>239638615.30742809</v>
      </c>
    </row>
    <row r="8544" spans="1:2" x14ac:dyDescent="0.25">
      <c r="A8544">
        <f ca="1">32955.7248550004*(RANDBETWEEN(2890,3282))</f>
        <v>95670469.254066169</v>
      </c>
      <c r="B8544">
        <v>257592922.45250198</v>
      </c>
    </row>
    <row r="8545" spans="1:2" x14ac:dyDescent="0.25">
      <c r="A8545">
        <f ca="1">31322.3652042253*(RANDBETWEEN(2890,3282))</f>
        <v>96566851.924626648</v>
      </c>
      <c r="B8545">
        <v>245327259.55671963</v>
      </c>
    </row>
    <row r="8546" spans="1:2" x14ac:dyDescent="0.25">
      <c r="A8546">
        <f ca="1">30419.9423566693*(RANDBETWEEN(2890,3282))</f>
        <v>89008751.335614383</v>
      </c>
      <c r="B8546">
        <v>243993848.23221868</v>
      </c>
    </row>
    <row r="8547" spans="1:2" x14ac:dyDescent="0.25">
      <c r="A8547">
        <f ca="1">26978.0677084795*(RANDBETWEEN(2890,3282))</f>
        <v>88515040.151521295</v>
      </c>
      <c r="B8547">
        <v>207730664.68693602</v>
      </c>
    </row>
    <row r="8548" spans="1:2" x14ac:dyDescent="0.25">
      <c r="A8548">
        <f ca="1">30493.7746237266*(RANDBETWEEN(2890,3282))</f>
        <v>96787240.655708089</v>
      </c>
      <c r="B8548">
        <v>213491575.04374874</v>
      </c>
    </row>
    <row r="8549" spans="1:2" x14ac:dyDescent="0.25">
      <c r="A8549">
        <f ca="1">30544.7801653995*(RANDBETWEEN(2890,3282))</f>
        <v>99453804.218540654</v>
      </c>
      <c r="B8549">
        <v>221327605.04369754</v>
      </c>
    </row>
    <row r="8550" spans="1:2" x14ac:dyDescent="0.25">
      <c r="A8550">
        <f ca="1">29750.4245973313*(RANDBETWEEN(2890,3282))</f>
        <v>95171608.286862925</v>
      </c>
      <c r="B8550">
        <v>209126019.2342701</v>
      </c>
    </row>
    <row r="8551" spans="1:2" x14ac:dyDescent="0.25">
      <c r="A8551">
        <f ca="1">29641.6677911924*(RANDBETWEEN(2890,3282))</f>
        <v>89043570.044741914</v>
      </c>
      <c r="B8551">
        <v>228498660.95961881</v>
      </c>
    </row>
    <row r="8552" spans="1:2" x14ac:dyDescent="0.25">
      <c r="A8552">
        <f ca="1">29605.7001785684*(RANDBETWEEN(2890,3282))</f>
        <v>95952074.278740227</v>
      </c>
      <c r="B8552">
        <v>216970115.80992961</v>
      </c>
    </row>
    <row r="8553" spans="1:2" x14ac:dyDescent="0.25">
      <c r="A8553">
        <f ca="1">31473.0592149909*(RANDBETWEEN(2890,3282))</f>
        <v>99612232.415446326</v>
      </c>
      <c r="B8553">
        <v>244806013.84858844</v>
      </c>
    </row>
    <row r="8554" spans="1:2" x14ac:dyDescent="0.25">
      <c r="A8554">
        <f ca="1">31564.7915801239*(RANDBETWEEN(2890,3282))</f>
        <v>100881073.89007603</v>
      </c>
      <c r="B8554">
        <v>267441003.44275123</v>
      </c>
    </row>
    <row r="8555" spans="1:2" x14ac:dyDescent="0.25">
      <c r="A8555">
        <f ca="1">31560.2811907054*(RANDBETWEEN(2890,3282))</f>
        <v>97584389.441661358</v>
      </c>
      <c r="B8555">
        <v>251580663.76115212</v>
      </c>
    </row>
    <row r="8556" spans="1:2" x14ac:dyDescent="0.25">
      <c r="A8556">
        <f ca="1">27550.4246301979*(RANDBETWEEN(2890,3282))</f>
        <v>81301303.083714053</v>
      </c>
      <c r="B8556">
        <v>213292260.46024066</v>
      </c>
    </row>
    <row r="8557" spans="1:2" x14ac:dyDescent="0.25">
      <c r="A8557">
        <f ca="1">28150.7697148877*(RANDBETWEEN(2890,3282))</f>
        <v>85859847.630407378</v>
      </c>
      <c r="B8557">
        <v>244255055.97445911</v>
      </c>
    </row>
    <row r="8558" spans="1:2" x14ac:dyDescent="0.25">
      <c r="A8558">
        <f ca="1">31231.1681513266*(RANDBETWEEN(2890,3282))</f>
        <v>99814813.411639795</v>
      </c>
      <c r="B8558">
        <v>222095315.74027038</v>
      </c>
    </row>
    <row r="8559" spans="1:2" x14ac:dyDescent="0.25">
      <c r="A8559">
        <f ca="1">30375.4514803686*(RANDBETWEEN(2890,3282))</f>
        <v>92128744.339957938</v>
      </c>
      <c r="B8559">
        <v>218653428.02614397</v>
      </c>
    </row>
    <row r="8560" spans="1:2" x14ac:dyDescent="0.25">
      <c r="A8560">
        <f ca="1">27579.338889628*(RANDBETWEEN(2890,3282))</f>
        <v>87867773.70235467</v>
      </c>
      <c r="B8560">
        <v>225940968.87881628</v>
      </c>
    </row>
    <row r="8561" spans="1:2" x14ac:dyDescent="0.25">
      <c r="A8561">
        <f ca="1">26724.0598140194*(RANDBETWEEN(2890,3282))</f>
        <v>80947177.176664636</v>
      </c>
      <c r="B8561">
        <v>212546398.85257253</v>
      </c>
    </row>
    <row r="8562" spans="1:2" x14ac:dyDescent="0.25">
      <c r="A8562">
        <f ca="1">26573.8797645595*(RANDBETWEEN(2890,3282))</f>
        <v>77861467.710159361</v>
      </c>
      <c r="B8562">
        <v>214047213.96182081</v>
      </c>
    </row>
    <row r="8563" spans="1:2" x14ac:dyDescent="0.25">
      <c r="A8563">
        <f ca="1">31209.6597403068*(RANDBETWEEN(2890,3282))</f>
        <v>91974867.254684001</v>
      </c>
      <c r="B8563">
        <v>206747760.32270682</v>
      </c>
    </row>
    <row r="8564" spans="1:2" x14ac:dyDescent="0.25">
      <c r="A8564">
        <f ca="1">28400.6909041265*(RANDBETWEEN(2890,3282))</f>
        <v>91024214.347725302</v>
      </c>
      <c r="B8564">
        <v>232197670.93852088</v>
      </c>
    </row>
    <row r="8565" spans="1:2" x14ac:dyDescent="0.25">
      <c r="A8565">
        <f ca="1">32149.9659745849*(RANDBETWEEN(2890,3282))</f>
        <v>100050694.11290826</v>
      </c>
      <c r="B8565">
        <v>253703369.20065671</v>
      </c>
    </row>
    <row r="8566" spans="1:2" x14ac:dyDescent="0.25">
      <c r="A8566">
        <f ca="1">32047.5911872752*(RANDBETWEEN(2890,3282))</f>
        <v>104987908.72951345</v>
      </c>
      <c r="B8566">
        <v>250625392.00397909</v>
      </c>
    </row>
    <row r="8567" spans="1:2" x14ac:dyDescent="0.25">
      <c r="A8567">
        <f ca="1">34016.1553426573*(RANDBETWEEN(2890,3282))</f>
        <v>102388627.58139847</v>
      </c>
      <c r="B8567">
        <v>219723232.04167673</v>
      </c>
    </row>
    <row r="8568" spans="1:2" x14ac:dyDescent="0.25">
      <c r="A8568">
        <f ca="1">26945.0612026154*(RANDBETWEEN(2890,3282))</f>
        <v>78113732.42638202</v>
      </c>
      <c r="B8568">
        <v>239914813.57256663</v>
      </c>
    </row>
    <row r="8569" spans="1:2" x14ac:dyDescent="0.25">
      <c r="A8569">
        <f ca="1">31317.5533339646*(RANDBETWEEN(2890,3282))</f>
        <v>102314446.7420624</v>
      </c>
      <c r="B8569">
        <v>249718441.38498279</v>
      </c>
    </row>
    <row r="8570" spans="1:2" x14ac:dyDescent="0.25">
      <c r="A8570">
        <f ca="1">34149.0855388238*(RANDBETWEEN(2890,3282))</f>
        <v>111052826.17225501</v>
      </c>
      <c r="B8570">
        <v>223393331.91270953</v>
      </c>
    </row>
    <row r="8571" spans="1:2" x14ac:dyDescent="0.25">
      <c r="A8571">
        <f ca="1">30191.5232929955*(RANDBETWEEN(2890,3282))</f>
        <v>95948661.025139734</v>
      </c>
      <c r="B8571">
        <v>234163383.72020885</v>
      </c>
    </row>
    <row r="8572" spans="1:2" x14ac:dyDescent="0.25">
      <c r="A8572">
        <f ca="1">32378.4848057526*(RANDBETWEEN(2890,3282))</f>
        <v>105618617.43636513</v>
      </c>
      <c r="B8572">
        <v>230049505.75175783</v>
      </c>
    </row>
    <row r="8573" spans="1:2" x14ac:dyDescent="0.25">
      <c r="A8573">
        <f ca="1">30549.861204062*(RANDBETWEEN(2890,3282))</f>
        <v>96262612.653999329</v>
      </c>
      <c r="B8573">
        <v>252648050.03064716</v>
      </c>
    </row>
    <row r="8574" spans="1:2" x14ac:dyDescent="0.25">
      <c r="A8574">
        <f ca="1">30507.1808140678*(RANDBETWEEN(2890,3282))</f>
        <v>88196259.733470082</v>
      </c>
      <c r="B8574">
        <v>234107980.59809947</v>
      </c>
    </row>
    <row r="8575" spans="1:2" x14ac:dyDescent="0.25">
      <c r="A8575">
        <f ca="1">28604.2315651703*(RANDBETWEEN(2890,3282))</f>
        <v>87414531.663160324</v>
      </c>
      <c r="B8575">
        <v>263980031.10451254</v>
      </c>
    </row>
    <row r="8576" spans="1:2" x14ac:dyDescent="0.25">
      <c r="A8576">
        <f ca="1">30247.1174514583*(RANDBETWEEN(2890,3282))</f>
        <v>92223461.109496295</v>
      </c>
      <c r="B8576">
        <v>217720366.89905095</v>
      </c>
    </row>
    <row r="8577" spans="1:2" x14ac:dyDescent="0.25">
      <c r="A8577">
        <f ca="1">28236.4725156699*(RANDBETWEEN(2890,3282))</f>
        <v>91909718.038505599</v>
      </c>
      <c r="B8577">
        <v>211411484.68736842</v>
      </c>
    </row>
    <row r="8578" spans="1:2" x14ac:dyDescent="0.25">
      <c r="A8578">
        <f ca="1">27163.6800634306*(RANDBETWEEN(2890,3282))</f>
        <v>80105692.507056758</v>
      </c>
      <c r="B8578">
        <v>216019661.49274984</v>
      </c>
    </row>
    <row r="8579" spans="1:2" x14ac:dyDescent="0.25">
      <c r="A8579">
        <f ca="1">29027.2171958733*(RANDBETWEEN(2890,3282))</f>
        <v>92277523.465681225</v>
      </c>
      <c r="B8579">
        <v>250594304.56882048</v>
      </c>
    </row>
    <row r="8580" spans="1:2" x14ac:dyDescent="0.25">
      <c r="A8580">
        <f ca="1">26254.1120522626*(RANDBETWEEN(2890,3282))</f>
        <v>85273355.945748985</v>
      </c>
      <c r="B8580">
        <v>204636220.76315427</v>
      </c>
    </row>
    <row r="8581" spans="1:2" x14ac:dyDescent="0.25">
      <c r="A8581">
        <f ca="1">29139.9860909085*(RANDBETWEEN(2890,3282))</f>
        <v>89984277.04872559</v>
      </c>
      <c r="B8581">
        <v>221528663.99627331</v>
      </c>
    </row>
    <row r="8582" spans="1:2" x14ac:dyDescent="0.25">
      <c r="A8582">
        <f ca="1">26713.499138963*(RANDBETWEEN(2890,3282))</f>
        <v>85964040.229183048</v>
      </c>
      <c r="B8582">
        <v>252072915.89487717</v>
      </c>
    </row>
    <row r="8583" spans="1:2" x14ac:dyDescent="0.25">
      <c r="A8583">
        <f ca="1">32021.5217370364*(RANDBETWEEN(2890,3282))</f>
        <v>94783704.341627851</v>
      </c>
      <c r="B8583">
        <v>257341879.77041617</v>
      </c>
    </row>
    <row r="8584" spans="1:2" x14ac:dyDescent="0.25">
      <c r="A8584">
        <f ca="1">31221.2077458238*(RANDBETWEEN(2890,3282))</f>
        <v>97878486.283157766</v>
      </c>
      <c r="B8584">
        <v>230322336.9163855</v>
      </c>
    </row>
    <row r="8585" spans="1:2" x14ac:dyDescent="0.25">
      <c r="A8585">
        <f ca="1">33082.7049065518*(RANDBETWEEN(2890,3282))</f>
        <v>99016535.785309538</v>
      </c>
      <c r="B8585">
        <v>211468194.36071491</v>
      </c>
    </row>
    <row r="8586" spans="1:2" x14ac:dyDescent="0.25">
      <c r="A8586">
        <f ca="1">31318.69286488*(RANDBETWEEN(2890,3282))</f>
        <v>96649486.181019694</v>
      </c>
      <c r="B8586">
        <v>216198153.28452224</v>
      </c>
    </row>
    <row r="8587" spans="1:2" x14ac:dyDescent="0.25">
      <c r="A8587">
        <f ca="1">32328.7807634995*(RANDBETWEEN(2890,3282))</f>
        <v>104842236.01602885</v>
      </c>
      <c r="B8587">
        <v>222326064.78809547</v>
      </c>
    </row>
    <row r="8588" spans="1:2" x14ac:dyDescent="0.25">
      <c r="A8588">
        <f ca="1">32713.4254352993*(RANDBETWEEN(2890,3282))</f>
        <v>104748388.24382837</v>
      </c>
      <c r="B8588">
        <v>236798699.87827733</v>
      </c>
    </row>
    <row r="8589" spans="1:2" x14ac:dyDescent="0.25">
      <c r="A8589">
        <f ca="1">31474.8676613301*(RANDBETWEEN(2890,3282))</f>
        <v>98579285.515285894</v>
      </c>
      <c r="B8589">
        <v>213067231.31811014</v>
      </c>
    </row>
    <row r="8590" spans="1:2" x14ac:dyDescent="0.25">
      <c r="A8590">
        <f ca="1">32946.325995541*(RANDBETWEEN(2890,3282))</f>
        <v>104373960.75387374</v>
      </c>
      <c r="B8590">
        <v>218402423.20392722</v>
      </c>
    </row>
    <row r="8591" spans="1:2" x14ac:dyDescent="0.25">
      <c r="A8591">
        <f ca="1">31078.1153590431*(RANDBETWEEN(2890,3282))</f>
        <v>96248923.266956508</v>
      </c>
      <c r="B8591">
        <v>265126699.52086228</v>
      </c>
    </row>
    <row r="8592" spans="1:2" x14ac:dyDescent="0.25">
      <c r="A8592">
        <f ca="1">29262.4344301617*(RANDBETWEEN(2890,3282))</f>
        <v>93025279.053483933</v>
      </c>
      <c r="B8592">
        <v>267638670.26790166</v>
      </c>
    </row>
    <row r="8593" spans="1:2" x14ac:dyDescent="0.25">
      <c r="A8593">
        <f ca="1">27678.3746400845*(RANDBETWEEN(2890,3282))</f>
        <v>88958296.093231604</v>
      </c>
      <c r="B8593">
        <v>245297607.8497822</v>
      </c>
    </row>
    <row r="8594" spans="1:2" x14ac:dyDescent="0.25">
      <c r="A8594">
        <f ca="1">32414.3453502227*(RANDBETWEEN(2890,3282))</f>
        <v>97502350.813469753</v>
      </c>
      <c r="B8594">
        <v>252773098.40399632</v>
      </c>
    </row>
    <row r="8595" spans="1:2" x14ac:dyDescent="0.25">
      <c r="A8595">
        <f ca="1">32812.8842575444*(RANDBETWEEN(2890,3282))</f>
        <v>95190177.231136218</v>
      </c>
      <c r="B8595">
        <v>210473242.45468849</v>
      </c>
    </row>
    <row r="8596" spans="1:2" x14ac:dyDescent="0.25">
      <c r="A8596">
        <f ca="1">27022.2039820656*(RANDBETWEEN(2890,3282))</f>
        <v>83660743.528475165</v>
      </c>
      <c r="B8596">
        <v>227347102.03181499</v>
      </c>
    </row>
    <row r="8597" spans="1:2" x14ac:dyDescent="0.25">
      <c r="A8597">
        <f ca="1">26748.7203804031*(RANDBETWEEN(2890,3282))</f>
        <v>79095966.164851844</v>
      </c>
      <c r="B8597">
        <v>222442874.06992418</v>
      </c>
    </row>
    <row r="8598" spans="1:2" x14ac:dyDescent="0.25">
      <c r="A8598">
        <f ca="1">32636.4199644084*(RANDBETWEEN(2890,3282))</f>
        <v>104077543.26649827</v>
      </c>
      <c r="B8598">
        <v>258701661.31595308</v>
      </c>
    </row>
    <row r="8599" spans="1:2" x14ac:dyDescent="0.25">
      <c r="A8599">
        <f ca="1">32317.3958591086*(RANDBETWEEN(2890,3282))</f>
        <v>94819239.450624615</v>
      </c>
      <c r="B8599">
        <v>210890317.00877118</v>
      </c>
    </row>
    <row r="8600" spans="1:2" x14ac:dyDescent="0.25">
      <c r="A8600">
        <f ca="1">27328.7938211249*(RANDBETWEEN(2890,3282))</f>
        <v>88955223.887761444</v>
      </c>
      <c r="B8600">
        <v>261626794.13981348</v>
      </c>
    </row>
    <row r="8601" spans="1:2" x14ac:dyDescent="0.25">
      <c r="A8601">
        <f ca="1">26088.7460861151*(RANDBETWEEN(2890,3282))</f>
        <v>76153049.825370044</v>
      </c>
      <c r="B8601">
        <v>208178867.19463861</v>
      </c>
    </row>
    <row r="8602" spans="1:2" x14ac:dyDescent="0.25">
      <c r="A8602">
        <f ca="1">26853.436404987*(RANDBETWEEN(2890,3282))</f>
        <v>84642031.54851909</v>
      </c>
      <c r="B8602">
        <v>225929913.69332743</v>
      </c>
    </row>
    <row r="8603" spans="1:2" x14ac:dyDescent="0.25">
      <c r="A8603">
        <f ca="1">32782.5078391862*(RANDBETWEEN(2890,3282))</f>
        <v>98380306.025397882</v>
      </c>
      <c r="B8603">
        <v>260628646.53119799</v>
      </c>
    </row>
    <row r="8604" spans="1:2" x14ac:dyDescent="0.25">
      <c r="A8604">
        <f ca="1">31953.32454558*(RANDBETWEEN(2890,3282))</f>
        <v>100525159.02039462</v>
      </c>
      <c r="B8604">
        <v>254519840.92346105</v>
      </c>
    </row>
    <row r="8605" spans="1:2" x14ac:dyDescent="0.25">
      <c r="A8605">
        <f ca="1">28243.8160488411*(RANDBETWEEN(2890,3282))</f>
        <v>92498497.559954688</v>
      </c>
      <c r="B8605">
        <v>220854121.56009883</v>
      </c>
    </row>
    <row r="8606" spans="1:2" x14ac:dyDescent="0.25">
      <c r="A8606">
        <f ca="1">32951.279222544*(RANDBETWEEN(2890,3282))</f>
        <v>106597388.28492993</v>
      </c>
      <c r="B8606">
        <v>260251800.87474638</v>
      </c>
    </row>
    <row r="8607" spans="1:2" x14ac:dyDescent="0.25">
      <c r="A8607">
        <f ca="1">32963.4356393216*(RANDBETWEEN(2890,3282))</f>
        <v>104922615.63996065</v>
      </c>
      <c r="B8607">
        <v>243542801.12128106</v>
      </c>
    </row>
    <row r="8608" spans="1:2" x14ac:dyDescent="0.25">
      <c r="A8608">
        <f ca="1">32105.2623564982*(RANDBETWEEN(2890,3282))</f>
        <v>103443155.31263734</v>
      </c>
      <c r="B8608">
        <v>226333332.24913526</v>
      </c>
    </row>
    <row r="8609" spans="1:2" x14ac:dyDescent="0.25">
      <c r="A8609">
        <f ca="1">32569.7814289996*(RANDBETWEEN(2890,3282))</f>
        <v>94712924.39553085</v>
      </c>
      <c r="B8609">
        <v>252413555.85861656</v>
      </c>
    </row>
    <row r="8610" spans="1:2" x14ac:dyDescent="0.25">
      <c r="A8610">
        <f ca="1">32456.4907316799*(RANDBETWEEN(2890,3282))</f>
        <v>96363320.982357532</v>
      </c>
      <c r="B8610">
        <v>260230988.56978363</v>
      </c>
    </row>
    <row r="8611" spans="1:2" x14ac:dyDescent="0.25">
      <c r="A8611">
        <f ca="1">27697.21753582*(RANDBETWEEN(2890,3282))</f>
        <v>81291333.467631698</v>
      </c>
      <c r="B8611">
        <v>255346897.49052033</v>
      </c>
    </row>
    <row r="8612" spans="1:2" x14ac:dyDescent="0.25">
      <c r="A8612">
        <f ca="1">30090.9677062546*(RANDBETWEEN(2890,3282))</f>
        <v>93041272.147739172</v>
      </c>
      <c r="B8612">
        <v>244037275.81453034</v>
      </c>
    </row>
    <row r="8613" spans="1:2" x14ac:dyDescent="0.25">
      <c r="A8613">
        <f ca="1">31171.3245571176*(RANDBETWEEN(2890,3282))</f>
        <v>95945336.986807987</v>
      </c>
      <c r="B8613">
        <v>253603529.34319475</v>
      </c>
    </row>
    <row r="8614" spans="1:2" x14ac:dyDescent="0.25">
      <c r="A8614">
        <f ca="1">32115.7277518559*(RANDBETWEEN(2890,3282))</f>
        <v>94709281.140222982</v>
      </c>
      <c r="B8614">
        <v>263749867.45253864</v>
      </c>
    </row>
    <row r="8615" spans="1:2" x14ac:dyDescent="0.25">
      <c r="A8615">
        <f ca="1">27880.9518629139*(RANDBETWEEN(2890,3282))</f>
        <v>91254355.447317123</v>
      </c>
      <c r="B8615">
        <v>224790010.22701427</v>
      </c>
    </row>
    <row r="8616" spans="1:2" x14ac:dyDescent="0.25">
      <c r="A8616">
        <f ca="1">26830.067873322*(RANDBETWEEN(2890,3282))</f>
        <v>87761152.01363638</v>
      </c>
      <c r="B8616">
        <v>264477731.5931122</v>
      </c>
    </row>
    <row r="8617" spans="1:2" x14ac:dyDescent="0.25">
      <c r="A8617">
        <f ca="1">29135.3361938782*(RANDBETWEEN(2890,3282))</f>
        <v>88105256.650287539</v>
      </c>
      <c r="B8617">
        <v>234972527.86874214</v>
      </c>
    </row>
    <row r="8618" spans="1:2" x14ac:dyDescent="0.25">
      <c r="A8618">
        <f ca="1">26959.7614852123*(RANDBETWEEN(2890,3282))</f>
        <v>85920759.853371471</v>
      </c>
      <c r="B8618">
        <v>237520357.43182021</v>
      </c>
    </row>
    <row r="8619" spans="1:2" x14ac:dyDescent="0.25">
      <c r="A8619">
        <f ca="1">31642.4441109495*(RANDBETWEEN(2890,3282))</f>
        <v>100021765.83471136</v>
      </c>
      <c r="B8619">
        <v>248851615.11831573</v>
      </c>
    </row>
    <row r="8620" spans="1:2" x14ac:dyDescent="0.25">
      <c r="A8620">
        <f ca="1">34393.557883879*(RANDBETWEEN(2890,3282))</f>
        <v>108924397.81824493</v>
      </c>
      <c r="B8620">
        <v>237811003.68826583</v>
      </c>
    </row>
    <row r="8621" spans="1:2" x14ac:dyDescent="0.25">
      <c r="A8621">
        <f ca="1">29089.6899289659*(RANDBETWEEN(2890,3282))</f>
        <v>94832389.168428719</v>
      </c>
      <c r="B8621">
        <v>223037888.86153159</v>
      </c>
    </row>
    <row r="8622" spans="1:2" x14ac:dyDescent="0.25">
      <c r="A8622">
        <f ca="1">32575.7914818931*(RANDBETWEEN(2890,3282))</f>
        <v>97857677.611606881</v>
      </c>
      <c r="B8622">
        <v>259012198.3708865</v>
      </c>
    </row>
    <row r="8623" spans="1:2" x14ac:dyDescent="0.25">
      <c r="A8623">
        <f ca="1">32742.6633879988*(RANDBETWEEN(2890,3282))</f>
        <v>105169434.80225208</v>
      </c>
      <c r="B8623">
        <v>265993759.17470941</v>
      </c>
    </row>
    <row r="8624" spans="1:2" x14ac:dyDescent="0.25">
      <c r="A8624">
        <f ca="1">33482.8342250085*(RANDBETWEEN(2890,3282))</f>
        <v>97066736.41829972</v>
      </c>
      <c r="B8624">
        <v>208721533.91800523</v>
      </c>
    </row>
    <row r="8625" spans="1:2" x14ac:dyDescent="0.25">
      <c r="A8625">
        <f ca="1">31974.1974640835*(RANDBETWEEN(2890,3282))</f>
        <v>102317431.88506721</v>
      </c>
      <c r="B8625">
        <v>245296410.80680123</v>
      </c>
    </row>
    <row r="8626" spans="1:2" x14ac:dyDescent="0.25">
      <c r="A8626">
        <f ca="1">31819.1755505387*(RANDBETWEEN(2890,3282))</f>
        <v>96125729.338177368</v>
      </c>
      <c r="B8626">
        <v>229083793.85776669</v>
      </c>
    </row>
    <row r="8627" spans="1:2" x14ac:dyDescent="0.25">
      <c r="A8627">
        <f ca="1">30641.4163674018*(RANDBETWEEN(2890,3282))</f>
        <v>88890748.88183257</v>
      </c>
      <c r="B8627">
        <v>232186614.04886007</v>
      </c>
    </row>
    <row r="8628" spans="1:2" x14ac:dyDescent="0.25">
      <c r="A8628">
        <f ca="1">31226.9361004402*(RANDBETWEEN(2890,3282))</f>
        <v>99520245.352102786</v>
      </c>
      <c r="B8628">
        <v>251686690.58076411</v>
      </c>
    </row>
    <row r="8629" spans="1:2" x14ac:dyDescent="0.25">
      <c r="A8629">
        <f ca="1">25967.8601894944*(RANDBETWEEN(2890,3282))</f>
        <v>82941345.445245102</v>
      </c>
      <c r="B8629">
        <v>248399096.20420271</v>
      </c>
    </row>
    <row r="8630" spans="1:2" x14ac:dyDescent="0.25">
      <c r="A8630">
        <f ca="1">30478.2344590934*(RANDBETWEEN(2890,3282))</f>
        <v>98840914.350840017</v>
      </c>
      <c r="B8630">
        <v>251354214.73266912</v>
      </c>
    </row>
    <row r="8631" spans="1:2" x14ac:dyDescent="0.25">
      <c r="A8631">
        <f ca="1">34093.0862554655*(RANDBETWEEN(2890,3282))</f>
        <v>104018006.16542509</v>
      </c>
      <c r="B8631">
        <v>227170516.8598735</v>
      </c>
    </row>
    <row r="8632" spans="1:2" x14ac:dyDescent="0.25">
      <c r="A8632">
        <f ca="1">31355.5797726049*(RANDBETWEEN(2890,3282))</f>
        <v>100839544.54869744</v>
      </c>
      <c r="B8632">
        <v>239878187.78561938</v>
      </c>
    </row>
    <row r="8633" spans="1:2" x14ac:dyDescent="0.25">
      <c r="A8633">
        <f ca="1">31830.2568877743*(RANDBETWEEN(2890,3282))</f>
        <v>98960268.66409035</v>
      </c>
      <c r="B8633">
        <v>259302540.3620109</v>
      </c>
    </row>
    <row r="8634" spans="1:2" x14ac:dyDescent="0.25">
      <c r="A8634">
        <f ca="1">26817.2915142861*(RANDBETWEEN(2890,3282))</f>
        <v>78118770.181115463</v>
      </c>
      <c r="B8634">
        <v>221048142.09886983</v>
      </c>
    </row>
    <row r="8635" spans="1:2" x14ac:dyDescent="0.25">
      <c r="A8635">
        <f ca="1">30193.5510214968*(RANDBETWEEN(2890,3282))</f>
        <v>96196653.554488823</v>
      </c>
      <c r="B8635">
        <v>238855742.52869111</v>
      </c>
    </row>
    <row r="8636" spans="1:2" x14ac:dyDescent="0.25">
      <c r="A8636">
        <f ca="1">28480.5183711985*(RANDBETWEEN(2890,3282))</f>
        <v>86894061.550526664</v>
      </c>
      <c r="B8636">
        <v>254619585.49511102</v>
      </c>
    </row>
    <row r="8637" spans="1:2" x14ac:dyDescent="0.25">
      <c r="A8637">
        <f ca="1">31400.6099049586*(RANDBETWEEN(2890,3282))</f>
        <v>98346710.222330451</v>
      </c>
      <c r="B8637">
        <v>205513367.80683523</v>
      </c>
    </row>
    <row r="8638" spans="1:2" x14ac:dyDescent="0.25">
      <c r="A8638">
        <f ca="1">31697.0848204438*(RANDBETWEEN(2890,3282))</f>
        <v>96802897.041635484</v>
      </c>
      <c r="B8638">
        <v>214097958.8559525</v>
      </c>
    </row>
    <row r="8639" spans="1:2" x14ac:dyDescent="0.25">
      <c r="A8639">
        <f ca="1">29002.5172851304*(RANDBETWEEN(2890,3282))</f>
        <v>86833536.751680315</v>
      </c>
      <c r="B8639">
        <v>257097488.46282038</v>
      </c>
    </row>
    <row r="8640" spans="1:2" x14ac:dyDescent="0.25">
      <c r="A8640">
        <f ca="1">29004.6523369467*(RANDBETWEEN(2890,3282))</f>
        <v>85592729.046329811</v>
      </c>
      <c r="B8640">
        <v>242919323.18252519</v>
      </c>
    </row>
    <row r="8641" spans="1:2" x14ac:dyDescent="0.25">
      <c r="A8641">
        <f ca="1">27541.7471089883*(RANDBETWEEN(2890,3282))</f>
        <v>86315835.439569294</v>
      </c>
      <c r="B8641">
        <v>208490972.20730251</v>
      </c>
    </row>
    <row r="8642" spans="1:2" x14ac:dyDescent="0.25">
      <c r="A8642">
        <f ca="1">29602.1755272004*(RANDBETWEEN(2890,3282))</f>
        <v>94194122.527551636</v>
      </c>
      <c r="B8642">
        <v>243202798.9378221</v>
      </c>
    </row>
    <row r="8643" spans="1:2" x14ac:dyDescent="0.25">
      <c r="A8643">
        <f ca="1">30573.7282741396*(RANDBETWEEN(2890,3282))</f>
        <v>98936584.6951157</v>
      </c>
      <c r="B8643">
        <v>233771539.01932824</v>
      </c>
    </row>
    <row r="8644" spans="1:2" x14ac:dyDescent="0.25">
      <c r="A8644">
        <f ca="1">29444.2516337427*(RANDBETWEEN(2890,3282))</f>
        <v>91188847.309701189</v>
      </c>
      <c r="B8644">
        <v>262846434.04776195</v>
      </c>
    </row>
    <row r="8645" spans="1:2" x14ac:dyDescent="0.25">
      <c r="A8645">
        <f ca="1">31587.578542355*(RANDBETWEEN(2890,3282))</f>
        <v>99690397.879672334</v>
      </c>
      <c r="B8645">
        <v>211361036.6962764</v>
      </c>
    </row>
    <row r="8646" spans="1:2" x14ac:dyDescent="0.25">
      <c r="A8646">
        <f ca="1">31654.1374935486*(RANDBETWEEN(2890,3282))</f>
        <v>103825570.97883925</v>
      </c>
      <c r="B8646">
        <v>234358523.25299329</v>
      </c>
    </row>
    <row r="8647" spans="1:2" x14ac:dyDescent="0.25">
      <c r="A8647">
        <f ca="1">29173.3115429333*(RANDBETWEEN(2890,3282))</f>
        <v>93062863.821957156</v>
      </c>
      <c r="B8647">
        <v>242371191.68554074</v>
      </c>
    </row>
    <row r="8648" spans="1:2" x14ac:dyDescent="0.25">
      <c r="A8648">
        <f ca="1">27107.9667802375*(RANDBETWEEN(2890,3282))</f>
        <v>85091907.723165408</v>
      </c>
      <c r="B8648">
        <v>237185196.75759637</v>
      </c>
    </row>
    <row r="8649" spans="1:2" x14ac:dyDescent="0.25">
      <c r="A8649">
        <f ca="1">27699.0692027965*(RANDBETWEEN(2890,3282))</f>
        <v>90077373.047494382</v>
      </c>
      <c r="B8649">
        <v>240704494.00924009</v>
      </c>
    </row>
    <row r="8650" spans="1:2" x14ac:dyDescent="0.25">
      <c r="A8650">
        <f ca="1">28157.6511505977*(RANDBETWEEN(2890,3282))</f>
        <v>83937958.079931632</v>
      </c>
      <c r="B8650">
        <v>205789197.36210421</v>
      </c>
    </row>
    <row r="8651" spans="1:2" x14ac:dyDescent="0.25">
      <c r="A8651">
        <f ca="1">30838.599202929*(RANDBETWEEN(2890,3282))</f>
        <v>92824183.600816429</v>
      </c>
      <c r="B8651">
        <v>220966312.96335256</v>
      </c>
    </row>
    <row r="8652" spans="1:2" x14ac:dyDescent="0.25">
      <c r="A8652">
        <f ca="1">27942.4939240354*(RANDBETWEEN(2890,3282))</f>
        <v>90030715.423242047</v>
      </c>
      <c r="B8652">
        <v>218652372.64452147</v>
      </c>
    </row>
    <row r="8653" spans="1:2" x14ac:dyDescent="0.25">
      <c r="A8653">
        <f ca="1">32653.0483859547*(RANDBETWEEN(2890,3282))</f>
        <v>102465265.83512573</v>
      </c>
      <c r="B8653">
        <v>222476190.6833778</v>
      </c>
    </row>
    <row r="8654" spans="1:2" x14ac:dyDescent="0.25">
      <c r="A8654">
        <f ca="1">26693.6724535305*(RANDBETWEEN(2890,3282))</f>
        <v>86754435.473974451</v>
      </c>
      <c r="B8654">
        <v>209289228.77589387</v>
      </c>
    </row>
    <row r="8655" spans="1:2" x14ac:dyDescent="0.25">
      <c r="A8655">
        <f ca="1">26627.5093403071*(RANDBETWEEN(2890,3282))</f>
        <v>86592660.374678805</v>
      </c>
      <c r="B8655">
        <v>263888499.41488248</v>
      </c>
    </row>
    <row r="8656" spans="1:2" x14ac:dyDescent="0.25">
      <c r="A8656">
        <f ca="1">27584.5473085127*(RANDBETWEEN(2890,3282))</f>
        <v>83443255.608250812</v>
      </c>
      <c r="B8656">
        <v>227456768.75121924</v>
      </c>
    </row>
    <row r="8657" spans="1:2" x14ac:dyDescent="0.25">
      <c r="A8657">
        <f ca="1">29140.161909311*(RANDBETWEEN(2890,3282))</f>
        <v>86691981.680200279</v>
      </c>
      <c r="B8657">
        <v>218167766.09406474</v>
      </c>
    </row>
    <row r="8658" spans="1:2" x14ac:dyDescent="0.25">
      <c r="A8658">
        <f ca="1">26422.0237875011*(RANDBETWEEN(2890,3282))</f>
        <v>86030109.452103704</v>
      </c>
      <c r="B8658">
        <v>229905827.31200546</v>
      </c>
    </row>
    <row r="8659" spans="1:2" x14ac:dyDescent="0.25">
      <c r="A8659">
        <f ca="1">30302.1685034143*(RANDBETWEEN(2890,3282))</f>
        <v>89361094.916568816</v>
      </c>
      <c r="B8659">
        <v>219648918.22165778</v>
      </c>
    </row>
    <row r="8660" spans="1:2" x14ac:dyDescent="0.25">
      <c r="A8660">
        <f ca="1">28012.9949008594*(RANDBETWEEN(2890,3282))</f>
        <v>88941258.810228512</v>
      </c>
      <c r="B8660">
        <v>233764886.61426061</v>
      </c>
    </row>
    <row r="8661" spans="1:2" x14ac:dyDescent="0.25">
      <c r="A8661">
        <f ca="1">30534.7229388382*(RANDBETWEEN(2890,3282))</f>
        <v>96459189.763789788</v>
      </c>
      <c r="B8661">
        <v>209679680.67369214</v>
      </c>
    </row>
    <row r="8662" spans="1:2" x14ac:dyDescent="0.25">
      <c r="A8662">
        <f ca="1">24905.1907466175*(RANDBETWEEN(2890,3282))</f>
        <v>73495217.893268123</v>
      </c>
      <c r="B8662">
        <v>245983217.68666285</v>
      </c>
    </row>
    <row r="8663" spans="1:2" x14ac:dyDescent="0.25">
      <c r="A8663">
        <f ca="1">28770.4106810812*(RANDBETWEEN(2890,3282))</f>
        <v>84815170.687827393</v>
      </c>
      <c r="B8663">
        <v>244702053.34501138</v>
      </c>
    </row>
    <row r="8664" spans="1:2" x14ac:dyDescent="0.25">
      <c r="A8664">
        <f ca="1">27222.2924340518*(RANDBETWEEN(2890,3282))</f>
        <v>85668554.28996098</v>
      </c>
      <c r="B8664">
        <v>206770061.66964954</v>
      </c>
    </row>
    <row r="8665" spans="1:2" x14ac:dyDescent="0.25">
      <c r="A8665">
        <f ca="1">27909.0277319848*(RANDBETWEEN(2890,3282))</f>
        <v>81550179.03285946</v>
      </c>
      <c r="B8665">
        <v>208600720.96208388</v>
      </c>
    </row>
    <row r="8666" spans="1:2" x14ac:dyDescent="0.25">
      <c r="A8666">
        <f ca="1">30144.3084742372*(RANDBETWEEN(2890,3282))</f>
        <v>96341209.883662224</v>
      </c>
      <c r="B8666">
        <v>229388872.19273597</v>
      </c>
    </row>
    <row r="8667" spans="1:2" x14ac:dyDescent="0.25">
      <c r="A8667">
        <f ca="1">26947.8741488508*(RANDBETWEEN(2890,3282))</f>
        <v>84212106.715158805</v>
      </c>
      <c r="B8667">
        <v>253159583.33184072</v>
      </c>
    </row>
    <row r="8668" spans="1:2" x14ac:dyDescent="0.25">
      <c r="A8668">
        <f ca="1">32321.1521829381*(RANDBETWEEN(2890,3282))</f>
        <v>103266081.22448733</v>
      </c>
      <c r="B8668">
        <v>246094684.11051801</v>
      </c>
    </row>
    <row r="8669" spans="1:2" x14ac:dyDescent="0.25">
      <c r="A8669">
        <f ca="1">30197.4848190444*(RANDBETWEEN(2890,3282))</f>
        <v>92857265.818561569</v>
      </c>
      <c r="B8669">
        <v>204847716.60381308</v>
      </c>
    </row>
    <row r="8670" spans="1:2" x14ac:dyDescent="0.25">
      <c r="A8670">
        <f ca="1">27590.4706484558*(RANDBETWEEN(2890,3282))</f>
        <v>89917343.843317464</v>
      </c>
      <c r="B8670">
        <v>222645565.43857789</v>
      </c>
    </row>
    <row r="8671" spans="1:2" x14ac:dyDescent="0.25">
      <c r="A8671">
        <f ca="1">29876.4197247967*(RANDBETWEEN(2890,3282))</f>
        <v>92975418.1835673</v>
      </c>
      <c r="B8671">
        <v>242729840.63664711</v>
      </c>
    </row>
    <row r="8672" spans="1:2" x14ac:dyDescent="0.25">
      <c r="A8672">
        <f ca="1">29145.3145952267*(RANDBETWEEN(2890,3282))</f>
        <v>90729364.334940746</v>
      </c>
      <c r="B8672">
        <v>238918445.21978086</v>
      </c>
    </row>
    <row r="8673" spans="1:2" x14ac:dyDescent="0.25">
      <c r="A8673">
        <f ca="1">31331.4104385149*(RANDBETWEEN(2890,3282))</f>
        <v>95216156.322646827</v>
      </c>
      <c r="B8673">
        <v>219619618.45820582</v>
      </c>
    </row>
    <row r="8674" spans="1:2" x14ac:dyDescent="0.25">
      <c r="A8674">
        <f ca="1">28338.8360667258*(RANDBETWEEN(2890,3282))</f>
        <v>85044847.036244154</v>
      </c>
      <c r="B8674">
        <v>253607173.11302143</v>
      </c>
    </row>
    <row r="8675" spans="1:2" x14ac:dyDescent="0.25">
      <c r="A8675">
        <f ca="1">33193.62203617*(RANDBETWEEN(2890,3282))</f>
        <v>107978852.48366092</v>
      </c>
      <c r="B8675">
        <v>214350761.04952052</v>
      </c>
    </row>
    <row r="8676" spans="1:2" x14ac:dyDescent="0.25">
      <c r="A8676">
        <f ca="1">27818.3295345402*(RANDBETWEEN(2890,3282))</f>
        <v>86292458.216143832</v>
      </c>
      <c r="B8676">
        <v>212004379.4226079</v>
      </c>
    </row>
    <row r="8677" spans="1:2" x14ac:dyDescent="0.25">
      <c r="A8677">
        <f ca="1">27267.2197256032*(RANDBETWEEN(2890,3282))</f>
        <v>82756011.867205858</v>
      </c>
      <c r="B8677">
        <v>209334762.98996055</v>
      </c>
    </row>
    <row r="8678" spans="1:2" x14ac:dyDescent="0.25">
      <c r="A8678">
        <f ca="1">28353.9348176443*(RANDBETWEEN(2890,3282))</f>
        <v>89031355.327402994</v>
      </c>
      <c r="B8678">
        <v>267113656.36007115</v>
      </c>
    </row>
    <row r="8679" spans="1:2" x14ac:dyDescent="0.25">
      <c r="A8679">
        <f ca="1">27072.351492284*(RANDBETWEEN(2890,3282))</f>
        <v>88661951.137230203</v>
      </c>
      <c r="B8679">
        <v>226019286.34372106</v>
      </c>
    </row>
    <row r="8680" spans="1:2" x14ac:dyDescent="0.25">
      <c r="A8680">
        <f ca="1">28768.7164442054*(RANDBETWEEN(2890,3282))</f>
        <v>83860808.43485865</v>
      </c>
      <c r="B8680">
        <v>227390893.26748681</v>
      </c>
    </row>
    <row r="8681" spans="1:2" x14ac:dyDescent="0.25">
      <c r="A8681">
        <f ca="1">34350.6199248006*(RANDBETWEEN(2890,3282))</f>
        <v>104838092.01049139</v>
      </c>
      <c r="B8681">
        <v>260621281.75944301</v>
      </c>
    </row>
    <row r="8682" spans="1:2" x14ac:dyDescent="0.25">
      <c r="A8682">
        <f ca="1">27830.6339385582*(RANDBETWEEN(2890,3282))</f>
        <v>86330626.47740756</v>
      </c>
      <c r="B8682">
        <v>254815961.6007005</v>
      </c>
    </row>
    <row r="8683" spans="1:2" x14ac:dyDescent="0.25">
      <c r="A8683">
        <f ca="1">32487.8356459734*(RANDBETWEEN(2890,3282))</f>
        <v>99542728.419262439</v>
      </c>
      <c r="B8683">
        <v>248437749.5632045</v>
      </c>
    </row>
    <row r="8684" spans="1:2" x14ac:dyDescent="0.25">
      <c r="A8684">
        <f ca="1">30235.920206993*(RANDBETWEEN(2890,3282))</f>
        <v>97752730.029208452</v>
      </c>
      <c r="B8684">
        <v>244354508.15697169</v>
      </c>
    </row>
    <row r="8685" spans="1:2" x14ac:dyDescent="0.25">
      <c r="A8685">
        <f ca="1">30436.4591561688*(RANDBETWEEN(2890,3282))</f>
        <v>98279326.615268931</v>
      </c>
      <c r="B8685">
        <v>230110889.31701869</v>
      </c>
    </row>
    <row r="8686" spans="1:2" x14ac:dyDescent="0.25">
      <c r="A8686">
        <f ca="1">27139.888036658*(RANDBETWEEN(2890,3282))</f>
        <v>78569975.866125077</v>
      </c>
      <c r="B8686">
        <v>225572616.881192</v>
      </c>
    </row>
    <row r="8687" spans="1:2" x14ac:dyDescent="0.25">
      <c r="A8687">
        <f ca="1">29400.2062289018*(RANDBETWEEN(2890,3282))</f>
        <v>90758436.628619939</v>
      </c>
      <c r="B8687">
        <v>231246027.6688123</v>
      </c>
    </row>
    <row r="8688" spans="1:2" x14ac:dyDescent="0.25">
      <c r="A8688">
        <f ca="1">29288.9378857738*(RANDBETWEEN(2890,3282))</f>
        <v>86138766.322060645</v>
      </c>
      <c r="B8688">
        <v>250420550.32357913</v>
      </c>
    </row>
    <row r="8689" spans="1:2" x14ac:dyDescent="0.25">
      <c r="A8689">
        <f ca="1">29484.250589119*(RANDBETWEEN(2890,3282))</f>
        <v>88098940.760287628</v>
      </c>
      <c r="B8689">
        <v>267279661.75893098</v>
      </c>
    </row>
    <row r="8690" spans="1:2" x14ac:dyDescent="0.25">
      <c r="A8690">
        <f ca="1">28565.7044655688*(RANDBETWEEN(2890,3282))</f>
        <v>84954405.080601513</v>
      </c>
      <c r="B8690">
        <v>219742932.77348936</v>
      </c>
    </row>
    <row r="8691" spans="1:2" x14ac:dyDescent="0.25">
      <c r="A8691">
        <f ca="1">26570.1933944591*(RANDBETWEEN(2890,3282))</f>
        <v>84891767.895296752</v>
      </c>
      <c r="B8691">
        <v>246261714.91206014</v>
      </c>
    </row>
    <row r="8692" spans="1:2" x14ac:dyDescent="0.25">
      <c r="A8692">
        <f ca="1">28578.7144955787*(RANDBETWEEN(2890,3282))</f>
        <v>82992586.895160615</v>
      </c>
      <c r="B8692">
        <v>224861305.65432531</v>
      </c>
    </row>
    <row r="8693" spans="1:2" x14ac:dyDescent="0.25">
      <c r="A8693">
        <f ca="1">27594.8930170146*(RANDBETWEEN(2890,3282))</f>
        <v>89628212.519263446</v>
      </c>
      <c r="B8693">
        <v>223564385.13279659</v>
      </c>
    </row>
    <row r="8694" spans="1:2" x14ac:dyDescent="0.25">
      <c r="A8694">
        <f ca="1">32161.7041157694*(RANDBETWEEN(2890,3282))</f>
        <v>103560687.25277744</v>
      </c>
      <c r="B8694">
        <v>208549201.624174</v>
      </c>
    </row>
    <row r="8695" spans="1:2" x14ac:dyDescent="0.25">
      <c r="A8695">
        <f ca="1">30492.6161583589*(RANDBETWEEN(2890,3282))</f>
        <v>96021248.282672152</v>
      </c>
      <c r="B8695">
        <v>257369701.99725854</v>
      </c>
    </row>
    <row r="8696" spans="1:2" x14ac:dyDescent="0.25">
      <c r="A8696">
        <f ca="1">30273.7669073386*(RANDBETWEEN(2890,3282))</f>
        <v>95695377.19409743</v>
      </c>
      <c r="B8696">
        <v>217321091.94760001</v>
      </c>
    </row>
    <row r="8697" spans="1:2" x14ac:dyDescent="0.25">
      <c r="A8697">
        <f ca="1">29930.3725742091*(RANDBETWEEN(2890,3282))</f>
        <v>93053528.333216056</v>
      </c>
      <c r="B8697">
        <v>253340653.74534184</v>
      </c>
    </row>
    <row r="8698" spans="1:2" x14ac:dyDescent="0.25">
      <c r="A8698">
        <f ca="1">29595.5842585042*(RANDBETWEEN(2890,3282))</f>
        <v>97043920.783635259</v>
      </c>
      <c r="B8698">
        <v>244999726.52879944</v>
      </c>
    </row>
    <row r="8699" spans="1:2" x14ac:dyDescent="0.25">
      <c r="A8699">
        <f ca="1">30753.9143824989*(RANDBETWEEN(2890,3282))</f>
        <v>99519666.941766366</v>
      </c>
      <c r="B8699">
        <v>250723799.04003459</v>
      </c>
    </row>
    <row r="8700" spans="1:2" x14ac:dyDescent="0.25">
      <c r="A8700">
        <f ca="1">25616.3435343596*(RANDBETWEEN(2890,3282))</f>
        <v>83816676.044424459</v>
      </c>
      <c r="B8700">
        <v>211076695.18004212</v>
      </c>
    </row>
    <row r="8701" spans="1:2" x14ac:dyDescent="0.25">
      <c r="A8701">
        <f ca="1">30781.2096311369*(RANDBETWEEN(2890,3282))</f>
        <v>97484090.901810423</v>
      </c>
      <c r="B8701">
        <v>233807625.89964569</v>
      </c>
    </row>
    <row r="8702" spans="1:2" x14ac:dyDescent="0.25">
      <c r="A8702">
        <f ca="1">27776.0037689513*(RANDBETWEEN(2890,3282))</f>
        <v>85411211.589525342</v>
      </c>
      <c r="B8702">
        <v>236392446.40858269</v>
      </c>
    </row>
    <row r="8703" spans="1:2" x14ac:dyDescent="0.25">
      <c r="A8703">
        <f ca="1">28095.2852836423*(RANDBETWEEN(2890,3282))</f>
        <v>88443958.072906032</v>
      </c>
      <c r="B8703">
        <v>218603385.46649325</v>
      </c>
    </row>
    <row r="8704" spans="1:2" x14ac:dyDescent="0.25">
      <c r="A8704">
        <f ca="1">31666.1607352537*(RANDBETWEEN(2890,3282))</f>
        <v>96391793.278112352</v>
      </c>
      <c r="B8704">
        <v>250541969.22237986</v>
      </c>
    </row>
    <row r="8705" spans="1:2" x14ac:dyDescent="0.25">
      <c r="A8705">
        <f ca="1">31632.7148893755*(RANDBETWEEN(2890,3282))</f>
        <v>103375712.25847909</v>
      </c>
      <c r="B8705">
        <v>237296903.51404175</v>
      </c>
    </row>
    <row r="8706" spans="1:2" x14ac:dyDescent="0.25">
      <c r="A8706">
        <f ca="1">25829.0582009142*(RANDBETWEEN(2890,3282))</f>
        <v>81413191.449281409</v>
      </c>
      <c r="B8706">
        <v>209776420.40938267</v>
      </c>
    </row>
    <row r="8707" spans="1:2" x14ac:dyDescent="0.25">
      <c r="A8707">
        <f ca="1">32149.3211438804*(RANDBETWEEN(2890,3282))</f>
        <v>95258438.549317628</v>
      </c>
      <c r="B8707">
        <v>259409364.63541174</v>
      </c>
    </row>
    <row r="8708" spans="1:2" x14ac:dyDescent="0.25">
      <c r="A8708">
        <f ca="1">29222.2337016457*(RANDBETWEEN(2890,3282))</f>
        <v>88368034.713776648</v>
      </c>
      <c r="B8708">
        <v>254740397.7312158</v>
      </c>
    </row>
    <row r="8709" spans="1:2" x14ac:dyDescent="0.25">
      <c r="A8709">
        <f ca="1">29701.7377316952*(RANDBETWEEN(2890,3282))</f>
        <v>96768261.52986303</v>
      </c>
      <c r="B8709">
        <v>216918060.42062697</v>
      </c>
    </row>
    <row r="8710" spans="1:2" x14ac:dyDescent="0.25">
      <c r="A8710">
        <f ca="1">28237.8276050239*(RANDBETWEEN(2890,3282))</f>
        <v>81776748.744149446</v>
      </c>
      <c r="B8710">
        <v>261864300.76499042</v>
      </c>
    </row>
    <row r="8711" spans="1:2" x14ac:dyDescent="0.25">
      <c r="A8711">
        <f ca="1">26423.4105373684*(RANDBETWEEN(2890,3282))</f>
        <v>82995932.49787426</v>
      </c>
      <c r="B8711">
        <v>219699906.67158574</v>
      </c>
    </row>
    <row r="8712" spans="1:2" x14ac:dyDescent="0.25">
      <c r="A8712">
        <f ca="1">28592.3136620806*(RANDBETWEEN(2890,3282))</f>
        <v>84290140.675813556</v>
      </c>
      <c r="B8712">
        <v>237464845.50223127</v>
      </c>
    </row>
    <row r="8713" spans="1:2" x14ac:dyDescent="0.25">
      <c r="A8713">
        <f ca="1">30532.6152433595*(RANDBETWEEN(2890,3282))</f>
        <v>89338432.202070042</v>
      </c>
      <c r="B8713">
        <v>226741027.7899721</v>
      </c>
    </row>
    <row r="8714" spans="1:2" x14ac:dyDescent="0.25">
      <c r="A8714">
        <f ca="1">30003.8867271696*(RANDBETWEEN(2890,3282))</f>
        <v>87791372.563698202</v>
      </c>
      <c r="B8714">
        <v>224456178.33309314</v>
      </c>
    </row>
    <row r="8715" spans="1:2" x14ac:dyDescent="0.25">
      <c r="A8715">
        <f ca="1">33058.9586613884*(RANDBETWEEN(2890,3282))</f>
        <v>106053139.38573395</v>
      </c>
      <c r="B8715">
        <v>254683849.66796133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63981-BE21-45CD-9772-92798641B27B}">
  <dimension ref="A1:D15308"/>
  <sheetViews>
    <sheetView topLeftCell="A15293" workbookViewId="0">
      <selection activeCell="A15308" sqref="A1:A15308"/>
    </sheetView>
  </sheetViews>
  <sheetFormatPr defaultRowHeight="13.8" x14ac:dyDescent="0.25"/>
  <sheetData>
    <row r="1" spans="1:2" x14ac:dyDescent="0.25">
      <c r="A1">
        <f ca="1">30088.4888731648*((RANDBETWEEN(2979,3282)))</f>
        <v>92642457.240474433</v>
      </c>
      <c r="B1">
        <v>189578598.54494572</v>
      </c>
    </row>
    <row r="2" spans="1:2" x14ac:dyDescent="0.25">
      <c r="A2">
        <f ca="1">33146.7651321577*((RANDBETWEEN(2979,3282)))</f>
        <v>108356775.21702349</v>
      </c>
      <c r="B2">
        <v>159549092.2596004</v>
      </c>
    </row>
    <row r="3" spans="1:2" x14ac:dyDescent="0.25">
      <c r="A3">
        <f ca="1">34486.0465833118*((RANDBETWEEN(2979,3282)))</f>
        <v>105147956.03251757</v>
      </c>
      <c r="B3">
        <v>170710508.00999996</v>
      </c>
    </row>
    <row r="4" spans="1:2" x14ac:dyDescent="0.25">
      <c r="A4">
        <f ca="1">29788.2547065349*((RANDBETWEEN(2979,3282)))</f>
        <v>95262838.551498726</v>
      </c>
      <c r="B4">
        <v>162510731.51680139</v>
      </c>
    </row>
    <row r="5" spans="1:2" x14ac:dyDescent="0.25">
      <c r="A5">
        <f ca="1">30054.379915934*((RANDBETWEEN(2979,3282)))</f>
        <v>94761459.874939844</v>
      </c>
      <c r="B5">
        <v>165220372.87425032</v>
      </c>
    </row>
    <row r="6" spans="1:2" x14ac:dyDescent="0.25">
      <c r="A6">
        <f ca="1">28995.8603721369*((RANDBETWEEN(2979,3282)))</f>
        <v>91539931.194836095</v>
      </c>
      <c r="B6">
        <v>144040636.70952266</v>
      </c>
    </row>
    <row r="7" spans="1:2" x14ac:dyDescent="0.25">
      <c r="A7">
        <f ca="1">30950.4836578361*((RANDBETWEEN(2979,3282)))</f>
        <v>100341468.0187045</v>
      </c>
      <c r="B7">
        <v>154339973.06956249</v>
      </c>
    </row>
    <row r="8" spans="1:2" x14ac:dyDescent="0.25">
      <c r="A8">
        <f ca="1">33462.7078549065*((RANDBETWEEN(2979,3282)))</f>
        <v>109356129.26983431</v>
      </c>
      <c r="B8">
        <v>190940677.02920514</v>
      </c>
    </row>
    <row r="9" spans="1:2" x14ac:dyDescent="0.25">
      <c r="A9">
        <f ca="1">38319.3530577355*((RANDBETWEEN(2979,3282)))</f>
        <v>116950665.53220874</v>
      </c>
      <c r="B9">
        <v>181609807.7464292</v>
      </c>
    </row>
    <row r="10" spans="1:2" x14ac:dyDescent="0.25">
      <c r="A10">
        <f ca="1">40627.8258383536*((RANDBETWEEN(2979,3282)))</f>
        <v>125661865.31802769</v>
      </c>
      <c r="B10">
        <v>178071126.96406877</v>
      </c>
    </row>
    <row r="11" spans="1:2" x14ac:dyDescent="0.25">
      <c r="A11">
        <f ca="1">33650.3496926878*((RANDBETWEEN(2979,3282)))</f>
        <v>109498237.90000619</v>
      </c>
      <c r="B11">
        <v>154659245.89500812</v>
      </c>
    </row>
    <row r="12" spans="1:2" x14ac:dyDescent="0.25">
      <c r="A12">
        <f ca="1">38400.0086894908*((RANDBETWEEN(2979,3282)))</f>
        <v>122534427.72816502</v>
      </c>
      <c r="B12">
        <v>165375513.70494661</v>
      </c>
    </row>
    <row r="13" spans="1:2" x14ac:dyDescent="0.25">
      <c r="A13">
        <f ca="1">33188.82551187*((RANDBETWEEN(2979,3282)))</f>
        <v>100363008.34789489</v>
      </c>
      <c r="B13">
        <v>151479750.72675991</v>
      </c>
    </row>
    <row r="14" spans="1:2" x14ac:dyDescent="0.25">
      <c r="A14">
        <f ca="1">39504.6632249754*((RANDBETWEEN(2979,3282)))</f>
        <v>128627183.46052003</v>
      </c>
      <c r="B14">
        <v>167632851.29452115</v>
      </c>
    </row>
    <row r="15" spans="1:2" x14ac:dyDescent="0.25">
      <c r="A15">
        <f ca="1">35525.1047128357*((RANDBETWEEN(2979,3282)))</f>
        <v>109133121.67783137</v>
      </c>
      <c r="B15">
        <v>157347432.16106963</v>
      </c>
    </row>
    <row r="16" spans="1:2" x14ac:dyDescent="0.25">
      <c r="A16">
        <f ca="1">31146.7870812666*((RANDBETWEEN(2979,3282)))</f>
        <v>96835361.035657838</v>
      </c>
      <c r="B16">
        <v>146671913.17431548</v>
      </c>
    </row>
    <row r="17" spans="1:2" x14ac:dyDescent="0.25">
      <c r="A17">
        <f ca="1">33718.0219918856*((RANDBETWEEN(2979,3282)))</f>
        <v>107391900.04415561</v>
      </c>
      <c r="B17">
        <v>180196493.95949304</v>
      </c>
    </row>
    <row r="18" spans="1:2" x14ac:dyDescent="0.25">
      <c r="A18">
        <f ca="1">38747.5637520298*((RANDBETWEEN(2979,3282)))</f>
        <v>119768719.55752422</v>
      </c>
      <c r="B18">
        <v>148307046.66314924</v>
      </c>
    </row>
    <row r="19" spans="1:2" x14ac:dyDescent="0.25">
      <c r="A19">
        <f ca="1">29499.5314372768*((RANDBETWEEN(2979,3282)))</f>
        <v>89944071.352256939</v>
      </c>
      <c r="B19">
        <v>157232333.49381366</v>
      </c>
    </row>
    <row r="20" spans="1:2" x14ac:dyDescent="0.25">
      <c r="A20">
        <f ca="1">28141.1307940938*((RANDBETWEEN(2979,3282)))</f>
        <v>89460654.794424042</v>
      </c>
      <c r="B20">
        <v>163550426.08553359</v>
      </c>
    </row>
    <row r="21" spans="1:2" x14ac:dyDescent="0.25">
      <c r="A21">
        <f ca="1">43392.8673582216*((RANDBETWEEN(2979,3282)))</f>
        <v>138683604.07687622</v>
      </c>
      <c r="B21">
        <v>148239797.67892331</v>
      </c>
    </row>
    <row r="22" spans="1:2" x14ac:dyDescent="0.25">
      <c r="A22">
        <f ca="1">31116.1995951947*((RANDBETWEEN(2979,3282)))</f>
        <v>93224133.987203375</v>
      </c>
      <c r="B22">
        <v>158484110.39000675</v>
      </c>
    </row>
    <row r="23" spans="1:2" x14ac:dyDescent="0.25">
      <c r="A23">
        <f ca="1">33478.330238178*((RANDBETWEEN(2979,3282)))</f>
        <v>103146735.46382655</v>
      </c>
      <c r="B23">
        <v>193352291.39059031</v>
      </c>
    </row>
    <row r="24" spans="1:2" x14ac:dyDescent="0.25">
      <c r="A24">
        <f ca="1">32592.4668198364*((RANDBETWEEN(2979,3282)))</f>
        <v>100156650.5373573</v>
      </c>
      <c r="B24">
        <v>171208057.40597147</v>
      </c>
    </row>
    <row r="25" spans="1:2" x14ac:dyDescent="0.25">
      <c r="A25">
        <f ca="1">32952.1798354469*((RANDBETWEEN(2979,3282)))</f>
        <v>105776497.27178462</v>
      </c>
      <c r="B25">
        <v>150293319.43139967</v>
      </c>
    </row>
    <row r="26" spans="1:2" x14ac:dyDescent="0.25">
      <c r="A26">
        <f ca="1">32880.9844418719*((RANDBETWEEN(2979,3282)))</f>
        <v>100352764.51659295</v>
      </c>
      <c r="B26">
        <v>160853130.73651314</v>
      </c>
    </row>
    <row r="27" spans="1:2" x14ac:dyDescent="0.25">
      <c r="A27">
        <f ca="1">32897.7650581281*((RANDBETWEEN(2979,3282)))</f>
        <v>107279611.85455561</v>
      </c>
      <c r="B27">
        <v>196600783.08652151</v>
      </c>
    </row>
    <row r="28" spans="1:2" x14ac:dyDescent="0.25">
      <c r="A28">
        <f ca="1">30103.0819268488*((RANDBETWEEN(2979,3282)))</f>
        <v>98196253.245380864</v>
      </c>
      <c r="B28">
        <v>144481417.60992935</v>
      </c>
    </row>
    <row r="29" spans="1:2" x14ac:dyDescent="0.25">
      <c r="A29">
        <f ca="1">31822.2839844028*((RANDBETWEEN(2979,3282)))</f>
        <v>98903658.623523846</v>
      </c>
      <c r="B29">
        <v>191656569.50718892</v>
      </c>
    </row>
    <row r="30" spans="1:2" x14ac:dyDescent="0.25">
      <c r="A30">
        <f ca="1">36600.5215481146*((RANDBETWEEN(2979,3282)))</f>
        <v>120013110.15626773</v>
      </c>
      <c r="B30">
        <v>202486807.56333405</v>
      </c>
    </row>
    <row r="31" spans="1:2" x14ac:dyDescent="0.25">
      <c r="A31">
        <f ca="1">37047.4546596236*((RANDBETWEEN(2979,3282)))</f>
        <v>111105316.52421132</v>
      </c>
      <c r="B31">
        <v>151344152.64235437</v>
      </c>
    </row>
    <row r="32" spans="1:2" x14ac:dyDescent="0.25">
      <c r="A32">
        <f ca="1">33290.5589683809*((RANDBETWEEN(2979,3282)))</f>
        <v>102601502.74054997</v>
      </c>
      <c r="B32">
        <v>154686397.62354484</v>
      </c>
    </row>
    <row r="33" spans="1:2" x14ac:dyDescent="0.25">
      <c r="A33">
        <f ca="1">32888.4412452911*((RANDBETWEEN(2979,3282)))</f>
        <v>105374565.7499128</v>
      </c>
      <c r="B33">
        <v>185076507.78406677</v>
      </c>
    </row>
    <row r="34" spans="1:2" x14ac:dyDescent="0.25">
      <c r="A34">
        <f ca="1">32024.7687358038*((RANDBETWEEN(2979,3282)))</f>
        <v>96202405.282354906</v>
      </c>
      <c r="B34">
        <v>190086792.36799657</v>
      </c>
    </row>
    <row r="35" spans="1:2" x14ac:dyDescent="0.25">
      <c r="A35">
        <f ca="1">29745.716475454*((RANDBETWEEN(2979,3282)))</f>
        <v>88790963.679230288</v>
      </c>
      <c r="B35">
        <v>151572771.65638417</v>
      </c>
    </row>
    <row r="36" spans="1:2" x14ac:dyDescent="0.25">
      <c r="A36">
        <f ca="1">40129.6179267911*((RANDBETWEEN(2979,3282)))</f>
        <v>131504757.94609456</v>
      </c>
      <c r="B36">
        <v>147690872.99437419</v>
      </c>
    </row>
    <row r="37" spans="1:2" x14ac:dyDescent="0.25">
      <c r="A37">
        <f ca="1">36613.293017193*((RANDBETWEEN(2979,3282)))</f>
        <v>116906244.60389741</v>
      </c>
      <c r="B37">
        <v>165547489.27522942</v>
      </c>
    </row>
    <row r="38" spans="1:2" x14ac:dyDescent="0.25">
      <c r="A38">
        <f ca="1">32700.4007878826*((RANDBETWEEN(2979,3282)))</f>
        <v>105099088.13225463</v>
      </c>
      <c r="B38">
        <v>179729840.86516476</v>
      </c>
    </row>
    <row r="39" spans="1:2" x14ac:dyDescent="0.25">
      <c r="A39">
        <f ca="1">31957.6786749641*((RANDBETWEEN(2979,3282)))</f>
        <v>97055470.135865897</v>
      </c>
      <c r="B39">
        <v>178209832.92086017</v>
      </c>
    </row>
    <row r="40" spans="1:2" x14ac:dyDescent="0.25">
      <c r="A40">
        <f ca="1">33648.4945186569*((RANDBETWEEN(2979,3282)))</f>
        <v>110367062.02119452</v>
      </c>
      <c r="B40">
        <v>173932885.62126571</v>
      </c>
    </row>
    <row r="41" spans="1:2" x14ac:dyDescent="0.25">
      <c r="A41">
        <f ca="1">35571.386529828*((RANDBETWEEN(2979,3282)))</f>
        <v>110271298.24246682</v>
      </c>
      <c r="B41">
        <v>145927680.80128548</v>
      </c>
    </row>
    <row r="42" spans="1:2" x14ac:dyDescent="0.25">
      <c r="A42">
        <f ca="1">30259.1636262437*((RANDBETWEEN(2979,3282)))</f>
        <v>98009430.985403299</v>
      </c>
      <c r="B42">
        <v>150467460.40370071</v>
      </c>
    </row>
    <row r="43" spans="1:2" x14ac:dyDescent="0.25">
      <c r="A43">
        <f ca="1">30686.739227328*((RANDBETWEEN(2979,3282)))</f>
        <v>92735325.944985345</v>
      </c>
      <c r="B43">
        <v>178839540.95280719</v>
      </c>
    </row>
    <row r="44" spans="1:2" x14ac:dyDescent="0.25">
      <c r="A44">
        <f ca="1">32167.7195606204*((RANDBETWEEN(2979,3282)))</f>
        <v>105477952.43927443</v>
      </c>
      <c r="B44">
        <v>176564532.00020918</v>
      </c>
    </row>
    <row r="45" spans="1:2" x14ac:dyDescent="0.25">
      <c r="A45">
        <f ca="1">32724.4058274706*((RANDBETWEEN(2979,3282)))</f>
        <v>97486004.960034803</v>
      </c>
      <c r="B45">
        <v>185735288.08871052</v>
      </c>
    </row>
    <row r="46" spans="1:2" x14ac:dyDescent="0.25">
      <c r="A46">
        <f ca="1">28181.1420997734*((RANDBETWEEN(2979,3282)))</f>
        <v>89165133.603682995</v>
      </c>
      <c r="B46">
        <v>172649356.02212158</v>
      </c>
    </row>
    <row r="47" spans="1:2" x14ac:dyDescent="0.25">
      <c r="A47">
        <f ca="1">37746.8026949015*((RANDBETWEEN(2979,3282)))</f>
        <v>121695691.88836257</v>
      </c>
      <c r="B47">
        <v>193784304.25551456</v>
      </c>
    </row>
    <row r="48" spans="1:2" x14ac:dyDescent="0.25">
      <c r="A48">
        <f ca="1">32182.6105431581*((RANDBETWEEN(2979,3282)))</f>
        <v>95968544.639697343</v>
      </c>
      <c r="B48">
        <v>170917963.18785807</v>
      </c>
    </row>
    <row r="49" spans="1:2" x14ac:dyDescent="0.25">
      <c r="A49">
        <f ca="1">32906.5530493468*((RANDBETWEEN(2979,3282)))</f>
        <v>105992007.37194608</v>
      </c>
      <c r="B49">
        <v>155613166.48246199</v>
      </c>
    </row>
    <row r="50" spans="1:2" x14ac:dyDescent="0.25">
      <c r="A50">
        <f ca="1">37899.8881824539*((RANDBETWEEN(2979,3282)))</f>
        <v>122340839.05296132</v>
      </c>
      <c r="B50">
        <v>162833802.32491434</v>
      </c>
    </row>
    <row r="51" spans="1:2" x14ac:dyDescent="0.25">
      <c r="A51">
        <f ca="1">39354.1728219479*((RANDBETWEEN(2979,3282)))</f>
        <v>122155352.43932635</v>
      </c>
      <c r="B51">
        <v>188398568.35035652</v>
      </c>
    </row>
    <row r="52" spans="1:2" x14ac:dyDescent="0.25">
      <c r="A52">
        <f ca="1">32974.0163670715*((RANDBETWEEN(2979,3282)))</f>
        <v>105615774.42373016</v>
      </c>
      <c r="B52">
        <v>159227283.7613678</v>
      </c>
    </row>
    <row r="53" spans="1:2" x14ac:dyDescent="0.25">
      <c r="A53">
        <f ca="1">31707.419288524*((RANDBETWEEN(2979,3282)))</f>
        <v>97151532.700037554</v>
      </c>
      <c r="B53">
        <v>144621072.32889172</v>
      </c>
    </row>
    <row r="54" spans="1:2" x14ac:dyDescent="0.25">
      <c r="A54">
        <f ca="1">31427.5334937257*((RANDBETWEEN(2979,3282)))</f>
        <v>97425353.830549777</v>
      </c>
      <c r="B54">
        <v>155648346.93629563</v>
      </c>
    </row>
    <row r="55" spans="1:2" x14ac:dyDescent="0.25">
      <c r="A55">
        <f ca="1">30467.2856994935*((RANDBETWEEN(2979,3282)))</f>
        <v>98287463.66656594</v>
      </c>
      <c r="B55">
        <v>148688633.57709599</v>
      </c>
    </row>
    <row r="56" spans="1:2" x14ac:dyDescent="0.25">
      <c r="A56">
        <f ca="1">33623.7965826638*((RANDBETWEEN(2979,3282)))</f>
        <v>106318444.79438278</v>
      </c>
      <c r="B56">
        <v>153186273.15474358</v>
      </c>
    </row>
    <row r="57" spans="1:2" x14ac:dyDescent="0.25">
      <c r="A57">
        <f ca="1">30042.4217016983*((RANDBETWEEN(2979,3282)))</f>
        <v>93552101.179088429</v>
      </c>
      <c r="B57">
        <v>149442247.88286939</v>
      </c>
    </row>
    <row r="58" spans="1:2" x14ac:dyDescent="0.25">
      <c r="A58">
        <f ca="1">37677.5915958465*((RANDBETWEEN(2979,3282)))</f>
        <v>122037719.17894688</v>
      </c>
      <c r="B58">
        <v>172094523.93605775</v>
      </c>
    </row>
    <row r="59" spans="1:2" x14ac:dyDescent="0.25">
      <c r="A59">
        <f ca="1">31678.1473756232*((RANDBETWEEN(2979,3282)))</f>
        <v>95446258.042752624</v>
      </c>
      <c r="B59">
        <v>165652521.10313374</v>
      </c>
    </row>
    <row r="60" spans="1:2" x14ac:dyDescent="0.25">
      <c r="A60">
        <f ca="1">31242.3033338435*((RANDBETWEEN(2979,3282)))</f>
        <v>97007351.851583928</v>
      </c>
      <c r="B60">
        <v>164867085.84516913</v>
      </c>
    </row>
    <row r="61" spans="1:2" x14ac:dyDescent="0.25">
      <c r="A61">
        <f ca="1">39030.1216816131*((RANDBETWEEN(2979,3282)))</f>
        <v>123179064.02717081</v>
      </c>
      <c r="B61">
        <v>185928786.13882905</v>
      </c>
    </row>
    <row r="62" spans="1:2" x14ac:dyDescent="0.25">
      <c r="A62">
        <f ca="1">32761.370856478*((RANDBETWEEN(2979,3282)))</f>
        <v>99201430.953415364</v>
      </c>
      <c r="B62">
        <v>154648471.52663279</v>
      </c>
    </row>
    <row r="63" spans="1:2" x14ac:dyDescent="0.25">
      <c r="A63">
        <f ca="1">39390.7781474986*((RANDBETWEEN(2979,3282)))</f>
        <v>122978009.37649073</v>
      </c>
      <c r="B63">
        <v>147374523.17251858</v>
      </c>
    </row>
    <row r="64" spans="1:2" x14ac:dyDescent="0.25">
      <c r="A64">
        <f ca="1">35735.0231463552*((RANDBETWEEN(2979,3282)))</f>
        <v>115281184.67014217</v>
      </c>
      <c r="B64">
        <v>161082937.74899399</v>
      </c>
    </row>
    <row r="65" spans="1:2" x14ac:dyDescent="0.25">
      <c r="A65">
        <f ca="1">31583.0864530787*((RANDBETWEEN(2979,3282)))</f>
        <v>100876378.13113363</v>
      </c>
      <c r="B65">
        <v>155493282.85581446</v>
      </c>
    </row>
    <row r="66" spans="1:2" x14ac:dyDescent="0.25">
      <c r="A66">
        <f ca="1">35257.0364078475*((RANDBETWEEN(2979,3282)))</f>
        <v>113739199.45171589</v>
      </c>
      <c r="B66">
        <v>147652186.51524192</v>
      </c>
    </row>
    <row r="67" spans="1:2" x14ac:dyDescent="0.25">
      <c r="A67">
        <f ca="1">31556.6778435371*((RANDBETWEEN(2979,3282)))</f>
        <v>103158779.87052295</v>
      </c>
      <c r="B67">
        <v>163619536.14159</v>
      </c>
    </row>
    <row r="68" spans="1:2" x14ac:dyDescent="0.25">
      <c r="A68">
        <f ca="1">32621.3565884344*((RANDBETWEEN(2979,3282)))</f>
        <v>97603098.91259563</v>
      </c>
      <c r="B68">
        <v>203514681.37187129</v>
      </c>
    </row>
    <row r="69" spans="1:2" x14ac:dyDescent="0.25">
      <c r="A69">
        <f ca="1">30911.4516285237*((RANDBETWEEN(2979,3282)))</f>
        <v>95949145.854937464</v>
      </c>
      <c r="B69">
        <v>173505100.14020804</v>
      </c>
    </row>
    <row r="70" spans="1:2" x14ac:dyDescent="0.25">
      <c r="A70">
        <f ca="1">36679.1249091151*((RANDBETWEEN(2979,3282)))</f>
        <v>115319168.714258</v>
      </c>
      <c r="B70">
        <v>192737391.46377566</v>
      </c>
    </row>
    <row r="71" spans="1:2" x14ac:dyDescent="0.25">
      <c r="A71">
        <f ca="1">30502.805488763*((RANDBETWEEN(2979,3282)))</f>
        <v>95077244.708474249</v>
      </c>
      <c r="B71">
        <v>162171475.35010016</v>
      </c>
    </row>
    <row r="72" spans="1:2" x14ac:dyDescent="0.25">
      <c r="A72">
        <f ca="1">31701.4564897868*((RANDBETWEEN(2979,3282)))</f>
        <v>97925799.096951514</v>
      </c>
      <c r="B72">
        <v>199457065.09338489</v>
      </c>
    </row>
    <row r="73" spans="1:2" x14ac:dyDescent="0.25">
      <c r="A73">
        <f ca="1">36110.5880721324*((RANDBETWEEN(2979,3282)))</f>
        <v>109053975.97783978</v>
      </c>
      <c r="B73">
        <v>177845552.7521528</v>
      </c>
    </row>
    <row r="74" spans="1:2" x14ac:dyDescent="0.25">
      <c r="A74">
        <f ca="1">31848.7188969497*((RANDBETWEEN(2979,3282)))</f>
        <v>102170690.22141473</v>
      </c>
      <c r="B74">
        <v>145309440.79314828</v>
      </c>
    </row>
    <row r="75" spans="1:2" x14ac:dyDescent="0.25">
      <c r="A75">
        <f ca="1">38705.8370034135*((RANDBETWEEN(2979,3282)))</f>
        <v>116891627.75030877</v>
      </c>
      <c r="B75">
        <v>146152876.09427196</v>
      </c>
    </row>
    <row r="76" spans="1:2" x14ac:dyDescent="0.25">
      <c r="A76">
        <f ca="1">32090.3477459876*((RANDBETWEEN(2979,3282)))</f>
        <v>100795782.27014704</v>
      </c>
      <c r="B76">
        <v>201543166.28942865</v>
      </c>
    </row>
    <row r="77" spans="1:2" x14ac:dyDescent="0.25">
      <c r="A77">
        <f ca="1">30425.3993943624*((RANDBETWEEN(2979,3282)))</f>
        <v>98760846.43410024</v>
      </c>
      <c r="B77">
        <v>197295214.75291401</v>
      </c>
    </row>
    <row r="78" spans="1:2" x14ac:dyDescent="0.25">
      <c r="A78">
        <f ca="1">30008.6877324323*((RANDBETWEEN(2979,3282)))</f>
        <v>94617392.42035909</v>
      </c>
      <c r="B78">
        <v>156179438.61341739</v>
      </c>
    </row>
    <row r="79" spans="1:2" x14ac:dyDescent="0.25">
      <c r="A79">
        <f ca="1">30328.3515532432*((RANDBETWEEN(2979,3282)))</f>
        <v>94351501.682139546</v>
      </c>
      <c r="B79">
        <v>151690234.43394846</v>
      </c>
    </row>
    <row r="80" spans="1:2" x14ac:dyDescent="0.25">
      <c r="A80">
        <f ca="1">31292.6290634815*((RANDBETWEEN(2979,3282)))</f>
        <v>95505103.901745588</v>
      </c>
      <c r="B80">
        <v>183991231.11839163</v>
      </c>
    </row>
    <row r="81" spans="1:2" x14ac:dyDescent="0.25">
      <c r="A81">
        <f ca="1">30621.7323026068*((RANDBETWEEN(2979,3282)))</f>
        <v>99091925.731235683</v>
      </c>
      <c r="B81">
        <v>183838932.64737844</v>
      </c>
    </row>
    <row r="82" spans="1:2" x14ac:dyDescent="0.25">
      <c r="A82">
        <f ca="1">31982.7464994782*((RANDBETWEEN(2979,3282)))</f>
        <v>96236084.216929764</v>
      </c>
      <c r="B82">
        <v>150504573.48322842</v>
      </c>
    </row>
    <row r="83" spans="1:2" x14ac:dyDescent="0.25">
      <c r="A83">
        <f ca="1">29170.2729467932*((RANDBETWEEN(2979,3282)))</f>
        <v>90165313.67853792</v>
      </c>
      <c r="B83">
        <v>159976508.18406826</v>
      </c>
    </row>
    <row r="84" spans="1:2" x14ac:dyDescent="0.25">
      <c r="A84">
        <f ca="1">33897.840520126*((RANDBETWEEN(2979,3282)))</f>
        <v>101557930.1982975</v>
      </c>
      <c r="B84">
        <v>161498456.41394609</v>
      </c>
    </row>
    <row r="85" spans="1:2" x14ac:dyDescent="0.25">
      <c r="A85">
        <f ca="1">31685.7537950432*((RANDBETWEEN(2979,3282)))</f>
        <v>95405804.676874965</v>
      </c>
      <c r="B85">
        <v>201850024.91413304</v>
      </c>
    </row>
    <row r="86" spans="1:2" x14ac:dyDescent="0.25">
      <c r="A86">
        <f ca="1">37234.5331418316*((RANDBETWEEN(2979,3282)))</f>
        <v>121272874.44294557</v>
      </c>
      <c r="B86">
        <v>161110670.62219101</v>
      </c>
    </row>
    <row r="87" spans="1:2" x14ac:dyDescent="0.25">
      <c r="A87">
        <f ca="1">38638.6599128147*((RANDBETWEEN(2979,3282)))</f>
        <v>125923392.65586299</v>
      </c>
      <c r="B87">
        <v>155737186.49215561</v>
      </c>
    </row>
    <row r="88" spans="1:2" x14ac:dyDescent="0.25">
      <c r="A88">
        <f ca="1">31521.7505102183*((RANDBETWEEN(2979,3282)))</f>
        <v>95195686.540859118</v>
      </c>
      <c r="B88">
        <v>148590460.58479193</v>
      </c>
    </row>
    <row r="89" spans="1:2" x14ac:dyDescent="0.25">
      <c r="A89">
        <f ca="1">34467.2709491245*((RANDBETWEEN(2979,3282)))</f>
        <v>111639490.60421419</v>
      </c>
      <c r="B89">
        <v>170957045.14735916</v>
      </c>
    </row>
    <row r="90" spans="1:2" x14ac:dyDescent="0.25">
      <c r="A90">
        <f ca="1">31709.6974665306*((RANDBETWEEN(2979,3282)))</f>
        <v>95065673.004658863</v>
      </c>
      <c r="B90">
        <v>157478866.63394091</v>
      </c>
    </row>
    <row r="91" spans="1:2" x14ac:dyDescent="0.25">
      <c r="A91">
        <f ca="1">34346.2184975138*((RANDBETWEEN(2979,3282)))</f>
        <v>103931657.17347679</v>
      </c>
      <c r="B91">
        <v>171221193.75357619</v>
      </c>
    </row>
    <row r="92" spans="1:2" x14ac:dyDescent="0.25">
      <c r="A92">
        <f ca="1">34687.6657442087*((RANDBETWEEN(2979,3282)))</f>
        <v>109231459.42851314</v>
      </c>
      <c r="B92">
        <v>174967960.28837973</v>
      </c>
    </row>
    <row r="93" spans="1:2" x14ac:dyDescent="0.25">
      <c r="A93">
        <f ca="1">30815.8876814028*((RANDBETWEEN(2979,3282)))</f>
        <v>100860400.38123143</v>
      </c>
      <c r="B93">
        <v>185556458.0445118</v>
      </c>
    </row>
    <row r="94" spans="1:2" x14ac:dyDescent="0.25">
      <c r="A94">
        <f ca="1">43738.5159420903*((RANDBETWEEN(2979,3282)))</f>
        <v>141975222.74802515</v>
      </c>
      <c r="B94">
        <v>164516184.46842766</v>
      </c>
    </row>
    <row r="95" spans="1:2" x14ac:dyDescent="0.25">
      <c r="A95">
        <f ca="1">28561.7517426484*((RANDBETWEEN(2979,3282)))</f>
        <v>89112665.437063009</v>
      </c>
      <c r="B95">
        <v>148199210.56974173</v>
      </c>
    </row>
    <row r="96" spans="1:2" x14ac:dyDescent="0.25">
      <c r="A96">
        <f ca="1">31865.9016583539*((RANDBETWEEN(2979,3282)))</f>
        <v>103022460.06145807</v>
      </c>
      <c r="B96">
        <v>143747457.77552277</v>
      </c>
    </row>
    <row r="97" spans="1:2" x14ac:dyDescent="0.25">
      <c r="A97">
        <f ca="1">31924.2414200447*((RANDBETWEEN(2979,3282)))</f>
        <v>96315436.364274785</v>
      </c>
      <c r="B97">
        <v>171870718.34457743</v>
      </c>
    </row>
    <row r="98" spans="1:2" x14ac:dyDescent="0.25">
      <c r="A98">
        <f ca="1">31099.741472898*((RANDBETWEEN(2979,3282)))</f>
        <v>95196308.648540914</v>
      </c>
      <c r="B98">
        <v>172579476.45696419</v>
      </c>
    </row>
    <row r="99" spans="1:2" x14ac:dyDescent="0.25">
      <c r="A99">
        <f ca="1">32423.4823821941*((RANDBETWEEN(2979,3282)))</f>
        <v>101874581.64485386</v>
      </c>
      <c r="B99">
        <v>195001774.74221683</v>
      </c>
    </row>
    <row r="100" spans="1:2" x14ac:dyDescent="0.25">
      <c r="A100">
        <f ca="1">36231.4001729569*((RANDBETWEEN(2979,3282)))</f>
        <v>118331752.9648772</v>
      </c>
      <c r="B100">
        <v>173000862.6037364</v>
      </c>
    </row>
    <row r="101" spans="1:2" x14ac:dyDescent="0.25">
      <c r="A101">
        <f ca="1">33247.894150172*((RANDBETWEEN(2979,3282)))</f>
        <v>100375392.43936914</v>
      </c>
      <c r="B101">
        <v>160480680.04848331</v>
      </c>
    </row>
    <row r="102" spans="1:2" x14ac:dyDescent="0.25">
      <c r="A102">
        <f ca="1">40893.2806765496*((RANDBETWEEN(2979,3282)))</f>
        <v>125256118.71227157</v>
      </c>
      <c r="B102">
        <v>164014411.107039</v>
      </c>
    </row>
    <row r="103" spans="1:2" x14ac:dyDescent="0.25">
      <c r="A103">
        <f ca="1">30119.5832844995*((RANDBETWEEN(2979,3282)))</f>
        <v>90147912.770506904</v>
      </c>
      <c r="B103">
        <v>197961073.32544932</v>
      </c>
    </row>
    <row r="104" spans="1:2" x14ac:dyDescent="0.25">
      <c r="A104">
        <f ca="1">33043.3863275778*((RANDBETWEEN(2979,3282)))</f>
        <v>108217090.22281724</v>
      </c>
      <c r="B104">
        <v>179712023.03160393</v>
      </c>
    </row>
    <row r="105" spans="1:2" x14ac:dyDescent="0.25">
      <c r="A105">
        <f ca="1">35495.9178733885*((RANDBETWEEN(2979,3282)))</f>
        <v>111457182.12243994</v>
      </c>
      <c r="B105">
        <v>150624597.62076014</v>
      </c>
    </row>
    <row r="106" spans="1:2" x14ac:dyDescent="0.25">
      <c r="A106">
        <f ca="1">34732.9543617593*((RANDBETWEEN(2979,3282)))</f>
        <v>103816800.58729856</v>
      </c>
      <c r="B106">
        <v>161721394.54042518</v>
      </c>
    </row>
    <row r="107" spans="1:2" x14ac:dyDescent="0.25">
      <c r="A107">
        <f ca="1">33026.3159049942*((RANDBETWEEN(2979,3282)))</f>
        <v>99178026.662697569</v>
      </c>
      <c r="B107">
        <v>156180011.12208575</v>
      </c>
    </row>
    <row r="108" spans="1:2" x14ac:dyDescent="0.25">
      <c r="A108">
        <f ca="1">30515.711941375*((RANDBETWEEN(2979,3282)))</f>
        <v>98504718.146758407</v>
      </c>
      <c r="B108">
        <v>154978777.53047806</v>
      </c>
    </row>
    <row r="109" spans="1:2" x14ac:dyDescent="0.25">
      <c r="A109">
        <f ca="1">32593.7687677663*((RANDBETWEEN(2979,3282)))</f>
        <v>97683524.996995687</v>
      </c>
      <c r="B109">
        <v>153791050.26262707</v>
      </c>
    </row>
    <row r="110" spans="1:2" x14ac:dyDescent="0.25">
      <c r="A110">
        <f ca="1">31659.733790067*((RANDBETWEEN(2979,3282)))</f>
        <v>103052433.48666821</v>
      </c>
      <c r="B110">
        <v>170725918.28200164</v>
      </c>
    </row>
    <row r="111" spans="1:2" x14ac:dyDescent="0.25">
      <c r="A111">
        <f ca="1">32789.6222087096*((RANDBETWEEN(2979,3282)))</f>
        <v>97778653.426372096</v>
      </c>
      <c r="B111">
        <v>149996585.60252774</v>
      </c>
    </row>
    <row r="112" spans="1:2" x14ac:dyDescent="0.25">
      <c r="A112">
        <f ca="1">35661.9188690722*((RANDBETWEEN(2979,3282)))</f>
        <v>108840176.38840842</v>
      </c>
      <c r="B112">
        <v>169124618.45656916</v>
      </c>
    </row>
    <row r="113" spans="1:2" x14ac:dyDescent="0.25">
      <c r="A113">
        <f ca="1">31436.5747138489*((RANDBETWEEN(2979,3282)))</f>
        <v>97044706.141651511</v>
      </c>
      <c r="B113">
        <v>150339706.38864064</v>
      </c>
    </row>
    <row r="114" spans="1:2" x14ac:dyDescent="0.25">
      <c r="A114">
        <f ca="1">30800.507333589*((RANDBETWEEN(2979,3282)))</f>
        <v>97760810.276811644</v>
      </c>
      <c r="B114">
        <v>162654117.59239978</v>
      </c>
    </row>
    <row r="115" spans="1:2" x14ac:dyDescent="0.25">
      <c r="A115">
        <f ca="1">27789.0093664429*((RANDBETWEEN(2979,3282)))</f>
        <v>89091564.028815895</v>
      </c>
      <c r="B115">
        <v>145253457.85491472</v>
      </c>
    </row>
    <row r="116" spans="1:2" x14ac:dyDescent="0.25">
      <c r="A116">
        <f ca="1">32219.4278051875*((RANDBETWEEN(2979,3282)))</f>
        <v>96497186.276536539</v>
      </c>
      <c r="B116">
        <v>166132270.33065781</v>
      </c>
    </row>
    <row r="117" spans="1:2" x14ac:dyDescent="0.25">
      <c r="A117">
        <f ca="1">33539.2117758408*((RANDBETWEEN(2979,3282)))</f>
        <v>100181625.57443652</v>
      </c>
      <c r="B117">
        <v>171167564.03788733</v>
      </c>
    </row>
    <row r="118" spans="1:2" x14ac:dyDescent="0.25">
      <c r="A118">
        <f ca="1">30356.7732090062*((RANDBETWEEN(2979,3282)))</f>
        <v>96686322.670684904</v>
      </c>
      <c r="B118">
        <v>169216543.27731138</v>
      </c>
    </row>
    <row r="119" spans="1:2" x14ac:dyDescent="0.25">
      <c r="A119">
        <f ca="1">30065.6642838652*((RANDBETWEEN(2979,3282)))</f>
        <v>91820538.722924262</v>
      </c>
      <c r="B119">
        <v>172649878.89597154</v>
      </c>
    </row>
    <row r="120" spans="1:2" x14ac:dyDescent="0.25">
      <c r="A120">
        <f ca="1">38403.075063077*((RANDBETWEEN(2979,3282)))</f>
        <v>122352197.15096328</v>
      </c>
      <c r="B120">
        <v>143766659.14591625</v>
      </c>
    </row>
    <row r="121" spans="1:2" x14ac:dyDescent="0.25">
      <c r="A121">
        <f ca="1">33134.4579109306*((RANDBETWEEN(2979,3282)))</f>
        <v>102219802.65522103</v>
      </c>
      <c r="B121">
        <v>194385133.92966023</v>
      </c>
    </row>
    <row r="122" spans="1:2" x14ac:dyDescent="0.25">
      <c r="A122">
        <f ca="1">31146.7846185061*((RANDBETWEEN(2979,3282)))</f>
        <v>98641866.886808872</v>
      </c>
      <c r="B122">
        <v>146125812.95724547</v>
      </c>
    </row>
    <row r="123" spans="1:2" x14ac:dyDescent="0.25">
      <c r="A123">
        <f ca="1">37074.0202716302*((RANDBETWEEN(2979,3282)))</f>
        <v>110628876.49054469</v>
      </c>
      <c r="B123">
        <v>166403083.29670689</v>
      </c>
    </row>
    <row r="124" spans="1:2" x14ac:dyDescent="0.25">
      <c r="A124">
        <f ca="1">38318.6367293748*((RANDBETWEEN(2979,3282)))</f>
        <v>115454052.46560639</v>
      </c>
      <c r="B124">
        <v>156248811.32178652</v>
      </c>
    </row>
    <row r="125" spans="1:2" x14ac:dyDescent="0.25">
      <c r="A125">
        <f ca="1">31904.2018594072*((RANDBETWEEN(2979,3282)))</f>
        <v>95935934.991237432</v>
      </c>
      <c r="B125">
        <v>171988765.82002819</v>
      </c>
    </row>
    <row r="126" spans="1:2" x14ac:dyDescent="0.25">
      <c r="A126">
        <f ca="1">29898.7493174892*((RANDBETWEEN(2979,3282)))</f>
        <v>98127695.259999499</v>
      </c>
      <c r="B126">
        <v>174817076.7120094</v>
      </c>
    </row>
    <row r="127" spans="1:2" x14ac:dyDescent="0.25">
      <c r="A127">
        <f ca="1">30480.7535245136*((RANDBETWEEN(2979,3282)))</f>
        <v>97751776.553115234</v>
      </c>
      <c r="B127">
        <v>146810020.47132206</v>
      </c>
    </row>
    <row r="128" spans="1:2" x14ac:dyDescent="0.25">
      <c r="A128">
        <f ca="1">37604.6683725722*((RANDBETWEEN(2979,3282)))</f>
        <v>117251355.9856801</v>
      </c>
      <c r="B128">
        <v>183334621.87653935</v>
      </c>
    </row>
    <row r="129" spans="1:2" x14ac:dyDescent="0.25">
      <c r="A129">
        <f ca="1">31238.6132159297*((RANDBETWEEN(2979,3282)))</f>
        <v>94590520.817835197</v>
      </c>
      <c r="B129">
        <v>155694813.81035107</v>
      </c>
    </row>
    <row r="130" spans="1:2" x14ac:dyDescent="0.25">
      <c r="A130">
        <f ca="1">35592.2924762605*((RANDBETWEEN(2979,3282)))</f>
        <v>106563323.67392406</v>
      </c>
      <c r="B130">
        <v>156162286.96510175</v>
      </c>
    </row>
    <row r="131" spans="1:2" x14ac:dyDescent="0.25">
      <c r="A131">
        <f ca="1">37952.1755955033*((RANDBETWEEN(2979,3282)))</f>
        <v>116133657.32224001</v>
      </c>
      <c r="B131">
        <v>146030262.122738</v>
      </c>
    </row>
    <row r="132" spans="1:2" x14ac:dyDescent="0.25">
      <c r="A132">
        <f ca="1">32619.9691981674*((RANDBETWEEN(2979,3282)))</f>
        <v>99849725.715590328</v>
      </c>
      <c r="B132">
        <v>199634044.4113903</v>
      </c>
    </row>
    <row r="133" spans="1:2" x14ac:dyDescent="0.25">
      <c r="A133">
        <f ca="1">30873.5025902543*((RANDBETWEEN(2979,3282)))</f>
        <v>94102435.895094961</v>
      </c>
      <c r="B133">
        <v>161066075.37530649</v>
      </c>
    </row>
    <row r="134" spans="1:2" x14ac:dyDescent="0.25">
      <c r="A134">
        <f ca="1">27780.9843926868*((RANDBETWEEN(2979,3282)))</f>
        <v>88649121.197063506</v>
      </c>
      <c r="B134">
        <v>152572987.94382215</v>
      </c>
    </row>
    <row r="135" spans="1:2" x14ac:dyDescent="0.25">
      <c r="A135">
        <f ca="1">30422.3788086407*((RANDBETWEEN(2979,3282)))</f>
        <v>94583175.716064036</v>
      </c>
      <c r="B135">
        <v>199007739.6630035</v>
      </c>
    </row>
    <row r="136" spans="1:2" x14ac:dyDescent="0.25">
      <c r="A136">
        <f ca="1">32964.7220208467*((RANDBETWEEN(2979,3282)))</f>
        <v>105223392.69054268</v>
      </c>
      <c r="B136">
        <v>188050098.05672899</v>
      </c>
    </row>
    <row r="137" spans="1:2" x14ac:dyDescent="0.25">
      <c r="A137">
        <f ca="1">29020.4324278762*((RANDBETWEEN(2979,3282)))</f>
        <v>95157997.93100591</v>
      </c>
      <c r="B137">
        <v>180266572.97900614</v>
      </c>
    </row>
    <row r="138" spans="1:2" x14ac:dyDescent="0.25">
      <c r="A138">
        <f ca="1">35796.8128518055*((RANDBETWEEN(2979,3282)))</f>
        <v>107998984.37389731</v>
      </c>
      <c r="B138">
        <v>152989449.07838473</v>
      </c>
    </row>
    <row r="139" spans="1:2" x14ac:dyDescent="0.25">
      <c r="A139">
        <f ca="1">29445.0972225132*((RANDBETWEEN(2979,3282)))</f>
        <v>87952505.403646976</v>
      </c>
      <c r="B139">
        <v>150572163.87076956</v>
      </c>
    </row>
    <row r="140" spans="1:2" x14ac:dyDescent="0.25">
      <c r="A140">
        <f ca="1">33426.8157272087*((RANDBETWEEN(2979,3282)))</f>
        <v>101149544.39053363</v>
      </c>
      <c r="B140">
        <v>190412042.15955964</v>
      </c>
    </row>
    <row r="141" spans="1:2" x14ac:dyDescent="0.25">
      <c r="A141">
        <f ca="1">29537.6553114115*((RANDBETWEEN(2979,3282)))</f>
        <v>89115106.074528575</v>
      </c>
      <c r="B141">
        <v>167070993.64619482</v>
      </c>
    </row>
    <row r="142" spans="1:2" x14ac:dyDescent="0.25">
      <c r="A142">
        <f ca="1">31870.3586673877*((RANDBETWEEN(2979,3282)))</f>
        <v>96917760.707526118</v>
      </c>
      <c r="B142">
        <v>150787190.91475868</v>
      </c>
    </row>
    <row r="143" spans="1:2" x14ac:dyDescent="0.25">
      <c r="A143">
        <f ca="1">39350.6904282124*((RANDBETWEEN(2979,3282)))</f>
        <v>121042723.75718135</v>
      </c>
      <c r="B143">
        <v>201277902.40418646</v>
      </c>
    </row>
    <row r="144" spans="1:2" x14ac:dyDescent="0.25">
      <c r="A144">
        <f ca="1">30998.8552237626*((RANDBETWEEN(2979,3282)))</f>
        <v>100529287.49066195</v>
      </c>
      <c r="B144">
        <v>176068525.67786431</v>
      </c>
    </row>
    <row r="145" spans="1:2" x14ac:dyDescent="0.25">
      <c r="A145">
        <f ca="1">30884.6298946595*((RANDBETWEEN(2979,3282)))</f>
        <v>96205622.121864274</v>
      </c>
      <c r="B145">
        <v>151614813.41197243</v>
      </c>
    </row>
    <row r="146" spans="1:2" x14ac:dyDescent="0.25">
      <c r="A146">
        <f ca="1">37836.9108996872*((RANDBETWEEN(2979,3282)))</f>
        <v>123764535.55287686</v>
      </c>
      <c r="B146">
        <v>146523963.60480809</v>
      </c>
    </row>
    <row r="147" spans="1:2" x14ac:dyDescent="0.25">
      <c r="A147">
        <f ca="1">28245.6688635648*((RANDBETWEEN(2979,3282)))</f>
        <v>88776137.238184258</v>
      </c>
      <c r="B147">
        <v>148428450.38508737</v>
      </c>
    </row>
    <row r="148" spans="1:2" x14ac:dyDescent="0.25">
      <c r="A148">
        <f ca="1">31902.0830762968*((RANDBETWEEN(2979,3282)))</f>
        <v>96312388.80734013</v>
      </c>
      <c r="B148">
        <v>145505888.9172582</v>
      </c>
    </row>
    <row r="149" spans="1:2" x14ac:dyDescent="0.25">
      <c r="A149">
        <f ca="1">34760.284860898*((RANDBETWEEN(2979,3282)))</f>
        <v>106088389.39546084</v>
      </c>
      <c r="B149">
        <v>199502543.03347522</v>
      </c>
    </row>
    <row r="150" spans="1:2" x14ac:dyDescent="0.25">
      <c r="A150">
        <f ca="1">31005.6517986079*((RANDBETWEEN(2979,3282)))</f>
        <v>93233994.958413959</v>
      </c>
      <c r="B150">
        <v>150542884.94362521</v>
      </c>
    </row>
    <row r="151" spans="1:2" x14ac:dyDescent="0.25">
      <c r="A151">
        <f ca="1">28712.0824426309*((RANDBETWEEN(2979,3282)))</f>
        <v>94032069.999616086</v>
      </c>
      <c r="B151">
        <v>186962163.34206119</v>
      </c>
    </row>
    <row r="152" spans="1:2" x14ac:dyDescent="0.25">
      <c r="A152">
        <f ca="1">35921.6519942736*((RANDBETWEEN(2979,3282)))</f>
        <v>108914448.84663762</v>
      </c>
      <c r="B152">
        <v>194951860.5595938</v>
      </c>
    </row>
    <row r="153" spans="1:2" x14ac:dyDescent="0.25">
      <c r="A153">
        <f ca="1">27460.9232017881*((RANDBETWEEN(2979,3282)))</f>
        <v>85870306.851991385</v>
      </c>
      <c r="B153">
        <v>185283349.44185683</v>
      </c>
    </row>
    <row r="154" spans="1:2" x14ac:dyDescent="0.25">
      <c r="A154">
        <f ca="1">42223.2963084495*((RANDBETWEEN(2979,3282)))</f>
        <v>133974519.18671024</v>
      </c>
      <c r="B154">
        <v>190326354.00534147</v>
      </c>
    </row>
    <row r="155" spans="1:2" x14ac:dyDescent="0.25">
      <c r="A155">
        <f ca="1">32707.9686178598*((RANDBETWEEN(2979,3282)))</f>
        <v>101263870.84089409</v>
      </c>
      <c r="B155">
        <v>174556694.54794499</v>
      </c>
    </row>
    <row r="156" spans="1:2" x14ac:dyDescent="0.25">
      <c r="A156">
        <f ca="1">32534.4676930711*((RANDBETWEEN(2979,3282)))</f>
        <v>102353435.36240169</v>
      </c>
      <c r="B156">
        <v>164359585.79007426</v>
      </c>
    </row>
    <row r="157" spans="1:2" x14ac:dyDescent="0.25">
      <c r="A157">
        <f ca="1">30408.7330345033*((RANDBETWEEN(2979,3282)))</f>
        <v>96973449.647030964</v>
      </c>
      <c r="B157">
        <v>161259888.83098373</v>
      </c>
    </row>
    <row r="158" spans="1:2" x14ac:dyDescent="0.25">
      <c r="A158">
        <f ca="1">40778.2944049424*((RANDBETWEEN(2979,3282)))</f>
        <v>125719481.6504375</v>
      </c>
      <c r="B158">
        <v>151110197.51908046</v>
      </c>
    </row>
    <row r="159" spans="1:2" x14ac:dyDescent="0.25">
      <c r="A159">
        <f ca="1">41060.5711240529*((RANDBETWEEN(2979,3282)))</f>
        <v>131188524.74134886</v>
      </c>
      <c r="B159">
        <v>170238552.06512627</v>
      </c>
    </row>
    <row r="160" spans="1:2" x14ac:dyDescent="0.25">
      <c r="A160">
        <f ca="1">31612.047345594*((RANDBETWEEN(2979,3282)))</f>
        <v>101695956.3107758</v>
      </c>
      <c r="B160">
        <v>194453878.05076873</v>
      </c>
    </row>
    <row r="161" spans="1:2" x14ac:dyDescent="0.25">
      <c r="A161">
        <f ca="1">31446.7949083239*((RANDBETWEEN(2979,3282)))</f>
        <v>93805789.211530328</v>
      </c>
      <c r="B161">
        <v>182150310.59979743</v>
      </c>
    </row>
    <row r="162" spans="1:2" x14ac:dyDescent="0.25">
      <c r="A162">
        <f ca="1">31557.4291825579*((RANDBETWEEN(2979,3282)))</f>
        <v>99563689.070970267</v>
      </c>
      <c r="B162">
        <v>147140401.26296744</v>
      </c>
    </row>
    <row r="163" spans="1:2" x14ac:dyDescent="0.25">
      <c r="A163">
        <f ca="1">31968.6436908262*((RANDBETWEEN(2979,3282)))</f>
        <v>96769084.452131003</v>
      </c>
      <c r="B163">
        <v>149929968.5708915</v>
      </c>
    </row>
    <row r="164" spans="1:2" x14ac:dyDescent="0.25">
      <c r="A164">
        <f ca="1">30778.2564563154*((RANDBETWEEN(2979,3282)))</f>
        <v>99105985.78933543</v>
      </c>
      <c r="B164">
        <v>170324265.23296994</v>
      </c>
    </row>
    <row r="165" spans="1:2" x14ac:dyDescent="0.25">
      <c r="A165">
        <f ca="1">29030.458710749*((RANDBETWEEN(2979,3282)))</f>
        <v>92171706.406628057</v>
      </c>
      <c r="B165">
        <v>155856590.77211314</v>
      </c>
    </row>
    <row r="166" spans="1:2" x14ac:dyDescent="0.25">
      <c r="A166">
        <f ca="1">38238.7296624833*((RANDBETWEEN(2979,3282)))</f>
        <v>114754427.71711229</v>
      </c>
      <c r="B166">
        <v>169149866.9791618</v>
      </c>
    </row>
    <row r="167" spans="1:2" x14ac:dyDescent="0.25">
      <c r="A167">
        <f ca="1">30834.8817936483*((RANDBETWEEN(2979,3282)))</f>
        <v>92627984.90811941</v>
      </c>
      <c r="B167">
        <v>152690174.78519291</v>
      </c>
    </row>
    <row r="168" spans="1:2" x14ac:dyDescent="0.25">
      <c r="A168">
        <f ca="1">30070.0943440006*((RANDBETWEEN(2979,3282)))</f>
        <v>93848764.447625935</v>
      </c>
      <c r="B168">
        <v>146356559.5814718</v>
      </c>
    </row>
    <row r="169" spans="1:2" x14ac:dyDescent="0.25">
      <c r="A169">
        <f ca="1">32561.0779070077*((RANDBETWEEN(2979,3282)))</f>
        <v>104000082.83498265</v>
      </c>
      <c r="B169">
        <v>145544769.52712008</v>
      </c>
    </row>
    <row r="170" spans="1:2" x14ac:dyDescent="0.25">
      <c r="A170">
        <f ca="1">30473.2460563642*((RANDBETWEEN(2979,3282)))</f>
        <v>91145478.954585269</v>
      </c>
      <c r="B170">
        <v>148927151.81352732</v>
      </c>
    </row>
    <row r="171" spans="1:2" x14ac:dyDescent="0.25">
      <c r="A171">
        <f ca="1">31309.7075083522*((RANDBETWEEN(2979,3282)))</f>
        <v>98500339.821275964</v>
      </c>
      <c r="B171">
        <v>165460046.66557717</v>
      </c>
    </row>
    <row r="172" spans="1:2" x14ac:dyDescent="0.25">
      <c r="A172">
        <f ca="1">32604.6399752809*((RANDBETWEEN(2979,3282)))</f>
        <v>100161454.00406285</v>
      </c>
      <c r="B172">
        <v>150874645.13443989</v>
      </c>
    </row>
    <row r="173" spans="1:2" x14ac:dyDescent="0.25">
      <c r="A173">
        <f ca="1">36160.4330247633*((RANDBETWEEN(2979,3282)))</f>
        <v>118063813.8258521</v>
      </c>
      <c r="B173">
        <v>155649501.56345809</v>
      </c>
    </row>
    <row r="174" spans="1:2" x14ac:dyDescent="0.25">
      <c r="A174">
        <f ca="1">31929.8761507427*((RANDBETWEEN(2979,3282)))</f>
        <v>100387530.61793493</v>
      </c>
      <c r="B174">
        <v>162483920.07353383</v>
      </c>
    </row>
    <row r="175" spans="1:2" x14ac:dyDescent="0.25">
      <c r="A175">
        <f ca="1">39282.0820762631*((RANDBETWEEN(2979,3282)))</f>
        <v>118435477.45993331</v>
      </c>
      <c r="B175">
        <v>181579776.55743799</v>
      </c>
    </row>
    <row r="176" spans="1:2" x14ac:dyDescent="0.25">
      <c r="A176">
        <f ca="1">29743.4728255534*((RANDBETWEEN(2979,3282)))</f>
        <v>89974005.297298968</v>
      </c>
      <c r="B176">
        <v>144895998.85194546</v>
      </c>
    </row>
    <row r="177" spans="1:2" x14ac:dyDescent="0.25">
      <c r="A177">
        <f ca="1">30981.1825490567*((RANDBETWEEN(2979,3282)))</f>
        <v>93408265.385405943</v>
      </c>
      <c r="B177">
        <v>175242561.4390232</v>
      </c>
    </row>
    <row r="178" spans="1:2" x14ac:dyDescent="0.25">
      <c r="A178">
        <f ca="1">30603.4743255733*((RANDBETWEEN(2979,3282)))</f>
        <v>94197493.974114686</v>
      </c>
      <c r="B178">
        <v>163068719.25848943</v>
      </c>
    </row>
    <row r="179" spans="1:2" x14ac:dyDescent="0.25">
      <c r="A179">
        <f ca="1">30873.5948813899*((RANDBETWEEN(2979,3282)))</f>
        <v>98672009.240922228</v>
      </c>
      <c r="B179">
        <v>199558391.30580854</v>
      </c>
    </row>
    <row r="180" spans="1:2" x14ac:dyDescent="0.25">
      <c r="A180">
        <f ca="1">31722.149162465*((RANDBETWEEN(2979,3282)))</f>
        <v>101352266.57407558</v>
      </c>
      <c r="B180">
        <v>177582461.47967073</v>
      </c>
    </row>
    <row r="181" spans="1:2" x14ac:dyDescent="0.25">
      <c r="A181">
        <f ca="1">31594.906285175*((RANDBETWEEN(2979,3282)))</f>
        <v>100124258.01771969</v>
      </c>
      <c r="B181">
        <v>161333890.89659023</v>
      </c>
    </row>
    <row r="182" spans="1:2" x14ac:dyDescent="0.25">
      <c r="A182">
        <f ca="1">36388.4623086694*((RANDBETWEEN(2979,3282)))</f>
        <v>108510394.60445212</v>
      </c>
      <c r="B182">
        <v>186337771.81526652</v>
      </c>
    </row>
    <row r="183" spans="1:2" x14ac:dyDescent="0.25">
      <c r="A183">
        <f ca="1">29716.9576406243*((RANDBETWEEN(2979,3282)))</f>
        <v>89448042.498279124</v>
      </c>
      <c r="B183">
        <v>199082009.27711463</v>
      </c>
    </row>
    <row r="184" spans="1:2" x14ac:dyDescent="0.25">
      <c r="A184">
        <f ca="1">29898.9583269448*((RANDBETWEEN(2979,3282)))</f>
        <v>90623742.688969821</v>
      </c>
      <c r="B184">
        <v>191177915.99919093</v>
      </c>
    </row>
    <row r="185" spans="1:2" x14ac:dyDescent="0.25">
      <c r="A185">
        <f ca="1">36603.9134923401*((RANDBETWEEN(2979,3282)))</f>
        <v>113947982.70165479</v>
      </c>
      <c r="B185">
        <v>172303167.01919693</v>
      </c>
    </row>
    <row r="186" spans="1:2" x14ac:dyDescent="0.25">
      <c r="A186">
        <f ca="1">41437.6677985935*((RANDBETWEEN(2979,3282)))</f>
        <v>135211110.02681047</v>
      </c>
      <c r="B186">
        <v>152263072.04690236</v>
      </c>
    </row>
    <row r="187" spans="1:2" x14ac:dyDescent="0.25">
      <c r="A187">
        <f ca="1">32970.1431812705*((RANDBETWEEN(2979,3282)))</f>
        <v>103757040.59145822</v>
      </c>
      <c r="B187">
        <v>155040808.4811635</v>
      </c>
    </row>
    <row r="188" spans="1:2" x14ac:dyDescent="0.25">
      <c r="A188">
        <f ca="1">30480.3888479989*((RANDBETWEEN(2979,3282)))</f>
        <v>99396548.033324361</v>
      </c>
      <c r="B188">
        <v>157009626.35716206</v>
      </c>
    </row>
    <row r="189" spans="1:2" x14ac:dyDescent="0.25">
      <c r="A189">
        <f ca="1">31129.982671339*((RANDBETWEEN(2979,3282)))</f>
        <v>95537916.818339273</v>
      </c>
      <c r="B189">
        <v>167076486.11074317</v>
      </c>
    </row>
    <row r="190" spans="1:2" x14ac:dyDescent="0.25">
      <c r="A190">
        <f ca="1">38100.6461116446*((RANDBETWEEN(2979,3282)))</f>
        <v>117083285.50108375</v>
      </c>
      <c r="B190">
        <v>143588326.93413144</v>
      </c>
    </row>
    <row r="191" spans="1:2" x14ac:dyDescent="0.25">
      <c r="A191">
        <f ca="1">32632.1288418703*((RANDBETWEEN(2979,3282)))</f>
        <v>100702749.60601187</v>
      </c>
      <c r="B191">
        <v>181711291.00729966</v>
      </c>
    </row>
    <row r="192" spans="1:2" x14ac:dyDescent="0.25">
      <c r="A192">
        <f ca="1">38733.7052690637*((RANDBETWEEN(2979,3282)))</f>
        <v>115697577.63869338</v>
      </c>
      <c r="B192">
        <v>151456236.17347717</v>
      </c>
    </row>
    <row r="193" spans="1:2" x14ac:dyDescent="0.25">
      <c r="A193">
        <f ca="1">32150.4012268617*((RANDBETWEEN(2979,3282)))</f>
        <v>104488803.98730063</v>
      </c>
      <c r="B193">
        <v>149216130.34848791</v>
      </c>
    </row>
    <row r="194" spans="1:2" x14ac:dyDescent="0.25">
      <c r="A194">
        <f ca="1">29419.4187964623*((RANDBETWEEN(2979,3282)))</f>
        <v>96230918.883228302</v>
      </c>
      <c r="B194">
        <v>186030316.59429753</v>
      </c>
    </row>
    <row r="195" spans="1:2" x14ac:dyDescent="0.25">
      <c r="A195">
        <f ca="1">32476.3205279059*((RANDBETWEEN(2979,3282)))</f>
        <v>98143440.635331556</v>
      </c>
      <c r="B195">
        <v>169798241.98073807</v>
      </c>
    </row>
    <row r="196" spans="1:2" x14ac:dyDescent="0.25">
      <c r="A196">
        <f ca="1">30251.9000148845*((RANDBETWEEN(2979,3282)))</f>
        <v>97834644.648136392</v>
      </c>
      <c r="B196">
        <v>153124336.82327071</v>
      </c>
    </row>
    <row r="197" spans="1:2" x14ac:dyDescent="0.25">
      <c r="A197">
        <f ca="1">32676.1439545031*((RANDBETWEEN(2979,3282)))</f>
        <v>97734346.567918763</v>
      </c>
      <c r="B197">
        <v>197044052.91659251</v>
      </c>
    </row>
    <row r="198" spans="1:2" x14ac:dyDescent="0.25">
      <c r="A198">
        <f ca="1">39104.030851132*((RANDBETWEEN(2979,3282)))</f>
        <v>122200096.40978746</v>
      </c>
      <c r="B198">
        <v>188711834.53962827</v>
      </c>
    </row>
    <row r="199" spans="1:2" x14ac:dyDescent="0.25">
      <c r="A199">
        <f ca="1">32461.8714314135*((RANDBETWEEN(2979,3282)))</f>
        <v>103650755.48050322</v>
      </c>
      <c r="B199">
        <v>193698309.84621909</v>
      </c>
    </row>
    <row r="200" spans="1:2" x14ac:dyDescent="0.25">
      <c r="A200">
        <f ca="1">33389.4695652291*((RANDBETWEEN(2979,3282)))</f>
        <v>108282049.80003794</v>
      </c>
      <c r="B200">
        <v>191545539.48143533</v>
      </c>
    </row>
    <row r="201" spans="1:2" x14ac:dyDescent="0.25">
      <c r="A201">
        <f ca="1">32900.0379585243*((RANDBETWEEN(2979,3282)))</f>
        <v>101036016.57062824</v>
      </c>
      <c r="B201">
        <v>168419687.81139556</v>
      </c>
    </row>
    <row r="202" spans="1:2" x14ac:dyDescent="0.25">
      <c r="A202">
        <f ca="1">33148.7592557468*((RANDBETWEEN(2979,3282)))</f>
        <v>108761079.11810514</v>
      </c>
      <c r="B202">
        <v>185783716.59808052</v>
      </c>
    </row>
    <row r="203" spans="1:2" x14ac:dyDescent="0.25">
      <c r="A203">
        <f ca="1">33691.3389172319*((RANDBETWEEN(2979,3282)))</f>
        <v>107273223.11246628</v>
      </c>
      <c r="B203">
        <v>202868496.3685728</v>
      </c>
    </row>
    <row r="204" spans="1:2" x14ac:dyDescent="0.25">
      <c r="A204">
        <f ca="1">39402.7443094721*((RANDBETWEEN(2979,3282)))</f>
        <v>123764019.87605171</v>
      </c>
      <c r="B204">
        <v>149804835.72746906</v>
      </c>
    </row>
    <row r="205" spans="1:2" x14ac:dyDescent="0.25">
      <c r="A205">
        <f ca="1">36309.0374751889*((RANDBETWEEN(2979,3282)))</f>
        <v>114337159.00936992</v>
      </c>
      <c r="B205">
        <v>175893046.80796438</v>
      </c>
    </row>
    <row r="206" spans="1:2" x14ac:dyDescent="0.25">
      <c r="A206">
        <f ca="1">39017.5408763153*((RANDBETWEEN(2979,3282)))</f>
        <v>120095990.81729837</v>
      </c>
      <c r="B206">
        <v>194591138.86794844</v>
      </c>
    </row>
    <row r="207" spans="1:2" x14ac:dyDescent="0.25">
      <c r="A207">
        <f ca="1">38364.9925641055*((RANDBETWEEN(2979,3282)))</f>
        <v>118931476.94872698</v>
      </c>
      <c r="B207">
        <v>145638698.39682361</v>
      </c>
    </row>
    <row r="208" spans="1:2" x14ac:dyDescent="0.25">
      <c r="A208">
        <f ca="1">31498.8671079843*((RANDBETWEEN(2979,3282)))</f>
        <v>95441567.337192312</v>
      </c>
      <c r="B208">
        <v>146988143.0823389</v>
      </c>
    </row>
    <row r="209" spans="1:2" x14ac:dyDescent="0.25">
      <c r="A209">
        <f ca="1">30376.8780380451*((RANDBETWEEN(2979,3282)))</f>
        <v>92102694.211352751</v>
      </c>
      <c r="B209">
        <v>172491559.68149522</v>
      </c>
    </row>
    <row r="210" spans="1:2" x14ac:dyDescent="0.25">
      <c r="A210">
        <f ca="1">28914.1559714519*((RANDBETWEEN(2979,3282)))</f>
        <v>86800296.226298645</v>
      </c>
      <c r="B210">
        <v>154114871.76859912</v>
      </c>
    </row>
    <row r="211" spans="1:2" x14ac:dyDescent="0.25">
      <c r="A211">
        <f ca="1">32177.5750373677*((RANDBETWEEN(2979,3282)))</f>
        <v>100651454.71688625</v>
      </c>
      <c r="B211">
        <v>197786259.75669631</v>
      </c>
    </row>
    <row r="212" spans="1:2" x14ac:dyDescent="0.25">
      <c r="A212">
        <f ca="1">29781.1889209399*((RANDBETWEEN(2979,3282)))</f>
        <v>96491052.103845134</v>
      </c>
      <c r="B212">
        <v>201800908.85955134</v>
      </c>
    </row>
    <row r="213" spans="1:2" x14ac:dyDescent="0.25">
      <c r="A213">
        <f ca="1">32165.2725967425*((RANDBETWEEN(2979,3282)))</f>
        <v>98715221.599402666</v>
      </c>
      <c r="B213">
        <v>146316189.79396185</v>
      </c>
    </row>
    <row r="214" spans="1:2" x14ac:dyDescent="0.25">
      <c r="A214">
        <f ca="1">31223.7306010097*((RANDBETWEEN(2979,3282)))</f>
        <v>99884714.192630157</v>
      </c>
      <c r="B214">
        <v>152583602.1206072</v>
      </c>
    </row>
    <row r="215" spans="1:2" x14ac:dyDescent="0.25">
      <c r="A215">
        <f ca="1">33966.7422345081*((RANDBETWEEN(2979,3282)))</f>
        <v>108557708.18148781</v>
      </c>
      <c r="B215">
        <v>177558249.40117502</v>
      </c>
    </row>
    <row r="216" spans="1:2" x14ac:dyDescent="0.25">
      <c r="A216">
        <f ca="1">29375.1837558412*((RANDBETWEEN(2979,3282)))</f>
        <v>90240564.497944072</v>
      </c>
      <c r="B216">
        <v>152831410.27473938</v>
      </c>
    </row>
    <row r="217" spans="1:2" x14ac:dyDescent="0.25">
      <c r="A217">
        <f ca="1">30878.8067967549*((RANDBETWEEN(2979,3282)))</f>
        <v>100078212.82828267</v>
      </c>
      <c r="B217">
        <v>149560102.65488207</v>
      </c>
    </row>
    <row r="218" spans="1:2" x14ac:dyDescent="0.25">
      <c r="A218">
        <f ca="1">38467.9045711997*((RANDBETWEEN(2979,3282)))</f>
        <v>116519282.9461638</v>
      </c>
      <c r="B218">
        <v>181885233.56995624</v>
      </c>
    </row>
    <row r="219" spans="1:2" x14ac:dyDescent="0.25">
      <c r="A219">
        <f ca="1">36313.6645680243*((RANDBETWEEN(2979,3282)))</f>
        <v>109449385.00802514</v>
      </c>
      <c r="B219">
        <v>151021848.52591145</v>
      </c>
    </row>
    <row r="220" spans="1:2" x14ac:dyDescent="0.25">
      <c r="A220">
        <f ca="1">34817.0208065611*((RANDBETWEEN(2979,3282)))</f>
        <v>106888253.87614271</v>
      </c>
      <c r="B220">
        <v>198065125.79155344</v>
      </c>
    </row>
    <row r="221" spans="1:2" x14ac:dyDescent="0.25">
      <c r="A221">
        <f ca="1">33162.6753978207*((RANDBETWEEN(2979,3282)))</f>
        <v>103865499.34597431</v>
      </c>
      <c r="B221">
        <v>186825345.02155706</v>
      </c>
    </row>
    <row r="222" spans="1:2" x14ac:dyDescent="0.25">
      <c r="A222">
        <f ca="1">39518.3990233916*((RANDBETWEEN(2979,3282)))</f>
        <v>122032816.18423334</v>
      </c>
      <c r="B222">
        <v>171292935.30762711</v>
      </c>
    </row>
    <row r="223" spans="1:2" x14ac:dyDescent="0.25">
      <c r="A223">
        <f ca="1">32299.2905679393*((RANDBETWEEN(2979,3282)))</f>
        <v>104520504.27785158</v>
      </c>
      <c r="B223">
        <v>178003276.87606728</v>
      </c>
    </row>
    <row r="224" spans="1:2" x14ac:dyDescent="0.25">
      <c r="A224">
        <f ca="1">33000.9999056809*((RANDBETWEEN(2979,3282)))</f>
        <v>100818054.71185529</v>
      </c>
      <c r="B224">
        <v>150887080.99550557</v>
      </c>
    </row>
    <row r="225" spans="1:2" x14ac:dyDescent="0.25">
      <c r="A225">
        <f ca="1">37764.0110182235*((RANDBETWEEN(2979,3282)))</f>
        <v>120618251.19220588</v>
      </c>
      <c r="B225">
        <v>177390605.6177538</v>
      </c>
    </row>
    <row r="226" spans="1:2" x14ac:dyDescent="0.25">
      <c r="A226">
        <f ca="1">29198.6218562702*((RANDBETWEEN(2979,3282)))</f>
        <v>93231199.587070763</v>
      </c>
      <c r="B226">
        <v>163236471.91489235</v>
      </c>
    </row>
    <row r="227" spans="1:2" x14ac:dyDescent="0.25">
      <c r="A227">
        <f ca="1">38994.5254340579*((RANDBETWEEN(2979,3282)))</f>
        <v>116242680.31892663</v>
      </c>
      <c r="B227">
        <v>152038450.49410754</v>
      </c>
    </row>
    <row r="228" spans="1:2" x14ac:dyDescent="0.25">
      <c r="A228">
        <f ca="1">32097.4534849142*((RANDBETWEEN(2979,3282)))</f>
        <v>102326681.70990632</v>
      </c>
      <c r="B228">
        <v>144244594.20982397</v>
      </c>
    </row>
    <row r="229" spans="1:2" x14ac:dyDescent="0.25">
      <c r="A229">
        <f ca="1">30942.9982832258*((RANDBETWEEN(2979,3282)))</f>
        <v>97408558.595594957</v>
      </c>
      <c r="B229">
        <v>168792018.58911648</v>
      </c>
    </row>
    <row r="230" spans="1:2" x14ac:dyDescent="0.25">
      <c r="A230">
        <f ca="1">33286.8483830953*((RANDBETWEEN(2979,3282)))</f>
        <v>105219727.73896439</v>
      </c>
      <c r="B230">
        <v>175865396.43145025</v>
      </c>
    </row>
    <row r="231" spans="1:2" x14ac:dyDescent="0.25">
      <c r="A231">
        <f ca="1">33527.8155926979*((RANDBETWEEN(2979,3282)))</f>
        <v>100348752.06894495</v>
      </c>
      <c r="B231">
        <v>153882016.0017724</v>
      </c>
    </row>
    <row r="232" spans="1:2" x14ac:dyDescent="0.25">
      <c r="A232">
        <f ca="1">33804.2622846909*((RANDBETWEEN(2979,3282)))</f>
        <v>108782116.03213546</v>
      </c>
      <c r="B232">
        <v>173546888.35566261</v>
      </c>
    </row>
    <row r="233" spans="1:2" x14ac:dyDescent="0.25">
      <c r="A233">
        <f ca="1">31372.9962290224*((RANDBETWEEN(2979,3282)))</f>
        <v>94997432.581479967</v>
      </c>
      <c r="B233">
        <v>161262285.91774738</v>
      </c>
    </row>
    <row r="234" spans="1:2" x14ac:dyDescent="0.25">
      <c r="A234">
        <f ca="1">37504.7337169689*((RANDBETWEEN(2979,3282)))</f>
        <v>113264295.82524614</v>
      </c>
      <c r="B234">
        <v>161212544.68274471</v>
      </c>
    </row>
    <row r="235" spans="1:2" x14ac:dyDescent="0.25">
      <c r="A235">
        <f ca="1">33834.8531094047*((RANDBETWEEN(2979,3282)))</f>
        <v>106918135.82571873</v>
      </c>
      <c r="B235">
        <v>150058132.96874487</v>
      </c>
    </row>
    <row r="236" spans="1:2" x14ac:dyDescent="0.25">
      <c r="A236">
        <f ca="1">40234.8924184862*((RANDBETWEEN(2979,3282)))</f>
        <v>130240346.75863977</v>
      </c>
      <c r="B236">
        <v>201731857.71141073</v>
      </c>
    </row>
    <row r="237" spans="1:2" x14ac:dyDescent="0.25">
      <c r="A237">
        <f ca="1">34549.8153068541*((RANDBETWEEN(2979,3282)))</f>
        <v>110766707.8737741</v>
      </c>
      <c r="B237">
        <v>144482918.05961627</v>
      </c>
    </row>
    <row r="238" spans="1:2" x14ac:dyDescent="0.25">
      <c r="A238">
        <f ca="1">31802.6278719392*((RANDBETWEEN(2979,3282)))</f>
        <v>102499869.63125995</v>
      </c>
      <c r="B238">
        <v>180703225.57126343</v>
      </c>
    </row>
    <row r="239" spans="1:2" x14ac:dyDescent="0.25">
      <c r="A239">
        <f ca="1">28782.4046411337*((RANDBETWEEN(2979,3282)))</f>
        <v>92765690.158373982</v>
      </c>
      <c r="B239">
        <v>174106925.04925716</v>
      </c>
    </row>
    <row r="240" spans="1:2" x14ac:dyDescent="0.25">
      <c r="A240">
        <f ca="1">31670.6495313951*((RANDBETWEEN(2979,3282)))</f>
        <v>97387247.30904001</v>
      </c>
      <c r="B240">
        <v>193533154.39710674</v>
      </c>
    </row>
    <row r="241" spans="1:2" x14ac:dyDescent="0.25">
      <c r="A241">
        <f ca="1">33390.584071992*((RANDBETWEEN(2979,3282)))</f>
        <v>107617852.46403031</v>
      </c>
      <c r="B241">
        <v>152611476.73936343</v>
      </c>
    </row>
    <row r="242" spans="1:2" x14ac:dyDescent="0.25">
      <c r="A242">
        <f ca="1">28881.9067334783*((RANDBETWEEN(2979,3282)))</f>
        <v>92884212.054866284</v>
      </c>
      <c r="B242">
        <v>194702818.78352219</v>
      </c>
    </row>
    <row r="243" spans="1:2" x14ac:dyDescent="0.25">
      <c r="A243">
        <f ca="1">32720.829958434*((RANDBETWEEN(2979,3282)))</f>
        <v>101761781.17072983</v>
      </c>
      <c r="B243">
        <v>179959549.35090241</v>
      </c>
    </row>
    <row r="244" spans="1:2" x14ac:dyDescent="0.25">
      <c r="A244">
        <f ca="1">32757.7882695249*((RANDBETWEEN(2979,3282)))</f>
        <v>99649191.915894717</v>
      </c>
      <c r="B244">
        <v>188389535.15280837</v>
      </c>
    </row>
    <row r="245" spans="1:2" x14ac:dyDescent="0.25">
      <c r="A245">
        <f ca="1">33334.5699628993*((RANDBETWEEN(2979,3282)))</f>
        <v>102903817.47547005</v>
      </c>
      <c r="B245">
        <v>145498608.82969955</v>
      </c>
    </row>
    <row r="246" spans="1:2" x14ac:dyDescent="0.25">
      <c r="A246">
        <f ca="1">32068.01782065*((RANDBETWEEN(2979,3282)))</f>
        <v>100308759.74299309</v>
      </c>
      <c r="B246">
        <v>187071029.50715852</v>
      </c>
    </row>
    <row r="247" spans="1:2" x14ac:dyDescent="0.25">
      <c r="A247">
        <f ca="1">30784.246859122*((RANDBETWEEN(2979,3282)))</f>
        <v>92629798.799098089</v>
      </c>
      <c r="B247">
        <v>150651840.9286187</v>
      </c>
    </row>
    <row r="248" spans="1:2" x14ac:dyDescent="0.25">
      <c r="A248">
        <f ca="1">30102.3430457526*((RANDBETWEEN(2979,3282)))</f>
        <v>94701971.221937656</v>
      </c>
      <c r="B248">
        <v>193435922.77770185</v>
      </c>
    </row>
    <row r="249" spans="1:2" x14ac:dyDescent="0.25">
      <c r="A249">
        <f ca="1">32231.0930778898*((RANDBETWEEN(2979,3282)))</f>
        <v>104235355.01389575</v>
      </c>
      <c r="B249">
        <v>156902017.83333486</v>
      </c>
    </row>
    <row r="250" spans="1:2" x14ac:dyDescent="0.25">
      <c r="A250">
        <f ca="1">33951.5877030439*((RANDBETWEEN(2979,3282)))</f>
        <v>108577177.47433433</v>
      </c>
      <c r="B250">
        <v>167821631.839084</v>
      </c>
    </row>
    <row r="251" spans="1:2" x14ac:dyDescent="0.25">
      <c r="A251">
        <f ca="1">37867.2237631729*((RANDBETWEEN(2979,3282)))</f>
        <v>115608634.1489668</v>
      </c>
      <c r="B251">
        <v>158569305.64974019</v>
      </c>
    </row>
    <row r="252" spans="1:2" x14ac:dyDescent="0.25">
      <c r="A252">
        <f ca="1">33408.9535402912*((RANDBETWEEN(2979,3282)))</f>
        <v>99792544.22484979</v>
      </c>
      <c r="B252">
        <v>201877718.56515905</v>
      </c>
    </row>
    <row r="253" spans="1:2" x14ac:dyDescent="0.25">
      <c r="A253">
        <f ca="1">39526.3276839982*((RANDBETWEEN(2979,3282)))</f>
        <v>117946561.80905069</v>
      </c>
      <c r="B253">
        <v>150064034.3488313</v>
      </c>
    </row>
    <row r="254" spans="1:2" x14ac:dyDescent="0.25">
      <c r="A254">
        <f ca="1">38450.638174801*((RANDBETWEEN(2979,3282)))</f>
        <v>122811338.33031443</v>
      </c>
      <c r="B254">
        <v>146093796.9700045</v>
      </c>
    </row>
    <row r="255" spans="1:2" x14ac:dyDescent="0.25">
      <c r="A255">
        <f ca="1">36321.8258553276*((RANDBETWEEN(2979,3282)))</f>
        <v>116956279.25415483</v>
      </c>
      <c r="B255">
        <v>155084524.59268361</v>
      </c>
    </row>
    <row r="256" spans="1:2" x14ac:dyDescent="0.25">
      <c r="A256">
        <f ca="1">27805.4894440103*((RANDBETWEEN(2979,3282)))</f>
        <v>86502877.66031599</v>
      </c>
      <c r="B256">
        <v>181078957.38634014</v>
      </c>
    </row>
    <row r="257" spans="1:2" x14ac:dyDescent="0.25">
      <c r="A257">
        <f ca="1">39267.414851933*((RANDBETWEEN(2979,3282)))</f>
        <v>117056163.67361222</v>
      </c>
      <c r="B257">
        <v>166568295.25380284</v>
      </c>
    </row>
    <row r="258" spans="1:2" x14ac:dyDescent="0.25">
      <c r="A258">
        <f ca="1">35742.6374782018*((RANDBETWEEN(2979,3282)))</f>
        <v>112660793.33129194</v>
      </c>
      <c r="B258">
        <v>145976893.09858501</v>
      </c>
    </row>
    <row r="259" spans="1:2" x14ac:dyDescent="0.25">
      <c r="A259">
        <f ca="1">36565.565055439*((RANDBETWEEN(2979,3282)))</f>
        <v>113097292.71647289</v>
      </c>
      <c r="B259">
        <v>177793844.38135698</v>
      </c>
    </row>
    <row r="260" spans="1:2" x14ac:dyDescent="0.25">
      <c r="A260">
        <f ca="1">32827.8476905671*((RANDBETWEEN(2979,3282)))</f>
        <v>107740996.1204412</v>
      </c>
      <c r="B260">
        <v>165598710.5252811</v>
      </c>
    </row>
    <row r="261" spans="1:2" x14ac:dyDescent="0.25">
      <c r="A261">
        <f ca="1">35545.281901763*((RANDBETWEEN(2979,3282)))</f>
        <v>114278081.31416796</v>
      </c>
      <c r="B261">
        <v>152727903.33759287</v>
      </c>
    </row>
    <row r="262" spans="1:2" x14ac:dyDescent="0.25">
      <c r="A262">
        <f ca="1">34968.0268824506*((RANDBETWEEN(2979,3282)))</f>
        <v>108121139.12053718</v>
      </c>
      <c r="B262">
        <v>183716637.31049678</v>
      </c>
    </row>
    <row r="263" spans="1:2" x14ac:dyDescent="0.25">
      <c r="A263">
        <f ca="1">39859.6093481396*((RANDBETWEEN(2979,3282)))</f>
        <v>121771106.55856651</v>
      </c>
      <c r="B263">
        <v>152209190.8053613</v>
      </c>
    </row>
    <row r="264" spans="1:2" x14ac:dyDescent="0.25">
      <c r="A264">
        <f ca="1">34135.2888724676*((RANDBETWEEN(2979,3282)))</f>
        <v>103805413.46117403</v>
      </c>
      <c r="B264">
        <v>194648337.3552638</v>
      </c>
    </row>
    <row r="265" spans="1:2" x14ac:dyDescent="0.25">
      <c r="A265">
        <f ca="1">35066.8718596408*((RANDBETWEEN(2979,3282)))</f>
        <v>110425579.48600879</v>
      </c>
      <c r="B265">
        <v>158492604.92486572</v>
      </c>
    </row>
    <row r="266" spans="1:2" x14ac:dyDescent="0.25">
      <c r="A266">
        <f ca="1">31030.8830936575*((RANDBETWEEN(2979,3282)))</f>
        <v>93868421.358313948</v>
      </c>
      <c r="B266">
        <v>159055619.91918316</v>
      </c>
    </row>
    <row r="267" spans="1:2" x14ac:dyDescent="0.25">
      <c r="A267">
        <f ca="1">32589.9991949388*((RANDBETWEEN(2979,3282)))</f>
        <v>100768277.51075067</v>
      </c>
      <c r="B267">
        <v>192969928.04249474</v>
      </c>
    </row>
    <row r="268" spans="1:2" x14ac:dyDescent="0.25">
      <c r="A268">
        <f ca="1">31746.6482636119*((RANDBETWEEN(2979,3282)))</f>
        <v>97938409.893242612</v>
      </c>
      <c r="B268">
        <v>145193432.62651461</v>
      </c>
    </row>
    <row r="269" spans="1:2" x14ac:dyDescent="0.25">
      <c r="A269">
        <f ca="1">40611.0281752223*((RANDBETWEEN(2979,3282)))</f>
        <v>125163188.83603518</v>
      </c>
      <c r="B269">
        <v>199378999.02281147</v>
      </c>
    </row>
    <row r="270" spans="1:2" x14ac:dyDescent="0.25">
      <c r="A270">
        <f ca="1">33750.289287671*((RANDBETWEEN(2979,3282)))</f>
        <v>110194694.5242459</v>
      </c>
      <c r="B270">
        <v>197722313.85151219</v>
      </c>
    </row>
    <row r="271" spans="1:2" x14ac:dyDescent="0.25">
      <c r="A271">
        <f ca="1">33175.654902503*((RANDBETWEEN(2979,3282)))</f>
        <v>99327910.778093994</v>
      </c>
      <c r="B271">
        <v>156524767.97343081</v>
      </c>
    </row>
    <row r="272" spans="1:2" x14ac:dyDescent="0.25">
      <c r="A272">
        <f ca="1">27890.4587495517*((RANDBETWEEN(2979,3282)))</f>
        <v>85651598.819873273</v>
      </c>
      <c r="B272">
        <v>181289631.1986621</v>
      </c>
    </row>
    <row r="273" spans="1:2" x14ac:dyDescent="0.25">
      <c r="A273">
        <f ca="1">40843.6177739179*((RANDBETWEEN(2979,3282)))</f>
        <v>126084248.06808478</v>
      </c>
      <c r="B273">
        <v>195860404.48434412</v>
      </c>
    </row>
    <row r="274" spans="1:2" x14ac:dyDescent="0.25">
      <c r="A274">
        <f ca="1">30735.0902478568*((RANDBETWEEN(2979,3282)))</f>
        <v>92789237.45827955</v>
      </c>
      <c r="B274">
        <v>170058901.92503351</v>
      </c>
    </row>
    <row r="275" spans="1:2" x14ac:dyDescent="0.25">
      <c r="A275">
        <f ca="1">34957.1299826168*((RANDBETWEEN(2979,3282)))</f>
        <v>113960243.74333078</v>
      </c>
      <c r="B275">
        <v>164623309.97825298</v>
      </c>
    </row>
    <row r="276" spans="1:2" x14ac:dyDescent="0.25">
      <c r="A276">
        <f ca="1">31721.4518992883*((RANDBETWEEN(2979,3282)))</f>
        <v>99066094.281477466</v>
      </c>
      <c r="B276">
        <v>149648463.25144163</v>
      </c>
    </row>
    <row r="277" spans="1:2" x14ac:dyDescent="0.25">
      <c r="A277">
        <f ca="1">36173.4788773746*((RANDBETWEEN(2979,3282)))</f>
        <v>108556610.11100119</v>
      </c>
      <c r="B277">
        <v>161795642.95812002</v>
      </c>
    </row>
    <row r="278" spans="1:2" x14ac:dyDescent="0.25">
      <c r="A278">
        <f ca="1">30795.7786569219*((RANDBETWEEN(2979,3282)))</f>
        <v>94081103.796896338</v>
      </c>
      <c r="B278">
        <v>155837832.55066979</v>
      </c>
    </row>
    <row r="279" spans="1:2" x14ac:dyDescent="0.25">
      <c r="A279">
        <f ca="1">31525.1485981398*((RANDBETWEEN(2979,3282)))</f>
        <v>103118761.06451526</v>
      </c>
      <c r="B279">
        <v>161155957.12607121</v>
      </c>
    </row>
    <row r="280" spans="1:2" x14ac:dyDescent="0.25">
      <c r="A280">
        <f ca="1">34986.6419807197*((RANDBETWEEN(2979,3282)))</f>
        <v>109613149.3255948</v>
      </c>
      <c r="B280">
        <v>192043402.21241477</v>
      </c>
    </row>
    <row r="281" spans="1:2" x14ac:dyDescent="0.25">
      <c r="A281">
        <f ca="1">40166.3820510471*((RANDBETWEEN(2979,3282)))</f>
        <v>125118280.08901168</v>
      </c>
      <c r="B281">
        <v>144428591.05833197</v>
      </c>
    </row>
    <row r="282" spans="1:2" x14ac:dyDescent="0.25">
      <c r="A282">
        <f ca="1">31651.1586639219*((RANDBETWEEN(2979,3282)))</f>
        <v>100302521.80596866</v>
      </c>
      <c r="B282">
        <v>149572449.12205619</v>
      </c>
    </row>
    <row r="283" spans="1:2" x14ac:dyDescent="0.25">
      <c r="A283">
        <f ca="1">31838.6625298484*((RANDBETWEEN(2979,3282)))</f>
        <v>97840209.954224154</v>
      </c>
      <c r="B283">
        <v>150756606.72364295</v>
      </c>
    </row>
    <row r="284" spans="1:2" x14ac:dyDescent="0.25">
      <c r="A284">
        <f ca="1">30267.8843941989*((RANDBETWEEN(2979,3282)))</f>
        <v>90228563.379106805</v>
      </c>
      <c r="B284">
        <v>167026940.72726348</v>
      </c>
    </row>
    <row r="285" spans="1:2" x14ac:dyDescent="0.25">
      <c r="A285">
        <f ca="1">29994.429907682*((RANDBETWEEN(2979,3282)))</f>
        <v>91453016.788522348</v>
      </c>
      <c r="B285">
        <v>189882308.86875838</v>
      </c>
    </row>
    <row r="286" spans="1:2" x14ac:dyDescent="0.25">
      <c r="A286">
        <f ca="1">31782.7322281513*((RANDBETWEEN(2979,3282)))</f>
        <v>95443544.881138489</v>
      </c>
      <c r="B286">
        <v>170917675.88297135</v>
      </c>
    </row>
    <row r="287" spans="1:2" x14ac:dyDescent="0.25">
      <c r="A287">
        <f ca="1">32737.7642634637*((RANDBETWEEN(2979,3282)))</f>
        <v>98311506.083181471</v>
      </c>
      <c r="B287">
        <v>165805907.22657812</v>
      </c>
    </row>
    <row r="288" spans="1:2" x14ac:dyDescent="0.25">
      <c r="A288">
        <f ca="1">30456.1147288653*((RANDBETWEEN(2979,3282)))</f>
        <v>99347846.245558575</v>
      </c>
      <c r="B288">
        <v>153233593.41741392</v>
      </c>
    </row>
    <row r="289" spans="1:2" x14ac:dyDescent="0.25">
      <c r="A289">
        <f ca="1">39100.5770799326*((RANDBETWEEN(2979,3282)))</f>
        <v>125786556.46614307</v>
      </c>
      <c r="B289">
        <v>148145950.33865541</v>
      </c>
    </row>
    <row r="290" spans="1:2" x14ac:dyDescent="0.25">
      <c r="A290">
        <f ca="1">34176.9108806939*((RANDBETWEEN(2979,3282)))</f>
        <v>103077563.21617277</v>
      </c>
      <c r="B290">
        <v>156404947.85222292</v>
      </c>
    </row>
    <row r="291" spans="1:2" x14ac:dyDescent="0.25">
      <c r="A291">
        <f ca="1">33384.2233159246*((RANDBETWEEN(2979,3282)))</f>
        <v>104392466.30889626</v>
      </c>
      <c r="B291">
        <v>160894255.5036751</v>
      </c>
    </row>
    <row r="292" spans="1:2" x14ac:dyDescent="0.25">
      <c r="A292">
        <f ca="1">39442.9013652461*((RANDBETWEEN(2979,3282)))</f>
        <v>124679011.21554302</v>
      </c>
      <c r="B292">
        <v>161145352.97338882</v>
      </c>
    </row>
    <row r="293" spans="1:2" x14ac:dyDescent="0.25">
      <c r="A293">
        <f ca="1">39022.5162206268*((RANDBETWEEN(2979,3282)))</f>
        <v>119994237.37842748</v>
      </c>
      <c r="B293">
        <v>162557802.4853985</v>
      </c>
    </row>
    <row r="294" spans="1:2" x14ac:dyDescent="0.25">
      <c r="A294">
        <f ca="1">30902.2183522806*((RANDBETWEEN(2979,3282)))</f>
        <v>98608978.76212731</v>
      </c>
      <c r="B294">
        <v>192337833.22796804</v>
      </c>
    </row>
    <row r="295" spans="1:2" x14ac:dyDescent="0.25">
      <c r="A295">
        <f ca="1">33508.6228090373*((RANDBETWEEN(2979,3282)))</f>
        <v>100693411.54115704</v>
      </c>
      <c r="B295">
        <v>176990817.53086036</v>
      </c>
    </row>
    <row r="296" spans="1:2" x14ac:dyDescent="0.25">
      <c r="A296">
        <f ca="1">34233.7983225666*((RANDBETWEEN(2979,3282)))</f>
        <v>103762642.71569933</v>
      </c>
      <c r="B296">
        <v>174856707.27642977</v>
      </c>
    </row>
    <row r="297" spans="1:2" x14ac:dyDescent="0.25">
      <c r="A297">
        <f ca="1">29703.3259474642*((RANDBETWEEN(2979,3282)))</f>
        <v>92258530.39282383</v>
      </c>
      <c r="B297">
        <v>158391560.07816428</v>
      </c>
    </row>
    <row r="298" spans="1:2" x14ac:dyDescent="0.25">
      <c r="A298">
        <f ca="1">32009.7141349934*((RANDBETWEEN(2979,3282)))</f>
        <v>96253210.403925136</v>
      </c>
      <c r="B298">
        <v>176738612.18600145</v>
      </c>
    </row>
    <row r="299" spans="1:2" x14ac:dyDescent="0.25">
      <c r="A299">
        <f ca="1">28955.1955496648*((RANDBETWEEN(2979,3282)))</f>
        <v>93206774.474371046</v>
      </c>
      <c r="B299">
        <v>157903935.4902125</v>
      </c>
    </row>
    <row r="300" spans="1:2" x14ac:dyDescent="0.25">
      <c r="A300">
        <f ca="1">31415.2558363523*((RANDBETWEEN(2979,3282)))</f>
        <v>95376716.719165489</v>
      </c>
      <c r="B300">
        <v>152389615.88389099</v>
      </c>
    </row>
    <row r="301" spans="1:2" x14ac:dyDescent="0.25">
      <c r="A301">
        <f ca="1">31473.1934038683*((RANDBETWEEN(2979,3282)))</f>
        <v>100147701.41110885</v>
      </c>
      <c r="B301">
        <v>151645605.97670612</v>
      </c>
    </row>
    <row r="302" spans="1:2" x14ac:dyDescent="0.25">
      <c r="A302">
        <f ca="1">32786.5723405787*((RANDBETWEEN(2979,3282)))</f>
        <v>101343295.10472883</v>
      </c>
      <c r="B302">
        <v>152407979.40878975</v>
      </c>
    </row>
    <row r="303" spans="1:2" x14ac:dyDescent="0.25">
      <c r="A303">
        <f ca="1">38090.7170721896*((RANDBETWEEN(2979,3282)))</f>
        <v>115757689.18238407</v>
      </c>
      <c r="B303">
        <v>199378801.27951297</v>
      </c>
    </row>
    <row r="304" spans="1:2" x14ac:dyDescent="0.25">
      <c r="A304">
        <f ca="1">38811.4862746764*((RANDBETWEEN(2979,3282)))</f>
        <v>121596386.49856126</v>
      </c>
      <c r="B304">
        <v>190293826.72679862</v>
      </c>
    </row>
    <row r="305" spans="1:2" x14ac:dyDescent="0.25">
      <c r="A305">
        <f ca="1">30848.6186653374*((RANDBETWEEN(2979,3282)))</f>
        <v>98499639.39842248</v>
      </c>
      <c r="B305">
        <v>165001975.05468178</v>
      </c>
    </row>
    <row r="306" spans="1:2" x14ac:dyDescent="0.25">
      <c r="A306">
        <f ca="1">32594.5552143201*((RANDBETWEEN(2979,3282)))</f>
        <v>101140904.83003521</v>
      </c>
      <c r="B306">
        <v>152173533.71338433</v>
      </c>
    </row>
    <row r="307" spans="1:2" x14ac:dyDescent="0.25">
      <c r="A307">
        <f ca="1">33724.0970728806*((RANDBETWEEN(2979,3282)))</f>
        <v>101576980.38351645</v>
      </c>
      <c r="B307">
        <v>148773233.01030904</v>
      </c>
    </row>
    <row r="308" spans="1:2" x14ac:dyDescent="0.25">
      <c r="A308">
        <f ca="1">30483.8988733343*((RANDBETWEEN(2979,3282)))</f>
        <v>95140248.383676231</v>
      </c>
      <c r="B308">
        <v>144571185.28324968</v>
      </c>
    </row>
    <row r="309" spans="1:2" x14ac:dyDescent="0.25">
      <c r="A309">
        <f ca="1">26106.1863807214*((RANDBETWEEN(2979,3282)))</f>
        <v>79153957.106347173</v>
      </c>
      <c r="B309">
        <v>158782410.70726579</v>
      </c>
    </row>
    <row r="310" spans="1:2" x14ac:dyDescent="0.25">
      <c r="A310">
        <f ca="1">28790.4853415767*((RANDBETWEEN(2979,3282)))</f>
        <v>92705362.799876943</v>
      </c>
      <c r="B310">
        <v>183708047.47920769</v>
      </c>
    </row>
    <row r="311" spans="1:2" x14ac:dyDescent="0.25">
      <c r="A311">
        <f ca="1">32534.1787188667*((RANDBETWEEN(2979,3282)))</f>
        <v>103686427.57702802</v>
      </c>
      <c r="B311">
        <v>191563935.12256646</v>
      </c>
    </row>
    <row r="312" spans="1:2" x14ac:dyDescent="0.25">
      <c r="A312">
        <f ca="1">32779.3496225214*((RANDBETWEEN(2979,3282)))</f>
        <v>103910538.30339287</v>
      </c>
      <c r="B312">
        <v>165855141.9121047</v>
      </c>
    </row>
    <row r="313" spans="1:2" x14ac:dyDescent="0.25">
      <c r="A313">
        <f ca="1">31678.0558233133*((RANDBETWEEN(2979,3282)))</f>
        <v>100419436.95990317</v>
      </c>
      <c r="B313">
        <v>185062821.62269038</v>
      </c>
    </row>
    <row r="314" spans="1:2" x14ac:dyDescent="0.25">
      <c r="A314">
        <f ca="1">30085.0197978181*((RANDBETWEEN(2979,3282)))</f>
        <v>90495739.551836848</v>
      </c>
      <c r="B314">
        <v>156507003.51070708</v>
      </c>
    </row>
    <row r="315" spans="1:2" x14ac:dyDescent="0.25">
      <c r="A315">
        <f ca="1">30533.8354280533*((RANDBETWEEN(2979,3282)))</f>
        <v>92517521.347001612</v>
      </c>
      <c r="B315">
        <v>169250652.48964009</v>
      </c>
    </row>
    <row r="316" spans="1:2" x14ac:dyDescent="0.25">
      <c r="A316">
        <f ca="1">39477.5612831497*((RANDBETWEEN(2979,3282)))</f>
        <v>120682904.8425886</v>
      </c>
      <c r="B316">
        <v>164957721.03286266</v>
      </c>
    </row>
    <row r="317" spans="1:2" x14ac:dyDescent="0.25">
      <c r="A317">
        <f ca="1">40004.411690559*((RANDBETWEEN(2979,3282)))</f>
        <v>127694082.11626425</v>
      </c>
      <c r="B317">
        <v>156182091.66106465</v>
      </c>
    </row>
    <row r="318" spans="1:2" x14ac:dyDescent="0.25">
      <c r="A318">
        <f ca="1">37879.2810361286*((RANDBETWEEN(2979,3282)))</f>
        <v>118675787.48619105</v>
      </c>
      <c r="B318">
        <v>145172545.54691997</v>
      </c>
    </row>
    <row r="319" spans="1:2" x14ac:dyDescent="0.25">
      <c r="A319">
        <f ca="1">32159.9695985909*((RANDBETWEEN(2979,3282)))</f>
        <v>102815422.80669509</v>
      </c>
      <c r="B319">
        <v>155963562.40999284</v>
      </c>
    </row>
    <row r="320" spans="1:2" x14ac:dyDescent="0.25">
      <c r="A320">
        <f ca="1">39892.5381958158*((RANDBETWEEN(2979,3282)))</f>
        <v>127775799.84119801</v>
      </c>
      <c r="B320">
        <v>186964566.42833471</v>
      </c>
    </row>
    <row r="321" spans="1:2" x14ac:dyDescent="0.25">
      <c r="A321">
        <f ca="1">29377.4419311466*((RANDBETWEEN(2979,3282)))</f>
        <v>91716373.709039763</v>
      </c>
      <c r="B321">
        <v>165484584.47187856</v>
      </c>
    </row>
    <row r="322" spans="1:2" x14ac:dyDescent="0.25">
      <c r="A322">
        <f ca="1">28296.3884897012*((RANDBETWEEN(2979,3282)))</f>
        <v>85398500.461918324</v>
      </c>
      <c r="B322">
        <v>167214269.31453386</v>
      </c>
    </row>
    <row r="323" spans="1:2" x14ac:dyDescent="0.25">
      <c r="A323">
        <f ca="1">30720.2852884486*((RANDBETWEEN(2979,3282)))</f>
        <v>92130135.580057308</v>
      </c>
      <c r="B323">
        <v>199182037.9768233</v>
      </c>
    </row>
    <row r="324" spans="1:2" x14ac:dyDescent="0.25">
      <c r="A324">
        <f ca="1">33348.3758280903*((RANDBETWEEN(2979,3282)))</f>
        <v>109115885.70951141</v>
      </c>
      <c r="B324">
        <v>177096447.74135917</v>
      </c>
    </row>
    <row r="325" spans="1:2" x14ac:dyDescent="0.25">
      <c r="A325">
        <f ca="1">30976.4496782776*((RANDBETWEEN(2979,3282)))</f>
        <v>101169084.64925449</v>
      </c>
      <c r="B325">
        <v>171158179.45682037</v>
      </c>
    </row>
    <row r="326" spans="1:2" x14ac:dyDescent="0.25">
      <c r="A326">
        <f ca="1">27045.8973074649*((RANDBETWEEN(2979,3282)))</f>
        <v>84220924.215445682</v>
      </c>
      <c r="B326">
        <v>152122056.19281375</v>
      </c>
    </row>
    <row r="327" spans="1:2" x14ac:dyDescent="0.25">
      <c r="A327">
        <f ca="1">31267.3961898721*((RANDBETWEEN(2979,3282)))</f>
        <v>95678232.341008738</v>
      </c>
      <c r="B327">
        <v>170424680.33563057</v>
      </c>
    </row>
    <row r="328" spans="1:2" x14ac:dyDescent="0.25">
      <c r="A328">
        <f ca="1">35828.3471278747*((RANDBETWEEN(2979,3282)))</f>
        <v>111318674.52630657</v>
      </c>
      <c r="B328">
        <v>148476081.4439674</v>
      </c>
    </row>
    <row r="329" spans="1:2" x14ac:dyDescent="0.25">
      <c r="A329">
        <f ca="1">30810.2880142138*((RANDBETWEEN(2979,3282)))</f>
        <v>94988117.947821125</v>
      </c>
      <c r="B329">
        <v>157924366.76758668</v>
      </c>
    </row>
    <row r="330" spans="1:2" x14ac:dyDescent="0.25">
      <c r="A330">
        <f ca="1">38656.1037627218*((RANDBETWEEN(2979,3282)))</f>
        <v>115311157.5241991</v>
      </c>
      <c r="B330">
        <v>175010228.60737592</v>
      </c>
    </row>
    <row r="331" spans="1:2" x14ac:dyDescent="0.25">
      <c r="A331">
        <f ca="1">34739.5181055232*((RANDBETWEEN(2979,3282)))</f>
        <v>110367449.02124724</v>
      </c>
      <c r="B331">
        <v>144897171.34365803</v>
      </c>
    </row>
    <row r="332" spans="1:2" x14ac:dyDescent="0.25">
      <c r="A332">
        <f ca="1">29965.9313749382*((RANDBETWEEN(2979,3282)))</f>
        <v>91695750.007310927</v>
      </c>
      <c r="B332">
        <v>150421410.22408509</v>
      </c>
    </row>
    <row r="333" spans="1:2" x14ac:dyDescent="0.25">
      <c r="A333">
        <f ca="1">32118.8879278186*((RANDBETWEEN(2979,3282)))</f>
        <v>95810642.688682735</v>
      </c>
      <c r="B333">
        <v>185255192.49425706</v>
      </c>
    </row>
    <row r="334" spans="1:2" x14ac:dyDescent="0.25">
      <c r="A334">
        <f ca="1">31262.0615781699*((RANDBETWEEN(2979,3282)))</f>
        <v>101539176.00589567</v>
      </c>
      <c r="B334">
        <v>164879465.38971883</v>
      </c>
    </row>
    <row r="335" spans="1:2" x14ac:dyDescent="0.25">
      <c r="A335">
        <f ca="1">35169.2060753562*((RANDBETWEEN(2979,3282)))</f>
        <v>109692753.74903603</v>
      </c>
      <c r="B335">
        <v>144541318.45643872</v>
      </c>
    </row>
    <row r="336" spans="1:2" x14ac:dyDescent="0.25">
      <c r="A336">
        <f ca="1">40269.2555626187*((RANDBETWEEN(2979,3282)))</f>
        <v>127250847.57787505</v>
      </c>
      <c r="B336">
        <v>167246618.80202943</v>
      </c>
    </row>
    <row r="337" spans="1:2" x14ac:dyDescent="0.25">
      <c r="A337">
        <f ca="1">36052.4227095696*((RANDBETWEEN(2979,3282)))</f>
        <v>108662002.04664285</v>
      </c>
      <c r="B337">
        <v>203475602.91889542</v>
      </c>
    </row>
    <row r="338" spans="1:2" x14ac:dyDescent="0.25">
      <c r="A338">
        <f ca="1">29587.4781905371*((RANDBETWEEN(2979,3282)))</f>
        <v>91129432.826854363</v>
      </c>
      <c r="B338">
        <v>182133232.13823512</v>
      </c>
    </row>
    <row r="339" spans="1:2" x14ac:dyDescent="0.25">
      <c r="A339">
        <f ca="1">32610.0791648428*((RANDBETWEEN(2979,3282)))</f>
        <v>104352253.32749709</v>
      </c>
      <c r="B339">
        <v>150270125.79731458</v>
      </c>
    </row>
    <row r="340" spans="1:2" x14ac:dyDescent="0.25">
      <c r="A340">
        <f ca="1">31479.5523590296*((RANDBETWEEN(2979,3282)))</f>
        <v>100230894.71115039</v>
      </c>
      <c r="B340">
        <v>164340464.36069673</v>
      </c>
    </row>
    <row r="341" spans="1:2" x14ac:dyDescent="0.25">
      <c r="A341">
        <f ca="1">28431.9148001007*((RANDBETWEEN(2979,3282)))</f>
        <v>92545882.674327776</v>
      </c>
      <c r="B341">
        <v>165817133.26145053</v>
      </c>
    </row>
    <row r="342" spans="1:2" x14ac:dyDescent="0.25">
      <c r="A342">
        <f ca="1">40042.6609554503*((RANDBETWEEN(2979,3282)))</f>
        <v>127015320.55068843</v>
      </c>
      <c r="B342">
        <v>175105288.30679187</v>
      </c>
    </row>
    <row r="343" spans="1:2" x14ac:dyDescent="0.25">
      <c r="A343">
        <f ca="1">31353.5099442246*((RANDBETWEEN(2979,3282)))</f>
        <v>102431916.98778181</v>
      </c>
      <c r="B343">
        <v>166206050.42775467</v>
      </c>
    </row>
    <row r="344" spans="1:2" x14ac:dyDescent="0.25">
      <c r="A344">
        <f ca="1">32662.959943928*((RANDBETWEEN(2979,3282)))</f>
        <v>101418490.62589641</v>
      </c>
      <c r="B344">
        <v>154279341.24616158</v>
      </c>
    </row>
    <row r="345" spans="1:2" x14ac:dyDescent="0.25">
      <c r="A345">
        <f ca="1">32191.7099048823*((RANDBETWEEN(2979,3282)))</f>
        <v>104977165.99982105</v>
      </c>
      <c r="B345">
        <v>156943835.17860359</v>
      </c>
    </row>
    <row r="346" spans="1:2" x14ac:dyDescent="0.25">
      <c r="A346">
        <f ca="1">40226.342707385*((RANDBETWEEN(2979,3282)))</f>
        <v>120276764.6950811</v>
      </c>
      <c r="B346">
        <v>154016547.37472636</v>
      </c>
    </row>
    <row r="347" spans="1:2" x14ac:dyDescent="0.25">
      <c r="A347">
        <f ca="1">29951.4759258337*((RANDBETWEEN(2979,3282)))</f>
        <v>91980982.568235397</v>
      </c>
      <c r="B347">
        <v>180306968.2674568</v>
      </c>
    </row>
    <row r="348" spans="1:2" x14ac:dyDescent="0.25">
      <c r="A348">
        <f ca="1">31280.0650576354*((RANDBETWEEN(2979,3282)))</f>
        <v>96373880.44257462</v>
      </c>
      <c r="B348">
        <v>200821865.78916514</v>
      </c>
    </row>
    <row r="349" spans="1:2" x14ac:dyDescent="0.25">
      <c r="A349">
        <f ca="1">32430.7754041165*((RANDBETWEEN(2979,3282)))</f>
        <v>99854357.469274655</v>
      </c>
      <c r="B349">
        <v>179416346.66254205</v>
      </c>
    </row>
    <row r="350" spans="1:2" x14ac:dyDescent="0.25">
      <c r="A350">
        <f ca="1">33585.6615456269*((RANDBETWEEN(2979,3282)))</f>
        <v>105324634.60708591</v>
      </c>
      <c r="B350">
        <v>152547254.87547866</v>
      </c>
    </row>
    <row r="351" spans="1:2" x14ac:dyDescent="0.25">
      <c r="A351">
        <f ca="1">34725.786166429*((RANDBETWEEN(2979,3282)))</f>
        <v>106608163.53093702</v>
      </c>
      <c r="B351">
        <v>184680062.60723108</v>
      </c>
    </row>
    <row r="352" spans="1:2" x14ac:dyDescent="0.25">
      <c r="A352">
        <f ca="1">32895.7326487046*((RANDBETWEEN(2979,3282)))</f>
        <v>106253216.45531577</v>
      </c>
      <c r="B352">
        <v>148632745.81548998</v>
      </c>
    </row>
    <row r="353" spans="1:2" x14ac:dyDescent="0.25">
      <c r="A353">
        <f ca="1">31576.0530739726*((RANDBETWEEN(2979,3282)))</f>
        <v>95012343.69958353</v>
      </c>
      <c r="B353">
        <v>183268387.04817832</v>
      </c>
    </row>
    <row r="354" spans="1:2" x14ac:dyDescent="0.25">
      <c r="A354">
        <f ca="1">33320.3728758857*((RANDBETWEEN(2979,3282)))</f>
        <v>99328031.543015197</v>
      </c>
      <c r="B354">
        <v>146610421.57088307</v>
      </c>
    </row>
    <row r="355" spans="1:2" x14ac:dyDescent="0.25">
      <c r="A355">
        <f ca="1">39237.515701174*((RANDBETWEEN(2979,3282)))</f>
        <v>124029787.13141111</v>
      </c>
      <c r="B355">
        <v>152520231.73809409</v>
      </c>
    </row>
    <row r="356" spans="1:2" x14ac:dyDescent="0.25">
      <c r="A356">
        <f ca="1">30510.1964834793*((RANDBETWEEN(2979,3282)))</f>
        <v>95435894.600323349</v>
      </c>
      <c r="B356">
        <v>176648444.85800195</v>
      </c>
    </row>
    <row r="357" spans="1:2" x14ac:dyDescent="0.25">
      <c r="A357">
        <f ca="1">37803.4140549721*((RANDBETWEEN(2979,3282)))</f>
        <v>112994404.61031149</v>
      </c>
      <c r="B357">
        <v>151724773.15447584</v>
      </c>
    </row>
    <row r="358" spans="1:2" x14ac:dyDescent="0.25">
      <c r="A358">
        <f ca="1">33345.6303223395*((RANDBETWEEN(2979,3282)))</f>
        <v>104138403.49666621</v>
      </c>
      <c r="B358">
        <v>193379363.25354022</v>
      </c>
    </row>
    <row r="359" spans="1:2" x14ac:dyDescent="0.25">
      <c r="A359">
        <f ca="1">33217.0218809241*((RANDBETWEEN(2979,3282)))</f>
        <v>101311916.73681861</v>
      </c>
      <c r="B359">
        <v>188020672.645138</v>
      </c>
    </row>
    <row r="360" spans="1:2" x14ac:dyDescent="0.25">
      <c r="A360">
        <f ca="1">34710.831165343*((RANDBETWEEN(2979,3282)))</f>
        <v>111699454.69007385</v>
      </c>
      <c r="B360">
        <v>157514001.46036911</v>
      </c>
    </row>
    <row r="361" spans="1:2" x14ac:dyDescent="0.25">
      <c r="A361">
        <f ca="1">33354.2930497668*((RANDBETWEEN(2979,3282)))</f>
        <v>105733108.96776091</v>
      </c>
      <c r="B361">
        <v>170748576.33280107</v>
      </c>
    </row>
    <row r="362" spans="1:2" x14ac:dyDescent="0.25">
      <c r="A362">
        <f ca="1">28926.0342155074*((RANDBETWEEN(2979,3282)))</f>
        <v>93662498.789813071</v>
      </c>
      <c r="B362">
        <v>179811654.36001205</v>
      </c>
    </row>
    <row r="363" spans="1:2" x14ac:dyDescent="0.25">
      <c r="A363">
        <f ca="1">31743.8205183934*((RANDBETWEEN(2979,3282)))</f>
        <v>101770688.58196932</v>
      </c>
      <c r="B363">
        <v>154512254.5102613</v>
      </c>
    </row>
    <row r="364" spans="1:2" x14ac:dyDescent="0.25">
      <c r="A364">
        <f ca="1">30550.0574467716*((RANDBETWEEN(2979,3282)))</f>
        <v>97699083.714775681</v>
      </c>
      <c r="B364">
        <v>147910097.60923269</v>
      </c>
    </row>
    <row r="365" spans="1:2" x14ac:dyDescent="0.25">
      <c r="A365">
        <f ca="1">33460.963167923*((RANDBETWEEN(2979,3282)))</f>
        <v>105067424.34727818</v>
      </c>
      <c r="B365">
        <v>170711240.23071486</v>
      </c>
    </row>
    <row r="366" spans="1:2" x14ac:dyDescent="0.25">
      <c r="A366">
        <f ca="1">31735.4395182339*((RANDBETWEEN(2979,3282)))</f>
        <v>103521003.70847912</v>
      </c>
      <c r="B366">
        <v>151572810.05215356</v>
      </c>
    </row>
    <row r="367" spans="1:2" x14ac:dyDescent="0.25">
      <c r="A367">
        <f ca="1">41388.1588582288*((RANDBETWEEN(2979,3282)))</f>
        <v>124164476.5746863</v>
      </c>
      <c r="B367">
        <v>143858783.0252268</v>
      </c>
    </row>
    <row r="368" spans="1:2" x14ac:dyDescent="0.25">
      <c r="A368">
        <f ca="1">33963.26933644*((RANDBETWEEN(2979,3282)))</f>
        <v>105388024.75097346</v>
      </c>
      <c r="B368">
        <v>169930395.92526123</v>
      </c>
    </row>
    <row r="369" spans="1:2" x14ac:dyDescent="0.25">
      <c r="A369">
        <f ca="1">29993.0936572104*((RANDBETWEEN(2979,3282)))</f>
        <v>94388265.739241078</v>
      </c>
      <c r="B369">
        <v>144659139.35934815</v>
      </c>
    </row>
    <row r="370" spans="1:2" x14ac:dyDescent="0.25">
      <c r="A370">
        <f ca="1">31561.4449000394*((RANDBETWEEN(2979,3282)))</f>
        <v>98408585.198322892</v>
      </c>
      <c r="B370">
        <v>160984714.88493282</v>
      </c>
    </row>
    <row r="371" spans="1:2" x14ac:dyDescent="0.25">
      <c r="A371">
        <f ca="1">37028.0333763211*((RANDBETWEEN(2979,3282)))</f>
        <v>119896772.07252771</v>
      </c>
      <c r="B371">
        <v>179169864.34563357</v>
      </c>
    </row>
    <row r="372" spans="1:2" x14ac:dyDescent="0.25">
      <c r="A372">
        <f ca="1">30011.5861557208*((RANDBETWEEN(2979,3282)))</f>
        <v>97357585.489158183</v>
      </c>
      <c r="B372">
        <v>156280850.51413888</v>
      </c>
    </row>
    <row r="373" spans="1:2" x14ac:dyDescent="0.25">
      <c r="A373">
        <f ca="1">35407.8422150315*((RANDBETWEEN(2979,3282)))</f>
        <v>108879114.81122172</v>
      </c>
      <c r="B373">
        <v>175971541.15458882</v>
      </c>
    </row>
    <row r="374" spans="1:2" x14ac:dyDescent="0.25">
      <c r="A374">
        <f ca="1">29575.908379989*((RANDBETWEEN(2979,3282)))</f>
        <v>89703730.116506696</v>
      </c>
      <c r="B374">
        <v>149644602.76678601</v>
      </c>
    </row>
    <row r="375" spans="1:2" x14ac:dyDescent="0.25">
      <c r="A375">
        <f ca="1">36797.4966816619*((RANDBETWEEN(2979,3282)))</f>
        <v>109877325.09144241</v>
      </c>
      <c r="B375">
        <v>188599038.75979781</v>
      </c>
    </row>
    <row r="376" spans="1:2" x14ac:dyDescent="0.25">
      <c r="A376">
        <f ca="1">34174.4156362338*((RANDBETWEEN(2979,3282)))</f>
        <v>105838165.2254162</v>
      </c>
      <c r="B376">
        <v>197619674.17801479</v>
      </c>
    </row>
    <row r="377" spans="1:2" x14ac:dyDescent="0.25">
      <c r="A377">
        <f ca="1">42478.4435027452*((RANDBETWEEN(2979,3282)))</f>
        <v>131640696.41500723</v>
      </c>
      <c r="B377">
        <v>143032466.26301545</v>
      </c>
    </row>
    <row r="378" spans="1:2" x14ac:dyDescent="0.25">
      <c r="A378">
        <f ca="1">32437.1536119098*((RANDBETWEEN(2979,3282)))</f>
        <v>103571831.48282802</v>
      </c>
      <c r="B378">
        <v>169243570.94078451</v>
      </c>
    </row>
    <row r="379" spans="1:2" x14ac:dyDescent="0.25">
      <c r="A379">
        <f ca="1">33638.1837759571*((RANDBETWEEN(2979,3282)))</f>
        <v>103706520.5812756</v>
      </c>
      <c r="B379">
        <v>174908667.77148488</v>
      </c>
    </row>
    <row r="380" spans="1:2" x14ac:dyDescent="0.25">
      <c r="A380">
        <f ca="1">37120.2071843325*((RANDBETWEEN(2979,3282)))</f>
        <v>113402232.94813569</v>
      </c>
      <c r="B380">
        <v>177565637.05447578</v>
      </c>
    </row>
    <row r="381" spans="1:2" x14ac:dyDescent="0.25">
      <c r="A381">
        <f ca="1">39495.6197842235*((RANDBETWEEN(2979,3282)))</f>
        <v>124924645.37749897</v>
      </c>
      <c r="B381">
        <v>170023913.90494075</v>
      </c>
    </row>
    <row r="382" spans="1:2" x14ac:dyDescent="0.25">
      <c r="A382">
        <f ca="1">38798.8411843643*((RANDBETWEEN(2979,3282)))</f>
        <v>118957247.07126087</v>
      </c>
      <c r="B382">
        <v>177999062.75679275</v>
      </c>
    </row>
    <row r="383" spans="1:2" x14ac:dyDescent="0.25">
      <c r="A383">
        <f ca="1">31393.5340501862*((RANDBETWEEN(2979,3282)))</f>
        <v>100270947.7562947</v>
      </c>
      <c r="B383">
        <v>170930948.30054313</v>
      </c>
    </row>
    <row r="384" spans="1:2" x14ac:dyDescent="0.25">
      <c r="A384">
        <f ca="1">30216.3932724942*((RANDBETWEEN(2979,3282)))</f>
        <v>93489520.785097092</v>
      </c>
      <c r="B384">
        <v>191285716.56728995</v>
      </c>
    </row>
    <row r="385" spans="1:2" x14ac:dyDescent="0.25">
      <c r="A385">
        <f ca="1">37071.6317909575*((RANDBETWEEN(2979,3282)))</f>
        <v>121113021.06105801</v>
      </c>
      <c r="B385">
        <v>159962899.76116979</v>
      </c>
    </row>
    <row r="386" spans="1:2" x14ac:dyDescent="0.25">
      <c r="A386">
        <f ca="1">31626.2065437802*((RANDBETWEEN(2979,3282)))</f>
        <v>98389128.557700083</v>
      </c>
      <c r="B386">
        <v>174557080.23820633</v>
      </c>
    </row>
    <row r="387" spans="1:2" x14ac:dyDescent="0.25">
      <c r="A387">
        <f ca="1">32544.263482216*((RANDBETWEEN(2979,3282)))</f>
        <v>103328036.55603567</v>
      </c>
      <c r="B387">
        <v>165911913.56132492</v>
      </c>
    </row>
    <row r="388" spans="1:2" x14ac:dyDescent="0.25">
      <c r="A388">
        <f ca="1">39456.8903038669*((RANDBETWEEN(2979,3282)))</f>
        <v>123973549.33474971</v>
      </c>
      <c r="B388">
        <v>200598743.64181003</v>
      </c>
    </row>
    <row r="389" spans="1:2" x14ac:dyDescent="0.25">
      <c r="A389">
        <f ca="1">35443.4517925821*((RANDBETWEEN(2979,3282)))</f>
        <v>114411462.3864551</v>
      </c>
      <c r="B389">
        <v>149564636.62290651</v>
      </c>
    </row>
    <row r="390" spans="1:2" x14ac:dyDescent="0.25">
      <c r="A390">
        <f ca="1">34233.959205787*((RANDBETWEEN(2979,3282)))</f>
        <v>108795522.35599113</v>
      </c>
      <c r="B390">
        <v>167219878.60907918</v>
      </c>
    </row>
    <row r="391" spans="1:2" x14ac:dyDescent="0.25">
      <c r="A391">
        <f ca="1">38084.2859627803*((RANDBETWEEN(2979,3282)))</f>
        <v>124649867.95618008</v>
      </c>
      <c r="B391">
        <v>194105970.15374175</v>
      </c>
    </row>
    <row r="392" spans="1:2" x14ac:dyDescent="0.25">
      <c r="A392">
        <f ca="1">31993.809800447*((RANDBETWEEN(2979,3282)))</f>
        <v>98572927.995177209</v>
      </c>
      <c r="B392">
        <v>162718215.3560572</v>
      </c>
    </row>
    <row r="393" spans="1:2" x14ac:dyDescent="0.25">
      <c r="A393">
        <f ca="1">37802.9972404906*((RANDBETWEEN(2979,3282)))</f>
        <v>112955355.75458603</v>
      </c>
      <c r="B393">
        <v>195121589.68527535</v>
      </c>
    </row>
    <row r="394" spans="1:2" x14ac:dyDescent="0.25">
      <c r="A394">
        <f ca="1">33436.5671633725*((RANDBETWEEN(2979,3282)))</f>
        <v>103452738.80347449</v>
      </c>
      <c r="B394">
        <v>155405610.13028273</v>
      </c>
    </row>
    <row r="395" spans="1:2" x14ac:dyDescent="0.25">
      <c r="A395">
        <f ca="1">33281.2019910991*((RANDBETWEEN(2979,3282)))</f>
        <v>107631407.23921449</v>
      </c>
      <c r="B395">
        <v>186680163.64598551</v>
      </c>
    </row>
    <row r="396" spans="1:2" x14ac:dyDescent="0.25">
      <c r="A396">
        <f ca="1">36883.0869336835*((RANDBETWEEN(2979,3282)))</f>
        <v>120533928.09927754</v>
      </c>
      <c r="B396">
        <v>154421601.70984471</v>
      </c>
    </row>
    <row r="397" spans="1:2" x14ac:dyDescent="0.25">
      <c r="A397">
        <f ca="1">40119.5431050551*((RANDBETWEEN(2979,3282)))</f>
        <v>131551981.84147575</v>
      </c>
      <c r="B397">
        <v>167028809.04722333</v>
      </c>
    </row>
    <row r="398" spans="1:2" x14ac:dyDescent="0.25">
      <c r="A398">
        <f ca="1">33362.3444621218*((RANDBETWEEN(2979,3282)))</f>
        <v>102889470.32118355</v>
      </c>
      <c r="B398">
        <v>158117289.94435942</v>
      </c>
    </row>
    <row r="399" spans="1:2" x14ac:dyDescent="0.25">
      <c r="A399">
        <f ca="1">39585.0627405937*((RANDBETWEEN(2979,3282)))</f>
        <v>123069960.06050572</v>
      </c>
      <c r="B399">
        <v>183682250.98069733</v>
      </c>
    </row>
    <row r="400" spans="1:2" x14ac:dyDescent="0.25">
      <c r="A400">
        <f ca="1">36137.3187809623*((RANDBETWEEN(2979,3282)))</f>
        <v>115783969.37420309</v>
      </c>
      <c r="B400">
        <v>195893291.32609928</v>
      </c>
    </row>
    <row r="401" spans="1:2" x14ac:dyDescent="0.25">
      <c r="A401">
        <f ca="1">40173.2983272425*((RANDBETWEEN(2979,3282)))</f>
        <v>122367866.70478077</v>
      </c>
      <c r="B401">
        <v>153499987.25957322</v>
      </c>
    </row>
    <row r="402" spans="1:2" x14ac:dyDescent="0.25">
      <c r="A402">
        <f ca="1">31865.9924486751*((RANDBETWEEN(2979,3282)))</f>
        <v>97000081.01376693</v>
      </c>
      <c r="B402">
        <v>176495473.20802984</v>
      </c>
    </row>
    <row r="403" spans="1:2" x14ac:dyDescent="0.25">
      <c r="A403">
        <f ca="1">32590.3757226333*((RANDBETWEEN(2979,3282)))</f>
        <v>105266913.58410567</v>
      </c>
      <c r="B403">
        <v>149390355.89026022</v>
      </c>
    </row>
    <row r="404" spans="1:2" x14ac:dyDescent="0.25">
      <c r="A404">
        <f ca="1">33649.9958381774*((RANDBETWEEN(2979,3282)))</f>
        <v>110439286.34089832</v>
      </c>
      <c r="B404">
        <v>161100213.17948484</v>
      </c>
    </row>
    <row r="405" spans="1:2" x14ac:dyDescent="0.25">
      <c r="A405">
        <f ca="1">31702.2360217086*((RANDBETWEEN(2979,3282)))</f>
        <v>99703532.288273603</v>
      </c>
      <c r="B405">
        <v>195867993.84892449</v>
      </c>
    </row>
    <row r="406" spans="1:2" x14ac:dyDescent="0.25">
      <c r="A406">
        <f ca="1">42024.8355952692*((RANDBETWEEN(2979,3282)))</f>
        <v>130445089.68771562</v>
      </c>
      <c r="B406">
        <v>160382833.76008373</v>
      </c>
    </row>
    <row r="407" spans="1:2" x14ac:dyDescent="0.25">
      <c r="A407">
        <f ca="1">32102.0738493496*((RANDBETWEEN(2979,3282)))</f>
        <v>95920996.661856636</v>
      </c>
      <c r="B407">
        <v>162328734.93955502</v>
      </c>
    </row>
    <row r="408" spans="1:2" x14ac:dyDescent="0.25">
      <c r="A408">
        <f ca="1">31521.4348107191*((RANDBETWEEN(2979,3282)))</f>
        <v>94375175.823293105</v>
      </c>
      <c r="B408">
        <v>177350470.53056034</v>
      </c>
    </row>
    <row r="409" spans="1:2" x14ac:dyDescent="0.25">
      <c r="A409">
        <f ca="1">32868.3947032653*((RANDBETWEEN(2979,3282)))</f>
        <v>107282440.31145808</v>
      </c>
      <c r="B409">
        <v>166036183.4702605</v>
      </c>
    </row>
    <row r="410" spans="1:2" x14ac:dyDescent="0.25">
      <c r="A410">
        <f ca="1">30746.0861972963*((RANDBETWEEN(2979,3282)))</f>
        <v>94728691.573869839</v>
      </c>
      <c r="B410">
        <v>201628822.94736922</v>
      </c>
    </row>
    <row r="411" spans="1:2" x14ac:dyDescent="0.25">
      <c r="A411">
        <f ca="1">29346.6219773415*((RANDBETWEEN(2979,3282)))</f>
        <v>87775746.334228531</v>
      </c>
      <c r="B411">
        <v>156186228.34484965</v>
      </c>
    </row>
    <row r="412" spans="1:2" x14ac:dyDescent="0.25">
      <c r="A412">
        <f ca="1">33064.2312804851*((RANDBETWEEN(2979,3282)))</f>
        <v>103226530.05767439</v>
      </c>
      <c r="B412">
        <v>175166734.28759575</v>
      </c>
    </row>
    <row r="413" spans="1:2" x14ac:dyDescent="0.25">
      <c r="A413">
        <f ca="1">34727.4691602718*((RANDBETWEEN(2979,3282)))</f>
        <v>105779871.06218788</v>
      </c>
      <c r="B413">
        <v>175002818.18999958</v>
      </c>
    </row>
    <row r="414" spans="1:2" x14ac:dyDescent="0.25">
      <c r="A414">
        <f ca="1">33025.0239903217*((RANDBETWEEN(2979,3282)))</f>
        <v>101849173.98615205</v>
      </c>
      <c r="B414">
        <v>147671406.11950842</v>
      </c>
    </row>
    <row r="415" spans="1:2" x14ac:dyDescent="0.25">
      <c r="A415">
        <f ca="1">36634.2560113619*((RANDBETWEEN(2979,3282)))</f>
        <v>117449424.77242613</v>
      </c>
      <c r="B415">
        <v>154017190.48739588</v>
      </c>
    </row>
    <row r="416" spans="1:2" x14ac:dyDescent="0.25">
      <c r="A416">
        <f ca="1">31447.9181962557*((RANDBETWEEN(2979,3282)))</f>
        <v>102646004.99257848</v>
      </c>
      <c r="B416">
        <v>174627029.95083398</v>
      </c>
    </row>
    <row r="417" spans="1:2" x14ac:dyDescent="0.25">
      <c r="A417">
        <f ca="1">31207.3036237807*((RANDBETWEEN(2979,3282)))</f>
        <v>93590703.567718253</v>
      </c>
      <c r="B417">
        <v>144245674.35947779</v>
      </c>
    </row>
    <row r="418" spans="1:2" x14ac:dyDescent="0.25">
      <c r="A418">
        <f ca="1">29905.7820711576*((RANDBETWEEN(2979,3282)))</f>
        <v>90375273.419038132</v>
      </c>
      <c r="B418">
        <v>158070255.77118799</v>
      </c>
    </row>
    <row r="419" spans="1:2" x14ac:dyDescent="0.25">
      <c r="A419">
        <f ca="1">32546.5177665411*((RANDBETWEEN(2979,3282)))</f>
        <v>104539415.06613009</v>
      </c>
      <c r="B419">
        <v>143636730.32447627</v>
      </c>
    </row>
    <row r="420" spans="1:2" x14ac:dyDescent="0.25">
      <c r="A420">
        <f ca="1">30464.1197260921*((RANDBETWEEN(2979,3282)))</f>
        <v>93799024.636637658</v>
      </c>
      <c r="B420">
        <v>160714259.51803184</v>
      </c>
    </row>
    <row r="421" spans="1:2" x14ac:dyDescent="0.25">
      <c r="A421">
        <f ca="1">30972.6824892743*((RANDBETWEEN(2979,3282)))</f>
        <v>93041938.197779939</v>
      </c>
      <c r="B421">
        <v>143198791.48089564</v>
      </c>
    </row>
    <row r="422" spans="1:2" x14ac:dyDescent="0.25">
      <c r="A422">
        <f ca="1">32583.4259935172*((RANDBETWEEN(2979,3282)))</f>
        <v>106547802.99880132</v>
      </c>
      <c r="B422">
        <v>173193721.85843438</v>
      </c>
    </row>
    <row r="423" spans="1:2" x14ac:dyDescent="0.25">
      <c r="A423">
        <f ca="1">26438.158427851*((RANDBETWEEN(2979,3282)))</f>
        <v>81006517.422935501</v>
      </c>
      <c r="B423">
        <v>144997176.45460355</v>
      </c>
    </row>
    <row r="424" spans="1:2" x14ac:dyDescent="0.25">
      <c r="A424">
        <f ca="1">39697.4781222222*((RANDBETWEEN(2979,3282)))</f>
        <v>125999795.55993322</v>
      </c>
      <c r="B424">
        <v>148244172.20734519</v>
      </c>
    </row>
    <row r="425" spans="1:2" x14ac:dyDescent="0.25">
      <c r="A425">
        <f ca="1">36870.5709867661*((RANDBETWEEN(2979,3282)))</f>
        <v>115589240.04351172</v>
      </c>
      <c r="B425">
        <v>176438783.45362249</v>
      </c>
    </row>
    <row r="426" spans="1:2" x14ac:dyDescent="0.25">
      <c r="A426">
        <f ca="1">33085.6764136227*((RANDBETWEEN(2979,3282)))</f>
        <v>98661487.065422952</v>
      </c>
      <c r="B426">
        <v>192133346.15752178</v>
      </c>
    </row>
    <row r="427" spans="1:2" x14ac:dyDescent="0.25">
      <c r="A427">
        <f ca="1">29361.3230906762*((RANDBETWEEN(2979,3282)))</f>
        <v>95982165.183420569</v>
      </c>
      <c r="B427">
        <v>144188241.23162919</v>
      </c>
    </row>
    <row r="428" spans="1:2" x14ac:dyDescent="0.25">
      <c r="A428">
        <f ca="1">33672.8084497612*((RANDBETWEEN(2979,3282)))</f>
        <v>100445987.60563754</v>
      </c>
      <c r="B428">
        <v>200187397.50920421</v>
      </c>
    </row>
    <row r="429" spans="1:2" x14ac:dyDescent="0.25">
      <c r="A429">
        <f ca="1">39901.1023762103*((RANDBETWEEN(2979,3282)))</f>
        <v>125249560.35892424</v>
      </c>
      <c r="B429">
        <v>150415279.60645771</v>
      </c>
    </row>
    <row r="430" spans="1:2" x14ac:dyDescent="0.25">
      <c r="A430">
        <f ca="1">34306.1108305177*((RANDBETWEEN(2979,3282)))</f>
        <v>110705819.65008056</v>
      </c>
      <c r="B430">
        <v>169769808.02933225</v>
      </c>
    </row>
    <row r="431" spans="1:2" x14ac:dyDescent="0.25">
      <c r="A431">
        <f ca="1">42359.434965405*((RANDBETWEEN(2979,3282)))</f>
        <v>135507832.45433068</v>
      </c>
      <c r="B431">
        <v>187620510.76977456</v>
      </c>
    </row>
    <row r="432" spans="1:2" x14ac:dyDescent="0.25">
      <c r="A432">
        <f ca="1">34091.7307373324*((RANDBETWEEN(2979,3282)))</f>
        <v>108548070.66766644</v>
      </c>
      <c r="B432">
        <v>160415410.4000324</v>
      </c>
    </row>
    <row r="433" spans="1:2" x14ac:dyDescent="0.25">
      <c r="A433">
        <f ca="1">31243.3241038061*((RANDBETWEEN(2979,3282)))</f>
        <v>101540803.33736967</v>
      </c>
      <c r="B433">
        <v>185543740.43395153</v>
      </c>
    </row>
    <row r="434" spans="1:2" x14ac:dyDescent="0.25">
      <c r="A434">
        <f ca="1">30471.2196248396*((RANDBETWEEN(2979,3282)))</f>
        <v>95009262.790249884</v>
      </c>
      <c r="B434">
        <v>160396676.75798842</v>
      </c>
    </row>
    <row r="435" spans="1:2" x14ac:dyDescent="0.25">
      <c r="A435">
        <f ca="1">30785.5181361523*((RANDBETWEEN(2979,3282)))</f>
        <v>100884142.93217105</v>
      </c>
      <c r="B435">
        <v>144098110.80308336</v>
      </c>
    </row>
    <row r="436" spans="1:2" x14ac:dyDescent="0.25">
      <c r="A436">
        <f ca="1">29559.8398328336*((RANDBETWEEN(2979,3282)))</f>
        <v>93054375.793760106</v>
      </c>
      <c r="B436">
        <v>158116454.72537428</v>
      </c>
    </row>
    <row r="437" spans="1:2" x14ac:dyDescent="0.25">
      <c r="A437">
        <f ca="1">31239.2534335137*((RANDBETWEEN(2979,3282)))</f>
        <v>100684113.81621458</v>
      </c>
      <c r="B437">
        <v>143282769.22461617</v>
      </c>
    </row>
    <row r="438" spans="1:2" x14ac:dyDescent="0.25">
      <c r="A438">
        <f ca="1">37885.0108416473*((RANDBETWEEN(2979,3282)))</f>
        <v>120663759.53064665</v>
      </c>
      <c r="B438">
        <v>164034098.28841591</v>
      </c>
    </row>
    <row r="439" spans="1:2" x14ac:dyDescent="0.25">
      <c r="A439">
        <f ca="1">30477.9320071124*((RANDBETWEEN(2979,3282)))</f>
        <v>93658685.057856306</v>
      </c>
      <c r="B439">
        <v>144695016.86925086</v>
      </c>
    </row>
    <row r="440" spans="1:2" x14ac:dyDescent="0.25">
      <c r="A440">
        <f ca="1">36504.5197281871*((RANDBETWEEN(2979,3282)))</f>
        <v>119041238.83361822</v>
      </c>
      <c r="B440">
        <v>190678774.43181187</v>
      </c>
    </row>
    <row r="441" spans="1:2" x14ac:dyDescent="0.25">
      <c r="A441">
        <f ca="1">37967.9103371307*((RANDBETWEEN(2979,3282)))</f>
        <v>118763623.53454478</v>
      </c>
      <c r="B441">
        <v>202934960.04869464</v>
      </c>
    </row>
    <row r="442" spans="1:2" x14ac:dyDescent="0.25">
      <c r="A442">
        <f ca="1">33389.6749278189*((RANDBETWEEN(2979,3282)))</f>
        <v>104175785.77479492</v>
      </c>
      <c r="B442">
        <v>144126144.60715294</v>
      </c>
    </row>
    <row r="443" spans="1:2" x14ac:dyDescent="0.25">
      <c r="A443">
        <f ca="1">31436.6838119994*((RANDBETWEEN(2979,3282)))</f>
        <v>97988143.442002192</v>
      </c>
      <c r="B443">
        <v>183149641.08082965</v>
      </c>
    </row>
    <row r="444" spans="1:2" x14ac:dyDescent="0.25">
      <c r="A444">
        <f ca="1">33843.8517853047*((RANDBETWEEN(2979,3282)))</f>
        <v>106405070.01299804</v>
      </c>
      <c r="B444">
        <v>184323397.92122811</v>
      </c>
    </row>
    <row r="445" spans="1:2" x14ac:dyDescent="0.25">
      <c r="A445">
        <f ca="1">31085.127865649*((RANDBETWEEN(2979,3282)))</f>
        <v>93224298.469081536</v>
      </c>
      <c r="B445">
        <v>191842670.20685506</v>
      </c>
    </row>
    <row r="446" spans="1:2" x14ac:dyDescent="0.25">
      <c r="A446">
        <f ca="1">30033.6971860262*((RANDBETWEEN(2979,3282)))</f>
        <v>95056651.593773037</v>
      </c>
      <c r="B446">
        <v>203034668.71635705</v>
      </c>
    </row>
    <row r="447" spans="1:2" x14ac:dyDescent="0.25">
      <c r="A447">
        <f ca="1">40274.0523716132*((RANDBETWEEN(2979,3282)))</f>
        <v>122272023.00021753</v>
      </c>
      <c r="B447">
        <v>189136210.71630004</v>
      </c>
    </row>
    <row r="448" spans="1:2" x14ac:dyDescent="0.25">
      <c r="A448">
        <f ca="1">33204.1990264433*((RANDBETWEEN(2979,3282)))</f>
        <v>106120620.08851266</v>
      </c>
      <c r="B448">
        <v>177340101.64166772</v>
      </c>
    </row>
    <row r="449" spans="1:2" x14ac:dyDescent="0.25">
      <c r="A449">
        <f ca="1">32993.1409956604*((RANDBETWEEN(2979,3282)))</f>
        <v>103961387.27732597</v>
      </c>
      <c r="B449">
        <v>143532028.75435156</v>
      </c>
    </row>
    <row r="450" spans="1:2" x14ac:dyDescent="0.25">
      <c r="A450">
        <f ca="1">33307.9797084454*((RANDBETWEEN(2979,3282)))</f>
        <v>106052607.39169028</v>
      </c>
      <c r="B450">
        <v>195754832.90938368</v>
      </c>
    </row>
    <row r="451" spans="1:2" x14ac:dyDescent="0.25">
      <c r="A451">
        <f ca="1">38896.6645550835*((RANDBETWEEN(2979,3282)))</f>
        <v>116728890.32980555</v>
      </c>
      <c r="B451">
        <v>189532020.44058973</v>
      </c>
    </row>
    <row r="452" spans="1:2" x14ac:dyDescent="0.25">
      <c r="A452">
        <f ca="1">27542.405866624*((RANDBETWEEN(2979,3282)))</f>
        <v>86565781.638799146</v>
      </c>
      <c r="B452">
        <v>180939698.40506214</v>
      </c>
    </row>
    <row r="453" spans="1:2" x14ac:dyDescent="0.25">
      <c r="A453">
        <f ca="1">31876.3851344791*((RANDBETWEEN(2979,3282)))</f>
        <v>103534498.91678804</v>
      </c>
      <c r="B453">
        <v>159531164.54721731</v>
      </c>
    </row>
    <row r="454" spans="1:2" x14ac:dyDescent="0.25">
      <c r="A454">
        <f ca="1">37164.9940054745*((RANDBETWEEN(2979,3282)))</f>
        <v>112089621.92051119</v>
      </c>
      <c r="B454">
        <v>196993635.19198492</v>
      </c>
    </row>
    <row r="455" spans="1:2" x14ac:dyDescent="0.25">
      <c r="A455">
        <f ca="1">32214.7545229741*((RANDBETWEEN(2979,3282)))</f>
        <v>97127484.886766881</v>
      </c>
      <c r="B455">
        <v>186866397.13093334</v>
      </c>
    </row>
    <row r="456" spans="1:2" x14ac:dyDescent="0.25">
      <c r="A456">
        <f ca="1">28379.8496161626*((RANDBETWEEN(2979,3282)))</f>
        <v>91070937.41826573</v>
      </c>
      <c r="B456">
        <v>170471801.42589197</v>
      </c>
    </row>
    <row r="457" spans="1:2" x14ac:dyDescent="0.25">
      <c r="A457">
        <f ca="1">30634.9358698255*((RANDBETWEEN(2979,3282)))</f>
        <v>92303061.775784299</v>
      </c>
      <c r="B457">
        <v>146264570.56125391</v>
      </c>
    </row>
    <row r="458" spans="1:2" x14ac:dyDescent="0.25">
      <c r="A458">
        <f ca="1">32802.111661248*((RANDBETWEEN(2979,3282)))</f>
        <v>101784952.48485269</v>
      </c>
      <c r="B458">
        <v>173904469.78252435</v>
      </c>
    </row>
    <row r="459" spans="1:2" x14ac:dyDescent="0.25">
      <c r="A459">
        <f ca="1">31915.8080126947*((RANDBETWEEN(2979,3282)))</f>
        <v>96736814.086477548</v>
      </c>
      <c r="B459">
        <v>150535622.41671732</v>
      </c>
    </row>
    <row r="460" spans="1:2" x14ac:dyDescent="0.25">
      <c r="A460">
        <f ca="1">40734.7774991978*((RANDBETWEEN(2979,3282)))</f>
        <v>126237075.47001396</v>
      </c>
      <c r="B460">
        <v>170336380.99384135</v>
      </c>
    </row>
    <row r="461" spans="1:2" x14ac:dyDescent="0.25">
      <c r="A461">
        <f ca="1">32075.4035057976*((RANDBETWEEN(2979,3282)))</f>
        <v>102224310.97297707</v>
      </c>
      <c r="B461">
        <v>145723459.20752567</v>
      </c>
    </row>
    <row r="462" spans="1:2" x14ac:dyDescent="0.25">
      <c r="A462">
        <f ca="1">34065.3620861342*((RANDBETWEEN(2979,3282)))</f>
        <v>103047720.31055591</v>
      </c>
      <c r="B462">
        <v>161044648.46437138</v>
      </c>
    </row>
    <row r="463" spans="1:2" x14ac:dyDescent="0.25">
      <c r="A463">
        <f ca="1">32376.4814962388*((RANDBETWEEN(2979,3282)))</f>
        <v>100399469.11983657</v>
      </c>
      <c r="B463">
        <v>194848206.57652727</v>
      </c>
    </row>
    <row r="464" spans="1:2" x14ac:dyDescent="0.25">
      <c r="A464">
        <f ca="1">41228.3510832777*((RANDBETWEEN(2979,3282)))</f>
        <v>125540329.04858056</v>
      </c>
      <c r="B464">
        <v>144905677.41429564</v>
      </c>
    </row>
    <row r="465" spans="1:2" x14ac:dyDescent="0.25">
      <c r="A465">
        <f ca="1">31484.8193020802*((RANDBETWEEN(2979,3282)))</f>
        <v>99932816.464802593</v>
      </c>
      <c r="B465">
        <v>143157230.03370768</v>
      </c>
    </row>
    <row r="466" spans="1:2" x14ac:dyDescent="0.25">
      <c r="A466">
        <f ca="1">34623.6101158861*((RANDBETWEEN(2979,3282)))</f>
        <v>107817921.90086938</v>
      </c>
      <c r="B466">
        <v>185066265.67643899</v>
      </c>
    </row>
    <row r="467" spans="1:2" x14ac:dyDescent="0.25">
      <c r="A467">
        <f ca="1">39386.8976317972*((RANDBETWEEN(2979,3282)))</f>
        <v>120090650.87934974</v>
      </c>
      <c r="B467">
        <v>174283359.17227224</v>
      </c>
    </row>
    <row r="468" spans="1:2" x14ac:dyDescent="0.25">
      <c r="A468">
        <f ca="1">28850.9491692551*((RANDBETWEEN(2979,3282)))</f>
        <v>90447725.645614713</v>
      </c>
      <c r="B468">
        <v>159192543.27477986</v>
      </c>
    </row>
    <row r="469" spans="1:2" x14ac:dyDescent="0.25">
      <c r="A469">
        <f ca="1">32160.6568717379*((RANDBETWEEN(2979,3282)))</f>
        <v>97736236.233211413</v>
      </c>
      <c r="B469">
        <v>158930340.1238367</v>
      </c>
    </row>
    <row r="470" spans="1:2" x14ac:dyDescent="0.25">
      <c r="A470">
        <f ca="1">40684.6618527754*((RANDBETWEEN(2979,3282)))</f>
        <v>123722056.69429</v>
      </c>
      <c r="B470">
        <v>171116916.98281094</v>
      </c>
    </row>
    <row r="471" spans="1:2" x14ac:dyDescent="0.25">
      <c r="A471">
        <f ca="1">28744.4412825909*((RANDBETWEEN(2979,3282)))</f>
        <v>92557100.929942757</v>
      </c>
      <c r="B471">
        <v>186751192.64179102</v>
      </c>
    </row>
    <row r="472" spans="1:2" x14ac:dyDescent="0.25">
      <c r="A472">
        <f ca="1">34316.1702943236*((RANDBETWEEN(2979,3282)))</f>
        <v>110669649.19919345</v>
      </c>
      <c r="B472">
        <v>180785681.95878646</v>
      </c>
    </row>
    <row r="473" spans="1:2" x14ac:dyDescent="0.25">
      <c r="A473">
        <f ca="1">38833.4617031022*((RANDBETWEEN(2979,3282)))</f>
        <v>118131390.50083689</v>
      </c>
      <c r="B473">
        <v>155191323.44292364</v>
      </c>
    </row>
    <row r="474" spans="1:2" x14ac:dyDescent="0.25">
      <c r="A474">
        <f ca="1">33351.6378854849*((RANDBETWEEN(2979,3282)))</f>
        <v>103089912.7040339</v>
      </c>
      <c r="B474">
        <v>176920740.23016086</v>
      </c>
    </row>
    <row r="475" spans="1:2" x14ac:dyDescent="0.25">
      <c r="A475">
        <f ca="1">36091.3032560488*((RANDBETWEEN(2979,3282)))</f>
        <v>109609287.98862016</v>
      </c>
      <c r="B475">
        <v>155531688.07803297</v>
      </c>
    </row>
    <row r="476" spans="1:2" x14ac:dyDescent="0.25">
      <c r="A476">
        <f ca="1">40746.7022841746*((RANDBETWEEN(2979,3282)))</f>
        <v>125214616.1192686</v>
      </c>
      <c r="B476">
        <v>169418545.37584621</v>
      </c>
    </row>
    <row r="477" spans="1:2" x14ac:dyDescent="0.25">
      <c r="A477">
        <f ca="1">31743.0062287647*((RANDBETWEEN(2979,3282)))</f>
        <v>102275966.06907982</v>
      </c>
      <c r="B477">
        <v>156225601.74436605</v>
      </c>
    </row>
    <row r="478" spans="1:2" x14ac:dyDescent="0.25">
      <c r="A478">
        <f ca="1">29623.7624053817*((RANDBETWEEN(2979,3282)))</f>
        <v>94914534.746843085</v>
      </c>
      <c r="B478">
        <v>172924769.40569919</v>
      </c>
    </row>
    <row r="479" spans="1:2" x14ac:dyDescent="0.25">
      <c r="A479">
        <f ca="1">33795.363427916*((RANDBETWEEN(2979,3282)))</f>
        <v>109496977.50644781</v>
      </c>
      <c r="B479">
        <v>167999595.38121694</v>
      </c>
    </row>
    <row r="480" spans="1:2" x14ac:dyDescent="0.25">
      <c r="A480">
        <f ca="1">31566.7092031856*((RANDBETWEEN(2979,3282)))</f>
        <v>95142061.538401321</v>
      </c>
      <c r="B480">
        <v>191615182.99414346</v>
      </c>
    </row>
    <row r="481" spans="1:2" x14ac:dyDescent="0.25">
      <c r="A481">
        <f ca="1">29391.890003413*((RANDBETWEEN(2979,3282)))</f>
        <v>94347966.910955593</v>
      </c>
      <c r="B481">
        <v>161350782.18519658</v>
      </c>
    </row>
    <row r="482" spans="1:2" x14ac:dyDescent="0.25">
      <c r="A482">
        <f ca="1">36688.476749241*((RANDBETWEEN(2979,3282)))</f>
        <v>113073885.34116086</v>
      </c>
      <c r="B482">
        <v>199511118.66596809</v>
      </c>
    </row>
    <row r="483" spans="1:2" x14ac:dyDescent="0.25">
      <c r="A483">
        <f ca="1">31303.5512582622*((RANDBETWEEN(2979,3282)))</f>
        <v>93472404.057170987</v>
      </c>
      <c r="B483">
        <v>160746231.44418472</v>
      </c>
    </row>
    <row r="484" spans="1:2" x14ac:dyDescent="0.25">
      <c r="A484">
        <f ca="1">31110.6003947893*((RANDBETWEEN(2979,3282)))</f>
        <v>94514003.999369845</v>
      </c>
      <c r="B484">
        <v>152564867.05043602</v>
      </c>
    </row>
    <row r="485" spans="1:2" x14ac:dyDescent="0.25">
      <c r="A485">
        <f ca="1">31020.1960634381*((RANDBETWEEN(2979,3282)))</f>
        <v>93836093.091900289</v>
      </c>
      <c r="B485">
        <v>188045836.81473678</v>
      </c>
    </row>
    <row r="486" spans="1:2" x14ac:dyDescent="0.25">
      <c r="A486">
        <f ca="1">33519.2071982117*((RANDBETWEEN(2979,3282)))</f>
        <v>109004461.80858454</v>
      </c>
      <c r="B486">
        <v>150804078.14545789</v>
      </c>
    </row>
    <row r="487" spans="1:2" x14ac:dyDescent="0.25">
      <c r="A487">
        <f ca="1">28747.8753520804*((RANDBETWEEN(2979,3282)))</f>
        <v>91015773.364686593</v>
      </c>
      <c r="B487">
        <v>147796719.15997157</v>
      </c>
    </row>
    <row r="488" spans="1:2" x14ac:dyDescent="0.25">
      <c r="A488">
        <f ca="1">39778.8963635036*((RANDBETWEEN(2979,3282)))</f>
        <v>125223965.75230949</v>
      </c>
      <c r="B488">
        <v>163282612.0833872</v>
      </c>
    </row>
    <row r="489" spans="1:2" x14ac:dyDescent="0.25">
      <c r="A489">
        <f ca="1">30514.37486025*((RANDBETWEEN(2979,3282)))</f>
        <v>97676513.927660227</v>
      </c>
      <c r="B489">
        <v>144199455.94029832</v>
      </c>
    </row>
    <row r="490" spans="1:2" x14ac:dyDescent="0.25">
      <c r="A490">
        <f ca="1">33065.239582853*((RANDBETWEEN(2979,3282)))</f>
        <v>101245763.60269575</v>
      </c>
      <c r="B490">
        <v>164313737.04986173</v>
      </c>
    </row>
    <row r="491" spans="1:2" x14ac:dyDescent="0.25">
      <c r="A491">
        <f ca="1">30896.1049010983*((RANDBETWEEN(2979,3282)))</f>
        <v>95098210.885580689</v>
      </c>
      <c r="B491">
        <v>174107365.16415378</v>
      </c>
    </row>
    <row r="492" spans="1:2" x14ac:dyDescent="0.25">
      <c r="A492">
        <f ca="1">30257.8104267566*((RANDBETWEEN(2979,3282)))</f>
        <v>98670719.801653132</v>
      </c>
      <c r="B492">
        <v>148553492.28185472</v>
      </c>
    </row>
    <row r="493" spans="1:2" x14ac:dyDescent="0.25">
      <c r="A493">
        <f ca="1">31619.4132584426*((RANDBETWEEN(2979,3282)))</f>
        <v>101972607.75847724</v>
      </c>
      <c r="B493">
        <v>170493413.95954058</v>
      </c>
    </row>
    <row r="494" spans="1:2" x14ac:dyDescent="0.25">
      <c r="A494">
        <f ca="1">32332.5738543117*((RANDBETWEEN(2979,3282)))</f>
        <v>97806035.909292817</v>
      </c>
      <c r="B494">
        <v>153658453.03701091</v>
      </c>
    </row>
    <row r="495" spans="1:2" x14ac:dyDescent="0.25">
      <c r="A495">
        <f ca="1">30268.039939593*((RANDBETWEEN(2979,3282)))</f>
        <v>92378057.895637751</v>
      </c>
      <c r="B495">
        <v>186637007.36677596</v>
      </c>
    </row>
    <row r="496" spans="1:2" x14ac:dyDescent="0.25">
      <c r="A496">
        <f ca="1">32486.9388308556*((RANDBETWEEN(2979,3282)))</f>
        <v>97135947.104258329</v>
      </c>
      <c r="B496">
        <v>152675665.37922052</v>
      </c>
    </row>
    <row r="497" spans="1:2" x14ac:dyDescent="0.25">
      <c r="A497">
        <f ca="1">33236.9015556117*((RANDBETWEEN(2979,3282)))</f>
        <v>100242495.09172484</v>
      </c>
      <c r="B497">
        <v>201246497.23216558</v>
      </c>
    </row>
    <row r="498" spans="1:2" x14ac:dyDescent="0.25">
      <c r="A498">
        <f ca="1">32018.3447592211*((RANDBETWEEN(2979,3282)))</f>
        <v>98680538.547919407</v>
      </c>
      <c r="B498">
        <v>166651441.21258554</v>
      </c>
    </row>
    <row r="499" spans="1:2" x14ac:dyDescent="0.25">
      <c r="A499">
        <f ca="1">31101.3984776217*((RANDBETWEEN(2979,3282)))</f>
        <v>97067464.648657367</v>
      </c>
      <c r="B499">
        <v>151582293.6481334</v>
      </c>
    </row>
    <row r="500" spans="1:2" x14ac:dyDescent="0.25">
      <c r="A500">
        <f ca="1">32950.7209741122*((RANDBETWEEN(2979,3282)))</f>
        <v>104750341.97670268</v>
      </c>
      <c r="B500">
        <v>191793930.64988634</v>
      </c>
    </row>
    <row r="501" spans="1:2" x14ac:dyDescent="0.25">
      <c r="A501">
        <f ca="1">31216.8858125648*((RANDBETWEEN(2979,3282)))</f>
        <v>95804622.558761522</v>
      </c>
      <c r="B501">
        <v>184433503.37488449</v>
      </c>
    </row>
    <row r="502" spans="1:2" x14ac:dyDescent="0.25">
      <c r="A502">
        <f ca="1">35724.817329672*((RANDBETWEEN(2979,3282)))</f>
        <v>116712978.2160385</v>
      </c>
      <c r="B502">
        <v>158901629.49814421</v>
      </c>
    </row>
    <row r="503" spans="1:2" x14ac:dyDescent="0.25">
      <c r="A503">
        <f ca="1">28638.9849609817*((RANDBETWEEN(2979,3282)))</f>
        <v>90298719.581975356</v>
      </c>
      <c r="B503">
        <v>165731920.41403699</v>
      </c>
    </row>
    <row r="504" spans="1:2" x14ac:dyDescent="0.25">
      <c r="A504">
        <f ca="1">31606.5232012497*((RANDBETWEEN(2979,3282)))</f>
        <v>99118056.759118915</v>
      </c>
      <c r="B504">
        <v>196281683.19826534</v>
      </c>
    </row>
    <row r="505" spans="1:2" x14ac:dyDescent="0.25">
      <c r="A505">
        <f ca="1">30597.4987722745*((RANDBETWEEN(2979,3282)))</f>
        <v>96259731.137575448</v>
      </c>
      <c r="B505">
        <v>167577548.26158622</v>
      </c>
    </row>
    <row r="506" spans="1:2" x14ac:dyDescent="0.25">
      <c r="A506">
        <f ca="1">31753.2194665159*((RANDBETWEEN(2979,3282)))</f>
        <v>96466280.739275426</v>
      </c>
      <c r="B506">
        <v>175339853.24692607</v>
      </c>
    </row>
    <row r="507" spans="1:2" x14ac:dyDescent="0.25">
      <c r="A507">
        <f ca="1">36074.0227460261*((RANDBETWEEN(2979,3282)))</f>
        <v>117565240.12929894</v>
      </c>
      <c r="B507">
        <v>192987269.14286172</v>
      </c>
    </row>
    <row r="508" spans="1:2" x14ac:dyDescent="0.25">
      <c r="A508">
        <f ca="1">30888.2080972445*((RANDBETWEEN(2979,3282)))</f>
        <v>93622158.742748052</v>
      </c>
      <c r="B508">
        <v>148906386.02310294</v>
      </c>
    </row>
    <row r="509" spans="1:2" x14ac:dyDescent="0.25">
      <c r="A509">
        <f ca="1">31245.7351043266*((RANDBETWEEN(2979,3282)))</f>
        <v>101423656.14864425</v>
      </c>
      <c r="B509">
        <v>155821087.47654623</v>
      </c>
    </row>
    <row r="510" spans="1:2" x14ac:dyDescent="0.25">
      <c r="A510">
        <f ca="1">30272.4774316816*((RANDBETWEEN(2979,3282)))</f>
        <v>94813399.316026896</v>
      </c>
      <c r="B510">
        <v>199778431.38646606</v>
      </c>
    </row>
    <row r="511" spans="1:2" x14ac:dyDescent="0.25">
      <c r="A511">
        <f ca="1">29283.0741275409*((RANDBETWEEN(2979,3282)))</f>
        <v>88142053.123898104</v>
      </c>
      <c r="B511">
        <v>199380478.7974115</v>
      </c>
    </row>
    <row r="512" spans="1:2" x14ac:dyDescent="0.25">
      <c r="A512">
        <f ca="1">29280.3078100242*((RANDBETWEEN(2979,3282)))</f>
        <v>88631491.740943372</v>
      </c>
      <c r="B512">
        <v>169504306.97754326</v>
      </c>
    </row>
    <row r="513" spans="1:2" x14ac:dyDescent="0.25">
      <c r="A513">
        <f ca="1">31366.585250657*((RANDBETWEEN(2979,3282)))</f>
        <v>97738279.641047165</v>
      </c>
      <c r="B513">
        <v>148386009.32121938</v>
      </c>
    </row>
    <row r="514" spans="1:2" x14ac:dyDescent="0.25">
      <c r="A514">
        <f ca="1">39728.0373432525*((RANDBETWEEN(2979,3282)))</f>
        <v>121885618.56909865</v>
      </c>
      <c r="B514">
        <v>153864851.21400687</v>
      </c>
    </row>
    <row r="515" spans="1:2" x14ac:dyDescent="0.25">
      <c r="A515">
        <f ca="1">33368.1463325067*((RANDBETWEEN(2979,3282)))</f>
        <v>104675875.04507343</v>
      </c>
      <c r="B515">
        <v>154067247.51856732</v>
      </c>
    </row>
    <row r="516" spans="1:2" x14ac:dyDescent="0.25">
      <c r="A516">
        <f ca="1">33232.7701130408*((RANDBETWEEN(2979,3282)))</f>
        <v>106477795.4421827</v>
      </c>
      <c r="B516">
        <v>184643580.48864791</v>
      </c>
    </row>
    <row r="517" spans="1:2" x14ac:dyDescent="0.25">
      <c r="A517">
        <f ca="1">34642.6593049645*((RANDBETWEEN(2979,3282)))</f>
        <v>108500808.94314884</v>
      </c>
      <c r="B517">
        <v>147510030.55990255</v>
      </c>
    </row>
    <row r="518" spans="1:2" x14ac:dyDescent="0.25">
      <c r="A518">
        <f ca="1">31379.1590789145*((RANDBETWEEN(2979,3282)))</f>
        <v>94545406.304769486</v>
      </c>
      <c r="B518">
        <v>188654281.71641991</v>
      </c>
    </row>
    <row r="519" spans="1:2" x14ac:dyDescent="0.25">
      <c r="A519">
        <f ca="1">32948.0660159413*((RANDBETWEEN(2979,3282)))</f>
        <v>99173678.707983449</v>
      </c>
      <c r="B519">
        <v>170691400.32051095</v>
      </c>
    </row>
    <row r="520" spans="1:2" x14ac:dyDescent="0.25">
      <c r="A520">
        <f ca="1">28323.4386399375*((RANDBETWEEN(2979,3282)))</f>
        <v>87009603.501887888</v>
      </c>
      <c r="B520">
        <v>169503235.29840282</v>
      </c>
    </row>
    <row r="521" spans="1:2" x14ac:dyDescent="0.25">
      <c r="A521">
        <f ca="1">29828.8112923761*((RANDBETWEEN(2979,3282)))</f>
        <v>90023352.480391204</v>
      </c>
      <c r="B521">
        <v>191927165.71569902</v>
      </c>
    </row>
    <row r="522" spans="1:2" x14ac:dyDescent="0.25">
      <c r="A522">
        <f ca="1">32036.3231553438*((RANDBETWEEN(2979,3282)))</f>
        <v>96461369.020740315</v>
      </c>
      <c r="B522">
        <v>168158513.50769967</v>
      </c>
    </row>
    <row r="523" spans="1:2" x14ac:dyDescent="0.25">
      <c r="A523">
        <f ca="1">32243.139806958*((RANDBETWEEN(2979,3282)))</f>
        <v>103887396.45801857</v>
      </c>
      <c r="B523">
        <v>158415064.09402782</v>
      </c>
    </row>
    <row r="524" spans="1:2" x14ac:dyDescent="0.25">
      <c r="A524">
        <f ca="1">36381.3432241933*((RANDBETWEEN(2979,3282)))</f>
        <v>114601231.15620905</v>
      </c>
      <c r="B524">
        <v>203574086.03099412</v>
      </c>
    </row>
    <row r="525" spans="1:2" x14ac:dyDescent="0.25">
      <c r="A525">
        <f ca="1">32921.3859792575*((RANDBETWEEN(2979,3282)))</f>
        <v>103899894.15053658</v>
      </c>
      <c r="B525">
        <v>166955854.91280586</v>
      </c>
    </row>
    <row r="526" spans="1:2" x14ac:dyDescent="0.25">
      <c r="A526">
        <f ca="1">31468.3789227141*((RANDBETWEEN(2979,3282)))</f>
        <v>95065972.725519419</v>
      </c>
      <c r="B526">
        <v>155284941.80559438</v>
      </c>
    </row>
    <row r="527" spans="1:2" x14ac:dyDescent="0.25">
      <c r="A527">
        <f ca="1">30878.835840221*((RANDBETWEEN(2979,3282)))</f>
        <v>93161447.729946762</v>
      </c>
      <c r="B527">
        <v>151619311.60635641</v>
      </c>
    </row>
    <row r="528" spans="1:2" x14ac:dyDescent="0.25">
      <c r="A528">
        <f ca="1">34209.9213851903*((RANDBETWEEN(2979,3282)))</f>
        <v>102869233.60526729</v>
      </c>
      <c r="B528">
        <v>173471993.7405327</v>
      </c>
    </row>
    <row r="529" spans="1:2" x14ac:dyDescent="0.25">
      <c r="A529">
        <f ca="1">29520.808137237*((RANDBETWEEN(2979,3282)))</f>
        <v>90304152.091808066</v>
      </c>
      <c r="B529">
        <v>169900170.38265723</v>
      </c>
    </row>
    <row r="530" spans="1:2" x14ac:dyDescent="0.25">
      <c r="A530">
        <f ca="1">37703.4200410051*((RANDBETWEEN(2979,3282)))</f>
        <v>115975720.04613157</v>
      </c>
      <c r="B530">
        <v>149068650.90626684</v>
      </c>
    </row>
    <row r="531" spans="1:2" x14ac:dyDescent="0.25">
      <c r="A531">
        <f ca="1">32377.5557306327*((RANDBETWEEN(2979,3282)))</f>
        <v>101859790.3285704</v>
      </c>
      <c r="B531">
        <v>157753801.49015522</v>
      </c>
    </row>
    <row r="532" spans="1:2" x14ac:dyDescent="0.25">
      <c r="A532">
        <f ca="1">32775.5482923533*((RANDBETWEEN(2979,3282)))</f>
        <v>107208818.46428749</v>
      </c>
      <c r="B532">
        <v>185631264.16179532</v>
      </c>
    </row>
    <row r="533" spans="1:2" x14ac:dyDescent="0.25">
      <c r="A533">
        <f ca="1">38233.3139253524*((RANDBETWEEN(2979,3282)))</f>
        <v>117452740.3786827</v>
      </c>
      <c r="B533">
        <v>173053866.59819832</v>
      </c>
    </row>
    <row r="534" spans="1:2" x14ac:dyDescent="0.25">
      <c r="A534">
        <f ca="1">31097.8803240635*((RANDBETWEEN(2979,3282)))</f>
        <v>92796074.887005553</v>
      </c>
      <c r="B534">
        <v>150727529.71574113</v>
      </c>
    </row>
    <row r="535" spans="1:2" x14ac:dyDescent="0.25">
      <c r="A535">
        <f ca="1">30574.7473704366*((RANDBETWEEN(2979,3282)))</f>
        <v>96065856.237911791</v>
      </c>
      <c r="B535">
        <v>176343903.4871816</v>
      </c>
    </row>
    <row r="536" spans="1:2" x14ac:dyDescent="0.25">
      <c r="A536">
        <f ca="1">28415.5106982382*((RANDBETWEEN(2979,3282)))</f>
        <v>91327451.38413763</v>
      </c>
      <c r="B536">
        <v>162374614.0831188</v>
      </c>
    </row>
    <row r="537" spans="1:2" x14ac:dyDescent="0.25">
      <c r="A537">
        <f ca="1">38918.7211458186*((RANDBETWEEN(2979,3282)))</f>
        <v>122088028.23443295</v>
      </c>
      <c r="B537">
        <v>165149196.70391348</v>
      </c>
    </row>
    <row r="538" spans="1:2" x14ac:dyDescent="0.25">
      <c r="A538">
        <f ca="1">35676.7666005601*((RANDBETWEEN(2979,3282)))</f>
        <v>110205532.02913003</v>
      </c>
      <c r="B538">
        <v>180098626.4439334</v>
      </c>
    </row>
    <row r="539" spans="1:2" x14ac:dyDescent="0.25">
      <c r="A539">
        <f ca="1">29086.9416651159*((RANDBETWEEN(2979,3282)))</f>
        <v>94590734.294956893</v>
      </c>
      <c r="B539">
        <v>149803445.45444244</v>
      </c>
    </row>
    <row r="540" spans="1:2" x14ac:dyDescent="0.25">
      <c r="A540">
        <f ca="1">31479.682321354*((RANDBETWEEN(2979,3282)))</f>
        <v>94753843.787275538</v>
      </c>
      <c r="B540">
        <v>150695379.39688632</v>
      </c>
    </row>
    <row r="541" spans="1:2" x14ac:dyDescent="0.25">
      <c r="A541">
        <f ca="1">28784.802950032*((RANDBETWEEN(2979,3282)))</f>
        <v>90988762.125051185</v>
      </c>
      <c r="B541">
        <v>174746661.39920944</v>
      </c>
    </row>
    <row r="542" spans="1:2" x14ac:dyDescent="0.25">
      <c r="A542">
        <f ca="1">30855.2525014537*((RANDBETWEEN(2979,3282)))</f>
        <v>93213717.806891695</v>
      </c>
      <c r="B542">
        <v>172874829.0772011</v>
      </c>
    </row>
    <row r="543" spans="1:2" x14ac:dyDescent="0.25">
      <c r="A543">
        <f ca="1">31883.7220521346*((RANDBETWEEN(2979,3282)))</f>
        <v>95651166.156403691</v>
      </c>
      <c r="B543">
        <v>153320575.22580379</v>
      </c>
    </row>
    <row r="544" spans="1:2" x14ac:dyDescent="0.25">
      <c r="A544">
        <f ca="1">40070.788609995*((RANDBETWEEN(2979,3282)))</f>
        <v>124740364.9429145</v>
      </c>
      <c r="B544">
        <v>166892331.12852234</v>
      </c>
    </row>
    <row r="545" spans="1:2" x14ac:dyDescent="0.25">
      <c r="A545">
        <f ca="1">38645.037964613*((RANDBETWEEN(2979,3282)))</f>
        <v>125480438.27109842</v>
      </c>
      <c r="B545">
        <v>149842239.26287949</v>
      </c>
    </row>
    <row r="546" spans="1:2" x14ac:dyDescent="0.25">
      <c r="A546">
        <f ca="1">30731.6480155497*((RANDBETWEEN(2979,3282)))</f>
        <v>93301283.375208735</v>
      </c>
      <c r="B546">
        <v>156076981.76061687</v>
      </c>
    </row>
    <row r="547" spans="1:2" x14ac:dyDescent="0.25">
      <c r="A547">
        <f ca="1">31339.2401424592*((RANDBETWEEN(2979,3282)))</f>
        <v>98969320.369886264</v>
      </c>
      <c r="B547">
        <v>142918711.96760532</v>
      </c>
    </row>
    <row r="548" spans="1:2" x14ac:dyDescent="0.25">
      <c r="A548">
        <f ca="1">32292.6474784053*((RANDBETWEEN(2979,3282)))</f>
        <v>104918811.6573389</v>
      </c>
      <c r="B548">
        <v>187103169.89676386</v>
      </c>
    </row>
    <row r="549" spans="1:2" x14ac:dyDescent="0.25">
      <c r="A549">
        <f ca="1">34316.9491237645*((RANDBETWEEN(2979,3282)))</f>
        <v>108921996.51882838</v>
      </c>
      <c r="B549">
        <v>167048800.84422016</v>
      </c>
    </row>
    <row r="550" spans="1:2" x14ac:dyDescent="0.25">
      <c r="A550">
        <f ca="1">34287.2299066913*((RANDBETWEEN(2979,3282)))</f>
        <v>102484530.19110028</v>
      </c>
      <c r="B550">
        <v>184377575.15534899</v>
      </c>
    </row>
    <row r="551" spans="1:2" x14ac:dyDescent="0.25">
      <c r="A551">
        <f ca="1">31518.3855548512*((RANDBETWEEN(2979,3282)))</f>
        <v>99314432.883336022</v>
      </c>
      <c r="B551">
        <v>144757233.93016273</v>
      </c>
    </row>
    <row r="552" spans="1:2" x14ac:dyDescent="0.25">
      <c r="A552">
        <f ca="1">38806.8131890459*((RANDBETWEEN(2979,3282)))</f>
        <v>124026574.9521908</v>
      </c>
      <c r="B552">
        <v>183909776.53816944</v>
      </c>
    </row>
    <row r="553" spans="1:2" x14ac:dyDescent="0.25">
      <c r="A553">
        <f ca="1">37412.0141670972*((RANDBETWEEN(2979,3282)))</f>
        <v>113582875.01130708</v>
      </c>
      <c r="B553">
        <v>161055988.03476751</v>
      </c>
    </row>
    <row r="554" spans="1:2" x14ac:dyDescent="0.25">
      <c r="A554">
        <f ca="1">30439.7311294906*((RANDBETWEEN(2979,3282)))</f>
        <v>99324842.675527915</v>
      </c>
      <c r="B554">
        <v>159261915.66871148</v>
      </c>
    </row>
    <row r="555" spans="1:2" x14ac:dyDescent="0.25">
      <c r="A555">
        <f ca="1">42593.9722870114*((RANDBETWEEN(2979,3282)))</f>
        <v>131444998.47771722</v>
      </c>
      <c r="B555">
        <v>184212385.64041424</v>
      </c>
    </row>
    <row r="556" spans="1:2" x14ac:dyDescent="0.25">
      <c r="A556">
        <f ca="1">35237.2163674021*((RANDBETWEEN(2979,3282)))</f>
        <v>109164896.30621181</v>
      </c>
      <c r="B556">
        <v>164338560.40410858</v>
      </c>
    </row>
    <row r="557" spans="1:2" x14ac:dyDescent="0.25">
      <c r="A557">
        <f ca="1">28991.9448181932*((RANDBETWEEN(2979,3282)))</f>
        <v>93093134.811218306</v>
      </c>
      <c r="B557">
        <v>152557866.95104313</v>
      </c>
    </row>
    <row r="558" spans="1:2" x14ac:dyDescent="0.25">
      <c r="A558">
        <f ca="1">32411.0748790142*((RANDBETWEEN(2979,3282)))</f>
        <v>104428483.26018374</v>
      </c>
      <c r="B558">
        <v>161760063.57616359</v>
      </c>
    </row>
    <row r="559" spans="1:2" x14ac:dyDescent="0.25">
      <c r="A559">
        <f ca="1">31176.2866207664*((RANDBETWEEN(2979,3282)))</f>
        <v>102289396.40273471</v>
      </c>
      <c r="B559">
        <v>192270701.27852851</v>
      </c>
    </row>
    <row r="560" spans="1:2" x14ac:dyDescent="0.25">
      <c r="A560">
        <f ca="1">31042.6896533486*((RANDBETWEEN(2979,3282)))</f>
        <v>99274521.51140891</v>
      </c>
      <c r="B560">
        <v>156034726.71877524</v>
      </c>
    </row>
    <row r="561" spans="1:2" x14ac:dyDescent="0.25">
      <c r="A561">
        <f ca="1">31911.8478015056*((RANDBETWEEN(2979,3282)))</f>
        <v>98192755.685232863</v>
      </c>
      <c r="B561">
        <v>165722813.67623433</v>
      </c>
    </row>
    <row r="562" spans="1:2" x14ac:dyDescent="0.25">
      <c r="A562">
        <f ca="1">34203.8833932127*((RANDBETWEEN(2979,3282)))</f>
        <v>106168854.05253236</v>
      </c>
      <c r="B562">
        <v>200983538.87235343</v>
      </c>
    </row>
    <row r="563" spans="1:2" x14ac:dyDescent="0.25">
      <c r="A563">
        <f ca="1">30561.134931657*((RANDBETWEEN(2979,3282)))</f>
        <v>98559660.15459393</v>
      </c>
      <c r="B563">
        <v>162702322.44990402</v>
      </c>
    </row>
    <row r="564" spans="1:2" x14ac:dyDescent="0.25">
      <c r="A564">
        <f ca="1">38752.3335640214*((RANDBETWEEN(2979,3282)))</f>
        <v>124356238.40694462</v>
      </c>
      <c r="B564">
        <v>154338290.99508286</v>
      </c>
    </row>
    <row r="565" spans="1:2" x14ac:dyDescent="0.25">
      <c r="A565">
        <f ca="1">29212.2855019525*((RANDBETWEEN(2979,3282)))</f>
        <v>89886202.489507854</v>
      </c>
      <c r="B565">
        <v>156720280.80055499</v>
      </c>
    </row>
    <row r="566" spans="1:2" x14ac:dyDescent="0.25">
      <c r="A566">
        <f ca="1">41849.4278718483*((RANDBETWEEN(2979,3282)))</f>
        <v>135508447.44904473</v>
      </c>
      <c r="B566">
        <v>168250977.22299659</v>
      </c>
    </row>
    <row r="567" spans="1:2" x14ac:dyDescent="0.25">
      <c r="A567">
        <f ca="1">31110.0211664777*((RANDBETWEEN(2979,3282)))</f>
        <v>100454258.34655663</v>
      </c>
      <c r="B567">
        <v>192336378.41702709</v>
      </c>
    </row>
    <row r="568" spans="1:2" x14ac:dyDescent="0.25">
      <c r="A568">
        <f ca="1">41495.5801958537*((RANDBETWEEN(2979,3282)))</f>
        <v>131582484.80105196</v>
      </c>
      <c r="B568">
        <v>156125524.93517059</v>
      </c>
    </row>
    <row r="569" spans="1:2" x14ac:dyDescent="0.25">
      <c r="A569">
        <f ca="1">29841.446896226*((RANDBETWEEN(2979,3282)))</f>
        <v>89046877.538338244</v>
      </c>
      <c r="B569">
        <v>197917375.71570635</v>
      </c>
    </row>
    <row r="570" spans="1:2" x14ac:dyDescent="0.25">
      <c r="A570">
        <f ca="1">31674.7336769241*((RANDBETWEEN(2979,3282)))</f>
        <v>101549196.16821852</v>
      </c>
      <c r="B570">
        <v>146321563.73571756</v>
      </c>
    </row>
    <row r="571" spans="1:2" x14ac:dyDescent="0.25">
      <c r="A571">
        <f ca="1">31710.3820979143*((RANDBETWEEN(2979,3282)))</f>
        <v>102456244.55836105</v>
      </c>
      <c r="B571">
        <v>194123333.26783878</v>
      </c>
    </row>
    <row r="572" spans="1:2" x14ac:dyDescent="0.25">
      <c r="A572">
        <f ca="1">30384.5606538634*((RANDBETWEEN(2979,3282)))</f>
        <v>95134059.407246381</v>
      </c>
      <c r="B572">
        <v>147492583.98517162</v>
      </c>
    </row>
    <row r="573" spans="1:2" x14ac:dyDescent="0.25">
      <c r="A573">
        <f ca="1">41568.6591084805*((RANDBETWEEN(2979,3282)))</f>
        <v>136220495.89849076</v>
      </c>
      <c r="B573">
        <v>165036673.6214335</v>
      </c>
    </row>
    <row r="574" spans="1:2" x14ac:dyDescent="0.25">
      <c r="A574">
        <f ca="1">32881.7189587207*((RANDBETWEEN(2979,3282)))</f>
        <v>99894662.196593568</v>
      </c>
      <c r="B574">
        <v>157999311.39983124</v>
      </c>
    </row>
    <row r="575" spans="1:2" x14ac:dyDescent="0.25">
      <c r="A575">
        <f ca="1">35857.7372546168*((RANDBETWEEN(2979,3282)))</f>
        <v>114995763.3755561</v>
      </c>
      <c r="B575">
        <v>161755308.02518901</v>
      </c>
    </row>
    <row r="576" spans="1:2" x14ac:dyDescent="0.25">
      <c r="A576">
        <f ca="1">32916.7928756212*((RANDBETWEEN(2979,3282)))</f>
        <v>100132883.92763981</v>
      </c>
      <c r="B576">
        <v>145627024.80056083</v>
      </c>
    </row>
    <row r="577" spans="1:2" x14ac:dyDescent="0.25">
      <c r="A577">
        <f ca="1">35457.8746639906*((RANDBETWEEN(2979,3282)))</f>
        <v>106444539.74129963</v>
      </c>
      <c r="B577">
        <v>168641486.28074086</v>
      </c>
    </row>
    <row r="578" spans="1:2" x14ac:dyDescent="0.25">
      <c r="A578">
        <f ca="1">29801.8462300965*((RANDBETWEEN(2979,3282)))</f>
        <v>89524746.07520999</v>
      </c>
      <c r="B578">
        <v>153383044.80809751</v>
      </c>
    </row>
    <row r="579" spans="1:2" x14ac:dyDescent="0.25">
      <c r="A579">
        <f ca="1">33543.0505770375*((RANDBETWEEN(2979,3282)))</f>
        <v>102339847.31054138</v>
      </c>
      <c r="B579">
        <v>200162182.83862436</v>
      </c>
    </row>
    <row r="580" spans="1:2" x14ac:dyDescent="0.25">
      <c r="A580">
        <f ca="1">33800.0610481188*((RANDBETWEEN(2979,3282)))</f>
        <v>107619394.37721036</v>
      </c>
      <c r="B580">
        <v>160874831.16188654</v>
      </c>
    </row>
    <row r="581" spans="1:2" x14ac:dyDescent="0.25">
      <c r="A581">
        <f ca="1">31074.3226077859*((RANDBETWEEN(2979,3282)))</f>
        <v>95087427.179824978</v>
      </c>
      <c r="B581">
        <v>149830851.50235465</v>
      </c>
    </row>
    <row r="582" spans="1:2" x14ac:dyDescent="0.25">
      <c r="A582">
        <f ca="1">28931.9200080504*((RANDBETWEEN(2979,3282)))</f>
        <v>91656322.585503742</v>
      </c>
      <c r="B582">
        <v>184644318.58954683</v>
      </c>
    </row>
    <row r="583" spans="1:2" x14ac:dyDescent="0.25">
      <c r="A583">
        <f ca="1">42022.9812320302*((RANDBETWEEN(2979,3282)))</f>
        <v>128002000.8327641</v>
      </c>
      <c r="B583">
        <v>175748591.93458784</v>
      </c>
    </row>
    <row r="584" spans="1:2" x14ac:dyDescent="0.25">
      <c r="A584">
        <f ca="1">31246.5614155179*((RANDBETWEEN(2979,3282)))</f>
        <v>94114642.983540028</v>
      </c>
      <c r="B584">
        <v>149273220.10910061</v>
      </c>
    </row>
    <row r="585" spans="1:2" x14ac:dyDescent="0.25">
      <c r="A585">
        <f ca="1">33066.9581942299*((RANDBETWEEN(2979,3282)))</f>
        <v>98804071.084358826</v>
      </c>
      <c r="B585">
        <v>191002566.8401072</v>
      </c>
    </row>
    <row r="586" spans="1:2" x14ac:dyDescent="0.25">
      <c r="A586">
        <f ca="1">31563.5506358219*((RANDBETWEEN(2979,3282)))</f>
        <v>102739357.31960045</v>
      </c>
      <c r="B586">
        <v>144165816.92103654</v>
      </c>
    </row>
    <row r="587" spans="1:2" x14ac:dyDescent="0.25">
      <c r="A587">
        <f ca="1">34711.1137823544*((RANDBETWEEN(2979,3282)))</f>
        <v>113748319.86477546</v>
      </c>
      <c r="B587">
        <v>167013936.62932017</v>
      </c>
    </row>
    <row r="588" spans="1:2" x14ac:dyDescent="0.25">
      <c r="A588">
        <f ca="1">30769.2799783861*((RANDBETWEEN(2979,3282)))</f>
        <v>94277073.85377501</v>
      </c>
      <c r="B588">
        <v>171634883.0188725</v>
      </c>
    </row>
    <row r="589" spans="1:2" x14ac:dyDescent="0.25">
      <c r="A589">
        <f ca="1">34825.9262345618*((RANDBETWEEN(2979,3282)))</f>
        <v>108447934.2944254</v>
      </c>
      <c r="B589">
        <v>143971584.78681469</v>
      </c>
    </row>
    <row r="590" spans="1:2" x14ac:dyDescent="0.25">
      <c r="A590">
        <f ca="1">33576.7110449687*((RANDBETWEEN(2979,3282)))</f>
        <v>101703857.75521025</v>
      </c>
      <c r="B590">
        <v>162193290.65706831</v>
      </c>
    </row>
    <row r="591" spans="1:2" x14ac:dyDescent="0.25">
      <c r="A591">
        <f ca="1">29655.7316845486*((RANDBETWEEN(2979,3282)))</f>
        <v>89916178.46755141</v>
      </c>
      <c r="B591">
        <v>190269693.98426393</v>
      </c>
    </row>
    <row r="592" spans="1:2" x14ac:dyDescent="0.25">
      <c r="A592">
        <f ca="1">35183.0365644726*((RANDBETWEEN(2979,3282)))</f>
        <v>106499051.68065864</v>
      </c>
      <c r="B592">
        <v>185838902.28065985</v>
      </c>
    </row>
    <row r="593" spans="1:2" x14ac:dyDescent="0.25">
      <c r="A593">
        <f ca="1">34553.4918028327*((RANDBETWEEN(2979,3282)))</f>
        <v>105042615.08061148</v>
      </c>
      <c r="B593">
        <v>184240471.74777463</v>
      </c>
    </row>
    <row r="594" spans="1:2" x14ac:dyDescent="0.25">
      <c r="A594">
        <f ca="1">40158.3770350158*((RANDBETWEEN(2979,3282)))</f>
        <v>121278298.64574772</v>
      </c>
      <c r="B594">
        <v>163691740.20927301</v>
      </c>
    </row>
    <row r="595" spans="1:2" x14ac:dyDescent="0.25">
      <c r="A595">
        <f ca="1">31174.1626415924*((RANDBETWEEN(2979,3282)))</f>
        <v>100567848.68177707</v>
      </c>
      <c r="B595">
        <v>153891171.50816298</v>
      </c>
    </row>
    <row r="596" spans="1:2" x14ac:dyDescent="0.25">
      <c r="A596">
        <f ca="1">36349.0067656144*((RANDBETWEEN(2979,3282)))</f>
        <v>112790967.99370179</v>
      </c>
      <c r="B596">
        <v>197235911.26428673</v>
      </c>
    </row>
    <row r="597" spans="1:2" x14ac:dyDescent="0.25">
      <c r="A597">
        <f ca="1">33274.4193858134*((RANDBETWEEN(2979,3282)))</f>
        <v>104182207.09698172</v>
      </c>
      <c r="B597">
        <v>148854126.48372346</v>
      </c>
    </row>
    <row r="598" spans="1:2" x14ac:dyDescent="0.25">
      <c r="A598">
        <f ca="1">32565.4830974436*((RANDBETWEEN(2979,3282)))</f>
        <v>102060224.02738813</v>
      </c>
      <c r="B598">
        <v>148309443.11303779</v>
      </c>
    </row>
    <row r="599" spans="1:2" x14ac:dyDescent="0.25">
      <c r="A599">
        <f ca="1">36127.8548084101*((RANDBETWEEN(2979,3282)))</f>
        <v>111057025.68105263</v>
      </c>
      <c r="B599">
        <v>157288241.18860739</v>
      </c>
    </row>
    <row r="600" spans="1:2" x14ac:dyDescent="0.25">
      <c r="A600">
        <f ca="1">32955.1372337599*((RANDBETWEEN(2979,3282)))</f>
        <v>102852983.30656457</v>
      </c>
      <c r="B600">
        <v>158133715.06072873</v>
      </c>
    </row>
    <row r="601" spans="1:2" x14ac:dyDescent="0.25">
      <c r="A601">
        <f ca="1">38685.7685913823*((RANDBETWEEN(2979,3282)))</f>
        <v>116985764.22034015</v>
      </c>
      <c r="B601">
        <v>181277798.66138086</v>
      </c>
    </row>
    <row r="602" spans="1:2" x14ac:dyDescent="0.25">
      <c r="A602">
        <f ca="1">30180.3532525339*((RANDBETWEEN(2979,3282)))</f>
        <v>93981620.028390437</v>
      </c>
      <c r="B602">
        <v>175067845.49660239</v>
      </c>
    </row>
    <row r="603" spans="1:2" x14ac:dyDescent="0.25">
      <c r="A603">
        <f ca="1">30731.5530941942*((RANDBETWEEN(2979,3282)))</f>
        <v>99816084.449942619</v>
      </c>
      <c r="B603">
        <v>192036093.41528684</v>
      </c>
    </row>
    <row r="604" spans="1:2" x14ac:dyDescent="0.25">
      <c r="A604">
        <f ca="1">33676.1161112387*((RANDBETWEEN(2979,3282)))</f>
        <v>100994672.21760488</v>
      </c>
      <c r="B604">
        <v>144104915.24904442</v>
      </c>
    </row>
    <row r="605" spans="1:2" x14ac:dyDescent="0.25">
      <c r="A605">
        <f ca="1">33314.0851392895*((RANDBETWEEN(2979,3282)))</f>
        <v>108404033.043248</v>
      </c>
      <c r="B605">
        <v>169250141.50955594</v>
      </c>
    </row>
    <row r="606" spans="1:2" x14ac:dyDescent="0.25">
      <c r="A606">
        <f ca="1">30399.791067569*((RANDBETWEEN(2979,3282)))</f>
        <v>94087353.354126036</v>
      </c>
      <c r="B606">
        <v>151590323.61908913</v>
      </c>
    </row>
    <row r="607" spans="1:2" x14ac:dyDescent="0.25">
      <c r="A607">
        <f ca="1">31016.2826219459*((RANDBETWEEN(2979,3282)))</f>
        <v>96119459.845410302</v>
      </c>
      <c r="B607">
        <v>194426904.91558635</v>
      </c>
    </row>
    <row r="608" spans="1:2" x14ac:dyDescent="0.25">
      <c r="A608">
        <f ca="1">32151.4566018366*((RANDBETWEEN(2979,3282)))</f>
        <v>98415608.658221871</v>
      </c>
      <c r="B608">
        <v>196977019.2855837</v>
      </c>
    </row>
    <row r="609" spans="1:2" x14ac:dyDescent="0.25">
      <c r="A609">
        <f ca="1">30601.0628747774*((RANDBETWEEN(2979,3282)))</f>
        <v>95873129.986677721</v>
      </c>
      <c r="B609">
        <v>144615964.39593619</v>
      </c>
    </row>
    <row r="610" spans="1:2" x14ac:dyDescent="0.25">
      <c r="A610">
        <f ca="1">33314.7284121826*((RANDBETWEEN(2979,3282)))</f>
        <v>107539943.31452556</v>
      </c>
      <c r="B610">
        <v>180721388.47471565</v>
      </c>
    </row>
    <row r="611" spans="1:2" x14ac:dyDescent="0.25">
      <c r="A611">
        <f ca="1">31222.3171921894*((RANDBETWEEN(2979,3282)))</f>
        <v>99661636.47746858</v>
      </c>
      <c r="B611">
        <v>160904003.66677904</v>
      </c>
    </row>
    <row r="612" spans="1:2" x14ac:dyDescent="0.25">
      <c r="A612">
        <f ca="1">40511.7561361061*((RANDBETWEEN(2979,3282)))</f>
        <v>129354037.34258667</v>
      </c>
      <c r="B612">
        <v>158067828.05286667</v>
      </c>
    </row>
    <row r="613" spans="1:2" x14ac:dyDescent="0.25">
      <c r="A613">
        <f ca="1">31972.218611858*((RANDBETWEEN(2979,3282)))</f>
        <v>103845766.05131507</v>
      </c>
      <c r="B613">
        <v>144349779.50649601</v>
      </c>
    </row>
    <row r="614" spans="1:2" x14ac:dyDescent="0.25">
      <c r="A614">
        <f ca="1">39498.6063370483*((RANDBETWEEN(2979,3282)))</f>
        <v>125763562.57716189</v>
      </c>
      <c r="B614">
        <v>195329769.6144799</v>
      </c>
    </row>
    <row r="615" spans="1:2" x14ac:dyDescent="0.25">
      <c r="A615">
        <f ca="1">30657.2466039946*((RANDBETWEEN(2979,3282)))</f>
        <v>97214128.981266856</v>
      </c>
      <c r="B615">
        <v>165172164.78474337</v>
      </c>
    </row>
    <row r="616" spans="1:2" x14ac:dyDescent="0.25">
      <c r="A616">
        <f ca="1">38095.488495125*((RANDBETWEEN(2979,3282)))</f>
        <v>116000762.46765573</v>
      </c>
      <c r="B616">
        <v>163547332.70554116</v>
      </c>
    </row>
    <row r="617" spans="1:2" x14ac:dyDescent="0.25">
      <c r="A617">
        <f ca="1">32187.8374468061*((RANDBETWEEN(2979,3282)))</f>
        <v>104964537.91403462</v>
      </c>
      <c r="B617">
        <v>143706197.11895829</v>
      </c>
    </row>
    <row r="618" spans="1:2" x14ac:dyDescent="0.25">
      <c r="A618">
        <f ca="1">30323.0800458209*((RANDBETWEEN(2979,3282)))</f>
        <v>92546040.299845532</v>
      </c>
      <c r="B618">
        <v>167703607.00738022</v>
      </c>
    </row>
    <row r="619" spans="1:2" x14ac:dyDescent="0.25">
      <c r="A619">
        <f ca="1">37327.2761366369*((RANDBETWEEN(2979,3282)))</f>
        <v>114669392.29174867</v>
      </c>
      <c r="B619">
        <v>171534288.51608694</v>
      </c>
    </row>
    <row r="620" spans="1:2" x14ac:dyDescent="0.25">
      <c r="A620">
        <f ca="1">30934.3770391717*((RANDBETWEEN(2979,3282)))</f>
        <v>94009571.822042659</v>
      </c>
      <c r="B620">
        <v>180887942.68062085</v>
      </c>
    </row>
    <row r="621" spans="1:2" x14ac:dyDescent="0.25">
      <c r="A621">
        <f ca="1">29099.3537810187*((RANDBETWEEN(2979,3282)))</f>
        <v>95445880.40174143</v>
      </c>
      <c r="B621">
        <v>175744761.36077192</v>
      </c>
    </row>
    <row r="622" spans="1:2" x14ac:dyDescent="0.25">
      <c r="A622">
        <f ca="1">41653.2755497471*((RANDBETWEEN(2979,3282)))</f>
        <v>134914959.50563094</v>
      </c>
      <c r="B622">
        <v>197079757.02136788</v>
      </c>
    </row>
    <row r="623" spans="1:2" x14ac:dyDescent="0.25">
      <c r="A623">
        <f ca="1">30279.9078937924*((RANDBETWEEN(2979,3282)))</f>
        <v>90688324.141908348</v>
      </c>
      <c r="B623">
        <v>155273814.83934459</v>
      </c>
    </row>
    <row r="624" spans="1:2" x14ac:dyDescent="0.25">
      <c r="A624">
        <f ca="1">27684.7941083883*((RANDBETWEEN(2979,3282)))</f>
        <v>87954590.882349685</v>
      </c>
      <c r="B624">
        <v>152638716.83322731</v>
      </c>
    </row>
    <row r="625" spans="1:2" x14ac:dyDescent="0.25">
      <c r="A625">
        <f ca="1">39913.2563486119*((RANDBETWEEN(2979,3282)))</f>
        <v>123371875.37355933</v>
      </c>
      <c r="B625">
        <v>186652450.33740515</v>
      </c>
    </row>
    <row r="626" spans="1:2" x14ac:dyDescent="0.25">
      <c r="A626">
        <f ca="1">34120.7949851214*((RANDBETWEEN(2979,3282)))</f>
        <v>108299403.28277537</v>
      </c>
      <c r="B626">
        <v>176841933.5232957</v>
      </c>
    </row>
    <row r="627" spans="1:2" x14ac:dyDescent="0.25">
      <c r="A627">
        <f ca="1">38202.5367062957*((RANDBETWEEN(2979,3282)))</f>
        <v>119535737.35399924</v>
      </c>
      <c r="B627">
        <v>183614070.19135937</v>
      </c>
    </row>
    <row r="628" spans="1:2" x14ac:dyDescent="0.25">
      <c r="A628">
        <f ca="1">31137.7701612034*((RANDBETWEEN(2979,3282)))</f>
        <v>95063612.302153856</v>
      </c>
      <c r="B628">
        <v>145593174.06402856</v>
      </c>
    </row>
    <row r="629" spans="1:2" x14ac:dyDescent="0.25">
      <c r="A629">
        <f ca="1">39672.3595410732*((RANDBETWEEN(2979,3282)))</f>
        <v>126713516.37418769</v>
      </c>
      <c r="B629">
        <v>150717771.10776615</v>
      </c>
    </row>
    <row r="630" spans="1:2" x14ac:dyDescent="0.25">
      <c r="A630">
        <f ca="1">39765.13122586*((RANDBETWEEN(2979,3282)))</f>
        <v>127526775.84133288</v>
      </c>
      <c r="B630">
        <v>165508207.67511699</v>
      </c>
    </row>
    <row r="631" spans="1:2" x14ac:dyDescent="0.25">
      <c r="A631">
        <f ca="1">31445.9307692978*((RANDBETWEEN(2979,3282)))</f>
        <v>96696237.115590796</v>
      </c>
      <c r="B631">
        <v>146148062.2127865</v>
      </c>
    </row>
    <row r="632" spans="1:2" x14ac:dyDescent="0.25">
      <c r="A632">
        <f ca="1">37680.8098013151*((RANDBETWEEN(2979,3282)))</f>
        <v>119561209.49957277</v>
      </c>
      <c r="B632">
        <v>144285335.58383849</v>
      </c>
    </row>
    <row r="633" spans="1:2" x14ac:dyDescent="0.25">
      <c r="A633">
        <f ca="1">32193.776276034*((RANDBETWEEN(2979,3282)))</f>
        <v>102279627.22895995</v>
      </c>
      <c r="B633">
        <v>170110225.17210722</v>
      </c>
    </row>
    <row r="634" spans="1:2" x14ac:dyDescent="0.25">
      <c r="A634">
        <f ca="1">33884.2552724295*((RANDBETWEEN(2979,3282)))</f>
        <v>110361019.42230304</v>
      </c>
      <c r="B634">
        <v>159198763.23185614</v>
      </c>
    </row>
    <row r="635" spans="1:2" x14ac:dyDescent="0.25">
      <c r="A635">
        <f ca="1">32754.3228906908*((RANDBETWEEN(2979,3282)))</f>
        <v>101079840.44067171</v>
      </c>
      <c r="B635">
        <v>164146252.42228875</v>
      </c>
    </row>
    <row r="636" spans="1:2" x14ac:dyDescent="0.25">
      <c r="A636">
        <f ca="1">32039.3702905021*((RANDBETWEEN(2979,3282)))</f>
        <v>99994874.676656961</v>
      </c>
      <c r="B636">
        <v>166086355.9208827</v>
      </c>
    </row>
    <row r="637" spans="1:2" x14ac:dyDescent="0.25">
      <c r="A637">
        <f ca="1">29824.2517624926*((RANDBETWEEN(2979,3282)))</f>
        <v>97435830.508063182</v>
      </c>
      <c r="B637">
        <v>187863573.4104808</v>
      </c>
    </row>
    <row r="638" spans="1:2" x14ac:dyDescent="0.25">
      <c r="A638">
        <f ca="1">31130.3870100388*((RANDBETWEEN(2979,3282)))</f>
        <v>93764725.674236923</v>
      </c>
      <c r="B638">
        <v>152369794.86667168</v>
      </c>
    </row>
    <row r="639" spans="1:2" x14ac:dyDescent="0.25">
      <c r="A639">
        <f ca="1">31794.7825803005*((RANDBETWEEN(2979,3282)))</f>
        <v>100821255.56213285</v>
      </c>
      <c r="B639">
        <v>152425866.31607509</v>
      </c>
    </row>
    <row r="640" spans="1:2" x14ac:dyDescent="0.25">
      <c r="A640">
        <f ca="1">32009.2795303911*((RANDBETWEEN(2979,3282)))</f>
        <v>103870112.07611904</v>
      </c>
      <c r="B640">
        <v>145802377.88508785</v>
      </c>
    </row>
    <row r="641" spans="1:2" x14ac:dyDescent="0.25">
      <c r="A641">
        <f ca="1">31914.462511101*((RANDBETWEEN(2979,3282)))</f>
        <v>104328377.94878903</v>
      </c>
      <c r="B641">
        <v>179229209.696275</v>
      </c>
    </row>
    <row r="642" spans="1:2" x14ac:dyDescent="0.25">
      <c r="A642">
        <f ca="1">31503.6940817371*((RANDBETWEEN(2979,3282)))</f>
        <v>96842355.60725987</v>
      </c>
      <c r="B642">
        <v>147317457.914875</v>
      </c>
    </row>
    <row r="643" spans="1:2" x14ac:dyDescent="0.25">
      <c r="A643">
        <f ca="1">30059.3594549652*((RANDBETWEEN(2979,3282)))</f>
        <v>95678941.145154089</v>
      </c>
      <c r="B643">
        <v>152582026.20103359</v>
      </c>
    </row>
    <row r="644" spans="1:2" x14ac:dyDescent="0.25">
      <c r="A644">
        <f ca="1">35156.9386863218*((RANDBETWEEN(2979,3282)))</f>
        <v>112572517.67360248</v>
      </c>
      <c r="B644">
        <v>163086880.09116685</v>
      </c>
    </row>
    <row r="645" spans="1:2" x14ac:dyDescent="0.25">
      <c r="A645">
        <f ca="1">31420.318222101*((RANDBETWEEN(2979,3282)))</f>
        <v>94041012.43874836</v>
      </c>
      <c r="B645">
        <v>180369080.96090567</v>
      </c>
    </row>
    <row r="646" spans="1:2" x14ac:dyDescent="0.25">
      <c r="A646">
        <f ca="1">31644.1004337407*((RANDBETWEEN(2979,3282)))</f>
        <v>95818336.113366723</v>
      </c>
      <c r="B646">
        <v>156122633.97442994</v>
      </c>
    </row>
    <row r="647" spans="1:2" x14ac:dyDescent="0.25">
      <c r="A647">
        <f ca="1">37603.525626907*((RANDBETWEEN(2979,3282)))</f>
        <v>119504004.44231033</v>
      </c>
      <c r="B647">
        <v>160519666.04172397</v>
      </c>
    </row>
    <row r="648" spans="1:2" x14ac:dyDescent="0.25">
      <c r="A648">
        <f ca="1">33238.5502829135*((RANDBETWEEN(2979,3282)))</f>
        <v>100380421.85439882</v>
      </c>
      <c r="B648">
        <v>152766405.92189315</v>
      </c>
    </row>
    <row r="649" spans="1:2" x14ac:dyDescent="0.25">
      <c r="A649">
        <f ca="1">31352.8997968278*((RANDBETWEEN(2979,3282)))</f>
        <v>99357339.456147298</v>
      </c>
      <c r="B649">
        <v>194625992.56144959</v>
      </c>
    </row>
    <row r="650" spans="1:2" x14ac:dyDescent="0.25">
      <c r="A650">
        <f ca="1">34349.5801473593*((RANDBETWEEN(2979,3282)))</f>
        <v>104422723.64797212</v>
      </c>
      <c r="B650">
        <v>196948111.4346936</v>
      </c>
    </row>
    <row r="651" spans="1:2" x14ac:dyDescent="0.25">
      <c r="A651">
        <f ca="1">32930.9663531457*((RANDBETWEEN(2979,3282)))</f>
        <v>106070642.62348236</v>
      </c>
      <c r="B651">
        <v>147843329.71152878</v>
      </c>
    </row>
    <row r="652" spans="1:2" x14ac:dyDescent="0.25">
      <c r="A652">
        <f ca="1">37095.0840604301*((RANDBETWEEN(2979,3282)))</f>
        <v>113956098.23364142</v>
      </c>
      <c r="B652">
        <v>182629630.76986945</v>
      </c>
    </row>
    <row r="653" spans="1:2" x14ac:dyDescent="0.25">
      <c r="A653">
        <f ca="1">31788.7802383529*((RANDBETWEEN(2979,3282)))</f>
        <v>98481641.17841734</v>
      </c>
      <c r="B653">
        <v>189218119.53787461</v>
      </c>
    </row>
    <row r="654" spans="1:2" x14ac:dyDescent="0.25">
      <c r="A654">
        <f ca="1">33020.4054681011*((RANDBETWEEN(2979,3282)))</f>
        <v>107382358.58226489</v>
      </c>
      <c r="B654">
        <v>160675361.02613068</v>
      </c>
    </row>
    <row r="655" spans="1:2" x14ac:dyDescent="0.25">
      <c r="A655">
        <f ca="1">33550.7893696343*((RANDBETWEEN(2979,3282)))</f>
        <v>102564763.10297197</v>
      </c>
      <c r="B655">
        <v>155739457.22141197</v>
      </c>
    </row>
    <row r="656" spans="1:2" x14ac:dyDescent="0.25">
      <c r="A656">
        <f ca="1">29888.7755406771*((RANDBETWEEN(2979,3282)))</f>
        <v>91071099.072443008</v>
      </c>
      <c r="B656">
        <v>200889081.12275094</v>
      </c>
    </row>
    <row r="657" spans="1:2" x14ac:dyDescent="0.25">
      <c r="A657">
        <f ca="1">40831.0759816318*((RANDBETWEEN(2979,3282)))</f>
        <v>126698828.77100371</v>
      </c>
      <c r="B657">
        <v>162267570.25438023</v>
      </c>
    </row>
    <row r="658" spans="1:2" x14ac:dyDescent="0.25">
      <c r="A658">
        <f ca="1">33141.7628167447*((RANDBETWEEN(2979,3282)))</f>
        <v>99590997.264317676</v>
      </c>
      <c r="B658">
        <v>149632496.55853486</v>
      </c>
    </row>
    <row r="659" spans="1:2" x14ac:dyDescent="0.25">
      <c r="A659">
        <f ca="1">32348.8776772157*((RANDBETWEEN(2979,3282)))</f>
        <v>101187289.37433074</v>
      </c>
      <c r="B659">
        <v>197059914.83292454</v>
      </c>
    </row>
    <row r="660" spans="1:2" x14ac:dyDescent="0.25">
      <c r="A660">
        <f ca="1">38197.2890140034*((RANDBETWEEN(2979,3282)))</f>
        <v>120703433.28425068</v>
      </c>
      <c r="B660">
        <v>196444141.21077681</v>
      </c>
    </row>
    <row r="661" spans="1:2" x14ac:dyDescent="0.25">
      <c r="A661">
        <f ca="1">34853.70247174*((RANDBETWEEN(2979,3282)))</f>
        <v>105223327.76218307</v>
      </c>
      <c r="B661">
        <v>164826588.38786754</v>
      </c>
    </row>
    <row r="662" spans="1:2" x14ac:dyDescent="0.25">
      <c r="A662">
        <f ca="1">32275.2190819987*((RANDBETWEEN(2979,3282)))</f>
        <v>97438886.408554062</v>
      </c>
      <c r="B662">
        <v>147738123.57988936</v>
      </c>
    </row>
    <row r="663" spans="1:2" x14ac:dyDescent="0.25">
      <c r="A663">
        <f ca="1">33060.1559330978*((RANDBETWEEN(2979,3282)))</f>
        <v>101428558.40274394</v>
      </c>
      <c r="B663">
        <v>160243759.1871292</v>
      </c>
    </row>
    <row r="664" spans="1:2" x14ac:dyDescent="0.25">
      <c r="A664">
        <f ca="1">31548.6533952099*((RANDBETWEEN(2979,3282)))</f>
        <v>101334274.70541404</v>
      </c>
      <c r="B664">
        <v>144028347.56679943</v>
      </c>
    </row>
    <row r="665" spans="1:2" x14ac:dyDescent="0.25">
      <c r="A665">
        <f ca="1">38766.261018828*((RANDBETWEEN(2979,3282)))</f>
        <v>124866126.74164486</v>
      </c>
      <c r="B665">
        <v>158204422.5359377</v>
      </c>
    </row>
    <row r="666" spans="1:2" x14ac:dyDescent="0.25">
      <c r="A666">
        <f ca="1">36115.1949752958*((RANDBETWEEN(2979,3282)))</f>
        <v>116182582.2355267</v>
      </c>
      <c r="B666">
        <v>149381006.25300983</v>
      </c>
    </row>
    <row r="667" spans="1:2" x14ac:dyDescent="0.25">
      <c r="A667">
        <f ca="1">31956.2789833678*((RANDBETWEEN(2979,3282)))</f>
        <v>103793994.13797852</v>
      </c>
      <c r="B667">
        <v>177975538.71759918</v>
      </c>
    </row>
    <row r="668" spans="1:2" x14ac:dyDescent="0.25">
      <c r="A668">
        <f ca="1">32393.7634853161*((RANDBETWEEN(2979,3282)))</f>
        <v>99189703.792038038</v>
      </c>
      <c r="B668">
        <v>165924013.93469286</v>
      </c>
    </row>
    <row r="669" spans="1:2" x14ac:dyDescent="0.25">
      <c r="A669">
        <f ca="1">33056.6033777922*((RANDBETWEEN(2979,3282)))</f>
        <v>104690262.89746781</v>
      </c>
      <c r="B669">
        <v>147916456.22625279</v>
      </c>
    </row>
    <row r="670" spans="1:2" x14ac:dyDescent="0.25">
      <c r="A670">
        <f ca="1">35166.5376287491*((RANDBETWEEN(2979,3282)))</f>
        <v>112005422.34756577</v>
      </c>
      <c r="B670">
        <v>190789123.72840828</v>
      </c>
    </row>
    <row r="671" spans="1:2" x14ac:dyDescent="0.25">
      <c r="A671">
        <f ca="1">29160.1280627713*((RANDBETWEEN(2979,3282)))</f>
        <v>89813194.433335721</v>
      </c>
      <c r="B671">
        <v>172665645.13887674</v>
      </c>
    </row>
    <row r="672" spans="1:2" x14ac:dyDescent="0.25">
      <c r="A672">
        <f ca="1">39190.6920462882*((RANDBETWEEN(2979,3282)))</f>
        <v>122431721.95260428</v>
      </c>
      <c r="B672">
        <v>162068611.40183711</v>
      </c>
    </row>
    <row r="673" spans="1:2" x14ac:dyDescent="0.25">
      <c r="A673">
        <f ca="1">31198.5165468104*((RANDBETWEEN(2979,3282)))</f>
        <v>101769560.97569555</v>
      </c>
      <c r="B673">
        <v>150623901.30112079</v>
      </c>
    </row>
    <row r="674" spans="1:2" x14ac:dyDescent="0.25">
      <c r="A674">
        <f ca="1">31895.7909259272*((RANDBETWEEN(2979,3282)))</f>
        <v>104490611.07333757</v>
      </c>
      <c r="B674">
        <v>148635068.99088329</v>
      </c>
    </row>
    <row r="675" spans="1:2" x14ac:dyDescent="0.25">
      <c r="A675">
        <f ca="1">32598.3794918979*((RANDBETWEEN(2979,3282)))</f>
        <v>98968680.137401953</v>
      </c>
      <c r="B675">
        <v>145344480.03438649</v>
      </c>
    </row>
    <row r="676" spans="1:2" x14ac:dyDescent="0.25">
      <c r="A676">
        <f ca="1">29232.3971709631*((RANDBETWEEN(2979,3282)))</f>
        <v>88106445.073282704</v>
      </c>
      <c r="B676">
        <v>183446212.81341591</v>
      </c>
    </row>
    <row r="677" spans="1:2" x14ac:dyDescent="0.25">
      <c r="A677">
        <f ca="1">32521.1894289753*((RANDBETWEEN(2979,3282)))</f>
        <v>100718123.66153638</v>
      </c>
      <c r="B677">
        <v>146300487.50650224</v>
      </c>
    </row>
    <row r="678" spans="1:2" x14ac:dyDescent="0.25">
      <c r="A678">
        <f ca="1">32550.165641768*((RANDBETWEEN(2979,3282)))</f>
        <v>99278005.207392335</v>
      </c>
      <c r="B678">
        <v>147625009.68555066</v>
      </c>
    </row>
    <row r="679" spans="1:2" x14ac:dyDescent="0.25">
      <c r="A679">
        <f ca="1">33770.3232586838*((RANDBETWEEN(2979,3282)))</f>
        <v>106747991.82069956</v>
      </c>
      <c r="B679">
        <v>183565674.21878719</v>
      </c>
    </row>
    <row r="680" spans="1:2" x14ac:dyDescent="0.25">
      <c r="A680">
        <f ca="1">31875.0389096558*((RANDBETWEEN(2979,3282)))</f>
        <v>101490123.88834403</v>
      </c>
      <c r="B680">
        <v>161102460.84555623</v>
      </c>
    </row>
    <row r="681" spans="1:2" x14ac:dyDescent="0.25">
      <c r="A681">
        <f ca="1">28717.6318189187*((RANDBETWEEN(2979,3282)))</f>
        <v>93217432.884210035</v>
      </c>
      <c r="B681">
        <v>178973327.52977535</v>
      </c>
    </row>
    <row r="682" spans="1:2" x14ac:dyDescent="0.25">
      <c r="A682">
        <f ca="1">31060.6455186593*((RANDBETWEEN(2979,3282)))</f>
        <v>99828914.696971089</v>
      </c>
      <c r="B682">
        <v>167148411.49102437</v>
      </c>
    </row>
    <row r="683" spans="1:2" x14ac:dyDescent="0.25">
      <c r="A683">
        <f ca="1">29143.8725610027*((RANDBETWEEN(2979,3282)))</f>
        <v>95417038.764722764</v>
      </c>
      <c r="B683">
        <v>160213823.70852694</v>
      </c>
    </row>
    <row r="684" spans="1:2" x14ac:dyDescent="0.25">
      <c r="A684">
        <f ca="1">31054.4184936348*((RANDBETWEEN(2979,3282)))</f>
        <v>94529649.894624367</v>
      </c>
      <c r="B684">
        <v>154562096.90177852</v>
      </c>
    </row>
    <row r="685" spans="1:2" x14ac:dyDescent="0.25">
      <c r="A685">
        <f ca="1">33600.3808059267*((RANDBETWEEN(2979,3282)))</f>
        <v>103757975.92870165</v>
      </c>
      <c r="B685">
        <v>167553009.94628942</v>
      </c>
    </row>
    <row r="686" spans="1:2" x14ac:dyDescent="0.25">
      <c r="A686">
        <f ca="1">41166.0199690938*((RANDBETWEEN(2979,3282)))</f>
        <v>123662723.98715785</v>
      </c>
      <c r="B686">
        <v>159558048.52338493</v>
      </c>
    </row>
    <row r="687" spans="1:2" x14ac:dyDescent="0.25">
      <c r="A687">
        <f ca="1">30194.4690945869*((RANDBETWEEN(2979,3282)))</f>
        <v>93602854.193219364</v>
      </c>
      <c r="B687">
        <v>188555388.96160236</v>
      </c>
    </row>
    <row r="688" spans="1:2" x14ac:dyDescent="0.25">
      <c r="A688">
        <f ca="1">32607.336232616*((RANDBETWEEN(2979,3282)))</f>
        <v>105093444.67772144</v>
      </c>
      <c r="B688">
        <v>143737615.53243333</v>
      </c>
    </row>
    <row r="689" spans="1:2" x14ac:dyDescent="0.25">
      <c r="A689">
        <f ca="1">40074.5947353927*((RANDBETWEEN(2979,3282)))</f>
        <v>124191169.08498205</v>
      </c>
      <c r="B689">
        <v>172875413.27119961</v>
      </c>
    </row>
    <row r="690" spans="1:2" x14ac:dyDescent="0.25">
      <c r="A690">
        <f ca="1">33237.7253877815*((RANDBETWEEN(2979,3282)))</f>
        <v>103103424.15289836</v>
      </c>
      <c r="B690">
        <v>169219537.96537066</v>
      </c>
    </row>
    <row r="691" spans="1:2" x14ac:dyDescent="0.25">
      <c r="A691">
        <f ca="1">29149.5547789362*((RANDBETWEEN(2979,3282)))</f>
        <v>94240510.600300819</v>
      </c>
      <c r="B691">
        <v>176203029.31651366</v>
      </c>
    </row>
    <row r="692" spans="1:2" x14ac:dyDescent="0.25">
      <c r="A692">
        <f ca="1">34438.8523907115*((RANDBETWEEN(2979,3282)))</f>
        <v>108447946.17835063</v>
      </c>
      <c r="B692">
        <v>146106814.02316362</v>
      </c>
    </row>
    <row r="693" spans="1:2" x14ac:dyDescent="0.25">
      <c r="A693">
        <f ca="1">32516.7379059356*((RANDBETWEEN(2979,3282)))</f>
        <v>99793868.633316472</v>
      </c>
      <c r="B693">
        <v>183704995.45698038</v>
      </c>
    </row>
    <row r="694" spans="1:2" x14ac:dyDescent="0.25">
      <c r="A694">
        <f ca="1">34291.8790060775*((RANDBETWEEN(2979,3282)))</f>
        <v>108156586.38516836</v>
      </c>
      <c r="B694">
        <v>183480770.39332211</v>
      </c>
    </row>
    <row r="695" spans="1:2" x14ac:dyDescent="0.25">
      <c r="A695">
        <f ca="1">30120.1626641461*((RANDBETWEEN(2979,3282)))</f>
        <v>97679687.519825757</v>
      </c>
      <c r="B695">
        <v>181425142.50169253</v>
      </c>
    </row>
    <row r="696" spans="1:2" x14ac:dyDescent="0.25">
      <c r="A696">
        <f ca="1">34222.1946930392*((RANDBETWEEN(2979,3282)))</f>
        <v>110503466.66382356</v>
      </c>
      <c r="B696">
        <v>144069785.56566864</v>
      </c>
    </row>
    <row r="697" spans="1:2" x14ac:dyDescent="0.25">
      <c r="A697">
        <f ca="1">34211.4982545329*((RANDBETWEEN(2979,3282)))</f>
        <v>104174012.18505278</v>
      </c>
      <c r="B697">
        <v>175016539.39189768</v>
      </c>
    </row>
    <row r="698" spans="1:2" x14ac:dyDescent="0.25">
      <c r="A698">
        <f ca="1">31658.7285573114*((RANDBETWEEN(2979,3282)))</f>
        <v>99091820.384384617</v>
      </c>
      <c r="B698">
        <v>195539515.40274945</v>
      </c>
    </row>
    <row r="699" spans="1:2" x14ac:dyDescent="0.25">
      <c r="A699">
        <f ca="1">29698.7927670432*((RANDBETWEEN(2979,3282)))</f>
        <v>89126077.093896702</v>
      </c>
      <c r="B699">
        <v>148576243.68624848</v>
      </c>
    </row>
    <row r="700" spans="1:2" x14ac:dyDescent="0.25">
      <c r="A700">
        <f ca="1">31471.984255693*((RANDBETWEEN(2979,3282)))</f>
        <v>99388526.27947861</v>
      </c>
      <c r="B700">
        <v>175202251.48612773</v>
      </c>
    </row>
    <row r="701" spans="1:2" x14ac:dyDescent="0.25">
      <c r="A701">
        <f ca="1">34580.8611640009*((RANDBETWEEN(2979,3282)))</f>
        <v>105852016.02300671</v>
      </c>
      <c r="B701">
        <v>163679778.19809771</v>
      </c>
    </row>
    <row r="702" spans="1:2" x14ac:dyDescent="0.25">
      <c r="A702">
        <f ca="1">35782.7180679962*((RANDBETWEEN(2979,3282)))</f>
        <v>111785211.2444201</v>
      </c>
      <c r="B702">
        <v>171357773.78768477</v>
      </c>
    </row>
    <row r="703" spans="1:2" x14ac:dyDescent="0.25">
      <c r="A703">
        <f ca="1">28625.0185527748*((RANDBETWEEN(2979,3282)))</f>
        <v>87220431.530304939</v>
      </c>
      <c r="B703">
        <v>172560632.06553149</v>
      </c>
    </row>
    <row r="704" spans="1:2" x14ac:dyDescent="0.25">
      <c r="A704">
        <f ca="1">40972.7449262903*((RANDBETWEEN(2979,3282)))</f>
        <v>124598117.32084879</v>
      </c>
      <c r="B704">
        <v>156715207.90562502</v>
      </c>
    </row>
    <row r="705" spans="1:2" x14ac:dyDescent="0.25">
      <c r="A705">
        <f ca="1">31746.1912485145*((RANDBETWEEN(2979,3282)))</f>
        <v>96730644.734223634</v>
      </c>
      <c r="B705">
        <v>151566831.6277912</v>
      </c>
    </row>
    <row r="706" spans="1:2" x14ac:dyDescent="0.25">
      <c r="A706">
        <f ca="1">31849.9633517638*((RANDBETWEEN(2979,3282)))</f>
        <v>99117085.950689033</v>
      </c>
      <c r="B706">
        <v>168648585.40001544</v>
      </c>
    </row>
    <row r="707" spans="1:2" x14ac:dyDescent="0.25">
      <c r="A707">
        <f ca="1">31657.8921555535*((RANDBETWEEN(2979,3282)))</f>
        <v>95385229.064682662</v>
      </c>
      <c r="B707">
        <v>157749945.80907741</v>
      </c>
    </row>
    <row r="708" spans="1:2" x14ac:dyDescent="0.25">
      <c r="A708">
        <f ca="1">32572.6825329964*((RANDBETWEEN(2979,3282)))</f>
        <v>103678848.50252768</v>
      </c>
      <c r="B708">
        <v>144301680.71818507</v>
      </c>
    </row>
    <row r="709" spans="1:2" x14ac:dyDescent="0.25">
      <c r="A709">
        <f ca="1">33573.3650292412*((RANDBETWEEN(2979,3282)))</f>
        <v>104043858.22561838</v>
      </c>
      <c r="B709">
        <v>194125872.81737256</v>
      </c>
    </row>
    <row r="710" spans="1:2" x14ac:dyDescent="0.25">
      <c r="A710">
        <f ca="1">38158.8459541616*((RANDBETWEEN(2979,3282)))</f>
        <v>120849065.13682978</v>
      </c>
      <c r="B710">
        <v>196727162.71308815</v>
      </c>
    </row>
    <row r="711" spans="1:2" x14ac:dyDescent="0.25">
      <c r="A711">
        <f ca="1">33152.8339202285*((RANDBETWEEN(2979,3282)))</f>
        <v>103900981.50599627</v>
      </c>
      <c r="B711">
        <v>167097077.84056944</v>
      </c>
    </row>
    <row r="712" spans="1:2" x14ac:dyDescent="0.25">
      <c r="A712">
        <f ca="1">33402.2428989155*((RANDBETWEEN(2979,3282)))</f>
        <v>108857909.60756555</v>
      </c>
      <c r="B712">
        <v>191480586.55855495</v>
      </c>
    </row>
    <row r="713" spans="1:2" x14ac:dyDescent="0.25">
      <c r="A713">
        <f ca="1">37421.6038418648*((RANDBETWEEN(2979,3282)))</f>
        <v>120310456.3515953</v>
      </c>
      <c r="B713">
        <v>197684231.63500774</v>
      </c>
    </row>
    <row r="714" spans="1:2" x14ac:dyDescent="0.25">
      <c r="A714">
        <f ca="1">37871.0847645103*((RANDBETWEEN(2979,3282)))</f>
        <v>122853798.97607134</v>
      </c>
      <c r="B714">
        <v>169503501.73618129</v>
      </c>
    </row>
    <row r="715" spans="1:2" x14ac:dyDescent="0.25">
      <c r="A715">
        <f ca="1">39068.0766987339*((RANDBETWEEN(2979,3282)))</f>
        <v>128026087.34175083</v>
      </c>
      <c r="B715">
        <v>166330581.29983595</v>
      </c>
    </row>
    <row r="716" spans="1:2" x14ac:dyDescent="0.25">
      <c r="A716">
        <f ca="1">33744.8040291641*((RANDBETWEEN(2979,3282)))</f>
        <v>107983372.89332521</v>
      </c>
      <c r="B716">
        <v>154540227.14006257</v>
      </c>
    </row>
    <row r="717" spans="1:2" x14ac:dyDescent="0.25">
      <c r="A717">
        <f ca="1">35755.8515323616*((RANDBETWEEN(2979,3282)))</f>
        <v>109269882.28289707</v>
      </c>
      <c r="B717">
        <v>167639619.30493981</v>
      </c>
    </row>
    <row r="718" spans="1:2" x14ac:dyDescent="0.25">
      <c r="A718">
        <f ca="1">27771.5290116452*((RANDBETWEEN(2979,3282)))</f>
        <v>88591177.547148079</v>
      </c>
      <c r="B718">
        <v>169195087.28483525</v>
      </c>
    </row>
    <row r="719" spans="1:2" x14ac:dyDescent="0.25">
      <c r="A719">
        <f ca="1">32197.5344496527*((RANDBETWEEN(2979,3282)))</f>
        <v>96206232.935562357</v>
      </c>
      <c r="B719">
        <v>163028307.01434276</v>
      </c>
    </row>
    <row r="720" spans="1:2" x14ac:dyDescent="0.25">
      <c r="A720">
        <f ca="1">39868.5106946367*((RANDBETWEEN(2979,3282)))</f>
        <v>125466203.15602167</v>
      </c>
      <c r="B720">
        <v>163624758.1809459</v>
      </c>
    </row>
    <row r="721" spans="1:2" x14ac:dyDescent="0.25">
      <c r="A721">
        <f ca="1">31818.448864594*((RANDBETWEEN(2979,3282)))</f>
        <v>102805408.28150335</v>
      </c>
      <c r="B721">
        <v>190485229.83812848</v>
      </c>
    </row>
    <row r="722" spans="1:2" x14ac:dyDescent="0.25">
      <c r="A722">
        <f ca="1">31109.2824167213*((RANDBETWEEN(2979,3282)))</f>
        <v>92954535.861163303</v>
      </c>
      <c r="B722">
        <v>153031159.00452837</v>
      </c>
    </row>
    <row r="723" spans="1:2" x14ac:dyDescent="0.25">
      <c r="A723">
        <f ca="1">33958.6649731882*((RANDBETWEEN(2979,3282)))</f>
        <v>101977870.91448431</v>
      </c>
      <c r="B723">
        <v>150198404.94393679</v>
      </c>
    </row>
    <row r="724" spans="1:2" x14ac:dyDescent="0.25">
      <c r="A724">
        <f ca="1">34693.0738551086*((RANDBETWEEN(2979,3282)))</f>
        <v>112474945.43826196</v>
      </c>
      <c r="B724">
        <v>191829065.76357096</v>
      </c>
    </row>
    <row r="725" spans="1:2" x14ac:dyDescent="0.25">
      <c r="A725">
        <f ca="1">32845.5550330597*((RANDBETWEEN(2979,3282)))</f>
        <v>107207891.6279068</v>
      </c>
      <c r="B725">
        <v>149484498.56295604</v>
      </c>
    </row>
    <row r="726" spans="1:2" x14ac:dyDescent="0.25">
      <c r="A726">
        <f ca="1">29561.2408541698*((RANDBETWEEN(2979,3282)))</f>
        <v>88920212.489342883</v>
      </c>
      <c r="B726">
        <v>157715585.68508017</v>
      </c>
    </row>
    <row r="727" spans="1:2" x14ac:dyDescent="0.25">
      <c r="A727">
        <f ca="1">32212.329076473*((RANDBETWEEN(2979,3282)))</f>
        <v>104883343.47299613</v>
      </c>
      <c r="B727">
        <v>147674444.99697828</v>
      </c>
    </row>
    <row r="728" spans="1:2" x14ac:dyDescent="0.25">
      <c r="A728">
        <f ca="1">29529.1905919793*((RANDBETWEEN(2979,3282)))</f>
        <v>90447910.783232555</v>
      </c>
      <c r="B728">
        <v>167355607.23962501</v>
      </c>
    </row>
    <row r="729" spans="1:2" x14ac:dyDescent="0.25">
      <c r="A729">
        <f ca="1">37284.0560742223*((RANDBETWEEN(2979,3282)))</f>
        <v>115990698.44690542</v>
      </c>
      <c r="B729">
        <v>195573584.12705389</v>
      </c>
    </row>
    <row r="730" spans="1:2" x14ac:dyDescent="0.25">
      <c r="A730">
        <f ca="1">39279.3846439554*((RANDBETWEEN(2979,3282)))</f>
        <v>125144119.47564185</v>
      </c>
      <c r="B730">
        <v>187263687.34358621</v>
      </c>
    </row>
    <row r="731" spans="1:2" x14ac:dyDescent="0.25">
      <c r="A731">
        <f ca="1">31562.6188772366*((RANDBETWEEN(2979,3282)))</f>
        <v>96234424.95669435</v>
      </c>
      <c r="B731">
        <v>163826585.82916802</v>
      </c>
    </row>
    <row r="732" spans="1:2" x14ac:dyDescent="0.25">
      <c r="A732">
        <f ca="1">41490.6799310859*((RANDBETWEEN(2979,3282)))</f>
        <v>136089430.17396182</v>
      </c>
      <c r="B732">
        <v>155901873.95874485</v>
      </c>
    </row>
    <row r="733" spans="1:2" x14ac:dyDescent="0.25">
      <c r="A733">
        <f ca="1">38365.6004845745*((RANDBETWEEN(2979,3282)))</f>
        <v>122232803.14385422</v>
      </c>
      <c r="B733">
        <v>193228260.38730797</v>
      </c>
    </row>
    <row r="734" spans="1:2" x14ac:dyDescent="0.25">
      <c r="A734">
        <f ca="1">36277.1487431673*((RANDBETWEEN(2979,3282)))</f>
        <v>111008075.15409184</v>
      </c>
      <c r="B734">
        <v>163935154.26903161</v>
      </c>
    </row>
    <row r="735" spans="1:2" x14ac:dyDescent="0.25">
      <c r="A735">
        <f ca="1">34380.3074720685*((RANDBETWEEN(2979,3282)))</f>
        <v>106269530.39616372</v>
      </c>
      <c r="B735">
        <v>192881790.36492822</v>
      </c>
    </row>
    <row r="736" spans="1:2" x14ac:dyDescent="0.25">
      <c r="A736">
        <f ca="1">31350.3419757464*((RANDBETWEEN(2979,3282)))</f>
        <v>100321094.3223885</v>
      </c>
      <c r="B736">
        <v>181491254.86301517</v>
      </c>
    </row>
    <row r="737" spans="1:2" x14ac:dyDescent="0.25">
      <c r="A737">
        <f ca="1">32568.0892914777*((RANDBETWEEN(2979,3282)))</f>
        <v>99951466.035544977</v>
      </c>
      <c r="B737">
        <v>147589381.83311614</v>
      </c>
    </row>
    <row r="738" spans="1:2" x14ac:dyDescent="0.25">
      <c r="A738">
        <f ca="1">40566.2926513719*((RANDBETWEEN(2979,3282)))</f>
        <v>123078131.90426232</v>
      </c>
      <c r="B738">
        <v>171122273.12175402</v>
      </c>
    </row>
    <row r="739" spans="1:2" x14ac:dyDescent="0.25">
      <c r="A739">
        <f ca="1">31011.3361834582*((RANDBETWEEN(2979,3282)))</f>
        <v>93406144.584576145</v>
      </c>
      <c r="B739">
        <v>165004701.63892221</v>
      </c>
    </row>
    <row r="740" spans="1:2" x14ac:dyDescent="0.25">
      <c r="A740">
        <f ca="1">29339.1127380679*((RANDBETWEEN(2979,3282)))</f>
        <v>94912029.707649678</v>
      </c>
      <c r="B740">
        <v>169820071.93643215</v>
      </c>
    </row>
    <row r="741" spans="1:2" x14ac:dyDescent="0.25">
      <c r="A741">
        <f ca="1">31310.3041466466*((RANDBETWEEN(2979,3282)))</f>
        <v>95152014.301659063</v>
      </c>
      <c r="B741">
        <v>146147468.52141294</v>
      </c>
    </row>
    <row r="742" spans="1:2" x14ac:dyDescent="0.25">
      <c r="A742">
        <f ca="1">38330.555690227*((RANDBETWEEN(2979,3282)))</f>
        <v>121852836.53923173</v>
      </c>
      <c r="B742">
        <v>162968018.89226657</v>
      </c>
    </row>
    <row r="743" spans="1:2" x14ac:dyDescent="0.25">
      <c r="A743">
        <f ca="1">40639.4144108283*((RANDBETWEEN(2979,3282)))</f>
        <v>124925559.89888613</v>
      </c>
      <c r="B743">
        <v>187806986.62300327</v>
      </c>
    </row>
    <row r="744" spans="1:2" x14ac:dyDescent="0.25">
      <c r="A744">
        <f ca="1">38630.5469406292*((RANDBETWEEN(2979,3282)))</f>
        <v>116934665.58928473</v>
      </c>
      <c r="B744">
        <v>170848520.79252088</v>
      </c>
    </row>
    <row r="745" spans="1:2" x14ac:dyDescent="0.25">
      <c r="A745">
        <f ca="1">37001.771288534*((RANDBETWEEN(2979,3282)))</f>
        <v>112522386.48843196</v>
      </c>
      <c r="B745">
        <v>177682211.68070701</v>
      </c>
    </row>
    <row r="746" spans="1:2" x14ac:dyDescent="0.25">
      <c r="A746">
        <f ca="1">39060.5562489802*((RANDBETWEEN(2979,3282)))</f>
        <v>119486241.5656303</v>
      </c>
      <c r="B746">
        <v>193285659.48607093</v>
      </c>
    </row>
    <row r="747" spans="1:2" x14ac:dyDescent="0.25">
      <c r="A747">
        <f ca="1">39534.5928592148*((RANDBETWEEN(2979,3282)))</f>
        <v>125008382.62083712</v>
      </c>
      <c r="B747">
        <v>187303501.9892993</v>
      </c>
    </row>
    <row r="748" spans="1:2" x14ac:dyDescent="0.25">
      <c r="A748">
        <f ca="1">38077.5365903744*((RANDBETWEEN(2979,3282)))</f>
        <v>115527246.015196</v>
      </c>
      <c r="B748">
        <v>198158467.75593606</v>
      </c>
    </row>
    <row r="749" spans="1:2" x14ac:dyDescent="0.25">
      <c r="A749">
        <f ca="1">30099.990271007*((RANDBETWEEN(2979,3282)))</f>
        <v>98125968.283482671</v>
      </c>
      <c r="B749">
        <v>173984129.49101105</v>
      </c>
    </row>
    <row r="750" spans="1:2" x14ac:dyDescent="0.25">
      <c r="A750">
        <f ca="1">32858.1141750986*((RANDBETWEEN(2979,3282)))</f>
        <v>100217248.23405086</v>
      </c>
      <c r="B750">
        <v>165405912.75556064</v>
      </c>
    </row>
    <row r="751" spans="1:2" x14ac:dyDescent="0.25">
      <c r="A751">
        <f ca="1">32195.5738485472*((RANDBETWEEN(2979,3282)))</f>
        <v>98679433.845797092</v>
      </c>
      <c r="B751">
        <v>169847315.11999765</v>
      </c>
    </row>
    <row r="752" spans="1:2" x14ac:dyDescent="0.25">
      <c r="A752">
        <f ca="1">33129.9648419736*((RANDBETWEEN(2979,3282)))</f>
        <v>103266100.41243163</v>
      </c>
      <c r="B752">
        <v>170501722.4050115</v>
      </c>
    </row>
    <row r="753" spans="1:2" x14ac:dyDescent="0.25">
      <c r="A753">
        <f ca="1">32215.5016300626*((RANDBETWEEN(2979,3282)))</f>
        <v>103057389.71457011</v>
      </c>
      <c r="B753">
        <v>156792252.88512731</v>
      </c>
    </row>
    <row r="754" spans="1:2" x14ac:dyDescent="0.25">
      <c r="A754">
        <f ca="1">31391.0638094719*((RANDBETWEEN(2979,3282)))</f>
        <v>102931298.23125838</v>
      </c>
      <c r="B754">
        <v>162099370.0996058</v>
      </c>
    </row>
    <row r="755" spans="1:2" x14ac:dyDescent="0.25">
      <c r="A755">
        <f ca="1">31542.7004856267*((RANDBETWEEN(2979,3282)))</f>
        <v>96962261.292816326</v>
      </c>
      <c r="B755">
        <v>181100632.20233321</v>
      </c>
    </row>
    <row r="756" spans="1:2" x14ac:dyDescent="0.25">
      <c r="A756">
        <f ca="1">36937.8341441683*((RANDBETWEEN(2979,3282)))</f>
        <v>117203747.73944616</v>
      </c>
      <c r="B756">
        <v>186076432.22981787</v>
      </c>
    </row>
    <row r="757" spans="1:2" x14ac:dyDescent="0.25">
      <c r="A757">
        <f ca="1">33075.9732365154*((RANDBETWEEN(2979,3282)))</f>
        <v>98864084.003944561</v>
      </c>
      <c r="B757">
        <v>144343917.35611513</v>
      </c>
    </row>
    <row r="758" spans="1:2" x14ac:dyDescent="0.25">
      <c r="A758">
        <f ca="1">32000.2723939245*((RANDBETWEEN(2979,3282)))</f>
        <v>101344862.67155889</v>
      </c>
      <c r="B758">
        <v>197434598.24539724</v>
      </c>
    </row>
    <row r="759" spans="1:2" x14ac:dyDescent="0.25">
      <c r="A759">
        <f ca="1">38625.9399208273*((RANDBETWEEN(2979,3282)))</f>
        <v>119624535.93480211</v>
      </c>
      <c r="B759">
        <v>155659230.43653437</v>
      </c>
    </row>
    <row r="760" spans="1:2" x14ac:dyDescent="0.25">
      <c r="A760">
        <f ca="1">29977.0408563911*((RANDBETWEEN(2979,3282)))</f>
        <v>89721283.283178449</v>
      </c>
      <c r="B760">
        <v>167708877.42659846</v>
      </c>
    </row>
    <row r="761" spans="1:2" x14ac:dyDescent="0.25">
      <c r="A761">
        <f ca="1">30070.3644389883*((RANDBETWEEN(2979,3282)))</f>
        <v>89790108.214819103</v>
      </c>
      <c r="B761">
        <v>160414698.97979641</v>
      </c>
    </row>
    <row r="762" spans="1:2" x14ac:dyDescent="0.25">
      <c r="A762">
        <f ca="1">31180.8920383897*((RANDBETWEEN(2979,3282)))</f>
        <v>101649708.04515058</v>
      </c>
      <c r="B762">
        <v>203093928.82103112</v>
      </c>
    </row>
    <row r="763" spans="1:2" x14ac:dyDescent="0.25">
      <c r="A763">
        <f ca="1">30404.7165146748*((RANDBETWEEN(2979,3282)))</f>
        <v>98298448.491943732</v>
      </c>
      <c r="B763">
        <v>158548588.74945801</v>
      </c>
    </row>
    <row r="764" spans="1:2" x14ac:dyDescent="0.25">
      <c r="A764">
        <f ca="1">37684.285570369*((RANDBETWEEN(2979,3282)))</f>
        <v>116557495.2691513</v>
      </c>
      <c r="B764">
        <v>154917105.5572283</v>
      </c>
    </row>
    <row r="765" spans="1:2" x14ac:dyDescent="0.25">
      <c r="A765">
        <f ca="1">33923.4361611104*((RANDBETWEEN(2979,3282)))</f>
        <v>102584470.95119783</v>
      </c>
      <c r="B765">
        <v>186027948.54254365</v>
      </c>
    </row>
    <row r="766" spans="1:2" x14ac:dyDescent="0.25">
      <c r="A766">
        <f ca="1">36900.9761757792*((RANDBETWEEN(2979,3282)))</f>
        <v>120001974.52363384</v>
      </c>
      <c r="B766">
        <v>189866634.73103085</v>
      </c>
    </row>
    <row r="767" spans="1:2" x14ac:dyDescent="0.25">
      <c r="A767">
        <f ca="1">29081.4960455007*((RANDBETWEEN(2979,3282)))</f>
        <v>93438846.794193596</v>
      </c>
      <c r="B767">
        <v>170960766.0646103</v>
      </c>
    </row>
    <row r="768" spans="1:2" x14ac:dyDescent="0.25">
      <c r="A768">
        <f ca="1">36352.8724876405*((RANDBETWEEN(2979,3282)))</f>
        <v>111094378.32222927</v>
      </c>
      <c r="B768">
        <v>145221088.34429437</v>
      </c>
    </row>
    <row r="769" spans="1:2" x14ac:dyDescent="0.25">
      <c r="A769">
        <f ca="1">32003.913164343*((RANDBETWEEN(2979,3282)))</f>
        <v>99404154.288449273</v>
      </c>
      <c r="B769">
        <v>153949275.81972456</v>
      </c>
    </row>
    <row r="770" spans="1:2" x14ac:dyDescent="0.25">
      <c r="A770">
        <f ca="1">33585.8011990072*((RANDBETWEEN(2979,3282)))</f>
        <v>105089971.9516934</v>
      </c>
      <c r="B770">
        <v>180903092.28882456</v>
      </c>
    </row>
    <row r="771" spans="1:2" x14ac:dyDescent="0.25">
      <c r="A771">
        <f ca="1">30288.5903086393*((RANDBETWEEN(2979,3282)))</f>
        <v>96772046.036102593</v>
      </c>
      <c r="B771">
        <v>152239761.95252085</v>
      </c>
    </row>
    <row r="772" spans="1:2" x14ac:dyDescent="0.25">
      <c r="A772">
        <f ca="1">29980.5941186424*((RANDBETWEEN(2979,3282)))</f>
        <v>96897280.191452146</v>
      </c>
      <c r="B772">
        <v>182475928.50193173</v>
      </c>
    </row>
    <row r="773" spans="1:2" x14ac:dyDescent="0.25">
      <c r="A773">
        <f ca="1">31425.6945255327*((RANDBETWEEN(2979,3282)))</f>
        <v>102919149.57111958</v>
      </c>
      <c r="B773">
        <v>143865312.2689887</v>
      </c>
    </row>
    <row r="774" spans="1:2" x14ac:dyDescent="0.25">
      <c r="A774">
        <f ca="1">35364.7981856935*((RANDBETWEEN(2979,3282)))</f>
        <v>105846840.96978073</v>
      </c>
      <c r="B774">
        <v>172495401.81537101</v>
      </c>
    </row>
    <row r="775" spans="1:2" x14ac:dyDescent="0.25">
      <c r="A775">
        <f ca="1">39619.6774164056*((RANDBETWEEN(2979,3282)))</f>
        <v>123811491.92626752</v>
      </c>
      <c r="B775">
        <v>181051948.57492718</v>
      </c>
    </row>
    <row r="776" spans="1:2" x14ac:dyDescent="0.25">
      <c r="A776">
        <f ca="1">30655.8861910076*((RANDBETWEEN(2979,3282)))</f>
        <v>93163238.134472147</v>
      </c>
      <c r="B776">
        <v>172250253.60036987</v>
      </c>
    </row>
    <row r="777" spans="1:2" x14ac:dyDescent="0.25">
      <c r="A777">
        <f ca="1">32529.9887576284*((RANDBETWEEN(2979,3282)))</f>
        <v>101038145.08119377</v>
      </c>
      <c r="B777">
        <v>158772069.56569153</v>
      </c>
    </row>
    <row r="778" spans="1:2" x14ac:dyDescent="0.25">
      <c r="A778">
        <f ca="1">36494.1033901738*((RANDBETWEEN(2979,3282)))</f>
        <v>111562474.0637612</v>
      </c>
      <c r="B778">
        <v>169903700.41276661</v>
      </c>
    </row>
    <row r="779" spans="1:2" x14ac:dyDescent="0.25">
      <c r="A779">
        <f ca="1">33758.9428058752*((RANDBETWEEN(2979,3282)))</f>
        <v>104855276.35504836</v>
      </c>
      <c r="B779">
        <v>157473322.02898139</v>
      </c>
    </row>
    <row r="780" spans="1:2" x14ac:dyDescent="0.25">
      <c r="A780">
        <f ca="1">30718.2106988696*((RANDBETWEEN(2979,3282)))</f>
        <v>98881920.239661157</v>
      </c>
      <c r="B780">
        <v>172755385.22501171</v>
      </c>
    </row>
    <row r="781" spans="1:2" x14ac:dyDescent="0.25">
      <c r="A781">
        <f ca="1">35499.6950835686*((RANDBETWEEN(2979,3282)))</f>
        <v>116013003.53310218</v>
      </c>
      <c r="B781">
        <v>153519876.59108728</v>
      </c>
    </row>
    <row r="782" spans="1:2" x14ac:dyDescent="0.25">
      <c r="A782">
        <f ca="1">26442.6762889041*((RANDBETWEEN(2979,3282)))</f>
        <v>79354471.543001145</v>
      </c>
      <c r="B782">
        <v>180355312.06558061</v>
      </c>
    </row>
    <row r="783" spans="1:2" x14ac:dyDescent="0.25">
      <c r="A783">
        <f ca="1">38771.5028334383*((RANDBETWEEN(2979,3282)))</f>
        <v>123991266.0613357</v>
      </c>
      <c r="B783">
        <v>196859914.3010579</v>
      </c>
    </row>
    <row r="784" spans="1:2" x14ac:dyDescent="0.25">
      <c r="A784">
        <f ca="1">39035.5542432213*((RANDBETWEEN(2979,3282)))</f>
        <v>121517680.3591478</v>
      </c>
      <c r="B784">
        <v>168524761.87889597</v>
      </c>
    </row>
    <row r="785" spans="1:2" x14ac:dyDescent="0.25">
      <c r="A785">
        <f ca="1">29202.3062137148*((RANDBETWEEN(2979,3282)))</f>
        <v>92571310.69747597</v>
      </c>
      <c r="B785">
        <v>148062620.141662</v>
      </c>
    </row>
    <row r="786" spans="1:2" x14ac:dyDescent="0.25">
      <c r="A786">
        <f ca="1">29846.1713337988*((RANDBETWEEN(2979,3282)))</f>
        <v>95089901.869482964</v>
      </c>
      <c r="B786">
        <v>169080796.26039788</v>
      </c>
    </row>
    <row r="787" spans="1:2" x14ac:dyDescent="0.25">
      <c r="A787">
        <f ca="1">30363.7883177478*((RANDBETWEEN(2979,3282)))</f>
        <v>99077041.280811176</v>
      </c>
      <c r="B787">
        <v>149145572.47908238</v>
      </c>
    </row>
    <row r="788" spans="1:2" x14ac:dyDescent="0.25">
      <c r="A788">
        <f ca="1">30670.9464343913*((RANDBETWEEN(2979,3282)))</f>
        <v>100570033.35836905</v>
      </c>
      <c r="B788">
        <v>153211750.72003636</v>
      </c>
    </row>
    <row r="789" spans="1:2" x14ac:dyDescent="0.25">
      <c r="A789">
        <f ca="1">34297.374629353*((RANDBETWEEN(2979,3282)))</f>
        <v>108345406.45412628</v>
      </c>
      <c r="B789">
        <v>174187044.04612154</v>
      </c>
    </row>
    <row r="790" spans="1:2" x14ac:dyDescent="0.25">
      <c r="A790">
        <f ca="1">29865.2694517854*((RANDBETWEEN(2979,3282)))</f>
        <v>97569835.298982739</v>
      </c>
      <c r="B790">
        <v>148833414.03364515</v>
      </c>
    </row>
    <row r="791" spans="1:2" x14ac:dyDescent="0.25">
      <c r="A791">
        <f ca="1">31486.4848762527*((RANDBETWEEN(2979,3282)))</f>
        <v>103244183.90923265</v>
      </c>
      <c r="B791">
        <v>143624430.72201762</v>
      </c>
    </row>
    <row r="792" spans="1:2" x14ac:dyDescent="0.25">
      <c r="A792">
        <f ca="1">31545.2690237402*((RANDBETWEEN(2979,3282)))</f>
        <v>102963758.09348817</v>
      </c>
      <c r="B792">
        <v>189268814.05600196</v>
      </c>
    </row>
    <row r="793" spans="1:2" x14ac:dyDescent="0.25">
      <c r="A793">
        <f ca="1">30644.0856792277*((RANDBETWEEN(2979,3282)))</f>
        <v>96620802.146604881</v>
      </c>
      <c r="B793">
        <v>173393667.89810762</v>
      </c>
    </row>
    <row r="794" spans="1:2" x14ac:dyDescent="0.25">
      <c r="A794">
        <f ca="1">28330.8419908126*((RANDBETWEEN(2979,3282)))</f>
        <v>86182421.336052001</v>
      </c>
      <c r="B794">
        <v>154470636.90414843</v>
      </c>
    </row>
    <row r="795" spans="1:2" x14ac:dyDescent="0.25">
      <c r="A795">
        <f ca="1">30224.2640610232*((RANDBETWEEN(2979,3282)))</f>
        <v>97080336.164006457</v>
      </c>
      <c r="B795">
        <v>157835363.84431624</v>
      </c>
    </row>
    <row r="796" spans="1:2" x14ac:dyDescent="0.25">
      <c r="A796">
        <f ca="1">39665.0092218596*((RANDBETWEEN(2979,3282)))</f>
        <v>129664915.14625904</v>
      </c>
      <c r="B796">
        <v>195035786.35653275</v>
      </c>
    </row>
    <row r="797" spans="1:2" x14ac:dyDescent="0.25">
      <c r="A797">
        <f ca="1">37670.1193623838*((RANDBETWEEN(2979,3282)))</f>
        <v>115270565.24889444</v>
      </c>
      <c r="B797">
        <v>144000061.86142647</v>
      </c>
    </row>
    <row r="798" spans="1:2" x14ac:dyDescent="0.25">
      <c r="A798">
        <f ca="1">30328.194326478*((RANDBETWEEN(2979,3282)))</f>
        <v>95230530.185141072</v>
      </c>
      <c r="B798">
        <v>155405676.88490129</v>
      </c>
    </row>
    <row r="799" spans="1:2" x14ac:dyDescent="0.25">
      <c r="A799">
        <f ca="1">31625.9985368823*((RANDBETWEEN(2979,3282)))</f>
        <v>95984905.559437886</v>
      </c>
      <c r="B799">
        <v>150404659.48630103</v>
      </c>
    </row>
    <row r="800" spans="1:2" x14ac:dyDescent="0.25">
      <c r="A800">
        <f ca="1">39852.1304632681*((RANDBETWEEN(2979,3282)))</f>
        <v>120074469.08582692</v>
      </c>
      <c r="B800">
        <v>161476087.35178286</v>
      </c>
    </row>
    <row r="801" spans="1:2" x14ac:dyDescent="0.25">
      <c r="A801">
        <f ca="1">30271.0667625843*((RANDBETWEEN(2979,3282)))</f>
        <v>90934284.554803357</v>
      </c>
      <c r="B801">
        <v>169450895.72881725</v>
      </c>
    </row>
    <row r="802" spans="1:2" x14ac:dyDescent="0.25">
      <c r="A802">
        <f ca="1">37295.0089537035*((RANDBETWEEN(2979,3282)))</f>
        <v>117926818.31161039</v>
      </c>
      <c r="B802">
        <v>168083631.00511807</v>
      </c>
    </row>
    <row r="803" spans="1:2" x14ac:dyDescent="0.25">
      <c r="A803">
        <f ca="1">37307.7321654817*((RANDBETWEEN(2979,3282)))</f>
        <v>117668587.24992929</v>
      </c>
      <c r="B803">
        <v>187859574.16046858</v>
      </c>
    </row>
    <row r="804" spans="1:2" x14ac:dyDescent="0.25">
      <c r="A804">
        <f ca="1">34136.3109534535*((RANDBETWEEN(2979,3282)))</f>
        <v>110396829.62346877</v>
      </c>
      <c r="B804">
        <v>174307414.3192178</v>
      </c>
    </row>
    <row r="805" spans="1:2" x14ac:dyDescent="0.25">
      <c r="A805">
        <f ca="1">28892.9779467262*((RANDBETWEEN(2979,3282)))</f>
        <v>91821883.91469577</v>
      </c>
      <c r="B805">
        <v>152668172.17158788</v>
      </c>
    </row>
    <row r="806" spans="1:2" x14ac:dyDescent="0.25">
      <c r="A806">
        <f ca="1">36906.6373625708*((RANDBETWEEN(2979,3282)))</f>
        <v>113081936.87891693</v>
      </c>
      <c r="B806">
        <v>202242510.33532971</v>
      </c>
    </row>
    <row r="807" spans="1:2" x14ac:dyDescent="0.25">
      <c r="A807">
        <f ca="1">30650.2566937097*((RANDBETWEEN(2979,3282)))</f>
        <v>96303106.531635806</v>
      </c>
      <c r="B807">
        <v>143269803.92367291</v>
      </c>
    </row>
    <row r="808" spans="1:2" x14ac:dyDescent="0.25">
      <c r="A808">
        <f ca="1">32531.932401206*((RANDBETWEEN(2979,3282)))</f>
        <v>97563265.27121675</v>
      </c>
      <c r="B808">
        <v>152424841.12358731</v>
      </c>
    </row>
    <row r="809" spans="1:2" x14ac:dyDescent="0.25">
      <c r="A809">
        <f ca="1">30791.3588868317*((RANDBETWEEN(2979,3282)))</f>
        <v>92866738.402684271</v>
      </c>
      <c r="B809">
        <v>180060157.84391683</v>
      </c>
    </row>
    <row r="810" spans="1:2" x14ac:dyDescent="0.25">
      <c r="A810">
        <f ca="1">29997.7212385257*((RANDBETWEEN(2979,3282)))</f>
        <v>96232689.733190566</v>
      </c>
      <c r="B810">
        <v>148020325.86279821</v>
      </c>
    </row>
    <row r="811" spans="1:2" x14ac:dyDescent="0.25">
      <c r="A811">
        <f ca="1">32151.2455366345*((RANDBETWEEN(2979,3282)))</f>
        <v>103623464.36457294</v>
      </c>
      <c r="B811">
        <v>154767940.85496742</v>
      </c>
    </row>
    <row r="812" spans="1:2" x14ac:dyDescent="0.25">
      <c r="A812">
        <f ca="1">29435.0262987877*((RANDBETWEEN(2979,3282)))</f>
        <v>96193665.944438219</v>
      </c>
      <c r="B812">
        <v>147208328.90615094</v>
      </c>
    </row>
    <row r="813" spans="1:2" x14ac:dyDescent="0.25">
      <c r="A813">
        <f ca="1">30576.3219588499*((RANDBETWEEN(2979,3282)))</f>
        <v>93624697.83799836</v>
      </c>
      <c r="B813">
        <v>166249148.69558442</v>
      </c>
    </row>
    <row r="814" spans="1:2" x14ac:dyDescent="0.25">
      <c r="A814">
        <f ca="1">37962.2976037679*((RANDBETWEEN(2979,3282)))</f>
        <v>123225618.02183069</v>
      </c>
      <c r="B814">
        <v>144031575.72786281</v>
      </c>
    </row>
    <row r="815" spans="1:2" x14ac:dyDescent="0.25">
      <c r="A815">
        <f ca="1">30381.3532465163*((RANDBETWEEN(2979,3282)))</f>
        <v>92875796.874600381</v>
      </c>
      <c r="B815">
        <v>148011117.15450656</v>
      </c>
    </row>
    <row r="816" spans="1:2" x14ac:dyDescent="0.25">
      <c r="A816">
        <f ca="1">31562.8292060033*((RANDBETWEEN(2979,3282)))</f>
        <v>101947938.33539069</v>
      </c>
      <c r="B816">
        <v>189407888.29350767</v>
      </c>
    </row>
    <row r="817" spans="1:2" x14ac:dyDescent="0.25">
      <c r="A817">
        <f ca="1">31126.2810037951*((RANDBETWEEN(2979,3282)))</f>
        <v>99043826.154076114</v>
      </c>
      <c r="B817">
        <v>184240467.58836627</v>
      </c>
    </row>
    <row r="818" spans="1:2" x14ac:dyDescent="0.25">
      <c r="A818">
        <f ca="1">33739.8884712217*((RANDBETWEEN(2979,3282)))</f>
        <v>102906659.83722614</v>
      </c>
      <c r="B818">
        <v>165660047.77742931</v>
      </c>
    </row>
    <row r="819" spans="1:2" x14ac:dyDescent="0.25">
      <c r="A819">
        <f ca="1">31507.0926294948*((RANDBETWEEN(2979,3282)))</f>
        <v>102461065.23111711</v>
      </c>
      <c r="B819">
        <v>166113402.44589531</v>
      </c>
    </row>
    <row r="820" spans="1:2" x14ac:dyDescent="0.25">
      <c r="A820">
        <f ca="1">28890.1686830697*((RANDBETWEEN(2979,3282)))</f>
        <v>87132748.748138398</v>
      </c>
      <c r="B820">
        <v>155979547.1871306</v>
      </c>
    </row>
    <row r="821" spans="1:2" x14ac:dyDescent="0.25">
      <c r="A821">
        <f ca="1">30936.0139024975*((RANDBETWEEN(2979,3282)))</f>
        <v>97170019.667744771</v>
      </c>
      <c r="B821">
        <v>153481781.98488429</v>
      </c>
    </row>
    <row r="822" spans="1:2" x14ac:dyDescent="0.25">
      <c r="A822">
        <f ca="1">32949.102364932*((RANDBETWEEN(2979,3282)))</f>
        <v>100165271.1893934</v>
      </c>
      <c r="B822">
        <v>163318807.51769882</v>
      </c>
    </row>
    <row r="823" spans="1:2" x14ac:dyDescent="0.25">
      <c r="A823">
        <f ca="1">29816.1140646582*((RANDBETWEEN(2979,3282)))</f>
        <v>92101976.345729128</v>
      </c>
      <c r="B823">
        <v>152117850.25605598</v>
      </c>
    </row>
    <row r="824" spans="1:2" x14ac:dyDescent="0.25">
      <c r="A824">
        <f ca="1">32349.2638319376*((RANDBETWEEN(2979,3282)))</f>
        <v>103582342.78986414</v>
      </c>
      <c r="B824">
        <v>188869308.56805897</v>
      </c>
    </row>
    <row r="825" spans="1:2" x14ac:dyDescent="0.25">
      <c r="A825">
        <f ca="1">31280.4393308741*((RANDBETWEEN(2979,3282)))</f>
        <v>94091561.507269308</v>
      </c>
      <c r="B825">
        <v>199369405.77216288</v>
      </c>
    </row>
    <row r="826" spans="1:2" x14ac:dyDescent="0.25">
      <c r="A826">
        <f ca="1">39535.5286956456*((RANDBETWEEN(2979,3282)))</f>
        <v>129241643.30606548</v>
      </c>
      <c r="B826">
        <v>152102637.97983748</v>
      </c>
    </row>
    <row r="827" spans="1:2" x14ac:dyDescent="0.25">
      <c r="A827">
        <f ca="1">36406.6848096933*((RANDBETWEEN(2979,3282)))</f>
        <v>117193118.40240283</v>
      </c>
      <c r="B827">
        <v>197426357.94506946</v>
      </c>
    </row>
    <row r="828" spans="1:2" x14ac:dyDescent="0.25">
      <c r="A828">
        <f ca="1">33454.3571314922*((RANDBETWEEN(2979,3282)))</f>
        <v>106719399.24946007</v>
      </c>
      <c r="B828">
        <v>145120181.95002729</v>
      </c>
    </row>
    <row r="829" spans="1:2" x14ac:dyDescent="0.25">
      <c r="A829">
        <f ca="1">32745.6729983022*((RANDBETWEEN(2979,3282)))</f>
        <v>100954909.85376568</v>
      </c>
      <c r="B829">
        <v>179132556.92638928</v>
      </c>
    </row>
    <row r="830" spans="1:2" x14ac:dyDescent="0.25">
      <c r="A830">
        <f ca="1">39236.6009599351*((RANDBETWEEN(2979,3282)))</f>
        <v>117552856.47596554</v>
      </c>
      <c r="B830">
        <v>163928490.13213992</v>
      </c>
    </row>
    <row r="831" spans="1:2" x14ac:dyDescent="0.25">
      <c r="A831">
        <f ca="1">38742.5699260663*((RANDBETWEEN(2979,3282)))</f>
        <v>125099758.29126811</v>
      </c>
      <c r="B831">
        <v>185882388.85563111</v>
      </c>
    </row>
    <row r="832" spans="1:2" x14ac:dyDescent="0.25">
      <c r="A832">
        <f ca="1">39259.9176993626*((RANDBETWEEN(2979,3282)))</f>
        <v>117701233.26268898</v>
      </c>
      <c r="B832">
        <v>156257975.06714228</v>
      </c>
    </row>
    <row r="833" spans="1:2" x14ac:dyDescent="0.25">
      <c r="A833">
        <f ca="1">29529.1554990803*((RANDBETWEEN(2979,3282)))</f>
        <v>91067915.55916366</v>
      </c>
      <c r="B833">
        <v>163487141.02915078</v>
      </c>
    </row>
    <row r="834" spans="1:2" x14ac:dyDescent="0.25">
      <c r="A834">
        <f ca="1">28242.8870974829*((RANDBETWEEN(2979,3282)))</f>
        <v>89784138.082898021</v>
      </c>
      <c r="B834">
        <v>197293087.99781147</v>
      </c>
    </row>
    <row r="835" spans="1:2" x14ac:dyDescent="0.25">
      <c r="A835">
        <f ca="1">32369.6537720151*((RANDBETWEEN(2979,3282)))</f>
        <v>98533226.082014099</v>
      </c>
      <c r="B835">
        <v>145972727.57026345</v>
      </c>
    </row>
    <row r="836" spans="1:2" x14ac:dyDescent="0.25">
      <c r="A836">
        <f ca="1">31957.7237679124*((RANDBETWEEN(2979,3282)))</f>
        <v>104565672.16860943</v>
      </c>
      <c r="B836">
        <v>163192624.04877186</v>
      </c>
    </row>
    <row r="837" spans="1:2" x14ac:dyDescent="0.25">
      <c r="A837">
        <f ca="1">32587.5843215379*((RANDBETWEEN(2979,3282)))</f>
        <v>103172291.96198909</v>
      </c>
      <c r="B837">
        <v>167950164.90607119</v>
      </c>
    </row>
    <row r="838" spans="1:2" x14ac:dyDescent="0.25">
      <c r="A838">
        <f ca="1">34297.0548559989*((RANDBETWEEN(2979,3282)))</f>
        <v>108275802.18038858</v>
      </c>
      <c r="B838">
        <v>149026561.38973385</v>
      </c>
    </row>
    <row r="839" spans="1:2" x14ac:dyDescent="0.25">
      <c r="A839">
        <f ca="1">33931.3778359599*((RANDBETWEEN(2979,3282)))</f>
        <v>110548428.98955731</v>
      </c>
      <c r="B839">
        <v>152279720.56556413</v>
      </c>
    </row>
    <row r="840" spans="1:2" x14ac:dyDescent="0.25">
      <c r="A840">
        <f ca="1">29270.8868687938*((RANDBETWEEN(2979,3282)))</f>
        <v>93901005.075090438</v>
      </c>
      <c r="B840">
        <v>183422339.08828887</v>
      </c>
    </row>
    <row r="841" spans="1:2" x14ac:dyDescent="0.25">
      <c r="A841">
        <f ca="1">40502.943063111*((RANDBETWEEN(2979,3282)))</f>
        <v>126936223.55978979</v>
      </c>
      <c r="B841">
        <v>194921593.6640718</v>
      </c>
    </row>
    <row r="842" spans="1:2" x14ac:dyDescent="0.25">
      <c r="A842">
        <f ca="1">39801.7326805985*((RANDBETWEEN(2979,3282)))</f>
        <v>118609163.38818361</v>
      </c>
      <c r="B842">
        <v>160928292.05386052</v>
      </c>
    </row>
    <row r="843" spans="1:2" x14ac:dyDescent="0.25">
      <c r="A843">
        <f ca="1">32133.5581104138*((RANDBETWEEN(2979,3282)))</f>
        <v>102634584.60466152</v>
      </c>
      <c r="B843">
        <v>188129171.6396161</v>
      </c>
    </row>
    <row r="844" spans="1:2" x14ac:dyDescent="0.25">
      <c r="A844">
        <f ca="1">29553.60752468*((RANDBETWEEN(2979,3282)))</f>
        <v>88601715.358990505</v>
      </c>
      <c r="B844">
        <v>193257577.66199932</v>
      </c>
    </row>
    <row r="845" spans="1:2" x14ac:dyDescent="0.25">
      <c r="A845">
        <f ca="1">33605.9806893106*((RANDBETWEEN(2979,3282)))</f>
        <v>109589103.02784179</v>
      </c>
      <c r="B845">
        <v>154509873.82540348</v>
      </c>
    </row>
    <row r="846" spans="1:2" x14ac:dyDescent="0.25">
      <c r="A846">
        <f ca="1">33092.0031139849*((RANDBETWEEN(2979,3282)))</f>
        <v>103644153.7530008</v>
      </c>
      <c r="B846">
        <v>156123267.065853</v>
      </c>
    </row>
    <row r="847" spans="1:2" x14ac:dyDescent="0.25">
      <c r="A847">
        <f ca="1">40274.5354208039*((RANDBETWEEN(2979,3282)))</f>
        <v>129522905.91330531</v>
      </c>
      <c r="B847">
        <v>202056227.60317418</v>
      </c>
    </row>
    <row r="848" spans="1:2" x14ac:dyDescent="0.25">
      <c r="A848">
        <f ca="1">35635.1447670626*((RANDBETWEEN(2979,3282)))</f>
        <v>109079178.13197848</v>
      </c>
      <c r="B848">
        <v>155898350.83840162</v>
      </c>
    </row>
    <row r="849" spans="1:2" x14ac:dyDescent="0.25">
      <c r="A849">
        <f ca="1">31734.2545330113*((RANDBETWEEN(2979,3282)))</f>
        <v>103644075.3048148</v>
      </c>
      <c r="B849">
        <v>160814836.45341247</v>
      </c>
    </row>
    <row r="850" spans="1:2" x14ac:dyDescent="0.25">
      <c r="A850">
        <f ca="1">27950.6441644701*((RANDBETWEEN(2979,3282)))</f>
        <v>90979346.755350083</v>
      </c>
      <c r="B850">
        <v>188282634.14972252</v>
      </c>
    </row>
    <row r="851" spans="1:2" x14ac:dyDescent="0.25">
      <c r="A851">
        <f ca="1">32643.8087557753*((RANDBETWEEN(2979,3282)))</f>
        <v>100281780.49774167</v>
      </c>
      <c r="B851">
        <v>196785848.22405261</v>
      </c>
    </row>
    <row r="852" spans="1:2" x14ac:dyDescent="0.25">
      <c r="A852">
        <f ca="1">37571.960290915*((RANDBETWEEN(2979,3282)))</f>
        <v>113504892.03885426</v>
      </c>
      <c r="B852">
        <v>154459175.08591729</v>
      </c>
    </row>
    <row r="853" spans="1:2" x14ac:dyDescent="0.25">
      <c r="A853">
        <f ca="1">33376.0316994445*((RANDBETWEEN(2979,3282)))</f>
        <v>107704454.29410733</v>
      </c>
      <c r="B853">
        <v>167524322.2669614</v>
      </c>
    </row>
    <row r="854" spans="1:2" x14ac:dyDescent="0.25">
      <c r="A854">
        <f ca="1">29290.3568583492*((RANDBETWEEN(2979,3282)))</f>
        <v>88808361.994514763</v>
      </c>
      <c r="B854">
        <v>169723363.41146573</v>
      </c>
    </row>
    <row r="855" spans="1:2" x14ac:dyDescent="0.25">
      <c r="A855">
        <f ca="1">31839.5418063375*((RANDBETWEEN(2979,3282)))</f>
        <v>102937238.65988913</v>
      </c>
      <c r="B855">
        <v>154820496.80524886</v>
      </c>
    </row>
    <row r="856" spans="1:2" x14ac:dyDescent="0.25">
      <c r="A856">
        <f ca="1">33561.0639413134*((RANDBETWEEN(2979,3282)))</f>
        <v>102092756.50947529</v>
      </c>
      <c r="B856">
        <v>196390030.73912925</v>
      </c>
    </row>
    <row r="857" spans="1:2" x14ac:dyDescent="0.25">
      <c r="A857">
        <f ca="1">31947.1800862029*((RANDBETWEEN(2979,3282)))</f>
        <v>95585962.817919031</v>
      </c>
      <c r="B857">
        <v>192486504.10889894</v>
      </c>
    </row>
    <row r="858" spans="1:2" x14ac:dyDescent="0.25">
      <c r="A858">
        <f ca="1">28785.3875117308*((RANDBETWEEN(2979,3282)))</f>
        <v>88601422.761107549</v>
      </c>
      <c r="B858">
        <v>197718768.18818384</v>
      </c>
    </row>
    <row r="859" spans="1:2" x14ac:dyDescent="0.25">
      <c r="A859">
        <f ca="1">34193.3665018248*((RANDBETWEEN(2979,3282)))</f>
        <v>109863286.57036313</v>
      </c>
      <c r="B859">
        <v>166998740.80141601</v>
      </c>
    </row>
    <row r="860" spans="1:2" x14ac:dyDescent="0.25">
      <c r="A860">
        <f ca="1">38969.6883748229*((RANDBETWEEN(2979,3282)))</f>
        <v>120572215.83170204</v>
      </c>
      <c r="B860">
        <v>146601231.14348239</v>
      </c>
    </row>
    <row r="861" spans="1:2" x14ac:dyDescent="0.25">
      <c r="A861">
        <f ca="1">29592.5683398161*((RANDBETWEEN(2979,3282)))</f>
        <v>92624738.903624237</v>
      </c>
      <c r="B861">
        <v>160850767.76529217</v>
      </c>
    </row>
    <row r="862" spans="1:2" x14ac:dyDescent="0.25">
      <c r="A862">
        <f ca="1">35897.014028334*((RANDBETWEEN(2979,3282)))</f>
        <v>112896109.11911052</v>
      </c>
      <c r="B862">
        <v>187559704.63298553</v>
      </c>
    </row>
    <row r="863" spans="1:2" x14ac:dyDescent="0.25">
      <c r="A863">
        <f ca="1">30148.7033812084*((RANDBETWEEN(2979,3282)))</f>
        <v>93883062.3290831</v>
      </c>
      <c r="B863">
        <v>180606989.30413169</v>
      </c>
    </row>
    <row r="864" spans="1:2" x14ac:dyDescent="0.25">
      <c r="A864">
        <f ca="1">30452.3439234455*((RANDBETWEEN(2979,3282)))</f>
        <v>98878760.719427481</v>
      </c>
      <c r="B864">
        <v>171011660.26965246</v>
      </c>
    </row>
    <row r="865" spans="1:2" x14ac:dyDescent="0.25">
      <c r="A865">
        <f ca="1">38850.4488943218*((RANDBETWEEN(2979,3282)))</f>
        <v>117095252.96748604</v>
      </c>
      <c r="B865">
        <v>163730199.37717849</v>
      </c>
    </row>
    <row r="866" spans="1:2" x14ac:dyDescent="0.25">
      <c r="A866">
        <f ca="1">41491.4097776792*((RANDBETWEEN(2979,3282)))</f>
        <v>133934270.76234843</v>
      </c>
      <c r="B866">
        <v>166813964.78211543</v>
      </c>
    </row>
    <row r="867" spans="1:2" x14ac:dyDescent="0.25">
      <c r="A867">
        <f ca="1">29841.1737127705*((RANDBETWEEN(2979,3282)))</f>
        <v>92985097.288992956</v>
      </c>
      <c r="B867">
        <v>171004918.93215141</v>
      </c>
    </row>
    <row r="868" spans="1:2" x14ac:dyDescent="0.25">
      <c r="A868">
        <f ca="1">29625.388955603*((RANDBETWEEN(2979,3282)))</f>
        <v>91275823.372212768</v>
      </c>
      <c r="B868">
        <v>144263290.83787954</v>
      </c>
    </row>
    <row r="869" spans="1:2" x14ac:dyDescent="0.25">
      <c r="A869">
        <f ca="1">33604.5959428631*((RANDBETWEEN(2979,3282)))</f>
        <v>101620298.1312179</v>
      </c>
      <c r="B869">
        <v>149068088.36892626</v>
      </c>
    </row>
    <row r="870" spans="1:2" x14ac:dyDescent="0.25">
      <c r="A870">
        <f ca="1">38175.7274845733*((RANDBETWEEN(2979,3282)))</f>
        <v>122162327.9506346</v>
      </c>
      <c r="B870">
        <v>158294760.27217564</v>
      </c>
    </row>
    <row r="871" spans="1:2" x14ac:dyDescent="0.25">
      <c r="A871">
        <f ca="1">30138.2651272579*((RANDBETWEEN(2979,3282)))</f>
        <v>94724567.294971541</v>
      </c>
      <c r="B871">
        <v>171964562.80800468</v>
      </c>
    </row>
    <row r="872" spans="1:2" x14ac:dyDescent="0.25">
      <c r="A872">
        <f ca="1">30769.8386144127*((RANDBETWEEN(2979,3282)))</f>
        <v>93817237.935344234</v>
      </c>
      <c r="B872">
        <v>159067422.40889376</v>
      </c>
    </row>
    <row r="873" spans="1:2" x14ac:dyDescent="0.25">
      <c r="A873">
        <f ca="1">31248.00283213*((RANDBETWEEN(2979,3282)))</f>
        <v>93212792.448243767</v>
      </c>
      <c r="B873">
        <v>168208056.174427</v>
      </c>
    </row>
    <row r="874" spans="1:2" x14ac:dyDescent="0.25">
      <c r="A874">
        <f ca="1">30392.7038598974*((RANDBETWEEN(2979,3282)))</f>
        <v>94582094.412000582</v>
      </c>
      <c r="B874">
        <v>159522295.99254888</v>
      </c>
    </row>
    <row r="875" spans="1:2" x14ac:dyDescent="0.25">
      <c r="A875">
        <f ca="1">29578.6395268557*((RANDBETWEEN(2979,3282)))</f>
        <v>96692572.613291264</v>
      </c>
      <c r="B875">
        <v>152797927.43626887</v>
      </c>
    </row>
    <row r="876" spans="1:2" x14ac:dyDescent="0.25">
      <c r="A876">
        <f ca="1">41802.4454199981*((RANDBETWEEN(2979,3282)))</f>
        <v>129671185.69283408</v>
      </c>
      <c r="B876">
        <v>145439250.20930564</v>
      </c>
    </row>
    <row r="877" spans="1:2" x14ac:dyDescent="0.25">
      <c r="A877">
        <f ca="1">38241.6456421287*((RANDBETWEEN(2979,3282)))</f>
        <v>124667764.79333965</v>
      </c>
      <c r="B877">
        <v>188712818.78735021</v>
      </c>
    </row>
    <row r="878" spans="1:2" x14ac:dyDescent="0.25">
      <c r="A878">
        <f ca="1">36455.7962351756*((RANDBETWEEN(2979,3282)))</f>
        <v>116804371.1375026</v>
      </c>
      <c r="B878">
        <v>164791813.28367817</v>
      </c>
    </row>
    <row r="879" spans="1:2" x14ac:dyDescent="0.25">
      <c r="A879">
        <f ca="1">30980.0268651006*((RANDBETWEEN(2979,3282)))</f>
        <v>93621641.186334029</v>
      </c>
      <c r="B879">
        <v>168601075.30096254</v>
      </c>
    </row>
    <row r="880" spans="1:2" x14ac:dyDescent="0.25">
      <c r="A880">
        <f ca="1">39209.6081950831*((RANDBETWEEN(2979,3282)))</f>
        <v>126960711.33567896</v>
      </c>
      <c r="B880">
        <v>147496341.09391004</v>
      </c>
    </row>
    <row r="881" spans="1:2" x14ac:dyDescent="0.25">
      <c r="A881">
        <f ca="1">30767.3227174551*((RANDBETWEEN(2979,3282)))</f>
        <v>99839962.21814172</v>
      </c>
      <c r="B881">
        <v>163448649.30138651</v>
      </c>
    </row>
    <row r="882" spans="1:2" x14ac:dyDescent="0.25">
      <c r="A882">
        <f ca="1">41920.9997634305*((RANDBETWEEN(2979,3282)))</f>
        <v>129452047.26947334</v>
      </c>
      <c r="B882">
        <v>201366157.72451818</v>
      </c>
    </row>
    <row r="883" spans="1:2" x14ac:dyDescent="0.25">
      <c r="A883">
        <f ca="1">31467.0550164598*((RANDBETWEEN(2979,3282)))</f>
        <v>99876432.622243285</v>
      </c>
      <c r="B883">
        <v>146989169.94822365</v>
      </c>
    </row>
    <row r="884" spans="1:2" x14ac:dyDescent="0.25">
      <c r="A884">
        <f ca="1">32051.6004830148*((RANDBETWEEN(2979,3282)))</f>
        <v>97436865.468364999</v>
      </c>
      <c r="B884">
        <v>166713421.15877393</v>
      </c>
    </row>
    <row r="885" spans="1:2" x14ac:dyDescent="0.25">
      <c r="A885">
        <f ca="1">29742.6785542339*((RANDBETWEEN(2979,3282)))</f>
        <v>91547964.58993192</v>
      </c>
      <c r="B885">
        <v>182300442.6104497</v>
      </c>
    </row>
    <row r="886" spans="1:2" x14ac:dyDescent="0.25">
      <c r="A886">
        <f ca="1">39740.0733248135*((RANDBETWEEN(2979,3282)))</f>
        <v>122796826.57367383</v>
      </c>
      <c r="B886">
        <v>171371212.17982846</v>
      </c>
    </row>
    <row r="887" spans="1:2" x14ac:dyDescent="0.25">
      <c r="A887">
        <f ca="1">39123.8898044578*((RANDBETWEEN(2979,3282)))</f>
        <v>126722279.07663894</v>
      </c>
      <c r="B887">
        <v>197474355.07343498</v>
      </c>
    </row>
    <row r="888" spans="1:2" x14ac:dyDescent="0.25">
      <c r="A888">
        <f ca="1">31515.4173502209*((RANDBETWEEN(2979,3282)))</f>
        <v>94294128.711861044</v>
      </c>
      <c r="B888">
        <v>142970568.61149567</v>
      </c>
    </row>
    <row r="889" spans="1:2" x14ac:dyDescent="0.25">
      <c r="A889">
        <f ca="1">29542.5119881767*((RANDBETWEEN(2979,3282)))</f>
        <v>90518256.731773302</v>
      </c>
      <c r="B889">
        <v>145021128.18416318</v>
      </c>
    </row>
    <row r="890" spans="1:2" x14ac:dyDescent="0.25">
      <c r="A890">
        <f ca="1">31233.0108907855*((RANDBETWEEN(2979,3282)))</f>
        <v>100351663.99209376</v>
      </c>
      <c r="B890">
        <v>145203129.08374989</v>
      </c>
    </row>
    <row r="891" spans="1:2" x14ac:dyDescent="0.25">
      <c r="A891">
        <f ca="1">30080.1088659104*((RANDBETWEEN(2979,3282)))</f>
        <v>98662757.080186009</v>
      </c>
      <c r="B891">
        <v>189184856.09158137</v>
      </c>
    </row>
    <row r="892" spans="1:2" x14ac:dyDescent="0.25">
      <c r="A892">
        <f ca="1">30428.1158128085*((RANDBETWEEN(2979,3282)))</f>
        <v>97369970.600987256</v>
      </c>
      <c r="B892">
        <v>154114394.39709073</v>
      </c>
    </row>
    <row r="893" spans="1:2" x14ac:dyDescent="0.25">
      <c r="A893">
        <f ca="1">31217.723023848*((RANDBETWEEN(2979,3282)))</f>
        <v>97336860.388358086</v>
      </c>
      <c r="B893">
        <v>203173244.84659961</v>
      </c>
    </row>
    <row r="894" spans="1:2" x14ac:dyDescent="0.25">
      <c r="A894">
        <f ca="1">36459.7209905959*((RANDBETWEEN(2979,3282)))</f>
        <v>113717869.76966859</v>
      </c>
      <c r="B894">
        <v>157484593.06938803</v>
      </c>
    </row>
    <row r="895" spans="1:2" x14ac:dyDescent="0.25">
      <c r="A895">
        <f ca="1">32355.5859575854*((RANDBETWEEN(2979,3282)))</f>
        <v>101952451.35235162</v>
      </c>
      <c r="B895">
        <v>154011822.35114226</v>
      </c>
    </row>
    <row r="896" spans="1:2" x14ac:dyDescent="0.25">
      <c r="A896">
        <f ca="1">31864.4940604903*((RANDBETWEEN(2979,3282)))</f>
        <v>102380619.41635537</v>
      </c>
      <c r="B896">
        <v>173225317.79794514</v>
      </c>
    </row>
    <row r="897" spans="1:2" x14ac:dyDescent="0.25">
      <c r="A897">
        <f ca="1">31516.9821987352*((RANDBETWEEN(2979,3282)))</f>
        <v>97355958.0118929</v>
      </c>
      <c r="B897">
        <v>188573705.11524338</v>
      </c>
    </row>
    <row r="898" spans="1:2" x14ac:dyDescent="0.25">
      <c r="A898">
        <f ca="1">37519.6826403672*((RANDBETWEEN(2979,3282)))</f>
        <v>118111960.95187609</v>
      </c>
      <c r="B898">
        <v>143857602.7343801</v>
      </c>
    </row>
    <row r="899" spans="1:2" x14ac:dyDescent="0.25">
      <c r="A899">
        <f ca="1">29857.4128912024*((RANDBETWEEN(2979,3282)))</f>
        <v>90796392.602146521</v>
      </c>
      <c r="B899">
        <v>189758863.43829298</v>
      </c>
    </row>
    <row r="900" spans="1:2" x14ac:dyDescent="0.25">
      <c r="A900">
        <f ca="1">35614.2281911975*((RANDBETWEEN(2979,3282)))</f>
        <v>107341283.7682694</v>
      </c>
      <c r="B900">
        <v>186537565.58886689</v>
      </c>
    </row>
    <row r="901" spans="1:2" x14ac:dyDescent="0.25">
      <c r="A901">
        <f ca="1">32813.4056777453*((RANDBETWEEN(2979,3282)))</f>
        <v>106709195.2640276</v>
      </c>
      <c r="B901">
        <v>158897385.18805444</v>
      </c>
    </row>
    <row r="902" spans="1:2" x14ac:dyDescent="0.25">
      <c r="A902">
        <f ca="1">30112.4810959325*((RANDBETWEEN(2979,3282)))</f>
        <v>95125327.782050818</v>
      </c>
      <c r="B902">
        <v>154680094.37300208</v>
      </c>
    </row>
    <row r="903" spans="1:2" x14ac:dyDescent="0.25">
      <c r="A903">
        <f ca="1">31026.0057900572*((RANDBETWEEN(2979,3282)))</f>
        <v>94629317.659674451</v>
      </c>
      <c r="B903">
        <v>151300587.13512307</v>
      </c>
    </row>
    <row r="904" spans="1:2" x14ac:dyDescent="0.25">
      <c r="A904">
        <f ca="1">34096.3074323765*((RANDBETWEEN(2979,3282)))</f>
        <v>109449146.85792869</v>
      </c>
      <c r="B904">
        <v>149079597.56525439</v>
      </c>
    </row>
    <row r="905" spans="1:2" x14ac:dyDescent="0.25">
      <c r="A905">
        <f ca="1">29175.471273293*((RANDBETWEEN(2979,3282)))</f>
        <v>94586877.86801599</v>
      </c>
      <c r="B905">
        <v>149201423.9577601</v>
      </c>
    </row>
    <row r="906" spans="1:2" x14ac:dyDescent="0.25">
      <c r="A906">
        <f ca="1">33441.2058541304*((RANDBETWEEN(2979,3282)))</f>
        <v>101059324.09118204</v>
      </c>
      <c r="B906">
        <v>163098794.49646378</v>
      </c>
    </row>
    <row r="907" spans="1:2" x14ac:dyDescent="0.25">
      <c r="A907">
        <f ca="1">28366.8694118918*((RANDBETWEEN(2979,3282)))</f>
        <v>89979709.774520785</v>
      </c>
      <c r="B907">
        <v>147186309.08911785</v>
      </c>
    </row>
    <row r="908" spans="1:2" x14ac:dyDescent="0.25">
      <c r="A908">
        <f ca="1">31732.15357362*((RANDBETWEEN(2979,3282)))</f>
        <v>96909997.013835609</v>
      </c>
      <c r="B908">
        <v>149051326.7823059</v>
      </c>
    </row>
    <row r="909" spans="1:2" x14ac:dyDescent="0.25">
      <c r="A909">
        <f ca="1">31335.1918047042*((RANDBETWEEN(2979,3282)))</f>
        <v>102622753.16040634</v>
      </c>
      <c r="B909">
        <v>154991725.44470012</v>
      </c>
    </row>
    <row r="910" spans="1:2" x14ac:dyDescent="0.25">
      <c r="A910">
        <f ca="1">30470.2766779084*((RANDBETWEEN(2979,3282)))</f>
        <v>97535355.645984858</v>
      </c>
      <c r="B910">
        <v>166099010.5799787</v>
      </c>
    </row>
    <row r="911" spans="1:2" x14ac:dyDescent="0.25">
      <c r="A911">
        <f ca="1">30094.3185911139*((RANDBETWEEN(2979,3282)))</f>
        <v>90042201.224612802</v>
      </c>
      <c r="B911">
        <v>165381682.90690351</v>
      </c>
    </row>
    <row r="912" spans="1:2" x14ac:dyDescent="0.25">
      <c r="A912">
        <f ca="1">33848.4476800335*((RANDBETWEEN(2979,3282)))</f>
        <v>106216428.81994502</v>
      </c>
      <c r="B912">
        <v>183768535.8708224</v>
      </c>
    </row>
    <row r="913" spans="1:2" x14ac:dyDescent="0.25">
      <c r="A913">
        <f ca="1">38271.6413817494*((RANDBETWEEN(2979,3282)))</f>
        <v>124306291.20792209</v>
      </c>
      <c r="B913">
        <v>155328806.24078941</v>
      </c>
    </row>
    <row r="914" spans="1:2" x14ac:dyDescent="0.25">
      <c r="A914">
        <f ca="1">29464.6726178045*((RANDBETWEEN(2979,3282)))</f>
        <v>95082498.537654996</v>
      </c>
      <c r="B914">
        <v>165510136.45464069</v>
      </c>
    </row>
    <row r="915" spans="1:2" x14ac:dyDescent="0.25">
      <c r="A915">
        <f ca="1">32859.4960354314*((RANDBETWEEN(2979,3282)))</f>
        <v>100517198.37238473</v>
      </c>
      <c r="B915">
        <v>202610326.18148544</v>
      </c>
    </row>
    <row r="916" spans="1:2" x14ac:dyDescent="0.25">
      <c r="A916">
        <f ca="1">37447.4731209467*((RANDBETWEEN(2979,3282)))</f>
        <v>117847197.91161931</v>
      </c>
      <c r="B916">
        <v>179546538.46829864</v>
      </c>
    </row>
    <row r="917" spans="1:2" x14ac:dyDescent="0.25">
      <c r="A917">
        <f ca="1">37022.5923915535*((RANDBETWEEN(2979,3282)))</f>
        <v>117879934.17470632</v>
      </c>
      <c r="B917">
        <v>189008589.52216214</v>
      </c>
    </row>
    <row r="918" spans="1:2" x14ac:dyDescent="0.25">
      <c r="A918">
        <f ca="1">34670.0995208648*((RANDBETWEEN(2979,3282)))</f>
        <v>108378731.1022235</v>
      </c>
      <c r="B918">
        <v>169219539.44176915</v>
      </c>
    </row>
    <row r="919" spans="1:2" x14ac:dyDescent="0.25">
      <c r="A919">
        <f ca="1">33496.8355242958*((RANDBETWEEN(2979,3282)))</f>
        <v>108764224.94738844</v>
      </c>
      <c r="B919">
        <v>155534339.02960724</v>
      </c>
    </row>
    <row r="920" spans="1:2" x14ac:dyDescent="0.25">
      <c r="A920">
        <f ca="1">29463.122518948*((RANDBETWEEN(2979,3282)))</f>
        <v>89538429.335083053</v>
      </c>
      <c r="B920">
        <v>145012926.20439431</v>
      </c>
    </row>
    <row r="921" spans="1:2" x14ac:dyDescent="0.25">
      <c r="A921">
        <f ca="1">32254.2830403793*((RANDBETWEEN(2979,3282)))</f>
        <v>104374859.91866729</v>
      </c>
      <c r="B921">
        <v>163296293.59974763</v>
      </c>
    </row>
    <row r="922" spans="1:2" x14ac:dyDescent="0.25">
      <c r="A922">
        <f ca="1">30143.1829777522*((RANDBETWEEN(2979,3282)))</f>
        <v>90248689.835390136</v>
      </c>
      <c r="B922">
        <v>149130201.49751842</v>
      </c>
    </row>
    <row r="923" spans="1:2" x14ac:dyDescent="0.25">
      <c r="A923">
        <f ca="1">30591.3326474572*((RANDBETWEEN(2979,3282)))</f>
        <v>94680174.543879911</v>
      </c>
      <c r="B923">
        <v>191767481.3693479</v>
      </c>
    </row>
    <row r="924" spans="1:2" x14ac:dyDescent="0.25">
      <c r="A924">
        <f ca="1">32231.9036687146*((RANDBETWEEN(2979,3282)))</f>
        <v>96276696.258450389</v>
      </c>
      <c r="B924">
        <v>177059879.75041676</v>
      </c>
    </row>
    <row r="925" spans="1:2" x14ac:dyDescent="0.25">
      <c r="A925">
        <f ca="1">37005.1921839889*((RANDBETWEEN(2979,3282)))</f>
        <v>116529350.18738118</v>
      </c>
      <c r="B925">
        <v>201594791.03105727</v>
      </c>
    </row>
    <row r="926" spans="1:2" x14ac:dyDescent="0.25">
      <c r="A926">
        <f ca="1">39233.4253865104*((RANDBETWEEN(2979,3282)))</f>
        <v>128293301.01388913</v>
      </c>
      <c r="B926">
        <v>193075977.7602511</v>
      </c>
    </row>
    <row r="927" spans="1:2" x14ac:dyDescent="0.25">
      <c r="A927">
        <f ca="1">38630.9138729449*((RANDBETWEEN(2979,3282)))</f>
        <v>120837498.59457168</v>
      </c>
      <c r="B927">
        <v>165779200.68381339</v>
      </c>
    </row>
    <row r="928" spans="1:2" x14ac:dyDescent="0.25">
      <c r="A928">
        <f ca="1">28694.4259619071*((RANDBETWEEN(2979,3282)))</f>
        <v>88149276.55497846</v>
      </c>
      <c r="B928">
        <v>180176665.21238944</v>
      </c>
    </row>
    <row r="929" spans="1:2" x14ac:dyDescent="0.25">
      <c r="A929">
        <f ca="1">41710.3138197297*((RANDBETWEEN(2979,3282)))</f>
        <v>128968290.33060434</v>
      </c>
      <c r="B929">
        <v>157599879.04187462</v>
      </c>
    </row>
    <row r="930" spans="1:2" x14ac:dyDescent="0.25">
      <c r="A930">
        <f ca="1">34722.4554248971*((RANDBETWEEN(2979,3282)))</f>
        <v>105625709.40253703</v>
      </c>
      <c r="B930">
        <v>151902022.43260637</v>
      </c>
    </row>
    <row r="931" spans="1:2" x14ac:dyDescent="0.25">
      <c r="A931">
        <f ca="1">35962.4827756019*((RANDBETWEEN(2979,3282)))</f>
        <v>110548672.05220015</v>
      </c>
      <c r="B931">
        <v>193239421.02887991</v>
      </c>
    </row>
    <row r="932" spans="1:2" x14ac:dyDescent="0.25">
      <c r="A932">
        <f ca="1">31852.8419939044*((RANDBETWEEN(2979,3282)))</f>
        <v>98648251.655122042</v>
      </c>
      <c r="B932">
        <v>182972098.84674859</v>
      </c>
    </row>
    <row r="933" spans="1:2" x14ac:dyDescent="0.25">
      <c r="A933">
        <f ca="1">31144.6872087593*((RANDBETWEEN(2979,3282)))</f>
        <v>101407101.55172037</v>
      </c>
      <c r="B933">
        <v>161786009.58524296</v>
      </c>
    </row>
    <row r="934" spans="1:2" x14ac:dyDescent="0.25">
      <c r="A934">
        <f ca="1">33420.9950490777*((RANDBETWEEN(2979,3282)))</f>
        <v>104306925.54817156</v>
      </c>
      <c r="B934">
        <v>150594633.79766297</v>
      </c>
    </row>
    <row r="935" spans="1:2" x14ac:dyDescent="0.25">
      <c r="A935">
        <f ca="1">42832.6131159765*((RANDBETWEEN(2979,3282)))</f>
        <v>135565220.51206568</v>
      </c>
      <c r="B935">
        <v>200637570.45089939</v>
      </c>
    </row>
    <row r="936" spans="1:2" x14ac:dyDescent="0.25">
      <c r="A936">
        <f ca="1">32853.5009519053*((RANDBETWEEN(2979,3282)))</f>
        <v>97969139.838581622</v>
      </c>
      <c r="B936">
        <v>150182738.46647495</v>
      </c>
    </row>
    <row r="937" spans="1:2" x14ac:dyDescent="0.25">
      <c r="A937">
        <f ca="1">31393.2772633879*((RANDBETWEEN(2979,3282)))</f>
        <v>99862014.974836975</v>
      </c>
      <c r="B937">
        <v>160940421.37022224</v>
      </c>
    </row>
    <row r="938" spans="1:2" x14ac:dyDescent="0.25">
      <c r="A938">
        <f ca="1">30684.2282747555*((RANDBETWEEN(2979,3282)))</f>
        <v>97637214.370271936</v>
      </c>
      <c r="B938">
        <v>203377383.84501755</v>
      </c>
    </row>
    <row r="939" spans="1:2" x14ac:dyDescent="0.25">
      <c r="A939">
        <f ca="1">34368.995140309*((RANDBETWEEN(2979,3282)))</f>
        <v>112111662.14768808</v>
      </c>
      <c r="B939">
        <v>144334012.21663189</v>
      </c>
    </row>
    <row r="940" spans="1:2" x14ac:dyDescent="0.25">
      <c r="A940">
        <f ca="1">36911.1307681352*((RANDBETWEEN(2979,3282)))</f>
        <v>119813530.4733668</v>
      </c>
      <c r="B940">
        <v>152115411.73837379</v>
      </c>
    </row>
    <row r="941" spans="1:2" x14ac:dyDescent="0.25">
      <c r="A941">
        <f ca="1">40297.0748709338*((RANDBETWEEN(2979,3282)))</f>
        <v>131529652.37872778</v>
      </c>
      <c r="B941">
        <v>176843381.48028749</v>
      </c>
    </row>
    <row r="942" spans="1:2" x14ac:dyDescent="0.25">
      <c r="A942">
        <f ca="1">32855.8901154283*((RANDBETWEEN(2979,3282)))</f>
        <v>105927389.73214099</v>
      </c>
      <c r="B942">
        <v>154134629.24534935</v>
      </c>
    </row>
    <row r="943" spans="1:2" x14ac:dyDescent="0.25">
      <c r="A943">
        <f ca="1">31013.5225961382*((RANDBETWEEN(2979,3282)))</f>
        <v>99181245.26244992</v>
      </c>
      <c r="B943">
        <v>162296833.82870305</v>
      </c>
    </row>
    <row r="944" spans="1:2" x14ac:dyDescent="0.25">
      <c r="A944">
        <f ca="1">30834.7659091663*((RANDBETWEEN(2979,3282)))</f>
        <v>96512817.295690596</v>
      </c>
      <c r="B944">
        <v>150801963.66814005</v>
      </c>
    </row>
    <row r="945" spans="1:2" x14ac:dyDescent="0.25">
      <c r="A945">
        <f ca="1">30602.2792031251*((RANDBETWEEN(2979,3282)))</f>
        <v>100314271.22784416</v>
      </c>
      <c r="B945">
        <v>184749080.17190725</v>
      </c>
    </row>
    <row r="946" spans="1:2" x14ac:dyDescent="0.25">
      <c r="A946">
        <f ca="1">32426.248542952*((RANDBETWEEN(2979,3282)))</f>
        <v>100132255.50063577</v>
      </c>
      <c r="B946">
        <v>155631969.13807186</v>
      </c>
    </row>
    <row r="947" spans="1:2" x14ac:dyDescent="0.25">
      <c r="A947">
        <f ca="1">34042.0519711679*((RANDBETWEEN(2979,3282)))</f>
        <v>107470758.07297699</v>
      </c>
      <c r="B947">
        <v>190370654.63982311</v>
      </c>
    </row>
    <row r="948" spans="1:2" x14ac:dyDescent="0.25">
      <c r="A948">
        <f ca="1">36792.7401108792*((RANDBETWEEN(2979,3282)))</f>
        <v>110267842.11230493</v>
      </c>
      <c r="B948">
        <v>146803999.69715673</v>
      </c>
    </row>
    <row r="949" spans="1:2" x14ac:dyDescent="0.25">
      <c r="A949">
        <f ca="1">30500.6123637138*((RANDBETWEEN(2979,3282)))</f>
        <v>95588919.147878945</v>
      </c>
      <c r="B949">
        <v>188620570.30553666</v>
      </c>
    </row>
    <row r="950" spans="1:2" x14ac:dyDescent="0.25">
      <c r="A950">
        <f ca="1">39331.5208162052*((RANDBETWEEN(2979,3282)))</f>
        <v>127788111.13185069</v>
      </c>
      <c r="B950">
        <v>147011648.403844</v>
      </c>
    </row>
    <row r="951" spans="1:2" x14ac:dyDescent="0.25">
      <c r="A951">
        <f ca="1">39371.5287045341*((RANDBETWEEN(2979,3282)))</f>
        <v>122484825.79980552</v>
      </c>
      <c r="B951">
        <v>145241696.84750575</v>
      </c>
    </row>
    <row r="952" spans="1:2" x14ac:dyDescent="0.25">
      <c r="A952">
        <f ca="1">31761.6392041882*((RANDBETWEEN(2979,3282)))</f>
        <v>96142481.871077701</v>
      </c>
      <c r="B952">
        <v>197419526.53979564</v>
      </c>
    </row>
    <row r="953" spans="1:2" x14ac:dyDescent="0.25">
      <c r="A953">
        <f ca="1">36063.0295977452*((RANDBETWEEN(2979,3282)))</f>
        <v>116014766.21594627</v>
      </c>
      <c r="B953">
        <v>169464422.47515425</v>
      </c>
    </row>
    <row r="954" spans="1:2" x14ac:dyDescent="0.25">
      <c r="A954">
        <f ca="1">35415.8659100056*((RANDBETWEEN(2979,3282)))</f>
        <v>110532917.50512742</v>
      </c>
      <c r="B954">
        <v>155220418.41084039</v>
      </c>
    </row>
    <row r="955" spans="1:2" x14ac:dyDescent="0.25">
      <c r="A955">
        <f ca="1">39485.0233405595*((RANDBETWEEN(2979,3282)))</f>
        <v>118139189.83495407</v>
      </c>
      <c r="B955">
        <v>152549161.77668226</v>
      </c>
    </row>
    <row r="956" spans="1:2" x14ac:dyDescent="0.25">
      <c r="A956">
        <f ca="1">30624.1088375825*((RANDBETWEEN(2979,3282)))</f>
        <v>93709773.043002352</v>
      </c>
      <c r="B956">
        <v>176299791.7650969</v>
      </c>
    </row>
    <row r="957" spans="1:2" x14ac:dyDescent="0.25">
      <c r="A957">
        <f ca="1">31572.2366644704*((RANDBETWEEN(2979,3282)))</f>
        <v>95221865.780042678</v>
      </c>
      <c r="B957">
        <v>145060594.39487368</v>
      </c>
    </row>
    <row r="958" spans="1:2" x14ac:dyDescent="0.25">
      <c r="A958">
        <f ca="1">31763.7049146809*((RANDBETWEEN(2979,3282)))</f>
        <v>101707383.13680831</v>
      </c>
      <c r="B958">
        <v>149612236.23265535</v>
      </c>
    </row>
    <row r="959" spans="1:2" x14ac:dyDescent="0.25">
      <c r="A959">
        <f ca="1">33688.4126779122*((RANDBETWEEN(2979,3282)))</f>
        <v>102547528.19156487</v>
      </c>
      <c r="B959">
        <v>178595373.26536629</v>
      </c>
    </row>
    <row r="960" spans="1:2" x14ac:dyDescent="0.25">
      <c r="A960">
        <f ca="1">40712.3073646437*((RANDBETWEEN(2979,3282)))</f>
        <v>124131825.15479867</v>
      </c>
      <c r="B960">
        <v>174768589.63671982</v>
      </c>
    </row>
    <row r="961" spans="1:2" x14ac:dyDescent="0.25">
      <c r="A961">
        <f ca="1">35784.7943951111*((RANDBETWEEN(2979,3282)))</f>
        <v>115191253.15786263</v>
      </c>
      <c r="B961">
        <v>150448370.91315293</v>
      </c>
    </row>
    <row r="962" spans="1:2" x14ac:dyDescent="0.25">
      <c r="A962">
        <f ca="1">31069.2233843011*((RANDBETWEEN(2979,3282)))</f>
        <v>100912837.55220988</v>
      </c>
      <c r="B962">
        <v>193268474.27903956</v>
      </c>
    </row>
    <row r="963" spans="1:2" x14ac:dyDescent="0.25">
      <c r="A963">
        <f ca="1">29448.8950190809*((RANDBETWEEN(2979,3282)))</f>
        <v>92675672.62504746</v>
      </c>
      <c r="B963">
        <v>148949708.52439815</v>
      </c>
    </row>
    <row r="964" spans="1:2" x14ac:dyDescent="0.25">
      <c r="A964">
        <f ca="1">39827.3022588133*((RANDBETWEEN(2979,3282)))</f>
        <v>121234308.07582769</v>
      </c>
      <c r="B964">
        <v>170277440.11001164</v>
      </c>
    </row>
    <row r="965" spans="1:2" x14ac:dyDescent="0.25">
      <c r="A965">
        <f ca="1">37653.326453342*((RANDBETWEEN(2979,3282)))</f>
        <v>123389950.78760183</v>
      </c>
      <c r="B965">
        <v>170031196.55818987</v>
      </c>
    </row>
    <row r="966" spans="1:2" x14ac:dyDescent="0.25">
      <c r="A966">
        <f ca="1">28940.8861325228*((RANDBETWEEN(2979,3282)))</f>
        <v>90613914.480928868</v>
      </c>
      <c r="B966">
        <v>187550050.06001294</v>
      </c>
    </row>
    <row r="967" spans="1:2" x14ac:dyDescent="0.25">
      <c r="A967">
        <f ca="1">32637.4462478659*((RANDBETWEEN(2979,3282)))</f>
        <v>105549501.16559827</v>
      </c>
      <c r="B967">
        <v>179624587.11694443</v>
      </c>
    </row>
    <row r="968" spans="1:2" x14ac:dyDescent="0.25">
      <c r="A968">
        <f ca="1">32580.3883178617*((RANDBETWEEN(2979,3282)))</f>
        <v>104322403.39379308</v>
      </c>
      <c r="B968">
        <v>201407054.30419034</v>
      </c>
    </row>
    <row r="969" spans="1:2" x14ac:dyDescent="0.25">
      <c r="A969">
        <f ca="1">35561.0253896649*((RANDBETWEEN(2979,3282)))</f>
        <v>109207908.97166075</v>
      </c>
      <c r="B969">
        <v>165934259.46980146</v>
      </c>
    </row>
    <row r="970" spans="1:2" x14ac:dyDescent="0.25">
      <c r="A970">
        <f ca="1">32856.7133716622*((RANDBETWEEN(2979,3282)))</f>
        <v>107244312.44510542</v>
      </c>
      <c r="B970">
        <v>151233757.80247995</v>
      </c>
    </row>
    <row r="971" spans="1:2" x14ac:dyDescent="0.25">
      <c r="A971">
        <f ca="1">30590.5842248402*((RANDBETWEEN(2979,3282)))</f>
        <v>96574474.397820592</v>
      </c>
      <c r="B971">
        <v>148724117.80368885</v>
      </c>
    </row>
    <row r="972" spans="1:2" x14ac:dyDescent="0.25">
      <c r="A972">
        <f ca="1">32180.931171245*((RANDBETWEEN(2979,3282)))</f>
        <v>99825248.493201867</v>
      </c>
      <c r="B972">
        <v>188512991.75078055</v>
      </c>
    </row>
    <row r="973" spans="1:2" x14ac:dyDescent="0.25">
      <c r="A973">
        <f ca="1">33644.9908694303*((RANDBETWEEN(2979,3282)))</f>
        <v>106385461.12913859</v>
      </c>
      <c r="B973">
        <v>176501868.35063028</v>
      </c>
    </row>
    <row r="974" spans="1:2" x14ac:dyDescent="0.25">
      <c r="A974">
        <f ca="1">30904.5067089626*((RANDBETWEEN(2979,3282)))</f>
        <v>92713520.126887903</v>
      </c>
      <c r="B974">
        <v>158065809.28947341</v>
      </c>
    </row>
    <row r="975" spans="1:2" x14ac:dyDescent="0.25">
      <c r="A975">
        <f ca="1">30801.3558430432*((RANDBETWEEN(2979,3282)))</f>
        <v>93728525.830380589</v>
      </c>
      <c r="B975">
        <v>167120032.48269004</v>
      </c>
    </row>
    <row r="976" spans="1:2" x14ac:dyDescent="0.25">
      <c r="A976">
        <f ca="1">30723.8101822355*((RANDBETWEEN(2979,3282)))</f>
        <v>94014859.157640696</v>
      </c>
      <c r="B976">
        <v>159193561.23527211</v>
      </c>
    </row>
    <row r="977" spans="1:2" x14ac:dyDescent="0.25">
      <c r="A977">
        <f ca="1">32414.5037860359*((RANDBETWEEN(2979,3282)))</f>
        <v>102559489.97901757</v>
      </c>
      <c r="B977">
        <v>158415595.70187965</v>
      </c>
    </row>
    <row r="978" spans="1:2" x14ac:dyDescent="0.25">
      <c r="A978">
        <f ca="1">40768.2057288422*((RANDBETWEEN(2979,3282)))</f>
        <v>128786761.89741249</v>
      </c>
      <c r="B978">
        <v>165699895.78884205</v>
      </c>
    </row>
    <row r="979" spans="1:2" x14ac:dyDescent="0.25">
      <c r="A979">
        <f ca="1">29810.1517478164*((RANDBETWEEN(2979,3282)))</f>
        <v>94080838.916108698</v>
      </c>
      <c r="B979">
        <v>175146564.24611592</v>
      </c>
    </row>
    <row r="980" spans="1:2" x14ac:dyDescent="0.25">
      <c r="A980">
        <f ca="1">31554.0632120358*((RANDBETWEEN(2979,3282)))</f>
        <v>101256988.84742275</v>
      </c>
      <c r="B980">
        <v>165221413.76649714</v>
      </c>
    </row>
    <row r="981" spans="1:2" x14ac:dyDescent="0.25">
      <c r="A981">
        <f ca="1">33049.5901486994*((RANDBETWEEN(2979,3282)))</f>
        <v>104040109.7881058</v>
      </c>
      <c r="B981">
        <v>174381614.93927324</v>
      </c>
    </row>
    <row r="982" spans="1:2" x14ac:dyDescent="0.25">
      <c r="A982">
        <f ca="1">30412.4472194146*((RANDBETWEEN(2979,3282)))</f>
        <v>95282197.138425946</v>
      </c>
      <c r="B982">
        <v>154765535.44847408</v>
      </c>
    </row>
    <row r="983" spans="1:2" x14ac:dyDescent="0.25">
      <c r="A983">
        <f ca="1">30210.4969743023*((RANDBETWEEN(2979,3282)))</f>
        <v>95767275.408538342</v>
      </c>
      <c r="B983">
        <v>152501924.86865994</v>
      </c>
    </row>
    <row r="984" spans="1:2" x14ac:dyDescent="0.25">
      <c r="A984">
        <f ca="1">30577.7923661537*((RANDBETWEEN(2979,3282)))</f>
        <v>98858002.719774798</v>
      </c>
      <c r="B984">
        <v>151374552.61664981</v>
      </c>
    </row>
    <row r="985" spans="1:2" x14ac:dyDescent="0.25">
      <c r="A985">
        <f ca="1">32253.7645437221*((RANDBETWEEN(2979,3282)))</f>
        <v>97761160.332021743</v>
      </c>
      <c r="B985">
        <v>178498702.81033188</v>
      </c>
    </row>
    <row r="986" spans="1:2" x14ac:dyDescent="0.25">
      <c r="A986">
        <f ca="1">32361.4957160375*((RANDBETWEEN(2979,3282)))</f>
        <v>101226758.59976541</v>
      </c>
      <c r="B986">
        <v>159120696.96428695</v>
      </c>
    </row>
    <row r="987" spans="1:2" x14ac:dyDescent="0.25">
      <c r="A987">
        <f ca="1">37176.6475524956*((RANDBETWEEN(2979,3282)))</f>
        <v>119634451.82393079</v>
      </c>
      <c r="B987">
        <v>174743314.98664311</v>
      </c>
    </row>
    <row r="988" spans="1:2" x14ac:dyDescent="0.25">
      <c r="A988">
        <f ca="1">42278.5785524229*((RANDBETWEEN(2979,3282)))</f>
        <v>134910944.16078162</v>
      </c>
      <c r="B988">
        <v>180021693.8091279</v>
      </c>
    </row>
    <row r="989" spans="1:2" x14ac:dyDescent="0.25">
      <c r="A989">
        <f ca="1">32069.5046496055*((RANDBETWEEN(2979,3282)))</f>
        <v>97587502.64874956</v>
      </c>
      <c r="B989">
        <v>148138599.8249954</v>
      </c>
    </row>
    <row r="990" spans="1:2" x14ac:dyDescent="0.25">
      <c r="A990">
        <f ca="1">31290.5973223121*((RANDBETWEEN(2979,3282)))</f>
        <v>97407629.464357555</v>
      </c>
      <c r="B990">
        <v>170221148.86190462</v>
      </c>
    </row>
    <row r="991" spans="1:2" x14ac:dyDescent="0.25">
      <c r="A991">
        <f ca="1">30276.1789689924*((RANDBETWEEN(2979,3282)))</f>
        <v>97761781.890876457</v>
      </c>
      <c r="B991">
        <v>144938303.26066306</v>
      </c>
    </row>
    <row r="992" spans="1:2" x14ac:dyDescent="0.25">
      <c r="A992">
        <f ca="1">31027.4145359302*((RANDBETWEEN(2979,3282)))</f>
        <v>93951011.214796558</v>
      </c>
      <c r="B992">
        <v>189082129.1140756</v>
      </c>
    </row>
    <row r="993" spans="1:2" x14ac:dyDescent="0.25">
      <c r="A993">
        <f ca="1">31073.9130430771*((RANDBETWEEN(2979,3282)))</f>
        <v>93470330.433575839</v>
      </c>
      <c r="B993">
        <v>184656547.76307815</v>
      </c>
    </row>
    <row r="994" spans="1:2" x14ac:dyDescent="0.25">
      <c r="A994">
        <f ca="1">37593.9057880359*((RANDBETWEEN(2979,3282)))</f>
        <v>113496001.57408053</v>
      </c>
      <c r="B994">
        <v>186914585.63691664</v>
      </c>
    </row>
    <row r="995" spans="1:2" x14ac:dyDescent="0.25">
      <c r="A995">
        <f ca="1">29084.4868336319*((RANDBETWEEN(2979,3282)))</f>
        <v>93099442.354455739</v>
      </c>
      <c r="B995">
        <v>171470747.02909288</v>
      </c>
    </row>
    <row r="996" spans="1:2" x14ac:dyDescent="0.25">
      <c r="A996">
        <f ca="1">29905.4253612466*((RANDBETWEEN(2979,3282)))</f>
        <v>95607644.879905373</v>
      </c>
      <c r="B996">
        <v>169384436.01296255</v>
      </c>
    </row>
    <row r="997" spans="1:2" x14ac:dyDescent="0.25">
      <c r="A997">
        <f ca="1">31621.0681075191*((RANDBETWEEN(2979,3282)))</f>
        <v>98183416.473846957</v>
      </c>
      <c r="B997">
        <v>147195064.20125017</v>
      </c>
    </row>
    <row r="998" spans="1:2" x14ac:dyDescent="0.25">
      <c r="A998">
        <f ca="1">32456.0094694763*((RANDBETWEEN(2979,3282)))</f>
        <v>106423255.05041294</v>
      </c>
      <c r="B998">
        <v>154453699.62355062</v>
      </c>
    </row>
    <row r="999" spans="1:2" x14ac:dyDescent="0.25">
      <c r="A999">
        <f ca="1">29446.068653234*((RANDBETWEEN(2979,3282)))</f>
        <v>88190975.616435841</v>
      </c>
      <c r="B999">
        <v>195351401.07890469</v>
      </c>
    </row>
    <row r="1000" spans="1:2" x14ac:dyDescent="0.25">
      <c r="A1000">
        <f ca="1">27481.5464339561*((RANDBETWEEN(2979,3282)))</f>
        <v>89150136.631753519</v>
      </c>
      <c r="B1000">
        <v>143613791.71651831</v>
      </c>
    </row>
    <row r="1001" spans="1:2" x14ac:dyDescent="0.25">
      <c r="A1001">
        <f ca="1">37448.9910602573*((RANDBETWEEN(2979,3282)))</f>
        <v>111785238.31486808</v>
      </c>
      <c r="B1001">
        <v>152173231.53347576</v>
      </c>
    </row>
    <row r="1002" spans="1:2" x14ac:dyDescent="0.25">
      <c r="A1002">
        <f ca="1">35368.4902696185*((RANDBETWEEN(2979,3282)))</f>
        <v>115584226.20111312</v>
      </c>
      <c r="B1002">
        <v>184874975.01186118</v>
      </c>
    </row>
    <row r="1003" spans="1:2" x14ac:dyDescent="0.25">
      <c r="A1003">
        <f ca="1">37465.0891876*((RANDBETWEEN(2979,3282)))</f>
        <v>116404032.10587326</v>
      </c>
      <c r="B1003">
        <v>198417739.45349193</v>
      </c>
    </row>
    <row r="1004" spans="1:2" x14ac:dyDescent="0.25">
      <c r="A1004">
        <f ca="1">36839.6925207939*((RANDBETWEEN(2979,3282)))</f>
        <v>119950038.8477049</v>
      </c>
      <c r="B1004">
        <v>198787430.37024787</v>
      </c>
    </row>
    <row r="1005" spans="1:2" x14ac:dyDescent="0.25">
      <c r="A1005">
        <f ca="1">33333.8085535146*((RANDBETWEEN(2979,3282)))</f>
        <v>108301543.9903688</v>
      </c>
      <c r="B1005">
        <v>146225162.52425832</v>
      </c>
    </row>
    <row r="1006" spans="1:2" x14ac:dyDescent="0.25">
      <c r="A1006">
        <f ca="1">29178.7977771856*((RANDBETWEEN(2979,3282)))</f>
        <v>95560562.720282793</v>
      </c>
      <c r="B1006">
        <v>151543714.2860885</v>
      </c>
    </row>
    <row r="1007" spans="1:2" x14ac:dyDescent="0.25">
      <c r="A1007">
        <f ca="1">30977.5210077996*((RANDBETWEEN(2979,3282)))</f>
        <v>92901585.502390891</v>
      </c>
      <c r="B1007">
        <v>150284515.44777495</v>
      </c>
    </row>
    <row r="1008" spans="1:2" x14ac:dyDescent="0.25">
      <c r="A1008">
        <f ca="1">33598.708810367*((RANDBETWEEN(2979,3282)))</f>
        <v>107885453.99008845</v>
      </c>
      <c r="B1008">
        <v>146734978.70189947</v>
      </c>
    </row>
    <row r="1009" spans="1:2" x14ac:dyDescent="0.25">
      <c r="A1009">
        <f ca="1">33903.5859843209*((RANDBETWEEN(2979,3282)))</f>
        <v>111169858.44258824</v>
      </c>
      <c r="B1009">
        <v>191682727.05140862</v>
      </c>
    </row>
    <row r="1010" spans="1:2" x14ac:dyDescent="0.25">
      <c r="A1010">
        <f ca="1">30021.8895917584*((RANDBETWEEN(2979,3282)))</f>
        <v>94478886.545263678</v>
      </c>
      <c r="B1010">
        <v>181802876.04435953</v>
      </c>
    </row>
    <row r="1011" spans="1:2" x14ac:dyDescent="0.25">
      <c r="A1011">
        <f ca="1">36523.9745255459*((RANDBETWEEN(2979,3282)))</f>
        <v>113260845.00371785</v>
      </c>
      <c r="B1011">
        <v>171981874.29096681</v>
      </c>
    </row>
    <row r="1012" spans="1:2" x14ac:dyDescent="0.25">
      <c r="A1012">
        <f ca="1">30931.1335836965*((RANDBETWEEN(2979,3282)))</f>
        <v>92205709.212999374</v>
      </c>
      <c r="B1012">
        <v>155986496.69737741</v>
      </c>
    </row>
    <row r="1013" spans="1:2" x14ac:dyDescent="0.25">
      <c r="A1013">
        <f ca="1">40261.1819201772*((RANDBETWEEN(2979,3282)))</f>
        <v>130768318.87673551</v>
      </c>
      <c r="B1013">
        <v>162227235.00975588</v>
      </c>
    </row>
    <row r="1014" spans="1:2" x14ac:dyDescent="0.25">
      <c r="A1014">
        <f ca="1">38865.2463618301*((RANDBETWEEN(2979,3282)))</f>
        <v>126039993.95141505</v>
      </c>
      <c r="B1014">
        <v>174617225.1108028</v>
      </c>
    </row>
    <row r="1015" spans="1:2" x14ac:dyDescent="0.25">
      <c r="A1015">
        <f ca="1">29520.4242031089*((RANDBETWEEN(2979,3282)))</f>
        <v>95085286.358213603</v>
      </c>
      <c r="B1015">
        <v>176294605.49633086</v>
      </c>
    </row>
    <row r="1016" spans="1:2" x14ac:dyDescent="0.25">
      <c r="A1016">
        <f ca="1">38611.9803947874*((RANDBETWEEN(2979,3282)))</f>
        <v>118422943.87081298</v>
      </c>
      <c r="B1016">
        <v>190198561.07218051</v>
      </c>
    </row>
    <row r="1017" spans="1:2" x14ac:dyDescent="0.25">
      <c r="A1017">
        <f ca="1">37133.3934040122*((RANDBETWEEN(2979,3282)))</f>
        <v>117378656.55008262</v>
      </c>
      <c r="B1017">
        <v>186253879.87436551</v>
      </c>
    </row>
    <row r="1018" spans="1:2" x14ac:dyDescent="0.25">
      <c r="A1018">
        <f ca="1">35591.0131307396*((RANDBETWEEN(2979,3282)))</f>
        <v>115172518.4910733</v>
      </c>
      <c r="B1018">
        <v>171523883.50527748</v>
      </c>
    </row>
    <row r="1019" spans="1:2" x14ac:dyDescent="0.25">
      <c r="A1019">
        <f ca="1">32246.0520340309*((RANDBETWEEN(2979,3282)))</f>
        <v>102703675.72838841</v>
      </c>
      <c r="B1019">
        <v>170214429.62515444</v>
      </c>
    </row>
    <row r="1020" spans="1:2" x14ac:dyDescent="0.25">
      <c r="A1020">
        <f ca="1">33297.7499479609*((RANDBETWEEN(2979,3282)))</f>
        <v>107784816.58154945</v>
      </c>
      <c r="B1020">
        <v>154491170.12522653</v>
      </c>
    </row>
    <row r="1021" spans="1:2" x14ac:dyDescent="0.25">
      <c r="A1021">
        <f ca="1">30186.6329376809*((RANDBETWEEN(2979,3282)))</f>
        <v>98770662.972091869</v>
      </c>
      <c r="B1021">
        <v>167090565.45627257</v>
      </c>
    </row>
    <row r="1022" spans="1:2" x14ac:dyDescent="0.25">
      <c r="A1022">
        <f ca="1">31084.6594741532*((RANDBETWEEN(2979,3282)))</f>
        <v>100931889.31257543</v>
      </c>
      <c r="B1022">
        <v>169151669.01869208</v>
      </c>
    </row>
    <row r="1023" spans="1:2" x14ac:dyDescent="0.25">
      <c r="A1023">
        <f ca="1">29256.3790970475*((RANDBETWEEN(2979,3282)))</f>
        <v>88325008.493986368</v>
      </c>
      <c r="B1023">
        <v>148764608.06799871</v>
      </c>
    </row>
    <row r="1024" spans="1:2" x14ac:dyDescent="0.25">
      <c r="A1024">
        <f ca="1">28464.5352244358*((RANDBETWEEN(2979,3282)))</f>
        <v>92794384.831660658</v>
      </c>
      <c r="B1024">
        <v>155993792.8442924</v>
      </c>
    </row>
    <row r="1025" spans="1:2" x14ac:dyDescent="0.25">
      <c r="A1025">
        <f ca="1">31840.3686857194*((RANDBETWEEN(2979,3282)))</f>
        <v>103321996.38515937</v>
      </c>
      <c r="B1025">
        <v>185642345.42711854</v>
      </c>
    </row>
    <row r="1026" spans="1:2" x14ac:dyDescent="0.25">
      <c r="A1026">
        <f ca="1">38445.3983909294*((RANDBETWEEN(2979,3282)))</f>
        <v>124832208.5753476</v>
      </c>
      <c r="B1026">
        <v>147711243.19527245</v>
      </c>
    </row>
    <row r="1027" spans="1:2" x14ac:dyDescent="0.25">
      <c r="A1027">
        <f ca="1">33446.6901166389*((RANDBETWEEN(2979,3282)))</f>
        <v>107096301.75347787</v>
      </c>
      <c r="B1027">
        <v>163253096.63957042</v>
      </c>
    </row>
    <row r="1028" spans="1:2" x14ac:dyDescent="0.25">
      <c r="A1028">
        <f ca="1">32240.6264197193*((RANDBETWEEN(2979,3282)))</f>
        <v>99107685.614217162</v>
      </c>
      <c r="B1028">
        <v>163170777.30670789</v>
      </c>
    </row>
    <row r="1029" spans="1:2" x14ac:dyDescent="0.25">
      <c r="A1029">
        <f ca="1">28604.9321432581*((RANDBETWEEN(2979,3282)))</f>
        <v>87731326.883372605</v>
      </c>
      <c r="B1029">
        <v>152545527.71916348</v>
      </c>
    </row>
    <row r="1030" spans="1:2" x14ac:dyDescent="0.25">
      <c r="A1030">
        <f ca="1">33914.262083327*((RANDBETWEEN(2979,3282)))</f>
        <v>101844529.03623089</v>
      </c>
      <c r="B1030">
        <v>154220003.90449679</v>
      </c>
    </row>
    <row r="1031" spans="1:2" x14ac:dyDescent="0.25">
      <c r="A1031">
        <f ca="1">40008.6017696016*((RANDBETWEEN(2979,3282)))</f>
        <v>128427611.68042117</v>
      </c>
      <c r="B1031">
        <v>161422650.56735778</v>
      </c>
    </row>
    <row r="1032" spans="1:2" x14ac:dyDescent="0.25">
      <c r="A1032">
        <f ca="1">29324.2784603152*((RANDBETWEEN(2979,3282)))</f>
        <v>88031483.937866092</v>
      </c>
      <c r="B1032">
        <v>153871127.78618211</v>
      </c>
    </row>
    <row r="1033" spans="1:2" x14ac:dyDescent="0.25">
      <c r="A1033">
        <f ca="1">31314.4308089936*((RANDBETWEEN(2979,3282)))</f>
        <v>94976668.643677607</v>
      </c>
      <c r="B1033">
        <v>160579668.77884433</v>
      </c>
    </row>
    <row r="1034" spans="1:2" x14ac:dyDescent="0.25">
      <c r="A1034">
        <f ca="1">33913.8568534117*((RANDBETWEEN(2979,3282)))</f>
        <v>104285109.82424098</v>
      </c>
      <c r="B1034">
        <v>156487057.15177596</v>
      </c>
    </row>
    <row r="1035" spans="1:2" x14ac:dyDescent="0.25">
      <c r="A1035">
        <f ca="1">29669.8657592703*((RANDBETWEEN(2979,3282)))</f>
        <v>92926019.558034703</v>
      </c>
      <c r="B1035">
        <v>167642118.47900963</v>
      </c>
    </row>
    <row r="1036" spans="1:2" x14ac:dyDescent="0.25">
      <c r="A1036">
        <f ca="1">37594.5397597757*((RANDBETWEEN(2979,3282)))</f>
        <v>119362663.73728792</v>
      </c>
      <c r="B1036">
        <v>187185195.66336977</v>
      </c>
    </row>
    <row r="1037" spans="1:2" x14ac:dyDescent="0.25">
      <c r="A1037">
        <f ca="1">38363.8587405738*((RANDBETWEEN(2979,3282)))</f>
        <v>120462516.4454018</v>
      </c>
      <c r="B1037">
        <v>153464150.51672354</v>
      </c>
    </row>
    <row r="1038" spans="1:2" x14ac:dyDescent="0.25">
      <c r="A1038">
        <f ca="1">31130.7838321014*((RANDBETWEEN(2979,3282)))</f>
        <v>99774162.181885108</v>
      </c>
      <c r="B1038">
        <v>155153926.68605292</v>
      </c>
    </row>
    <row r="1039" spans="1:2" x14ac:dyDescent="0.25">
      <c r="A1039">
        <f ca="1">32258.8399129235*((RANDBETWEEN(2979,3282)))</f>
        <v>96486190.179554194</v>
      </c>
      <c r="B1039">
        <v>154450458.91117209</v>
      </c>
    </row>
    <row r="1040" spans="1:2" x14ac:dyDescent="0.25">
      <c r="A1040">
        <f ca="1">31197.1883790687*((RANDBETWEEN(2979,3282)))</f>
        <v>98115157.452171028</v>
      </c>
      <c r="B1040">
        <v>172403201.79134312</v>
      </c>
    </row>
    <row r="1041" spans="1:2" x14ac:dyDescent="0.25">
      <c r="A1041">
        <f ca="1">32813.7593311201*((RANDBETWEEN(2979,3282)))</f>
        <v>98474091.752691373</v>
      </c>
      <c r="B1041">
        <v>181803227.43891752</v>
      </c>
    </row>
    <row r="1042" spans="1:2" x14ac:dyDescent="0.25">
      <c r="A1042">
        <f ca="1">35204.8919785721*((RANDBETWEEN(2979,3282)))</f>
        <v>108008608.59025922</v>
      </c>
      <c r="B1042">
        <v>187129952.88145781</v>
      </c>
    </row>
    <row r="1043" spans="1:2" x14ac:dyDescent="0.25">
      <c r="A1043">
        <f ca="1">33105.5639469479*((RANDBETWEEN(2979,3282)))</f>
        <v>100773336.65450934</v>
      </c>
      <c r="B1043">
        <v>145752985.73465148</v>
      </c>
    </row>
    <row r="1044" spans="1:2" x14ac:dyDescent="0.25">
      <c r="A1044">
        <f ca="1">32509.456899077*((RANDBETWEEN(2979,3282)))</f>
        <v>97008219.386845887</v>
      </c>
      <c r="B1044">
        <v>196403640.98451769</v>
      </c>
    </row>
    <row r="1045" spans="1:2" x14ac:dyDescent="0.25">
      <c r="A1045">
        <f ca="1">32251.1168366986*((RANDBETWEEN(2979,3282)))</f>
        <v>102010282.55447751</v>
      </c>
      <c r="B1045">
        <v>154152242.1972717</v>
      </c>
    </row>
    <row r="1046" spans="1:2" x14ac:dyDescent="0.25">
      <c r="A1046">
        <f ca="1">31130.2465307645*((RANDBETWEEN(2979,3282)))</f>
        <v>99896961.117223158</v>
      </c>
      <c r="B1046">
        <v>151941787.39397123</v>
      </c>
    </row>
    <row r="1047" spans="1:2" x14ac:dyDescent="0.25">
      <c r="A1047">
        <f ca="1">32064.216094893*((RANDBETWEEN(2979,3282)))</f>
        <v>100681638.53796411</v>
      </c>
      <c r="B1047">
        <v>167894155.54860723</v>
      </c>
    </row>
    <row r="1048" spans="1:2" x14ac:dyDescent="0.25">
      <c r="A1048">
        <f ca="1">35607.349885516*((RANDBETWEEN(2979,3282)))</f>
        <v>116115567.97666778</v>
      </c>
      <c r="B1048">
        <v>199421948.95370489</v>
      </c>
    </row>
    <row r="1049" spans="1:2" x14ac:dyDescent="0.25">
      <c r="A1049">
        <f ca="1">32303.2925689215*((RANDBETWEEN(2979,3282)))</f>
        <v>98686558.798055038</v>
      </c>
      <c r="B1049">
        <v>143895033.99680233</v>
      </c>
    </row>
    <row r="1050" spans="1:2" x14ac:dyDescent="0.25">
      <c r="A1050">
        <f ca="1">32092.2042044925*((RANDBETWEEN(2979,3282)))</f>
        <v>99004449.970859244</v>
      </c>
      <c r="B1050">
        <v>182254500.00538597</v>
      </c>
    </row>
    <row r="1051" spans="1:2" x14ac:dyDescent="0.25">
      <c r="A1051">
        <f ca="1">30287.2849891832*((RANDBETWEEN(2979,3282)))</f>
        <v>90316683.837744266</v>
      </c>
      <c r="B1051">
        <v>161047745.0778268</v>
      </c>
    </row>
    <row r="1052" spans="1:2" x14ac:dyDescent="0.25">
      <c r="A1052">
        <f ca="1">35169.3139500522*((RANDBETWEEN(2979,3282)))</f>
        <v>115179503.18642101</v>
      </c>
      <c r="B1052">
        <v>154516507.25841558</v>
      </c>
    </row>
    <row r="1053" spans="1:2" x14ac:dyDescent="0.25">
      <c r="A1053">
        <f ca="1">38335.6571754187*((RANDBETWEEN(2979,3282)))</f>
        <v>119837264.33035898</v>
      </c>
      <c r="B1053">
        <v>193875064.98995379</v>
      </c>
    </row>
    <row r="1054" spans="1:2" x14ac:dyDescent="0.25">
      <c r="A1054">
        <f ca="1">31024.1060257603*((RANDBETWEEN(2979,3282)))</f>
        <v>98842801.798072189</v>
      </c>
      <c r="B1054">
        <v>158181353.0162397</v>
      </c>
    </row>
    <row r="1055" spans="1:2" x14ac:dyDescent="0.25">
      <c r="A1055">
        <f ca="1">37373.1823609326*((RANDBETWEEN(2979,3282)))</f>
        <v>121201230.39650448</v>
      </c>
      <c r="B1055">
        <v>177221971.21148214</v>
      </c>
    </row>
    <row r="1056" spans="1:2" x14ac:dyDescent="0.25">
      <c r="A1056">
        <f ca="1">32013.5239678085*((RANDBETWEEN(2979,3282)))</f>
        <v>104139993.467281</v>
      </c>
      <c r="B1056">
        <v>151429561.48987424</v>
      </c>
    </row>
    <row r="1057" spans="1:2" x14ac:dyDescent="0.25">
      <c r="A1057">
        <f ca="1">31789.4545041967*((RANDBETWEEN(2979,3282)))</f>
        <v>99024150.780572578</v>
      </c>
      <c r="B1057">
        <v>146522451.71511114</v>
      </c>
    </row>
    <row r="1058" spans="1:2" x14ac:dyDescent="0.25">
      <c r="A1058">
        <f ca="1">30419.6819709942*((RANDBETWEEN(2979,3282)))</f>
        <v>98225153.084340274</v>
      </c>
      <c r="B1058">
        <v>169358558.6073406</v>
      </c>
    </row>
    <row r="1059" spans="1:2" x14ac:dyDescent="0.25">
      <c r="A1059">
        <f ca="1">40220.9661120259*((RANDBETWEEN(2979,3282)))</f>
        <v>125368751.37118465</v>
      </c>
      <c r="B1059">
        <v>203070070.9866966</v>
      </c>
    </row>
    <row r="1060" spans="1:2" x14ac:dyDescent="0.25">
      <c r="A1060">
        <f ca="1">32043.376462893*((RANDBETWEEN(2979,3282)))</f>
        <v>104749797.65719713</v>
      </c>
      <c r="B1060">
        <v>182487522.57117975</v>
      </c>
    </row>
    <row r="1061" spans="1:2" x14ac:dyDescent="0.25">
      <c r="A1061">
        <f ca="1">40513.1132313236*((RANDBETWEEN(2979,3282)))</f>
        <v>131505565.54887643</v>
      </c>
      <c r="B1061">
        <v>145712067.32727674</v>
      </c>
    </row>
    <row r="1062" spans="1:2" x14ac:dyDescent="0.25">
      <c r="A1062">
        <f ca="1">28423.5608650293*((RANDBETWEEN(2979,3282)))</f>
        <v>89619487.407437295</v>
      </c>
      <c r="B1062">
        <v>188371741.82305586</v>
      </c>
    </row>
    <row r="1063" spans="1:2" x14ac:dyDescent="0.25">
      <c r="A1063">
        <f ca="1">34526.3148193428*((RANDBETWEEN(2979,3282)))</f>
        <v>107273260.14369799</v>
      </c>
      <c r="B1063">
        <v>146213624.78083727</v>
      </c>
    </row>
    <row r="1064" spans="1:2" x14ac:dyDescent="0.25">
      <c r="A1064">
        <f ca="1">34160.6987650185*((RANDBETWEEN(2979,3282)))</f>
        <v>105522398.48514229</v>
      </c>
      <c r="B1064">
        <v>198748419.56550658</v>
      </c>
    </row>
    <row r="1065" spans="1:2" x14ac:dyDescent="0.25">
      <c r="A1065">
        <f ca="1">29472.5215710505*((RANDBETWEEN(2979,3282)))</f>
        <v>94518376.678358957</v>
      </c>
      <c r="B1065">
        <v>148126165.43255073</v>
      </c>
    </row>
    <row r="1066" spans="1:2" x14ac:dyDescent="0.25">
      <c r="A1066">
        <f ca="1">30430.3118694261*((RANDBETWEEN(2979,3282)))</f>
        <v>93360196.815399408</v>
      </c>
      <c r="B1066">
        <v>155412018.14781085</v>
      </c>
    </row>
    <row r="1067" spans="1:2" x14ac:dyDescent="0.25">
      <c r="A1067">
        <f ca="1">41318.1690521649*((RANDBETWEEN(2979,3282)))</f>
        <v>131515732.0930409</v>
      </c>
      <c r="B1067">
        <v>148246306.94799578</v>
      </c>
    </row>
    <row r="1068" spans="1:2" x14ac:dyDescent="0.25">
      <c r="A1068">
        <f ca="1">38512.0163185381*((RANDBETWEEN(2979,3282)))</f>
        <v>115882657.10248113</v>
      </c>
      <c r="B1068">
        <v>180248073.64990395</v>
      </c>
    </row>
    <row r="1069" spans="1:2" x14ac:dyDescent="0.25">
      <c r="A1069">
        <f ca="1">31814.5459169817*((RANDBETWEEN(2979,3282)))</f>
        <v>98815979.618145168</v>
      </c>
      <c r="B1069">
        <v>200700358.5510641</v>
      </c>
    </row>
    <row r="1070" spans="1:2" x14ac:dyDescent="0.25">
      <c r="A1070">
        <f ca="1">35397.6393909891*((RANDBETWEEN(2979,3282)))</f>
        <v>112564493.26334545</v>
      </c>
      <c r="B1070">
        <v>157979923.2922256</v>
      </c>
    </row>
    <row r="1071" spans="1:2" x14ac:dyDescent="0.25">
      <c r="A1071">
        <f ca="1">27988.800653351*((RANDBETWEEN(2979,3282)))</f>
        <v>87548968.443681985</v>
      </c>
      <c r="B1071">
        <v>144028393.06711811</v>
      </c>
    </row>
    <row r="1072" spans="1:2" x14ac:dyDescent="0.25">
      <c r="A1072">
        <f ca="1">30861.5775062473*((RANDBETWEEN(2979,3282)))</f>
        <v>92584732.518741891</v>
      </c>
      <c r="B1072">
        <v>188952854.39323857</v>
      </c>
    </row>
    <row r="1073" spans="1:2" x14ac:dyDescent="0.25">
      <c r="A1073">
        <f ca="1">33677.0225341886*((RANDBETWEEN(2979,3282)))</f>
        <v>102344471.48139928</v>
      </c>
      <c r="B1073">
        <v>155274133.54328933</v>
      </c>
    </row>
    <row r="1074" spans="1:2" x14ac:dyDescent="0.25">
      <c r="A1074">
        <f ca="1">37945.3483177018*((RANDBETWEEN(2979,3282)))</f>
        <v>118161814.66132334</v>
      </c>
      <c r="B1074">
        <v>149467957.64893115</v>
      </c>
    </row>
    <row r="1075" spans="1:2" x14ac:dyDescent="0.25">
      <c r="A1075">
        <f ca="1">40360.0867949087*((RANDBETWEEN(2979,3282)))</f>
        <v>120434498.99600746</v>
      </c>
      <c r="B1075">
        <v>143201446.45912802</v>
      </c>
    </row>
    <row r="1076" spans="1:2" x14ac:dyDescent="0.25">
      <c r="A1076">
        <f ca="1">37702.0548016334*((RANDBETWEEN(2979,3282)))</f>
        <v>113407780.84331334</v>
      </c>
      <c r="B1076">
        <v>190727832.59690806</v>
      </c>
    </row>
    <row r="1077" spans="1:2" x14ac:dyDescent="0.25">
      <c r="A1077">
        <f ca="1">34155.0917604879*((RANDBETWEEN(2979,3282)))</f>
        <v>109842775.10172939</v>
      </c>
      <c r="B1077">
        <v>176221352.95453215</v>
      </c>
    </row>
    <row r="1078" spans="1:2" x14ac:dyDescent="0.25">
      <c r="A1078">
        <f ca="1">33722.0273476851*((RANDBETWEEN(2979,3282)))</f>
        <v>110169863.34488715</v>
      </c>
      <c r="B1078">
        <v>195324740.83917546</v>
      </c>
    </row>
    <row r="1079" spans="1:2" x14ac:dyDescent="0.25">
      <c r="A1079">
        <f ca="1">37738.0437346758*((RANDBETWEEN(2979,3282)))</f>
        <v>123554355.18732841</v>
      </c>
      <c r="B1079">
        <v>145339570.97334403</v>
      </c>
    </row>
    <row r="1080" spans="1:2" x14ac:dyDescent="0.25">
      <c r="A1080">
        <f ca="1">34052.950605219*((RANDBETWEEN(2979,3282)))</f>
        <v>108084065.22096495</v>
      </c>
      <c r="B1080">
        <v>197830391.19168669</v>
      </c>
    </row>
    <row r="1081" spans="1:2" x14ac:dyDescent="0.25">
      <c r="A1081">
        <f ca="1">28653.8317552171*((RANDBETWEEN(2979,3282)))</f>
        <v>89399955.076277226</v>
      </c>
      <c r="B1081">
        <v>171948851.67716289</v>
      </c>
    </row>
    <row r="1082" spans="1:2" x14ac:dyDescent="0.25">
      <c r="A1082">
        <f ca="1">32228.4331217748*((RANDBETWEEN(2979,3282)))</f>
        <v>103743326.21899323</v>
      </c>
      <c r="B1082">
        <v>146357303.45477313</v>
      </c>
    </row>
    <row r="1083" spans="1:2" x14ac:dyDescent="0.25">
      <c r="A1083">
        <f ca="1">30882.3310006407*((RANDBETWEEN(2979,3282)))</f>
        <v>99039635.519054577</v>
      </c>
      <c r="B1083">
        <v>177495325.45347229</v>
      </c>
    </row>
    <row r="1084" spans="1:2" x14ac:dyDescent="0.25">
      <c r="A1084">
        <f ca="1">39704.293020742*((RANDBETWEEN(2979,3282)))</f>
        <v>121931883.86669873</v>
      </c>
      <c r="B1084">
        <v>175802199.85800961</v>
      </c>
    </row>
    <row r="1085" spans="1:2" x14ac:dyDescent="0.25">
      <c r="A1085">
        <f ca="1">31881.0497932078*((RANDBETWEEN(2979,3282)))</f>
        <v>100967284.69508901</v>
      </c>
      <c r="B1085">
        <v>149744424.36737925</v>
      </c>
    </row>
    <row r="1086" spans="1:2" x14ac:dyDescent="0.25">
      <c r="A1086">
        <f ca="1">31080.286603423*((RANDBETWEEN(2979,3282)))</f>
        <v>101974420.34583074</v>
      </c>
      <c r="B1086">
        <v>195490978.0450677</v>
      </c>
    </row>
    <row r="1087" spans="1:2" x14ac:dyDescent="0.25">
      <c r="A1087">
        <f ca="1">29874.683903278*((RANDBETWEEN(2979,3282)))</f>
        <v>97152472.053460151</v>
      </c>
      <c r="B1087">
        <v>146753950.96980977</v>
      </c>
    </row>
    <row r="1088" spans="1:2" x14ac:dyDescent="0.25">
      <c r="A1088">
        <f ca="1">37174.9652977844*((RANDBETWEEN(2979,3282)))</f>
        <v>120855812.18309723</v>
      </c>
      <c r="B1088">
        <v>156023073.2939218</v>
      </c>
    </row>
    <row r="1089" spans="1:2" x14ac:dyDescent="0.25">
      <c r="A1089">
        <f ca="1">33084.1764499378*((RANDBETWEEN(2979,3282)))</f>
        <v>107920583.57969716</v>
      </c>
      <c r="B1089">
        <v>158817022.00035644</v>
      </c>
    </row>
    <row r="1090" spans="1:2" x14ac:dyDescent="0.25">
      <c r="A1090">
        <f ca="1">27361.7543867993*((RANDBETWEEN(2979,3282)))</f>
        <v>85560205.967521355</v>
      </c>
      <c r="B1090">
        <v>147926046.05196622</v>
      </c>
    </row>
    <row r="1091" spans="1:2" x14ac:dyDescent="0.25">
      <c r="A1091">
        <f ca="1">31669.8742041153*((RANDBETWEEN(2979,3282)))</f>
        <v>97004824.687205181</v>
      </c>
      <c r="B1091">
        <v>151253487.51149449</v>
      </c>
    </row>
    <row r="1092" spans="1:2" x14ac:dyDescent="0.25">
      <c r="A1092">
        <f ca="1">30683.6392282055*((RANDBETWEEN(2979,3282)))</f>
        <v>98832001.95404993</v>
      </c>
      <c r="B1092">
        <v>147100458.35494551</v>
      </c>
    </row>
    <row r="1093" spans="1:2" x14ac:dyDescent="0.25">
      <c r="A1093">
        <f ca="1">28130.9488541907*((RANDBETWEEN(2979,3282)))</f>
        <v>86924631.959449351</v>
      </c>
      <c r="B1093">
        <v>145065511.55111614</v>
      </c>
    </row>
    <row r="1094" spans="1:2" x14ac:dyDescent="0.25">
      <c r="A1094">
        <f ca="1">31671.78465533*((RANDBETWEEN(2979,3282)))</f>
        <v>97485753.169105664</v>
      </c>
      <c r="B1094">
        <v>191389732.32809013</v>
      </c>
    </row>
    <row r="1095" spans="1:2" x14ac:dyDescent="0.25">
      <c r="A1095">
        <f ca="1">32045.9542147634*((RANDBETWEEN(2979,3282)))</f>
        <v>103572524.02211532</v>
      </c>
      <c r="B1095">
        <v>152393559.45226935</v>
      </c>
    </row>
    <row r="1096" spans="1:2" x14ac:dyDescent="0.25">
      <c r="A1096">
        <f ca="1">40441.4220104262*((RANDBETWEEN(2979,3282)))</f>
        <v>128037542.0850092</v>
      </c>
      <c r="B1096">
        <v>185325870.17094082</v>
      </c>
    </row>
    <row r="1097" spans="1:2" x14ac:dyDescent="0.25">
      <c r="A1097">
        <f ca="1">33877.3450504858*((RANDBETWEEN(2979,3282)))</f>
        <v>105832825.93771768</v>
      </c>
      <c r="B1097">
        <v>171116350.22432181</v>
      </c>
    </row>
    <row r="1098" spans="1:2" x14ac:dyDescent="0.25">
      <c r="A1098">
        <f ca="1">29829.6474061944*((RANDBETWEEN(2979,3282)))</f>
        <v>89817068.340051398</v>
      </c>
      <c r="B1098">
        <v>172140055.64854753</v>
      </c>
    </row>
    <row r="1099" spans="1:2" x14ac:dyDescent="0.25">
      <c r="A1099">
        <f ca="1">30349.1281091916*((RANDBETWEEN(2979,3282)))</f>
        <v>91350875.608666763</v>
      </c>
      <c r="B1099">
        <v>151283030.5679515</v>
      </c>
    </row>
    <row r="1100" spans="1:2" x14ac:dyDescent="0.25">
      <c r="A1100">
        <f ca="1">30096.0971185931*((RANDBETWEEN(2979,3282)))</f>
        <v>91853288.40594627</v>
      </c>
      <c r="B1100">
        <v>150186500.15229666</v>
      </c>
    </row>
    <row r="1101" spans="1:2" x14ac:dyDescent="0.25">
      <c r="A1101">
        <f ca="1">37981.4904021862*((RANDBETWEEN(2979,3282)))</f>
        <v>120705176.49814764</v>
      </c>
      <c r="B1101">
        <v>192001503.74230695</v>
      </c>
    </row>
    <row r="1102" spans="1:2" x14ac:dyDescent="0.25">
      <c r="A1102">
        <f ca="1">35007.6562992698*((RANDBETWEEN(2979,3282)))</f>
        <v>112304561.4080575</v>
      </c>
      <c r="B1102">
        <v>193947322.94189176</v>
      </c>
    </row>
    <row r="1103" spans="1:2" x14ac:dyDescent="0.25">
      <c r="A1103">
        <f ca="1">40268.9123522584*((RANDBETWEEN(2979,3282)))</f>
        <v>131679343.39188482</v>
      </c>
      <c r="B1103">
        <v>163623598.91150469</v>
      </c>
    </row>
    <row r="1104" spans="1:2" x14ac:dyDescent="0.25">
      <c r="A1104">
        <f ca="1">30694.5007543584*((RANDBETWEEN(2979,3282)))</f>
        <v>93403365.795512542</v>
      </c>
      <c r="B1104">
        <v>162265000.80109388</v>
      </c>
    </row>
    <row r="1105" spans="1:2" x14ac:dyDescent="0.25">
      <c r="A1105">
        <f ca="1">30230.876098131*((RANDBETWEEN(2979,3282)))</f>
        <v>98734041.336495712</v>
      </c>
      <c r="B1105">
        <v>157744778.24295694</v>
      </c>
    </row>
    <row r="1106" spans="1:2" x14ac:dyDescent="0.25">
      <c r="A1106">
        <f ca="1">30960.5579417547*((RANDBETWEEN(2979,3282)))</f>
        <v>101333906.14336303</v>
      </c>
      <c r="B1106">
        <v>196112020.59925342</v>
      </c>
    </row>
    <row r="1107" spans="1:2" x14ac:dyDescent="0.25">
      <c r="A1107">
        <f ca="1">41215.9804163867*((RANDBETWEEN(2979,3282)))</f>
        <v>128140483.11454625</v>
      </c>
      <c r="B1107">
        <v>170275373.0091047</v>
      </c>
    </row>
    <row r="1108" spans="1:2" x14ac:dyDescent="0.25">
      <c r="A1108">
        <f ca="1">33749.2479874729*((RANDBETWEEN(2979,3282)))</f>
        <v>105837641.6887151</v>
      </c>
      <c r="B1108">
        <v>156034725.1064899</v>
      </c>
    </row>
    <row r="1109" spans="1:2" x14ac:dyDescent="0.25">
      <c r="A1109">
        <f ca="1">32218.1858646146*((RANDBETWEEN(2979,3282)))</f>
        <v>97782194.099105373</v>
      </c>
      <c r="B1109">
        <v>166332553.48033428</v>
      </c>
    </row>
    <row r="1110" spans="1:2" x14ac:dyDescent="0.25">
      <c r="A1110">
        <f ca="1">34693.3866673407*((RANDBETWEEN(2979,3282)))</f>
        <v>104808721.12203637</v>
      </c>
      <c r="B1110">
        <v>149989942.32186019</v>
      </c>
    </row>
    <row r="1111" spans="1:2" x14ac:dyDescent="0.25">
      <c r="A1111">
        <f ca="1">34659.5001896329*((RANDBETWEEN(2979,3282)))</f>
        <v>104394414.5711742</v>
      </c>
      <c r="B1111">
        <v>144104923.9398174</v>
      </c>
    </row>
    <row r="1112" spans="1:2" x14ac:dyDescent="0.25">
      <c r="A1112">
        <f ca="1">36752.7056156517*((RANDBETWEEN(2979,3282)))</f>
        <v>118270206.67116712</v>
      </c>
      <c r="B1112">
        <v>150325626.38779205</v>
      </c>
    </row>
    <row r="1113" spans="1:2" x14ac:dyDescent="0.25">
      <c r="A1113">
        <f ca="1">32414.0679922742*((RANDBETWEEN(2979,3282)))</f>
        <v>103530533.16732378</v>
      </c>
      <c r="B1113">
        <v>170420670.33861351</v>
      </c>
    </row>
    <row r="1114" spans="1:2" x14ac:dyDescent="0.25">
      <c r="A1114">
        <f ca="1">29673.8878655778*((RANDBETWEEN(2979,3282)))</f>
        <v>95460897.263563633</v>
      </c>
      <c r="B1114">
        <v>181687625.99432257</v>
      </c>
    </row>
    <row r="1115" spans="1:2" x14ac:dyDescent="0.25">
      <c r="A1115">
        <f ca="1">32674.071528209*((RANDBETWEEN(2979,3282)))</f>
        <v>97826170.155457765</v>
      </c>
      <c r="B1115">
        <v>164109964.1578798</v>
      </c>
    </row>
    <row r="1116" spans="1:2" x14ac:dyDescent="0.25">
      <c r="A1116">
        <f ca="1">36657.6739801596*((RANDBETWEEN(2979,3282)))</f>
        <v>109643102.87465751</v>
      </c>
      <c r="B1116">
        <v>192942080.96589771</v>
      </c>
    </row>
    <row r="1117" spans="1:2" x14ac:dyDescent="0.25">
      <c r="A1117">
        <f ca="1">38087.9447612792*((RANDBETWEEN(2979,3282)))</f>
        <v>117006166.3066498</v>
      </c>
      <c r="B1117">
        <v>156311423.87171036</v>
      </c>
    </row>
    <row r="1118" spans="1:2" x14ac:dyDescent="0.25">
      <c r="A1118">
        <f ca="1">32424.8489362693*((RANDBETWEEN(2979,3282)))</f>
        <v>99738835.327964306</v>
      </c>
      <c r="B1118">
        <v>196274231.7634114</v>
      </c>
    </row>
    <row r="1119" spans="1:2" x14ac:dyDescent="0.25">
      <c r="A1119">
        <f ca="1">33556.1438529805*((RANDBETWEEN(2979,3282)))</f>
        <v>107513884.90494938</v>
      </c>
      <c r="B1119">
        <v>174637482.62340343</v>
      </c>
    </row>
    <row r="1120" spans="1:2" x14ac:dyDescent="0.25">
      <c r="A1120">
        <f ca="1">34672.8265378107*((RANDBETWEEN(2979,3282)))</f>
        <v>108317910.10412064</v>
      </c>
      <c r="B1120">
        <v>203525357.06820643</v>
      </c>
    </row>
    <row r="1121" spans="1:2" x14ac:dyDescent="0.25">
      <c r="A1121">
        <f ca="1">32600.0276818703*((RANDBETWEEN(2979,3282)))</f>
        <v>101125285.86916165</v>
      </c>
      <c r="B1121">
        <v>151788277.96677595</v>
      </c>
    </row>
    <row r="1122" spans="1:2" x14ac:dyDescent="0.25">
      <c r="A1122">
        <f ca="1">28300.8172047676*((RANDBETWEEN(2979,3282)))</f>
        <v>91921054.281085297</v>
      </c>
      <c r="B1122">
        <v>152252615.81250075</v>
      </c>
    </row>
    <row r="1123" spans="1:2" x14ac:dyDescent="0.25">
      <c r="A1123">
        <f ca="1">30553.2303220771*((RANDBETWEEN(2979,3282)))</f>
        <v>97403698.266781747</v>
      </c>
      <c r="B1123">
        <v>172871638.20191428</v>
      </c>
    </row>
    <row r="1124" spans="1:2" x14ac:dyDescent="0.25">
      <c r="A1124">
        <f ca="1">31894.0395614825*((RANDBETWEEN(2979,3282)))</f>
        <v>100689482.89560039</v>
      </c>
      <c r="B1124">
        <v>153038266.9997637</v>
      </c>
    </row>
    <row r="1125" spans="1:2" x14ac:dyDescent="0.25">
      <c r="A1125">
        <f ca="1">29839.9679541123*((RANDBETWEEN(2979,3282)))</f>
        <v>97069415.754727438</v>
      </c>
      <c r="B1125">
        <v>201322817.03963369</v>
      </c>
    </row>
    <row r="1126" spans="1:2" x14ac:dyDescent="0.25">
      <c r="A1126">
        <f ca="1">39810.6564174654*((RANDBETWEEN(2979,3282)))</f>
        <v>126319212.81261759</v>
      </c>
      <c r="B1126">
        <v>164918791.79088491</v>
      </c>
    </row>
    <row r="1127" spans="1:2" x14ac:dyDescent="0.25">
      <c r="A1127">
        <f ca="1">31635.4930587726*((RANDBETWEEN(2979,3282)))</f>
        <v>94906479.176317826</v>
      </c>
      <c r="B1127">
        <v>180972370.81905293</v>
      </c>
    </row>
    <row r="1128" spans="1:2" x14ac:dyDescent="0.25">
      <c r="A1128">
        <f ca="1">30157.5530309119*((RANDBETWEEN(2979,3282)))</f>
        <v>95086764.706465319</v>
      </c>
      <c r="B1128">
        <v>147878896.25178513</v>
      </c>
    </row>
    <row r="1129" spans="1:2" x14ac:dyDescent="0.25">
      <c r="A1129">
        <f ca="1">31921.2968610453*((RANDBETWEEN(2979,3282)))</f>
        <v>100775534.19032016</v>
      </c>
      <c r="B1129">
        <v>184168112.74062189</v>
      </c>
    </row>
    <row r="1130" spans="1:2" x14ac:dyDescent="0.25">
      <c r="A1130">
        <f ca="1">28162.9266254162*((RANDBETWEEN(2979,3282)))</f>
        <v>87136094.979037613</v>
      </c>
      <c r="B1130">
        <v>152542965.23560816</v>
      </c>
    </row>
    <row r="1131" spans="1:2" x14ac:dyDescent="0.25">
      <c r="A1131">
        <f ca="1">41301.5497648173*((RANDBETWEEN(2979,3282)))</f>
        <v>129769469.36105585</v>
      </c>
      <c r="B1131">
        <v>161623485.9328163</v>
      </c>
    </row>
    <row r="1132" spans="1:2" x14ac:dyDescent="0.25">
      <c r="A1132">
        <f ca="1">34187.2963630855*((RANDBETWEEN(2979,3282)))</f>
        <v>106083180.61465433</v>
      </c>
      <c r="B1132">
        <v>175058891.37152153</v>
      </c>
    </row>
    <row r="1133" spans="1:2" x14ac:dyDescent="0.25">
      <c r="A1133">
        <f ca="1">31047.6296209362*((RANDBETWEEN(2979,3282)))</f>
        <v>99104033.750028372</v>
      </c>
      <c r="B1133">
        <v>197143217.51430917</v>
      </c>
    </row>
    <row r="1134" spans="1:2" x14ac:dyDescent="0.25">
      <c r="A1134">
        <f ca="1">32303.7456700096*((RANDBETWEEN(2979,3282)))</f>
        <v>99527840.409299612</v>
      </c>
      <c r="B1134">
        <v>171237072.37827966</v>
      </c>
    </row>
    <row r="1135" spans="1:2" x14ac:dyDescent="0.25">
      <c r="A1135">
        <f ca="1">32450.1606717582*((RANDBETWEEN(2979,3282)))</f>
        <v>100206096.1543892</v>
      </c>
      <c r="B1135">
        <v>172436227.56681192</v>
      </c>
    </row>
    <row r="1136" spans="1:2" x14ac:dyDescent="0.25">
      <c r="A1136">
        <f ca="1">39618.020490858*((RANDBETWEEN(2979,3282)))</f>
        <v>119765275.94386384</v>
      </c>
      <c r="B1136">
        <v>187080667.63776863</v>
      </c>
    </row>
    <row r="1137" spans="1:2" x14ac:dyDescent="0.25">
      <c r="A1137">
        <f ca="1">36399.1652317179*((RANDBETWEEN(2979,3282)))</f>
        <v>108615109.05144647</v>
      </c>
      <c r="B1137">
        <v>180744442.13115934</v>
      </c>
    </row>
    <row r="1138" spans="1:2" x14ac:dyDescent="0.25">
      <c r="A1138">
        <f ca="1">30603.0722570258*((RANDBETWEEN(2979,3282)))</f>
        <v>95603997.730948687</v>
      </c>
      <c r="B1138">
        <v>178359142.80528033</v>
      </c>
    </row>
    <row r="1139" spans="1:2" x14ac:dyDescent="0.25">
      <c r="A1139">
        <f ca="1">42215.4868295796*((RANDBETWEEN(2979,3282)))</f>
        <v>126857537.9228866</v>
      </c>
      <c r="B1139">
        <v>179495926.87005079</v>
      </c>
    </row>
    <row r="1140" spans="1:2" x14ac:dyDescent="0.25">
      <c r="A1140">
        <f ca="1">30023.2573909219*((RANDBETWEEN(2979,3282)))</f>
        <v>96104446.908340886</v>
      </c>
      <c r="B1140">
        <v>154185982.72056365</v>
      </c>
    </row>
    <row r="1141" spans="1:2" x14ac:dyDescent="0.25">
      <c r="A1141">
        <f ca="1">39490.996190616*((RANDBETWEEN(2979,3282)))</f>
        <v>127003043.74902119</v>
      </c>
      <c r="B1141">
        <v>155887709.42709237</v>
      </c>
    </row>
    <row r="1142" spans="1:2" x14ac:dyDescent="0.25">
      <c r="A1142">
        <f ca="1">31107.0561440072*((RANDBETWEEN(2979,3282)))</f>
        <v>99604793.773111001</v>
      </c>
      <c r="B1142">
        <v>150147254.45358974</v>
      </c>
    </row>
    <row r="1143" spans="1:2" x14ac:dyDescent="0.25">
      <c r="A1143">
        <f ca="1">38162.4229297498*((RANDBETWEEN(2979,3282)))</f>
        <v>121814453.99176146</v>
      </c>
      <c r="B1143">
        <v>163639244.48918626</v>
      </c>
    </row>
    <row r="1144" spans="1:2" x14ac:dyDescent="0.25">
      <c r="A1144">
        <f ca="1">38431.8352771542*((RANDBETWEEN(2979,3282)))</f>
        <v>124326987.12159379</v>
      </c>
      <c r="B1144">
        <v>180346715.3419534</v>
      </c>
    </row>
    <row r="1145" spans="1:2" x14ac:dyDescent="0.25">
      <c r="A1145">
        <f ca="1">36794.97049587*((RANDBETWEEN(2979,3282)))</f>
        <v>116382491.67843686</v>
      </c>
      <c r="B1145">
        <v>171644264.73354813</v>
      </c>
    </row>
    <row r="1146" spans="1:2" x14ac:dyDescent="0.25">
      <c r="A1146">
        <f ca="1">30170.0558536078*((RANDBETWEEN(2979,3282)))</f>
        <v>98656082.641297445</v>
      </c>
      <c r="B1146">
        <v>144936665.18914318</v>
      </c>
    </row>
    <row r="1147" spans="1:2" x14ac:dyDescent="0.25">
      <c r="A1147">
        <f ca="1">31989.9980432692*((RANDBETWEEN(2979,3282)))</f>
        <v>101120383.81477399</v>
      </c>
      <c r="B1147">
        <v>195425645.58707756</v>
      </c>
    </row>
    <row r="1148" spans="1:2" x14ac:dyDescent="0.25">
      <c r="A1148">
        <f ca="1">29773.9346327938*((RANDBETWEEN(2979,3282)))</f>
        <v>89738638.98324053</v>
      </c>
      <c r="B1148">
        <v>152411319.23251674</v>
      </c>
    </row>
    <row r="1149" spans="1:2" x14ac:dyDescent="0.25">
      <c r="A1149">
        <f ca="1">35092.0257151975*((RANDBETWEEN(2979,3282)))</f>
        <v>105907733.60846601</v>
      </c>
      <c r="B1149">
        <v>176325430.5280827</v>
      </c>
    </row>
    <row r="1150" spans="1:2" x14ac:dyDescent="0.25">
      <c r="A1150">
        <f ca="1">29921.997542231*((RANDBETWEEN(2979,3282)))</f>
        <v>94044838.275231943</v>
      </c>
      <c r="B1150">
        <v>167050758.85450286</v>
      </c>
    </row>
    <row r="1151" spans="1:2" x14ac:dyDescent="0.25">
      <c r="A1151">
        <f ca="1">29346.4469150611*((RANDBETWEEN(2979,3282)))</f>
        <v>95082488.004797876</v>
      </c>
      <c r="B1151">
        <v>160991733.71692955</v>
      </c>
    </row>
    <row r="1152" spans="1:2" x14ac:dyDescent="0.25">
      <c r="A1152">
        <f ca="1">32282.28209703*((RANDBETWEEN(2979,3282)))</f>
        <v>100978978.3995097</v>
      </c>
      <c r="B1152">
        <v>150676869.94074342</v>
      </c>
    </row>
    <row r="1153" spans="1:2" x14ac:dyDescent="0.25">
      <c r="A1153">
        <f ca="1">29352.5180772396*((RANDBETWEEN(2979,3282)))</f>
        <v>92665899.569845304</v>
      </c>
      <c r="B1153">
        <v>150911086.12139019</v>
      </c>
    </row>
    <row r="1154" spans="1:2" x14ac:dyDescent="0.25">
      <c r="A1154">
        <f ca="1">27171.4789237451*((RANDBETWEEN(2979,3282)))</f>
        <v>80943835.713836581</v>
      </c>
      <c r="B1154">
        <v>191319728.72526419</v>
      </c>
    </row>
    <row r="1155" spans="1:2" x14ac:dyDescent="0.25">
      <c r="A1155">
        <f ca="1">29593.6874032778*((RANDBETWEEN(2979,3282)))</f>
        <v>94788580.752698869</v>
      </c>
      <c r="B1155">
        <v>183212850.28234178</v>
      </c>
    </row>
    <row r="1156" spans="1:2" x14ac:dyDescent="0.25">
      <c r="A1156">
        <f ca="1">37348.2198105128*((RANDBETWEEN(2979,3282)))</f>
        <v>111596480.7938122</v>
      </c>
      <c r="B1156">
        <v>160270705.37478584</v>
      </c>
    </row>
    <row r="1157" spans="1:2" x14ac:dyDescent="0.25">
      <c r="A1157">
        <f ca="1">37150.6831343777*((RANDBETWEEN(2979,3282)))</f>
        <v>119402295.59388983</v>
      </c>
      <c r="B1157">
        <v>180134408.87345362</v>
      </c>
    </row>
    <row r="1158" spans="1:2" x14ac:dyDescent="0.25">
      <c r="A1158">
        <f ca="1">32733.8289426858*((RANDBETWEEN(2979,3282)))</f>
        <v>103373431.80100171</v>
      </c>
      <c r="B1158">
        <v>171783876.1208607</v>
      </c>
    </row>
    <row r="1159" spans="1:2" x14ac:dyDescent="0.25">
      <c r="A1159">
        <f ca="1">34067.3759700663*((RANDBETWEEN(2979,3282)))</f>
        <v>107686975.44137958</v>
      </c>
      <c r="B1159">
        <v>146177036.03009516</v>
      </c>
    </row>
    <row r="1160" spans="1:2" x14ac:dyDescent="0.25">
      <c r="A1160">
        <f ca="1">33467.8014769412*((RANDBETWEEN(2979,3282)))</f>
        <v>104586879.61544113</v>
      </c>
      <c r="B1160">
        <v>175468809.49192193</v>
      </c>
    </row>
    <row r="1161" spans="1:2" x14ac:dyDescent="0.25">
      <c r="A1161">
        <f ca="1">31555.6037845781*((RANDBETWEEN(2979,3282)))</f>
        <v>96591703.184593469</v>
      </c>
      <c r="B1161">
        <v>171181652.48973501</v>
      </c>
    </row>
    <row r="1162" spans="1:2" x14ac:dyDescent="0.25">
      <c r="A1162">
        <f ca="1">30641.8816337882*((RANDBETWEEN(2979,3282)))</f>
        <v>93488380.864687949</v>
      </c>
      <c r="B1162">
        <v>153161640.2511709</v>
      </c>
    </row>
    <row r="1163" spans="1:2" x14ac:dyDescent="0.25">
      <c r="A1163">
        <f ca="1">32721.2444360576*((RANDBETWEEN(2979,3282)))</f>
        <v>100683269.12974931</v>
      </c>
      <c r="B1163">
        <v>169040857.90392053</v>
      </c>
    </row>
    <row r="1164" spans="1:2" x14ac:dyDescent="0.25">
      <c r="A1164">
        <f ca="1">36659.2572760903*((RANDBETWEEN(2979,3282)))</f>
        <v>116283164.07975845</v>
      </c>
      <c r="B1164">
        <v>159446949.33231619</v>
      </c>
    </row>
    <row r="1165" spans="1:2" x14ac:dyDescent="0.25">
      <c r="A1165">
        <f ca="1">35409.6328939661*((RANDBETWEEN(2979,3282)))</f>
        <v>110548873.89496213</v>
      </c>
      <c r="B1165">
        <v>152526680.27895457</v>
      </c>
    </row>
    <row r="1166" spans="1:2" x14ac:dyDescent="0.25">
      <c r="A1166">
        <f ca="1">28988.4439446799*((RANDBETWEEN(2979,3282)))</f>
        <v>89400361.125392824</v>
      </c>
      <c r="B1166">
        <v>145335640.8464098</v>
      </c>
    </row>
    <row r="1167" spans="1:2" x14ac:dyDescent="0.25">
      <c r="A1167">
        <f ca="1">31433.4082826898*((RANDBETWEEN(2979,3282)))</f>
        <v>100366872.64662839</v>
      </c>
      <c r="B1167">
        <v>143764482.26051641</v>
      </c>
    </row>
    <row r="1168" spans="1:2" x14ac:dyDescent="0.25">
      <c r="A1168">
        <f ca="1">37936.6108647347*((RANDBETWEEN(2979,3282)))</f>
        <v>119803817.11083229</v>
      </c>
      <c r="B1168">
        <v>153357573.1447311</v>
      </c>
    </row>
    <row r="1169" spans="1:2" x14ac:dyDescent="0.25">
      <c r="A1169">
        <f ca="1">30229.4349132084*((RANDBETWEEN(2979,3282)))</f>
        <v>92774135.748636588</v>
      </c>
      <c r="B1169">
        <v>184327786.2079654</v>
      </c>
    </row>
    <row r="1170" spans="1:2" x14ac:dyDescent="0.25">
      <c r="A1170">
        <f ca="1">29979.5943199329*((RANDBETWEEN(2979,3282)))</f>
        <v>96804110.059063166</v>
      </c>
      <c r="B1170">
        <v>166035301.84998292</v>
      </c>
    </row>
    <row r="1171" spans="1:2" x14ac:dyDescent="0.25">
      <c r="A1171">
        <f ca="1">27966.8165704822*((RANDBETWEEN(2979,3282)))</f>
        <v>91535390.635188237</v>
      </c>
      <c r="B1171">
        <v>174063884.65811694</v>
      </c>
    </row>
    <row r="1172" spans="1:2" x14ac:dyDescent="0.25">
      <c r="A1172">
        <f ca="1">31871.9883206493*((RANDBETWEEN(2979,3282)))</f>
        <v>98420699.934165165</v>
      </c>
      <c r="B1172">
        <v>167637105.74405697</v>
      </c>
    </row>
    <row r="1173" spans="1:2" x14ac:dyDescent="0.25">
      <c r="A1173">
        <f ca="1">33062.2614450459*((RANDBETWEEN(2979,3282)))</f>
        <v>105237178.17958108</v>
      </c>
      <c r="B1173">
        <v>167019708.60457495</v>
      </c>
    </row>
    <row r="1174" spans="1:2" x14ac:dyDescent="0.25">
      <c r="A1174">
        <f ca="1">35555.9308294189*((RANDBETWEEN(2979,3282)))</f>
        <v>110827836.39529881</v>
      </c>
      <c r="B1174">
        <v>155294919.23968589</v>
      </c>
    </row>
    <row r="1175" spans="1:2" x14ac:dyDescent="0.25">
      <c r="A1175">
        <f ca="1">29588.521094679*((RANDBETWEEN(2979,3282)))</f>
        <v>89061448.494983867</v>
      </c>
      <c r="B1175">
        <v>198171011.9372921</v>
      </c>
    </row>
    <row r="1176" spans="1:2" x14ac:dyDescent="0.25">
      <c r="A1176">
        <f ca="1">29688.116842302*((RANDBETWEEN(2979,3282)))</f>
        <v>89034662.410063624</v>
      </c>
      <c r="B1176">
        <v>157246185.58533105</v>
      </c>
    </row>
    <row r="1177" spans="1:2" x14ac:dyDescent="0.25">
      <c r="A1177">
        <f ca="1">34100.8969524829*((RANDBETWEEN(2979,3282)))</f>
        <v>104451047.3654552</v>
      </c>
      <c r="B1177">
        <v>171929480.22657099</v>
      </c>
    </row>
    <row r="1178" spans="1:2" x14ac:dyDescent="0.25">
      <c r="A1178">
        <f ca="1">30271.6259662247*((RANDBETWEEN(2979,3282)))</f>
        <v>94750189.274283454</v>
      </c>
      <c r="B1178">
        <v>145541348.4899531</v>
      </c>
    </row>
    <row r="1179" spans="1:2" x14ac:dyDescent="0.25">
      <c r="A1179">
        <f ca="1">34981.1733518266*((RANDBETWEEN(2979,3282)))</f>
        <v>114493380.38052849</v>
      </c>
      <c r="B1179">
        <v>156982819.10425842</v>
      </c>
    </row>
    <row r="1180" spans="1:2" x14ac:dyDescent="0.25">
      <c r="A1180">
        <f ca="1">35623.8881820232*((RANDBETWEEN(2979,3282)))</f>
        <v>108118500.63244036</v>
      </c>
      <c r="B1180">
        <v>146867729.19231588</v>
      </c>
    </row>
    <row r="1181" spans="1:2" x14ac:dyDescent="0.25">
      <c r="A1181">
        <f ca="1">34652.4200917588*((RANDBETWEEN(2979,3282)))</f>
        <v>112065926.57674797</v>
      </c>
      <c r="B1181">
        <v>154802018.2849181</v>
      </c>
    </row>
    <row r="1182" spans="1:2" x14ac:dyDescent="0.25">
      <c r="A1182">
        <f ca="1">30192.8313725679*((RANDBETWEEN(2979,3282)))</f>
        <v>95137611.654961303</v>
      </c>
      <c r="B1182">
        <v>173603032.08904296</v>
      </c>
    </row>
    <row r="1183" spans="1:2" x14ac:dyDescent="0.25">
      <c r="A1183">
        <f ca="1">38157.6161999903*((RANDBETWEEN(2979,3282)))</f>
        <v>125233296.36836809</v>
      </c>
      <c r="B1183">
        <v>181727452.72213915</v>
      </c>
    </row>
    <row r="1184" spans="1:2" x14ac:dyDescent="0.25">
      <c r="A1184">
        <f ca="1">30182.1940981175*((RANDBETWEEN(2979,3282)))</f>
        <v>97729944.489704385</v>
      </c>
      <c r="B1184">
        <v>199703023.30212018</v>
      </c>
    </row>
    <row r="1185" spans="1:2" x14ac:dyDescent="0.25">
      <c r="A1185">
        <f ca="1">32462.3081134133*((RANDBETWEEN(2979,3282)))</f>
        <v>104690943.66575789</v>
      </c>
      <c r="B1185">
        <v>151172403.27431342</v>
      </c>
    </row>
    <row r="1186" spans="1:2" x14ac:dyDescent="0.25">
      <c r="A1186">
        <f ca="1">31563.1277862687*((RANDBETWEEN(2979,3282)))</f>
        <v>98950405.609952524</v>
      </c>
      <c r="B1186">
        <v>171319986.96387792</v>
      </c>
    </row>
    <row r="1187" spans="1:2" x14ac:dyDescent="0.25">
      <c r="A1187">
        <f ca="1">34062.0830495791*((RANDBETWEEN(2979,3282)))</f>
        <v>105217774.54014999</v>
      </c>
      <c r="B1187">
        <v>182050687.2565822</v>
      </c>
    </row>
    <row r="1188" spans="1:2" x14ac:dyDescent="0.25">
      <c r="A1188">
        <f ca="1">35664.6184302964*((RANDBETWEEN(2979,3282)))</f>
        <v>112414877.29229432</v>
      </c>
      <c r="B1188">
        <v>161215802.07725403</v>
      </c>
    </row>
    <row r="1189" spans="1:2" x14ac:dyDescent="0.25">
      <c r="A1189">
        <f ca="1">30650.7872752999*((RANDBETWEEN(2979,3282)))</f>
        <v>92596028.358680904</v>
      </c>
      <c r="B1189">
        <v>146564909.63225967</v>
      </c>
    </row>
    <row r="1190" spans="1:2" x14ac:dyDescent="0.25">
      <c r="A1190">
        <f ca="1">37253.2421231492*((RANDBETWEEN(2979,3282)))</f>
        <v>115336037.6132699</v>
      </c>
      <c r="B1190">
        <v>147576269.91688132</v>
      </c>
    </row>
    <row r="1191" spans="1:2" x14ac:dyDescent="0.25">
      <c r="A1191">
        <f ca="1">34948.2306840054*((RANDBETWEEN(2979,3282)))</f>
        <v>110296616.03872094</v>
      </c>
      <c r="B1191">
        <v>164531735.57446852</v>
      </c>
    </row>
    <row r="1192" spans="1:2" x14ac:dyDescent="0.25">
      <c r="A1192">
        <f ca="1">32441.0342579471*((RANDBETWEEN(2979,3282)))</f>
        <v>97907041.390484214</v>
      </c>
      <c r="B1192">
        <v>170156828.68613797</v>
      </c>
    </row>
    <row r="1193" spans="1:2" x14ac:dyDescent="0.25">
      <c r="A1193">
        <f ca="1">37866.7960721648*((RANDBETWEEN(2979,3282)))</f>
        <v>113373187.44006154</v>
      </c>
      <c r="B1193">
        <v>144922290.40770152</v>
      </c>
    </row>
    <row r="1194" spans="1:2" x14ac:dyDescent="0.25">
      <c r="A1194">
        <f ca="1">42058.0189019139*((RANDBETWEEN(2979,3282)))</f>
        <v>136688561.43122017</v>
      </c>
      <c r="B1194">
        <v>198221431.98914549</v>
      </c>
    </row>
    <row r="1195" spans="1:2" x14ac:dyDescent="0.25">
      <c r="A1195">
        <f ca="1">32308.0417074993*((RANDBETWEEN(2979,3282)))</f>
        <v>104193434.5066853</v>
      </c>
      <c r="B1195">
        <v>162110575.46848601</v>
      </c>
    </row>
    <row r="1196" spans="1:2" x14ac:dyDescent="0.25">
      <c r="A1196">
        <f ca="1">32473.4183601497*((RANDBETWEEN(2979,3282)))</f>
        <v>100180495.64106174</v>
      </c>
      <c r="B1196">
        <v>173773726.25826401</v>
      </c>
    </row>
    <row r="1197" spans="1:2" x14ac:dyDescent="0.25">
      <c r="A1197">
        <f ca="1">38166.0968213665*((RANDBETWEEN(2979,3282)))</f>
        <v>119879710.11591218</v>
      </c>
      <c r="B1197">
        <v>159001696.06459272</v>
      </c>
    </row>
    <row r="1198" spans="1:2" x14ac:dyDescent="0.25">
      <c r="A1198">
        <f ca="1">30709.7121988642*((RANDBETWEEN(2979,3282)))</f>
        <v>99038821.841337085</v>
      </c>
      <c r="B1198">
        <v>173572396.41874719</v>
      </c>
    </row>
    <row r="1199" spans="1:2" x14ac:dyDescent="0.25">
      <c r="A1199">
        <f ca="1">31681.3318390005*((RANDBETWEEN(2979,3282)))</f>
        <v>96279567.458722547</v>
      </c>
      <c r="B1199">
        <v>168273996.71855909</v>
      </c>
    </row>
    <row r="1200" spans="1:2" x14ac:dyDescent="0.25">
      <c r="A1200">
        <f ca="1">33403.6111292347*((RANDBETWEEN(2979,3282)))</f>
        <v>102415471.72223349</v>
      </c>
      <c r="B1200">
        <v>192058201.80848372</v>
      </c>
    </row>
    <row r="1201" spans="1:2" x14ac:dyDescent="0.25">
      <c r="A1201">
        <f ca="1">28678.5208885553*((RANDBETWEEN(2979,3282)))</f>
        <v>85748777.456780463</v>
      </c>
      <c r="B1201">
        <v>153267256.87598097</v>
      </c>
    </row>
    <row r="1202" spans="1:2" x14ac:dyDescent="0.25">
      <c r="A1202">
        <f ca="1">30518.9494858769*((RANDBETWEEN(2979,3282)))</f>
        <v>94639262.355704337</v>
      </c>
      <c r="B1202">
        <v>156269757.48010379</v>
      </c>
    </row>
    <row r="1203" spans="1:2" x14ac:dyDescent="0.25">
      <c r="A1203">
        <f ca="1">33333.5752850582*((RANDBETWEEN(2979,3282)))</f>
        <v>107034110.24032174</v>
      </c>
      <c r="B1203">
        <v>174897398.69436729</v>
      </c>
    </row>
    <row r="1204" spans="1:2" x14ac:dyDescent="0.25">
      <c r="A1204">
        <f ca="1">32949.5187537413*((RANDBETWEEN(2979,3282)))</f>
        <v>99902940.861343488</v>
      </c>
      <c r="B1204">
        <v>171529534.05209106</v>
      </c>
    </row>
    <row r="1205" spans="1:2" x14ac:dyDescent="0.25">
      <c r="A1205">
        <f ca="1">31783.1961916432*((RANDBETWEEN(2979,3282)))</f>
        <v>100371333.57320918</v>
      </c>
      <c r="B1205">
        <v>174551110.17827147</v>
      </c>
    </row>
    <row r="1206" spans="1:2" x14ac:dyDescent="0.25">
      <c r="A1206">
        <f ca="1">38215.6929139772*((RANDBETWEEN(2979,3282)))</f>
        <v>120264785.6002861</v>
      </c>
      <c r="B1206">
        <v>156812589.72514087</v>
      </c>
    </row>
    <row r="1207" spans="1:2" x14ac:dyDescent="0.25">
      <c r="A1207">
        <f ca="1">33981.3155405926*((RANDBETWEEN(2979,3282)))</f>
        <v>111220845.76435946</v>
      </c>
      <c r="B1207">
        <v>143469110.59628081</v>
      </c>
    </row>
    <row r="1208" spans="1:2" x14ac:dyDescent="0.25">
      <c r="A1208">
        <f ca="1">35325.1944450704*((RANDBETWEEN(2979,3282)))</f>
        <v>111556964.05753238</v>
      </c>
      <c r="B1208">
        <v>158233287.9681828</v>
      </c>
    </row>
    <row r="1209" spans="1:2" x14ac:dyDescent="0.25">
      <c r="A1209">
        <f ca="1">40372.0727518822*((RANDBETWEEN(2979,3282)))</f>
        <v>123054077.74773702</v>
      </c>
      <c r="B1209">
        <v>184113831.91928291</v>
      </c>
    </row>
    <row r="1210" spans="1:2" x14ac:dyDescent="0.25">
      <c r="A1210">
        <f ca="1">31607.1333862974*((RANDBETWEEN(2979,3282)))</f>
        <v>97982113.497521803</v>
      </c>
      <c r="B1210">
        <v>163329472.89694464</v>
      </c>
    </row>
    <row r="1211" spans="1:2" x14ac:dyDescent="0.25">
      <c r="A1211">
        <f ca="1">31378.4159128784*((RANDBETWEEN(2979,3282)))</f>
        <v>102732933.69876377</v>
      </c>
      <c r="B1211">
        <v>191242316.25559381</v>
      </c>
    </row>
    <row r="1212" spans="1:2" x14ac:dyDescent="0.25">
      <c r="A1212">
        <f ca="1">28816.0179947074*((RANDBETWEEN(2979,3282)))</f>
        <v>93104554.140899643</v>
      </c>
      <c r="B1212">
        <v>145896749.10836402</v>
      </c>
    </row>
    <row r="1213" spans="1:2" x14ac:dyDescent="0.25">
      <c r="A1213">
        <f ca="1">30961.1294944557*((RANDBETWEEN(2979,3282)))</f>
        <v>94772017.382528827</v>
      </c>
      <c r="B1213">
        <v>182660070.9460839</v>
      </c>
    </row>
    <row r="1214" spans="1:2" x14ac:dyDescent="0.25">
      <c r="A1214">
        <f ca="1">39387.3158243094*((RANDBETWEEN(2979,3282)))</f>
        <v>122770263.42437249</v>
      </c>
      <c r="B1214">
        <v>151422517.73464686</v>
      </c>
    </row>
    <row r="1215" spans="1:2" x14ac:dyDescent="0.25">
      <c r="A1215">
        <f ca="1">29795.4463336339*((RANDBETWEEN(2979,3282)))</f>
        <v>95226246.482294053</v>
      </c>
      <c r="B1215">
        <v>180479943.06006384</v>
      </c>
    </row>
    <row r="1216" spans="1:2" x14ac:dyDescent="0.25">
      <c r="A1216">
        <f ca="1">30806.3032808627*((RANDBETWEEN(2979,3282)))</f>
        <v>93466324.154137537</v>
      </c>
      <c r="B1216">
        <v>145673402.78712764</v>
      </c>
    </row>
    <row r="1217" spans="1:2" x14ac:dyDescent="0.25">
      <c r="A1217">
        <f ca="1">36425.3698530951*((RANDBETWEEN(2979,3282)))</f>
        <v>116706885.00931677</v>
      </c>
      <c r="B1217">
        <v>152732940.96199214</v>
      </c>
    </row>
    <row r="1218" spans="1:2" x14ac:dyDescent="0.25">
      <c r="A1218">
        <f ca="1">39228.3125064887*((RANDBETWEEN(2979,3282)))</f>
        <v>126275937.95838703</v>
      </c>
      <c r="B1218">
        <v>182405724.57346165</v>
      </c>
    </row>
    <row r="1219" spans="1:2" x14ac:dyDescent="0.25">
      <c r="A1219">
        <f ca="1">38487.0291364565*((RANDBETWEEN(2979,3282)))</f>
        <v>117808796.18669346</v>
      </c>
      <c r="B1219">
        <v>164727971.08313841</v>
      </c>
    </row>
    <row r="1220" spans="1:2" x14ac:dyDescent="0.25">
      <c r="A1220">
        <f ca="1">40515.716050669*((RANDBETWEEN(2979,3282)))</f>
        <v>131351951.43626899</v>
      </c>
      <c r="B1220">
        <v>203648321.96332604</v>
      </c>
    </row>
    <row r="1221" spans="1:2" x14ac:dyDescent="0.25">
      <c r="A1221">
        <f ca="1">32630.6363212598*((RANDBETWEEN(2979,3282)))</f>
        <v>97826647.691136971</v>
      </c>
      <c r="B1221">
        <v>187042808.25108802</v>
      </c>
    </row>
    <row r="1222" spans="1:2" x14ac:dyDescent="0.25">
      <c r="A1222">
        <f ca="1">31276.9661499036*((RANDBETWEEN(2979,3282)))</f>
        <v>101087154.59648857</v>
      </c>
      <c r="B1222">
        <v>177497462.52738497</v>
      </c>
    </row>
    <row r="1223" spans="1:2" x14ac:dyDescent="0.25">
      <c r="A1223">
        <f ca="1">35442.6523769356*((RANDBETWEEN(2979,3282)))</f>
        <v>107462122.00686863</v>
      </c>
      <c r="B1223">
        <v>162297560.96709427</v>
      </c>
    </row>
    <row r="1224" spans="1:2" x14ac:dyDescent="0.25">
      <c r="A1224">
        <f ca="1">38913.9668672756*((RANDBETWEEN(2979,3282)))</f>
        <v>126859531.98731846</v>
      </c>
      <c r="B1224">
        <v>176349637.7917437</v>
      </c>
    </row>
    <row r="1225" spans="1:2" x14ac:dyDescent="0.25">
      <c r="A1225">
        <f ca="1">32741.2430880889*((RANDBETWEEN(2979,3282)))</f>
        <v>103593293.13071334</v>
      </c>
      <c r="B1225">
        <v>144030891.34856209</v>
      </c>
    </row>
    <row r="1226" spans="1:2" x14ac:dyDescent="0.25">
      <c r="A1226">
        <f ca="1">31801.6854959254*((RANDBETWEEN(2979,3282)))</f>
        <v>101765393.58696137</v>
      </c>
      <c r="B1226">
        <v>188086164.88476455</v>
      </c>
    </row>
    <row r="1227" spans="1:2" x14ac:dyDescent="0.25">
      <c r="A1227">
        <f ca="1">31336.5475765999*((RANDBETWEEN(2979,3282)))</f>
        <v>95607806.656206176</v>
      </c>
      <c r="B1227">
        <v>148695951.48926404</v>
      </c>
    </row>
    <row r="1228" spans="1:2" x14ac:dyDescent="0.25">
      <c r="A1228">
        <f ca="1">29366.6533036217*((RANDBETWEEN(2979,3282)))</f>
        <v>90625492.094976529</v>
      </c>
      <c r="B1228">
        <v>168419183.42399579</v>
      </c>
    </row>
    <row r="1229" spans="1:2" x14ac:dyDescent="0.25">
      <c r="A1229">
        <f ca="1">30577.893771192*((RANDBETWEEN(2979,3282)))</f>
        <v>93690666.51493229</v>
      </c>
      <c r="B1229">
        <v>147225722.80341426</v>
      </c>
    </row>
    <row r="1230" spans="1:2" x14ac:dyDescent="0.25">
      <c r="A1230">
        <f ca="1">32497.7355175083*((RANDBETWEEN(2979,3282)))</f>
        <v>97525704.288042352</v>
      </c>
      <c r="B1230">
        <v>160926667.91434312</v>
      </c>
    </row>
    <row r="1231" spans="1:2" x14ac:dyDescent="0.25">
      <c r="A1231">
        <f ca="1">37061.6644493443*((RANDBETWEEN(2979,3282)))</f>
        <v>120265101.13812214</v>
      </c>
      <c r="B1231">
        <v>179311374.92562053</v>
      </c>
    </row>
    <row r="1232" spans="1:2" x14ac:dyDescent="0.25">
      <c r="A1232">
        <f ca="1">34469.9934002474*((RANDBETWEEN(2979,3282)))</f>
        <v>113061578.35281149</v>
      </c>
      <c r="B1232">
        <v>181021149.53808704</v>
      </c>
    </row>
    <row r="1233" spans="1:2" x14ac:dyDescent="0.25">
      <c r="A1233">
        <f ca="1">30094.4996601231*((RANDBETWEEN(2979,3282)))</f>
        <v>96061642.915112928</v>
      </c>
      <c r="B1233">
        <v>164081776.05692703</v>
      </c>
    </row>
    <row r="1234" spans="1:2" x14ac:dyDescent="0.25">
      <c r="A1234">
        <f ca="1">30451.2892876564*((RANDBETWEEN(2979,3282)))</f>
        <v>94551253.238172993</v>
      </c>
      <c r="B1234">
        <v>155807239.75935516</v>
      </c>
    </row>
    <row r="1235" spans="1:2" x14ac:dyDescent="0.25">
      <c r="A1235">
        <f ca="1">37484.3789220628*((RANDBETWEEN(2979,3282)))</f>
        <v>119987496.92952292</v>
      </c>
      <c r="B1235">
        <v>157681879.59885585</v>
      </c>
    </row>
    <row r="1236" spans="1:2" x14ac:dyDescent="0.25">
      <c r="A1236">
        <f ca="1">41631.6458821192*((RANDBETWEEN(2979,3282)))</f>
        <v>125852465.50164621</v>
      </c>
      <c r="B1236">
        <v>148332580.06090534</v>
      </c>
    </row>
    <row r="1237" spans="1:2" x14ac:dyDescent="0.25">
      <c r="A1237">
        <f ca="1">33199.7567739101*((RANDBETWEEN(2979,3282)))</f>
        <v>102288450.62041715</v>
      </c>
      <c r="B1237">
        <v>182843725.63287562</v>
      </c>
    </row>
    <row r="1238" spans="1:2" x14ac:dyDescent="0.25">
      <c r="A1238">
        <f ca="1">32667.5987927723*((RANDBETWEEN(2979,3282)))</f>
        <v>100844877.47328822</v>
      </c>
      <c r="B1238">
        <v>170566729.79185918</v>
      </c>
    </row>
    <row r="1239" spans="1:2" x14ac:dyDescent="0.25">
      <c r="A1239">
        <f ca="1">38204.4539091398*((RANDBETWEEN(2979,3282)))</f>
        <v>116561788.87678561</v>
      </c>
      <c r="B1239">
        <v>170431866.99295855</v>
      </c>
    </row>
    <row r="1240" spans="1:2" x14ac:dyDescent="0.25">
      <c r="A1240">
        <f ca="1">39152.5416762348*((RANDBETWEEN(2979,3282)))</f>
        <v>119611014.82089716</v>
      </c>
      <c r="B1240">
        <v>149140166.84182477</v>
      </c>
    </row>
    <row r="1241" spans="1:2" x14ac:dyDescent="0.25">
      <c r="A1241">
        <f ca="1">32989.3812988723*((RANDBETWEEN(2979,3282)))</f>
        <v>100122772.24207732</v>
      </c>
      <c r="B1241">
        <v>187424279.91814998</v>
      </c>
    </row>
    <row r="1242" spans="1:2" x14ac:dyDescent="0.25">
      <c r="A1242">
        <f ca="1">30467.062244665*((RANDBETWEEN(2979,3282)))</f>
        <v>96763389.68905592</v>
      </c>
      <c r="B1242">
        <v>146710080.07656193</v>
      </c>
    </row>
    <row r="1243" spans="1:2" x14ac:dyDescent="0.25">
      <c r="A1243">
        <f ca="1">40192.4673908977*((RANDBETWEEN(2979,3282)))</f>
        <v>126686657.21610968</v>
      </c>
      <c r="B1243">
        <v>151630203.212161</v>
      </c>
    </row>
    <row r="1244" spans="1:2" x14ac:dyDescent="0.25">
      <c r="A1244">
        <f ca="1">33139.9026718025*((RANDBETWEEN(2979,3282)))</f>
        <v>106942465.92190683</v>
      </c>
      <c r="B1244">
        <v>172886230.82229581</v>
      </c>
    </row>
    <row r="1245" spans="1:2" x14ac:dyDescent="0.25">
      <c r="A1245">
        <f ca="1">33461.34047822*((RANDBETWEEN(2979,3282)))</f>
        <v>101254016.28709368</v>
      </c>
      <c r="B1245">
        <v>171318890.23360354</v>
      </c>
    </row>
    <row r="1246" spans="1:2" x14ac:dyDescent="0.25">
      <c r="A1246">
        <f ca="1">30340.8568718796*((RANDBETWEEN(2979,3282)))</f>
        <v>92721658.60046421</v>
      </c>
      <c r="B1246">
        <v>152818362.71670824</v>
      </c>
    </row>
    <row r="1247" spans="1:2" x14ac:dyDescent="0.25">
      <c r="A1247">
        <f ca="1">36474.128500015*((RANDBETWEEN(2979,3282)))</f>
        <v>117811435.05504839</v>
      </c>
      <c r="B1247">
        <v>163956380.2547949</v>
      </c>
    </row>
    <row r="1248" spans="1:2" x14ac:dyDescent="0.25">
      <c r="A1248">
        <f ca="1">31514.2603198502*((RANDBETWEEN(2979,3282)))</f>
        <v>98482063.499531895</v>
      </c>
      <c r="B1248">
        <v>153270349.44889286</v>
      </c>
    </row>
    <row r="1249" spans="1:2" x14ac:dyDescent="0.25">
      <c r="A1249">
        <f ca="1">34781.0814163226*((RANDBETWEEN(2979,3282)))</f>
        <v>104412806.41180047</v>
      </c>
      <c r="B1249">
        <v>143224716.35019109</v>
      </c>
    </row>
    <row r="1250" spans="1:2" x14ac:dyDescent="0.25">
      <c r="A1250">
        <f ca="1">31640.1928268031*((RANDBETWEEN(2979,3282)))</f>
        <v>98780682.005279317</v>
      </c>
      <c r="B1250">
        <v>147016129.40699768</v>
      </c>
    </row>
    <row r="1251" spans="1:2" x14ac:dyDescent="0.25">
      <c r="A1251">
        <f ca="1">31208.0001639991*((RANDBETWEEN(2979,3282)))</f>
        <v>98398824.517089128</v>
      </c>
      <c r="B1251">
        <v>183497257.71703202</v>
      </c>
    </row>
    <row r="1252" spans="1:2" x14ac:dyDescent="0.25">
      <c r="A1252">
        <f ca="1">31878.3970027576*((RANDBETWEEN(2979,3282)))</f>
        <v>102903465.52490167</v>
      </c>
      <c r="B1252">
        <v>148113777.06563061</v>
      </c>
    </row>
    <row r="1253" spans="1:2" x14ac:dyDescent="0.25">
      <c r="A1253">
        <f ca="1">31083.3598661562*((RANDBETWEEN(2979,3282)))</f>
        <v>96513832.384414911</v>
      </c>
      <c r="B1253">
        <v>191708007.60044146</v>
      </c>
    </row>
    <row r="1254" spans="1:2" x14ac:dyDescent="0.25">
      <c r="A1254">
        <f ca="1">34719.3842311135*((RANDBETWEEN(2979,3282)))</f>
        <v>112317207.98765227</v>
      </c>
      <c r="B1254">
        <v>160404974.12305513</v>
      </c>
    </row>
    <row r="1255" spans="1:2" x14ac:dyDescent="0.25">
      <c r="A1255">
        <f ca="1">39662.1728099151*((RANDBETWEEN(2979,3282)))</f>
        <v>126720642.12767872</v>
      </c>
      <c r="B1255">
        <v>176486282.17952698</v>
      </c>
    </row>
    <row r="1256" spans="1:2" x14ac:dyDescent="0.25">
      <c r="A1256">
        <f ca="1">32481.4525977018*((RANDBETWEEN(2979,3282)))</f>
        <v>102673871.66133548</v>
      </c>
      <c r="B1256">
        <v>166178946.5359588</v>
      </c>
    </row>
    <row r="1257" spans="1:2" x14ac:dyDescent="0.25">
      <c r="A1257">
        <f ca="1">40065.795480579*((RANDBETWEEN(2979,3282)))</f>
        <v>121038768.14682905</v>
      </c>
      <c r="B1257">
        <v>150084487.83536857</v>
      </c>
    </row>
    <row r="1258" spans="1:2" x14ac:dyDescent="0.25">
      <c r="A1258">
        <f ca="1">37269.3471491269*((RANDBETWEEN(2979,3282)))</f>
        <v>111137193.19869651</v>
      </c>
      <c r="B1258">
        <v>146533317.56146079</v>
      </c>
    </row>
    <row r="1259" spans="1:2" x14ac:dyDescent="0.25">
      <c r="A1259">
        <f ca="1">32066.5509381469*((RANDBETWEEN(2979,3282)))</f>
        <v>104793488.465864</v>
      </c>
      <c r="B1259">
        <v>176170848.17130578</v>
      </c>
    </row>
    <row r="1260" spans="1:2" x14ac:dyDescent="0.25">
      <c r="A1260">
        <f ca="1">30482.5459692391*((RANDBETWEEN(2979,3282)))</f>
        <v>96538223.084580168</v>
      </c>
      <c r="B1260">
        <v>187224472.59132588</v>
      </c>
    </row>
    <row r="1261" spans="1:2" x14ac:dyDescent="0.25">
      <c r="A1261">
        <f ca="1">35616.1135108632*((RANDBETWEEN(2979,3282)))</f>
        <v>112760615.37539287</v>
      </c>
      <c r="B1261">
        <v>178494891.23270187</v>
      </c>
    </row>
    <row r="1262" spans="1:2" x14ac:dyDescent="0.25">
      <c r="A1262">
        <f ca="1">38962.5996247895*((RANDBETWEEN(2979,3282)))</f>
        <v>125108907.39519902</v>
      </c>
      <c r="B1262">
        <v>201455965.02768791</v>
      </c>
    </row>
    <row r="1263" spans="1:2" x14ac:dyDescent="0.25">
      <c r="A1263">
        <f ca="1">30432.2351868819*((RANDBETWEEN(2979,3282)))</f>
        <v>92027079.205130935</v>
      </c>
      <c r="B1263">
        <v>163971308.53766087</v>
      </c>
    </row>
    <row r="1264" spans="1:2" x14ac:dyDescent="0.25">
      <c r="A1264">
        <f ca="1">32539.9631573426*((RANDBETWEEN(2979,3282)))</f>
        <v>103021523.3561468</v>
      </c>
      <c r="B1264">
        <v>182209172.97669396</v>
      </c>
    </row>
    <row r="1265" spans="1:2" x14ac:dyDescent="0.25">
      <c r="A1265">
        <f ca="1">35025.6362952599*((RANDBETWEEN(2979,3282)))</f>
        <v>106583011.24647573</v>
      </c>
      <c r="B1265">
        <v>195028382.26443574</v>
      </c>
    </row>
    <row r="1266" spans="1:2" x14ac:dyDescent="0.25">
      <c r="A1266">
        <f ca="1">33369.5389329177*((RANDBETWEEN(2979,3282)))</f>
        <v>104146331.00963601</v>
      </c>
      <c r="B1266">
        <v>184075278.06362775</v>
      </c>
    </row>
    <row r="1267" spans="1:2" x14ac:dyDescent="0.25">
      <c r="A1267">
        <f ca="1">39743.4606387665*((RANDBETWEEN(2979,3282)))</f>
        <v>126384204.83127733</v>
      </c>
      <c r="B1267">
        <v>193854398.16112959</v>
      </c>
    </row>
    <row r="1268" spans="1:2" x14ac:dyDescent="0.25">
      <c r="A1268">
        <f ca="1">34470.1973691629*((RANDBETWEEN(2979,3282)))</f>
        <v>108856883.29181647</v>
      </c>
      <c r="B1268">
        <v>170979836.41650259</v>
      </c>
    </row>
    <row r="1269" spans="1:2" x14ac:dyDescent="0.25">
      <c r="A1269">
        <f ca="1">36609.1831346972*((RANDBETWEEN(2979,3282)))</f>
        <v>120004902.31553745</v>
      </c>
      <c r="B1269">
        <v>202456510.95084083</v>
      </c>
    </row>
    <row r="1270" spans="1:2" x14ac:dyDescent="0.25">
      <c r="A1270">
        <f ca="1">29113.4673830413*((RANDBETWEEN(2979,3282)))</f>
        <v>88388486.974913239</v>
      </c>
      <c r="B1270">
        <v>163105449.23425189</v>
      </c>
    </row>
    <row r="1271" spans="1:2" x14ac:dyDescent="0.25">
      <c r="A1271">
        <f ca="1">32329.5210215883*((RANDBETWEEN(2979,3282)))</f>
        <v>97926119.174391001</v>
      </c>
      <c r="B1271">
        <v>144208073.19021815</v>
      </c>
    </row>
    <row r="1272" spans="1:2" x14ac:dyDescent="0.25">
      <c r="A1272">
        <f ca="1">30799.4890773538*((RANDBETWEEN(2979,3282)))</f>
        <v>96956791.615509689</v>
      </c>
      <c r="B1272">
        <v>183235893.81852895</v>
      </c>
    </row>
    <row r="1273" spans="1:2" x14ac:dyDescent="0.25">
      <c r="A1273">
        <f ca="1">29780.4348561109*((RANDBETWEEN(2979,3282)))</f>
        <v>96190804.585238069</v>
      </c>
      <c r="B1273">
        <v>143263882.75446016</v>
      </c>
    </row>
    <row r="1274" spans="1:2" x14ac:dyDescent="0.25">
      <c r="A1274">
        <f ca="1">31665.1454773596*((RANDBETWEEN(2979,3282)))</f>
        <v>94457128.958963633</v>
      </c>
      <c r="B1274">
        <v>150604108.76694041</v>
      </c>
    </row>
    <row r="1275" spans="1:2" x14ac:dyDescent="0.25">
      <c r="A1275">
        <f ca="1">31675.6648083948*((RANDBETWEEN(2979,3282)))</f>
        <v>100316830.44818637</v>
      </c>
      <c r="B1275">
        <v>161639473.13082004</v>
      </c>
    </row>
    <row r="1276" spans="1:2" x14ac:dyDescent="0.25">
      <c r="A1276">
        <f ca="1">34731.8372469508*((RANDBETWEEN(2979,3282)))</f>
        <v>109578946.51412992</v>
      </c>
      <c r="B1276">
        <v>151653115.58467865</v>
      </c>
    </row>
    <row r="1277" spans="1:2" x14ac:dyDescent="0.25">
      <c r="A1277">
        <f ca="1">30693.8375144901*((RANDBETWEEN(2979,3282)))</f>
        <v>93432041.394107908</v>
      </c>
      <c r="B1277">
        <v>173684343.27060458</v>
      </c>
    </row>
    <row r="1278" spans="1:2" x14ac:dyDescent="0.25">
      <c r="A1278">
        <f ca="1">31248.1765590756*((RANDBETWEEN(2979,3282)))</f>
        <v>95744412.977007538</v>
      </c>
      <c r="B1278">
        <v>175748423.65975547</v>
      </c>
    </row>
    <row r="1279" spans="1:2" x14ac:dyDescent="0.25">
      <c r="A1279">
        <f ca="1">35251.641830882*((RANDBETWEEN(2979,3282)))</f>
        <v>110725406.99080043</v>
      </c>
      <c r="B1279">
        <v>184410967.93931991</v>
      </c>
    </row>
    <row r="1280" spans="1:2" x14ac:dyDescent="0.25">
      <c r="A1280">
        <f ca="1">33793.0426385099*((RANDBETWEEN(2979,3282)))</f>
        <v>105332913.9042353</v>
      </c>
      <c r="B1280">
        <v>146409882.50982192</v>
      </c>
    </row>
    <row r="1281" spans="1:2" x14ac:dyDescent="0.25">
      <c r="A1281">
        <f ca="1">37177.3910070467*((RANDBETWEEN(2979,3282)))</f>
        <v>120194505.12578188</v>
      </c>
      <c r="B1281">
        <v>200599873.23559478</v>
      </c>
    </row>
    <row r="1282" spans="1:2" x14ac:dyDescent="0.25">
      <c r="A1282">
        <f ca="1">32596.9832204104*((RANDBETWEEN(2979,3282)))</f>
        <v>106331359.26497869</v>
      </c>
      <c r="B1282">
        <v>158909309.1421634</v>
      </c>
    </row>
    <row r="1283" spans="1:2" x14ac:dyDescent="0.25">
      <c r="A1283">
        <f ca="1">27589.3422816656*((RANDBETWEEN(2979,3282)))</f>
        <v>88837682.146963075</v>
      </c>
      <c r="B1283">
        <v>154798346.68302366</v>
      </c>
    </row>
    <row r="1284" spans="1:2" x14ac:dyDescent="0.25">
      <c r="A1284">
        <f ca="1">29251.5415812919*((RANDBETWEEN(2979,3282)))</f>
        <v>90621275.818842351</v>
      </c>
      <c r="B1284">
        <v>198893015.90787035</v>
      </c>
    </row>
    <row r="1285" spans="1:2" x14ac:dyDescent="0.25">
      <c r="A1285">
        <f ca="1">36791.1000134862*((RANDBETWEEN(2979,3282)))</f>
        <v>111329868.64080919</v>
      </c>
      <c r="B1285">
        <v>196322917.39296415</v>
      </c>
    </row>
    <row r="1286" spans="1:2" x14ac:dyDescent="0.25">
      <c r="A1286">
        <f ca="1">41221.4316528987*((RANDBETWEEN(2979,3282)))</f>
        <v>134629195.77836713</v>
      </c>
      <c r="B1286">
        <v>147051990.35765904</v>
      </c>
    </row>
    <row r="1287" spans="1:2" x14ac:dyDescent="0.25">
      <c r="A1287">
        <f ca="1">35880.9183256173*((RANDBETWEEN(2979,3282)))</f>
        <v>108755063.4449461</v>
      </c>
      <c r="B1287">
        <v>164797271.91381437</v>
      </c>
    </row>
    <row r="1288" spans="1:2" x14ac:dyDescent="0.25">
      <c r="A1288">
        <f ca="1">36754.3002644919*((RANDBETWEEN(2979,3282)))</f>
        <v>116805166.24055511</v>
      </c>
      <c r="B1288">
        <v>146748585.41398984</v>
      </c>
    </row>
    <row r="1289" spans="1:2" x14ac:dyDescent="0.25">
      <c r="A1289">
        <f ca="1">38546.6901102079*((RANDBETWEEN(2979,3282)))</f>
        <v>119841659.55263631</v>
      </c>
      <c r="B1289">
        <v>153683640.76429251</v>
      </c>
    </row>
    <row r="1290" spans="1:2" x14ac:dyDescent="0.25">
      <c r="A1290">
        <f ca="1">30873.8853328682*((RANDBETWEEN(2979,3282)))</f>
        <v>96079531.155885905</v>
      </c>
      <c r="B1290">
        <v>172700155.91246861</v>
      </c>
    </row>
    <row r="1291" spans="1:2" x14ac:dyDescent="0.25">
      <c r="A1291">
        <f ca="1">41474.2113412728*((RANDBETWEEN(2979,3282)))</f>
        <v>127325828.81770736</v>
      </c>
      <c r="B1291">
        <v>185364398.92240918</v>
      </c>
    </row>
    <row r="1292" spans="1:2" x14ac:dyDescent="0.25">
      <c r="A1292">
        <f ca="1">30221.9670835761*((RANDBETWEEN(2979,3282)))</f>
        <v>90182349.777391031</v>
      </c>
      <c r="B1292">
        <v>190097384.45764369</v>
      </c>
    </row>
    <row r="1293" spans="1:2" x14ac:dyDescent="0.25">
      <c r="A1293">
        <f ca="1">39675.5433563996*((RANDBETWEEN(2979,3282)))</f>
        <v>127199792.00061721</v>
      </c>
      <c r="B1293">
        <v>175002668.82770637</v>
      </c>
    </row>
    <row r="1294" spans="1:2" x14ac:dyDescent="0.25">
      <c r="A1294">
        <f ca="1">33644.8059627347*((RANDBETWEEN(2979,3282)))</f>
        <v>105745625.14087519</v>
      </c>
      <c r="B1294">
        <v>190870973.9367809</v>
      </c>
    </row>
    <row r="1295" spans="1:2" x14ac:dyDescent="0.25">
      <c r="A1295">
        <f ca="1">30312.4938885937*((RANDBETWEEN(2979,3282)))</f>
        <v>90300919.29412052</v>
      </c>
      <c r="B1295">
        <v>168573078.82130373</v>
      </c>
    </row>
    <row r="1296" spans="1:2" x14ac:dyDescent="0.25">
      <c r="A1296">
        <f ca="1">31823.4216265275*((RANDBETWEEN(2979,3282)))</f>
        <v>102089536.57790026</v>
      </c>
      <c r="B1296">
        <v>191640614.36888155</v>
      </c>
    </row>
    <row r="1297" spans="1:2" x14ac:dyDescent="0.25">
      <c r="A1297">
        <f ca="1">30814.3911164507*((RANDBETWEEN(2979,3282)))</f>
        <v>97157775.190168962</v>
      </c>
      <c r="B1297">
        <v>153656948.81731126</v>
      </c>
    </row>
    <row r="1298" spans="1:2" x14ac:dyDescent="0.25">
      <c r="A1298">
        <f ca="1">34938.8644130592*((RANDBETWEEN(2979,3282)))</f>
        <v>108205663.08724435</v>
      </c>
      <c r="B1298">
        <v>155732413.86646712</v>
      </c>
    </row>
    <row r="1299" spans="1:2" x14ac:dyDescent="0.25">
      <c r="A1299">
        <f ca="1">39064.498243459*((RANDBETWEEN(2979,3282)))</f>
        <v>121803105.52310504</v>
      </c>
      <c r="B1299">
        <v>161845493.62518492</v>
      </c>
    </row>
    <row r="1300" spans="1:2" x14ac:dyDescent="0.25">
      <c r="A1300">
        <f ca="1">37803.2115181309*((RANDBETWEEN(2979,3282)))</f>
        <v>114165698.78475539</v>
      </c>
      <c r="B1300">
        <v>154717348.20700788</v>
      </c>
    </row>
    <row r="1301" spans="1:2" x14ac:dyDescent="0.25">
      <c r="A1301">
        <f ca="1">35180.5846098244*((RANDBETWEEN(2979,3282)))</f>
        <v>105823198.50635166</v>
      </c>
      <c r="B1301">
        <v>165117415.37041491</v>
      </c>
    </row>
    <row r="1302" spans="1:2" x14ac:dyDescent="0.25">
      <c r="A1302">
        <f ca="1">30468.5640732068*((RANDBETWEEN(2979,3282)))</f>
        <v>96676753.804285064</v>
      </c>
      <c r="B1302">
        <v>182710917.6285651</v>
      </c>
    </row>
    <row r="1303" spans="1:2" x14ac:dyDescent="0.25">
      <c r="A1303">
        <f ca="1">29283.1171917675*((RANDBETWEEN(2979,3282)))</f>
        <v>87263689.231467023</v>
      </c>
      <c r="B1303">
        <v>178362455.6858803</v>
      </c>
    </row>
    <row r="1304" spans="1:2" x14ac:dyDescent="0.25">
      <c r="A1304">
        <f ca="1">40377.5569846539*((RANDBETWEEN(2979,3282)))</f>
        <v>131428947.98504853</v>
      </c>
      <c r="B1304">
        <v>196368960.66092578</v>
      </c>
    </row>
    <row r="1305" spans="1:2" x14ac:dyDescent="0.25">
      <c r="A1305">
        <f ca="1">30854.9412944659*((RANDBETWEEN(2979,3282)))</f>
        <v>92040289.881391808</v>
      </c>
      <c r="B1305">
        <v>167062364.12726858</v>
      </c>
    </row>
    <row r="1306" spans="1:2" x14ac:dyDescent="0.25">
      <c r="A1306">
        <f ca="1">31089.245827272*((RANDBETWEEN(2979,3282)))</f>
        <v>99765389.859715849</v>
      </c>
      <c r="B1306">
        <v>176078470.10701159</v>
      </c>
    </row>
    <row r="1307" spans="1:2" x14ac:dyDescent="0.25">
      <c r="A1307">
        <f ca="1">30049.8303025495*((RANDBETWEEN(2979,3282)))</f>
        <v>94086018.677282512</v>
      </c>
      <c r="B1307">
        <v>154743960.35852128</v>
      </c>
    </row>
    <row r="1308" spans="1:2" x14ac:dyDescent="0.25">
      <c r="A1308">
        <f ca="1">38619.4069145465*((RANDBETWEEN(2979,3282)))</f>
        <v>118600198.63457236</v>
      </c>
      <c r="B1308">
        <v>158880052.18942702</v>
      </c>
    </row>
    <row r="1309" spans="1:2" x14ac:dyDescent="0.25">
      <c r="A1309">
        <f ca="1">32138.6069225522*((RANDBETWEEN(2979,3282)))</f>
        <v>98279859.969164744</v>
      </c>
      <c r="B1309">
        <v>152372714.52939051</v>
      </c>
    </row>
    <row r="1310" spans="1:2" x14ac:dyDescent="0.25">
      <c r="A1310">
        <f ca="1">31888.0244815881*((RANDBETWEEN(2979,3282)))</f>
        <v>97354138.7422885</v>
      </c>
      <c r="B1310">
        <v>146065099.94366074</v>
      </c>
    </row>
    <row r="1311" spans="1:2" x14ac:dyDescent="0.25">
      <c r="A1311">
        <f ca="1">36026.3234243886*((RANDBETWEEN(2979,3282)))</f>
        <v>112834444.96518509</v>
      </c>
      <c r="B1311">
        <v>160256141.92910427</v>
      </c>
    </row>
    <row r="1312" spans="1:2" x14ac:dyDescent="0.25">
      <c r="A1312">
        <f ca="1">29939.3389410456*((RANDBETWEEN(2979,3282)))</f>
        <v>97542366.269926667</v>
      </c>
      <c r="B1312">
        <v>148523421.21478248</v>
      </c>
    </row>
    <row r="1313" spans="1:2" x14ac:dyDescent="0.25">
      <c r="A1313">
        <f ca="1">36150.5856710501*((RANDBETWEEN(2979,3282)))</f>
        <v>116296434.10376804</v>
      </c>
      <c r="B1313">
        <v>168995938.48770314</v>
      </c>
    </row>
    <row r="1314" spans="1:2" x14ac:dyDescent="0.25">
      <c r="A1314">
        <f ca="1">35599.9497381303*((RANDBETWEEN(2979,3282)))</f>
        <v>108722246.50025003</v>
      </c>
      <c r="B1314">
        <v>195002190.54825056</v>
      </c>
    </row>
    <row r="1315" spans="1:2" x14ac:dyDescent="0.25">
      <c r="A1315">
        <f ca="1">30223.6924603411*((RANDBETWEEN(2979,3282)))</f>
        <v>95385973.404836431</v>
      </c>
      <c r="B1315">
        <v>151188621.4021062</v>
      </c>
    </row>
    <row r="1316" spans="1:2" x14ac:dyDescent="0.25">
      <c r="A1316">
        <f ca="1">37845.9711029142*((RANDBETWEEN(2979,3282)))</f>
        <v>118874195.23425359</v>
      </c>
      <c r="B1316">
        <v>161406751.79483506</v>
      </c>
    </row>
    <row r="1317" spans="1:2" x14ac:dyDescent="0.25">
      <c r="A1317">
        <f ca="1">29366.881331476*((RANDBETWEEN(2979,3282)))</f>
        <v>89480887.417007282</v>
      </c>
      <c r="B1317">
        <v>167077361.42146766</v>
      </c>
    </row>
    <row r="1318" spans="1:2" x14ac:dyDescent="0.25">
      <c r="A1318">
        <f ca="1">42394.2781495745*((RANDBETWEEN(2979,3282)))</f>
        <v>137442249.76092041</v>
      </c>
      <c r="B1318">
        <v>151862768.67158431</v>
      </c>
    </row>
    <row r="1319" spans="1:2" x14ac:dyDescent="0.25">
      <c r="A1319">
        <f ca="1">30881.2730949416*((RANDBETWEEN(2979,3282)))</f>
        <v>95886352.959793717</v>
      </c>
      <c r="B1319">
        <v>180677388.86465618</v>
      </c>
    </row>
    <row r="1320" spans="1:2" x14ac:dyDescent="0.25">
      <c r="A1320">
        <f ca="1">33444.6031953818*((RANDBETWEEN(2979,3282)))</f>
        <v>106353838.16131426</v>
      </c>
      <c r="B1320">
        <v>191133741.03522164</v>
      </c>
    </row>
    <row r="1321" spans="1:2" x14ac:dyDescent="0.25">
      <c r="A1321">
        <f ca="1">40737.8303315162*((RANDBETWEEN(2979,3282)))</f>
        <v>123924479.86847223</v>
      </c>
      <c r="B1321">
        <v>194153618.59669167</v>
      </c>
    </row>
    <row r="1322" spans="1:2" x14ac:dyDescent="0.25">
      <c r="A1322">
        <f ca="1">31568.2053288647*((RANDBETWEEN(2979,3282)))</f>
        <v>102817644.75611219</v>
      </c>
      <c r="B1322">
        <v>143434919.30180505</v>
      </c>
    </row>
    <row r="1323" spans="1:2" x14ac:dyDescent="0.25">
      <c r="A1323">
        <f ca="1">34994.0367304293*((RANDBETWEEN(2979,3282)))</f>
        <v>105612002.8524355</v>
      </c>
      <c r="B1323">
        <v>154391308.77149585</v>
      </c>
    </row>
    <row r="1324" spans="1:2" x14ac:dyDescent="0.25">
      <c r="A1324">
        <f ca="1">34518.1991698515*((RANDBETWEEN(2979,3282)))</f>
        <v>108214554.39748459</v>
      </c>
      <c r="B1324">
        <v>178189689.87975925</v>
      </c>
    </row>
    <row r="1325" spans="1:2" x14ac:dyDescent="0.25">
      <c r="A1325">
        <f ca="1">31757.8694345996*((RANDBETWEEN(2979,3282)))</f>
        <v>95622944.867579252</v>
      </c>
      <c r="B1325">
        <v>163450392.21736467</v>
      </c>
    </row>
    <row r="1326" spans="1:2" x14ac:dyDescent="0.25">
      <c r="A1326">
        <f ca="1">32111.8281349726*((RANDBETWEEN(2979,3282)))</f>
        <v>97844740.327261358</v>
      </c>
      <c r="B1326">
        <v>145000732.61070329</v>
      </c>
    </row>
    <row r="1327" spans="1:2" x14ac:dyDescent="0.25">
      <c r="A1327">
        <f ca="1">29599.3144870986*((RANDBETWEEN(2979,3282)))</f>
        <v>96375367.969992891</v>
      </c>
      <c r="B1327">
        <v>191383132.59490055</v>
      </c>
    </row>
    <row r="1328" spans="1:2" x14ac:dyDescent="0.25">
      <c r="A1328">
        <f ca="1">36148.4102239769*((RANDBETWEEN(2979,3282)))</f>
        <v>111698587.59208873</v>
      </c>
      <c r="B1328">
        <v>194273315.34252068</v>
      </c>
    </row>
    <row r="1329" spans="1:2" x14ac:dyDescent="0.25">
      <c r="A1329">
        <f ca="1">30086.2681065134*((RANDBETWEEN(2979,3282)))</f>
        <v>91432168.775694162</v>
      </c>
      <c r="B1329">
        <v>202545285.08958131</v>
      </c>
    </row>
    <row r="1330" spans="1:2" x14ac:dyDescent="0.25">
      <c r="A1330">
        <f ca="1">30998.9374967421*((RANDBETWEEN(2979,3282)))</f>
        <v>97274665.864776716</v>
      </c>
      <c r="B1330">
        <v>143642739.65289223</v>
      </c>
    </row>
    <row r="1331" spans="1:2" x14ac:dyDescent="0.25">
      <c r="A1331">
        <f ca="1">35978.5282050972*((RANDBETWEEN(2979,3282)))</f>
        <v>107323949.6358048</v>
      </c>
      <c r="B1331">
        <v>146503721.63368773</v>
      </c>
    </row>
    <row r="1332" spans="1:2" x14ac:dyDescent="0.25">
      <c r="A1332">
        <f ca="1">39969.5048219024*((RANDBETWEEN(2979,3282)))</f>
        <v>121587233.6682272</v>
      </c>
      <c r="B1332">
        <v>158362249.87067649</v>
      </c>
    </row>
    <row r="1333" spans="1:2" x14ac:dyDescent="0.25">
      <c r="A1333">
        <f ca="1">31875.5538854654*((RANDBETWEEN(2979,3282)))</f>
        <v>97889825.98226431</v>
      </c>
      <c r="B1333">
        <v>148577836.82676515</v>
      </c>
    </row>
    <row r="1334" spans="1:2" x14ac:dyDescent="0.25">
      <c r="A1334">
        <f ca="1">28108.5611810592*((RANDBETWEEN(2979,3282)))</f>
        <v>89216573.18868199</v>
      </c>
      <c r="B1334">
        <v>147951571.66659194</v>
      </c>
    </row>
    <row r="1335" spans="1:2" x14ac:dyDescent="0.25">
      <c r="A1335">
        <f ca="1">30781.2881301708*((RANDBETWEEN(2979,3282)))</f>
        <v>97761371.101422459</v>
      </c>
      <c r="B1335">
        <v>167730568.84293365</v>
      </c>
    </row>
    <row r="1336" spans="1:2" x14ac:dyDescent="0.25">
      <c r="A1336">
        <f ca="1">32609.3220820106*((RANDBETWEEN(2979,3282)))</f>
        <v>100469321.3346746</v>
      </c>
      <c r="B1336">
        <v>180542152.68482307</v>
      </c>
    </row>
    <row r="1337" spans="1:2" x14ac:dyDescent="0.25">
      <c r="A1337">
        <f ca="1">28520.9913583901*((RANDBETWEEN(2979,3282)))</f>
        <v>91666466.225865915</v>
      </c>
      <c r="B1337">
        <v>166762452.54038644</v>
      </c>
    </row>
    <row r="1338" spans="1:2" x14ac:dyDescent="0.25">
      <c r="A1338">
        <f ca="1">38215.0703706417*((RANDBETWEEN(2979,3282)))</f>
        <v>115791663.22304456</v>
      </c>
      <c r="B1338">
        <v>162561421.17906934</v>
      </c>
    </row>
    <row r="1339" spans="1:2" x14ac:dyDescent="0.25">
      <c r="A1339">
        <f ca="1">36517.5575098471*((RANDBETWEEN(2979,3282)))</f>
        <v>118426439.0044342</v>
      </c>
      <c r="B1339">
        <v>185427644.35520828</v>
      </c>
    </row>
    <row r="1340" spans="1:2" x14ac:dyDescent="0.25">
      <c r="A1340">
        <f ca="1">29792.6398131749*((RANDBETWEEN(2979,3282)))</f>
        <v>91642160.065325856</v>
      </c>
      <c r="B1340">
        <v>145349236.71588874</v>
      </c>
    </row>
    <row r="1341" spans="1:2" x14ac:dyDescent="0.25">
      <c r="A1341">
        <f ca="1">28847.3298675352*((RANDBETWEEN(2979,3282)))</f>
        <v>86397752.953267992</v>
      </c>
      <c r="B1341">
        <v>159603905.34909269</v>
      </c>
    </row>
    <row r="1342" spans="1:2" x14ac:dyDescent="0.25">
      <c r="A1342">
        <f ca="1">39404.9140321718*((RANDBETWEEN(2979,3282)))</f>
        <v>117702478.21409704</v>
      </c>
      <c r="B1342">
        <v>183112394.25408009</v>
      </c>
    </row>
    <row r="1343" spans="1:2" x14ac:dyDescent="0.25">
      <c r="A1343">
        <f ca="1">30837.6633218029*((RANDBETWEEN(2979,3282)))</f>
        <v>98495496.649838567</v>
      </c>
      <c r="B1343">
        <v>158792064.02993256</v>
      </c>
    </row>
    <row r="1344" spans="1:2" x14ac:dyDescent="0.25">
      <c r="A1344">
        <f ca="1">38440.7137383832*((RANDBETWEEN(2979,3282)))</f>
        <v>119704382.58132517</v>
      </c>
      <c r="B1344">
        <v>193758094.2553505</v>
      </c>
    </row>
    <row r="1345" spans="1:2" x14ac:dyDescent="0.25">
      <c r="A1345">
        <f ca="1">31404.7696382678*((RANDBETWEEN(2979,3282)))</f>
        <v>96758095.255503088</v>
      </c>
      <c r="B1345">
        <v>179061731.4632833</v>
      </c>
    </row>
    <row r="1346" spans="1:2" x14ac:dyDescent="0.25">
      <c r="A1346">
        <f ca="1">36931.5899176283*((RANDBETWEEN(2979,3282)))</f>
        <v>117110071.62879938</v>
      </c>
      <c r="B1346">
        <v>158054486.75291598</v>
      </c>
    </row>
    <row r="1347" spans="1:2" x14ac:dyDescent="0.25">
      <c r="A1347">
        <f ca="1">29726.6662956051*((RANDBETWEEN(2979,3282)))</f>
        <v>91171685.528620973</v>
      </c>
      <c r="B1347">
        <v>152073424.26996428</v>
      </c>
    </row>
    <row r="1348" spans="1:2" x14ac:dyDescent="0.25">
      <c r="A1348">
        <f ca="1">30995.9247282959*((RANDBETWEEN(2979,3282)))</f>
        <v>93204745.657985747</v>
      </c>
      <c r="B1348">
        <v>194743761.66523671</v>
      </c>
    </row>
    <row r="1349" spans="1:2" x14ac:dyDescent="0.25">
      <c r="A1349">
        <f ca="1">29799.5236371905*((RANDBETWEEN(2979,3282)))</f>
        <v>92795716.60621132</v>
      </c>
      <c r="B1349">
        <v>147352535.59899321</v>
      </c>
    </row>
    <row r="1350" spans="1:2" x14ac:dyDescent="0.25">
      <c r="A1350">
        <f ca="1">35811.6667428674*((RANDBETWEEN(2979,3282)))</f>
        <v>113594606.90837555</v>
      </c>
      <c r="B1350">
        <v>150516435.95983449</v>
      </c>
    </row>
    <row r="1351" spans="1:2" x14ac:dyDescent="0.25">
      <c r="A1351">
        <f ca="1">31991.831118655*((RANDBETWEEN(2979,3282)))</f>
        <v>101766014.78844166</v>
      </c>
      <c r="B1351">
        <v>192468831.52920812</v>
      </c>
    </row>
    <row r="1352" spans="1:2" x14ac:dyDescent="0.25">
      <c r="A1352">
        <f ca="1">40705.7195613578*((RANDBETWEEN(2979,3282)))</f>
        <v>130421125.4745903</v>
      </c>
      <c r="B1352">
        <v>175857186.35938761</v>
      </c>
    </row>
    <row r="1353" spans="1:2" x14ac:dyDescent="0.25">
      <c r="A1353">
        <f ca="1">36353.7164216389*((RANDBETWEEN(2979,3282)))</f>
        <v>115459403.35512517</v>
      </c>
      <c r="B1353">
        <v>172257303.6448622</v>
      </c>
    </row>
    <row r="1354" spans="1:2" x14ac:dyDescent="0.25">
      <c r="A1354">
        <f ca="1">37119.3872260678*((RANDBETWEEN(2979,3282)))</f>
        <v>111024087.19316868</v>
      </c>
      <c r="B1354">
        <v>145095454.15828896</v>
      </c>
    </row>
    <row r="1355" spans="1:2" x14ac:dyDescent="0.25">
      <c r="A1355">
        <f ca="1">34502.5649449862*((RANDBETWEEN(2979,3282)))</f>
        <v>108027530.84275179</v>
      </c>
      <c r="B1355">
        <v>168239415.41982865</v>
      </c>
    </row>
    <row r="1356" spans="1:2" x14ac:dyDescent="0.25">
      <c r="A1356">
        <f ca="1">36100.079902585*((RANDBETWEEN(2979,3282)))</f>
        <v>118227761.68096602</v>
      </c>
      <c r="B1356">
        <v>172855133.54545271</v>
      </c>
    </row>
    <row r="1357" spans="1:2" x14ac:dyDescent="0.25">
      <c r="A1357">
        <f ca="1">34103.391549776*((RANDBETWEEN(2979,3282)))</f>
        <v>109335473.30858169</v>
      </c>
      <c r="B1357">
        <v>190642179.83107096</v>
      </c>
    </row>
    <row r="1358" spans="1:2" x14ac:dyDescent="0.25">
      <c r="A1358">
        <f ca="1">30613.6023751312*((RANDBETWEEN(2979,3282)))</f>
        <v>96463461.084038466</v>
      </c>
      <c r="B1358">
        <v>145809163.66720057</v>
      </c>
    </row>
    <row r="1359" spans="1:2" x14ac:dyDescent="0.25">
      <c r="A1359">
        <f ca="1">33670.9675071094*((RANDBETWEEN(2979,3282)))</f>
        <v>107915450.86028564</v>
      </c>
      <c r="B1359">
        <v>176570934.6722815</v>
      </c>
    </row>
    <row r="1360" spans="1:2" x14ac:dyDescent="0.25">
      <c r="A1360">
        <f ca="1">31907.0790409126*((RANDBETWEEN(2979,3282)))</f>
        <v>95976493.755065009</v>
      </c>
      <c r="B1360">
        <v>202819493.41594982</v>
      </c>
    </row>
    <row r="1361" spans="1:2" x14ac:dyDescent="0.25">
      <c r="A1361">
        <f ca="1">34051.518992555*((RANDBETWEEN(2979,3282)))</f>
        <v>109611839.63703468</v>
      </c>
      <c r="B1361">
        <v>177798870.60409355</v>
      </c>
    </row>
    <row r="1362" spans="1:2" x14ac:dyDescent="0.25">
      <c r="A1362">
        <f ca="1">30629.7080655848*((RANDBETWEEN(2979,3282)))</f>
        <v>96881766.611444801</v>
      </c>
      <c r="B1362">
        <v>187929578.14186662</v>
      </c>
    </row>
    <row r="1363" spans="1:2" x14ac:dyDescent="0.25">
      <c r="A1363">
        <f ca="1">29777.731558565*((RANDBETWEEN(2979,3282)))</f>
        <v>89541638.79660508</v>
      </c>
      <c r="B1363">
        <v>166444955.14337805</v>
      </c>
    </row>
    <row r="1364" spans="1:2" x14ac:dyDescent="0.25">
      <c r="A1364">
        <f ca="1">31149.3481656406*((RANDBETWEEN(2979,3282)))</f>
        <v>98026998.677271023</v>
      </c>
      <c r="B1364">
        <v>166907548.13933936</v>
      </c>
    </row>
    <row r="1365" spans="1:2" x14ac:dyDescent="0.25">
      <c r="A1365">
        <f ca="1">38341.5159116587*((RANDBETWEEN(2979,3282)))</f>
        <v>115062889.25088774</v>
      </c>
      <c r="B1365">
        <v>174980245.83403277</v>
      </c>
    </row>
    <row r="1366" spans="1:2" x14ac:dyDescent="0.25">
      <c r="A1366">
        <f ca="1">36391.4833562528*((RANDBETWEEN(2979,3282)))</f>
        <v>117580882.72405276</v>
      </c>
      <c r="B1366">
        <v>154254846.37008411</v>
      </c>
    </row>
    <row r="1367" spans="1:2" x14ac:dyDescent="0.25">
      <c r="A1367">
        <f ca="1">31635.467198073*((RANDBETWEEN(2979,3282)))</f>
        <v>101549849.70581427</v>
      </c>
      <c r="B1367">
        <v>155058886.83571607</v>
      </c>
    </row>
    <row r="1368" spans="1:2" x14ac:dyDescent="0.25">
      <c r="A1368">
        <f ca="1">32714.1290426553*((RANDBETWEEN(2979,3282)))</f>
        <v>103834645.58138783</v>
      </c>
      <c r="B1368">
        <v>149632991.99883011</v>
      </c>
    </row>
    <row r="1369" spans="1:2" x14ac:dyDescent="0.25">
      <c r="A1369">
        <f ca="1">29298.9848431583*((RANDBETWEEN(2979,3282)))</f>
        <v>89127511.892887577</v>
      </c>
      <c r="B1369">
        <v>150219163.14409459</v>
      </c>
    </row>
    <row r="1370" spans="1:2" x14ac:dyDescent="0.25">
      <c r="A1370">
        <f ca="1">35621.0851409987*((RANDBETWEEN(2979,3282)))</f>
        <v>111992691.68329982</v>
      </c>
      <c r="B1370">
        <v>174104275.92392629</v>
      </c>
    </row>
    <row r="1371" spans="1:2" x14ac:dyDescent="0.25">
      <c r="A1371">
        <f ca="1">32747.2552843211*((RANDBETWEEN(2979,3282)))</f>
        <v>99649897.830189034</v>
      </c>
      <c r="B1371">
        <v>145234943.8356474</v>
      </c>
    </row>
    <row r="1372" spans="1:2" x14ac:dyDescent="0.25">
      <c r="A1372">
        <f ca="1">32085.8872841891*((RANDBETWEEN(2979,3282)))</f>
        <v>103220299.39323632</v>
      </c>
      <c r="B1372">
        <v>170478166.8832179</v>
      </c>
    </row>
    <row r="1373" spans="1:2" x14ac:dyDescent="0.25">
      <c r="A1373">
        <f ca="1">30617.0189078623*((RANDBETWEEN(2979,3282)))</f>
        <v>92983886.423177764</v>
      </c>
      <c r="B1373">
        <v>151429959.18830034</v>
      </c>
    </row>
    <row r="1374" spans="1:2" x14ac:dyDescent="0.25">
      <c r="A1374">
        <f ca="1">34632.693618953*((RANDBETWEEN(2979,3282)))</f>
        <v>109266148.36779667</v>
      </c>
      <c r="B1374">
        <v>153344505.17370284</v>
      </c>
    </row>
    <row r="1375" spans="1:2" x14ac:dyDescent="0.25">
      <c r="A1375">
        <f ca="1">31451.611049098*((RANDBETWEEN(2979,3282)))</f>
        <v>97279832.974860102</v>
      </c>
      <c r="B1375">
        <v>142993967.55127454</v>
      </c>
    </row>
    <row r="1376" spans="1:2" x14ac:dyDescent="0.25">
      <c r="A1376">
        <f ca="1">33513.722189471*((RANDBETWEEN(2979,3282)))</f>
        <v>102417935.01102339</v>
      </c>
      <c r="B1376">
        <v>142961253.44411671</v>
      </c>
    </row>
    <row r="1377" spans="1:2" x14ac:dyDescent="0.25">
      <c r="A1377">
        <f ca="1">38811.4230928072*((RANDBETWEEN(2979,3282)))</f>
        <v>116861194.93244252</v>
      </c>
      <c r="B1377">
        <v>200392800.79717314</v>
      </c>
    </row>
    <row r="1378" spans="1:2" x14ac:dyDescent="0.25">
      <c r="A1378">
        <f ca="1">29142.3478247173*((RANDBETWEEN(2979,3282)))</f>
        <v>94916626.865104139</v>
      </c>
      <c r="B1378">
        <v>186636183.51518816</v>
      </c>
    </row>
    <row r="1379" spans="1:2" x14ac:dyDescent="0.25">
      <c r="A1379">
        <f ca="1">34167.0067207559*((RANDBETWEEN(2979,3282)))</f>
        <v>104141036.48486397</v>
      </c>
      <c r="B1379">
        <v>182622170.67843828</v>
      </c>
    </row>
    <row r="1380" spans="1:2" x14ac:dyDescent="0.25">
      <c r="A1380">
        <f ca="1">32364.4813871842*((RANDBETWEEN(2979,3282)))</f>
        <v>102757228.40430999</v>
      </c>
      <c r="B1380">
        <v>146542807.61019182</v>
      </c>
    </row>
    <row r="1381" spans="1:2" x14ac:dyDescent="0.25">
      <c r="A1381">
        <f ca="1">42580.2683361577*((RANDBETWEEN(2979,3282)))</f>
        <v>134936870.35728374</v>
      </c>
      <c r="B1381">
        <v>191971509.5192135</v>
      </c>
    </row>
    <row r="1382" spans="1:2" x14ac:dyDescent="0.25">
      <c r="A1382">
        <f ca="1">41383.0471181212*((RANDBETWEEN(2979,3282)))</f>
        <v>133956923.52135848</v>
      </c>
      <c r="B1382">
        <v>163463805.60814053</v>
      </c>
    </row>
    <row r="1383" spans="1:2" x14ac:dyDescent="0.25">
      <c r="A1383">
        <f ca="1">31226.4123742109*((RANDBETWEEN(2979,3282)))</f>
        <v>98175840.504519045</v>
      </c>
      <c r="B1383">
        <v>153946407.75439364</v>
      </c>
    </row>
    <row r="1384" spans="1:2" x14ac:dyDescent="0.25">
      <c r="A1384">
        <f ca="1">31295.7553404506*((RANDBETWEEN(2979,3282)))</f>
        <v>98299967.524355292</v>
      </c>
      <c r="B1384">
        <v>173469384.72440389</v>
      </c>
    </row>
    <row r="1385" spans="1:2" x14ac:dyDescent="0.25">
      <c r="A1385">
        <f ca="1">34896.3472727596*((RANDBETWEEN(2979,3282)))</f>
        <v>110795902.59101157</v>
      </c>
      <c r="B1385">
        <v>159294323.92278761</v>
      </c>
    </row>
    <row r="1386" spans="1:2" x14ac:dyDescent="0.25">
      <c r="A1386">
        <f ca="1">32819.9480866318*((RANDBETWEEN(2979,3282)))</f>
        <v>101216719.89917237</v>
      </c>
      <c r="B1386">
        <v>171346813.32014376</v>
      </c>
    </row>
    <row r="1387" spans="1:2" x14ac:dyDescent="0.25">
      <c r="A1387">
        <f ca="1">31991.9071107288*((RANDBETWEEN(2979,3282)))</f>
        <v>96743527.102843881</v>
      </c>
      <c r="B1387">
        <v>166320381.70808396</v>
      </c>
    </row>
    <row r="1388" spans="1:2" x14ac:dyDescent="0.25">
      <c r="A1388">
        <f ca="1">35134.915396072*((RANDBETWEEN(2979,3282)))</f>
        <v>111166872.31317176</v>
      </c>
      <c r="B1388">
        <v>149473871.5671488</v>
      </c>
    </row>
    <row r="1389" spans="1:2" x14ac:dyDescent="0.25">
      <c r="A1389">
        <f ca="1">37255.987664781*((RANDBETWEEN(2979,3282)))</f>
        <v>111581683.05601917</v>
      </c>
      <c r="B1389">
        <v>199090454.55376267</v>
      </c>
    </row>
    <row r="1390" spans="1:2" x14ac:dyDescent="0.25">
      <c r="A1390">
        <f ca="1">27653.3811848062*((RANDBETWEEN(2979,3282)))</f>
        <v>87301724.400433302</v>
      </c>
      <c r="B1390">
        <v>159900132.97123209</v>
      </c>
    </row>
    <row r="1391" spans="1:2" x14ac:dyDescent="0.25">
      <c r="A1391">
        <f ca="1">32446.6049687512*((RANDBETWEEN(2979,3282)))</f>
        <v>100746708.42797238</v>
      </c>
      <c r="B1391">
        <v>145873446.77053303</v>
      </c>
    </row>
    <row r="1392" spans="1:2" x14ac:dyDescent="0.25">
      <c r="A1392">
        <f ca="1">36373.7054143238*((RANDBETWEEN(2979,3282)))</f>
        <v>119051137.82108191</v>
      </c>
      <c r="B1392">
        <v>150079963.79380795</v>
      </c>
    </row>
    <row r="1393" spans="1:2" x14ac:dyDescent="0.25">
      <c r="A1393">
        <f ca="1">31098.5388064662*((RANDBETWEEN(2979,3282)))</f>
        <v>96032287.834367588</v>
      </c>
      <c r="B1393">
        <v>148863499.83318371</v>
      </c>
    </row>
    <row r="1394" spans="1:2" x14ac:dyDescent="0.25">
      <c r="A1394">
        <f ca="1">31989.4006250281*((RANDBETWEEN(2979,3282)))</f>
        <v>97791597.710710913</v>
      </c>
      <c r="B1394">
        <v>158395666.54355872</v>
      </c>
    </row>
    <row r="1395" spans="1:2" x14ac:dyDescent="0.25">
      <c r="A1395">
        <f ca="1">34476.9824040385*((RANDBETWEEN(2979,3282)))</f>
        <v>109705758.00965045</v>
      </c>
      <c r="B1395">
        <v>193037039.97506163</v>
      </c>
    </row>
    <row r="1396" spans="1:2" x14ac:dyDescent="0.25">
      <c r="A1396">
        <f ca="1">36491.5888898913*((RANDBETWEEN(2979,3282)))</f>
        <v>114583589.11425857</v>
      </c>
      <c r="B1396">
        <v>149267070.81070566</v>
      </c>
    </row>
    <row r="1397" spans="1:2" x14ac:dyDescent="0.25">
      <c r="A1397">
        <f ca="1">32918.5298637353*((RANDBETWEEN(2979,3282)))</f>
        <v>105339295.56395312</v>
      </c>
      <c r="B1397">
        <v>170910811.97085416</v>
      </c>
    </row>
    <row r="1398" spans="1:2" x14ac:dyDescent="0.25">
      <c r="A1398">
        <f ca="1">29777.4620880124*((RANDBETWEEN(2979,3282)))</f>
        <v>94245667.508559197</v>
      </c>
      <c r="B1398">
        <v>168418009.23556918</v>
      </c>
    </row>
    <row r="1399" spans="1:2" x14ac:dyDescent="0.25">
      <c r="A1399">
        <f ca="1">37253.8439526553*((RANDBETWEEN(2979,3282)))</f>
        <v>119435823.71221305</v>
      </c>
      <c r="B1399">
        <v>182720617.68631262</v>
      </c>
    </row>
    <row r="1400" spans="1:2" x14ac:dyDescent="0.25">
      <c r="A1400">
        <f ca="1">36755.0644983471*((RANDBETWEEN(2979,3282)))</f>
        <v>115815208.2342916</v>
      </c>
      <c r="B1400">
        <v>174126978.40829694</v>
      </c>
    </row>
    <row r="1401" spans="1:2" x14ac:dyDescent="0.25">
      <c r="A1401">
        <f ca="1">29519.884115743*((RANDBETWEEN(2979,3282)))</f>
        <v>90626044.235330969</v>
      </c>
      <c r="B1401">
        <v>147583917.40877095</v>
      </c>
    </row>
    <row r="1402" spans="1:2" x14ac:dyDescent="0.25">
      <c r="A1402">
        <f ca="1">30431.7483526901*((RANDBETWEEN(2979,3282)))</f>
        <v>93212445.204289764</v>
      </c>
      <c r="B1402">
        <v>191459460.20429254</v>
      </c>
    </row>
    <row r="1403" spans="1:2" x14ac:dyDescent="0.25">
      <c r="A1403">
        <f ca="1">28926.1116028284*((RANDBETWEEN(2979,3282)))</f>
        <v>88340344.835037917</v>
      </c>
      <c r="B1403">
        <v>192585974.13518029</v>
      </c>
    </row>
    <row r="1404" spans="1:2" x14ac:dyDescent="0.25">
      <c r="A1404">
        <f ca="1">32156.5989467922*((RANDBETWEEN(2979,3282)))</f>
        <v>96180387.449855596</v>
      </c>
      <c r="B1404">
        <v>184390086.41851532</v>
      </c>
    </row>
    <row r="1405" spans="1:2" x14ac:dyDescent="0.25">
      <c r="A1405">
        <f ca="1">30529.4677447903*((RANDBETWEEN(2979,3282)))</f>
        <v>98091179.864011362</v>
      </c>
      <c r="B1405">
        <v>144042158.00152141</v>
      </c>
    </row>
    <row r="1406" spans="1:2" x14ac:dyDescent="0.25">
      <c r="A1406">
        <f ca="1">30409.8252842483*((RANDBETWEEN(2979,3282)))</f>
        <v>97341850.734878764</v>
      </c>
      <c r="B1406">
        <v>175599166.88339084</v>
      </c>
    </row>
    <row r="1407" spans="1:2" x14ac:dyDescent="0.25">
      <c r="A1407">
        <f ca="1">32181.9023944478*((RANDBETWEEN(2979,3282)))</f>
        <v>104687728.48913866</v>
      </c>
      <c r="B1407">
        <v>159840621.18432096</v>
      </c>
    </row>
    <row r="1408" spans="1:2" x14ac:dyDescent="0.25">
      <c r="A1408">
        <f ca="1">34514.0444535662*((RANDBETWEEN(2979,3282)))</f>
        <v>112412242.78526507</v>
      </c>
      <c r="B1408">
        <v>150214770.64617378</v>
      </c>
    </row>
    <row r="1409" spans="1:2" x14ac:dyDescent="0.25">
      <c r="A1409">
        <f ca="1">38125.0761729631*((RANDBETWEEN(2979,3282)))</f>
        <v>120322740.40187158</v>
      </c>
      <c r="B1409">
        <v>155871933.48726875</v>
      </c>
    </row>
    <row r="1410" spans="1:2" x14ac:dyDescent="0.25">
      <c r="A1410">
        <f ca="1">35175.4632780448*((RANDBETWEEN(2979,3282)))</f>
        <v>108481128.74949001</v>
      </c>
      <c r="B1410">
        <v>199111661.00930363</v>
      </c>
    </row>
    <row r="1411" spans="1:2" x14ac:dyDescent="0.25">
      <c r="A1411">
        <f ca="1">32044.88881861*((RANDBETWEEN(2979,3282)))</f>
        <v>100556861.11279826</v>
      </c>
      <c r="B1411">
        <v>151074586.11396927</v>
      </c>
    </row>
    <row r="1412" spans="1:2" x14ac:dyDescent="0.25">
      <c r="A1412">
        <f ca="1">30757.0897762137*((RANDBETWEEN(2979,3282)))</f>
        <v>91809912.981997922</v>
      </c>
      <c r="B1412">
        <v>159098846.53129435</v>
      </c>
    </row>
    <row r="1413" spans="1:2" x14ac:dyDescent="0.25">
      <c r="A1413">
        <f ca="1">30117.2294962212*((RANDBETWEEN(2979,3282)))</f>
        <v>96796775.600854829</v>
      </c>
      <c r="B1413">
        <v>201686355.13603458</v>
      </c>
    </row>
    <row r="1414" spans="1:2" x14ac:dyDescent="0.25">
      <c r="A1414">
        <f ca="1">30271.50459751*((RANDBETWEEN(2979,3282)))</f>
        <v>99290535.079832748</v>
      </c>
      <c r="B1414">
        <v>185352025.2801007</v>
      </c>
    </row>
    <row r="1415" spans="1:2" x14ac:dyDescent="0.25">
      <c r="A1415">
        <f ca="1">28143.8307690608*((RANDBETWEEN(2979,3282)))</f>
        <v>89497381.845613435</v>
      </c>
      <c r="B1415">
        <v>169447011.20766285</v>
      </c>
    </row>
    <row r="1416" spans="1:2" x14ac:dyDescent="0.25">
      <c r="A1416">
        <f ca="1">30812.0087224161*((RANDBETWEEN(2979,3282)))</f>
        <v>97057827.475610778</v>
      </c>
      <c r="B1416">
        <v>195568426.83563751</v>
      </c>
    </row>
    <row r="1417" spans="1:2" x14ac:dyDescent="0.25">
      <c r="A1417">
        <f ca="1">37002.2997336138*((RANDBETWEEN(2979,3282)))</f>
        <v>114078090.07873133</v>
      </c>
      <c r="B1417">
        <v>159407280.63424149</v>
      </c>
    </row>
    <row r="1418" spans="1:2" x14ac:dyDescent="0.25">
      <c r="A1418">
        <f ca="1">29732.8764963256*((RANDBETWEEN(2979,3282)))</f>
        <v>89436492.500947401</v>
      </c>
      <c r="B1418">
        <v>196120858.12078434</v>
      </c>
    </row>
    <row r="1419" spans="1:2" x14ac:dyDescent="0.25">
      <c r="A1419">
        <f ca="1">33479.6272515173*((RANDBETWEEN(2979,3282)))</f>
        <v>100606279.89080946</v>
      </c>
      <c r="B1419">
        <v>146754433.21246013</v>
      </c>
    </row>
    <row r="1420" spans="1:2" x14ac:dyDescent="0.25">
      <c r="A1420">
        <f ca="1">25966.9840126564*((RANDBETWEEN(2979,3282)))</f>
        <v>80108145.679045126</v>
      </c>
      <c r="B1420">
        <v>153685331.98927319</v>
      </c>
    </row>
    <row r="1421" spans="1:2" x14ac:dyDescent="0.25">
      <c r="A1421">
        <f ca="1">32982.570840481*((RANDBETWEEN(2979,3282)))</f>
        <v>106104930.39382738</v>
      </c>
      <c r="B1421">
        <v>171890207.15610582</v>
      </c>
    </row>
    <row r="1422" spans="1:2" x14ac:dyDescent="0.25">
      <c r="A1422">
        <f ca="1">35642.366952736*((RANDBETWEEN(2979,3282)))</f>
        <v>107069670.326019</v>
      </c>
      <c r="B1422">
        <v>162974642.49600592</v>
      </c>
    </row>
    <row r="1423" spans="1:2" x14ac:dyDescent="0.25">
      <c r="A1423">
        <f ca="1">36486.3776877843*((RANDBETWEEN(2979,3282)))</f>
        <v>113873984.76357485</v>
      </c>
      <c r="B1423">
        <v>176589830.54108855</v>
      </c>
    </row>
    <row r="1424" spans="1:2" x14ac:dyDescent="0.25">
      <c r="A1424">
        <f ca="1">31486.3474344298*((RANDBETWEEN(2979,3282)))</f>
        <v>100032125.79918362</v>
      </c>
      <c r="B1424">
        <v>200960002.88964865</v>
      </c>
    </row>
    <row r="1425" spans="1:2" x14ac:dyDescent="0.25">
      <c r="A1425">
        <f ca="1">37316.3786731022*((RANDBETWEEN(2979,3282)))</f>
        <v>117136112.65486793</v>
      </c>
      <c r="B1425">
        <v>145264954.31033882</v>
      </c>
    </row>
    <row r="1426" spans="1:2" x14ac:dyDescent="0.25">
      <c r="A1426">
        <f ca="1">30694.4376947691*((RANDBETWEEN(2979,3282)))</f>
        <v>95214145.729173601</v>
      </c>
      <c r="B1426">
        <v>183146799.43950978</v>
      </c>
    </row>
    <row r="1427" spans="1:2" x14ac:dyDescent="0.25">
      <c r="A1427">
        <f ca="1">38392.8610275201*((RANDBETWEEN(2979,3282)))</f>
        <v>125122334.088688</v>
      </c>
      <c r="B1427">
        <v>145590706.12226024</v>
      </c>
    </row>
    <row r="1428" spans="1:2" x14ac:dyDescent="0.25">
      <c r="A1428">
        <f ca="1">37961.7926266684*((RANDBETWEEN(2979,3282)))</f>
        <v>120528691.58967239</v>
      </c>
      <c r="B1428">
        <v>162626887.28931531</v>
      </c>
    </row>
    <row r="1429" spans="1:2" x14ac:dyDescent="0.25">
      <c r="A1429">
        <f ca="1">28867.207217912*((RANDBETWEEN(2979,3282)))</f>
        <v>89834748.862142116</v>
      </c>
      <c r="B1429">
        <v>151616453.31287202</v>
      </c>
    </row>
    <row r="1430" spans="1:2" x14ac:dyDescent="0.25">
      <c r="A1430">
        <f ca="1">31244.1278942343*((RANDBETWEEN(2979,3282)))</f>
        <v>96450622.809501156</v>
      </c>
      <c r="B1430">
        <v>169500453.22709978</v>
      </c>
    </row>
    <row r="1431" spans="1:2" x14ac:dyDescent="0.25">
      <c r="A1431">
        <f ca="1">32608.0125888786*((RANDBETWEEN(2979,3282)))</f>
        <v>102160903.44095673</v>
      </c>
      <c r="B1431">
        <v>150340607.0035426</v>
      </c>
    </row>
    <row r="1432" spans="1:2" x14ac:dyDescent="0.25">
      <c r="A1432">
        <f ca="1">30381.2117124006*((RANDBETWEEN(2979,3282)))</f>
        <v>95670435.682349414</v>
      </c>
      <c r="B1432">
        <v>154262095.57032564</v>
      </c>
    </row>
    <row r="1433" spans="1:2" x14ac:dyDescent="0.25">
      <c r="A1433">
        <f ca="1">30901.2696739688*((RANDBETWEEN(2979,3282)))</f>
        <v>101263460.72159569</v>
      </c>
      <c r="B1433">
        <v>172802062.60734838</v>
      </c>
    </row>
    <row r="1434" spans="1:2" x14ac:dyDescent="0.25">
      <c r="A1434">
        <f ca="1">39886.3048081675*((RANDBETWEEN(2979,3282)))</f>
        <v>128035038.43421754</v>
      </c>
      <c r="B1434">
        <v>143429160.53998098</v>
      </c>
    </row>
    <row r="1435" spans="1:2" x14ac:dyDescent="0.25">
      <c r="A1435">
        <f ca="1">31573.0295726277*((RANDBETWEEN(2979,3282)))</f>
        <v>97339650.172411263</v>
      </c>
      <c r="B1435">
        <v>170546856.91209954</v>
      </c>
    </row>
    <row r="1436" spans="1:2" x14ac:dyDescent="0.25">
      <c r="A1436">
        <f ca="1">36668.5721518909*((RANDBETWEEN(2979,3282)))</f>
        <v>112755859.36706437</v>
      </c>
      <c r="B1436">
        <v>169205584.9834497</v>
      </c>
    </row>
    <row r="1437" spans="1:2" x14ac:dyDescent="0.25">
      <c r="A1437">
        <f ca="1">38597.7007318862*((RANDBETWEEN(2979,3282)))</f>
        <v>117105424.02054267</v>
      </c>
      <c r="B1437">
        <v>201014085.10507441</v>
      </c>
    </row>
    <row r="1438" spans="1:2" x14ac:dyDescent="0.25">
      <c r="A1438">
        <f ca="1">29632.1333062502*((RANDBETWEEN(2979,3282)))</f>
        <v>97223029.377806976</v>
      </c>
      <c r="B1438">
        <v>199380135.88874319</v>
      </c>
    </row>
    <row r="1439" spans="1:2" x14ac:dyDescent="0.25">
      <c r="A1439">
        <f ca="1">37482.9111829434*((RANDBETWEEN(2979,3282)))</f>
        <v>114922605.68690459</v>
      </c>
      <c r="B1439">
        <v>163455362.53802499</v>
      </c>
    </row>
    <row r="1440" spans="1:2" x14ac:dyDescent="0.25">
      <c r="A1440">
        <f ca="1">31743.8023966948*((RANDBETWEEN(2979,3282)))</f>
        <v>97199522.938679442</v>
      </c>
      <c r="B1440">
        <v>148319814.61011732</v>
      </c>
    </row>
    <row r="1441" spans="1:2" x14ac:dyDescent="0.25">
      <c r="A1441">
        <f ca="1">34972.0704161758*((RANDBETWEEN(2979,3282)))</f>
        <v>107154423.75516275</v>
      </c>
      <c r="B1441">
        <v>154505763.77325904</v>
      </c>
    </row>
    <row r="1442" spans="1:2" x14ac:dyDescent="0.25">
      <c r="A1442">
        <f ca="1">28882.7523169562*((RANDBETWEEN(2979,3282)))</f>
        <v>89218821.907077804</v>
      </c>
      <c r="B1442">
        <v>181867518.32888234</v>
      </c>
    </row>
    <row r="1443" spans="1:2" x14ac:dyDescent="0.25">
      <c r="A1443">
        <f ca="1">29731.5224726803*((RANDBETWEEN(2979,3282)))</f>
        <v>94813825.165377438</v>
      </c>
      <c r="B1443">
        <v>148139348.14396921</v>
      </c>
    </row>
    <row r="1444" spans="1:2" x14ac:dyDescent="0.25">
      <c r="A1444">
        <f ca="1">29768.1744750454*((RANDBETWEEN(2979,3282)))</f>
        <v>90525018.578613088</v>
      </c>
      <c r="B1444">
        <v>151159738.61999527</v>
      </c>
    </row>
    <row r="1445" spans="1:2" x14ac:dyDescent="0.25">
      <c r="A1445">
        <f ca="1">32137.1844095138*((RANDBETWEEN(2979,3282)))</f>
        <v>99303899.8253977</v>
      </c>
      <c r="B1445">
        <v>148272658.37220815</v>
      </c>
    </row>
    <row r="1446" spans="1:2" x14ac:dyDescent="0.25">
      <c r="A1446">
        <f ca="1">31012.416689377*((RANDBETWEEN(2979,3282)))</f>
        <v>95239131.653076619</v>
      </c>
      <c r="B1446">
        <v>181919972.78050369</v>
      </c>
    </row>
    <row r="1447" spans="1:2" x14ac:dyDescent="0.25">
      <c r="A1447">
        <f ca="1">31734.5937570921*((RANDBETWEEN(2979,3282)))</f>
        <v>103930794.55447647</v>
      </c>
      <c r="B1447">
        <v>168688523.75431708</v>
      </c>
    </row>
    <row r="1448" spans="1:2" x14ac:dyDescent="0.25">
      <c r="A1448">
        <f ca="1">30398.6852263497*((RANDBETWEEN(2979,3282)))</f>
        <v>91074460.938143656</v>
      </c>
      <c r="B1448">
        <v>174114448.389963</v>
      </c>
    </row>
    <row r="1449" spans="1:2" x14ac:dyDescent="0.25">
      <c r="A1449">
        <f ca="1">37103.2638103238*((RANDBETWEEN(2979,3282)))</f>
        <v>116763971.21108897</v>
      </c>
      <c r="B1449">
        <v>175500081.46541685</v>
      </c>
    </row>
    <row r="1450" spans="1:2" x14ac:dyDescent="0.25">
      <c r="A1450">
        <f ca="1">33329.5973647596*((RANDBETWEEN(2979,3282)))</f>
        <v>102155215.92298815</v>
      </c>
      <c r="B1450">
        <v>148752835.21752748</v>
      </c>
    </row>
    <row r="1451" spans="1:2" x14ac:dyDescent="0.25">
      <c r="A1451">
        <f ca="1">30076.6555076432*((RANDBETWEEN(2979,3282)))</f>
        <v>97388210.533748761</v>
      </c>
      <c r="B1451">
        <v>150105993.79893771</v>
      </c>
    </row>
    <row r="1452" spans="1:2" x14ac:dyDescent="0.25">
      <c r="A1452">
        <f ca="1">35979.0833132281*((RANDBETWEEN(2979,3282)))</f>
        <v>112146802.68733211</v>
      </c>
      <c r="B1452">
        <v>174066952.69075298</v>
      </c>
    </row>
    <row r="1453" spans="1:2" x14ac:dyDescent="0.25">
      <c r="A1453">
        <f ca="1">31689.3809835851*((RANDBETWEEN(2979,3282)))</f>
        <v>102451768.7199305</v>
      </c>
      <c r="B1453">
        <v>182840792.06042328</v>
      </c>
    </row>
    <row r="1454" spans="1:2" x14ac:dyDescent="0.25">
      <c r="A1454">
        <f ca="1">30637.1420694252*((RANDBETWEEN(2979,3282)))</f>
        <v>91911426.208275542</v>
      </c>
      <c r="B1454">
        <v>194144407.33744672</v>
      </c>
    </row>
    <row r="1455" spans="1:2" x14ac:dyDescent="0.25">
      <c r="A1455">
        <f ca="1">32703.2704057133*((RANDBETWEEN(2979,3282)))</f>
        <v>104781278.37990546</v>
      </c>
      <c r="B1455">
        <v>191281819.26649791</v>
      </c>
    </row>
    <row r="1456" spans="1:2" x14ac:dyDescent="0.25">
      <c r="A1456">
        <f ca="1">37419.9459169174*((RANDBETWEEN(2979,3282)))</f>
        <v>111773378.45383239</v>
      </c>
      <c r="B1456">
        <v>194781246.52650672</v>
      </c>
    </row>
    <row r="1457" spans="1:2" x14ac:dyDescent="0.25">
      <c r="A1457">
        <f ca="1">42639.7463620692*((RANDBETWEEN(2979,3282)))</f>
        <v>133462406.1132765</v>
      </c>
      <c r="B1457">
        <v>162156926.99140048</v>
      </c>
    </row>
    <row r="1458" spans="1:2" x14ac:dyDescent="0.25">
      <c r="A1458">
        <f ca="1">33495.9175432529*((RANDBETWEEN(2979,3282)))</f>
        <v>107454903.47875537</v>
      </c>
      <c r="B1458">
        <v>152689495.56806582</v>
      </c>
    </row>
    <row r="1459" spans="1:2" x14ac:dyDescent="0.25">
      <c r="A1459">
        <f ca="1">35512.4042550292*((RANDBETWEEN(2979,3282)))</f>
        <v>115770437.87139533</v>
      </c>
      <c r="B1459">
        <v>152896267.78961459</v>
      </c>
    </row>
    <row r="1460" spans="1:2" x14ac:dyDescent="0.25">
      <c r="A1460">
        <f ca="1">33192.6614406448*((RANDBETWEEN(2979,3282)))</f>
        <v>101868277.96133904</v>
      </c>
      <c r="B1460">
        <v>200003596.43072301</v>
      </c>
    </row>
    <row r="1461" spans="1:2" x14ac:dyDescent="0.25">
      <c r="A1461">
        <f ca="1">34568.176511711*((RANDBETWEEN(2979,3282)))</f>
        <v>110099642.18979959</v>
      </c>
      <c r="B1461">
        <v>188287370.15080315</v>
      </c>
    </row>
    <row r="1462" spans="1:2" x14ac:dyDescent="0.25">
      <c r="A1462">
        <f ca="1">30084.239200293*((RANDBETWEEN(2979,3282)))</f>
        <v>93983163.261715293</v>
      </c>
      <c r="B1462">
        <v>163232269.61350402</v>
      </c>
    </row>
    <row r="1463" spans="1:2" x14ac:dyDescent="0.25">
      <c r="A1463">
        <f ca="1">30849.5054356121*((RANDBETWEEN(2979,3282)))</f>
        <v>98841815.41570121</v>
      </c>
      <c r="B1463">
        <v>159339393.85988501</v>
      </c>
    </row>
    <row r="1464" spans="1:2" x14ac:dyDescent="0.25">
      <c r="A1464">
        <f ca="1">32746.3199907774*((RANDBETWEEN(2979,3282)))</f>
        <v>104493507.09057063</v>
      </c>
      <c r="B1464">
        <v>179492872.94507176</v>
      </c>
    </row>
    <row r="1465" spans="1:2" x14ac:dyDescent="0.25">
      <c r="A1465">
        <f ca="1">31341.3086191291*((RANDBETWEEN(2979,3282)))</f>
        <v>95590991.288343608</v>
      </c>
      <c r="B1465">
        <v>151294421.5093807</v>
      </c>
    </row>
    <row r="1466" spans="1:2" x14ac:dyDescent="0.25">
      <c r="A1466">
        <f ca="1">31193.6273733283*((RANDBETWEEN(2979,3282)))</f>
        <v>99507671.320917383</v>
      </c>
      <c r="B1466">
        <v>169583910.24914938</v>
      </c>
    </row>
    <row r="1467" spans="1:2" x14ac:dyDescent="0.25">
      <c r="A1467">
        <f ca="1">30474.7757484754*((RANDBETWEEN(2979,3282)))</f>
        <v>91881448.881653205</v>
      </c>
      <c r="B1467">
        <v>151310636.99641645</v>
      </c>
    </row>
    <row r="1468" spans="1:2" x14ac:dyDescent="0.25">
      <c r="A1468">
        <f ca="1">37225.0283105977*((RANDBETWEEN(2979,3282)))</f>
        <v>118524490.14094312</v>
      </c>
      <c r="B1468">
        <v>183899259.25374183</v>
      </c>
    </row>
    <row r="1469" spans="1:2" x14ac:dyDescent="0.25">
      <c r="A1469">
        <f ca="1">29569.1819983752*((RANDBETWEEN(2979,3282)))</f>
        <v>93083784.93088524</v>
      </c>
      <c r="B1469">
        <v>143681087.69466233</v>
      </c>
    </row>
    <row r="1470" spans="1:2" x14ac:dyDescent="0.25">
      <c r="A1470">
        <f ca="1">33894.8323561626*((RANDBETWEEN(2979,3282)))</f>
        <v>105107875.13646032</v>
      </c>
      <c r="B1470">
        <v>164813100.7440781</v>
      </c>
    </row>
    <row r="1471" spans="1:2" x14ac:dyDescent="0.25">
      <c r="A1471">
        <f ca="1">37440.6251594426*((RANDBETWEEN(2979,3282)))</f>
        <v>117750766.12644695</v>
      </c>
      <c r="B1471">
        <v>149216908.0511421</v>
      </c>
    </row>
    <row r="1472" spans="1:2" x14ac:dyDescent="0.25">
      <c r="A1472">
        <f ca="1">34142.0514412782*((RANDBETWEEN(2979,3282)))</f>
        <v>105123376.38769563</v>
      </c>
      <c r="B1472">
        <v>158033896.69194677</v>
      </c>
    </row>
    <row r="1473" spans="1:2" x14ac:dyDescent="0.25">
      <c r="A1473">
        <f ca="1">35176.2614037004*((RANDBETWEEN(2979,3282)))</f>
        <v>110488637.06902285</v>
      </c>
      <c r="B1473">
        <v>154525134.46564308</v>
      </c>
    </row>
    <row r="1474" spans="1:2" x14ac:dyDescent="0.25">
      <c r="A1474">
        <f ca="1">34995.6739219289*((RANDBETWEEN(2979,3282)))</f>
        <v>112896044.07214263</v>
      </c>
      <c r="B1474">
        <v>202599810.98770067</v>
      </c>
    </row>
    <row r="1475" spans="1:2" x14ac:dyDescent="0.25">
      <c r="A1475">
        <f ca="1">29559.3024821148*((RANDBETWEEN(2979,3282)))</f>
        <v>95506106.319713011</v>
      </c>
      <c r="B1475">
        <v>181382448.34952283</v>
      </c>
    </row>
    <row r="1476" spans="1:2" x14ac:dyDescent="0.25">
      <c r="A1476">
        <f ca="1">41483.6574392449*((RANDBETWEEN(2979,3282)))</f>
        <v>125819933.01322986</v>
      </c>
      <c r="B1476">
        <v>167079766.80233485</v>
      </c>
    </row>
    <row r="1477" spans="1:2" x14ac:dyDescent="0.25">
      <c r="A1477">
        <f ca="1">31652.6302009895*((RANDBETWEEN(2979,3282)))</f>
        <v>95939122.139199287</v>
      </c>
      <c r="B1477">
        <v>147754331.01603371</v>
      </c>
    </row>
    <row r="1478" spans="1:2" x14ac:dyDescent="0.25">
      <c r="A1478">
        <f ca="1">37021.4679745339*((RANDBETWEEN(2979,3282)))</f>
        <v>112508241.17460853</v>
      </c>
      <c r="B1478">
        <v>176789909.92090997</v>
      </c>
    </row>
    <row r="1479" spans="1:2" x14ac:dyDescent="0.25">
      <c r="A1479">
        <f ca="1">32926.6546490952*((RANDBETWEEN(2979,3282)))</f>
        <v>104904321.71201736</v>
      </c>
      <c r="B1479">
        <v>174360136.37625521</v>
      </c>
    </row>
    <row r="1480" spans="1:2" x14ac:dyDescent="0.25">
      <c r="A1480">
        <f ca="1">32098.1964902712*((RANDBETWEEN(2979,3282)))</f>
        <v>99568605.512821242</v>
      </c>
      <c r="B1480">
        <v>146657877.9682188</v>
      </c>
    </row>
    <row r="1481" spans="1:2" x14ac:dyDescent="0.25">
      <c r="A1481">
        <f ca="1">29188.1352603548*((RANDBETWEEN(2979,3282)))</f>
        <v>87827098.998407513</v>
      </c>
      <c r="B1481">
        <v>182276952.03194654</v>
      </c>
    </row>
    <row r="1482" spans="1:2" x14ac:dyDescent="0.25">
      <c r="A1482">
        <f ca="1">35101.0952552991*((RANDBETWEEN(2979,3282)))</f>
        <v>114605076.00855163</v>
      </c>
      <c r="B1482">
        <v>190833868.8428551</v>
      </c>
    </row>
    <row r="1483" spans="1:2" x14ac:dyDescent="0.25">
      <c r="A1483">
        <f ca="1">34816.2214846459*((RANDBETWEEN(2979,3282)))</f>
        <v>112177865.62352915</v>
      </c>
      <c r="B1483">
        <v>153875056.44124246</v>
      </c>
    </row>
    <row r="1484" spans="1:2" x14ac:dyDescent="0.25">
      <c r="A1484">
        <f ca="1">37391.6592657273*((RANDBETWEEN(2979,3282)))</f>
        <v>117634160.04997823</v>
      </c>
      <c r="B1484">
        <v>144528266.83353764</v>
      </c>
    </row>
    <row r="1485" spans="1:2" x14ac:dyDescent="0.25">
      <c r="A1485">
        <f ca="1">30560.2154160133*((RANDBETWEEN(2979,3282)))</f>
        <v>98189972.131650865</v>
      </c>
      <c r="B1485">
        <v>178469484.10548133</v>
      </c>
    </row>
    <row r="1486" spans="1:2" x14ac:dyDescent="0.25">
      <c r="A1486">
        <f ca="1">39997.4906465725*((RANDBETWEEN(2979,3282)))</f>
        <v>128071965.0503253</v>
      </c>
      <c r="B1486">
        <v>173671287.99088156</v>
      </c>
    </row>
    <row r="1487" spans="1:2" x14ac:dyDescent="0.25">
      <c r="A1487">
        <f ca="1">29333.4191297181*((RANDBETWEEN(2979,3282)))</f>
        <v>91314933.750812292</v>
      </c>
      <c r="B1487">
        <v>162750385.37527525</v>
      </c>
    </row>
    <row r="1488" spans="1:2" x14ac:dyDescent="0.25">
      <c r="A1488">
        <f ca="1">36801.7659395527*((RANDBETWEEN(2979,3282)))</f>
        <v>117508038.64499171</v>
      </c>
      <c r="B1488">
        <v>195377239.46947226</v>
      </c>
    </row>
    <row r="1489" spans="1:2" x14ac:dyDescent="0.25">
      <c r="A1489">
        <f ca="1">37564.6244618285*((RANDBETWEEN(2979,3282)))</f>
        <v>114496975.35965331</v>
      </c>
      <c r="B1489">
        <v>193726796.95144075</v>
      </c>
    </row>
    <row r="1490" spans="1:2" x14ac:dyDescent="0.25">
      <c r="A1490">
        <f ca="1">30479.0336931031*((RANDBETWEEN(2979,3282)))</f>
        <v>94393567.347540453</v>
      </c>
      <c r="B1490">
        <v>198825626.63272181</v>
      </c>
    </row>
    <row r="1491" spans="1:2" x14ac:dyDescent="0.25">
      <c r="A1491">
        <f ca="1">31913.9508906048*((RANDBETWEEN(2979,3282)))</f>
        <v>104103307.80515288</v>
      </c>
      <c r="B1491">
        <v>186914230.22956133</v>
      </c>
    </row>
    <row r="1492" spans="1:2" x14ac:dyDescent="0.25">
      <c r="A1492">
        <f ca="1">31441.9530288255*((RANDBETWEEN(2979,3282)))</f>
        <v>96338144.080321431</v>
      </c>
      <c r="B1492">
        <v>144293987.03055054</v>
      </c>
    </row>
    <row r="1493" spans="1:2" x14ac:dyDescent="0.25">
      <c r="A1493">
        <f ca="1">28425.60538474*((RANDBETWEEN(2979,3282)))</f>
        <v>86897075.661150277</v>
      </c>
      <c r="B1493">
        <v>182589335.78532675</v>
      </c>
    </row>
    <row r="1494" spans="1:2" x14ac:dyDescent="0.25">
      <c r="A1494">
        <f ca="1">31072.9578996869*((RANDBETWEEN(2979,3282)))</f>
        <v>99153808.6579009</v>
      </c>
      <c r="B1494">
        <v>158722073.48385781</v>
      </c>
    </row>
    <row r="1495" spans="1:2" x14ac:dyDescent="0.25">
      <c r="A1495">
        <f ca="1">35903.5771363637*((RANDBETWEEN(2979,3282)))</f>
        <v>115789036.26477285</v>
      </c>
      <c r="B1495">
        <v>171697374.2246798</v>
      </c>
    </row>
    <row r="1496" spans="1:2" x14ac:dyDescent="0.25">
      <c r="A1496">
        <f ca="1">31202.538336891*((RANDBETWEEN(2979,3282)))</f>
        <v>95198944.46585454</v>
      </c>
      <c r="B1496">
        <v>168886036.90326166</v>
      </c>
    </row>
    <row r="1497" spans="1:2" x14ac:dyDescent="0.25">
      <c r="A1497">
        <f ca="1">30309.4424389869*((RANDBETWEEN(2979,3282)))</f>
        <v>91958848.359886408</v>
      </c>
      <c r="B1497">
        <v>176385733.47027266</v>
      </c>
    </row>
    <row r="1498" spans="1:2" x14ac:dyDescent="0.25">
      <c r="A1498">
        <f ca="1">33360.5238438615*((RANDBETWEEN(2979,3282)))</f>
        <v>101115747.77074426</v>
      </c>
      <c r="B1498">
        <v>160011504.06258005</v>
      </c>
    </row>
    <row r="1499" spans="1:2" x14ac:dyDescent="0.25">
      <c r="A1499">
        <f ca="1">37606.1057647212*((RANDBETWEEN(2979,3282)))</f>
        <v>117819929.36087163</v>
      </c>
      <c r="B1499">
        <v>148902418.6363436</v>
      </c>
    </row>
    <row r="1500" spans="1:2" x14ac:dyDescent="0.25">
      <c r="A1500">
        <f ca="1">31067.0176833254*((RANDBETWEEN(2979,3282)))</f>
        <v>95375744.287809059</v>
      </c>
      <c r="B1500">
        <v>147289000.83688843</v>
      </c>
    </row>
    <row r="1501" spans="1:2" x14ac:dyDescent="0.25">
      <c r="A1501">
        <f ca="1">39722.069051367*((RANDBETWEEN(2979,3282)))</f>
        <v>121549531.29718287</v>
      </c>
      <c r="B1501">
        <v>155923190.44662365</v>
      </c>
    </row>
    <row r="1502" spans="1:2" x14ac:dyDescent="0.25">
      <c r="A1502">
        <f ca="1">31486.9024499641*((RANDBETWEEN(2979,3282)))</f>
        <v>102867710.30403288</v>
      </c>
      <c r="B1502">
        <v>163620247.76131296</v>
      </c>
    </row>
    <row r="1503" spans="1:2" x14ac:dyDescent="0.25">
      <c r="A1503">
        <f ca="1">34598.8887349119*((RANDBETWEEN(2979,3282)))</f>
        <v>104419446.20196423</v>
      </c>
      <c r="B1503">
        <v>143466588.56765628</v>
      </c>
    </row>
    <row r="1504" spans="1:2" x14ac:dyDescent="0.25">
      <c r="A1504">
        <f ca="1">34412.6577639587*((RANDBETWEEN(2979,3282)))</f>
        <v>109914028.89808397</v>
      </c>
      <c r="B1504">
        <v>182592243.57296431</v>
      </c>
    </row>
    <row r="1505" spans="1:2" x14ac:dyDescent="0.25">
      <c r="A1505">
        <f ca="1">30946.4027813235*((RANDBETWEEN(2979,3282)))</f>
        <v>98161989.622358233</v>
      </c>
      <c r="B1505">
        <v>193851665.77649492</v>
      </c>
    </row>
    <row r="1506" spans="1:2" x14ac:dyDescent="0.25">
      <c r="A1506">
        <f ca="1">38941.2837639132*((RANDBETWEEN(2979,3282)))</f>
        <v>118031031.08842079</v>
      </c>
      <c r="B1506">
        <v>159791313.53388193</v>
      </c>
    </row>
    <row r="1507" spans="1:2" x14ac:dyDescent="0.25">
      <c r="A1507">
        <f ca="1">31472.7814788222*((RANDBETWEEN(2979,3282)))</f>
        <v>99548407.817514494</v>
      </c>
      <c r="B1507">
        <v>151394693.14536101</v>
      </c>
    </row>
    <row r="1508" spans="1:2" x14ac:dyDescent="0.25">
      <c r="A1508">
        <f ca="1">33137.4346655315*((RANDBETWEEN(2979,3282)))</f>
        <v>98915242.476611599</v>
      </c>
      <c r="B1508">
        <v>172238841.69949672</v>
      </c>
    </row>
    <row r="1509" spans="1:2" x14ac:dyDescent="0.25">
      <c r="A1509">
        <f ca="1">30426.8931814182*((RANDBETWEEN(2979,3282)))</f>
        <v>98400572.548706606</v>
      </c>
      <c r="B1509">
        <v>149081714.03798118</v>
      </c>
    </row>
    <row r="1510" spans="1:2" x14ac:dyDescent="0.25">
      <c r="A1510">
        <f ca="1">31802.518533953*((RANDBETWEEN(2979,3282)))</f>
        <v>99923513.233680457</v>
      </c>
      <c r="B1510">
        <v>159186683.46506178</v>
      </c>
    </row>
    <row r="1511" spans="1:2" x14ac:dyDescent="0.25">
      <c r="A1511">
        <f ca="1">31777.2643308727*((RANDBETWEEN(2979,3282)))</f>
        <v>103816322.56896126</v>
      </c>
      <c r="B1511">
        <v>192514874.20506972</v>
      </c>
    </row>
    <row r="1512" spans="1:2" x14ac:dyDescent="0.25">
      <c r="A1512">
        <f ca="1">28863.4748692338*((RANDBETWEEN(2979,3282)))</f>
        <v>87802690.552209109</v>
      </c>
      <c r="B1512">
        <v>182725837.37729231</v>
      </c>
    </row>
    <row r="1513" spans="1:2" x14ac:dyDescent="0.25">
      <c r="A1513">
        <f ca="1">30253.5859899941*((RANDBETWEEN(2979,3282)))</f>
        <v>90548982.868052214</v>
      </c>
      <c r="B1513">
        <v>147751166.3886323</v>
      </c>
    </row>
    <row r="1514" spans="1:2" x14ac:dyDescent="0.25">
      <c r="A1514">
        <f ca="1">36894.8346226585*((RANDBETWEEN(2979,3282)))</f>
        <v>115074989.18807201</v>
      </c>
      <c r="B1514">
        <v>155891178.15014717</v>
      </c>
    </row>
    <row r="1515" spans="1:2" x14ac:dyDescent="0.25">
      <c r="A1515">
        <f ca="1">30100.8639840484*((RANDBETWEEN(2979,3282)))</f>
        <v>91807635.151347607</v>
      </c>
      <c r="B1515">
        <v>197311146.09336531</v>
      </c>
    </row>
    <row r="1516" spans="1:2" x14ac:dyDescent="0.25">
      <c r="A1516">
        <f ca="1">29710.8310887771*((RANDBETWEEN(2979,3282)))</f>
        <v>89756420.71919547</v>
      </c>
      <c r="B1516">
        <v>157951693.4484252</v>
      </c>
    </row>
    <row r="1517" spans="1:2" x14ac:dyDescent="0.25">
      <c r="A1517">
        <f ca="1">31212.5205629771*((RANDBETWEEN(2979,3282)))</f>
        <v>93075736.318797797</v>
      </c>
      <c r="B1517">
        <v>163578866.1234284</v>
      </c>
    </row>
    <row r="1518" spans="1:2" x14ac:dyDescent="0.25">
      <c r="A1518">
        <f ca="1">28916.4539108622*((RANDBETWEEN(2979,3282)))</f>
        <v>89091594.499366537</v>
      </c>
      <c r="B1518">
        <v>191246608.9066197</v>
      </c>
    </row>
    <row r="1519" spans="1:2" x14ac:dyDescent="0.25">
      <c r="A1519">
        <f ca="1">35006.7890917648*((RANDBETWEEN(2979,3282)))</f>
        <v>107120774.62080032</v>
      </c>
      <c r="B1519">
        <v>161294242.54793859</v>
      </c>
    </row>
    <row r="1520" spans="1:2" x14ac:dyDescent="0.25">
      <c r="A1520">
        <f ca="1">31105.1300370643*((RANDBETWEEN(2979,3282)))</f>
        <v>94404069.662490249</v>
      </c>
      <c r="B1520">
        <v>165484808.74032414</v>
      </c>
    </row>
    <row r="1521" spans="1:2" x14ac:dyDescent="0.25">
      <c r="A1521">
        <f ca="1">31892.7522059012*((RANDBETWEEN(2979,3282)))</f>
        <v>97687500.006675363</v>
      </c>
      <c r="B1521">
        <v>147721059.32351172</v>
      </c>
    </row>
    <row r="1522" spans="1:2" x14ac:dyDescent="0.25">
      <c r="A1522">
        <f ca="1">30046.7081091931*((RANDBETWEEN(2979,3282)))</f>
        <v>89689423.705941364</v>
      </c>
      <c r="B1522">
        <v>166228816.7078371</v>
      </c>
    </row>
    <row r="1523" spans="1:2" x14ac:dyDescent="0.25">
      <c r="A1523">
        <f ca="1">34485.2417137408*((RANDBETWEEN(2979,3282)))</f>
        <v>112663284.67879121</v>
      </c>
      <c r="B1523">
        <v>145875867.95555365</v>
      </c>
    </row>
    <row r="1524" spans="1:2" x14ac:dyDescent="0.25">
      <c r="A1524">
        <f ca="1">33335.2360440395*((RANDBETWEEN(2979,3282)))</f>
        <v>108506193.32334843</v>
      </c>
      <c r="B1524">
        <v>158892022.46072224</v>
      </c>
    </row>
    <row r="1525" spans="1:2" x14ac:dyDescent="0.25">
      <c r="A1525">
        <f ca="1">33312.828742311*((RANDBETWEEN(2979,3282)))</f>
        <v>103003266.47122572</v>
      </c>
      <c r="B1525">
        <v>183819192.1003035</v>
      </c>
    </row>
    <row r="1526" spans="1:2" x14ac:dyDescent="0.25">
      <c r="A1526">
        <f ca="1">37273.6586371321*((RANDBETWEEN(2979,3282)))</f>
        <v>120431191.05657391</v>
      </c>
      <c r="B1526">
        <v>153904070.46491307</v>
      </c>
    </row>
    <row r="1527" spans="1:2" x14ac:dyDescent="0.25">
      <c r="A1527">
        <f ca="1">30931.1160203376*((RANDBETWEEN(2979,3282)))</f>
        <v>96350426.403351635</v>
      </c>
      <c r="B1527">
        <v>157995457.43511185</v>
      </c>
    </row>
    <row r="1528" spans="1:2" x14ac:dyDescent="0.25">
      <c r="A1528">
        <f ca="1">30664.1460406111*((RANDBETWEEN(2979,3282)))</f>
        <v>94322913.220919728</v>
      </c>
      <c r="B1528">
        <v>192762969.53954053</v>
      </c>
    </row>
    <row r="1529" spans="1:2" x14ac:dyDescent="0.25">
      <c r="A1529">
        <f ca="1">29547.4623076718*((RANDBETWEEN(2979,3282)))</f>
        <v>93813192.826857895</v>
      </c>
      <c r="B1529">
        <v>168418055.32803401</v>
      </c>
    </row>
    <row r="1530" spans="1:2" x14ac:dyDescent="0.25">
      <c r="A1530">
        <f ca="1">37984.9824566742*((RANDBETWEEN(2979,3282)))</f>
        <v>121248064.00170417</v>
      </c>
      <c r="B1530">
        <v>185902725.46708986</v>
      </c>
    </row>
    <row r="1531" spans="1:2" x14ac:dyDescent="0.25">
      <c r="A1531">
        <f ca="1">36305.4309847501*((RANDBETWEEN(2979,3282)))</f>
        <v>116830876.90892589</v>
      </c>
      <c r="B1531">
        <v>196125234.08268771</v>
      </c>
    </row>
    <row r="1532" spans="1:2" x14ac:dyDescent="0.25">
      <c r="A1532">
        <f ca="1">30796.5964928782*((RANDBETWEEN(2979,3282)))</f>
        <v>94083602.285742909</v>
      </c>
      <c r="B1532">
        <v>156576463.36704868</v>
      </c>
    </row>
    <row r="1533" spans="1:2" x14ac:dyDescent="0.25">
      <c r="A1533">
        <f ca="1">29756.3209024863*((RANDBETWEEN(2979,3282)))</f>
        <v>95309495.850663647</v>
      </c>
      <c r="B1533">
        <v>165364745.32339698</v>
      </c>
    </row>
    <row r="1534" spans="1:2" x14ac:dyDescent="0.25">
      <c r="A1534">
        <f ca="1">35366.1405597565*((RANDBETWEEN(2979,3282)))</f>
        <v>108963079.06460987</v>
      </c>
      <c r="B1534">
        <v>202861018.76713818</v>
      </c>
    </row>
    <row r="1535" spans="1:2" x14ac:dyDescent="0.25">
      <c r="A1535">
        <f ca="1">32056.2544336887*((RANDBETWEEN(2979,3282)))</f>
        <v>103285251.78534494</v>
      </c>
      <c r="B1535">
        <v>197889594.44622561</v>
      </c>
    </row>
    <row r="1536" spans="1:2" x14ac:dyDescent="0.25">
      <c r="A1536">
        <f ca="1">38185.7370479397*((RANDBETWEEN(2979,3282)))</f>
        <v>123912716.7205644</v>
      </c>
      <c r="B1536">
        <v>184671230.37300587</v>
      </c>
    </row>
    <row r="1537" spans="1:2" x14ac:dyDescent="0.25">
      <c r="A1537">
        <f ca="1">36767.8133095057*((RANDBETWEEN(2979,3282)))</f>
        <v>112766883.42025407</v>
      </c>
      <c r="B1537">
        <v>148311385.89178327</v>
      </c>
    </row>
    <row r="1538" spans="1:2" x14ac:dyDescent="0.25">
      <c r="A1538">
        <f ca="1">30772.2231699189*((RANDBETWEEN(2979,3282)))</f>
        <v>96070880.736486822</v>
      </c>
      <c r="B1538">
        <v>155669463.06577149</v>
      </c>
    </row>
    <row r="1539" spans="1:2" x14ac:dyDescent="0.25">
      <c r="A1539">
        <f ca="1">28556.4048209896*((RANDBETWEEN(2979,3282)))</f>
        <v>93065323.311605036</v>
      </c>
      <c r="B1539">
        <v>158332933.71174845</v>
      </c>
    </row>
    <row r="1540" spans="1:2" x14ac:dyDescent="0.25">
      <c r="A1540">
        <f ca="1">37942.6446679058*((RANDBETWEEN(2979,3282)))</f>
        <v>120695552.68860844</v>
      </c>
      <c r="B1540">
        <v>187605552.51075253</v>
      </c>
    </row>
    <row r="1541" spans="1:2" x14ac:dyDescent="0.25">
      <c r="A1541">
        <f ca="1">40498.2812016608*((RANDBETWEEN(2979,3282)))</f>
        <v>130525960.31295268</v>
      </c>
      <c r="B1541">
        <v>158926414.95314667</v>
      </c>
    </row>
    <row r="1542" spans="1:2" x14ac:dyDescent="0.25">
      <c r="A1542">
        <f ca="1">32186.3235158552*((RANDBETWEEN(2979,3282)))</f>
        <v>103382471.13292676</v>
      </c>
      <c r="B1542">
        <v>151388521.43211302</v>
      </c>
    </row>
    <row r="1543" spans="1:2" x14ac:dyDescent="0.25">
      <c r="A1543">
        <f ca="1">31480.486006922*((RANDBETWEEN(2979,3282)))</f>
        <v>100706074.73614353</v>
      </c>
      <c r="B1543">
        <v>143563608.30890721</v>
      </c>
    </row>
    <row r="1544" spans="1:2" x14ac:dyDescent="0.25">
      <c r="A1544">
        <f ca="1">31623.3671326762*((RANDBETWEEN(2979,3282)))</f>
        <v>95534192.107814744</v>
      </c>
      <c r="B1544">
        <v>199258194.10243076</v>
      </c>
    </row>
    <row r="1545" spans="1:2" x14ac:dyDescent="0.25">
      <c r="A1545">
        <f ca="1">28746.6989213189*((RANDBETWEEN(2979,3282)))</f>
        <v>89833434.129121423</v>
      </c>
      <c r="B1545">
        <v>151003376.81801817</v>
      </c>
    </row>
    <row r="1546" spans="1:2" x14ac:dyDescent="0.25">
      <c r="A1546">
        <f ca="1">33250.0501142514*((RANDBETWEEN(2979,3282)))</f>
        <v>108428413.42257397</v>
      </c>
      <c r="B1546">
        <v>144426966.7906872</v>
      </c>
    </row>
    <row r="1547" spans="1:2" x14ac:dyDescent="0.25">
      <c r="A1547">
        <f ca="1">41364.3489405229*((RANDBETWEEN(2979,3282)))</f>
        <v>124796240.75355749</v>
      </c>
      <c r="B1547">
        <v>143737494.13574785</v>
      </c>
    </row>
    <row r="1548" spans="1:2" x14ac:dyDescent="0.25">
      <c r="A1548">
        <f ca="1">31775.4494457149*((RANDBETWEEN(2979,3282)))</f>
        <v>101490785.52961352</v>
      </c>
      <c r="B1548">
        <v>191388157.09026933</v>
      </c>
    </row>
    <row r="1549" spans="1:2" x14ac:dyDescent="0.25">
      <c r="A1549">
        <f ca="1">32051.4658025898*((RANDBETWEEN(2979,3282)))</f>
        <v>96090294.476164162</v>
      </c>
      <c r="B1549">
        <v>153302808.7192733</v>
      </c>
    </row>
    <row r="1550" spans="1:2" x14ac:dyDescent="0.25">
      <c r="A1550">
        <f ca="1">36182.9624991237*((RANDBETWEEN(2979,3282)))</f>
        <v>117196615.53466171</v>
      </c>
      <c r="B1550">
        <v>160255134.74375468</v>
      </c>
    </row>
    <row r="1551" spans="1:2" x14ac:dyDescent="0.25">
      <c r="A1551">
        <f ca="1">32736.4534458468*((RANDBETWEEN(2979,3282)))</f>
        <v>104003712.59745519</v>
      </c>
      <c r="B1551">
        <v>152922599.96190667</v>
      </c>
    </row>
    <row r="1552" spans="1:2" x14ac:dyDescent="0.25">
      <c r="A1552">
        <f ca="1">38321.7928364812*((RANDBETWEEN(2979,3282)))</f>
        <v>114620482.3739153</v>
      </c>
      <c r="B1552">
        <v>184840056.52952835</v>
      </c>
    </row>
    <row r="1553" spans="1:2" x14ac:dyDescent="0.25">
      <c r="A1553">
        <f ca="1">33653.165248597*((RANDBETWEEN(2979,3282)))</f>
        <v>103584442.63518171</v>
      </c>
      <c r="B1553">
        <v>151404175.7324397</v>
      </c>
    </row>
    <row r="1554" spans="1:2" x14ac:dyDescent="0.25">
      <c r="A1554">
        <f ca="1">35533.9446541658*((RANDBETWEEN(2979,3282)))</f>
        <v>107881055.97004752</v>
      </c>
      <c r="B1554">
        <v>199563322.84432358</v>
      </c>
    </row>
    <row r="1555" spans="1:2" x14ac:dyDescent="0.25">
      <c r="A1555">
        <f ca="1">31189.7620797946*((RANDBETWEEN(2979,3282)))</f>
        <v>93257388.618585736</v>
      </c>
      <c r="B1555">
        <v>159566005.85447454</v>
      </c>
    </row>
    <row r="1556" spans="1:2" x14ac:dyDescent="0.25">
      <c r="A1556">
        <f ca="1">36217.9719276598*((RANDBETWEEN(2979,3282)))</f>
        <v>113217380.24586441</v>
      </c>
      <c r="B1556">
        <v>191927310.16351888</v>
      </c>
    </row>
    <row r="1557" spans="1:2" x14ac:dyDescent="0.25">
      <c r="A1557">
        <f ca="1">30374.0871304198*((RANDBETWEEN(2979,3282)))</f>
        <v>93582562.448823556</v>
      </c>
      <c r="B1557">
        <v>175251820.55700305</v>
      </c>
    </row>
    <row r="1558" spans="1:2" x14ac:dyDescent="0.25">
      <c r="A1558">
        <f ca="1">37138.5591373875*((RANDBETWEEN(2979,3282)))</f>
        <v>118397726.5299913</v>
      </c>
      <c r="B1558">
        <v>146691116.06368896</v>
      </c>
    </row>
    <row r="1559" spans="1:2" x14ac:dyDescent="0.25">
      <c r="A1559">
        <f ca="1">37999.8252016597*((RANDBETWEEN(2979,3282)))</f>
        <v>115025470.88542385</v>
      </c>
      <c r="B1559">
        <v>167810583.0262627</v>
      </c>
    </row>
    <row r="1560" spans="1:2" x14ac:dyDescent="0.25">
      <c r="A1560">
        <f ca="1">33603.7353566375*((RANDBETWEEN(2979,3282)))</f>
        <v>101550488.24775855</v>
      </c>
      <c r="B1560">
        <v>153522753.10097644</v>
      </c>
    </row>
    <row r="1561" spans="1:2" x14ac:dyDescent="0.25">
      <c r="A1561">
        <f ca="1">29361.7636649924*((RANDBETWEEN(2979,3282)))</f>
        <v>95543178.965885296</v>
      </c>
      <c r="B1561">
        <v>158823334.76115671</v>
      </c>
    </row>
    <row r="1562" spans="1:2" x14ac:dyDescent="0.25">
      <c r="A1562">
        <f ca="1">33239.5626175677*((RANDBETWEEN(2979,3282)))</f>
        <v>108327734.57065302</v>
      </c>
      <c r="B1562">
        <v>153378268.09934455</v>
      </c>
    </row>
    <row r="1563" spans="1:2" x14ac:dyDescent="0.25">
      <c r="A1563">
        <f ca="1">30813.5280614969*((RANDBETWEEN(2979,3282)))</f>
        <v>95706818.159009516</v>
      </c>
      <c r="B1563">
        <v>195533499.21058762</v>
      </c>
    </row>
    <row r="1564" spans="1:2" x14ac:dyDescent="0.25">
      <c r="A1564">
        <f ca="1">32518.3382541287*((RANDBETWEEN(2979,3282)))</f>
        <v>99993890.13144584</v>
      </c>
      <c r="B1564">
        <v>188342061.63749579</v>
      </c>
    </row>
    <row r="1565" spans="1:2" x14ac:dyDescent="0.25">
      <c r="A1565">
        <f ca="1">39784.3182975071*((RANDBETWEEN(2979,3282)))</f>
        <v>121381955.12569426</v>
      </c>
      <c r="B1565">
        <v>178404840.54032668</v>
      </c>
    </row>
    <row r="1566" spans="1:2" x14ac:dyDescent="0.25">
      <c r="A1566">
        <f ca="1">39757.9083141419*((RANDBETWEEN(2979,3282)))</f>
        <v>122613389.24081352</v>
      </c>
      <c r="B1566">
        <v>153762356.4729709</v>
      </c>
    </row>
    <row r="1567" spans="1:2" x14ac:dyDescent="0.25">
      <c r="A1567">
        <f ca="1">36265.5931854278*((RANDBETWEEN(2979,3282)))</f>
        <v>116521350.90477952</v>
      </c>
      <c r="B1567">
        <v>167017191.68813276</v>
      </c>
    </row>
    <row r="1568" spans="1:2" x14ac:dyDescent="0.25">
      <c r="A1568">
        <f ca="1">32798.2115128595*((RANDBETWEEN(2979,3282)))</f>
        <v>99050598.768835619</v>
      </c>
      <c r="B1568">
        <v>175133480.29105094</v>
      </c>
    </row>
    <row r="1569" spans="1:2" x14ac:dyDescent="0.25">
      <c r="A1569">
        <f ca="1">33212.0426406055*((RANDBETWEEN(2979,3282)))</f>
        <v>104319025.93414201</v>
      </c>
      <c r="B1569">
        <v>147922144.62364331</v>
      </c>
    </row>
    <row r="1570" spans="1:2" x14ac:dyDescent="0.25">
      <c r="A1570">
        <f ca="1">40039.1339412243*((RANDBETWEEN(2979,3282)))</f>
        <v>126964093.72762229</v>
      </c>
      <c r="B1570">
        <v>185889213.28436977</v>
      </c>
    </row>
    <row r="1571" spans="1:2" x14ac:dyDescent="0.25">
      <c r="A1571">
        <f ca="1">32440.337249288*((RANDBETWEEN(2979,3282)))</f>
        <v>101213852.21777855</v>
      </c>
      <c r="B1571">
        <v>153672082.34232706</v>
      </c>
    </row>
    <row r="1572" spans="1:2" x14ac:dyDescent="0.25">
      <c r="A1572">
        <f ca="1">35110.9078472925*((RANDBETWEEN(2979,3282)))</f>
        <v>113864674.14876959</v>
      </c>
      <c r="B1572">
        <v>161315022.5941785</v>
      </c>
    </row>
    <row r="1573" spans="1:2" x14ac:dyDescent="0.25">
      <c r="A1573">
        <f ca="1">37949.6701174171*((RANDBETWEEN(2979,3282)))</f>
        <v>113659262.00166425</v>
      </c>
      <c r="B1573">
        <v>144592882.76496163</v>
      </c>
    </row>
    <row r="1574" spans="1:2" x14ac:dyDescent="0.25">
      <c r="A1574">
        <f ca="1">43079.2823885909*((RANDBETWEEN(2979,3282)))</f>
        <v>139706112.78620052</v>
      </c>
      <c r="B1574">
        <v>179162284.11020738</v>
      </c>
    </row>
    <row r="1575" spans="1:2" x14ac:dyDescent="0.25">
      <c r="A1575">
        <f ca="1">30542.3977864202*((RANDBETWEEN(2979,3282)))</f>
        <v>91627193.359260648</v>
      </c>
      <c r="B1575">
        <v>143190142.49075085</v>
      </c>
    </row>
    <row r="1576" spans="1:2" x14ac:dyDescent="0.25">
      <c r="A1576">
        <f ca="1">31377.786131156*((RANDBETWEEN(2979,3282)))</f>
        <v>101130604.70071578</v>
      </c>
      <c r="B1576">
        <v>176071339.83237097</v>
      </c>
    </row>
    <row r="1577" spans="1:2" x14ac:dyDescent="0.25">
      <c r="A1577">
        <f ca="1">30217.5351883157*((RANDBETWEEN(2979,3282)))</f>
        <v>99022862.812110543</v>
      </c>
      <c r="B1577">
        <v>153817846.23824376</v>
      </c>
    </row>
    <row r="1578" spans="1:2" x14ac:dyDescent="0.25">
      <c r="A1578">
        <f ca="1">32429.209297765*((RANDBETWEEN(2979,3282)))</f>
        <v>101243991.42762245</v>
      </c>
      <c r="B1578">
        <v>148798169.38934511</v>
      </c>
    </row>
    <row r="1579" spans="1:2" x14ac:dyDescent="0.25">
      <c r="A1579">
        <f ca="1">30220.9221367487*((RANDBETWEEN(2979,3282)))</f>
        <v>94984358.275801256</v>
      </c>
      <c r="B1579">
        <v>150809385.43085468</v>
      </c>
    </row>
    <row r="1580" spans="1:2" x14ac:dyDescent="0.25">
      <c r="A1580">
        <f ca="1">36110.7119320636*((RANDBETWEEN(2979,3282)))</f>
        <v>111762653.42973697</v>
      </c>
      <c r="B1580">
        <v>165431417.61339968</v>
      </c>
    </row>
    <row r="1581" spans="1:2" x14ac:dyDescent="0.25">
      <c r="A1581">
        <f ca="1">34742.8492886291*((RANDBETWEEN(2979,3282)))</f>
        <v>105131861.94739154</v>
      </c>
      <c r="B1581">
        <v>146918857.26413381</v>
      </c>
    </row>
    <row r="1582" spans="1:2" x14ac:dyDescent="0.25">
      <c r="A1582">
        <f ca="1">30050.1512061393*((RANDBETWEEN(2979,3282)))</f>
        <v>90541105.584097832</v>
      </c>
      <c r="B1582">
        <v>145426047.02141091</v>
      </c>
    </row>
    <row r="1583" spans="1:2" x14ac:dyDescent="0.25">
      <c r="A1583">
        <f ca="1">30826.593155964*((RANDBETWEEN(2979,3282)))</f>
        <v>94051935.718846053</v>
      </c>
      <c r="B1583">
        <v>160766478.562567</v>
      </c>
    </row>
    <row r="1584" spans="1:2" x14ac:dyDescent="0.25">
      <c r="A1584">
        <f ca="1">38431.7069529195*((RANDBETWEEN(2979,3282)))</f>
        <v>123942254.92316538</v>
      </c>
      <c r="B1584">
        <v>190928845.756428</v>
      </c>
    </row>
    <row r="1585" spans="1:2" x14ac:dyDescent="0.25">
      <c r="A1585">
        <f ca="1">30013.692674546*((RANDBETWEEN(2979,3282)))</f>
        <v>89830982.174916282</v>
      </c>
      <c r="B1585">
        <v>158424376.2671451</v>
      </c>
    </row>
    <row r="1586" spans="1:2" x14ac:dyDescent="0.25">
      <c r="A1586">
        <f ca="1">28298.5950245545*((RANDBETWEEN(2979,3282)))</f>
        <v>87470957.220898002</v>
      </c>
      <c r="B1586">
        <v>171438210.56869394</v>
      </c>
    </row>
    <row r="1587" spans="1:2" x14ac:dyDescent="0.25">
      <c r="A1587">
        <f ca="1">35753.0062493099*((RANDBETWEEN(2979,3282)))</f>
        <v>116590553.37899946</v>
      </c>
      <c r="B1587">
        <v>157160416.9705596</v>
      </c>
    </row>
    <row r="1588" spans="1:2" x14ac:dyDescent="0.25">
      <c r="A1588">
        <f ca="1">33634.4067186435*((RANDBETWEEN(2979,3282)))</f>
        <v>103526703.87998462</v>
      </c>
      <c r="B1588">
        <v>173021167.47054499</v>
      </c>
    </row>
    <row r="1589" spans="1:2" x14ac:dyDescent="0.25">
      <c r="A1589">
        <f ca="1">31166.3900828723*((RANDBETWEEN(2979,3282)))</f>
        <v>100480441.62718041</v>
      </c>
      <c r="B1589">
        <v>161090249.49123383</v>
      </c>
    </row>
    <row r="1590" spans="1:2" x14ac:dyDescent="0.25">
      <c r="A1590">
        <f ca="1">36467.9739995474*((RANDBETWEEN(2979,3282)))</f>
        <v>110680301.08862634</v>
      </c>
      <c r="B1590">
        <v>160680081.36577779</v>
      </c>
    </row>
    <row r="1591" spans="1:2" x14ac:dyDescent="0.25">
      <c r="A1591">
        <f ca="1">36043.275788302*((RANDBETWEEN(2979,3282)))</f>
        <v>110508683.56693383</v>
      </c>
      <c r="B1591">
        <v>190694462.95485115</v>
      </c>
    </row>
    <row r="1592" spans="1:2" x14ac:dyDescent="0.25">
      <c r="A1592">
        <f ca="1">31540.8961012951*((RANDBETWEEN(2979,3282)))</f>
        <v>103454139.21224794</v>
      </c>
      <c r="B1592">
        <v>157195556.19350365</v>
      </c>
    </row>
    <row r="1593" spans="1:2" x14ac:dyDescent="0.25">
      <c r="A1593">
        <f ca="1">32305.0053613905*((RANDBETWEEN(2979,3282)))</f>
        <v>103505237.17789523</v>
      </c>
      <c r="B1593">
        <v>155662075.47154477</v>
      </c>
    </row>
    <row r="1594" spans="1:2" x14ac:dyDescent="0.25">
      <c r="A1594">
        <f ca="1">30889.4183599125*((RANDBETWEEN(2979,3282)))</f>
        <v>92915370.426616758</v>
      </c>
      <c r="B1594">
        <v>150626942.32815862</v>
      </c>
    </row>
    <row r="1595" spans="1:2" x14ac:dyDescent="0.25">
      <c r="A1595">
        <f ca="1">32320.1186985727*((RANDBETWEEN(2979,3282)))</f>
        <v>100386288.67776684</v>
      </c>
      <c r="B1595">
        <v>194973490.23895013</v>
      </c>
    </row>
    <row r="1596" spans="1:2" x14ac:dyDescent="0.25">
      <c r="A1596">
        <f ca="1">33687.0230252813*((RANDBETWEEN(2979,3282)))</f>
        <v>101330565.2600463</v>
      </c>
      <c r="B1596">
        <v>149318057.30232221</v>
      </c>
    </row>
    <row r="1597" spans="1:2" x14ac:dyDescent="0.25">
      <c r="A1597">
        <f ca="1">30694.5674355037*((RANDBETWEEN(2979,3282)))</f>
        <v>93956070.920076877</v>
      </c>
      <c r="B1597">
        <v>172767990.13279599</v>
      </c>
    </row>
    <row r="1598" spans="1:2" x14ac:dyDescent="0.25">
      <c r="A1598">
        <f ca="1">31273.6113391275*((RANDBETWEEN(2979,3282)))</f>
        <v>99887914.61717321</v>
      </c>
      <c r="B1598">
        <v>159006830.11902872</v>
      </c>
    </row>
    <row r="1599" spans="1:2" x14ac:dyDescent="0.25">
      <c r="A1599">
        <f ca="1">30030.9654551021*((RANDBETWEEN(2979,3282)))</f>
        <v>97840885.452722535</v>
      </c>
      <c r="B1599">
        <v>182318462.20425934</v>
      </c>
    </row>
    <row r="1600" spans="1:2" x14ac:dyDescent="0.25">
      <c r="A1600">
        <f ca="1">36048.0243310963*((RANDBETWEEN(2979,3282)))</f>
        <v>114957149.59186625</v>
      </c>
      <c r="B1600">
        <v>160585026.23736846</v>
      </c>
    </row>
    <row r="1601" spans="1:2" x14ac:dyDescent="0.25">
      <c r="A1601">
        <f ca="1">33359.7006131727*((RANDBETWEEN(2979,3282)))</f>
        <v>103114834.59531684</v>
      </c>
      <c r="B1601">
        <v>154341106.33893567</v>
      </c>
    </row>
    <row r="1602" spans="1:2" x14ac:dyDescent="0.25">
      <c r="A1602">
        <f ca="1">30247.4242763561*((RANDBETWEEN(2979,3282)))</f>
        <v>93071324.498347729</v>
      </c>
      <c r="B1602">
        <v>186255939.17975941</v>
      </c>
    </row>
    <row r="1603" spans="1:2" x14ac:dyDescent="0.25">
      <c r="A1603">
        <f ca="1">39309.8124174875*((RANDBETWEEN(2979,3282)))</f>
        <v>117968747.06488009</v>
      </c>
      <c r="B1603">
        <v>151922220.086826</v>
      </c>
    </row>
    <row r="1604" spans="1:2" x14ac:dyDescent="0.25">
      <c r="A1604">
        <f ca="1">36024.4007889894*((RANDBETWEEN(2979,3282)))</f>
        <v>110847081.22772053</v>
      </c>
      <c r="B1604">
        <v>156293130.05654806</v>
      </c>
    </row>
    <row r="1605" spans="1:2" x14ac:dyDescent="0.25">
      <c r="A1605">
        <f ca="1">35887.6409524571*((RANDBETWEEN(2979,3282)))</f>
        <v>111897664.48976114</v>
      </c>
      <c r="B1605">
        <v>142962825.5076364</v>
      </c>
    </row>
    <row r="1606" spans="1:2" x14ac:dyDescent="0.25">
      <c r="A1606">
        <f ca="1">33982.1172742563*((RANDBETWEEN(2979,3282)))</f>
        <v>110985595.01772098</v>
      </c>
      <c r="B1606">
        <v>170648180.00373024</v>
      </c>
    </row>
    <row r="1607" spans="1:2" x14ac:dyDescent="0.25">
      <c r="A1607">
        <f ca="1">37039.7699983107*((RANDBETWEEN(2979,3282)))</f>
        <v>118564303.76459247</v>
      </c>
      <c r="B1607">
        <v>199180838.0674848</v>
      </c>
    </row>
    <row r="1608" spans="1:2" x14ac:dyDescent="0.25">
      <c r="A1608">
        <f ca="1">32466.3606501735*((RANDBETWEEN(2979,3282)))</f>
        <v>106132532.9654171</v>
      </c>
      <c r="B1608">
        <v>159937241.81673473</v>
      </c>
    </row>
    <row r="1609" spans="1:2" x14ac:dyDescent="0.25">
      <c r="A1609">
        <f ca="1">41999.9655395052*((RANDBETWEEN(2979,3282)))</f>
        <v>134315889.79533762</v>
      </c>
      <c r="B1609">
        <v>168046343.47632045</v>
      </c>
    </row>
    <row r="1610" spans="1:2" x14ac:dyDescent="0.25">
      <c r="A1610">
        <f ca="1">35089.1222743197*((RANDBETWEEN(2979,3282)))</f>
        <v>111899210.93280545</v>
      </c>
      <c r="B1610">
        <v>146226609.53410456</v>
      </c>
    </row>
    <row r="1611" spans="1:2" x14ac:dyDescent="0.25">
      <c r="A1611">
        <f ca="1">31531.4292470006*((RANDBETWEEN(2979,3282)))</f>
        <v>96580767.783562809</v>
      </c>
      <c r="B1611">
        <v>144117417.40022928</v>
      </c>
    </row>
    <row r="1612" spans="1:2" x14ac:dyDescent="0.25">
      <c r="A1612">
        <f ca="1">29292.5130912255*((RANDBETWEEN(2979,3282)))</f>
        <v>92330001.263542756</v>
      </c>
      <c r="B1612">
        <v>143613344.90669191</v>
      </c>
    </row>
    <row r="1613" spans="1:2" x14ac:dyDescent="0.25">
      <c r="A1613">
        <f ca="1">35471.7068673872*((RANDBETWEEN(2979,3282)))</f>
        <v>110813612.25371769</v>
      </c>
      <c r="B1613">
        <v>161560331.66813445</v>
      </c>
    </row>
    <row r="1614" spans="1:2" x14ac:dyDescent="0.25">
      <c r="A1614">
        <f ca="1">29952.9601063628*((RANDBETWEEN(2979,3282)))</f>
        <v>91865728.646214798</v>
      </c>
      <c r="B1614">
        <v>163743121.66551149</v>
      </c>
    </row>
    <row r="1615" spans="1:2" x14ac:dyDescent="0.25">
      <c r="A1615">
        <f ca="1">30181.4457431736*((RANDBETWEEN(2979,3282)))</f>
        <v>92143953.853908867</v>
      </c>
      <c r="B1615">
        <v>169986161.78693622</v>
      </c>
    </row>
    <row r="1616" spans="1:2" x14ac:dyDescent="0.25">
      <c r="A1616">
        <f ca="1">33250.7690935091*((RANDBETWEEN(2979,3282)))</f>
        <v>105870448.79373291</v>
      </c>
      <c r="B1616">
        <v>145122278.92736462</v>
      </c>
    </row>
    <row r="1617" spans="1:2" x14ac:dyDescent="0.25">
      <c r="A1617">
        <f ca="1">40280.5577927973*((RANDBETWEEN(2979,3282)))</f>
        <v>128897784.93695123</v>
      </c>
      <c r="B1617">
        <v>185448665.5135242</v>
      </c>
    </row>
    <row r="1618" spans="1:2" x14ac:dyDescent="0.25">
      <c r="A1618">
        <f ca="1">29580.1536540514*((RANDBETWEEN(2979,3282)))</f>
        <v>92556300.783526793</v>
      </c>
      <c r="B1618">
        <v>167092244.1541411</v>
      </c>
    </row>
    <row r="1619" spans="1:2" x14ac:dyDescent="0.25">
      <c r="A1619">
        <f ca="1">32547.0386400098*((RANDBETWEEN(2979,3282)))</f>
        <v>102783548.02515106</v>
      </c>
      <c r="B1619">
        <v>167639555.50003877</v>
      </c>
    </row>
    <row r="1620" spans="1:2" x14ac:dyDescent="0.25">
      <c r="A1620">
        <f ca="1">35585.1604183568*((RANDBETWEEN(2979,3282)))</f>
        <v>107396014.14260088</v>
      </c>
      <c r="B1620">
        <v>183621804.4755941</v>
      </c>
    </row>
    <row r="1621" spans="1:2" x14ac:dyDescent="0.25">
      <c r="A1621">
        <f ca="1">35060.5850424733*((RANDBETWEEN(2979,3282)))</f>
        <v>107671056.66543555</v>
      </c>
      <c r="B1621">
        <v>143147318.68582919</v>
      </c>
    </row>
    <row r="1622" spans="1:2" x14ac:dyDescent="0.25">
      <c r="A1622">
        <f ca="1">32997.4033521823*((RANDBETWEEN(2979,3282)))</f>
        <v>106086651.77726598</v>
      </c>
      <c r="B1622">
        <v>152353223.57672414</v>
      </c>
    </row>
    <row r="1623" spans="1:2" x14ac:dyDescent="0.25">
      <c r="A1623">
        <f ca="1">32909.6353361224*((RANDBETWEEN(2979,3282)))</f>
        <v>104751369.27487785</v>
      </c>
      <c r="B1623">
        <v>190407725.3536624</v>
      </c>
    </row>
    <row r="1624" spans="1:2" x14ac:dyDescent="0.25">
      <c r="A1624">
        <f ca="1">37039.5386737068*((RANDBETWEEN(2979,3282)))</f>
        <v>111933485.87194195</v>
      </c>
      <c r="B1624">
        <v>192593141.71282649</v>
      </c>
    </row>
    <row r="1625" spans="1:2" x14ac:dyDescent="0.25">
      <c r="A1625">
        <f ca="1">28365.9229729253*((RANDBETWEEN(2979,3282)))</f>
        <v>87905995.293095425</v>
      </c>
      <c r="B1625">
        <v>152257761.0442993</v>
      </c>
    </row>
    <row r="1626" spans="1:2" x14ac:dyDescent="0.25">
      <c r="A1626">
        <f ca="1">41317.1048424629*((RANDBETWEEN(2979,3282)))</f>
        <v>123662094.79349156</v>
      </c>
      <c r="B1626">
        <v>178682094.92028213</v>
      </c>
    </row>
    <row r="1627" spans="1:2" x14ac:dyDescent="0.25">
      <c r="A1627">
        <f ca="1">35812.9143250873*((RANDBETWEEN(2979,3282)))</f>
        <v>110697718.17884485</v>
      </c>
      <c r="B1627">
        <v>150681415.59530926</v>
      </c>
    </row>
    <row r="1628" spans="1:2" x14ac:dyDescent="0.25">
      <c r="A1628">
        <f ca="1">34755.6734505072*((RANDBETWEEN(2979,3282)))</f>
        <v>109549882.71599869</v>
      </c>
      <c r="B1628">
        <v>177319730.14080483</v>
      </c>
    </row>
    <row r="1629" spans="1:2" x14ac:dyDescent="0.25">
      <c r="A1629">
        <f ca="1">30807.0454380518*((RANDBETWEEN(2979,3282)))</f>
        <v>92975663.132040381</v>
      </c>
      <c r="B1629">
        <v>201690198.22429371</v>
      </c>
    </row>
    <row r="1630" spans="1:2" x14ac:dyDescent="0.25">
      <c r="A1630">
        <f ca="1">30018.4746077415*((RANDBETWEEN(2979,3282)))</f>
        <v>94768324.336639911</v>
      </c>
      <c r="B1630">
        <v>194998825.72892442</v>
      </c>
    </row>
    <row r="1631" spans="1:2" x14ac:dyDescent="0.25">
      <c r="A1631">
        <f ca="1">38443.3801587098*((RANDBETWEEN(2979,3282)))</f>
        <v>125017872.27612436</v>
      </c>
      <c r="B1631">
        <v>164192584.49984846</v>
      </c>
    </row>
    <row r="1632" spans="1:2" x14ac:dyDescent="0.25">
      <c r="A1632">
        <f ca="1">32571.3143048375*((RANDBETWEEN(2979,3282)))</f>
        <v>97453372.400073662</v>
      </c>
      <c r="B1632">
        <v>164925783.64844403</v>
      </c>
    </row>
    <row r="1633" spans="1:2" x14ac:dyDescent="0.25">
      <c r="A1633">
        <f ca="1">40459.1200578273*((RANDBETWEEN(2979,3282)))</f>
        <v>132139486.10886389</v>
      </c>
      <c r="B1633">
        <v>146916914.70171088</v>
      </c>
    </row>
    <row r="1634" spans="1:2" x14ac:dyDescent="0.25">
      <c r="A1634">
        <f ca="1">29064.5314347676*((RANDBETWEEN(2979,3282)))</f>
        <v>90971983.3908225</v>
      </c>
      <c r="B1634">
        <v>169041111.1330142</v>
      </c>
    </row>
    <row r="1635" spans="1:2" x14ac:dyDescent="0.25">
      <c r="A1635">
        <f ca="1">36370.0607856439*((RANDBETWEEN(2979,3282)))</f>
        <v>115111242.38656279</v>
      </c>
      <c r="B1635">
        <v>153059398.44749066</v>
      </c>
    </row>
    <row r="1636" spans="1:2" x14ac:dyDescent="0.25">
      <c r="A1636">
        <f ca="1">31566.898437164*((RANDBETWEEN(2979,3282)))</f>
        <v>96910378.202093363</v>
      </c>
      <c r="B1636">
        <v>167565534.85771504</v>
      </c>
    </row>
    <row r="1637" spans="1:2" x14ac:dyDescent="0.25">
      <c r="A1637">
        <f ca="1">31379.1365669114*((RANDBETWEEN(2979,3282)))</f>
        <v>100130824.78501424</v>
      </c>
      <c r="B1637">
        <v>187002608.33424059</v>
      </c>
    </row>
    <row r="1638" spans="1:2" x14ac:dyDescent="0.25">
      <c r="A1638">
        <f ca="1">39329.9011724219*((RANDBETWEEN(2979,3282)))</f>
        <v>117753724.11023103</v>
      </c>
      <c r="B1638">
        <v>147199085.75301933</v>
      </c>
    </row>
    <row r="1639" spans="1:2" x14ac:dyDescent="0.25">
      <c r="A1639">
        <f ca="1">32075.9704793507*((RANDBETWEEN(2979,3282)))</f>
        <v>103252548.97303005</v>
      </c>
      <c r="B1639">
        <v>158815062.8999702</v>
      </c>
    </row>
    <row r="1640" spans="1:2" x14ac:dyDescent="0.25">
      <c r="A1640">
        <f ca="1">31831.7984464638*((RANDBETWEEN(2979,3282)))</f>
        <v>96323022.09899956</v>
      </c>
      <c r="B1640">
        <v>186166380.38733834</v>
      </c>
    </row>
    <row r="1641" spans="1:2" x14ac:dyDescent="0.25">
      <c r="A1641">
        <f ca="1">36127.9930951633*((RANDBETWEEN(2979,3282)))</f>
        <v>115754089.87690336</v>
      </c>
      <c r="B1641">
        <v>144424954.72925952</v>
      </c>
    </row>
    <row r="1642" spans="1:2" x14ac:dyDescent="0.25">
      <c r="A1642">
        <f ca="1">34348.2903071163*((RANDBETWEEN(2979,3282)))</f>
        <v>112524999.04611306</v>
      </c>
      <c r="B1642">
        <v>152947922.16565335</v>
      </c>
    </row>
    <row r="1643" spans="1:2" x14ac:dyDescent="0.25">
      <c r="A1643">
        <f ca="1">31419.19400876*((RANDBETWEEN(2979,3282)))</f>
        <v>97619435.785217419</v>
      </c>
      <c r="B1643">
        <v>159337797.63768432</v>
      </c>
    </row>
    <row r="1644" spans="1:2" x14ac:dyDescent="0.25">
      <c r="A1644">
        <f ca="1">31834.2478336197*((RANDBETWEEN(2979,3282)))</f>
        <v>99291018.993059829</v>
      </c>
      <c r="B1644">
        <v>167215895.94586408</v>
      </c>
    </row>
    <row r="1645" spans="1:2" x14ac:dyDescent="0.25">
      <c r="A1645">
        <f ca="1">35776.6743612292*((RANDBETWEEN(2979,3282)))</f>
        <v>112624970.88914952</v>
      </c>
      <c r="B1645">
        <v>164428195.75265902</v>
      </c>
    </row>
    <row r="1646" spans="1:2" x14ac:dyDescent="0.25">
      <c r="A1646">
        <f ca="1">33188.9540815788*((RANDBETWEEN(2979,3282)))</f>
        <v>100462964.00493902</v>
      </c>
      <c r="B1646">
        <v>181908521.36818534</v>
      </c>
    </row>
    <row r="1647" spans="1:2" x14ac:dyDescent="0.25">
      <c r="A1647">
        <f ca="1">36855.9299596629*((RANDBETWEEN(2979,3282)))</f>
        <v>109793815.34983575</v>
      </c>
      <c r="B1647">
        <v>193251655.54994494</v>
      </c>
    </row>
    <row r="1648" spans="1:2" x14ac:dyDescent="0.25">
      <c r="A1648">
        <f ca="1">30863.8725976758*((RANDBETWEEN(2979,3282)))</f>
        <v>93887900.442129686</v>
      </c>
      <c r="B1648">
        <v>178893468.04055947</v>
      </c>
    </row>
    <row r="1649" spans="1:2" x14ac:dyDescent="0.25">
      <c r="A1649">
        <f ca="1">33782.0623024122*((RANDBETWEEN(2979,3282)))</f>
        <v>108372855.8661384</v>
      </c>
      <c r="B1649">
        <v>161876242.31426817</v>
      </c>
    </row>
    <row r="1650" spans="1:2" x14ac:dyDescent="0.25">
      <c r="A1650">
        <f ca="1">36085.7713525824*((RANDBETWEEN(2979,3282)))</f>
        <v>117459185.75265579</v>
      </c>
      <c r="B1650">
        <v>197425769.15585065</v>
      </c>
    </row>
    <row r="1651" spans="1:2" x14ac:dyDescent="0.25">
      <c r="A1651">
        <f ca="1">36732.5452281459*((RANDBETWEEN(2979,3282)))</f>
        <v>110271100.77489397</v>
      </c>
      <c r="B1651">
        <v>197037709.39630973</v>
      </c>
    </row>
    <row r="1652" spans="1:2" x14ac:dyDescent="0.25">
      <c r="A1652">
        <f ca="1">41943.8065264108*((RANDBETWEEN(2979,3282)))</f>
        <v>137198191.14788973</v>
      </c>
      <c r="B1652">
        <v>202293890.17729631</v>
      </c>
    </row>
    <row r="1653" spans="1:2" x14ac:dyDescent="0.25">
      <c r="A1653">
        <f ca="1">29040.2266878048*((RANDBETWEEN(2979,3282)))</f>
        <v>87294921.423541352</v>
      </c>
      <c r="B1653">
        <v>146658895.15380928</v>
      </c>
    </row>
    <row r="1654" spans="1:2" x14ac:dyDescent="0.25">
      <c r="A1654">
        <f ca="1">32098.0676686378*((RANDBETWEEN(2979,3282)))</f>
        <v>95620143.584872037</v>
      </c>
      <c r="B1654">
        <v>146434913.92218223</v>
      </c>
    </row>
    <row r="1655" spans="1:2" x14ac:dyDescent="0.25">
      <c r="A1655">
        <f ca="1">35623.9857695055*((RANDBETWEEN(2979,3282)))</f>
        <v>108510660.65391372</v>
      </c>
      <c r="B1655">
        <v>203552445.54384139</v>
      </c>
    </row>
    <row r="1656" spans="1:2" x14ac:dyDescent="0.25">
      <c r="A1656">
        <f ca="1">32712.2678243778*((RANDBETWEEN(2979,3282)))</f>
        <v>98562062.954850227</v>
      </c>
      <c r="B1656">
        <v>150184486.8655318</v>
      </c>
    </row>
    <row r="1657" spans="1:2" x14ac:dyDescent="0.25">
      <c r="A1657">
        <f ca="1">30363.4904802602*((RANDBETWEEN(2979,3282)))</f>
        <v>92639009.455273762</v>
      </c>
      <c r="B1657">
        <v>182593438.35548681</v>
      </c>
    </row>
    <row r="1658" spans="1:2" x14ac:dyDescent="0.25">
      <c r="A1658">
        <f ca="1">29307.7382021349*((RANDBETWEEN(2979,3282)))</f>
        <v>94898456.298512712</v>
      </c>
      <c r="B1658">
        <v>166749933.98165178</v>
      </c>
    </row>
    <row r="1659" spans="1:2" x14ac:dyDescent="0.25">
      <c r="A1659">
        <f ca="1">31478.5200176367*((RANDBETWEEN(2979,3282)))</f>
        <v>98181503.935008883</v>
      </c>
      <c r="B1659">
        <v>156646653.11225569</v>
      </c>
    </row>
    <row r="1660" spans="1:2" x14ac:dyDescent="0.25">
      <c r="A1660">
        <f ca="1">35263.2652505539*((RANDBETWEEN(2979,3282)))</f>
        <v>106001375.34316516</v>
      </c>
      <c r="B1660">
        <v>150958882.59193856</v>
      </c>
    </row>
    <row r="1661" spans="1:2" x14ac:dyDescent="0.25">
      <c r="A1661">
        <f ca="1">32213.4994249012*((RANDBETWEEN(2979,3282)))</f>
        <v>104371738.13667983</v>
      </c>
      <c r="B1661">
        <v>157468472.7667295</v>
      </c>
    </row>
    <row r="1662" spans="1:2" x14ac:dyDescent="0.25">
      <c r="A1662">
        <f ca="1">30580.810207849*((RANDBETWEEN(2979,3282)))</f>
        <v>91589526.572507754</v>
      </c>
      <c r="B1662">
        <v>200788165.94389459</v>
      </c>
    </row>
    <row r="1663" spans="1:2" x14ac:dyDescent="0.25">
      <c r="A1663">
        <f ca="1">30925.6086653752*((RANDBETWEEN(2979,3282)))</f>
        <v>100322674.51047729</v>
      </c>
      <c r="B1663">
        <v>182514709.6519652</v>
      </c>
    </row>
    <row r="1664" spans="1:2" x14ac:dyDescent="0.25">
      <c r="A1664">
        <f ca="1">29267.2739161618*((RANDBETWEEN(2979,3282)))</f>
        <v>91606567.357586548</v>
      </c>
      <c r="B1664">
        <v>161807722.04115424</v>
      </c>
    </row>
    <row r="1665" spans="1:2" x14ac:dyDescent="0.25">
      <c r="A1665">
        <f ca="1">32350.4876341647*((RANDBETWEEN(2979,3282)))</f>
        <v>105333187.7368404</v>
      </c>
      <c r="B1665">
        <v>159541911.97229192</v>
      </c>
    </row>
    <row r="1666" spans="1:2" x14ac:dyDescent="0.25">
      <c r="A1666">
        <f ca="1">32268.2131323389*((RANDBETWEEN(2979,3282)))</f>
        <v>103677768.79420485</v>
      </c>
      <c r="B1666">
        <v>160983448.82882518</v>
      </c>
    </row>
    <row r="1667" spans="1:2" x14ac:dyDescent="0.25">
      <c r="A1667">
        <f ca="1">30383.047769338*((RANDBETWEEN(2979,3282)))</f>
        <v>97620732.48288314</v>
      </c>
      <c r="B1667">
        <v>150025160.69132936</v>
      </c>
    </row>
    <row r="1668" spans="1:2" x14ac:dyDescent="0.25">
      <c r="A1668">
        <f ca="1">32087.6274427966*((RANDBETWEEN(2979,3282)))</f>
        <v>98701542.014042228</v>
      </c>
      <c r="B1668">
        <v>190682041.42284864</v>
      </c>
    </row>
    <row r="1669" spans="1:2" x14ac:dyDescent="0.25">
      <c r="A1669">
        <f ca="1">30933.6744903441*((RANDBETWEEN(2979,3282)))</f>
        <v>99204294.090533674</v>
      </c>
      <c r="B1669">
        <v>162070483.60287672</v>
      </c>
    </row>
    <row r="1670" spans="1:2" x14ac:dyDescent="0.25">
      <c r="A1670">
        <f ca="1">35680.8428530716*((RANDBETWEEN(2979,3282)))</f>
        <v>106364592.54500632</v>
      </c>
      <c r="B1670">
        <v>179963328.14067349</v>
      </c>
    </row>
    <row r="1671" spans="1:2" x14ac:dyDescent="0.25">
      <c r="A1671">
        <f ca="1">35378.6455168252*((RANDBETWEEN(2979,3282)))</f>
        <v>106065179.25944197</v>
      </c>
      <c r="B1671">
        <v>192480719.30276999</v>
      </c>
    </row>
    <row r="1672" spans="1:2" x14ac:dyDescent="0.25">
      <c r="A1672">
        <f ca="1">38360.791298933*((RANDBETWEEN(2979,3282)))</f>
        <v>125247983.59101614</v>
      </c>
      <c r="B1672">
        <v>181788229.14227995</v>
      </c>
    </row>
    <row r="1673" spans="1:2" x14ac:dyDescent="0.25">
      <c r="A1673">
        <f ca="1">31383.1816744076*((RANDBETWEEN(2979,3282)))</f>
        <v>102026723.62349927</v>
      </c>
      <c r="B1673">
        <v>179581210.65196878</v>
      </c>
    </row>
    <row r="1674" spans="1:2" x14ac:dyDescent="0.25">
      <c r="A1674">
        <f ca="1">37398.5754133249*((RANDBETWEEN(2979,3282)))</f>
        <v>112906299.17282787</v>
      </c>
      <c r="B1674">
        <v>156466462.24014395</v>
      </c>
    </row>
    <row r="1675" spans="1:2" x14ac:dyDescent="0.25">
      <c r="A1675">
        <f ca="1">37604.2009217953*((RANDBETWEEN(2979,3282)))</f>
        <v>122890528.61242715</v>
      </c>
      <c r="B1675">
        <v>163417752.69579077</v>
      </c>
    </row>
    <row r="1676" spans="1:2" x14ac:dyDescent="0.25">
      <c r="A1676">
        <f ca="1">37112.970515157*((RANDBETWEEN(2979,3282)))</f>
        <v>120171798.52807851</v>
      </c>
      <c r="B1676">
        <v>173298516.0547328</v>
      </c>
    </row>
    <row r="1677" spans="1:2" x14ac:dyDescent="0.25">
      <c r="A1677">
        <f ca="1">33217.2682281806*((RANDBETWEEN(2979,3282)))</f>
        <v>100382584.58556178</v>
      </c>
      <c r="B1677">
        <v>201003764.50890589</v>
      </c>
    </row>
    <row r="1678" spans="1:2" x14ac:dyDescent="0.25">
      <c r="A1678">
        <f ca="1">30412.5813648009*((RANDBETWEEN(2979,3282)))</f>
        <v>95191379.67182672</v>
      </c>
      <c r="B1678">
        <v>153266066.05851018</v>
      </c>
    </row>
    <row r="1679" spans="1:2" x14ac:dyDescent="0.25">
      <c r="A1679">
        <f ca="1">35839.7476672247*((RANDBETWEEN(2979,3282)))</f>
        <v>116299981.18014406</v>
      </c>
      <c r="B1679">
        <v>202095940.79092118</v>
      </c>
    </row>
    <row r="1680" spans="1:2" x14ac:dyDescent="0.25">
      <c r="A1680">
        <f ca="1">29640.1737017077*((RANDBETWEEN(2979,3282)))</f>
        <v>90669291.353523925</v>
      </c>
      <c r="B1680">
        <v>182896104.1325945</v>
      </c>
    </row>
    <row r="1681" spans="1:2" x14ac:dyDescent="0.25">
      <c r="A1681">
        <f ca="1">27371.0491470543*((RANDBETWEEN(2979,3282)))</f>
        <v>84248089.274633005</v>
      </c>
      <c r="B1681">
        <v>144065797.9660238</v>
      </c>
    </row>
    <row r="1682" spans="1:2" x14ac:dyDescent="0.25">
      <c r="A1682">
        <f ca="1">34284.6161240768*((RANDBETWEEN(2979,3282)))</f>
        <v>102579571.44323774</v>
      </c>
      <c r="B1682">
        <v>191624027.0927614</v>
      </c>
    </row>
    <row r="1683" spans="1:2" x14ac:dyDescent="0.25">
      <c r="A1683">
        <f ca="1">33990.5030116273*((RANDBETWEEN(2979,3282)))</f>
        <v>109959277.24261431</v>
      </c>
      <c r="B1683">
        <v>192225797.89134976</v>
      </c>
    </row>
    <row r="1684" spans="1:2" x14ac:dyDescent="0.25">
      <c r="A1684">
        <f ca="1">37402.959637903*((RANDBETWEEN(2979,3282)))</f>
        <v>118866605.7292558</v>
      </c>
      <c r="B1684">
        <v>155321803.50173968</v>
      </c>
    </row>
    <row r="1685" spans="1:2" x14ac:dyDescent="0.25">
      <c r="A1685">
        <f ca="1">34573.9223567098*((RANDBETWEEN(2979,3282)))</f>
        <v>112814708.6499442</v>
      </c>
      <c r="B1685">
        <v>145135610.63221508</v>
      </c>
    </row>
    <row r="1686" spans="1:2" x14ac:dyDescent="0.25">
      <c r="A1686">
        <f ca="1">36129.7381189843*((RANDBETWEEN(2979,3282)))</f>
        <v>108280825.14259596</v>
      </c>
      <c r="B1686">
        <v>150753718.11007774</v>
      </c>
    </row>
    <row r="1687" spans="1:2" x14ac:dyDescent="0.25">
      <c r="A1687">
        <f ca="1">32212.2133174124*((RANDBETWEEN(2979,3282)))</f>
        <v>100920864.32345319</v>
      </c>
      <c r="B1687">
        <v>195293969.08796</v>
      </c>
    </row>
    <row r="1688" spans="1:2" x14ac:dyDescent="0.25">
      <c r="A1688">
        <f ca="1">30086.8742971891*((RANDBETWEEN(2979,3282)))</f>
        <v>96157650.2538165</v>
      </c>
      <c r="B1688">
        <v>166701407.97941875</v>
      </c>
    </row>
    <row r="1689" spans="1:2" x14ac:dyDescent="0.25">
      <c r="A1689">
        <f ca="1">37178.8201522395*((RANDBETWEEN(2979,3282)))</f>
        <v>117931217.52290373</v>
      </c>
      <c r="B1689">
        <v>159203844.90833461</v>
      </c>
    </row>
    <row r="1690" spans="1:2" x14ac:dyDescent="0.25">
      <c r="A1690">
        <f ca="1">30888.7564315359*((RANDBETWEEN(2979,3282)))</f>
        <v>97917357.887968853</v>
      </c>
      <c r="B1690">
        <v>155912817.73778421</v>
      </c>
    </row>
    <row r="1691" spans="1:2" x14ac:dyDescent="0.25">
      <c r="A1691">
        <f ca="1">32190.3061337554*((RANDBETWEEN(2979,3282)))</f>
        <v>98953001.055164203</v>
      </c>
      <c r="B1691">
        <v>190360438.95440221</v>
      </c>
    </row>
    <row r="1692" spans="1:2" x14ac:dyDescent="0.25">
      <c r="A1692">
        <f ca="1">29304.0886773277*((RANDBETWEEN(2979,3282)))</f>
        <v>94154036.920253813</v>
      </c>
      <c r="B1692">
        <v>165688482.39195156</v>
      </c>
    </row>
    <row r="1693" spans="1:2" x14ac:dyDescent="0.25">
      <c r="A1693">
        <f ca="1">36423.8258357113*((RANDBETWEEN(2979,3282)))</f>
        <v>109125782.20379105</v>
      </c>
      <c r="B1693">
        <v>150571041.81248754</v>
      </c>
    </row>
    <row r="1694" spans="1:2" x14ac:dyDescent="0.25">
      <c r="A1694">
        <f ca="1">33281.5433747267*((RANDBETWEEN(2979,3282)))</f>
        <v>102806687.48453091</v>
      </c>
      <c r="B1694">
        <v>149058081.15137452</v>
      </c>
    </row>
    <row r="1695" spans="1:2" x14ac:dyDescent="0.25">
      <c r="A1695">
        <f ca="1">30286.0205458745*((RANDBETWEEN(2979,3282)))</f>
        <v>94159237.877123833</v>
      </c>
      <c r="B1695">
        <v>143082083.72348833</v>
      </c>
    </row>
    <row r="1696" spans="1:2" x14ac:dyDescent="0.25">
      <c r="A1696">
        <f ca="1">38301.5961391694*((RANDBETWEEN(2979,3282)))</f>
        <v>119539281.55034763</v>
      </c>
      <c r="B1696">
        <v>165913122.76046214</v>
      </c>
    </row>
    <row r="1697" spans="1:2" x14ac:dyDescent="0.25">
      <c r="A1697">
        <f ca="1">29799.5953581896*((RANDBETWEEN(2979,3282)))</f>
        <v>90173575.553881794</v>
      </c>
      <c r="B1697">
        <v>153019884.60240158</v>
      </c>
    </row>
    <row r="1698" spans="1:2" x14ac:dyDescent="0.25">
      <c r="A1698">
        <f ca="1">28469.2670120013*((RANDBETWEEN(2979,3282)))</f>
        <v>91073185.171392068</v>
      </c>
      <c r="B1698">
        <v>143782536.39696449</v>
      </c>
    </row>
    <row r="1699" spans="1:2" x14ac:dyDescent="0.25">
      <c r="A1699">
        <f ca="1">31546.7418816702*((RANDBETWEEN(2979,3282)))</f>
        <v>98867489.057154506</v>
      </c>
      <c r="B1699">
        <v>184731589.03209421</v>
      </c>
    </row>
    <row r="1700" spans="1:2" x14ac:dyDescent="0.25">
      <c r="A1700">
        <f ca="1">35976.2789369283*((RANDBETWEEN(2979,3282)))</f>
        <v>113073444.69876571</v>
      </c>
      <c r="B1700">
        <v>169455535.22358021</v>
      </c>
    </row>
    <row r="1701" spans="1:2" x14ac:dyDescent="0.25">
      <c r="A1701">
        <f ca="1">38130.0930981402*((RANDBETWEEN(2979,3282)))</f>
        <v>117097515.90438855</v>
      </c>
      <c r="B1701">
        <v>196011633.81746715</v>
      </c>
    </row>
    <row r="1702" spans="1:2" x14ac:dyDescent="0.25">
      <c r="A1702">
        <f ca="1">32615.260333078*((RANDBETWEEN(2979,3282)))</f>
        <v>99183006.672890097</v>
      </c>
      <c r="B1702">
        <v>147146385.99508584</v>
      </c>
    </row>
    <row r="1703" spans="1:2" x14ac:dyDescent="0.25">
      <c r="A1703">
        <f ca="1">30194.4927512979*((RANDBETWEEN(2979,3282)))</f>
        <v>98735991.296743974</v>
      </c>
      <c r="B1703">
        <v>160188587.7805652</v>
      </c>
    </row>
    <row r="1704" spans="1:2" x14ac:dyDescent="0.25">
      <c r="A1704">
        <f ca="1">30409.5726896737*((RANDBETWEEN(2979,3282)))</f>
        <v>92536329.694676951</v>
      </c>
      <c r="B1704">
        <v>149466389.67081901</v>
      </c>
    </row>
    <row r="1705" spans="1:2" x14ac:dyDescent="0.25">
      <c r="A1705">
        <f ca="1">40816.805416209*((RANDBETWEEN(2979,3282)))</f>
        <v>122817767.49737279</v>
      </c>
      <c r="B1705">
        <v>171860936.72242656</v>
      </c>
    </row>
    <row r="1706" spans="1:2" x14ac:dyDescent="0.25">
      <c r="A1706">
        <f ca="1">30517.9488022403*((RANDBETWEEN(2979,3282)))</f>
        <v>96741897.703101635</v>
      </c>
      <c r="B1706">
        <v>152245463.13667384</v>
      </c>
    </row>
    <row r="1707" spans="1:2" x14ac:dyDescent="0.25">
      <c r="A1707">
        <f ca="1">33262.4510473415*((RANDBETWEEN(2979,3282)))</f>
        <v>99654303.337835178</v>
      </c>
      <c r="B1707">
        <v>190202019.15050533</v>
      </c>
    </row>
    <row r="1708" spans="1:2" x14ac:dyDescent="0.25">
      <c r="A1708">
        <f ca="1">36327.3885070551*((RANDBETWEEN(2979,3282)))</f>
        <v>115557422.84094214</v>
      </c>
      <c r="B1708">
        <v>149841402.03566414</v>
      </c>
    </row>
    <row r="1709" spans="1:2" x14ac:dyDescent="0.25">
      <c r="A1709">
        <f ca="1">31058.7776192261*((RANDBETWEEN(2979,3282)))</f>
        <v>94387625.184828103</v>
      </c>
      <c r="B1709">
        <v>200799740.68525881</v>
      </c>
    </row>
    <row r="1710" spans="1:2" x14ac:dyDescent="0.25">
      <c r="A1710">
        <f ca="1">32828.6118891241*((RANDBETWEEN(2979,3282)))</f>
        <v>99930294.590493873</v>
      </c>
      <c r="B1710">
        <v>203557368.56207892</v>
      </c>
    </row>
    <row r="1711" spans="1:2" x14ac:dyDescent="0.25">
      <c r="A1711">
        <f ca="1">32275.0160566807*((RANDBETWEEN(2979,3282)))</f>
        <v>103215501.34926489</v>
      </c>
      <c r="B1711">
        <v>144850404.4779138</v>
      </c>
    </row>
    <row r="1712" spans="1:2" x14ac:dyDescent="0.25">
      <c r="A1712">
        <f ca="1">30087.5801017373*((RANDBETWEEN(2979,3282)))</f>
        <v>89991952.084296241</v>
      </c>
      <c r="B1712">
        <v>194438043.25956112</v>
      </c>
    </row>
    <row r="1713" spans="1:2" x14ac:dyDescent="0.25">
      <c r="A1713">
        <f ca="1">36688.5492637644*((RANDBETWEEN(2979,3282)))</f>
        <v>114211453.85809857</v>
      </c>
      <c r="B1713">
        <v>178235789.25937995</v>
      </c>
    </row>
    <row r="1714" spans="1:2" x14ac:dyDescent="0.25">
      <c r="A1714">
        <f ca="1">38404.5475756087*((RANDBETWEEN(2979,3282)))</f>
        <v>120628683.93498698</v>
      </c>
      <c r="B1714">
        <v>169235779.10924852</v>
      </c>
    </row>
    <row r="1715" spans="1:2" x14ac:dyDescent="0.25">
      <c r="A1715">
        <f ca="1">30414.2200533849*((RANDBETWEEN(2979,3282)))</f>
        <v>95896035.828322545</v>
      </c>
      <c r="B1715">
        <v>162583294.21076053</v>
      </c>
    </row>
    <row r="1716" spans="1:2" x14ac:dyDescent="0.25">
      <c r="A1716">
        <f ca="1">33454.8743673726*((RANDBETWEEN(2979,3282)))</f>
        <v>107624330.83983751</v>
      </c>
      <c r="B1716">
        <v>168886163.94721216</v>
      </c>
    </row>
    <row r="1717" spans="1:2" x14ac:dyDescent="0.25">
      <c r="A1717">
        <f ca="1">30919.0011017997*((RANDBETWEEN(2979,3282)))</f>
        <v>98291504.502621353</v>
      </c>
      <c r="B1717">
        <v>143296073.4499312</v>
      </c>
    </row>
    <row r="1718" spans="1:2" x14ac:dyDescent="0.25">
      <c r="A1718">
        <f ca="1">30640.3738107346*((RANDBETWEEN(2979,3282)))</f>
        <v>94249789.84181948</v>
      </c>
      <c r="B1718">
        <v>143733071.85759956</v>
      </c>
    </row>
    <row r="1719" spans="1:2" x14ac:dyDescent="0.25">
      <c r="A1719">
        <f ca="1">31664.5947712758*((RANDBETWEEN(2979,3282)))</f>
        <v>103828206.25501342</v>
      </c>
      <c r="B1719">
        <v>164122768.20728523</v>
      </c>
    </row>
    <row r="1720" spans="1:2" x14ac:dyDescent="0.25">
      <c r="A1720">
        <f ca="1">31515.3192598414*((RANDBETWEEN(2979,3282)))</f>
        <v>102424787.59448458</v>
      </c>
      <c r="B1720">
        <v>150701989.629031</v>
      </c>
    </row>
    <row r="1721" spans="1:2" x14ac:dyDescent="0.25">
      <c r="A1721">
        <f ca="1">30050.8065470336*((RANDBETWEEN(2979,3282)))</f>
        <v>97034054.340371385</v>
      </c>
      <c r="B1721">
        <v>160902385.00297061</v>
      </c>
    </row>
    <row r="1722" spans="1:2" x14ac:dyDescent="0.25">
      <c r="A1722">
        <f ca="1">32702.7094335211*((RANDBETWEEN(2979,3282)))</f>
        <v>98337047.266598016</v>
      </c>
      <c r="B1722">
        <v>172941827.58070236</v>
      </c>
    </row>
    <row r="1723" spans="1:2" x14ac:dyDescent="0.25">
      <c r="A1723">
        <f ca="1">33481.3199995352*((RANDBETWEEN(2979,3282)))</f>
        <v>107910294.35850199</v>
      </c>
      <c r="B1723">
        <v>200005748.53039587</v>
      </c>
    </row>
    <row r="1724" spans="1:2" x14ac:dyDescent="0.25">
      <c r="A1724">
        <f ca="1">40253.7218633916*((RANDBETWEEN(2979,3282)))</f>
        <v>125551358.49191828</v>
      </c>
      <c r="B1724">
        <v>153126675.82887089</v>
      </c>
    </row>
    <row r="1725" spans="1:2" x14ac:dyDescent="0.25">
      <c r="A1725">
        <f ca="1">35579.9378490134*((RANDBETWEEN(2979,3282)))</f>
        <v>109194829.25862209</v>
      </c>
      <c r="B1725">
        <v>145883954.44281453</v>
      </c>
    </row>
    <row r="1726" spans="1:2" x14ac:dyDescent="0.25">
      <c r="A1726">
        <f ca="1">41731.5470524428*((RANDBETWEEN(2979,3282)))</f>
        <v>124735594.13975158</v>
      </c>
      <c r="B1726">
        <v>177168942.50979817</v>
      </c>
    </row>
    <row r="1727" spans="1:2" x14ac:dyDescent="0.25">
      <c r="A1727">
        <f ca="1">29062.0800377582*((RANDBETWEEN(2979,3282)))</f>
        <v>87389674.673538953</v>
      </c>
      <c r="B1727">
        <v>155237594.8495498</v>
      </c>
    </row>
    <row r="1728" spans="1:2" x14ac:dyDescent="0.25">
      <c r="A1728">
        <f ca="1">30743.2170828163*((RANDBETWEEN(2979,3282)))</f>
        <v>93705325.66842398</v>
      </c>
      <c r="B1728">
        <v>167809854.49235344</v>
      </c>
    </row>
    <row r="1729" spans="1:2" x14ac:dyDescent="0.25">
      <c r="A1729">
        <f ca="1">30973.0836020949*((RANDBETWEEN(2979,3282)))</f>
        <v>94282066.484776899</v>
      </c>
      <c r="B1729">
        <v>146800409.92370388</v>
      </c>
    </row>
    <row r="1730" spans="1:2" x14ac:dyDescent="0.25">
      <c r="A1730">
        <f ca="1">31973.8930994159*((RANDBETWEEN(2979,3282)))</f>
        <v>102604222.9560257</v>
      </c>
      <c r="B1730">
        <v>180617233.83797815</v>
      </c>
    </row>
    <row r="1731" spans="1:2" x14ac:dyDescent="0.25">
      <c r="A1731">
        <f ca="1">31534.535712565*((RANDBETWEEN(2979,3282)))</f>
        <v>98734631.316041157</v>
      </c>
      <c r="B1731">
        <v>174053832.64041525</v>
      </c>
    </row>
    <row r="1732" spans="1:2" x14ac:dyDescent="0.25">
      <c r="A1732">
        <f ca="1">32588.0770094636*((RANDBETWEEN(2979,3282)))</f>
        <v>103141263.73495229</v>
      </c>
      <c r="B1732">
        <v>167560990.13938412</v>
      </c>
    </row>
    <row r="1733" spans="1:2" x14ac:dyDescent="0.25">
      <c r="A1733">
        <f ca="1">38002.2097821845*((RANDBETWEEN(2979,3282)))</f>
        <v>117692843.69542529</v>
      </c>
      <c r="B1733">
        <v>197544327.0139631</v>
      </c>
    </row>
    <row r="1734" spans="1:2" x14ac:dyDescent="0.25">
      <c r="A1734">
        <f ca="1">35830.6576011979*((RANDBETWEEN(2979,3282)))</f>
        <v>117309572.98632199</v>
      </c>
      <c r="B1734">
        <v>144946864.30198014</v>
      </c>
    </row>
    <row r="1735" spans="1:2" x14ac:dyDescent="0.25">
      <c r="A1735">
        <f ca="1">37244.0862073962*((RANDBETWEEN(2979,3282)))</f>
        <v>117207139.29467595</v>
      </c>
      <c r="B1735">
        <v>189468045.85310447</v>
      </c>
    </row>
    <row r="1736" spans="1:2" x14ac:dyDescent="0.25">
      <c r="A1736">
        <f ca="1">32305.3377836687*((RANDBETWEEN(2979,3282)))</f>
        <v>99048165.644728288</v>
      </c>
      <c r="B1736">
        <v>145964300.11039847</v>
      </c>
    </row>
    <row r="1737" spans="1:2" x14ac:dyDescent="0.25">
      <c r="A1737">
        <f ca="1">29890.0830551289*((RANDBETWEEN(2979,3282)))</f>
        <v>89670249.165386647</v>
      </c>
      <c r="B1737">
        <v>158819270.85677922</v>
      </c>
    </row>
    <row r="1738" spans="1:2" x14ac:dyDescent="0.25">
      <c r="A1738">
        <f ca="1">29984.1504019275*((RANDBETWEEN(2979,3282)))</f>
        <v>96818821.647823885</v>
      </c>
      <c r="B1738">
        <v>177765311.34779355</v>
      </c>
    </row>
    <row r="1739" spans="1:2" x14ac:dyDescent="0.25">
      <c r="A1739">
        <f ca="1">31829.1776345216*((RANDBETWEEN(2979,3282)))</f>
        <v>99625325.996052697</v>
      </c>
      <c r="B1739">
        <v>150093693.48589692</v>
      </c>
    </row>
    <row r="1740" spans="1:2" x14ac:dyDescent="0.25">
      <c r="A1740">
        <f ca="1">40189.6072430286*((RANDBETWEEN(2979,3282)))</f>
        <v>127802951.03283085</v>
      </c>
      <c r="B1740">
        <v>164245934.58447486</v>
      </c>
    </row>
    <row r="1741" spans="1:2" x14ac:dyDescent="0.25">
      <c r="A1741">
        <f ca="1">29970.2928171568*((RANDBETWEEN(2979,3282)))</f>
        <v>96594253.749696285</v>
      </c>
      <c r="B1741">
        <v>172697030.55541837</v>
      </c>
    </row>
    <row r="1742" spans="1:2" x14ac:dyDescent="0.25">
      <c r="A1742">
        <f ca="1">30674.0697589296*((RANDBETWEEN(2979,3282)))</f>
        <v>95028268.113163903</v>
      </c>
      <c r="B1742">
        <v>164649247.1899583</v>
      </c>
    </row>
    <row r="1743" spans="1:2" x14ac:dyDescent="0.25">
      <c r="A1743">
        <f ca="1">38367.935070077*((RANDBETWEEN(2979,3282)))</f>
        <v>114451550.31403963</v>
      </c>
      <c r="B1743">
        <v>157163754.8901979</v>
      </c>
    </row>
    <row r="1744" spans="1:2" x14ac:dyDescent="0.25">
      <c r="A1744">
        <f ca="1">35583.5716908249*((RANDBETWEEN(2979,3282)))</f>
        <v>115006103.70474593</v>
      </c>
      <c r="B1744">
        <v>145341397.29767281</v>
      </c>
    </row>
    <row r="1745" spans="1:2" x14ac:dyDescent="0.25">
      <c r="A1745">
        <f ca="1">30421.6498470971*((RANDBETWEEN(2979,3282)))</f>
        <v>90656516.544349328</v>
      </c>
      <c r="B1745">
        <v>150698665.1568853</v>
      </c>
    </row>
    <row r="1746" spans="1:2" x14ac:dyDescent="0.25">
      <c r="A1746">
        <f ca="1">33415.8023384443*((RANDBETWEEN(2979,3282)))</f>
        <v>99946664.794286877</v>
      </c>
      <c r="B1746">
        <v>155586393.11235568</v>
      </c>
    </row>
    <row r="1747" spans="1:2" x14ac:dyDescent="0.25">
      <c r="A1747">
        <f ca="1">29760.8108719558*((RANDBETWEEN(2979,3282)))</f>
        <v>95800050.196825728</v>
      </c>
      <c r="B1747">
        <v>172630398.89178097</v>
      </c>
    </row>
    <row r="1748" spans="1:2" x14ac:dyDescent="0.25">
      <c r="A1748">
        <f ca="1">33958.6214510959*((RANDBETWEEN(2979,3282)))</f>
        <v>110229685.23025718</v>
      </c>
      <c r="B1748">
        <v>151695796.52276853</v>
      </c>
    </row>
    <row r="1749" spans="1:2" x14ac:dyDescent="0.25">
      <c r="A1749">
        <f ca="1">32459.2513690832*((RANDBETWEEN(2979,3282)))</f>
        <v>105525026.20088942</v>
      </c>
      <c r="B1749">
        <v>171738680.96667221</v>
      </c>
    </row>
    <row r="1750" spans="1:2" x14ac:dyDescent="0.25">
      <c r="A1750">
        <f ca="1">32080.9690417935*((RANDBETWEEN(2979,3282)))</f>
        <v>96467473.908672974</v>
      </c>
      <c r="B1750">
        <v>169239013.94738853</v>
      </c>
    </row>
    <row r="1751" spans="1:2" x14ac:dyDescent="0.25">
      <c r="A1751">
        <f ca="1">31798.2511912099*((RANDBETWEEN(2979,3282)))</f>
        <v>102040588.07259253</v>
      </c>
      <c r="B1751">
        <v>147992205.21457806</v>
      </c>
    </row>
    <row r="1752" spans="1:2" x14ac:dyDescent="0.25">
      <c r="A1752">
        <f ca="1">39930.9410070241*((RANDBETWEEN(2979,3282)))</f>
        <v>122587988.89156412</v>
      </c>
      <c r="B1752">
        <v>146622578.68143079</v>
      </c>
    </row>
    <row r="1753" spans="1:2" x14ac:dyDescent="0.25">
      <c r="A1753">
        <f ca="1">39902.9966483909*((RANDBETWEEN(2979,3282)))</f>
        <v>120467146.88149217</v>
      </c>
      <c r="B1753">
        <v>150842736.88991436</v>
      </c>
    </row>
    <row r="1754" spans="1:2" x14ac:dyDescent="0.25">
      <c r="A1754">
        <f ca="1">32460.5403919903*((RANDBETWEEN(2979,3282)))</f>
        <v>102834991.9618254</v>
      </c>
      <c r="B1754">
        <v>175641106.65995967</v>
      </c>
    </row>
    <row r="1755" spans="1:2" x14ac:dyDescent="0.25">
      <c r="A1755">
        <f ca="1">31995.0707845605*((RANDBETWEEN(2979,3282)))</f>
        <v>99728635.635475129</v>
      </c>
      <c r="B1755">
        <v>153182359.49723458</v>
      </c>
    </row>
    <row r="1756" spans="1:2" x14ac:dyDescent="0.25">
      <c r="A1756">
        <f ca="1">31684.2999043658*((RANDBETWEEN(2979,3282)))</f>
        <v>96637114.70831573</v>
      </c>
      <c r="B1756">
        <v>160591766.05025157</v>
      </c>
    </row>
    <row r="1757" spans="1:2" x14ac:dyDescent="0.25">
      <c r="A1757">
        <f ca="1">37521.3715533686*((RANDBETWEEN(2979,3282)))</f>
        <v>112564114.66010594</v>
      </c>
      <c r="B1757">
        <v>190262634.01502508</v>
      </c>
    </row>
    <row r="1758" spans="1:2" x14ac:dyDescent="0.25">
      <c r="A1758">
        <f ca="1">40570.3300781137*((RANDBETWEEN(2979,3282)))</f>
        <v>122360115.51559103</v>
      </c>
      <c r="B1758">
        <v>200022326.49181205</v>
      </c>
    </row>
    <row r="1759" spans="1:2" x14ac:dyDescent="0.25">
      <c r="A1759">
        <f ca="1">39371.4287468553*((RANDBETWEEN(2979,3282)))</f>
        <v>124492457.69755657</v>
      </c>
      <c r="B1759">
        <v>170629465.26627773</v>
      </c>
    </row>
    <row r="1760" spans="1:2" x14ac:dyDescent="0.25">
      <c r="A1760">
        <f ca="1">33307.5997308477*((RANDBETWEEN(2979,3282)))</f>
        <v>106451088.73978935</v>
      </c>
      <c r="B1760">
        <v>153639220.12094137</v>
      </c>
    </row>
    <row r="1761" spans="1:2" x14ac:dyDescent="0.25">
      <c r="A1761">
        <f ca="1">39849.5245723758*((RANDBETWEEN(2979,3282)))</f>
        <v>124051569.99380597</v>
      </c>
      <c r="B1761">
        <v>190079783.67037836</v>
      </c>
    </row>
    <row r="1762" spans="1:2" x14ac:dyDescent="0.25">
      <c r="A1762">
        <f ca="1">29894.5467555679*((RANDBETWEEN(2979,3282)))</f>
        <v>97157276.955595762</v>
      </c>
      <c r="B1762">
        <v>188687823.43759787</v>
      </c>
    </row>
    <row r="1763" spans="1:2" x14ac:dyDescent="0.25">
      <c r="A1763">
        <f ca="1">32561.695641909*((RANDBETWEEN(2979,3282)))</f>
        <v>97945580.49086231</v>
      </c>
      <c r="B1763">
        <v>157832696.69506916</v>
      </c>
    </row>
    <row r="1764" spans="1:2" x14ac:dyDescent="0.25">
      <c r="A1764">
        <f ca="1">34452.9924430878*((RANDBETWEEN(2979,3282)))</f>
        <v>109009268.08992964</v>
      </c>
      <c r="B1764">
        <v>147378318.05779192</v>
      </c>
    </row>
    <row r="1765" spans="1:2" x14ac:dyDescent="0.25">
      <c r="A1765">
        <f ca="1">42387.2205175476*((RANDBETWEEN(2979,3282)))</f>
        <v>129874443.66576579</v>
      </c>
      <c r="B1765">
        <v>178390692.14162558</v>
      </c>
    </row>
    <row r="1766" spans="1:2" x14ac:dyDescent="0.25">
      <c r="A1766">
        <f ca="1">34383.6647107144*((RANDBETWEEN(2979,3282)))</f>
        <v>108102241.85048617</v>
      </c>
      <c r="B1766">
        <v>171838034.94147137</v>
      </c>
    </row>
    <row r="1767" spans="1:2" x14ac:dyDescent="0.25">
      <c r="A1767">
        <f ca="1">31592.2919170562*((RANDBETWEEN(2979,3282)))</f>
        <v>101632403.09716967</v>
      </c>
      <c r="B1767">
        <v>185254535.03749973</v>
      </c>
    </row>
    <row r="1768" spans="1:2" x14ac:dyDescent="0.25">
      <c r="A1768">
        <f ca="1">41601.1819814513*((RANDBETWEEN(2979,3282)))</f>
        <v>134871031.9838652</v>
      </c>
      <c r="B1768">
        <v>147570225.10097182</v>
      </c>
    </row>
    <row r="1769" spans="1:2" x14ac:dyDescent="0.25">
      <c r="A1769">
        <f ca="1">30507.6273950724*((RANDBETWEEN(2979,3282)))</f>
        <v>99637911.072306484</v>
      </c>
      <c r="B1769">
        <v>192478958.14511415</v>
      </c>
    </row>
    <row r="1770" spans="1:2" x14ac:dyDescent="0.25">
      <c r="A1770">
        <f ca="1">37602.0540827194*((RANDBETWEEN(2979,3282)))</f>
        <v>113971825.92472249</v>
      </c>
      <c r="B1770">
        <v>168627440.35497618</v>
      </c>
    </row>
    <row r="1771" spans="1:2" x14ac:dyDescent="0.25">
      <c r="A1771">
        <f ca="1">40502.7893372941*((RANDBETWEEN(2979,3282)))</f>
        <v>128960881.24994427</v>
      </c>
      <c r="B1771">
        <v>170038179.01468861</v>
      </c>
    </row>
    <row r="1772" spans="1:2" x14ac:dyDescent="0.25">
      <c r="A1772">
        <f ca="1">29368.0638621379*((RANDBETWEEN(2979,3282)))</f>
        <v>94565165.636084005</v>
      </c>
      <c r="B1772">
        <v>146629664.079557</v>
      </c>
    </row>
    <row r="1773" spans="1:2" x14ac:dyDescent="0.25">
      <c r="A1773">
        <f ca="1">36242.7517305555*((RANDBETWEEN(2979,3282)))</f>
        <v>117861428.62776653</v>
      </c>
      <c r="B1773">
        <v>163010092.38942397</v>
      </c>
    </row>
    <row r="1774" spans="1:2" x14ac:dyDescent="0.25">
      <c r="A1774">
        <f ca="1">29481.830396852*((RANDBETWEEN(2979,3282)))</f>
        <v>88592900.342540368</v>
      </c>
      <c r="B1774">
        <v>154800500.99086019</v>
      </c>
    </row>
    <row r="1775" spans="1:2" x14ac:dyDescent="0.25">
      <c r="A1775">
        <f ca="1">30018.8232616295*((RANDBETWEEN(2979,3282)))</f>
        <v>90746902.719905913</v>
      </c>
      <c r="B1775">
        <v>180400788.01742458</v>
      </c>
    </row>
    <row r="1776" spans="1:2" x14ac:dyDescent="0.25">
      <c r="A1776">
        <f ca="1">38648.9409470804*((RANDBETWEEN(2979,3282)))</f>
        <v>125377164.43232866</v>
      </c>
      <c r="B1776">
        <v>182895668.36545444</v>
      </c>
    </row>
    <row r="1777" spans="1:2" x14ac:dyDescent="0.25">
      <c r="A1777">
        <f ca="1">31697.5209506643*((RANDBETWEEN(2979,3282)))</f>
        <v>99371728.180332437</v>
      </c>
      <c r="B1777">
        <v>165328701.60244077</v>
      </c>
    </row>
    <row r="1778" spans="1:2" x14ac:dyDescent="0.25">
      <c r="A1778">
        <f ca="1">40222.1148995745*((RANDBETWEEN(2979,3282)))</f>
        <v>125895219.63566817</v>
      </c>
      <c r="B1778">
        <v>171768076.75665277</v>
      </c>
    </row>
    <row r="1779" spans="1:2" x14ac:dyDescent="0.25">
      <c r="A1779">
        <f ca="1">32254.1516807904*((RANDBETWEEN(2979,3282)))</f>
        <v>96407659.373882651</v>
      </c>
      <c r="B1779">
        <v>167395164.17837673</v>
      </c>
    </row>
    <row r="1780" spans="1:2" x14ac:dyDescent="0.25">
      <c r="A1780">
        <f ca="1">30841.6012463413*((RANDBETWEEN(2979,3282)))</f>
        <v>97521143.140931174</v>
      </c>
      <c r="B1780">
        <v>171205607.17541754</v>
      </c>
    </row>
    <row r="1781" spans="1:2" x14ac:dyDescent="0.25">
      <c r="A1781">
        <f ca="1">33991.7787805957*((RANDBETWEEN(2979,3282)))</f>
        <v>101737393.89032307</v>
      </c>
      <c r="B1781">
        <v>167656353.87272888</v>
      </c>
    </row>
    <row r="1782" spans="1:2" x14ac:dyDescent="0.25">
      <c r="A1782">
        <f ca="1">28477.0014812301*((RANDBETWEEN(2979,3282)))</f>
        <v>86513130.499977142</v>
      </c>
      <c r="B1782">
        <v>167713863.39648378</v>
      </c>
    </row>
    <row r="1783" spans="1:2" x14ac:dyDescent="0.25">
      <c r="A1783">
        <f ca="1">40114.880791474*((RANDBETWEEN(2979,3282)))</f>
        <v>122751535.22191049</v>
      </c>
      <c r="B1783">
        <v>160057804.59094411</v>
      </c>
    </row>
    <row r="1784" spans="1:2" x14ac:dyDescent="0.25">
      <c r="A1784">
        <f ca="1">33081.7006803055*((RANDBETWEEN(2979,3282)))</f>
        <v>106059932.38105945</v>
      </c>
      <c r="B1784">
        <v>201655988.69835901</v>
      </c>
    </row>
    <row r="1785" spans="1:2" x14ac:dyDescent="0.25">
      <c r="A1785">
        <f ca="1">31989.0838185072*((RANDBETWEEN(2979,3282)))</f>
        <v>99709974.262287006</v>
      </c>
      <c r="B1785">
        <v>157351881.90124205</v>
      </c>
    </row>
    <row r="1786" spans="1:2" x14ac:dyDescent="0.25">
      <c r="A1786">
        <f ca="1">31304.8839249569*((RANDBETWEEN(2979,3282)))</f>
        <v>99862579.720612392</v>
      </c>
      <c r="B1786">
        <v>183953323.33666342</v>
      </c>
    </row>
    <row r="1787" spans="1:2" x14ac:dyDescent="0.25">
      <c r="A1787">
        <f ca="1">30089.444240234*((RANDBETWEEN(2979,3282)))</f>
        <v>95503896.018502787</v>
      </c>
      <c r="B1787">
        <v>185456106.16319352</v>
      </c>
    </row>
    <row r="1788" spans="1:2" x14ac:dyDescent="0.25">
      <c r="A1788">
        <f ca="1">37456.745770059*((RANDBETWEEN(2979,3282)))</f>
        <v>116378109.10757317</v>
      </c>
      <c r="B1788">
        <v>159801701.18204284</v>
      </c>
    </row>
    <row r="1789" spans="1:2" x14ac:dyDescent="0.25">
      <c r="A1789">
        <f ca="1">30951.5314527197*((RANDBETWEEN(2979,3282)))</f>
        <v>96785438.852654532</v>
      </c>
      <c r="B1789">
        <v>169067352.32086244</v>
      </c>
    </row>
    <row r="1790" spans="1:2" x14ac:dyDescent="0.25">
      <c r="A1790">
        <f ca="1">30834.8231968455*((RANDBETWEEN(2979,3282)))</f>
        <v>94755411.683906183</v>
      </c>
      <c r="B1790">
        <v>145476162.98444927</v>
      </c>
    </row>
    <row r="1791" spans="1:2" x14ac:dyDescent="0.25">
      <c r="A1791">
        <f ca="1">32043.5989040663*((RANDBETWEEN(2979,3282)))</f>
        <v>96547363.497951671</v>
      </c>
      <c r="B1791">
        <v>152431469.39726591</v>
      </c>
    </row>
    <row r="1792" spans="1:2" x14ac:dyDescent="0.25">
      <c r="A1792">
        <f ca="1">27921.1761964596*((RANDBETWEEN(2979,3282)))</f>
        <v>89208157.94768846</v>
      </c>
      <c r="B1792">
        <v>148741997.3532961</v>
      </c>
    </row>
    <row r="1793" spans="1:2" x14ac:dyDescent="0.25">
      <c r="A1793">
        <f ca="1">29470.995885434*((RANDBETWEEN(2979,3282)))</f>
        <v>89326588.528750747</v>
      </c>
      <c r="B1793">
        <v>171080354.69932893</v>
      </c>
    </row>
    <row r="1794" spans="1:2" x14ac:dyDescent="0.25">
      <c r="A1794">
        <f ca="1">30524.1838770646*((RANDBETWEEN(2979,3282)))</f>
        <v>98593113.922918662</v>
      </c>
      <c r="B1794">
        <v>152785898.55873463</v>
      </c>
    </row>
    <row r="1795" spans="1:2" x14ac:dyDescent="0.25">
      <c r="A1795">
        <f ca="1">30604.5331604041*((RANDBETWEEN(2979,3282)))</f>
        <v>93864103.202959344</v>
      </c>
      <c r="B1795">
        <v>165685427.43397436</v>
      </c>
    </row>
    <row r="1796" spans="1:2" x14ac:dyDescent="0.25">
      <c r="A1796">
        <f ca="1">34582.1635977865*((RANDBETWEEN(2979,3282)))</f>
        <v>106201824.40880254</v>
      </c>
      <c r="B1796">
        <v>154156263.0989961</v>
      </c>
    </row>
    <row r="1797" spans="1:2" x14ac:dyDescent="0.25">
      <c r="A1797">
        <f ca="1">37123.9913216498*((RANDBETWEEN(2979,3282)))</f>
        <v>111631841.90420105</v>
      </c>
      <c r="B1797">
        <v>165557039.29139709</v>
      </c>
    </row>
    <row r="1798" spans="1:2" x14ac:dyDescent="0.25">
      <c r="A1798">
        <f ca="1">31945.377522345*((RANDBETWEEN(2979,3282)))</f>
        <v>100148758.53255145</v>
      </c>
      <c r="B1798">
        <v>173384964.93978089</v>
      </c>
    </row>
    <row r="1799" spans="1:2" x14ac:dyDescent="0.25">
      <c r="A1799">
        <f ca="1">31058.4369702086*((RANDBETWEEN(2979,3282)))</f>
        <v>100567218.90953553</v>
      </c>
      <c r="B1799">
        <v>174505848.82066244</v>
      </c>
    </row>
    <row r="1800" spans="1:2" x14ac:dyDescent="0.25">
      <c r="A1800">
        <f ca="1">29667.4711092572*((RANDBETWEEN(2979,3282)))</f>
        <v>92888852.043084159</v>
      </c>
      <c r="B1800">
        <v>151236256.81770682</v>
      </c>
    </row>
    <row r="1801" spans="1:2" x14ac:dyDescent="0.25">
      <c r="A1801">
        <f ca="1">34804.5411539563*((RANDBETWEEN(2979,3282)))</f>
        <v>112105427.05689321</v>
      </c>
      <c r="B1801">
        <v>193722519.25017053</v>
      </c>
    </row>
    <row r="1802" spans="1:2" x14ac:dyDescent="0.25">
      <c r="A1802">
        <f ca="1">32508.5919555202*((RANDBETWEEN(2979,3282)))</f>
        <v>103604882.5622429</v>
      </c>
      <c r="B1802">
        <v>160455148.00215635</v>
      </c>
    </row>
    <row r="1803" spans="1:2" x14ac:dyDescent="0.25">
      <c r="A1803">
        <f ca="1">38253.2373661243*((RANDBETWEEN(2979,3282)))</f>
        <v>121148002.73851556</v>
      </c>
      <c r="B1803">
        <v>168592952.86018655</v>
      </c>
    </row>
    <row r="1804" spans="1:2" x14ac:dyDescent="0.25">
      <c r="A1804">
        <f ca="1">32901.0768083425*((RANDBETWEEN(2979,3282)))</f>
        <v>100512789.64948645</v>
      </c>
      <c r="B1804">
        <v>142906234.85931605</v>
      </c>
    </row>
    <row r="1805" spans="1:2" x14ac:dyDescent="0.25">
      <c r="A1805">
        <f ca="1">39827.5906251851*((RANDBETWEEN(2979,3282)))</f>
        <v>121752944.54119085</v>
      </c>
      <c r="B1805">
        <v>152248171.87225562</v>
      </c>
    </row>
    <row r="1806" spans="1:2" x14ac:dyDescent="0.25">
      <c r="A1806">
        <f ca="1">36673.851736561*((RANDBETWEEN(2979,3282)))</f>
        <v>109288078.17495185</v>
      </c>
      <c r="B1806">
        <v>193659776.28401718</v>
      </c>
    </row>
    <row r="1807" spans="1:2" x14ac:dyDescent="0.25">
      <c r="A1807">
        <f ca="1">40748.5169508369*((RANDBETWEEN(2979,3282)))</f>
        <v>124405222.2509051</v>
      </c>
      <c r="B1807">
        <v>201888788.83441186</v>
      </c>
    </row>
    <row r="1808" spans="1:2" x14ac:dyDescent="0.25">
      <c r="A1808">
        <f ca="1">32220.0089954739*((RANDBETWEEN(2979,3282)))</f>
        <v>99140967.67907314</v>
      </c>
      <c r="B1808">
        <v>176817257.37151304</v>
      </c>
    </row>
    <row r="1809" spans="1:2" x14ac:dyDescent="0.25">
      <c r="A1809">
        <f ca="1">39836.5840657663*((RANDBETWEEN(2979,3282)))</f>
        <v>124250305.70112513</v>
      </c>
      <c r="B1809">
        <v>153111438.16022199</v>
      </c>
    </row>
    <row r="1810" spans="1:2" x14ac:dyDescent="0.25">
      <c r="A1810">
        <f ca="1">32085.9939099452*((RANDBETWEEN(2979,3282)))</f>
        <v>96482583.687205166</v>
      </c>
      <c r="B1810">
        <v>188183898.52399766</v>
      </c>
    </row>
    <row r="1811" spans="1:2" x14ac:dyDescent="0.25">
      <c r="A1811">
        <f ca="1">30084.2755736297*((RANDBETWEEN(2979,3282)))</f>
        <v>98676423.881505504</v>
      </c>
      <c r="B1811">
        <v>154838994.91494289</v>
      </c>
    </row>
    <row r="1812" spans="1:2" x14ac:dyDescent="0.25">
      <c r="A1812">
        <f ca="1">39605.2439390626*((RANDBETWEEN(2979,3282)))</f>
        <v>124954544.62774251</v>
      </c>
      <c r="B1812">
        <v>164830426.22324458</v>
      </c>
    </row>
    <row r="1813" spans="1:2" x14ac:dyDescent="0.25">
      <c r="A1813">
        <f ca="1">40162.303504131*((RANDBETWEEN(2979,3282)))</f>
        <v>126872716.76954989</v>
      </c>
      <c r="B1813">
        <v>144826384.42655978</v>
      </c>
    </row>
    <row r="1814" spans="1:2" x14ac:dyDescent="0.25">
      <c r="A1814">
        <f ca="1">38361.2009436833*((RANDBETWEEN(2979,3282)))</f>
        <v>124520458.26319586</v>
      </c>
      <c r="B1814">
        <v>144447467.57924068</v>
      </c>
    </row>
    <row r="1815" spans="1:2" x14ac:dyDescent="0.25">
      <c r="A1815">
        <f ca="1">31484.9841609191*((RANDBETWEEN(2979,3282)))</f>
        <v>95525441.94422856</v>
      </c>
      <c r="B1815">
        <v>155288381.25723061</v>
      </c>
    </row>
    <row r="1816" spans="1:2" x14ac:dyDescent="0.25">
      <c r="A1816">
        <f ca="1">31477.4653981501*((RANDBETWEEN(2979,3282)))</f>
        <v>95660017.344978094</v>
      </c>
      <c r="B1816">
        <v>155077378.19389403</v>
      </c>
    </row>
    <row r="1817" spans="1:2" x14ac:dyDescent="0.25">
      <c r="A1817">
        <f ca="1">31041.5927757378*((RANDBETWEEN(2979,3282)))</f>
        <v>93590402.218849465</v>
      </c>
      <c r="B1817">
        <v>148691219.56203684</v>
      </c>
    </row>
    <row r="1818" spans="1:2" x14ac:dyDescent="0.25">
      <c r="A1818">
        <f ca="1">33535.1605052428*((RANDBETWEEN(2979,3282)))</f>
        <v>104260814.0107998</v>
      </c>
      <c r="B1818">
        <v>176810090.76240158</v>
      </c>
    </row>
    <row r="1819" spans="1:2" x14ac:dyDescent="0.25">
      <c r="A1819">
        <f ca="1">41287.1800529246*((RANDBETWEEN(2979,3282)))</f>
        <v>132284124.88957036</v>
      </c>
      <c r="B1819">
        <v>176287209.91260931</v>
      </c>
    </row>
    <row r="1820" spans="1:2" x14ac:dyDescent="0.25">
      <c r="A1820">
        <f ca="1">39133.6830468462*((RANDBETWEEN(2979,3282)))</f>
        <v>120649144.83342671</v>
      </c>
      <c r="B1820">
        <v>167453294.5503723</v>
      </c>
    </row>
    <row r="1821" spans="1:2" x14ac:dyDescent="0.25">
      <c r="A1821">
        <f ca="1">31842.6260672329*((RANDBETWEEN(2979,3282)))</f>
        <v>95018396.184622884</v>
      </c>
      <c r="B1821">
        <v>159578701.5987325</v>
      </c>
    </row>
    <row r="1822" spans="1:2" x14ac:dyDescent="0.25">
      <c r="A1822">
        <f ca="1">31148.5277755472*((RANDBETWEEN(2979,3282)))</f>
        <v>93414434.798866153</v>
      </c>
      <c r="B1822">
        <v>147321896.30019042</v>
      </c>
    </row>
    <row r="1823" spans="1:2" x14ac:dyDescent="0.25">
      <c r="A1823">
        <f ca="1">29481.6534283053*((RANDBETWEEN(2979,3282)))</f>
        <v>88297552.017774463</v>
      </c>
      <c r="B1823">
        <v>146460747.96183518</v>
      </c>
    </row>
    <row r="1824" spans="1:2" x14ac:dyDescent="0.25">
      <c r="A1824">
        <f ca="1">31045.8630693378*((RANDBETWEEN(2979,3282)))</f>
        <v>97546101.763859242</v>
      </c>
      <c r="B1824">
        <v>196339187.84366408</v>
      </c>
    </row>
    <row r="1825" spans="1:2" x14ac:dyDescent="0.25">
      <c r="A1825">
        <f ca="1">39036.2307839686*((RANDBETWEEN(2979,3282)))</f>
        <v>121441713.96892641</v>
      </c>
      <c r="B1825">
        <v>159273191.47185349</v>
      </c>
    </row>
    <row r="1826" spans="1:2" x14ac:dyDescent="0.25">
      <c r="A1826">
        <f ca="1">40853.4899008364*((RANDBETWEEN(2979,3282)))</f>
        <v>126604965.20269212</v>
      </c>
      <c r="B1826">
        <v>182640472.53413329</v>
      </c>
    </row>
    <row r="1827" spans="1:2" x14ac:dyDescent="0.25">
      <c r="A1827">
        <f ca="1">31403.4550538232*((RANDBETWEEN(2979,3282)))</f>
        <v>97193693.391582832</v>
      </c>
      <c r="B1827">
        <v>170740800.0863235</v>
      </c>
    </row>
    <row r="1828" spans="1:2" x14ac:dyDescent="0.25">
      <c r="A1828">
        <f ca="1">32110.5331973127*((RANDBETWEEN(2979,3282)))</f>
        <v>99703205.577655822</v>
      </c>
      <c r="B1828">
        <v>192944603.37109384</v>
      </c>
    </row>
    <row r="1829" spans="1:2" x14ac:dyDescent="0.25">
      <c r="A1829">
        <f ca="1">35199.0412036462*((RANDBETWEEN(2979,3282)))</f>
        <v>107181080.4651027</v>
      </c>
      <c r="B1829">
        <v>187518457.04664391</v>
      </c>
    </row>
    <row r="1830" spans="1:2" x14ac:dyDescent="0.25">
      <c r="A1830">
        <f ca="1">34828.135151214*((RANDBETWEEN(2979,3282)))</f>
        <v>110126563.34813868</v>
      </c>
      <c r="B1830">
        <v>184469877.18267414</v>
      </c>
    </row>
    <row r="1831" spans="1:2" x14ac:dyDescent="0.25">
      <c r="A1831">
        <f ca="1">30960.9385158151*((RANDBETWEEN(2979,3282)))</f>
        <v>101489956.45484202</v>
      </c>
      <c r="B1831">
        <v>176620908.35781184</v>
      </c>
    </row>
    <row r="1832" spans="1:2" x14ac:dyDescent="0.25">
      <c r="A1832">
        <f ca="1">31343.6547312999*((RANDBETWEEN(2979,3282)))</f>
        <v>95786208.858852386</v>
      </c>
      <c r="B1832">
        <v>150678911.91700071</v>
      </c>
    </row>
    <row r="1833" spans="1:2" x14ac:dyDescent="0.25">
      <c r="A1833">
        <f ca="1">38966.4579281002*((RANDBETWEEN(2979,3282)))</f>
        <v>120367388.53990145</v>
      </c>
      <c r="B1833">
        <v>182610897.91155639</v>
      </c>
    </row>
    <row r="1834" spans="1:2" x14ac:dyDescent="0.25">
      <c r="A1834">
        <f ca="1">31692.0306569719*((RANDBETWEEN(2979,3282)))</f>
        <v>94759171.664345965</v>
      </c>
      <c r="B1834">
        <v>187522628.47435534</v>
      </c>
    </row>
    <row r="1835" spans="1:2" x14ac:dyDescent="0.25">
      <c r="A1835">
        <f ca="1">37671.4221275749*((RANDBETWEEN(2979,3282)))</f>
        <v>116668394.3290994</v>
      </c>
      <c r="B1835">
        <v>178478325.93966234</v>
      </c>
    </row>
    <row r="1836" spans="1:2" x14ac:dyDescent="0.25">
      <c r="A1836">
        <f ca="1">36215.8031289561*((RANDBETWEEN(2979,3282)))</f>
        <v>111399810.42466891</v>
      </c>
      <c r="B1836">
        <v>145279366.89776829</v>
      </c>
    </row>
    <row r="1837" spans="1:2" x14ac:dyDescent="0.25">
      <c r="A1837">
        <f ca="1">38363.7761232904*((RANDBETWEEN(2979,3282)))</f>
        <v>119464798.8479262</v>
      </c>
      <c r="B1837">
        <v>180810662.8603996</v>
      </c>
    </row>
    <row r="1838" spans="1:2" x14ac:dyDescent="0.25">
      <c r="A1838">
        <f ca="1">30422.7447249915*((RANDBETWEEN(2979,3282)))</f>
        <v>92302607.495624125</v>
      </c>
      <c r="B1838">
        <v>187914158.00108999</v>
      </c>
    </row>
    <row r="1839" spans="1:2" x14ac:dyDescent="0.25">
      <c r="A1839">
        <f ca="1">27948.6261113927*((RANDBETWEEN(2979,3282)))</f>
        <v>83342803.064173043</v>
      </c>
      <c r="B1839">
        <v>158706316.57194793</v>
      </c>
    </row>
    <row r="1840" spans="1:2" x14ac:dyDescent="0.25">
      <c r="A1840">
        <f ca="1">30522.4255127398*((RANDBETWEEN(2979,3282)))</f>
        <v>93764891.175136656</v>
      </c>
      <c r="B1840">
        <v>177164413.72832888</v>
      </c>
    </row>
    <row r="1841" spans="1:2" x14ac:dyDescent="0.25">
      <c r="A1841">
        <f ca="1">32186.3307567778*((RANDBETWEEN(2979,3282)))</f>
        <v>100485724.62266029</v>
      </c>
      <c r="B1841">
        <v>185330267.40711766</v>
      </c>
    </row>
    <row r="1842" spans="1:2" x14ac:dyDescent="0.25">
      <c r="A1842">
        <f ca="1">31179.4877621251*((RANDBETWEEN(2979,3282)))</f>
        <v>97155283.866781667</v>
      </c>
      <c r="B1842">
        <v>155686662.32472503</v>
      </c>
    </row>
    <row r="1843" spans="1:2" x14ac:dyDescent="0.25">
      <c r="A1843">
        <f ca="1">33365.5931596556*((RANDBETWEEN(2979,3282)))</f>
        <v>102532467.77962151</v>
      </c>
      <c r="B1843">
        <v>198442604.05142987</v>
      </c>
    </row>
    <row r="1844" spans="1:2" x14ac:dyDescent="0.25">
      <c r="A1844">
        <f ca="1">34501.6582499087*((RANDBETWEEN(2979,3282)))</f>
        <v>107645173.73971501</v>
      </c>
      <c r="B1844">
        <v>177738154.94697928</v>
      </c>
    </row>
    <row r="1845" spans="1:2" x14ac:dyDescent="0.25">
      <c r="A1845">
        <f ca="1">28682.6744915711*((RANDBETWEEN(2979,3282)))</f>
        <v>90751982.09133108</v>
      </c>
      <c r="B1845">
        <v>167961495.28171268</v>
      </c>
    </row>
    <row r="1846" spans="1:2" x14ac:dyDescent="0.25">
      <c r="A1846">
        <f ca="1">31965.5223779022*((RANDBETWEEN(2979,3282)))</f>
        <v>101682326.68410687</v>
      </c>
      <c r="B1846">
        <v>153663150.97306296</v>
      </c>
    </row>
    <row r="1847" spans="1:2" x14ac:dyDescent="0.25">
      <c r="A1847">
        <f ca="1">32101.118929486*((RANDBETWEEN(2979,3282)))</f>
        <v>98261525.043156534</v>
      </c>
      <c r="B1847">
        <v>183382077.69564468</v>
      </c>
    </row>
    <row r="1848" spans="1:2" x14ac:dyDescent="0.25">
      <c r="A1848">
        <f ca="1">28377.299123437*((RANDBETWEEN(2979,3282)))</f>
        <v>93049163.825750068</v>
      </c>
      <c r="B1848">
        <v>180671789.59597161</v>
      </c>
    </row>
    <row r="1849" spans="1:2" x14ac:dyDescent="0.25">
      <c r="A1849">
        <f ca="1">31033.1648970735*((RANDBETWEEN(2979,3282)))</f>
        <v>93533958.999779671</v>
      </c>
      <c r="B1849">
        <v>144262849.97369394</v>
      </c>
    </row>
    <row r="1850" spans="1:2" x14ac:dyDescent="0.25">
      <c r="A1850">
        <f ca="1">31689.5810799121*((RANDBETWEEN(2979,3282)))</f>
        <v>101184832.38815945</v>
      </c>
      <c r="B1850">
        <v>195019622.60022995</v>
      </c>
    </row>
    <row r="1851" spans="1:2" x14ac:dyDescent="0.25">
      <c r="A1851">
        <f ca="1">33960.2148820956*((RANDBETWEEN(2979,3282)))</f>
        <v>107212398.3827759</v>
      </c>
      <c r="B1851">
        <v>148277711.08077192</v>
      </c>
    </row>
    <row r="1852" spans="1:2" x14ac:dyDescent="0.25">
      <c r="A1852">
        <f ca="1">35071.5477149159*((RANDBETWEEN(2979,3282)))</f>
        <v>108791941.01166905</v>
      </c>
      <c r="B1852">
        <v>189127045.31827265</v>
      </c>
    </row>
    <row r="1853" spans="1:2" x14ac:dyDescent="0.25">
      <c r="A1853">
        <f ca="1">39089.5336845005*((RANDBETWEEN(2979,3282)))</f>
        <v>118988540.53561963</v>
      </c>
      <c r="B1853">
        <v>149943305.83178368</v>
      </c>
    </row>
    <row r="1854" spans="1:2" x14ac:dyDescent="0.25">
      <c r="A1854">
        <f ca="1">31696.4881921258*((RANDBETWEEN(2979,3282)))</f>
        <v>102474746.32514277</v>
      </c>
      <c r="B1854">
        <v>154461191.69852954</v>
      </c>
    </row>
    <row r="1855" spans="1:2" x14ac:dyDescent="0.25">
      <c r="A1855">
        <f ca="1">31516.7482890673*((RANDBETWEEN(2979,3282)))</f>
        <v>101452412.74250765</v>
      </c>
      <c r="B1855">
        <v>170110377.76505089</v>
      </c>
    </row>
    <row r="1856" spans="1:2" x14ac:dyDescent="0.25">
      <c r="A1856">
        <f ca="1">33050.1347784666*((RANDBETWEEN(2979,3282)))</f>
        <v>101959665.79156949</v>
      </c>
      <c r="B1856">
        <v>154227113.05734503</v>
      </c>
    </row>
    <row r="1857" spans="1:2" x14ac:dyDescent="0.25">
      <c r="A1857">
        <f ca="1">38333.3794082755*((RANDBETWEEN(2979,3282)))</f>
        <v>116955140.57464841</v>
      </c>
      <c r="B1857">
        <v>150340678.73435476</v>
      </c>
    </row>
    <row r="1858" spans="1:2" x14ac:dyDescent="0.25">
      <c r="A1858">
        <f ca="1">37199.4902356073*((RANDBETWEEN(2979,3282)))</f>
        <v>116099609.02533025</v>
      </c>
      <c r="B1858">
        <v>181576985.95465299</v>
      </c>
    </row>
    <row r="1859" spans="1:2" x14ac:dyDescent="0.25">
      <c r="A1859">
        <f ca="1">31197.3953159005*((RANDBETWEEN(2979,3282)))</f>
        <v>99457296.267090738</v>
      </c>
      <c r="B1859">
        <v>152275081.1064375</v>
      </c>
    </row>
    <row r="1860" spans="1:2" x14ac:dyDescent="0.25">
      <c r="A1860">
        <f ca="1">31534.2335807927*((RANDBETWEEN(2979,3282)))</f>
        <v>102265519.50251067</v>
      </c>
      <c r="B1860">
        <v>167769091.58403552</v>
      </c>
    </row>
    <row r="1861" spans="1:2" x14ac:dyDescent="0.25">
      <c r="A1861">
        <f ca="1">33319.857205027*((RANDBETWEEN(2979,3282)))</f>
        <v>105557307.62552568</v>
      </c>
      <c r="B1861">
        <v>189850728.75810325</v>
      </c>
    </row>
    <row r="1862" spans="1:2" x14ac:dyDescent="0.25">
      <c r="A1862">
        <f ca="1">30364.3208942501*((RANDBETWEEN(2979,3282)))</f>
        <v>90789319.473807946</v>
      </c>
      <c r="B1862">
        <v>198210059.34193456</v>
      </c>
    </row>
    <row r="1863" spans="1:2" x14ac:dyDescent="0.25">
      <c r="A1863">
        <f ca="1">41513.9343666307*((RANDBETWEEN(2979,3282)))</f>
        <v>134546661.2822502</v>
      </c>
      <c r="B1863">
        <v>176508216.04784572</v>
      </c>
    </row>
    <row r="1864" spans="1:2" x14ac:dyDescent="0.25">
      <c r="A1864">
        <f ca="1">29619.3126816589*((RANDBETWEEN(2979,3282)))</f>
        <v>90931289.932692826</v>
      </c>
      <c r="B1864">
        <v>176192631.38615513</v>
      </c>
    </row>
    <row r="1865" spans="1:2" x14ac:dyDescent="0.25">
      <c r="A1865">
        <f ca="1">32585.0913019304*((RANDBETWEEN(2979,3282)))</f>
        <v>98667656.462245241</v>
      </c>
      <c r="B1865">
        <v>170265667.82166392</v>
      </c>
    </row>
    <row r="1866" spans="1:2" x14ac:dyDescent="0.25">
      <c r="A1866">
        <f ca="1">39526.2490974384*((RANDBETWEEN(2979,3282)))</f>
        <v>125456314.63526961</v>
      </c>
      <c r="B1866">
        <v>155428823.00369233</v>
      </c>
    </row>
    <row r="1867" spans="1:2" x14ac:dyDescent="0.25">
      <c r="A1867">
        <f ca="1">29373.9367282892*((RANDBETWEEN(2979,3282)))</f>
        <v>95406546.493483439</v>
      </c>
      <c r="B1867">
        <v>146682291.7164081</v>
      </c>
    </row>
    <row r="1868" spans="1:2" x14ac:dyDescent="0.25">
      <c r="A1868">
        <f ca="1">39302.6925160218*((RANDBETWEEN(2979,3282)))</f>
        <v>119637396.01877034</v>
      </c>
      <c r="B1868">
        <v>172023494.59921551</v>
      </c>
    </row>
    <row r="1869" spans="1:2" x14ac:dyDescent="0.25">
      <c r="A1869">
        <f ca="1">37516.3686796383*((RANDBETWEEN(2979,3282)))</f>
        <v>114499957.21025597</v>
      </c>
      <c r="B1869">
        <v>170011580.63600987</v>
      </c>
    </row>
    <row r="1870" spans="1:2" x14ac:dyDescent="0.25">
      <c r="A1870">
        <f ca="1">39146.0138997065*((RANDBETWEEN(2979,3282)))</f>
        <v>123466527.83967437</v>
      </c>
      <c r="B1870">
        <v>179693914.24560577</v>
      </c>
    </row>
    <row r="1871" spans="1:2" x14ac:dyDescent="0.25">
      <c r="A1871">
        <f ca="1">33713.3013191009*((RANDBETWEEN(2979,3282)))</f>
        <v>106500318.86703977</v>
      </c>
      <c r="B1871">
        <v>168775647.67151394</v>
      </c>
    </row>
    <row r="1872" spans="1:2" x14ac:dyDescent="0.25">
      <c r="A1872">
        <f ca="1">31960.0769968369*((RANDBETWEEN(2979,3282)))</f>
        <v>99907200.692112237</v>
      </c>
      <c r="B1872">
        <v>171389269.1303845</v>
      </c>
    </row>
    <row r="1873" spans="1:2" x14ac:dyDescent="0.25">
      <c r="A1873">
        <f ca="1">36760.3534784772*((RANDBETWEEN(2979,3282)))</f>
        <v>113405690.48110206</v>
      </c>
      <c r="B1873">
        <v>156923524.94778824</v>
      </c>
    </row>
    <row r="1874" spans="1:2" x14ac:dyDescent="0.25">
      <c r="A1874">
        <f ca="1">34233.1913959545*((RANDBETWEEN(2979,3282)))</f>
        <v>108484983.53377995</v>
      </c>
      <c r="B1874">
        <v>169758564.2249172</v>
      </c>
    </row>
    <row r="1875" spans="1:2" x14ac:dyDescent="0.25">
      <c r="A1875">
        <f ca="1">29918.0889940624*((RANDBETWEEN(2979,3282)))</f>
        <v>94032553.708338261</v>
      </c>
      <c r="B1875">
        <v>180909935.88702199</v>
      </c>
    </row>
    <row r="1876" spans="1:2" x14ac:dyDescent="0.25">
      <c r="A1876">
        <f ca="1">36231.0140731361*((RANDBETWEEN(2979,3282)))</f>
        <v>116881251.39993697</v>
      </c>
      <c r="B1876">
        <v>181269885.97442585</v>
      </c>
    </row>
    <row r="1877" spans="1:2" x14ac:dyDescent="0.25">
      <c r="A1877">
        <f ca="1">34859.8844156613*((RANDBETWEEN(2979,3282)))</f>
        <v>111412190.5924536</v>
      </c>
      <c r="B1877">
        <v>146171259.39931679</v>
      </c>
    </row>
    <row r="1878" spans="1:2" x14ac:dyDescent="0.25">
      <c r="A1878">
        <f ca="1">31457.7080422924*((RANDBETWEEN(2979,3282)))</f>
        <v>96229128.901372388</v>
      </c>
      <c r="B1878">
        <v>200536914.71912462</v>
      </c>
    </row>
    <row r="1879" spans="1:2" x14ac:dyDescent="0.25">
      <c r="A1879">
        <f ca="1">29301.7243500543*((RANDBETWEEN(2979,3282)))</f>
        <v>89604673.062466055</v>
      </c>
      <c r="B1879">
        <v>162266084.72040424</v>
      </c>
    </row>
    <row r="1880" spans="1:2" x14ac:dyDescent="0.25">
      <c r="A1880">
        <f ca="1">31552.1346903112*((RANDBETWEEN(2979,3282)))</f>
        <v>98284899.560319468</v>
      </c>
      <c r="B1880">
        <v>148131876.23731041</v>
      </c>
    </row>
    <row r="1881" spans="1:2" x14ac:dyDescent="0.25">
      <c r="A1881">
        <f ca="1">31920.542210423*((RANDBETWEEN(2979,3282)))</f>
        <v>103646000.55724348</v>
      </c>
      <c r="B1881">
        <v>151401280.87955099</v>
      </c>
    </row>
    <row r="1882" spans="1:2" x14ac:dyDescent="0.25">
      <c r="A1882">
        <f ca="1">29624.6719011416*((RANDBETWEEN(2979,3282)))</f>
        <v>96961551.132436335</v>
      </c>
      <c r="B1882">
        <v>153325920.47931549</v>
      </c>
    </row>
    <row r="1883" spans="1:2" x14ac:dyDescent="0.25">
      <c r="A1883">
        <f ca="1">29884.5678340063*((RANDBETWEEN(2979,3282)))</f>
        <v>94584657.194630042</v>
      </c>
      <c r="B1883">
        <v>158581985.56001437</v>
      </c>
    </row>
    <row r="1884" spans="1:2" x14ac:dyDescent="0.25">
      <c r="A1884">
        <f ca="1">31674.2519379384*((RANDBETWEEN(2979,3282)))</f>
        <v>95402846.83707051</v>
      </c>
      <c r="B1884">
        <v>175056082.6533069</v>
      </c>
    </row>
    <row r="1885" spans="1:2" x14ac:dyDescent="0.25">
      <c r="A1885">
        <f ca="1">39390.4419827751*((RANDBETWEEN(2979,3282)))</f>
        <v>127112956.2784154</v>
      </c>
      <c r="B1885">
        <v>154765401.05727679</v>
      </c>
    </row>
    <row r="1886" spans="1:2" x14ac:dyDescent="0.25">
      <c r="A1886">
        <f ca="1">29585.1322876326*((RANDBETWEEN(2979,3282)))</f>
        <v>96033339.405655339</v>
      </c>
      <c r="B1886">
        <v>162232393.11818281</v>
      </c>
    </row>
    <row r="1887" spans="1:2" x14ac:dyDescent="0.25">
      <c r="A1887">
        <f ca="1">36230.0026002234*((RANDBETWEEN(2979,3282)))</f>
        <v>111950708.03469025</v>
      </c>
      <c r="B1887">
        <v>151250266.35487539</v>
      </c>
    </row>
    <row r="1888" spans="1:2" x14ac:dyDescent="0.25">
      <c r="A1888">
        <f ca="1">31640.3791444737*((RANDBETWEEN(2979,3282)))</f>
        <v>96186752.599199921</v>
      </c>
      <c r="B1888">
        <v>172454636.41161901</v>
      </c>
    </row>
    <row r="1889" spans="1:2" x14ac:dyDescent="0.25">
      <c r="A1889">
        <f ca="1">32423.4032329541*((RANDBETWEEN(2979,3282)))</f>
        <v>98469875.618481606</v>
      </c>
      <c r="B1889">
        <v>169313724.29811999</v>
      </c>
    </row>
    <row r="1890" spans="1:2" x14ac:dyDescent="0.25">
      <c r="A1890">
        <f ca="1">35916.4894594118*((RANDBETWEEN(2979,3282)))</f>
        <v>116872256.70092586</v>
      </c>
      <c r="B1890">
        <v>191644642.27897263</v>
      </c>
    </row>
    <row r="1891" spans="1:2" x14ac:dyDescent="0.25">
      <c r="A1891">
        <f ca="1">31469.8179536978*((RANDBETWEEN(2979,3282)))</f>
        <v>102717485.80086952</v>
      </c>
      <c r="B1891">
        <v>156760448.26067883</v>
      </c>
    </row>
    <row r="1892" spans="1:2" x14ac:dyDescent="0.25">
      <c r="A1892">
        <f ca="1">41181.8643513202*((RANDBETWEEN(2979,3282)))</f>
        <v>126222414.23679632</v>
      </c>
      <c r="B1892">
        <v>191628886.37450349</v>
      </c>
    </row>
    <row r="1893" spans="1:2" x14ac:dyDescent="0.25">
      <c r="A1893">
        <f ca="1">30994.6463288624*((RANDBETWEEN(2979,3282)))</f>
        <v>93603831.913164437</v>
      </c>
      <c r="B1893">
        <v>183947921.02392614</v>
      </c>
    </row>
    <row r="1894" spans="1:2" x14ac:dyDescent="0.25">
      <c r="A1894">
        <f ca="1">38089.8881346262*((RANDBETWEEN(2979,3282)))</f>
        <v>120440226.28168815</v>
      </c>
      <c r="B1894">
        <v>159011587.86323956</v>
      </c>
    </row>
    <row r="1895" spans="1:2" x14ac:dyDescent="0.25">
      <c r="A1895">
        <f ca="1">30746.4865069746*((RANDBETWEEN(2979,3282)))</f>
        <v>98112038.443756089</v>
      </c>
      <c r="B1895">
        <v>145498078.5220477</v>
      </c>
    </row>
    <row r="1896" spans="1:2" x14ac:dyDescent="0.25">
      <c r="A1896">
        <f ca="1">32151.1672828401*((RANDBETWEEN(2979,3282)))</f>
        <v>105070014.68032146</v>
      </c>
      <c r="B1896">
        <v>178148171.9460409</v>
      </c>
    </row>
    <row r="1897" spans="1:2" x14ac:dyDescent="0.25">
      <c r="A1897">
        <f ca="1">27713.6986360888*((RANDBETWEEN(2979,3282)))</f>
        <v>89736956.183655664</v>
      </c>
      <c r="B1897">
        <v>174685333.27820516</v>
      </c>
    </row>
    <row r="1898" spans="1:2" x14ac:dyDescent="0.25">
      <c r="A1898">
        <f ca="1">32344.2752731881*((RANDBETWEEN(2979,3282)))</f>
        <v>98100186.903579384</v>
      </c>
      <c r="B1898">
        <v>171345355.64294788</v>
      </c>
    </row>
    <row r="1899" spans="1:2" x14ac:dyDescent="0.25">
      <c r="A1899">
        <f ca="1">34033.7222590452*((RANDBETWEEN(2979,3282)))</f>
        <v>104585628.50204597</v>
      </c>
      <c r="B1899">
        <v>154707105.37662733</v>
      </c>
    </row>
    <row r="1900" spans="1:2" x14ac:dyDescent="0.25">
      <c r="A1900">
        <f ca="1">35555.8927491803*((RANDBETWEEN(2979,3282)))</f>
        <v>112818847.69314924</v>
      </c>
      <c r="B1900">
        <v>177927536.25436357</v>
      </c>
    </row>
    <row r="1901" spans="1:2" x14ac:dyDescent="0.25">
      <c r="A1901">
        <f ca="1">30852.0952162073*((RANDBETWEEN(2979,3282)))</f>
        <v>92864806.600783959</v>
      </c>
      <c r="B1901">
        <v>184807889.12900221</v>
      </c>
    </row>
    <row r="1902" spans="1:2" x14ac:dyDescent="0.25">
      <c r="A1902">
        <f ca="1">33231.1604644484*((RANDBETWEEN(2979,3282)))</f>
        <v>106007401.88159055</v>
      </c>
      <c r="B1902">
        <v>143444861.79888323</v>
      </c>
    </row>
    <row r="1903" spans="1:2" x14ac:dyDescent="0.25">
      <c r="A1903">
        <f ca="1">32288.5308298907*((RANDBETWEEN(2979,3282)))</f>
        <v>101934891.82996498</v>
      </c>
      <c r="B1903">
        <v>159592950.95186543</v>
      </c>
    </row>
    <row r="1904" spans="1:2" x14ac:dyDescent="0.25">
      <c r="A1904">
        <f ca="1">31987.4587691043*((RANDBETWEEN(2979,3282)))</f>
        <v>96890012.611616775</v>
      </c>
      <c r="B1904">
        <v>161496094.59435505</v>
      </c>
    </row>
    <row r="1905" spans="1:2" x14ac:dyDescent="0.25">
      <c r="A1905">
        <f ca="1">35146.6353881759*((RANDBETWEEN(2979,3282)))</f>
        <v>112434086.6067747</v>
      </c>
      <c r="B1905">
        <v>166116952.17946631</v>
      </c>
    </row>
    <row r="1906" spans="1:2" x14ac:dyDescent="0.25">
      <c r="A1906">
        <f ca="1">32183.6145148244*((RANDBETWEEN(2979,3282)))</f>
        <v>103309402.59258646</v>
      </c>
      <c r="B1906">
        <v>166474044.98850852</v>
      </c>
    </row>
    <row r="1907" spans="1:2" x14ac:dyDescent="0.25">
      <c r="A1907">
        <f ca="1">29219.808646575*((RANDBETWEEN(2979,3282)))</f>
        <v>92802112.261522308</v>
      </c>
      <c r="B1907">
        <v>186712805.5835982</v>
      </c>
    </row>
    <row r="1908" spans="1:2" x14ac:dyDescent="0.25">
      <c r="A1908">
        <f ca="1">33374.1488787908*((RANDBETWEEN(2979,3282)))</f>
        <v>105562432.90361533</v>
      </c>
      <c r="B1908">
        <v>163279750.44349441</v>
      </c>
    </row>
    <row r="1909" spans="1:2" x14ac:dyDescent="0.25">
      <c r="A1909">
        <f ca="1">31157.4732123328*((RANDBETWEEN(2979,3282)))</f>
        <v>96650481.904656261</v>
      </c>
      <c r="B1909">
        <v>189410473.54846525</v>
      </c>
    </row>
    <row r="1910" spans="1:2" x14ac:dyDescent="0.25">
      <c r="A1910">
        <f ca="1">31912.2695090271*((RANDBETWEEN(2979,3282)))</f>
        <v>99534368.598655477</v>
      </c>
      <c r="B1910">
        <v>170834155.06576598</v>
      </c>
    </row>
    <row r="1911" spans="1:2" x14ac:dyDescent="0.25">
      <c r="A1911">
        <f ca="1">31860.9007158336*((RANDBETWEEN(2979,3282)))</f>
        <v>95104788.636763334</v>
      </c>
      <c r="B1911">
        <v>172095288.49440637</v>
      </c>
    </row>
    <row r="1912" spans="1:2" x14ac:dyDescent="0.25">
      <c r="A1912">
        <f ca="1">34280.0552153579*((RANDBETWEEN(2979,3282)))</f>
        <v>102257404.70741272</v>
      </c>
      <c r="B1912">
        <v>150234979.66065675</v>
      </c>
    </row>
    <row r="1913" spans="1:2" x14ac:dyDescent="0.25">
      <c r="A1913">
        <f ca="1">35031.7729813389*((RANDBETWEEN(2979,3282)))</f>
        <v>107267288.86885968</v>
      </c>
      <c r="B1913">
        <v>148530443.49078444</v>
      </c>
    </row>
    <row r="1914" spans="1:2" x14ac:dyDescent="0.25">
      <c r="A1914">
        <f ca="1">30839.4496028628*((RANDBETWEEN(2979,3282)))</f>
        <v>99796458.914864063</v>
      </c>
      <c r="B1914">
        <v>152797476.07425153</v>
      </c>
    </row>
    <row r="1915" spans="1:2" x14ac:dyDescent="0.25">
      <c r="A1915">
        <f ca="1">38319.446708166*((RANDBETWEEN(2979,3282)))</f>
        <v>115226576.25145516</v>
      </c>
      <c r="B1915">
        <v>168364455.34727275</v>
      </c>
    </row>
    <row r="1916" spans="1:2" x14ac:dyDescent="0.25">
      <c r="A1916">
        <f ca="1">33791.0453544679*((RANDBETWEEN(2979,3282)))</f>
        <v>106543166.00263719</v>
      </c>
      <c r="B1916">
        <v>166249642.44676417</v>
      </c>
    </row>
    <row r="1917" spans="1:2" x14ac:dyDescent="0.25">
      <c r="A1917">
        <f ca="1">40610.6455668749*((RANDBETWEEN(2979,3282)))</f>
        <v>133162306.81378269</v>
      </c>
      <c r="B1917">
        <v>158767470.95478633</v>
      </c>
    </row>
    <row r="1918" spans="1:2" x14ac:dyDescent="0.25">
      <c r="A1918">
        <f ca="1">27903.5267936139*((RANDBETWEEN(2979,3282)))</f>
        <v>90546944.445277259</v>
      </c>
      <c r="B1918">
        <v>173359172.04332751</v>
      </c>
    </row>
    <row r="1919" spans="1:2" x14ac:dyDescent="0.25">
      <c r="A1919">
        <f ca="1">31063.9400803667*((RANDBETWEEN(2979,3282)))</f>
        <v>99125032.796450123</v>
      </c>
      <c r="B1919">
        <v>161316973.74181205</v>
      </c>
    </row>
    <row r="1920" spans="1:2" x14ac:dyDescent="0.25">
      <c r="A1920">
        <f ca="1">32252.4786810895*((RANDBETWEEN(2979,3282)))</f>
        <v>102982164.42871861</v>
      </c>
      <c r="B1920">
        <v>150494173.38799754</v>
      </c>
    </row>
    <row r="1921" spans="1:2" x14ac:dyDescent="0.25">
      <c r="A1921">
        <f ca="1">38499.4630359583*((RANDBETWEEN(2979,3282)))</f>
        <v>125238753.2559725</v>
      </c>
      <c r="B1921">
        <v>164809380.15350488</v>
      </c>
    </row>
    <row r="1922" spans="1:2" x14ac:dyDescent="0.25">
      <c r="A1922">
        <f ca="1">30501.2505969038*((RANDBETWEEN(2979,3282)))</f>
        <v>96353450.635619089</v>
      </c>
      <c r="B1922">
        <v>194742145.11213157</v>
      </c>
    </row>
    <row r="1923" spans="1:2" x14ac:dyDescent="0.25">
      <c r="A1923">
        <f ca="1">30930.6922098829*((RANDBETWEEN(2979,3282)))</f>
        <v>100091719.99118102</v>
      </c>
      <c r="B1923">
        <v>151064422.76858607</v>
      </c>
    </row>
    <row r="1924" spans="1:2" x14ac:dyDescent="0.25">
      <c r="A1924">
        <f ca="1">35437.1406321941*((RANDBETWEEN(2979,3282)))</f>
        <v>114461964.24198702</v>
      </c>
      <c r="B1924">
        <v>160484167.5049684</v>
      </c>
    </row>
    <row r="1925" spans="1:2" x14ac:dyDescent="0.25">
      <c r="A1925">
        <f ca="1">38423.6782516695*((RANDBETWEEN(2979,3282)))</f>
        <v>122264144.19681226</v>
      </c>
      <c r="B1925">
        <v>159372742.29299241</v>
      </c>
    </row>
    <row r="1926" spans="1:2" x14ac:dyDescent="0.25">
      <c r="A1926">
        <f ca="1">29861.1831112132*((RANDBETWEEN(2979,3282)))</f>
        <v>94421060.997656092</v>
      </c>
      <c r="B1926">
        <v>143010035.08665252</v>
      </c>
    </row>
    <row r="1927" spans="1:2" x14ac:dyDescent="0.25">
      <c r="A1927">
        <f ca="1">31677.5763754427*((RANDBETWEEN(2979,3282)))</f>
        <v>99150814.055135787</v>
      </c>
      <c r="B1927">
        <v>166426298.34151</v>
      </c>
    </row>
    <row r="1928" spans="1:2" x14ac:dyDescent="0.25">
      <c r="A1928">
        <f ca="1">32172.538711075*((RANDBETWEEN(2979,3282)))</f>
        <v>96292408.362247527</v>
      </c>
      <c r="B1928">
        <v>157464578.77779394</v>
      </c>
    </row>
    <row r="1929" spans="1:2" x14ac:dyDescent="0.25">
      <c r="A1929">
        <f ca="1">30310.940862871*((RANDBETWEEN(2979,3282)))</f>
        <v>93782051.029722914</v>
      </c>
      <c r="B1929">
        <v>191264793.04592729</v>
      </c>
    </row>
    <row r="1930" spans="1:2" x14ac:dyDescent="0.25">
      <c r="A1930">
        <f ca="1">35293.1173604749*((RANDBETWEEN(2979,3282)))</f>
        <v>109020439.52650703</v>
      </c>
      <c r="B1930">
        <v>146820765.18732557</v>
      </c>
    </row>
    <row r="1931" spans="1:2" x14ac:dyDescent="0.25">
      <c r="A1931">
        <f ca="1">28628.2778489661*((RANDBETWEEN(2979,3282)))</f>
        <v>93356814.065478295</v>
      </c>
      <c r="B1931">
        <v>162207005.88682157</v>
      </c>
    </row>
    <row r="1932" spans="1:2" x14ac:dyDescent="0.25">
      <c r="A1932">
        <f ca="1">31150.3157971132*((RANDBETWEEN(2979,3282)))</f>
        <v>95538018.54974632</v>
      </c>
      <c r="B1932">
        <v>148715707.6314612</v>
      </c>
    </row>
    <row r="1933" spans="1:2" x14ac:dyDescent="0.25">
      <c r="A1933">
        <f ca="1">31228.9309040642*((RANDBETWEEN(2979,3282)))</f>
        <v>101337880.78368826</v>
      </c>
      <c r="B1933">
        <v>182327328.20431015</v>
      </c>
    </row>
    <row r="1934" spans="1:2" x14ac:dyDescent="0.25">
      <c r="A1934">
        <f ca="1">32065.1617680001*((RANDBETWEEN(2979,3282)))</f>
        <v>104756883.49605624</v>
      </c>
      <c r="B1934">
        <v>152046927.8330242</v>
      </c>
    </row>
    <row r="1935" spans="1:2" x14ac:dyDescent="0.25">
      <c r="A1935">
        <f ca="1">29537.7390229196*((RANDBETWEEN(2979,3282)))</f>
        <v>88081537.766346395</v>
      </c>
      <c r="B1935">
        <v>186945823.02251911</v>
      </c>
    </row>
    <row r="1936" spans="1:2" x14ac:dyDescent="0.25">
      <c r="A1936">
        <f ca="1">32124.5019989063*((RANDBETWEEN(2979,3282)))</f>
        <v>104019137.4724586</v>
      </c>
      <c r="B1936">
        <v>200967649.48802561</v>
      </c>
    </row>
    <row r="1937" spans="1:2" x14ac:dyDescent="0.25">
      <c r="A1937">
        <f ca="1">31687.3761680509*((RANDBETWEEN(2979,3282)))</f>
        <v>100417295.07655334</v>
      </c>
      <c r="B1937">
        <v>159978174.88780546</v>
      </c>
    </row>
    <row r="1938" spans="1:2" x14ac:dyDescent="0.25">
      <c r="A1938">
        <f ca="1">29370.0429735712*((RANDBETWEEN(2979,3282)))</f>
        <v>88491939.479370028</v>
      </c>
      <c r="B1938">
        <v>157446353.78488615</v>
      </c>
    </row>
    <row r="1939" spans="1:2" x14ac:dyDescent="0.25">
      <c r="A1939">
        <f ca="1">30875.2834227895*((RANDBETWEEN(2979,3282)))</f>
        <v>100159419.42352924</v>
      </c>
      <c r="B1939">
        <v>169089696.94537467</v>
      </c>
    </row>
    <row r="1940" spans="1:2" x14ac:dyDescent="0.25">
      <c r="A1940">
        <f ca="1">35545.990773674*((RANDBETWEEN(2979,3282)))</f>
        <v>107846536.00732692</v>
      </c>
      <c r="B1940">
        <v>198863518.56655592</v>
      </c>
    </row>
    <row r="1941" spans="1:2" x14ac:dyDescent="0.25">
      <c r="A1941">
        <f ca="1">32712.7537466809*((RANDBETWEEN(2979,3282)))</f>
        <v>104877088.51185894</v>
      </c>
      <c r="B1941">
        <v>157172222.70558804</v>
      </c>
    </row>
    <row r="1942" spans="1:2" x14ac:dyDescent="0.25">
      <c r="A1942">
        <f ca="1">30202.1720892852*((RANDBETWEEN(2979,3282)))</f>
        <v>97764431.053016156</v>
      </c>
      <c r="B1942">
        <v>162268573.37026426</v>
      </c>
    </row>
    <row r="1943" spans="1:2" x14ac:dyDescent="0.25">
      <c r="A1943">
        <f ca="1">30579.8013960501*((RANDBETWEEN(2979,3282)))</f>
        <v>97610726.056191772</v>
      </c>
      <c r="B1943">
        <v>157917334.12566996</v>
      </c>
    </row>
    <row r="1944" spans="1:2" x14ac:dyDescent="0.25">
      <c r="A1944">
        <f ca="1">32511.5849288429*((RANDBETWEEN(2979,3282)))</f>
        <v>103972048.6024396</v>
      </c>
      <c r="B1944">
        <v>196274209.92799532</v>
      </c>
    </row>
    <row r="1945" spans="1:2" x14ac:dyDescent="0.25">
      <c r="A1945">
        <f ca="1">32462.9197085777*((RANDBETWEEN(2979,3282)))</f>
        <v>102128345.40318537</v>
      </c>
      <c r="B1945">
        <v>193218201.1226033</v>
      </c>
    </row>
    <row r="1946" spans="1:2" x14ac:dyDescent="0.25">
      <c r="A1946">
        <f ca="1">31659.8284923919*((RANDBETWEEN(2979,3282)))</f>
        <v>97385632.442597389</v>
      </c>
      <c r="B1946">
        <v>151800933.92221338</v>
      </c>
    </row>
    <row r="1947" spans="1:2" x14ac:dyDescent="0.25">
      <c r="A1947">
        <f ca="1">32686.2036201304*((RANDBETWEEN(2979,3282)))</f>
        <v>106001358.34008276</v>
      </c>
      <c r="B1947">
        <v>185189775.03311586</v>
      </c>
    </row>
    <row r="1948" spans="1:2" x14ac:dyDescent="0.25">
      <c r="A1948">
        <f ca="1">31024.6347785039*((RANDBETWEEN(2979,3282)))</f>
        <v>100271619.60412449</v>
      </c>
      <c r="B1948">
        <v>195552950.5370903</v>
      </c>
    </row>
    <row r="1949" spans="1:2" x14ac:dyDescent="0.25">
      <c r="A1949">
        <f ca="1">32365.048827225*((RANDBETWEEN(2979,3282)))</f>
        <v>102953220.31940283</v>
      </c>
      <c r="B1949">
        <v>162265584.88725737</v>
      </c>
    </row>
    <row r="1950" spans="1:2" x14ac:dyDescent="0.25">
      <c r="A1950">
        <f ca="1">31565.2178386868*((RANDBETWEEN(2979,3282)))</f>
        <v>101766262.31192613</v>
      </c>
      <c r="B1950">
        <v>169707074.79579055</v>
      </c>
    </row>
    <row r="1951" spans="1:2" x14ac:dyDescent="0.25">
      <c r="A1951">
        <f ca="1">27923.3788698402*((RANDBETWEEN(2979,3282)))</f>
        <v>87176788.831641003</v>
      </c>
      <c r="B1951">
        <v>194471057.51876745</v>
      </c>
    </row>
    <row r="1952" spans="1:2" x14ac:dyDescent="0.25">
      <c r="A1952">
        <f ca="1">36942.310696637*((RANDBETWEEN(2979,3282)))</f>
        <v>118769528.88968803</v>
      </c>
      <c r="B1952">
        <v>153201535.48212501</v>
      </c>
    </row>
    <row r="1953" spans="1:2" x14ac:dyDescent="0.25">
      <c r="A1953">
        <f ca="1">40000.0537904441*((RANDBETWEEN(2979,3282)))</f>
        <v>130680175.73338097</v>
      </c>
      <c r="B1953">
        <v>152136816.98282564</v>
      </c>
    </row>
    <row r="1954" spans="1:2" x14ac:dyDescent="0.25">
      <c r="A1954">
        <f ca="1">30978.0488875414*((RANDBETWEEN(2979,3282)))</f>
        <v>95815105.209165394</v>
      </c>
      <c r="B1954">
        <v>157022711.45397907</v>
      </c>
    </row>
    <row r="1955" spans="1:2" x14ac:dyDescent="0.25">
      <c r="A1955">
        <f ca="1">32511.2574834699*((RANDBETWEEN(2979,3282)))</f>
        <v>100232206.82153757</v>
      </c>
      <c r="B1955">
        <v>197046210.70334834</v>
      </c>
    </row>
    <row r="1956" spans="1:2" x14ac:dyDescent="0.25">
      <c r="A1956">
        <f ca="1">33674.6812022792*((RANDBETWEEN(2979,3282)))</f>
        <v>103549644.69700848</v>
      </c>
      <c r="B1956">
        <v>152740275.72972691</v>
      </c>
    </row>
    <row r="1957" spans="1:2" x14ac:dyDescent="0.25">
      <c r="A1957">
        <f ca="1">36510.7382859911*((RANDBETWEEN(2979,3282)))</f>
        <v>115739040.36659172</v>
      </c>
      <c r="B1957">
        <v>178527698.7901383</v>
      </c>
    </row>
    <row r="1958" spans="1:2" x14ac:dyDescent="0.25">
      <c r="A1958">
        <f ca="1">40825.9756367227*((RANDBETWEEN(2979,3282)))</f>
        <v>128071085.57239923</v>
      </c>
      <c r="B1958">
        <v>195990881.7473014</v>
      </c>
    </row>
    <row r="1959" spans="1:2" x14ac:dyDescent="0.25">
      <c r="A1959">
        <f ca="1">29596.5137133869*((RANDBETWEEN(2979,3282)))</f>
        <v>92281929.758340403</v>
      </c>
      <c r="B1959">
        <v>177314695.79562396</v>
      </c>
    </row>
    <row r="1960" spans="1:2" x14ac:dyDescent="0.25">
      <c r="A1960">
        <f ca="1">31145.8554397656*((RANDBETWEEN(2979,3282)))</f>
        <v>95991526.465357497</v>
      </c>
      <c r="B1960">
        <v>146211210.39654401</v>
      </c>
    </row>
    <row r="1961" spans="1:2" x14ac:dyDescent="0.25">
      <c r="A1961">
        <f ca="1">30060.4363683669*((RANDBETWEEN(2979,3282)))</f>
        <v>91624210.050782382</v>
      </c>
      <c r="B1961">
        <v>143543778.70516664</v>
      </c>
    </row>
    <row r="1962" spans="1:2" x14ac:dyDescent="0.25">
      <c r="A1962">
        <f ca="1">32129.2458682455*((RANDBETWEEN(2979,3282)))</f>
        <v>95905798.916712686</v>
      </c>
      <c r="B1962">
        <v>158778371.7175132</v>
      </c>
    </row>
    <row r="1963" spans="1:2" x14ac:dyDescent="0.25">
      <c r="A1963">
        <f ca="1">36369.1068373898*((RANDBETWEEN(2979,3282)))</f>
        <v>117617691.51211846</v>
      </c>
      <c r="B1963">
        <v>158486563.68322235</v>
      </c>
    </row>
    <row r="1964" spans="1:2" x14ac:dyDescent="0.25">
      <c r="A1964">
        <f ca="1">37628.5248119341*((RANDBETWEEN(2979,3282)))</f>
        <v>114164944.27940807</v>
      </c>
      <c r="B1964">
        <v>193131545.17971164</v>
      </c>
    </row>
    <row r="1965" spans="1:2" x14ac:dyDescent="0.25">
      <c r="A1965">
        <f ca="1">35519.2526864671*((RANDBETWEEN(2979,3282)))</f>
        <v>106451200.30134176</v>
      </c>
      <c r="B1965">
        <v>143711556.52015287</v>
      </c>
    </row>
    <row r="1966" spans="1:2" x14ac:dyDescent="0.25">
      <c r="A1966">
        <f ca="1">31750.0320323543*((RANDBETWEEN(2979,3282)))</f>
        <v>102044602.9519866</v>
      </c>
      <c r="B1966">
        <v>176360769.28099436</v>
      </c>
    </row>
    <row r="1967" spans="1:2" x14ac:dyDescent="0.25">
      <c r="A1967">
        <f ca="1">29968.8636516403*((RANDBETWEEN(2979,3282)))</f>
        <v>95450830.730474368</v>
      </c>
      <c r="B1967">
        <v>156763408.73961371</v>
      </c>
    </row>
    <row r="1968" spans="1:2" x14ac:dyDescent="0.25">
      <c r="A1968">
        <f ca="1">30314.640128889*((RANDBETWEEN(2979,3282)))</f>
        <v>91913988.87079148</v>
      </c>
      <c r="B1968">
        <v>167866936.53489956</v>
      </c>
    </row>
    <row r="1969" spans="1:2" x14ac:dyDescent="0.25">
      <c r="A1969">
        <f ca="1">39359.1598782142*((RANDBETWEEN(2979,3282)))</f>
        <v>121580444.8638038</v>
      </c>
      <c r="B1969">
        <v>172482206.97097611</v>
      </c>
    </row>
    <row r="1970" spans="1:2" x14ac:dyDescent="0.25">
      <c r="A1970">
        <f ca="1">30703.1206434447*((RANDBETWEEN(2979,3282)))</f>
        <v>98188579.817736045</v>
      </c>
      <c r="B1970">
        <v>154575204.41256467</v>
      </c>
    </row>
    <row r="1971" spans="1:2" x14ac:dyDescent="0.25">
      <c r="A1971">
        <f ca="1">33873.988864336*((RANDBETWEEN(2979,3282)))</f>
        <v>106669190.93379396</v>
      </c>
      <c r="B1971">
        <v>196802930.98225462</v>
      </c>
    </row>
    <row r="1972" spans="1:2" x14ac:dyDescent="0.25">
      <c r="A1972">
        <f ca="1">33178.6042218797*((RANDBETWEEN(2979,3282)))</f>
        <v>104877567.94536185</v>
      </c>
      <c r="B1972">
        <v>151773656.05153593</v>
      </c>
    </row>
    <row r="1973" spans="1:2" x14ac:dyDescent="0.25">
      <c r="A1973">
        <f ca="1">30671.7509357968*((RANDBETWEEN(2979,3282)))</f>
        <v>99744534.043211222</v>
      </c>
      <c r="B1973">
        <v>146161257.26067844</v>
      </c>
    </row>
    <row r="1974" spans="1:2" x14ac:dyDescent="0.25">
      <c r="A1974">
        <f ca="1">41050.6144752495*((RANDBETWEEN(2979,3282)))</f>
        <v>130417802.18786776</v>
      </c>
      <c r="B1974">
        <v>163075528.31149736</v>
      </c>
    </row>
    <row r="1975" spans="1:2" x14ac:dyDescent="0.25">
      <c r="A1975">
        <f ca="1">30068.7586432256*((RANDBETWEEN(2979,3282)))</f>
        <v>96851471.589829713</v>
      </c>
      <c r="B1975">
        <v>171399448.95491162</v>
      </c>
    </row>
    <row r="1976" spans="1:2" x14ac:dyDescent="0.25">
      <c r="A1976">
        <f ca="1">30031.4576619688*((RANDBETWEEN(2979,3282)))</f>
        <v>95049563.500131398</v>
      </c>
      <c r="B1976">
        <v>190966446.28669471</v>
      </c>
    </row>
    <row r="1977" spans="1:2" x14ac:dyDescent="0.25">
      <c r="A1977">
        <f ca="1">29274.5889938457*((RANDBETWEEN(2979,3282)))</f>
        <v>89843713.622112483</v>
      </c>
      <c r="B1977">
        <v>143894799.64532211</v>
      </c>
    </row>
    <row r="1978" spans="1:2" x14ac:dyDescent="0.25">
      <c r="A1978">
        <f ca="1">32712.1911353299*((RANDBETWEEN(2979,3282)))</f>
        <v>106314621.18982223</v>
      </c>
      <c r="B1978">
        <v>198760898.69403246</v>
      </c>
    </row>
    <row r="1979" spans="1:2" x14ac:dyDescent="0.25">
      <c r="A1979">
        <f ca="1">38038.903090735*((RANDBETWEEN(2979,3282)))</f>
        <v>123055851.49852769</v>
      </c>
      <c r="B1979">
        <v>146806171.45251068</v>
      </c>
    </row>
    <row r="1980" spans="1:2" x14ac:dyDescent="0.25">
      <c r="A1980">
        <f ca="1">30105.5717976571*((RANDBETWEEN(2979,3282)))</f>
        <v>92604738.849593267</v>
      </c>
      <c r="B1980">
        <v>168465777.55754113</v>
      </c>
    </row>
    <row r="1981" spans="1:2" x14ac:dyDescent="0.25">
      <c r="A1981">
        <f ca="1">41078.6703657039*((RANDBETWEEN(2979,3282)))</f>
        <v>133628914.69963494</v>
      </c>
      <c r="B1981">
        <v>181810835.39772528</v>
      </c>
    </row>
    <row r="1982" spans="1:2" x14ac:dyDescent="0.25">
      <c r="A1982">
        <f ca="1">34615.2797304771*((RANDBETWEEN(2979,3282)))</f>
        <v>105230450.38065046</v>
      </c>
      <c r="B1982">
        <v>148501888.03920612</v>
      </c>
    </row>
    <row r="1983" spans="1:2" x14ac:dyDescent="0.25">
      <c r="A1983">
        <f ca="1">30134.821954329*((RANDBETWEEN(2979,3282)))</f>
        <v>90163387.287352458</v>
      </c>
      <c r="B1983">
        <v>165520294.77178022</v>
      </c>
    </row>
    <row r="1984" spans="1:2" x14ac:dyDescent="0.25">
      <c r="A1984">
        <f ca="1">38166.6811346824*((RANDBETWEEN(2979,3282)))</f>
        <v>114614543.44745126</v>
      </c>
      <c r="B1984">
        <v>162790228.566019</v>
      </c>
    </row>
    <row r="1985" spans="1:2" x14ac:dyDescent="0.25">
      <c r="A1985">
        <f ca="1">32925.23055271*((RANDBETWEEN(2979,3282)))</f>
        <v>105525363.92143553</v>
      </c>
      <c r="B1985">
        <v>178330135.58306077</v>
      </c>
    </row>
    <row r="1986" spans="1:2" x14ac:dyDescent="0.25">
      <c r="A1986">
        <f ca="1">35171.4004883178*((RANDBETWEEN(2979,3282)))</f>
        <v>110367854.73234119</v>
      </c>
      <c r="B1986">
        <v>169231391.65195158</v>
      </c>
    </row>
    <row r="1987" spans="1:2" x14ac:dyDescent="0.25">
      <c r="A1987">
        <f ca="1">36210.9522073001*((RANDBETWEEN(2979,3282)))</f>
        <v>115693992.30232389</v>
      </c>
      <c r="B1987">
        <v>145831841.2847954</v>
      </c>
    </row>
    <row r="1988" spans="1:2" x14ac:dyDescent="0.25">
      <c r="A1988">
        <f ca="1">34573.1015154117*((RANDBETWEEN(2979,3282)))</f>
        <v>106312287.15989108</v>
      </c>
      <c r="B1988">
        <v>170870756.49216041</v>
      </c>
    </row>
    <row r="1989" spans="1:2" x14ac:dyDescent="0.25">
      <c r="A1989">
        <f ca="1">39361.7740164557*((RANDBETWEEN(2979,3282)))</f>
        <v>125445973.79044425</v>
      </c>
      <c r="B1989">
        <v>143336031.79468486</v>
      </c>
    </row>
    <row r="1990" spans="1:2" x14ac:dyDescent="0.25">
      <c r="A1990">
        <f ca="1">34772.0868703729*((RANDBETWEEN(2979,3282)))</f>
        <v>110505692.07404505</v>
      </c>
      <c r="B1990">
        <v>144221611.63068086</v>
      </c>
    </row>
    <row r="1991" spans="1:2" x14ac:dyDescent="0.25">
      <c r="A1991">
        <f ca="1">38562.1855785239*((RANDBETWEEN(2979,3282)))</f>
        <v>116226427.33367093</v>
      </c>
      <c r="B1991">
        <v>151234896.95463172</v>
      </c>
    </row>
    <row r="1992" spans="1:2" x14ac:dyDescent="0.25">
      <c r="A1992">
        <f ca="1">28308.0264983266*((RANDBETWEEN(2979,3282)))</f>
        <v>91208461.377608225</v>
      </c>
      <c r="B1992">
        <v>159585790.3852039</v>
      </c>
    </row>
    <row r="1993" spans="1:2" x14ac:dyDescent="0.25">
      <c r="A1993">
        <f ca="1">38521.0322982862*((RANDBETWEEN(2979,3282)))</f>
        <v>117026896.12219357</v>
      </c>
      <c r="B1993">
        <v>174917038.39282197</v>
      </c>
    </row>
    <row r="1994" spans="1:2" x14ac:dyDescent="0.25">
      <c r="A1994">
        <f ca="1">32782.3149609878*((RANDBETWEEN(2979,3282)))</f>
        <v>104673931.67043407</v>
      </c>
      <c r="B1994">
        <v>150489555.46837288</v>
      </c>
    </row>
    <row r="1995" spans="1:2" x14ac:dyDescent="0.25">
      <c r="A1995">
        <f ca="1">39309.1149480342*((RANDBETWEEN(2979,3282)))</f>
        <v>121583092.53426966</v>
      </c>
      <c r="B1995">
        <v>200310177.3969934</v>
      </c>
    </row>
    <row r="1996" spans="1:2" x14ac:dyDescent="0.25">
      <c r="A1996">
        <f ca="1">27798.9839049213*((RANDBETWEEN(2979,3282)))</f>
        <v>86149051.121351004</v>
      </c>
      <c r="B1996">
        <v>171149929.93544385</v>
      </c>
    </row>
    <row r="1997" spans="1:2" x14ac:dyDescent="0.25">
      <c r="A1997">
        <f ca="1">33818.5815333805*((RANDBETWEEN(2979,3282)))</f>
        <v>103146673.67681046</v>
      </c>
      <c r="B1997">
        <v>168285690.81805953</v>
      </c>
    </row>
    <row r="1998" spans="1:2" x14ac:dyDescent="0.25">
      <c r="A1998">
        <f ca="1">30691.7558659205*((RANDBETWEEN(2979,3282)))</f>
        <v>96372113.418990389</v>
      </c>
      <c r="B1998">
        <v>151560333.67304599</v>
      </c>
    </row>
    <row r="1999" spans="1:2" x14ac:dyDescent="0.25">
      <c r="A1999">
        <f ca="1">34734.1067773057*((RANDBETWEEN(2979,3282)))</f>
        <v>104792800.14713137</v>
      </c>
      <c r="B1999">
        <v>151394112.23525882</v>
      </c>
    </row>
    <row r="2000" spans="1:2" x14ac:dyDescent="0.25">
      <c r="A2000">
        <f ca="1">34160.6363558982*((RANDBETWEEN(2979,3282)))</f>
        <v>111227031.97480462</v>
      </c>
      <c r="B2000">
        <v>202243881.012907</v>
      </c>
    </row>
    <row r="2001" spans="1:2" x14ac:dyDescent="0.25">
      <c r="A2001">
        <f ca="1">32239.7423399031*((RANDBETWEEN(2979,3282)))</f>
        <v>100007680.73837937</v>
      </c>
      <c r="B2001">
        <v>152963136.56337988</v>
      </c>
    </row>
    <row r="2002" spans="1:2" x14ac:dyDescent="0.25">
      <c r="A2002">
        <f ca="1">29058.1062783481*((RANDBETWEEN(2979,3282)))</f>
        <v>86999970.19737412</v>
      </c>
      <c r="B2002">
        <v>170087900.3057802</v>
      </c>
    </row>
    <row r="2003" spans="1:2" x14ac:dyDescent="0.25">
      <c r="A2003">
        <f ca="1">35755.1892726887*((RANDBETWEEN(2979,3282)))</f>
        <v>115346240.59369387</v>
      </c>
      <c r="B2003">
        <v>178362170.76812351</v>
      </c>
    </row>
    <row r="2004" spans="1:2" x14ac:dyDescent="0.25">
      <c r="A2004">
        <f ca="1">36608.5218295152*((RANDBETWEEN(2979,3282)))</f>
        <v>110411301.83781777</v>
      </c>
      <c r="B2004">
        <v>167504806.50289023</v>
      </c>
    </row>
    <row r="2005" spans="1:2" x14ac:dyDescent="0.25">
      <c r="A2005">
        <f ca="1">36961.8884811465*((RANDBETWEEN(2979,3282)))</f>
        <v>110479084.67014691</v>
      </c>
      <c r="B2005">
        <v>174769765.69392195</v>
      </c>
    </row>
    <row r="2006" spans="1:2" x14ac:dyDescent="0.25">
      <c r="A2006">
        <f ca="1">35076.6368118975*((RANDBETWEEN(2979,3282)))</f>
        <v>115121522.01664774</v>
      </c>
      <c r="B2006">
        <v>181926485.26707119</v>
      </c>
    </row>
    <row r="2007" spans="1:2" x14ac:dyDescent="0.25">
      <c r="A2007">
        <f ca="1">30130.5171543406*((RANDBETWEEN(2979,3282)))</f>
        <v>95031651.104790211</v>
      </c>
      <c r="B2007">
        <v>153881586.9094916</v>
      </c>
    </row>
    <row r="2008" spans="1:2" x14ac:dyDescent="0.25">
      <c r="A2008">
        <f ca="1">37453.3169008565*((RANDBETWEEN(2979,3282)))</f>
        <v>113371190.25889261</v>
      </c>
      <c r="B2008">
        <v>164340607.65337008</v>
      </c>
    </row>
    <row r="2009" spans="1:2" x14ac:dyDescent="0.25">
      <c r="A2009">
        <f ca="1">31242.3075813217*((RANDBETWEEN(2979,3282)))</f>
        <v>101756195.79236464</v>
      </c>
      <c r="B2009">
        <v>157194668.87888977</v>
      </c>
    </row>
    <row r="2010" spans="1:2" x14ac:dyDescent="0.25">
      <c r="A2010">
        <f ca="1">28650.2248726461*((RANDBETWEEN(2979,3282)))</f>
        <v>85492271.019976124</v>
      </c>
      <c r="B2010">
        <v>180156939.85887462</v>
      </c>
    </row>
    <row r="2011" spans="1:2" x14ac:dyDescent="0.25">
      <c r="A2011">
        <f ca="1">40291.1441188166*((RANDBETWEEN(2979,3282)))</f>
        <v>129455446.05375762</v>
      </c>
      <c r="B2011">
        <v>177595329.69461218</v>
      </c>
    </row>
    <row r="2012" spans="1:2" x14ac:dyDescent="0.25">
      <c r="A2012">
        <f ca="1">39482.1527194063*((RANDBETWEEN(2979,3282)))</f>
        <v>127211496.06192712</v>
      </c>
      <c r="B2012">
        <v>168697525.54668787</v>
      </c>
    </row>
    <row r="2013" spans="1:2" x14ac:dyDescent="0.25">
      <c r="A2013">
        <f ca="1">30206.1376725056*((RANDBETWEEN(2979,3282)))</f>
        <v>94575417.052614897</v>
      </c>
      <c r="B2013">
        <v>156548325.43276772</v>
      </c>
    </row>
    <row r="2014" spans="1:2" x14ac:dyDescent="0.25">
      <c r="A2014">
        <f ca="1">30562.0010943902*((RANDBETWEEN(2979,3282)))</f>
        <v>100273925.59069434</v>
      </c>
      <c r="B2014">
        <v>165032941.81119704</v>
      </c>
    </row>
    <row r="2015" spans="1:2" x14ac:dyDescent="0.25">
      <c r="A2015">
        <f ca="1">32232.6829312589*((RANDBETWEEN(2979,3282)))</f>
        <v>105562036.59987289</v>
      </c>
      <c r="B2015">
        <v>144340200.65975589</v>
      </c>
    </row>
    <row r="2016" spans="1:2" x14ac:dyDescent="0.25">
      <c r="A2016">
        <f ca="1">31792.1889983298*((RANDBETWEEN(2979,3282)))</f>
        <v>97411267.090882525</v>
      </c>
      <c r="B2016">
        <v>174537858.04550299</v>
      </c>
    </row>
    <row r="2017" spans="1:2" x14ac:dyDescent="0.25">
      <c r="A2017">
        <f ca="1">39704.1443046928*((RANDBETWEEN(2979,3282)))</f>
        <v>119310953.63560198</v>
      </c>
      <c r="B2017">
        <v>165967328.45848632</v>
      </c>
    </row>
    <row r="2018" spans="1:2" x14ac:dyDescent="0.25">
      <c r="A2018">
        <f ca="1">30972.7207329697*((RANDBETWEEN(2979,3282)))</f>
        <v>94962361.767285138</v>
      </c>
      <c r="B2018">
        <v>153988140.52035657</v>
      </c>
    </row>
    <row r="2019" spans="1:2" x14ac:dyDescent="0.25">
      <c r="A2019">
        <f ca="1">31315.7025769224*((RANDBETWEEN(2979,3282)))</f>
        <v>100773930.89253645</v>
      </c>
      <c r="B2019">
        <v>152088899.96618718</v>
      </c>
    </row>
    <row r="2020" spans="1:2" x14ac:dyDescent="0.25">
      <c r="A2020">
        <f ca="1">36904.7239241823*((RANDBETWEEN(2979,3282)))</f>
        <v>115991547.29370505</v>
      </c>
      <c r="B2020">
        <v>143419370.7016266</v>
      </c>
    </row>
    <row r="2021" spans="1:2" x14ac:dyDescent="0.25">
      <c r="A2021">
        <f ca="1">38053.305282052*((RANDBETWEEN(2979,3282)))</f>
        <v>123406869.02969474</v>
      </c>
      <c r="B2021">
        <v>155579821.18150875</v>
      </c>
    </row>
    <row r="2022" spans="1:2" x14ac:dyDescent="0.25">
      <c r="A2022">
        <f ca="1">31354.3129998827*((RANDBETWEEN(2979,3282)))</f>
        <v>95003568.389644504</v>
      </c>
      <c r="B2022">
        <v>149519079.22647703</v>
      </c>
    </row>
    <row r="2023" spans="1:2" x14ac:dyDescent="0.25">
      <c r="A2023">
        <f ca="1">37237.241154416*((RANDBETWEEN(2979,3282)))</f>
        <v>113015026.90365243</v>
      </c>
      <c r="B2023">
        <v>144876092.34421435</v>
      </c>
    </row>
    <row r="2024" spans="1:2" x14ac:dyDescent="0.25">
      <c r="A2024">
        <f ca="1">31366.5255307801*((RANDBETWEEN(2979,3282)))</f>
        <v>94350508.796586573</v>
      </c>
      <c r="B2024">
        <v>192498493.91096658</v>
      </c>
    </row>
    <row r="2025" spans="1:2" x14ac:dyDescent="0.25">
      <c r="A2025">
        <f ca="1">39162.282219354*((RANDBETWEEN(2979,3282)))</f>
        <v>125123491.69083598</v>
      </c>
      <c r="B2025">
        <v>144224614.19819623</v>
      </c>
    </row>
    <row r="2026" spans="1:2" x14ac:dyDescent="0.25">
      <c r="A2026">
        <f ca="1">30880.4048116178*((RANDBETWEEN(2979,3282)))</f>
        <v>101071564.94842514</v>
      </c>
      <c r="B2026">
        <v>163212690.3008559</v>
      </c>
    </row>
    <row r="2027" spans="1:2" x14ac:dyDescent="0.25">
      <c r="A2027">
        <f ca="1">35264.8364838282*((RANDBETWEEN(2979,3282)))</f>
        <v>111789531.65373525</v>
      </c>
      <c r="B2027">
        <v>164830995.892932</v>
      </c>
    </row>
    <row r="2028" spans="1:2" x14ac:dyDescent="0.25">
      <c r="A2028">
        <f ca="1">37918.2095342832*((RANDBETWEEN(2979,3282)))</f>
        <v>116029721.17490658</v>
      </c>
      <c r="B2028">
        <v>162000466.99404719</v>
      </c>
    </row>
    <row r="2029" spans="1:2" x14ac:dyDescent="0.25">
      <c r="A2029">
        <f ca="1">28879.9780147837*((RANDBETWEEN(2979,3282)))</f>
        <v>86235614.352144256</v>
      </c>
      <c r="B2029">
        <v>146263712.5146727</v>
      </c>
    </row>
    <row r="2030" spans="1:2" x14ac:dyDescent="0.25">
      <c r="A2030">
        <f ca="1">40322.3422122165*((RANDBETWEEN(2979,3282)))</f>
        <v>129878264.26554935</v>
      </c>
      <c r="B2030">
        <v>189075765.95958704</v>
      </c>
    </row>
    <row r="2031" spans="1:2" x14ac:dyDescent="0.25">
      <c r="A2031">
        <f ca="1">28978.9726884255*((RANDBETWEEN(2979,3282)))</f>
        <v>86328359.638819516</v>
      </c>
      <c r="B2031">
        <v>162637019.20421815</v>
      </c>
    </row>
    <row r="2032" spans="1:2" x14ac:dyDescent="0.25">
      <c r="A2032">
        <f ca="1">33295.5488558291*((RANDBETWEEN(2979,3282)))</f>
        <v>107178371.76691386</v>
      </c>
      <c r="B2032">
        <v>150600630.71149728</v>
      </c>
    </row>
    <row r="2033" spans="1:2" x14ac:dyDescent="0.25">
      <c r="A2033">
        <f ca="1">32379.7336315894*((RANDBETWEEN(2979,3282)))</f>
        <v>101607604.13592769</v>
      </c>
      <c r="B2033">
        <v>202450161.98459059</v>
      </c>
    </row>
    <row r="2034" spans="1:2" x14ac:dyDescent="0.25">
      <c r="A2034">
        <f ca="1">34534.2131771698*((RANDBETWEEN(2979,3282)))</f>
        <v>106054568.6670884</v>
      </c>
      <c r="B2034">
        <v>196000007.78764132</v>
      </c>
    </row>
    <row r="2035" spans="1:2" x14ac:dyDescent="0.25">
      <c r="A2035">
        <f ca="1">37778.6470727467*((RANDBETWEEN(2979,3282)))</f>
        <v>118813845.04378845</v>
      </c>
      <c r="B2035">
        <v>172605654.83542079</v>
      </c>
    </row>
    <row r="2036" spans="1:2" x14ac:dyDescent="0.25">
      <c r="A2036">
        <f ca="1">30086.9461029673*((RANDBETWEEN(2979,3282)))</f>
        <v>92216489.805594742</v>
      </c>
      <c r="B2036">
        <v>148657279.17125809</v>
      </c>
    </row>
    <row r="2037" spans="1:2" x14ac:dyDescent="0.25">
      <c r="A2037">
        <f ca="1">32538.3761021581*((RANDBETWEEN(2979,3282)))</f>
        <v>101942732.32806145</v>
      </c>
      <c r="B2037">
        <v>157800353.08602431</v>
      </c>
    </row>
    <row r="2038" spans="1:2" x14ac:dyDescent="0.25">
      <c r="A2038">
        <f ca="1">40174.8526145566*((RANDBETWEEN(2979,3282)))</f>
        <v>126309736.62016588</v>
      </c>
      <c r="B2038">
        <v>156493524.42349312</v>
      </c>
    </row>
    <row r="2039" spans="1:2" x14ac:dyDescent="0.25">
      <c r="A2039">
        <f ca="1">36045.1880202604*((RANDBETWEEN(2979,3282)))</f>
        <v>109361100.45346999</v>
      </c>
      <c r="B2039">
        <v>188598814.26399326</v>
      </c>
    </row>
    <row r="2040" spans="1:2" x14ac:dyDescent="0.25">
      <c r="A2040">
        <f ca="1">30918.3508771059*((RANDBETWEEN(2979,3282)))</f>
        <v>94393725.227804288</v>
      </c>
      <c r="B2040">
        <v>180391652.04813069</v>
      </c>
    </row>
    <row r="2041" spans="1:2" x14ac:dyDescent="0.25">
      <c r="A2041">
        <f ca="1">28662.6210365044*((RANDBETWEEN(2979,3282)))</f>
        <v>90029292.675660267</v>
      </c>
      <c r="B2041">
        <v>158861020.42478237</v>
      </c>
    </row>
    <row r="2042" spans="1:2" x14ac:dyDescent="0.25">
      <c r="A2042">
        <f ca="1">32831.8562200717*((RANDBETWEEN(2979,3282)))</f>
        <v>105784240.74107113</v>
      </c>
      <c r="B2042">
        <v>195713008.30620897</v>
      </c>
    </row>
    <row r="2043" spans="1:2" x14ac:dyDescent="0.25">
      <c r="A2043">
        <f ca="1">32455.1406011245*((RANDBETWEEN(2979,3282)))</f>
        <v>103077526.54917133</v>
      </c>
      <c r="B2043">
        <v>178195300.84567231</v>
      </c>
    </row>
    <row r="2044" spans="1:2" x14ac:dyDescent="0.25">
      <c r="A2044">
        <f ca="1">31365.4337116117*((RANDBETWEEN(2979,3282)))</f>
        <v>98518827.288172349</v>
      </c>
      <c r="B2044">
        <v>160976802.51007971</v>
      </c>
    </row>
    <row r="2045" spans="1:2" x14ac:dyDescent="0.25">
      <c r="A2045">
        <f ca="1">33041.6224429871*((RANDBETWEEN(2979,3282)))</f>
        <v>99157908.951404348</v>
      </c>
      <c r="B2045">
        <v>168663483.40342185</v>
      </c>
    </row>
    <row r="2046" spans="1:2" x14ac:dyDescent="0.25">
      <c r="A2046">
        <f ca="1">31841.3991023267*((RANDBETWEEN(2979,3282)))</f>
        <v>98517288.822598785</v>
      </c>
      <c r="B2046">
        <v>192613735.66206026</v>
      </c>
    </row>
    <row r="2047" spans="1:2" x14ac:dyDescent="0.25">
      <c r="A2047">
        <f ca="1">34821.6105542495*((RANDBETWEEN(2979,3282)))</f>
        <v>104464831.66274838</v>
      </c>
      <c r="B2047">
        <v>172320875.67981371</v>
      </c>
    </row>
    <row r="2048" spans="1:2" x14ac:dyDescent="0.25">
      <c r="A2048">
        <f ca="1">31457.5283985385*((RANDBETWEEN(2979,3282)))</f>
        <v>100632633.34692459</v>
      </c>
      <c r="B2048">
        <v>163862770.28448284</v>
      </c>
    </row>
    <row r="2049" spans="1:2" x14ac:dyDescent="0.25">
      <c r="A2049">
        <f ca="1">37465.4920792606*((RANDBETWEEN(2979,3282)))</f>
        <v>115206388.1437263</v>
      </c>
      <c r="B2049">
        <v>196047709.96827364</v>
      </c>
    </row>
    <row r="2050" spans="1:2" x14ac:dyDescent="0.25">
      <c r="A2050">
        <f ca="1">31673.9193237182*((RANDBETWEEN(2979,3282)))</f>
        <v>96795497.453282759</v>
      </c>
      <c r="B2050">
        <v>144552647.44706103</v>
      </c>
    </row>
    <row r="2051" spans="1:2" x14ac:dyDescent="0.25">
      <c r="A2051">
        <f ca="1">29747.1921649391*((RANDBETWEEN(2979,3282)))</f>
        <v>92603009.209455371</v>
      </c>
      <c r="B2051">
        <v>155409138.92912632</v>
      </c>
    </row>
    <row r="2052" spans="1:2" x14ac:dyDescent="0.25">
      <c r="A2052">
        <f ca="1">39324.4399349633*((RANDBETWEEN(2979,3282)))</f>
        <v>128669567.4672</v>
      </c>
      <c r="B2052">
        <v>168366357.93443662</v>
      </c>
    </row>
    <row r="2053" spans="1:2" x14ac:dyDescent="0.25">
      <c r="A2053">
        <f ca="1">28982.6533339074*((RANDBETWEEN(2979,3282)))</f>
        <v>92077889.641823813</v>
      </c>
      <c r="B2053">
        <v>176336324.83056986</v>
      </c>
    </row>
    <row r="2054" spans="1:2" x14ac:dyDescent="0.25">
      <c r="A2054">
        <f ca="1">31830.6183526488*((RANDBETWEEN(2979,3282)))</f>
        <v>103417679.02775596</v>
      </c>
      <c r="B2054">
        <v>157123505.01006612</v>
      </c>
    </row>
    <row r="2055" spans="1:2" x14ac:dyDescent="0.25">
      <c r="A2055">
        <f ca="1">33031.3938229274*((RANDBETWEEN(2979,3282)))</f>
        <v>99589652.376126081</v>
      </c>
      <c r="B2055">
        <v>146975966.05579889</v>
      </c>
    </row>
    <row r="2056" spans="1:2" x14ac:dyDescent="0.25">
      <c r="A2056">
        <f ca="1">30012.7958701721*((RANDBETWEEN(2979,3282)))</f>
        <v>91989219.342077404</v>
      </c>
      <c r="B2056">
        <v>156016847.44456023</v>
      </c>
    </row>
    <row r="2057" spans="1:2" x14ac:dyDescent="0.25">
      <c r="A2057">
        <f ca="1">31654.8094205594*((RANDBETWEEN(2979,3282)))</f>
        <v>103321297.94870599</v>
      </c>
      <c r="B2057">
        <v>181945672.12820148</v>
      </c>
    </row>
    <row r="2058" spans="1:2" x14ac:dyDescent="0.25">
      <c r="A2058">
        <f ca="1">28662.6829016264*((RANDBETWEEN(2979,3282)))</f>
        <v>90631403.334942713</v>
      </c>
      <c r="B2058">
        <v>151422124.50063053</v>
      </c>
    </row>
    <row r="2059" spans="1:2" x14ac:dyDescent="0.25">
      <c r="A2059">
        <f ca="1">35087.6898877098*((RANDBETWEEN(2979,3282)))</f>
        <v>105649034.25189427</v>
      </c>
      <c r="B2059">
        <v>158127193.19743568</v>
      </c>
    </row>
    <row r="2060" spans="1:2" x14ac:dyDescent="0.25">
      <c r="A2060">
        <f ca="1">38040.5856212746*((RANDBETWEEN(2979,3282)))</f>
        <v>115034730.91873425</v>
      </c>
      <c r="B2060">
        <v>155671097.04937658</v>
      </c>
    </row>
    <row r="2061" spans="1:2" x14ac:dyDescent="0.25">
      <c r="A2061">
        <f ca="1">37828.9926869265*((RANDBETWEEN(2979,3282)))</f>
        <v>115340598.702439</v>
      </c>
      <c r="B2061">
        <v>185456106.99759364</v>
      </c>
    </row>
    <row r="2062" spans="1:2" x14ac:dyDescent="0.25">
      <c r="A2062">
        <f ca="1">38122.7281967974*((RANDBETWEEN(2979,3282)))</f>
        <v>123822621.18319786</v>
      </c>
      <c r="B2062">
        <v>172433934.94903493</v>
      </c>
    </row>
    <row r="2063" spans="1:2" x14ac:dyDescent="0.25">
      <c r="A2063">
        <f ca="1">33720.759975661*((RANDBETWEEN(2979,3282)))</f>
        <v>103489012.36530361</v>
      </c>
      <c r="B2063">
        <v>171722865.07309562</v>
      </c>
    </row>
    <row r="2064" spans="1:2" x14ac:dyDescent="0.25">
      <c r="A2064">
        <f ca="1">31207.866177332*((RANDBETWEEN(2979,3282)))</f>
        <v>100208458.29541297</v>
      </c>
      <c r="B2064">
        <v>189364103.74391255</v>
      </c>
    </row>
    <row r="2065" spans="1:2" x14ac:dyDescent="0.25">
      <c r="A2065">
        <f ca="1">35222.3274573974*((RANDBETWEEN(2979,3282)))</f>
        <v>108343879.25895447</v>
      </c>
      <c r="B2065">
        <v>189406394.41134107</v>
      </c>
    </row>
    <row r="2066" spans="1:2" x14ac:dyDescent="0.25">
      <c r="A2066">
        <f ca="1">28425.6563871589*((RANDBETWEEN(2979,3282)))</f>
        <v>87892129.549095228</v>
      </c>
      <c r="B2066">
        <v>188698623.62993199</v>
      </c>
    </row>
    <row r="2067" spans="1:2" x14ac:dyDescent="0.25">
      <c r="A2067">
        <f ca="1">37923.4284290749*((RANDBETWEEN(2979,3282)))</f>
        <v>113694438.43036646</v>
      </c>
      <c r="B2067">
        <v>175698918.58992693</v>
      </c>
    </row>
    <row r="2068" spans="1:2" x14ac:dyDescent="0.25">
      <c r="A2068">
        <f ca="1">34326.3286359124*((RANDBETWEEN(2979,3282)))</f>
        <v>109844251.63491982</v>
      </c>
      <c r="B2068">
        <v>183851900.08727804</v>
      </c>
    </row>
    <row r="2069" spans="1:2" x14ac:dyDescent="0.25">
      <c r="A2069">
        <f ca="1">31397.0478602288*((RANDBETWEEN(2979,3282)))</f>
        <v>98272759.802516088</v>
      </c>
      <c r="B2069">
        <v>162722734.28543025</v>
      </c>
    </row>
    <row r="2070" spans="1:2" x14ac:dyDescent="0.25">
      <c r="A2070">
        <f ca="1">30793.9097771611*((RANDBETWEEN(2979,3282)))</f>
        <v>100480527.60287699</v>
      </c>
      <c r="B2070">
        <v>154052560.56951928</v>
      </c>
    </row>
    <row r="2071" spans="1:2" x14ac:dyDescent="0.25">
      <c r="A2071">
        <f ca="1">29673.5904325859*((RANDBETWEEN(2979,3282)))</f>
        <v>90890207.495010763</v>
      </c>
      <c r="B2071">
        <v>145246360.55651879</v>
      </c>
    </row>
    <row r="2072" spans="1:2" x14ac:dyDescent="0.25">
      <c r="A2072">
        <f ca="1">35667.7620813915*((RANDBETWEEN(2979,3282)))</f>
        <v>111818434.12516244</v>
      </c>
      <c r="B2072">
        <v>176612346.94482508</v>
      </c>
    </row>
    <row r="2073" spans="1:2" x14ac:dyDescent="0.25">
      <c r="A2073">
        <f ca="1">32594.4026928186*((RANDBETWEEN(2979,3282)))</f>
        <v>106355535.98666722</v>
      </c>
      <c r="B2073">
        <v>178505166.04000127</v>
      </c>
    </row>
    <row r="2074" spans="1:2" x14ac:dyDescent="0.25">
      <c r="A2074">
        <f ca="1">33999.0381609948*((RANDBETWEEN(2979,3282)))</f>
        <v>110428875.94691119</v>
      </c>
      <c r="B2074">
        <v>152026277.80352527</v>
      </c>
    </row>
    <row r="2075" spans="1:2" x14ac:dyDescent="0.25">
      <c r="A2075">
        <f ca="1">39563.9401151535*((RANDBETWEEN(2979,3282)))</f>
        <v>121579987.97386679</v>
      </c>
      <c r="B2075">
        <v>162093450.8485651</v>
      </c>
    </row>
    <row r="2076" spans="1:2" x14ac:dyDescent="0.25">
      <c r="A2076">
        <f ca="1">33722.7994134842*((RANDBETWEEN(2979,3282)))</f>
        <v>104743014.9782819</v>
      </c>
      <c r="B2076">
        <v>151632238.54915601</v>
      </c>
    </row>
    <row r="2077" spans="1:2" x14ac:dyDescent="0.25">
      <c r="A2077">
        <f ca="1">35863.9177240143*((RANDBETWEEN(2979,3282)))</f>
        <v>116199093.42580631</v>
      </c>
      <c r="B2077">
        <v>147366112.05118954</v>
      </c>
    </row>
    <row r="2078" spans="1:2" x14ac:dyDescent="0.25">
      <c r="A2078">
        <f ca="1">30162.7455300648*((RANDBETWEEN(2979,3282)))</f>
        <v>90759701.299965128</v>
      </c>
      <c r="B2078">
        <v>168955651.54671007</v>
      </c>
    </row>
    <row r="2079" spans="1:2" x14ac:dyDescent="0.25">
      <c r="A2079">
        <f ca="1">30769.8298479117*((RANDBETWEEN(2979,3282)))</f>
        <v>92524878.352670595</v>
      </c>
      <c r="B2079">
        <v>171341739.48656076</v>
      </c>
    </row>
    <row r="2080" spans="1:2" x14ac:dyDescent="0.25">
      <c r="A2080">
        <f ca="1">29987.7983646134*((RANDBETWEEN(2979,3282)))</f>
        <v>92452382.358103156</v>
      </c>
      <c r="B2080">
        <v>153889021.62130141</v>
      </c>
    </row>
    <row r="2081" spans="1:2" x14ac:dyDescent="0.25">
      <c r="A2081">
        <f ca="1">28962.2458587454*((RANDBETWEEN(2979,3282)))</f>
        <v>90622867.29201445</v>
      </c>
      <c r="B2081">
        <v>172471044.86737484</v>
      </c>
    </row>
    <row r="2082" spans="1:2" x14ac:dyDescent="0.25">
      <c r="A2082">
        <f ca="1">28986.4963073638*((RANDBETWEEN(2979,3282)))</f>
        <v>86988475.418398887</v>
      </c>
      <c r="B2082">
        <v>165795620.43254805</v>
      </c>
    </row>
    <row r="2083" spans="1:2" x14ac:dyDescent="0.25">
      <c r="A2083">
        <f ca="1">40676.697827742*((RANDBETWEEN(2979,3282)))</f>
        <v>121175882.82884346</v>
      </c>
      <c r="B2083">
        <v>160958073.79227421</v>
      </c>
    </row>
    <row r="2084" spans="1:2" x14ac:dyDescent="0.25">
      <c r="A2084">
        <f ca="1">36566.7966741548*((RANDBETWEEN(2979,3282)))</f>
        <v>114746607.96349782</v>
      </c>
      <c r="B2084">
        <v>191689406.52454245</v>
      </c>
    </row>
    <row r="2085" spans="1:2" x14ac:dyDescent="0.25">
      <c r="A2085">
        <f ca="1">29703.8539375238*((RANDBETWEEN(2979,3282)))</f>
        <v>91695797.105136111</v>
      </c>
      <c r="B2085">
        <v>164976353.90982124</v>
      </c>
    </row>
    <row r="2086" spans="1:2" x14ac:dyDescent="0.25">
      <c r="A2086">
        <f ca="1">31948.1645269321*((RANDBETWEEN(2979,3282)))</f>
        <v>100956199.90510543</v>
      </c>
      <c r="B2086">
        <v>174112103.71465045</v>
      </c>
    </row>
    <row r="2087" spans="1:2" x14ac:dyDescent="0.25">
      <c r="A2087">
        <f ca="1">34726.9938641741*((RANDBETWEEN(2979,3282)))</f>
        <v>105118610.42685488</v>
      </c>
      <c r="B2087">
        <v>203031044.01367694</v>
      </c>
    </row>
    <row r="2088" spans="1:2" x14ac:dyDescent="0.25">
      <c r="A2088">
        <f ca="1">40543.1402953949*((RANDBETWEEN(2979,3282)))</f>
        <v>122399740.55179732</v>
      </c>
      <c r="B2088">
        <v>199368677.66201472</v>
      </c>
    </row>
    <row r="2089" spans="1:2" x14ac:dyDescent="0.25">
      <c r="A2089">
        <f ca="1">32822.5534873242*((RANDBETWEEN(2979,3282)))</f>
        <v>102603302.20137556</v>
      </c>
      <c r="B2089">
        <v>153649846.39365876</v>
      </c>
    </row>
    <row r="2090" spans="1:2" x14ac:dyDescent="0.25">
      <c r="A2090">
        <f ca="1">34607.0987792526*((RANDBETWEEN(2979,3282)))</f>
        <v>110777323.19238751</v>
      </c>
      <c r="B2090">
        <v>147535579.92563546</v>
      </c>
    </row>
    <row r="2091" spans="1:2" x14ac:dyDescent="0.25">
      <c r="A2091">
        <f ca="1">30712.7128367303*((RANDBETWEEN(2979,3282)))</f>
        <v>92107425.797354028</v>
      </c>
      <c r="B2091">
        <v>166968621.38250548</v>
      </c>
    </row>
    <row r="2092" spans="1:2" x14ac:dyDescent="0.25">
      <c r="A2092">
        <f ca="1">32287.92593065*((RANDBETWEEN(2979,3282)))</f>
        <v>104548304.16344474</v>
      </c>
      <c r="B2092">
        <v>190835775.95701095</v>
      </c>
    </row>
    <row r="2093" spans="1:2" x14ac:dyDescent="0.25">
      <c r="A2093">
        <f ca="1">31893.2847097207*((RANDBETWEEN(2979,3282)))</f>
        <v>99507048.294328436</v>
      </c>
      <c r="B2093">
        <v>169002436.42559457</v>
      </c>
    </row>
    <row r="2094" spans="1:2" x14ac:dyDescent="0.25">
      <c r="A2094">
        <f ca="1">31939.548606179*((RANDBETWEEN(2979,3282)))</f>
        <v>102525951.02583446</v>
      </c>
      <c r="B2094">
        <v>151843732.21571958</v>
      </c>
    </row>
    <row r="2095" spans="1:2" x14ac:dyDescent="0.25">
      <c r="A2095">
        <f ca="1">27634.6978451734*((RANDBETWEEN(2979,3282)))</f>
        <v>90089114.975265265</v>
      </c>
      <c r="B2095">
        <v>188140229.11653006</v>
      </c>
    </row>
    <row r="2096" spans="1:2" x14ac:dyDescent="0.25">
      <c r="A2096">
        <f ca="1">31351.0441547521*((RANDBETWEEN(2979,3282)))</f>
        <v>96937428.526493534</v>
      </c>
      <c r="B2096">
        <v>169179302.38763088</v>
      </c>
    </row>
    <row r="2097" spans="1:2" x14ac:dyDescent="0.25">
      <c r="A2097">
        <f ca="1">41512.1912331017*((RANDBETWEEN(2979,3282)))</f>
        <v>130721890.19303739</v>
      </c>
      <c r="B2097">
        <v>149195315.83873147</v>
      </c>
    </row>
    <row r="2098" spans="1:2" x14ac:dyDescent="0.25">
      <c r="A2098">
        <f ca="1">27466.9150993629*((RANDBETWEEN(2979,3282)))</f>
        <v>90091481.525910154</v>
      </c>
      <c r="B2098">
        <v>143573382.06380534</v>
      </c>
    </row>
    <row r="2099" spans="1:2" x14ac:dyDescent="0.25">
      <c r="A2099">
        <f ca="1">36997.7961318921*((RANDBETWEEN(2979,3282)))</f>
        <v>114360187.84367836</v>
      </c>
      <c r="B2099">
        <v>153746005.93414989</v>
      </c>
    </row>
    <row r="2100" spans="1:2" x14ac:dyDescent="0.25">
      <c r="A2100">
        <f ca="1">34939.8247219204*((RANDBETWEEN(2979,3282)))</f>
        <v>113414671.04735368</v>
      </c>
      <c r="B2100">
        <v>163394789.04092252</v>
      </c>
    </row>
    <row r="2101" spans="1:2" x14ac:dyDescent="0.25">
      <c r="A2101">
        <f ca="1">31175.1842407631*((RANDBETWEEN(2979,3282)))</f>
        <v>94523158.617993727</v>
      </c>
      <c r="B2101">
        <v>178426503.01885113</v>
      </c>
    </row>
    <row r="2102" spans="1:2" x14ac:dyDescent="0.25">
      <c r="A2102">
        <f ca="1">37748.5269560433*((RANDBETWEEN(2979,3282)))</f>
        <v>115359498.37766837</v>
      </c>
      <c r="B2102">
        <v>143475425.4191815</v>
      </c>
    </row>
    <row r="2103" spans="1:2" x14ac:dyDescent="0.25">
      <c r="A2103">
        <f ca="1">30636.0036900016*((RANDBETWEEN(2979,3282)))</f>
        <v>93072179.210224807</v>
      </c>
      <c r="B2103">
        <v>166910057.83482111</v>
      </c>
    </row>
    <row r="2104" spans="1:2" x14ac:dyDescent="0.25">
      <c r="A2104">
        <f ca="1">29581.4205061337*((RANDBETWEEN(2979,3282)))</f>
        <v>90874123.794842824</v>
      </c>
      <c r="B2104">
        <v>172776449.63940236</v>
      </c>
    </row>
    <row r="2105" spans="1:2" x14ac:dyDescent="0.25">
      <c r="A2105">
        <f ca="1">35567.9996909543*((RANDBETWEEN(2979,3282)))</f>
        <v>113070671.01754382</v>
      </c>
      <c r="B2105">
        <v>201838764.50232652</v>
      </c>
    </row>
    <row r="2106" spans="1:2" x14ac:dyDescent="0.25">
      <c r="A2106">
        <f ca="1">40029.8175166802*((RANDBETWEEN(2979,3282)))</f>
        <v>126053895.36002579</v>
      </c>
      <c r="B2106">
        <v>162798480.85757786</v>
      </c>
    </row>
    <row r="2107" spans="1:2" x14ac:dyDescent="0.25">
      <c r="A2107">
        <f ca="1">31974.1950466953*((RANDBETWEEN(2979,3282)))</f>
        <v>97009707.771673486</v>
      </c>
      <c r="B2107">
        <v>196737274.50101963</v>
      </c>
    </row>
    <row r="2108" spans="1:2" x14ac:dyDescent="0.25">
      <c r="A2108">
        <f ca="1">32089.3859132389*((RANDBETWEEN(2979,3282)))</f>
        <v>100985297.46896291</v>
      </c>
      <c r="B2108">
        <v>152135176.96292895</v>
      </c>
    </row>
    <row r="2109" spans="1:2" x14ac:dyDescent="0.25">
      <c r="A2109">
        <f ca="1">31422.1062190383*((RANDBETWEEN(2979,3282)))</f>
        <v>101493403.0874936</v>
      </c>
      <c r="B2109">
        <v>198742952.40654576</v>
      </c>
    </row>
    <row r="2110" spans="1:2" x14ac:dyDescent="0.25">
      <c r="A2110">
        <f ca="1">37038.0979478764*((RANDBETWEEN(2979,3282)))</f>
        <v>112855084.44717941</v>
      </c>
      <c r="B2110">
        <v>143824168.54814395</v>
      </c>
    </row>
    <row r="2111" spans="1:2" x14ac:dyDescent="0.25">
      <c r="A2111">
        <f ca="1">28602.6821403511*((RANDBETWEEN(2979,3282)))</f>
        <v>89783819.238561943</v>
      </c>
      <c r="B2111">
        <v>156626352.0852806</v>
      </c>
    </row>
    <row r="2112" spans="1:2" x14ac:dyDescent="0.25">
      <c r="A2112">
        <f ca="1">38188.1173105913*((RANDBETWEEN(2979,3282)))</f>
        <v>118803232.95324939</v>
      </c>
      <c r="B2112">
        <v>147941655.17136878</v>
      </c>
    </row>
    <row r="2113" spans="1:2" x14ac:dyDescent="0.25">
      <c r="A2113">
        <f ca="1">31447.9676297441*((RANDBETWEEN(2979,3282)))</f>
        <v>94469694.75975126</v>
      </c>
      <c r="B2113">
        <v>173220297.86906821</v>
      </c>
    </row>
    <row r="2114" spans="1:2" x14ac:dyDescent="0.25">
      <c r="A2114">
        <f ca="1">31659.0484541961*((RANDBETWEEN(2979,3282)))</f>
        <v>94533918.684229553</v>
      </c>
      <c r="B2114">
        <v>173123164.17729449</v>
      </c>
    </row>
    <row r="2115" spans="1:2" x14ac:dyDescent="0.25">
      <c r="A2115">
        <f ca="1">32368.7792275456*((RANDBETWEEN(2979,3282)))</f>
        <v>96491330.877313465</v>
      </c>
      <c r="B2115">
        <v>174540154.14175713</v>
      </c>
    </row>
    <row r="2116" spans="1:2" x14ac:dyDescent="0.25">
      <c r="A2116">
        <f ca="1">36434.9428402884*((RANDBETWEEN(2979,3282)))</f>
        <v>110361441.86323366</v>
      </c>
      <c r="B2116">
        <v>151619631.07268283</v>
      </c>
    </row>
    <row r="2117" spans="1:2" x14ac:dyDescent="0.25">
      <c r="A2117">
        <f ca="1">35921.156349777*((RANDBETWEEN(2979,3282)))</f>
        <v>117821392.82726848</v>
      </c>
      <c r="B2117">
        <v>166432041.49027678</v>
      </c>
    </row>
    <row r="2118" spans="1:2" x14ac:dyDescent="0.25">
      <c r="A2118">
        <f ca="1">36294.3679181851*((RANDBETWEEN(2979,3282)))</f>
        <v>113020661.69722828</v>
      </c>
      <c r="B2118">
        <v>163795820.49544507</v>
      </c>
    </row>
    <row r="2119" spans="1:2" x14ac:dyDescent="0.25">
      <c r="A2119">
        <f ca="1">40074.9398702488*((RANDBETWEEN(2979,3282)))</f>
        <v>131365652.89467555</v>
      </c>
      <c r="B2119">
        <v>152347653.79151124</v>
      </c>
    </row>
    <row r="2120" spans="1:2" x14ac:dyDescent="0.25">
      <c r="A2120">
        <f ca="1">32411.7509741105*((RANDBETWEEN(2979,3282)))</f>
        <v>102777662.33890425</v>
      </c>
      <c r="B2120">
        <v>155017537.54270887</v>
      </c>
    </row>
    <row r="2121" spans="1:2" x14ac:dyDescent="0.25">
      <c r="A2121">
        <f ca="1">40431.5173947013*((RANDBETWEEN(2979,3282)))</f>
        <v>128329636.21078181</v>
      </c>
      <c r="B2121">
        <v>179439024.07848138</v>
      </c>
    </row>
    <row r="2122" spans="1:2" x14ac:dyDescent="0.25">
      <c r="A2122">
        <f ca="1">35513.6645661988*((RANDBETWEEN(2979,3282)))</f>
        <v>107748458.29384723</v>
      </c>
      <c r="B2122">
        <v>169703613.43878409</v>
      </c>
    </row>
    <row r="2123" spans="1:2" x14ac:dyDescent="0.25">
      <c r="A2123">
        <f ca="1">39832.4712861919*((RANDBETWEEN(2979,3282)))</f>
        <v>124595970.18320815</v>
      </c>
      <c r="B2123">
        <v>188322826.85691592</v>
      </c>
    </row>
    <row r="2124" spans="1:2" x14ac:dyDescent="0.25">
      <c r="A2124">
        <f ca="1">32279.4624310733*((RANDBETWEEN(2979,3282)))</f>
        <v>97419417.616979107</v>
      </c>
      <c r="B2124">
        <v>156313831.78970799</v>
      </c>
    </row>
    <row r="2125" spans="1:2" x14ac:dyDescent="0.25">
      <c r="A2125">
        <f ca="1">31505.5272655239*((RANDBETWEEN(2979,3282)))</f>
        <v>94611098.378368229</v>
      </c>
      <c r="B2125">
        <v>156358083.42167404</v>
      </c>
    </row>
    <row r="2126" spans="1:2" x14ac:dyDescent="0.25">
      <c r="A2126">
        <f ca="1">32380.2623679481*((RANDBETWEEN(2979,3282)))</f>
        <v>97885533.138307109</v>
      </c>
      <c r="B2126">
        <v>158196123.57039201</v>
      </c>
    </row>
    <row r="2127" spans="1:2" x14ac:dyDescent="0.25">
      <c r="A2127">
        <f ca="1">29743.2859170988*((RANDBETWEEN(2979,3282)))</f>
        <v>93245201.3501046</v>
      </c>
      <c r="B2127">
        <v>188999846.43901578</v>
      </c>
    </row>
    <row r="2128" spans="1:2" x14ac:dyDescent="0.25">
      <c r="A2128">
        <f ca="1">32780.6411645359*((RANDBETWEEN(2979,3282)))</f>
        <v>107586064.30200669</v>
      </c>
      <c r="B2128">
        <v>198348364.11390939</v>
      </c>
    </row>
    <row r="2129" spans="1:2" x14ac:dyDescent="0.25">
      <c r="A2129">
        <f ca="1">36660.740294053*((RANDBETWEEN(2979,3282)))</f>
        <v>115078063.78303242</v>
      </c>
      <c r="B2129">
        <v>190197317.66969961</v>
      </c>
    </row>
    <row r="2130" spans="1:2" x14ac:dyDescent="0.25">
      <c r="A2130">
        <f ca="1">39295.2423023849*((RANDBETWEEN(2979,3282)))</f>
        <v>128652623.29800829</v>
      </c>
      <c r="B2130">
        <v>169937512.60587859</v>
      </c>
    </row>
    <row r="2131" spans="1:2" x14ac:dyDescent="0.25">
      <c r="A2131">
        <f ca="1">33554.865493194*((RANDBETWEEN(2979,3282)))</f>
        <v>105295167.91764262</v>
      </c>
      <c r="B2131">
        <v>156450966.87763551</v>
      </c>
    </row>
    <row r="2132" spans="1:2" x14ac:dyDescent="0.25">
      <c r="A2132">
        <f ca="1">37340.3664803487*((RANDBETWEEN(2979,3282)))</f>
        <v>112207801.27344775</v>
      </c>
      <c r="B2132">
        <v>155472335.96536452</v>
      </c>
    </row>
    <row r="2133" spans="1:2" x14ac:dyDescent="0.25">
      <c r="A2133">
        <f ca="1">30830.0107511979*((RANDBETWEEN(2979,3282)))</f>
        <v>97761964.092048675</v>
      </c>
      <c r="B2133">
        <v>164920503.8578296</v>
      </c>
    </row>
    <row r="2134" spans="1:2" x14ac:dyDescent="0.25">
      <c r="A2134">
        <f ca="1">37329.3064768513*((RANDBETWEEN(2979,3282)))</f>
        <v>112622517.64066038</v>
      </c>
      <c r="B2134">
        <v>143969999.93821657</v>
      </c>
    </row>
    <row r="2135" spans="1:2" x14ac:dyDescent="0.25">
      <c r="A2135">
        <f ca="1">37138.5546837431*((RANDBETWEEN(2979,3282)))</f>
        <v>116689338.8163209</v>
      </c>
      <c r="B2135">
        <v>150897964.35470429</v>
      </c>
    </row>
    <row r="2136" spans="1:2" x14ac:dyDescent="0.25">
      <c r="A2136">
        <f ca="1">31233.1774344366*((RANDBETWEEN(2979,3282)))</f>
        <v>93918164.545350835</v>
      </c>
      <c r="B2136">
        <v>166492051.61595142</v>
      </c>
    </row>
    <row r="2137" spans="1:2" x14ac:dyDescent="0.25">
      <c r="A2137">
        <f ca="1">31454.7437635749*((RANDBETWEEN(2979,3282)))</f>
        <v>100403542.09333107</v>
      </c>
      <c r="B2137">
        <v>167194821.43367505</v>
      </c>
    </row>
    <row r="2138" spans="1:2" x14ac:dyDescent="0.25">
      <c r="A2138">
        <f ca="1">33695.6950467168*((RANDBETWEEN(2979,3282)))</f>
        <v>104861002.98538263</v>
      </c>
      <c r="B2138">
        <v>160261605.88127643</v>
      </c>
    </row>
    <row r="2139" spans="1:2" x14ac:dyDescent="0.25">
      <c r="A2139">
        <f ca="1">33945.3173988131*((RANDBETWEEN(2979,3282)))</f>
        <v>105060757.34932667</v>
      </c>
      <c r="B2139">
        <v>177687005.41473666</v>
      </c>
    </row>
    <row r="2140" spans="1:2" x14ac:dyDescent="0.25">
      <c r="A2140">
        <f ca="1">32554.5081209893*((RANDBETWEEN(2979,3282)))</f>
        <v>103913989.92219786</v>
      </c>
      <c r="B2140">
        <v>157011220.62533945</v>
      </c>
    </row>
    <row r="2141" spans="1:2" x14ac:dyDescent="0.25">
      <c r="A2141">
        <f ca="1">30717.0538918485*((RANDBETWEEN(2979,3282)))</f>
        <v>95407169.388081372</v>
      </c>
      <c r="B2141">
        <v>149638877.67942727</v>
      </c>
    </row>
    <row r="2142" spans="1:2" x14ac:dyDescent="0.25">
      <c r="A2142">
        <f ca="1">35639.5938622907*((RANDBETWEEN(2979,3282)))</f>
        <v>111837045.5398681</v>
      </c>
      <c r="B2142">
        <v>161840076.70466995</v>
      </c>
    </row>
    <row r="2143" spans="1:2" x14ac:dyDescent="0.25">
      <c r="A2143">
        <f ca="1">31397.1343154301*((RANDBETWEEN(2979,3282)))</f>
        <v>99623107.182859749</v>
      </c>
      <c r="B2143">
        <v>148305697.15035155</v>
      </c>
    </row>
    <row r="2144" spans="1:2" x14ac:dyDescent="0.25">
      <c r="A2144">
        <f ca="1">31208.4092935042*((RANDBETWEEN(2979,3282)))</f>
        <v>98431322.911712363</v>
      </c>
      <c r="B2144">
        <v>158695058.87824458</v>
      </c>
    </row>
    <row r="2145" spans="1:2" x14ac:dyDescent="0.25">
      <c r="A2145">
        <f ca="1">35368.4776612583*((RANDBETWEEN(2979,3282)))</f>
        <v>109147122.06264324</v>
      </c>
      <c r="B2145">
        <v>162866896.56062019</v>
      </c>
    </row>
    <row r="2146" spans="1:2" x14ac:dyDescent="0.25">
      <c r="A2146">
        <f ca="1">30573.1950106525*((RANDBETWEEN(2979,3282)))</f>
        <v>94287733.412852198</v>
      </c>
      <c r="B2146">
        <v>152924069.9549464</v>
      </c>
    </row>
    <row r="2147" spans="1:2" x14ac:dyDescent="0.25">
      <c r="A2147">
        <f ca="1">37343.9831862337*((RANDBETWEEN(2979,3282)))</f>
        <v>112928205.15517069</v>
      </c>
      <c r="B2147">
        <v>143520373.84265429</v>
      </c>
    </row>
    <row r="2148" spans="1:2" x14ac:dyDescent="0.25">
      <c r="A2148">
        <f ca="1">30803.2196069454*((RANDBETWEEN(2979,3282)))</f>
        <v>97214961.0795196</v>
      </c>
      <c r="B2148">
        <v>158130457.33208317</v>
      </c>
    </row>
    <row r="2149" spans="1:2" x14ac:dyDescent="0.25">
      <c r="A2149">
        <f ca="1">41016.23084668*((RANDBETWEEN(2979,3282)))</f>
        <v>122884627.61665317</v>
      </c>
      <c r="B2149">
        <v>179957218.45813867</v>
      </c>
    </row>
    <row r="2150" spans="1:2" x14ac:dyDescent="0.25">
      <c r="A2150">
        <f ca="1">37214.4370887337*((RANDBETWEEN(2979,3282)))</f>
        <v>120053774.04825494</v>
      </c>
      <c r="B2150">
        <v>203118791.13474268</v>
      </c>
    </row>
    <row r="2151" spans="1:2" x14ac:dyDescent="0.25">
      <c r="A2151">
        <f ca="1">31576.3216736569*((RANDBETWEEN(2979,3282)))</f>
        <v>94792117.664318025</v>
      </c>
      <c r="B2151">
        <v>169514216.04603955</v>
      </c>
    </row>
    <row r="2152" spans="1:2" x14ac:dyDescent="0.25">
      <c r="A2152">
        <f ca="1">33485.1643649196*((RANDBETWEEN(2979,3282)))</f>
        <v>108960724.8434483</v>
      </c>
      <c r="B2152">
        <v>163908824.80739284</v>
      </c>
    </row>
    <row r="2153" spans="1:2" x14ac:dyDescent="0.25">
      <c r="A2153">
        <f ca="1">33905.1856894852*((RANDBETWEEN(2979,3282)))</f>
        <v>106055420.8367098</v>
      </c>
      <c r="B2153">
        <v>175492628.03330672</v>
      </c>
    </row>
    <row r="2154" spans="1:2" x14ac:dyDescent="0.25">
      <c r="A2154">
        <f ca="1">29422.0363398552*((RANDBETWEEN(2979,3282)))</f>
        <v>94268204.432896107</v>
      </c>
      <c r="B2154">
        <v>173980338.50884944</v>
      </c>
    </row>
    <row r="2155" spans="1:2" x14ac:dyDescent="0.25">
      <c r="A2155">
        <f ca="1">33550.745044406*((RANDBETWEEN(2979,3282)))</f>
        <v>108268254.25829822</v>
      </c>
      <c r="B2155">
        <v>145260483.66687897</v>
      </c>
    </row>
    <row r="2156" spans="1:2" x14ac:dyDescent="0.25">
      <c r="A2156">
        <f ca="1">35413.8045653755*((RANDBETWEEN(2979,3282)))</f>
        <v>111270173.94440985</v>
      </c>
      <c r="B2156">
        <v>160682501.38906962</v>
      </c>
    </row>
    <row r="2157" spans="1:2" x14ac:dyDescent="0.25">
      <c r="A2157">
        <f ca="1">33552.2834600575*((RANDBETWEEN(2979,3282)))</f>
        <v>104112735.57655853</v>
      </c>
      <c r="B2157">
        <v>155422069.60671341</v>
      </c>
    </row>
    <row r="2158" spans="1:2" x14ac:dyDescent="0.25">
      <c r="A2158">
        <f ca="1">37348.0698144907*((RANDBETWEEN(2979,3282)))</f>
        <v>113687524.51530975</v>
      </c>
      <c r="B2158">
        <v>187257474.55585936</v>
      </c>
    </row>
    <row r="2159" spans="1:2" x14ac:dyDescent="0.25">
      <c r="A2159">
        <f ca="1">31363.0236936193*((RANDBETWEEN(2979,3282)))</f>
        <v>99044428.824449837</v>
      </c>
      <c r="B2159">
        <v>163660409.25373852</v>
      </c>
    </row>
    <row r="2160" spans="1:2" x14ac:dyDescent="0.25">
      <c r="A2160">
        <f ca="1">36783.408701411*((RANDBETWEEN(2979,3282)))</f>
        <v>116272354.90516031</v>
      </c>
      <c r="B2160">
        <v>157668819.48424888</v>
      </c>
    </row>
    <row r="2161" spans="1:2" x14ac:dyDescent="0.25">
      <c r="A2161">
        <f ca="1">30186.445589891*((RANDBETWEEN(2979,3282)))</f>
        <v>90831014.779981896</v>
      </c>
      <c r="B2161">
        <v>174244758.92456904</v>
      </c>
    </row>
    <row r="2162" spans="1:2" x14ac:dyDescent="0.25">
      <c r="A2162">
        <f ca="1">32372.3831794951*((RANDBETWEEN(2979,3282)))</f>
        <v>97764597.202075064</v>
      </c>
      <c r="B2162">
        <v>154644763.06727526</v>
      </c>
    </row>
    <row r="2163" spans="1:2" x14ac:dyDescent="0.25">
      <c r="A2163">
        <f ca="1">31707.4295421208*((RANDBETWEEN(2979,3282)))</f>
        <v>101717433.97112355</v>
      </c>
      <c r="B2163">
        <v>164750304.11514407</v>
      </c>
    </row>
    <row r="2164" spans="1:2" x14ac:dyDescent="0.25">
      <c r="A2164">
        <f ca="1">31691.9733299116*((RANDBETWEEN(2979,3282)))</f>
        <v>96597134.709570467</v>
      </c>
      <c r="B2164">
        <v>174466885.36873925</v>
      </c>
    </row>
    <row r="2165" spans="1:2" x14ac:dyDescent="0.25">
      <c r="A2165">
        <f ca="1">32763.5910976542*((RANDBETWEEN(2979,3282)))</f>
        <v>106317853.11188804</v>
      </c>
      <c r="B2165">
        <v>148739112.04972941</v>
      </c>
    </row>
    <row r="2166" spans="1:2" x14ac:dyDescent="0.25">
      <c r="A2166">
        <f ca="1">39816.2020234213*((RANDBETWEEN(2979,3282)))</f>
        <v>122315372.6159502</v>
      </c>
      <c r="B2166">
        <v>182014606.11077967</v>
      </c>
    </row>
    <row r="2167" spans="1:2" x14ac:dyDescent="0.25">
      <c r="A2167">
        <f ca="1">33890.5421200642*((RANDBETWEEN(2979,3282)))</f>
        <v>101332720.93899183</v>
      </c>
      <c r="B2167">
        <v>158009080.0897378</v>
      </c>
    </row>
    <row r="2168" spans="1:2" x14ac:dyDescent="0.25">
      <c r="A2168">
        <f ca="1">30715.5857925433*((RANDBETWEEN(2979,3282)))</f>
        <v>96999819.932851851</v>
      </c>
      <c r="B2168">
        <v>196129600.44908372</v>
      </c>
    </row>
    <row r="2169" spans="1:2" x14ac:dyDescent="0.25">
      <c r="A2169">
        <f ca="1">31411.3719832625*((RANDBETWEEN(2979,3282)))</f>
        <v>102275427.1775028</v>
      </c>
      <c r="B2169">
        <v>194240559.58819914</v>
      </c>
    </row>
    <row r="2170" spans="1:2" x14ac:dyDescent="0.25">
      <c r="A2170">
        <f ca="1">38632.9418020616*((RANDBETWEEN(2979,3282)))</f>
        <v>120689310.18964042</v>
      </c>
      <c r="B2170">
        <v>143867644.09627607</v>
      </c>
    </row>
    <row r="2171" spans="1:2" x14ac:dyDescent="0.25">
      <c r="A2171">
        <f ca="1">32072.4039911176*((RANDBETWEEN(2979,3282)))</f>
        <v>99007511.120579883</v>
      </c>
      <c r="B2171">
        <v>155307127.77359492</v>
      </c>
    </row>
    <row r="2172" spans="1:2" x14ac:dyDescent="0.25">
      <c r="A2172">
        <f ca="1">34241.4112938743*((RANDBETWEEN(2979,3282)))</f>
        <v>111284586.70509164</v>
      </c>
      <c r="B2172">
        <v>163101832.82185653</v>
      </c>
    </row>
    <row r="2173" spans="1:2" x14ac:dyDescent="0.25">
      <c r="A2173">
        <f ca="1">34563.3291996792*((RANDBETWEEN(2979,3282)))</f>
        <v>113022086.48295085</v>
      </c>
      <c r="B2173">
        <v>147500295.72060823</v>
      </c>
    </row>
    <row r="2174" spans="1:2" x14ac:dyDescent="0.25">
      <c r="A2174">
        <f ca="1">37650.2211299343*((RANDBETWEEN(2979,3282)))</f>
        <v>112235309.18833408</v>
      </c>
      <c r="B2174">
        <v>160159058.75407672</v>
      </c>
    </row>
    <row r="2175" spans="1:2" x14ac:dyDescent="0.25">
      <c r="A2175">
        <f ca="1">31080.4682871469*((RANDBETWEEN(2979,3282)))</f>
        <v>95572439.982976615</v>
      </c>
      <c r="B2175">
        <v>144925292.41179848</v>
      </c>
    </row>
    <row r="2176" spans="1:2" x14ac:dyDescent="0.25">
      <c r="A2176">
        <f ca="1">29613.6267342975*((RANDBETWEEN(2979,3282)))</f>
        <v>88455903.055346608</v>
      </c>
      <c r="B2176">
        <v>154838901.78622976</v>
      </c>
    </row>
    <row r="2177" spans="1:2" x14ac:dyDescent="0.25">
      <c r="A2177">
        <f ca="1">40849.5438598892*((RANDBETWEEN(2979,3282)))</f>
        <v>129207107.22882944</v>
      </c>
      <c r="B2177">
        <v>144011251.96975318</v>
      </c>
    </row>
    <row r="2178" spans="1:2" x14ac:dyDescent="0.25">
      <c r="A2178">
        <f ca="1">38631.0899034944*((RANDBETWEEN(2979,3282)))</f>
        <v>118983756.9027627</v>
      </c>
      <c r="B2178">
        <v>162108340.15096328</v>
      </c>
    </row>
    <row r="2179" spans="1:2" x14ac:dyDescent="0.25">
      <c r="A2179">
        <f ca="1">29200.3656857519*((RANDBETWEEN(2979,3282)))</f>
        <v>91981151.910118625</v>
      </c>
      <c r="B2179">
        <v>148843137.29656601</v>
      </c>
    </row>
    <row r="2180" spans="1:2" x14ac:dyDescent="0.25">
      <c r="A2180">
        <f ca="1">28754.4482972978*((RANDBETWEEN(2979,3282)))</f>
        <v>86464626.029974416</v>
      </c>
      <c r="B2180">
        <v>157264077.58020344</v>
      </c>
    </row>
    <row r="2181" spans="1:2" x14ac:dyDescent="0.25">
      <c r="A2181">
        <f ca="1">37893.1521340274*((RANDBETWEEN(2979,3282)))</f>
        <v>123531675.95692937</v>
      </c>
      <c r="B2181">
        <v>198719933.38568908</v>
      </c>
    </row>
    <row r="2182" spans="1:2" x14ac:dyDescent="0.25">
      <c r="A2182">
        <f ca="1">32765.6197294517*((RANDBETWEEN(2979,3282)))</f>
        <v>106619326.59963584</v>
      </c>
      <c r="B2182">
        <v>169236116.25380829</v>
      </c>
    </row>
    <row r="2183" spans="1:2" x14ac:dyDescent="0.25">
      <c r="A2183">
        <f ca="1">31946.2796989183*((RANDBETWEEN(2979,3282)))</f>
        <v>102835074.35081796</v>
      </c>
      <c r="B2183">
        <v>153805310.51537448</v>
      </c>
    </row>
    <row r="2184" spans="1:2" x14ac:dyDescent="0.25">
      <c r="A2184">
        <f ca="1">31955.8187225694*((RANDBETWEEN(2979,3282)))</f>
        <v>98487833.302958935</v>
      </c>
      <c r="B2184">
        <v>156289670.47492918</v>
      </c>
    </row>
    <row r="2185" spans="1:2" x14ac:dyDescent="0.25">
      <c r="A2185">
        <f ca="1">40481.9577313355*((RANDBETWEEN(2979,3282)))</f>
        <v>122903223.6723347</v>
      </c>
      <c r="B2185">
        <v>145906818.78034747</v>
      </c>
    </row>
    <row r="2186" spans="1:2" x14ac:dyDescent="0.25">
      <c r="A2186">
        <f ca="1">31675.2245929498*((RANDBETWEEN(2979,3282)))</f>
        <v>101234017.7990675</v>
      </c>
      <c r="B2186">
        <v>190144830.35217598</v>
      </c>
    </row>
    <row r="2187" spans="1:2" x14ac:dyDescent="0.25">
      <c r="A2187">
        <f ca="1">31116.3605457265*((RANDBETWEEN(2979,3282)))</f>
        <v>94158107.011368439</v>
      </c>
      <c r="B2187">
        <v>183465327.41128555</v>
      </c>
    </row>
    <row r="2188" spans="1:2" x14ac:dyDescent="0.25">
      <c r="A2188">
        <f ca="1">33507.9400881241*((RANDBETWEEN(2979,3282)))</f>
        <v>108398186.1850815</v>
      </c>
      <c r="B2188">
        <v>144981100.70627186</v>
      </c>
    </row>
    <row r="2189" spans="1:2" x14ac:dyDescent="0.25">
      <c r="A2189">
        <f ca="1">30877.7916307703*((RANDBETWEEN(2979,3282)))</f>
        <v>99611755.800865099</v>
      </c>
      <c r="B2189">
        <v>157430612.21341127</v>
      </c>
    </row>
    <row r="2190" spans="1:2" x14ac:dyDescent="0.25">
      <c r="A2190">
        <f ca="1">32557.1532960401*((RANDBETWEEN(2979,3282)))</f>
        <v>100959732.37102041</v>
      </c>
      <c r="B2190">
        <v>154774346.36289519</v>
      </c>
    </row>
    <row r="2191" spans="1:2" x14ac:dyDescent="0.25">
      <c r="A2191">
        <f ca="1">38227.0074634855*((RANDBETWEEN(2979,3282)))</f>
        <v>119650533.36070968</v>
      </c>
      <c r="B2191">
        <v>157300991.6560092</v>
      </c>
    </row>
    <row r="2192" spans="1:2" x14ac:dyDescent="0.25">
      <c r="A2192">
        <f ca="1">33247.3468561392*((RANDBETWEEN(2979,3282)))</f>
        <v>109117792.38184875</v>
      </c>
      <c r="B2192">
        <v>164497498.8796016</v>
      </c>
    </row>
    <row r="2193" spans="1:2" x14ac:dyDescent="0.25">
      <c r="A2193">
        <f ca="1">32927.4730314427*((RANDBETWEEN(2979,3282)))</f>
        <v>99243403.716768384</v>
      </c>
      <c r="B2193">
        <v>146333530.45349929</v>
      </c>
    </row>
    <row r="2194" spans="1:2" x14ac:dyDescent="0.25">
      <c r="A2194">
        <f ca="1">33688.7341948113*((RANDBETWEEN(2979,3282)))</f>
        <v>101706288.53413533</v>
      </c>
      <c r="B2194">
        <v>173640811.4751395</v>
      </c>
    </row>
    <row r="2195" spans="1:2" x14ac:dyDescent="0.25">
      <c r="A2195">
        <f ca="1">31648.6095609908*((RANDBETWEEN(2979,3282)))</f>
        <v>103079521.34014703</v>
      </c>
      <c r="B2195">
        <v>164679944.86997011</v>
      </c>
    </row>
    <row r="2196" spans="1:2" x14ac:dyDescent="0.25">
      <c r="A2196">
        <f ca="1">29604.3222441844*((RANDBETWEEN(2979,3282)))</f>
        <v>97102176.960924685</v>
      </c>
      <c r="B2196">
        <v>143955280.10317647</v>
      </c>
    </row>
    <row r="2197" spans="1:2" x14ac:dyDescent="0.25">
      <c r="A2197">
        <f ca="1">36241.1481493428*((RANDBETWEEN(2979,3282)))</f>
        <v>111985147.78146912</v>
      </c>
      <c r="B2197">
        <v>147246921.51657367</v>
      </c>
    </row>
    <row r="2198" spans="1:2" x14ac:dyDescent="0.25">
      <c r="A2198">
        <f ca="1">32391.7840447823*((RANDBETWEEN(2979,3282)))</f>
        <v>100544097.6750042</v>
      </c>
      <c r="B2198">
        <v>155201825.14146173</v>
      </c>
    </row>
    <row r="2199" spans="1:2" x14ac:dyDescent="0.25">
      <c r="A2199">
        <f ca="1">42447.963942944*((RANDBETWEEN(2979,3282)))</f>
        <v>132947023.06930068</v>
      </c>
      <c r="B2199">
        <v>188755156.08109087</v>
      </c>
    </row>
    <row r="2200" spans="1:2" x14ac:dyDescent="0.25">
      <c r="A2200">
        <f ca="1">32437.640311643*((RANDBETWEEN(2979,3282)))</f>
        <v>98058986.662096873</v>
      </c>
      <c r="B2200">
        <v>189866767.23410678</v>
      </c>
    </row>
    <row r="2201" spans="1:2" x14ac:dyDescent="0.25">
      <c r="A2201">
        <f ca="1">39537.2838103799*((RANDBETWEEN(2979,3282)))</f>
        <v>129168306.20851116</v>
      </c>
      <c r="B2201">
        <v>177072321.98760986</v>
      </c>
    </row>
    <row r="2202" spans="1:2" x14ac:dyDescent="0.25">
      <c r="A2202">
        <f ca="1">28046.2958228675*((RANDBETWEEN(2979,3282)))</f>
        <v>84727859.680882648</v>
      </c>
      <c r="B2202">
        <v>168170903.10973024</v>
      </c>
    </row>
    <row r="2203" spans="1:2" x14ac:dyDescent="0.25">
      <c r="A2203">
        <f ca="1">32722.6349993638*((RANDBETWEEN(2979,3282)))</f>
        <v>105694111.04794517</v>
      </c>
      <c r="B2203">
        <v>181434326.90926281</v>
      </c>
    </row>
    <row r="2204" spans="1:2" x14ac:dyDescent="0.25">
      <c r="A2204">
        <f ca="1">35195.1845916029*((RANDBETWEEN(2979,3282)))</f>
        <v>113328494.38496134</v>
      </c>
      <c r="B2204">
        <v>178290758.13022259</v>
      </c>
    </row>
    <row r="2205" spans="1:2" x14ac:dyDescent="0.25">
      <c r="A2205">
        <f ca="1">31155.1925224543*((RANDBETWEEN(2979,3282)))</f>
        <v>95989148.161681667</v>
      </c>
      <c r="B2205">
        <v>147465663.5009335</v>
      </c>
    </row>
    <row r="2206" spans="1:2" x14ac:dyDescent="0.25">
      <c r="A2206">
        <f ca="1">35175.9010233965*((RANDBETWEEN(2979,3282)))</f>
        <v>109572931.6878801</v>
      </c>
      <c r="B2206">
        <v>168665115.23390436</v>
      </c>
    </row>
    <row r="2207" spans="1:2" x14ac:dyDescent="0.25">
      <c r="A2207">
        <f ca="1">29928.5471869034*((RANDBETWEEN(2979,3282)))</f>
        <v>89426498.994467273</v>
      </c>
      <c r="B2207">
        <v>160104926.45047489</v>
      </c>
    </row>
    <row r="2208" spans="1:2" x14ac:dyDescent="0.25">
      <c r="A2208">
        <f ca="1">28930.1050075032*((RANDBETWEEN(2979,3282)))</f>
        <v>91708432.873785228</v>
      </c>
      <c r="B2208">
        <v>198348584.16364935</v>
      </c>
    </row>
    <row r="2209" spans="1:2" x14ac:dyDescent="0.25">
      <c r="A2209">
        <f ca="1">39677.1721002863*((RANDBETWEEN(2979,3282)))</f>
        <v>126133730.10681023</v>
      </c>
      <c r="B2209">
        <v>201475486.12610137</v>
      </c>
    </row>
    <row r="2210" spans="1:2" x14ac:dyDescent="0.25">
      <c r="A2210">
        <f ca="1">32045.8564891031*((RANDBETWEEN(2979,3282)))</f>
        <v>97771908.14825356</v>
      </c>
      <c r="B2210">
        <v>199639593.71813816</v>
      </c>
    </row>
    <row r="2211" spans="1:2" x14ac:dyDescent="0.25">
      <c r="A2211">
        <f ca="1">38094.257397937*((RANDBETWEEN(2979,3282)))</f>
        <v>123996807.83028495</v>
      </c>
      <c r="B2211">
        <v>168751899.66366807</v>
      </c>
    </row>
    <row r="2212" spans="1:2" x14ac:dyDescent="0.25">
      <c r="A2212">
        <f ca="1">28496.614745602*((RANDBETWEEN(2979,3282)))</f>
        <v>87883559.875436634</v>
      </c>
      <c r="B2212">
        <v>144342154.27050638</v>
      </c>
    </row>
    <row r="2213" spans="1:2" x14ac:dyDescent="0.25">
      <c r="A2213">
        <f ca="1">30139.2646152519*((RANDBETWEEN(2979,3282)))</f>
        <v>92075453.39959453</v>
      </c>
      <c r="B2213">
        <v>143018288.57597971</v>
      </c>
    </row>
    <row r="2214" spans="1:2" x14ac:dyDescent="0.25">
      <c r="A2214">
        <f ca="1">32615.5568304514*((RANDBETWEEN(2979,3282)))</f>
        <v>101401766.18587339</v>
      </c>
      <c r="B2214">
        <v>184637623.23251593</v>
      </c>
    </row>
    <row r="2215" spans="1:2" x14ac:dyDescent="0.25">
      <c r="A2215">
        <f ca="1">33032.1172280498*((RANDBETWEEN(2979,3282)))</f>
        <v>99096351.68414937</v>
      </c>
      <c r="B2215">
        <v>178612610.8134836</v>
      </c>
    </row>
    <row r="2216" spans="1:2" x14ac:dyDescent="0.25">
      <c r="A2216">
        <f ca="1">36341.7903374119*((RANDBETWEEN(2979,3282)))</f>
        <v>110151966.51269555</v>
      </c>
      <c r="B2216">
        <v>173669987.25722897</v>
      </c>
    </row>
    <row r="2217" spans="1:2" x14ac:dyDescent="0.25">
      <c r="A2217">
        <f ca="1">36403.3738825669*((RANDBETWEEN(2979,3282)))</f>
        <v>118857015.72658102</v>
      </c>
      <c r="B2217">
        <v>161818194.90925828</v>
      </c>
    </row>
    <row r="2218" spans="1:2" x14ac:dyDescent="0.25">
      <c r="A2218">
        <f ca="1">28129.9573774493*((RANDBETWEEN(2979,3282)))</f>
        <v>90297163.181612223</v>
      </c>
      <c r="B2218">
        <v>143860156.79999319</v>
      </c>
    </row>
    <row r="2219" spans="1:2" x14ac:dyDescent="0.25">
      <c r="A2219">
        <f ca="1">31110.3201209998*((RANDBETWEEN(2979,3282)))</f>
        <v>94668704.128202498</v>
      </c>
      <c r="B2219">
        <v>167606275.78216571</v>
      </c>
    </row>
    <row r="2220" spans="1:2" x14ac:dyDescent="0.25">
      <c r="A2220">
        <f ca="1">39188.1496759643*((RANDBETWEEN(2979,3282)))</f>
        <v>117917142.37497659</v>
      </c>
      <c r="B2220">
        <v>161268328.31956184</v>
      </c>
    </row>
    <row r="2221" spans="1:2" x14ac:dyDescent="0.25">
      <c r="A2221">
        <f ca="1">38003.0022997062*((RANDBETWEEN(2979,3282)))</f>
        <v>119975478.26017237</v>
      </c>
      <c r="B2221">
        <v>179987852.68579245</v>
      </c>
    </row>
    <row r="2222" spans="1:2" x14ac:dyDescent="0.25">
      <c r="A2222">
        <f ca="1">34971.0210483748*((RANDBETWEEN(2979,3282)))</f>
        <v>114565064.95447576</v>
      </c>
      <c r="B2222">
        <v>178452943.18030179</v>
      </c>
    </row>
    <row r="2223" spans="1:2" x14ac:dyDescent="0.25">
      <c r="A2223">
        <f ca="1">30792.5134339535*((RANDBETWEEN(2979,3282)))</f>
        <v>96780869.722915888</v>
      </c>
      <c r="B2223">
        <v>143224279.58340949</v>
      </c>
    </row>
    <row r="2224" spans="1:2" x14ac:dyDescent="0.25">
      <c r="A2224">
        <f ca="1">30523.3059507005*((RANDBETWEEN(2979,3282)))</f>
        <v>97674579.042241722</v>
      </c>
      <c r="B2224">
        <v>184820861.34620339</v>
      </c>
    </row>
    <row r="2225" spans="1:2" x14ac:dyDescent="0.25">
      <c r="A2225">
        <f ca="1">33899.0030072594*((RANDBETWEEN(2979,3282)))</f>
        <v>111053133.85178177</v>
      </c>
      <c r="B2225">
        <v>167445930.60916075</v>
      </c>
    </row>
    <row r="2226" spans="1:2" x14ac:dyDescent="0.25">
      <c r="A2226">
        <f ca="1">29044.2033380433*((RANDBETWEEN(2979,3282)))</f>
        <v>91953947.768245146</v>
      </c>
      <c r="B2226">
        <v>163003240.57289663</v>
      </c>
    </row>
    <row r="2227" spans="1:2" x14ac:dyDescent="0.25">
      <c r="A2227">
        <f ca="1">30887.7948186405*((RANDBETWEEN(2979,3282)))</f>
        <v>94856417.888045028</v>
      </c>
      <c r="B2227">
        <v>187962002.46717137</v>
      </c>
    </row>
    <row r="2228" spans="1:2" x14ac:dyDescent="0.25">
      <c r="A2228">
        <f ca="1">30291.8564127636*((RANDBETWEEN(2979,3282)))</f>
        <v>91269363.371656671</v>
      </c>
      <c r="B2228">
        <v>184988400.07359731</v>
      </c>
    </row>
    <row r="2229" spans="1:2" x14ac:dyDescent="0.25">
      <c r="A2229">
        <f ca="1">31599.3305949028*((RANDBETWEEN(2979,3282)))</f>
        <v>94797991.784708276</v>
      </c>
      <c r="B2229">
        <v>189477028.34168363</v>
      </c>
    </row>
    <row r="2230" spans="1:2" x14ac:dyDescent="0.25">
      <c r="A2230">
        <f ca="1">33325.7469741736*((RANDBETWEEN(2979,3282)))</f>
        <v>100543778.62108186</v>
      </c>
      <c r="B2230">
        <v>145947252.7246784</v>
      </c>
    </row>
    <row r="2231" spans="1:2" x14ac:dyDescent="0.25">
      <c r="A2231">
        <f ca="1">32588.6422325463*((RANDBETWEEN(2979,3282)))</f>
        <v>98873940.533545569</v>
      </c>
      <c r="B2231">
        <v>179519825.08347458</v>
      </c>
    </row>
    <row r="2232" spans="1:2" x14ac:dyDescent="0.25">
      <c r="A2232">
        <f ca="1">32597.843835362*((RANDBETWEEN(2979,3282)))</f>
        <v>97630542.286909059</v>
      </c>
      <c r="B2232">
        <v>147769484.87387288</v>
      </c>
    </row>
    <row r="2233" spans="1:2" x14ac:dyDescent="0.25">
      <c r="A2233">
        <f ca="1">35282.2653018522*((RANDBETWEEN(2979,3282)))</f>
        <v>106552441.21159379</v>
      </c>
      <c r="B2233">
        <v>160007851.924546</v>
      </c>
    </row>
    <row r="2234" spans="1:2" x14ac:dyDescent="0.25">
      <c r="A2234">
        <f ca="1">30428.4072593673*((RANDBETWEEN(2979,3282)))</f>
        <v>99227036.072796926</v>
      </c>
      <c r="B2234">
        <v>167744396.00989214</v>
      </c>
    </row>
    <row r="2235" spans="1:2" x14ac:dyDescent="0.25">
      <c r="A2235">
        <f ca="1">42734.2583645329*((RANDBETWEEN(2979,3282)))</f>
        <v>139185479.49328372</v>
      </c>
      <c r="B2235">
        <v>192807179.27079722</v>
      </c>
    </row>
    <row r="2236" spans="1:2" x14ac:dyDescent="0.25">
      <c r="A2236">
        <f ca="1">33280.3085834773*((RANDBETWEEN(2979,3282)))</f>
        <v>105232335.74095532</v>
      </c>
      <c r="B2236">
        <v>196762305.93030164</v>
      </c>
    </row>
    <row r="2237" spans="1:2" x14ac:dyDescent="0.25">
      <c r="A2237">
        <f ca="1">35530.0245327637*((RANDBETWEEN(2979,3282)))</f>
        <v>115934470.05040793</v>
      </c>
      <c r="B2237">
        <v>182868342.88373291</v>
      </c>
    </row>
    <row r="2238" spans="1:2" x14ac:dyDescent="0.25">
      <c r="A2238">
        <f ca="1">30220.0265710549*((RANDBETWEEN(2979,3282)))</f>
        <v>96311224.681952059</v>
      </c>
      <c r="B2238">
        <v>146524097.47979873</v>
      </c>
    </row>
    <row r="2239" spans="1:2" x14ac:dyDescent="0.25">
      <c r="A2239">
        <f ca="1">42030.4878968442*((RANDBETWEEN(2979,3282)))</f>
        <v>135085988.10045743</v>
      </c>
      <c r="B2239">
        <v>153058400.19918758</v>
      </c>
    </row>
    <row r="2240" spans="1:2" x14ac:dyDescent="0.25">
      <c r="A2240">
        <f ca="1">33693.0073573155*((RANDBETWEEN(2979,3282)))</f>
        <v>103639690.63110259</v>
      </c>
      <c r="B2240">
        <v>201322975.36937419</v>
      </c>
    </row>
    <row r="2241" spans="1:2" x14ac:dyDescent="0.25">
      <c r="A2241">
        <f ca="1">34897.7537183832*((RANDBETWEEN(2979,3282)))</f>
        <v>114429734.44257842</v>
      </c>
      <c r="B2241">
        <v>183325678.68686104</v>
      </c>
    </row>
    <row r="2242" spans="1:2" x14ac:dyDescent="0.25">
      <c r="A2242">
        <f ca="1">27703.7651059467*((RANDBETWEEN(2979,3282)))</f>
        <v>90037236.594326884</v>
      </c>
      <c r="B2242">
        <v>163511640.6147325</v>
      </c>
    </row>
    <row r="2243" spans="1:2" x14ac:dyDescent="0.25">
      <c r="A2243">
        <f ca="1">31720.0442571298*((RANDBETWEEN(2979,3282)))</f>
        <v>103248744.0569576</v>
      </c>
      <c r="B2243">
        <v>168414381.30721763</v>
      </c>
    </row>
    <row r="2244" spans="1:2" x14ac:dyDescent="0.25">
      <c r="A2244">
        <f ca="1">34701.9631556076*((RANDBETWEEN(2979,3282)))</f>
        <v>106916748.48242706</v>
      </c>
      <c r="B2244">
        <v>174659286.90004241</v>
      </c>
    </row>
    <row r="2245" spans="1:2" x14ac:dyDescent="0.25">
      <c r="A2245">
        <f ca="1">31978.0100316775*((RANDBETWEEN(2979,3282)))</f>
        <v>97085238.456172884</v>
      </c>
      <c r="B2245">
        <v>169819150.9285205</v>
      </c>
    </row>
    <row r="2246" spans="1:2" x14ac:dyDescent="0.25">
      <c r="A2246">
        <f ca="1">32103.6722714506*((RANDBETWEEN(2979,3282)))</f>
        <v>96343120.486623242</v>
      </c>
      <c r="B2246">
        <v>152076331.16038135</v>
      </c>
    </row>
    <row r="2247" spans="1:2" x14ac:dyDescent="0.25">
      <c r="A2247">
        <f ca="1">40523.2363048459*((RANDBETWEEN(2979,3282)))</f>
        <v>121731801.85975693</v>
      </c>
      <c r="B2247">
        <v>158959585.17613682</v>
      </c>
    </row>
    <row r="2248" spans="1:2" x14ac:dyDescent="0.25">
      <c r="A2248">
        <f ca="1">30003.0452926037*((RANDBETWEEN(2979,3282)))</f>
        <v>94599601.807579562</v>
      </c>
      <c r="B2248">
        <v>148191444.48010927</v>
      </c>
    </row>
    <row r="2249" spans="1:2" x14ac:dyDescent="0.25">
      <c r="A2249">
        <f ca="1">29692.7894665013*((RANDBETWEEN(2979,3282)))</f>
        <v>93769829.135211095</v>
      </c>
      <c r="B2249">
        <v>192939061.70784205</v>
      </c>
    </row>
    <row r="2250" spans="1:2" x14ac:dyDescent="0.25">
      <c r="A2250">
        <f ca="1">30532.4686245087*((RANDBETWEEN(2979,3282)))</f>
        <v>99749574.996269792</v>
      </c>
      <c r="B2250">
        <v>160923552.23304182</v>
      </c>
    </row>
    <row r="2251" spans="1:2" x14ac:dyDescent="0.25">
      <c r="A2251">
        <f ca="1">30623.5831092263*((RANDBETWEEN(2979,3282)))</f>
        <v>94443130.308854043</v>
      </c>
      <c r="B2251">
        <v>192572463.72634345</v>
      </c>
    </row>
    <row r="2252" spans="1:2" x14ac:dyDescent="0.25">
      <c r="A2252">
        <f ca="1">32148.6399344563*((RANDBETWEEN(2979,3282)))</f>
        <v>99628635.1568802</v>
      </c>
      <c r="B2252">
        <v>160951927.14712536</v>
      </c>
    </row>
    <row r="2253" spans="1:2" x14ac:dyDescent="0.25">
      <c r="A2253">
        <f ca="1">30475.1679608186*((RANDBETWEEN(2979,3282)))</f>
        <v>90968376.363043636</v>
      </c>
      <c r="B2253">
        <v>181081968.75562119</v>
      </c>
    </row>
    <row r="2254" spans="1:2" x14ac:dyDescent="0.25">
      <c r="A2254">
        <f ca="1">34420.5755893157*((RANDBETWEEN(2979,3282)))</f>
        <v>111453823.75820421</v>
      </c>
      <c r="B2254">
        <v>196743505.72018754</v>
      </c>
    </row>
    <row r="2255" spans="1:2" x14ac:dyDescent="0.25">
      <c r="A2255">
        <f ca="1">31622.1030749972*((RANDBETWEEN(2979,3282)))</f>
        <v>101475328.76766586</v>
      </c>
      <c r="B2255">
        <v>191800850.70996353</v>
      </c>
    </row>
    <row r="2256" spans="1:2" x14ac:dyDescent="0.25">
      <c r="A2256">
        <f ca="1">29777.7333151935*((RANDBETWEEN(2979,3282)))</f>
        <v>94038081.809381008</v>
      </c>
      <c r="B2256">
        <v>145602452.45213372</v>
      </c>
    </row>
    <row r="2257" spans="1:2" x14ac:dyDescent="0.25">
      <c r="A2257">
        <f ca="1">29846.413353548*((RANDBETWEEN(2979,3282)))</f>
        <v>90225707.567775607</v>
      </c>
      <c r="B2257">
        <v>164333918.00270033</v>
      </c>
    </row>
    <row r="2258" spans="1:2" x14ac:dyDescent="0.25">
      <c r="A2258">
        <f ca="1">31676.7475280684*((RANDBETWEEN(2979,3282)))</f>
        <v>96075575.252631336</v>
      </c>
      <c r="B2258">
        <v>201188010.22396618</v>
      </c>
    </row>
    <row r="2259" spans="1:2" x14ac:dyDescent="0.25">
      <c r="A2259">
        <f ca="1">30866.0786277586*((RANDBETWEEN(2979,3282)))</f>
        <v>93709414.71387504</v>
      </c>
      <c r="B2259">
        <v>201521462.96778554</v>
      </c>
    </row>
    <row r="2260" spans="1:2" x14ac:dyDescent="0.25">
      <c r="A2260">
        <f ca="1">29597.0066775481*((RANDBETWEEN(2979,3282)))</f>
        <v>94266466.267990917</v>
      </c>
      <c r="B2260">
        <v>181087078.63897723</v>
      </c>
    </row>
    <row r="2261" spans="1:2" x14ac:dyDescent="0.25">
      <c r="A2261">
        <f ca="1">34665.8312995415*((RANDBETWEEN(2979,3282)))</f>
        <v>106632097.07738952</v>
      </c>
      <c r="B2261">
        <v>198450558.97101495</v>
      </c>
    </row>
    <row r="2262" spans="1:2" x14ac:dyDescent="0.25">
      <c r="A2262">
        <f ca="1">31385.9106956187*((RANDBETWEEN(2979,3282)))</f>
        <v>100654615.6008492</v>
      </c>
      <c r="B2262">
        <v>198491225.19393057</v>
      </c>
    </row>
    <row r="2263" spans="1:2" x14ac:dyDescent="0.25">
      <c r="A2263">
        <f ca="1">35913.3548206819*((RANDBETWEEN(2979,3282)))</f>
        <v>111475053.3633965</v>
      </c>
      <c r="B2263">
        <v>180593872.43890387</v>
      </c>
    </row>
    <row r="2264" spans="1:2" x14ac:dyDescent="0.25">
      <c r="A2264">
        <f ca="1">36182.3550654802*((RANDBETWEEN(2979,3282)))</f>
        <v>111441653.60167886</v>
      </c>
      <c r="B2264">
        <v>192131250.97812745</v>
      </c>
    </row>
    <row r="2265" spans="1:2" x14ac:dyDescent="0.25">
      <c r="A2265">
        <f ca="1">34570.9783593085*((RANDBETWEEN(2979,3282)))</f>
        <v>109140578.68033694</v>
      </c>
      <c r="B2265">
        <v>143071085.44526312</v>
      </c>
    </row>
    <row r="2266" spans="1:2" x14ac:dyDescent="0.25">
      <c r="A2266">
        <f ca="1">37564.5000731251*((RANDBETWEEN(2979,3282)))</f>
        <v>115848918.22551796</v>
      </c>
      <c r="B2266">
        <v>151302654.20761067</v>
      </c>
    </row>
    <row r="2267" spans="1:2" x14ac:dyDescent="0.25">
      <c r="A2267">
        <f ca="1">30031.7547218398*((RANDBETWEEN(2979,3282)))</f>
        <v>91296534.354392871</v>
      </c>
      <c r="B2267">
        <v>157930948.40721026</v>
      </c>
    </row>
    <row r="2268" spans="1:2" x14ac:dyDescent="0.25">
      <c r="A2268">
        <f ca="1">31184.3073837138*((RANDBETWEEN(2979,3282)))</f>
        <v>97544513.496256739</v>
      </c>
      <c r="B2268">
        <v>166216761.24955699</v>
      </c>
    </row>
    <row r="2269" spans="1:2" x14ac:dyDescent="0.25">
      <c r="A2269">
        <f ca="1">29403.377641575*((RANDBETWEEN(2979,3282)))</f>
        <v>88857007.232839778</v>
      </c>
      <c r="B2269">
        <v>171165915.72290722</v>
      </c>
    </row>
    <row r="2270" spans="1:2" x14ac:dyDescent="0.25">
      <c r="A2270">
        <f ca="1">30271.4401167658*((RANDBETWEEN(2979,3282)))</f>
        <v>94386350.284075633</v>
      </c>
      <c r="B2270">
        <v>186029706.57924634</v>
      </c>
    </row>
    <row r="2271" spans="1:2" x14ac:dyDescent="0.25">
      <c r="A2271">
        <f ca="1">33666.6901808794*((RANDBETWEEN(2979,3282)))</f>
        <v>105578740.40723775</v>
      </c>
      <c r="B2271">
        <v>156549638.60410738</v>
      </c>
    </row>
    <row r="2272" spans="1:2" x14ac:dyDescent="0.25">
      <c r="A2272">
        <f ca="1">35808.2531040445*((RANDBETWEEN(2979,3282)))</f>
        <v>111148817.63495414</v>
      </c>
      <c r="B2272">
        <v>200546129.58536208</v>
      </c>
    </row>
    <row r="2273" spans="1:2" x14ac:dyDescent="0.25">
      <c r="A2273">
        <f ca="1">35150.7192020753*((RANDBETWEEN(2979,3282)))</f>
        <v>114345289.56435087</v>
      </c>
      <c r="B2273">
        <v>185279528.06569579</v>
      </c>
    </row>
    <row r="2274" spans="1:2" x14ac:dyDescent="0.25">
      <c r="A2274">
        <f ca="1">30311.5579843149*((RANDBETWEEN(2979,3282)))</f>
        <v>95632965.440513626</v>
      </c>
      <c r="B2274">
        <v>171164419.14260203</v>
      </c>
    </row>
    <row r="2275" spans="1:2" x14ac:dyDescent="0.25">
      <c r="A2275">
        <f ca="1">31668.4393065723*((RANDBETWEEN(2979,3282)))</f>
        <v>100927316.07004587</v>
      </c>
      <c r="B2275">
        <v>148648529.56483346</v>
      </c>
    </row>
    <row r="2276" spans="1:2" x14ac:dyDescent="0.25">
      <c r="A2276">
        <f ca="1">36151.1293385389*((RANDBETWEEN(2979,3282)))</f>
        <v>110658606.90526764</v>
      </c>
      <c r="B2276">
        <v>170746899.57743791</v>
      </c>
    </row>
    <row r="2277" spans="1:2" x14ac:dyDescent="0.25">
      <c r="A2277">
        <f ca="1">37470.6060674885*((RANDBETWEEN(2979,3282)))</f>
        <v>114734995.77864979</v>
      </c>
      <c r="B2277">
        <v>146505074.61460364</v>
      </c>
    </row>
    <row r="2278" spans="1:2" x14ac:dyDescent="0.25">
      <c r="A2278">
        <f ca="1">29623.886912005*((RANDBETWEEN(2979,3282)))</f>
        <v>89019780.170574918</v>
      </c>
      <c r="B2278">
        <v>173300725.98154449</v>
      </c>
    </row>
    <row r="2279" spans="1:2" x14ac:dyDescent="0.25">
      <c r="A2279">
        <f ca="1">36080.4152263386*((RANDBETWEEN(2979,3282)))</f>
        <v>108493808.58560018</v>
      </c>
      <c r="B2279">
        <v>151356114.80931279</v>
      </c>
    </row>
    <row r="2280" spans="1:2" x14ac:dyDescent="0.25">
      <c r="A2280">
        <f ca="1">35059.4279690792*((RANDBETWEEN(2979,3282)))</f>
        <v>105598997.0428665</v>
      </c>
      <c r="B2280">
        <v>154716035.31687343</v>
      </c>
    </row>
    <row r="2281" spans="1:2" x14ac:dyDescent="0.25">
      <c r="A2281">
        <f ca="1">34952.3358655553*((RANDBETWEEN(2979,3282)))</f>
        <v>108596907.53428018</v>
      </c>
      <c r="B2281">
        <v>177605664.55928108</v>
      </c>
    </row>
    <row r="2282" spans="1:2" x14ac:dyDescent="0.25">
      <c r="A2282">
        <f ca="1">36690.7935272283*((RANDBETWEEN(2979,3282)))</f>
        <v>120345802.76930894</v>
      </c>
      <c r="B2282">
        <v>156603839.09999394</v>
      </c>
    </row>
    <row r="2283" spans="1:2" x14ac:dyDescent="0.25">
      <c r="A2283">
        <f ca="1">34318.3120023642*((RANDBETWEEN(2979,3282)))</f>
        <v>108274274.36745918</v>
      </c>
      <c r="B2283">
        <v>178294795.67912969</v>
      </c>
    </row>
    <row r="2284" spans="1:2" x14ac:dyDescent="0.25">
      <c r="A2284">
        <f ca="1">31125.4915443519*((RANDBETWEEN(2979,3282)))</f>
        <v>97204910.093011051</v>
      </c>
      <c r="B2284">
        <v>168967372.45398259</v>
      </c>
    </row>
    <row r="2285" spans="1:2" x14ac:dyDescent="0.25">
      <c r="A2285">
        <f ca="1">38959.9998830421*((RANDBETWEEN(2979,3282)))</f>
        <v>117892959.6460854</v>
      </c>
      <c r="B2285">
        <v>144828103.25306064</v>
      </c>
    </row>
    <row r="2286" spans="1:2" x14ac:dyDescent="0.25">
      <c r="A2286">
        <f ca="1">32329.6613405923*((RANDBETWEEN(2979,3282)))</f>
        <v>104295487.48475061</v>
      </c>
      <c r="B2286">
        <v>198267524.58508676</v>
      </c>
    </row>
    <row r="2287" spans="1:2" x14ac:dyDescent="0.25">
      <c r="A2287">
        <f ca="1">37108.276860006*((RANDBETWEEN(2979,3282)))</f>
        <v>119562868.04293938</v>
      </c>
      <c r="B2287">
        <v>162672912.75100777</v>
      </c>
    </row>
    <row r="2288" spans="1:2" x14ac:dyDescent="0.25">
      <c r="A2288">
        <f ca="1">32856.2072589232*((RANDBETWEEN(2979,3282)))</f>
        <v>102938497.34220637</v>
      </c>
      <c r="B2288">
        <v>155426100.13755524</v>
      </c>
    </row>
    <row r="2289" spans="1:2" x14ac:dyDescent="0.25">
      <c r="A2289">
        <f ca="1">36591.4730431117*((RANDBETWEEN(2979,3282)))</f>
        <v>110067150.91367999</v>
      </c>
      <c r="B2289">
        <v>149545966.78742611</v>
      </c>
    </row>
    <row r="2290" spans="1:2" x14ac:dyDescent="0.25">
      <c r="A2290">
        <f ca="1">34888.8204296557*((RANDBETWEEN(2979,3282)))</f>
        <v>114191109.26626319</v>
      </c>
      <c r="B2290">
        <v>169170043.99876115</v>
      </c>
    </row>
    <row r="2291" spans="1:2" x14ac:dyDescent="0.25">
      <c r="A2291">
        <f ca="1">30438.8249179879*((RANDBETWEEN(2979,3282)))</f>
        <v>94086407.82150051</v>
      </c>
      <c r="B2291">
        <v>165646193.58000848</v>
      </c>
    </row>
    <row r="2292" spans="1:2" x14ac:dyDescent="0.25">
      <c r="A2292">
        <f ca="1">40280.1286554754*((RANDBETWEEN(2979,3282)))</f>
        <v>127849128.352479</v>
      </c>
      <c r="B2292">
        <v>153385029.67305714</v>
      </c>
    </row>
    <row r="2293" spans="1:2" x14ac:dyDescent="0.25">
      <c r="A2293">
        <f ca="1">31824.8756397073*((RANDBETWEEN(2979,3282)))</f>
        <v>98497990.104894012</v>
      </c>
      <c r="B2293">
        <v>182887996.79254961</v>
      </c>
    </row>
    <row r="2294" spans="1:2" x14ac:dyDescent="0.25">
      <c r="A2294">
        <f ca="1">31842.1457874637*((RANDBETWEEN(2979,3282)))</f>
        <v>98742494.086925104</v>
      </c>
      <c r="B2294">
        <v>202879466.30615467</v>
      </c>
    </row>
    <row r="2295" spans="1:2" x14ac:dyDescent="0.25">
      <c r="A2295">
        <f ca="1">31125.7321293464*((RANDBETWEEN(2979,3282)))</f>
        <v>100753994.90269417</v>
      </c>
      <c r="B2295">
        <v>169772683.47979254</v>
      </c>
    </row>
    <row r="2296" spans="1:2" x14ac:dyDescent="0.25">
      <c r="A2296">
        <f ca="1">42340.1663136155*((RANDBETWEEN(2979,3282)))</f>
        <v>133667905.05208419</v>
      </c>
      <c r="B2296">
        <v>171843077.22256458</v>
      </c>
    </row>
    <row r="2297" spans="1:2" x14ac:dyDescent="0.25">
      <c r="A2297">
        <f ca="1">31058.6372035889*((RANDBETWEEN(2979,3282)))</f>
        <v>100039870.43275979</v>
      </c>
      <c r="B2297">
        <v>169109556.63598064</v>
      </c>
    </row>
    <row r="2298" spans="1:2" x14ac:dyDescent="0.25">
      <c r="A2298">
        <f ca="1">28622.1113336295*((RANDBETWEEN(2979,3282)))</f>
        <v>90159650.700932845</v>
      </c>
      <c r="B2298">
        <v>182225618.41071665</v>
      </c>
    </row>
    <row r="2299" spans="1:2" x14ac:dyDescent="0.25">
      <c r="A2299">
        <f ca="1">33759.5314811465*((RANDBETWEEN(2979,3282)))</f>
        <v>104283192.74526158</v>
      </c>
      <c r="B2299">
        <v>188603693.58386448</v>
      </c>
    </row>
    <row r="2300" spans="1:2" x14ac:dyDescent="0.25">
      <c r="A2300">
        <f ca="1">33191.3858256356*((RANDBETWEEN(2979,3282)))</f>
        <v>104320525.64997266</v>
      </c>
      <c r="B2300">
        <v>163825385.84126151</v>
      </c>
    </row>
    <row r="2301" spans="1:2" x14ac:dyDescent="0.25">
      <c r="A2301">
        <f ca="1">31462.726926177*((RANDBETWEEN(2979,3282)))</f>
        <v>99013201.636678874</v>
      </c>
      <c r="B2301">
        <v>159177896.74135885</v>
      </c>
    </row>
    <row r="2302" spans="1:2" x14ac:dyDescent="0.25">
      <c r="A2302">
        <f ca="1">30406.945254201*((RANDBETWEEN(2979,3282)))</f>
        <v>98214433.17106913</v>
      </c>
      <c r="B2302">
        <v>200306402.10039675</v>
      </c>
    </row>
    <row r="2303" spans="1:2" x14ac:dyDescent="0.25">
      <c r="A2303">
        <f ca="1">32943.8958407184*((RANDBETWEEN(2979,3282)))</f>
        <v>108121866.14923795</v>
      </c>
      <c r="B2303">
        <v>160420153.63471621</v>
      </c>
    </row>
    <row r="2304" spans="1:2" x14ac:dyDescent="0.25">
      <c r="A2304">
        <f ca="1">31710.7328553274*((RANDBETWEEN(2979,3282)))</f>
        <v>97478792.797276303</v>
      </c>
      <c r="B2304">
        <v>178510603.2474215</v>
      </c>
    </row>
    <row r="2305" spans="1:2" x14ac:dyDescent="0.25">
      <c r="A2305">
        <f ca="1">31728.0676603512*((RANDBETWEEN(2979,3282)))</f>
        <v>96707150.228750482</v>
      </c>
      <c r="B2305">
        <v>149782030.92373416</v>
      </c>
    </row>
    <row r="2306" spans="1:2" x14ac:dyDescent="0.25">
      <c r="A2306">
        <f ca="1">29796.5598521725*((RANDBETWEEN(2979,3282)))</f>
        <v>90670931.630160809</v>
      </c>
      <c r="B2306">
        <v>182610350.47653878</v>
      </c>
    </row>
    <row r="2307" spans="1:2" x14ac:dyDescent="0.25">
      <c r="A2307">
        <f ca="1">35956.2299474889*((RANDBETWEEN(2979,3282)))</f>
        <v>115958841.58065175</v>
      </c>
      <c r="B2307">
        <v>145517444.55960551</v>
      </c>
    </row>
    <row r="2308" spans="1:2" x14ac:dyDescent="0.25">
      <c r="A2308">
        <f ca="1">40351.2255148548*((RANDBETWEEN(2979,3282)))</f>
        <v>127348467.72488169</v>
      </c>
      <c r="B2308">
        <v>186297214.98198825</v>
      </c>
    </row>
    <row r="2309" spans="1:2" x14ac:dyDescent="0.25">
      <c r="A2309">
        <f ca="1">29495.4143983432*((RANDBETWEEN(2979,3282)))</f>
        <v>90167481.815735042</v>
      </c>
      <c r="B2309">
        <v>190498800.13973731</v>
      </c>
    </row>
    <row r="2310" spans="1:2" x14ac:dyDescent="0.25">
      <c r="A2310">
        <f ca="1">40723.4293810155*((RANDBETWEEN(2979,3282)))</f>
        <v>128645313.41462786</v>
      </c>
      <c r="B2310">
        <v>185535526.71858716</v>
      </c>
    </row>
    <row r="2311" spans="1:2" x14ac:dyDescent="0.25">
      <c r="A2311">
        <f ca="1">28857.5802076878*((RANDBETWEEN(2979,3282)))</f>
        <v>93123411.330208421</v>
      </c>
      <c r="B2311">
        <v>152825679.62621284</v>
      </c>
    </row>
    <row r="2312" spans="1:2" x14ac:dyDescent="0.25">
      <c r="A2312">
        <f ca="1">31009.3226704848*((RANDBETWEEN(2979,3282)))</f>
        <v>95322657.889070421</v>
      </c>
      <c r="B2312">
        <v>178618656.31825137</v>
      </c>
    </row>
    <row r="2313" spans="1:2" x14ac:dyDescent="0.25">
      <c r="A2313">
        <f ca="1">32408.28767226*((RANDBETWEEN(2979,3282)))</f>
        <v>96706330.414023861</v>
      </c>
      <c r="B2313">
        <v>161426508.63966396</v>
      </c>
    </row>
    <row r="2314" spans="1:2" x14ac:dyDescent="0.25">
      <c r="A2314">
        <f ca="1">34399.7247865738*((RANDBETWEEN(2979,3282)))</f>
        <v>104127966.92895897</v>
      </c>
      <c r="B2314">
        <v>146982386.15394083</v>
      </c>
    </row>
    <row r="2315" spans="1:2" x14ac:dyDescent="0.25">
      <c r="A2315">
        <f ca="1">35237.6820945754*((RANDBETWEEN(2979,3282)))</f>
        <v>106276849.19723934</v>
      </c>
      <c r="B2315">
        <v>199612534.85974377</v>
      </c>
    </row>
    <row r="2316" spans="1:2" x14ac:dyDescent="0.25">
      <c r="A2316">
        <f ca="1">39415.4834030921*((RANDBETWEEN(2979,3282)))</f>
        <v>126366039.7903132</v>
      </c>
      <c r="B2316">
        <v>154727374.92510009</v>
      </c>
    </row>
    <row r="2317" spans="1:2" x14ac:dyDescent="0.25">
      <c r="A2317">
        <f ca="1">32147.269153028*((RANDBETWEEN(2979,3282)))</f>
        <v>102646230.40561828</v>
      </c>
      <c r="B2317">
        <v>176404698.80111024</v>
      </c>
    </row>
    <row r="2318" spans="1:2" x14ac:dyDescent="0.25">
      <c r="A2318">
        <f ca="1">32637.3644501043*((RANDBETWEEN(2979,3282)))</f>
        <v>102089675.99992627</v>
      </c>
      <c r="B2318">
        <v>159100565.54249305</v>
      </c>
    </row>
    <row r="2319" spans="1:2" x14ac:dyDescent="0.25">
      <c r="A2319">
        <f ca="1">30066.0613485147*((RANDBETWEEN(2979,3282)))</f>
        <v>91009967.701954126</v>
      </c>
      <c r="B2319">
        <v>170179755.03167698</v>
      </c>
    </row>
    <row r="2320" spans="1:2" x14ac:dyDescent="0.25">
      <c r="A2320">
        <f ca="1">30625.1614758408*((RANDBETWEEN(2979,3282)))</f>
        <v>93314867.01688686</v>
      </c>
      <c r="B2320">
        <v>187734418.581808</v>
      </c>
    </row>
    <row r="2321" spans="1:2" x14ac:dyDescent="0.25">
      <c r="A2321">
        <f ca="1">36230.6278647158*((RANDBETWEEN(2979,3282)))</f>
        <v>108075962.92044725</v>
      </c>
      <c r="B2321">
        <v>146395017.13755178</v>
      </c>
    </row>
    <row r="2322" spans="1:2" x14ac:dyDescent="0.25">
      <c r="A2322">
        <f ca="1">33546.6649499497*((RANDBETWEEN(2979,3282)))</f>
        <v>105806181.25214124</v>
      </c>
      <c r="B2322">
        <v>144950721.80094233</v>
      </c>
    </row>
    <row r="2323" spans="1:2" x14ac:dyDescent="0.25">
      <c r="A2323">
        <f ca="1">36324.9061277597*((RANDBETWEEN(2979,3282)))</f>
        <v>115658501.11078697</v>
      </c>
      <c r="B2323">
        <v>201297287.42927417</v>
      </c>
    </row>
    <row r="2324" spans="1:2" x14ac:dyDescent="0.25">
      <c r="A2324">
        <f ca="1">32160.6564430012*((RANDBETWEEN(2979,3282)))</f>
        <v>100309087.4457207</v>
      </c>
      <c r="B2324">
        <v>172491916.23750344</v>
      </c>
    </row>
    <row r="2325" spans="1:2" x14ac:dyDescent="0.25">
      <c r="A2325">
        <f ca="1">35789.2686456*((RANDBETWEEN(2979,3282)))</f>
        <v>107367805.93680014</v>
      </c>
      <c r="B2325">
        <v>178873754.09260935</v>
      </c>
    </row>
    <row r="2326" spans="1:2" x14ac:dyDescent="0.25">
      <c r="A2326">
        <f ca="1">31709.6495562908*((RANDBETWEEN(2979,3282)))</f>
        <v>100075653.99965389</v>
      </c>
      <c r="B2326">
        <v>145613213.63461405</v>
      </c>
    </row>
    <row r="2327" spans="1:2" x14ac:dyDescent="0.25">
      <c r="A2327">
        <f ca="1">31181.0498162155*((RANDBETWEEN(2979,3282)))</f>
        <v>93418425.249381498</v>
      </c>
      <c r="B2327">
        <v>164503181.12665272</v>
      </c>
    </row>
    <row r="2328" spans="1:2" x14ac:dyDescent="0.25">
      <c r="A2328">
        <f ca="1">32190.3466521529*((RANDBETWEEN(2979,3282)))</f>
        <v>101399591.95428164</v>
      </c>
      <c r="B2328">
        <v>150901896.01580319</v>
      </c>
    </row>
    <row r="2329" spans="1:2" x14ac:dyDescent="0.25">
      <c r="A2329">
        <f ca="1">34499.0496396947*((RANDBETWEEN(2979,3282)))</f>
        <v>109120494.01035443</v>
      </c>
      <c r="B2329">
        <v>149120502.43277085</v>
      </c>
    </row>
    <row r="2330" spans="1:2" x14ac:dyDescent="0.25">
      <c r="A2330">
        <f ca="1">37231.8589944491*((RANDBETWEEN(2979,3282)))</f>
        <v>121115237.30894296</v>
      </c>
      <c r="B2330">
        <v>151253761.84410384</v>
      </c>
    </row>
    <row r="2331" spans="1:2" x14ac:dyDescent="0.25">
      <c r="A2331">
        <f ca="1">33668.4392355983*((RANDBETWEEN(2979,3282)))</f>
        <v>110331475.37505558</v>
      </c>
      <c r="B2331">
        <v>168278592.27931106</v>
      </c>
    </row>
    <row r="2332" spans="1:2" x14ac:dyDescent="0.25">
      <c r="A2332">
        <f ca="1">36007.6850311748*((RANDBETWEEN(2979,3282)))</f>
        <v>115152576.72969717</v>
      </c>
      <c r="B2332">
        <v>146353571.41487521</v>
      </c>
    </row>
    <row r="2333" spans="1:2" x14ac:dyDescent="0.25">
      <c r="A2333">
        <f ca="1">36830.9819829641*((RANDBETWEEN(2979,3282)))</f>
        <v>115465128.51659247</v>
      </c>
      <c r="B2333">
        <v>192803672.09621617</v>
      </c>
    </row>
    <row r="2334" spans="1:2" x14ac:dyDescent="0.25">
      <c r="A2334">
        <f ca="1">40031.0471821989*((RANDBETWEEN(2979,3282)))</f>
        <v>125817581.29365109</v>
      </c>
      <c r="B2334">
        <v>194214238.47974449</v>
      </c>
    </row>
    <row r="2335" spans="1:2" x14ac:dyDescent="0.25">
      <c r="A2335">
        <f ca="1">32072.9461403839*((RANDBETWEEN(2979,3282)))</f>
        <v>102729646.48764972</v>
      </c>
      <c r="B2335">
        <v>159899811.36010998</v>
      </c>
    </row>
    <row r="2336" spans="1:2" x14ac:dyDescent="0.25">
      <c r="A2336">
        <f ca="1">39745.2405181591*((RANDBETWEEN(2979,3282)))</f>
        <v>125157762.39168289</v>
      </c>
      <c r="B2336">
        <v>184049608.1707567</v>
      </c>
    </row>
    <row r="2337" spans="1:2" x14ac:dyDescent="0.25">
      <c r="A2337">
        <f ca="1">34144.2782841213*((RANDBETWEEN(2979,3282)))</f>
        <v>106598436.80302662</v>
      </c>
      <c r="B2337">
        <v>185646760.39296308</v>
      </c>
    </row>
    <row r="2338" spans="1:2" x14ac:dyDescent="0.25">
      <c r="A2338">
        <f ca="1">30788.4725462505*((RANDBETWEEN(2979,3282)))</f>
        <v>99323612.434204027</v>
      </c>
      <c r="B2338">
        <v>175501005.13916382</v>
      </c>
    </row>
    <row r="2339" spans="1:2" x14ac:dyDescent="0.25">
      <c r="A2339">
        <f ca="1">31720.7471284176*((RANDBETWEEN(2979,3282)))</f>
        <v>95130520.638124496</v>
      </c>
      <c r="B2339">
        <v>198291143.03440788</v>
      </c>
    </row>
    <row r="2340" spans="1:2" x14ac:dyDescent="0.25">
      <c r="A2340">
        <f ca="1">33558.1404603447*((RANDBETWEEN(2979,3282)))</f>
        <v>109332421.61980316</v>
      </c>
      <c r="B2340">
        <v>167079303.58274388</v>
      </c>
    </row>
    <row r="2341" spans="1:2" x14ac:dyDescent="0.25">
      <c r="A2341">
        <f ca="1">28825.1628073314*((RANDBETWEEN(2979,3282)))</f>
        <v>93883555.263478324</v>
      </c>
      <c r="B2341">
        <v>153654263.98292944</v>
      </c>
    </row>
    <row r="2342" spans="1:2" x14ac:dyDescent="0.25">
      <c r="A2342">
        <f ca="1">30206.1206988781*((RANDBETWEEN(2979,3282)))</f>
        <v>93185882.356038913</v>
      </c>
      <c r="B2342">
        <v>194054022.7353</v>
      </c>
    </row>
    <row r="2343" spans="1:2" x14ac:dyDescent="0.25">
      <c r="A2343">
        <f ca="1">30697.9255337271*((RANDBETWEEN(2979,3282)))</f>
        <v>99768257.984612912</v>
      </c>
      <c r="B2343">
        <v>153407230.66354969</v>
      </c>
    </row>
    <row r="2344" spans="1:2" x14ac:dyDescent="0.25">
      <c r="A2344">
        <f ca="1">33402.9962448529*((RANDBETWEEN(2979,3282)))</f>
        <v>103048243.41537108</v>
      </c>
      <c r="B2344">
        <v>147114909.99936968</v>
      </c>
    </row>
    <row r="2345" spans="1:2" x14ac:dyDescent="0.25">
      <c r="A2345">
        <f ca="1">34092.1209132614*((RANDBETWEEN(2979,3282)))</f>
        <v>107015167.54672767</v>
      </c>
      <c r="B2345">
        <v>144866811.15447789</v>
      </c>
    </row>
    <row r="2346" spans="1:2" x14ac:dyDescent="0.25">
      <c r="A2346">
        <f ca="1">41416.6876085322*((RANDBETWEEN(2979,3282)))</f>
        <v>126817897.45732559</v>
      </c>
      <c r="B2346">
        <v>144554439.47770211</v>
      </c>
    </row>
    <row r="2347" spans="1:2" x14ac:dyDescent="0.25">
      <c r="A2347">
        <f ca="1">35018.1073758602*((RANDBETWEEN(2979,3282)))</f>
        <v>107995843.14715295</v>
      </c>
      <c r="B2347">
        <v>146468434.53075379</v>
      </c>
    </row>
    <row r="2348" spans="1:2" x14ac:dyDescent="0.25">
      <c r="A2348">
        <f ca="1">31485.1495634789*((RANDBETWEEN(2979,3282)))</f>
        <v>97478023.048530549</v>
      </c>
      <c r="B2348">
        <v>150250967.319996</v>
      </c>
    </row>
    <row r="2349" spans="1:2" x14ac:dyDescent="0.25">
      <c r="A2349">
        <f ca="1">28762.3533061888*((RANDBETWEEN(2979,3282)))</f>
        <v>86344584.625178918</v>
      </c>
      <c r="B2349">
        <v>164801980.15127823</v>
      </c>
    </row>
    <row r="2350" spans="1:2" x14ac:dyDescent="0.25">
      <c r="A2350">
        <f ca="1">37384.7658933596*((RANDBETWEEN(2979,3282)))</f>
        <v>121164026.26037838</v>
      </c>
      <c r="B2350">
        <v>185201928.13529891</v>
      </c>
    </row>
    <row r="2351" spans="1:2" x14ac:dyDescent="0.25">
      <c r="A2351">
        <f ca="1">34458.8133870628*((RANDBETWEEN(2979,3282)))</f>
        <v>105443968.96441212</v>
      </c>
      <c r="B2351">
        <v>150266794.66171545</v>
      </c>
    </row>
    <row r="2352" spans="1:2" x14ac:dyDescent="0.25">
      <c r="A2352">
        <f ca="1">39301.6463523382*((RANDBETWEEN(2979,3282)))</f>
        <v>118848178.5694707</v>
      </c>
      <c r="B2352">
        <v>179532305.97328091</v>
      </c>
    </row>
    <row r="2353" spans="1:2" x14ac:dyDescent="0.25">
      <c r="A2353">
        <f ca="1">36091.942711453*((RANDBETWEEN(2979,3282)))</f>
        <v>115277665.02038078</v>
      </c>
      <c r="B2353">
        <v>154362621.42342126</v>
      </c>
    </row>
    <row r="2354" spans="1:2" x14ac:dyDescent="0.25">
      <c r="A2354">
        <f ca="1">31285.2404164789*((RANDBETWEEN(2979,3282)))</f>
        <v>93980862.211102545</v>
      </c>
      <c r="B2354">
        <v>185836765.76495314</v>
      </c>
    </row>
    <row r="2355" spans="1:2" x14ac:dyDescent="0.25">
      <c r="A2355">
        <f ca="1">37041.8682888544*((RANDBETWEEN(2979,3282)))</f>
        <v>113459242.56876102</v>
      </c>
      <c r="B2355">
        <v>183827320.46946186</v>
      </c>
    </row>
    <row r="2356" spans="1:2" x14ac:dyDescent="0.25">
      <c r="A2356">
        <f ca="1">32805.7793625798*((RANDBETWEEN(2979,3282)))</f>
        <v>103174176.09531359</v>
      </c>
      <c r="B2356">
        <v>153942435.19649684</v>
      </c>
    </row>
    <row r="2357" spans="1:2" x14ac:dyDescent="0.25">
      <c r="A2357">
        <f ca="1">31924.1899984701*((RANDBETWEEN(2979,3282)))</f>
        <v>99890790.505212978</v>
      </c>
      <c r="B2357">
        <v>146810359.97227499</v>
      </c>
    </row>
    <row r="2358" spans="1:2" x14ac:dyDescent="0.25">
      <c r="A2358">
        <f ca="1">40588.3678633396*((RANDBETWEEN(2979,3282)))</f>
        <v>132926904.75243725</v>
      </c>
      <c r="B2358">
        <v>202655493.61686456</v>
      </c>
    </row>
    <row r="2359" spans="1:2" x14ac:dyDescent="0.25">
      <c r="A2359">
        <f ca="1">33425.3777386275*((RANDBETWEEN(2979,3282)))</f>
        <v>103618670.9897452</v>
      </c>
      <c r="B2359">
        <v>169370978.56367382</v>
      </c>
    </row>
    <row r="2360" spans="1:2" x14ac:dyDescent="0.25">
      <c r="A2360">
        <f ca="1">37089.6134423343*((RANDBETWEEN(2979,3282)))</f>
        <v>118835121.46923901</v>
      </c>
      <c r="B2360">
        <v>181956396.34024656</v>
      </c>
    </row>
    <row r="2361" spans="1:2" x14ac:dyDescent="0.25">
      <c r="A2361">
        <f ca="1">26878.8855294706*((RANDBETWEEN(2979,3282)))</f>
        <v>83001998.515005231</v>
      </c>
      <c r="B2361">
        <v>143753714.87353182</v>
      </c>
    </row>
    <row r="2362" spans="1:2" x14ac:dyDescent="0.25">
      <c r="A2362">
        <f ca="1">30949.7242421092*((RANDBETWEEN(2979,3282)))</f>
        <v>99812860.680802315</v>
      </c>
      <c r="B2362">
        <v>151267287.51211721</v>
      </c>
    </row>
    <row r="2363" spans="1:2" x14ac:dyDescent="0.25">
      <c r="A2363">
        <f ca="1">36581.5260090884*((RANDBETWEEN(2979,3282)))</f>
        <v>109744578.02726533</v>
      </c>
      <c r="B2363">
        <v>198444235.9601503</v>
      </c>
    </row>
    <row r="2364" spans="1:2" x14ac:dyDescent="0.25">
      <c r="A2364">
        <f ca="1">31829.9429353589*((RANDBETWEEN(2979,3282)))</f>
        <v>103001695.33882156</v>
      </c>
      <c r="B2364">
        <v>149630968.65964845</v>
      </c>
    </row>
    <row r="2365" spans="1:2" x14ac:dyDescent="0.25">
      <c r="A2365">
        <f ca="1">31243.1470452938*((RANDBETWEEN(2979,3282)))</f>
        <v>101259039.57379726</v>
      </c>
      <c r="B2365">
        <v>148397210.1436207</v>
      </c>
    </row>
    <row r="2366" spans="1:2" x14ac:dyDescent="0.25">
      <c r="A2366">
        <f ca="1">33596.938963675*((RANDBETWEEN(2979,3282)))</f>
        <v>108383725.09681541</v>
      </c>
      <c r="B2366">
        <v>171792221.18328065</v>
      </c>
    </row>
    <row r="2367" spans="1:2" x14ac:dyDescent="0.25">
      <c r="A2367">
        <f ca="1">35914.9442424648*((RANDBETWEEN(2979,3282)))</f>
        <v>110294793.76860954</v>
      </c>
      <c r="B2367">
        <v>160271983.12463921</v>
      </c>
    </row>
    <row r="2368" spans="1:2" x14ac:dyDescent="0.25">
      <c r="A2368">
        <f ca="1">32668.5325633691*((RANDBETWEEN(2979,3282)))</f>
        <v>105650034.30993564</v>
      </c>
      <c r="B2368">
        <v>168168431.14163375</v>
      </c>
    </row>
    <row r="2369" spans="1:2" x14ac:dyDescent="0.25">
      <c r="A2369">
        <f ca="1">38712.4940520286*((RANDBETWEEN(2979,3282)))</f>
        <v>124460668.37727208</v>
      </c>
      <c r="B2369">
        <v>164876331.51143098</v>
      </c>
    </row>
    <row r="2370" spans="1:2" x14ac:dyDescent="0.25">
      <c r="A2370">
        <f ca="1">34549.8431454183*((RANDBETWEEN(2979,3282)))</f>
        <v>107242713.12337852</v>
      </c>
      <c r="B2370">
        <v>166061519.49692154</v>
      </c>
    </row>
    <row r="2371" spans="1:2" x14ac:dyDescent="0.25">
      <c r="A2371">
        <f ca="1">32498.7861842706*((RANDBETWEEN(2979,3282)))</f>
        <v>97951341.559391648</v>
      </c>
      <c r="B2371">
        <v>162395435.11587805</v>
      </c>
    </row>
    <row r="2372" spans="1:2" x14ac:dyDescent="0.25">
      <c r="A2372">
        <f ca="1">37005.2070507335*((RANDBETWEEN(2979,3282)))</f>
        <v>116344370.96750608</v>
      </c>
      <c r="B2372">
        <v>189136367.66762358</v>
      </c>
    </row>
    <row r="2373" spans="1:2" x14ac:dyDescent="0.25">
      <c r="A2373">
        <f ca="1">27827.579594493*((RANDBETWEEN(2979,3282)))</f>
        <v>89493495.975889355</v>
      </c>
      <c r="B2373">
        <v>150145188.81277096</v>
      </c>
    </row>
    <row r="2374" spans="1:2" x14ac:dyDescent="0.25">
      <c r="A2374">
        <f ca="1">38947.0975471442*((RANDBETWEEN(2979,3282)))</f>
        <v>126850696.71104851</v>
      </c>
      <c r="B2374">
        <v>165688805.69493628</v>
      </c>
    </row>
    <row r="2375" spans="1:2" x14ac:dyDescent="0.25">
      <c r="A2375">
        <f ca="1">41172.4932828528*((RANDBETWEEN(2979,3282)))</f>
        <v>129487491.37457193</v>
      </c>
      <c r="B2375">
        <v>162497667.26457119</v>
      </c>
    </row>
    <row r="2376" spans="1:2" x14ac:dyDescent="0.25">
      <c r="A2376">
        <f ca="1">33242.2249746776*((RANDBETWEEN(2979,3282)))</f>
        <v>102552264.04688051</v>
      </c>
      <c r="B2376">
        <v>167336002.91635597</v>
      </c>
    </row>
    <row r="2377" spans="1:2" x14ac:dyDescent="0.25">
      <c r="A2377">
        <f ca="1">40838.1522526764*((RANDBETWEEN(2979,3282)))</f>
        <v>122922838.28055595</v>
      </c>
      <c r="B2377">
        <v>151328742.94983798</v>
      </c>
    </row>
    <row r="2378" spans="1:2" x14ac:dyDescent="0.25">
      <c r="A2378">
        <f ca="1">36486.979621042*((RANDBETWEEN(2979,3282)))</f>
        <v>109314990.94464169</v>
      </c>
      <c r="B2378">
        <v>147082842.51466581</v>
      </c>
    </row>
    <row r="2379" spans="1:2" x14ac:dyDescent="0.25">
      <c r="A2379">
        <f ca="1">31509.5243898678*((RANDBETWEEN(2979,3282)))</f>
        <v>98750849.437845692</v>
      </c>
      <c r="B2379">
        <v>143628073.72032377</v>
      </c>
    </row>
    <row r="2380" spans="1:2" x14ac:dyDescent="0.25">
      <c r="A2380">
        <f ca="1">33009.9152739507*((RANDBETWEEN(2979,3282)))</f>
        <v>107678343.6236271</v>
      </c>
      <c r="B2380">
        <v>150255509.02040151</v>
      </c>
    </row>
    <row r="2381" spans="1:2" x14ac:dyDescent="0.25">
      <c r="A2381">
        <f ca="1">37402.20566193*((RANDBETWEEN(2979,3282)))</f>
        <v>112505834.63108554</v>
      </c>
      <c r="B2381">
        <v>144970999.62361905</v>
      </c>
    </row>
    <row r="2382" spans="1:2" x14ac:dyDescent="0.25">
      <c r="A2382">
        <f ca="1">33254.2751640764*((RANDBETWEEN(2979,3282)))</f>
        <v>101059742.22362819</v>
      </c>
      <c r="B2382">
        <v>146793191.22077176</v>
      </c>
    </row>
    <row r="2383" spans="1:2" x14ac:dyDescent="0.25">
      <c r="A2383">
        <f ca="1">30649.8070034199*((RANDBETWEEN(2979,3282)))</f>
        <v>99182775.463066906</v>
      </c>
      <c r="B2383">
        <v>197284495.19315097</v>
      </c>
    </row>
    <row r="2384" spans="1:2" x14ac:dyDescent="0.25">
      <c r="A2384">
        <f ca="1">29825.7178223817*((RANDBETWEEN(2979,3282)))</f>
        <v>96008985.670246601</v>
      </c>
      <c r="B2384">
        <v>162689550.90868047</v>
      </c>
    </row>
    <row r="2385" spans="1:2" x14ac:dyDescent="0.25">
      <c r="A2385">
        <f ca="1">31018.7899200784*((RANDBETWEEN(2979,3282)))</f>
        <v>101648574.56809705</v>
      </c>
      <c r="B2385">
        <v>155267258.33719447</v>
      </c>
    </row>
    <row r="2386" spans="1:2" x14ac:dyDescent="0.25">
      <c r="A2386">
        <f ca="1">29110.8964015394*((RANDBETWEEN(2979,3282)))</f>
        <v>94319304.340987816</v>
      </c>
      <c r="B2386">
        <v>154659590.98414084</v>
      </c>
    </row>
    <row r="2387" spans="1:2" x14ac:dyDescent="0.25">
      <c r="A2387">
        <f ca="1">31200.2009544774*((RANDBETWEEN(2979,3282)))</f>
        <v>97687829.188468784</v>
      </c>
      <c r="B2387">
        <v>201709165.54358023</v>
      </c>
    </row>
    <row r="2388" spans="1:2" x14ac:dyDescent="0.25">
      <c r="A2388">
        <f ca="1">36177.2132594771*((RANDBETWEEN(2979,3282)))</f>
        <v>116852398.82811116</v>
      </c>
      <c r="B2388">
        <v>187130144.94811946</v>
      </c>
    </row>
    <row r="2389" spans="1:2" x14ac:dyDescent="0.25">
      <c r="A2389">
        <f ca="1">34591.3129947586*((RANDBETWEEN(2979,3282)))</f>
        <v>113182776.11885028</v>
      </c>
      <c r="B2389">
        <v>198643916.69828102</v>
      </c>
    </row>
    <row r="2390" spans="1:2" x14ac:dyDescent="0.25">
      <c r="A2390">
        <f ca="1">34387.8215353081*((RANDBETWEEN(2979,3282)))</f>
        <v>109765926.34070344</v>
      </c>
      <c r="B2390">
        <v>175071339.8984535</v>
      </c>
    </row>
    <row r="2391" spans="1:2" x14ac:dyDescent="0.25">
      <c r="A2391">
        <f ca="1">29599.5037325431*((RANDBETWEEN(2979,3282)))</f>
        <v>92202454.126871735</v>
      </c>
      <c r="B2391">
        <v>190973919.07550856</v>
      </c>
    </row>
    <row r="2392" spans="1:2" x14ac:dyDescent="0.25">
      <c r="A2392">
        <f ca="1">30323.0685198172*((RANDBETWEEN(2979,3282)))</f>
        <v>94274420.028111726</v>
      </c>
      <c r="B2392">
        <v>145284578.22987196</v>
      </c>
    </row>
    <row r="2393" spans="1:2" x14ac:dyDescent="0.25">
      <c r="A2393">
        <f ca="1">35640.4110323937*((RANDBETWEEN(2979,3282)))</f>
        <v>111269363.2431331</v>
      </c>
      <c r="B2393">
        <v>165557917.95892656</v>
      </c>
    </row>
    <row r="2394" spans="1:2" x14ac:dyDescent="0.25">
      <c r="A2394">
        <f ca="1">31000.5191572269*((RANDBETWEEN(2979,3282)))</f>
        <v>99821671.686270535</v>
      </c>
      <c r="B2394">
        <v>157726755.5103797</v>
      </c>
    </row>
    <row r="2395" spans="1:2" x14ac:dyDescent="0.25">
      <c r="A2395">
        <f ca="1">28808.8580997174*((RANDBETWEEN(2979,3282)))</f>
        <v>86224912.292454198</v>
      </c>
      <c r="B2395">
        <v>180157073.0325886</v>
      </c>
    </row>
    <row r="2396" spans="1:2" x14ac:dyDescent="0.25">
      <c r="A2396">
        <f ca="1">37017.2328207326*((RANDBETWEEN(2979,3282)))</f>
        <v>116641300.61812855</v>
      </c>
      <c r="B2396">
        <v>169534858.83750167</v>
      </c>
    </row>
    <row r="2397" spans="1:2" x14ac:dyDescent="0.25">
      <c r="A2397">
        <f ca="1">28952.4203442494*((RANDBETWEEN(2979,3282)))</f>
        <v>87378404.598944619</v>
      </c>
      <c r="B2397">
        <v>151867602.35191539</v>
      </c>
    </row>
    <row r="2398" spans="1:2" x14ac:dyDescent="0.25">
      <c r="A2398">
        <f ca="1">37122.4464902331*((RANDBETWEEN(2979,3282)))</f>
        <v>114114400.51097663</v>
      </c>
      <c r="B2398">
        <v>195344556.47137594</v>
      </c>
    </row>
    <row r="2399" spans="1:2" x14ac:dyDescent="0.25">
      <c r="A2399">
        <f ca="1">35501.6806330649*((RANDBETWEEN(2979,3282)))</f>
        <v>109096664.58540854</v>
      </c>
      <c r="B2399">
        <v>143741512.4422431</v>
      </c>
    </row>
    <row r="2400" spans="1:2" x14ac:dyDescent="0.25">
      <c r="A2400">
        <f ca="1">32626.1973765684*((RANDBETWEEN(2979,3282)))</f>
        <v>102022119.19652952</v>
      </c>
      <c r="B2400">
        <v>156936997.18494499</v>
      </c>
    </row>
    <row r="2401" spans="1:2" x14ac:dyDescent="0.25">
      <c r="A2401">
        <f ca="1">39596.1693986435*((RANDBETWEEN(2979,3282)))</f>
        <v>126232588.04287547</v>
      </c>
      <c r="B2401">
        <v>193958325.03535873</v>
      </c>
    </row>
    <row r="2402" spans="1:2" x14ac:dyDescent="0.25">
      <c r="A2402">
        <f ca="1">32666.2393557281*((RANDBETWEEN(2979,3282)))</f>
        <v>105740616.79449178</v>
      </c>
      <c r="B2402">
        <v>178601585.26832014</v>
      </c>
    </row>
    <row r="2403" spans="1:2" x14ac:dyDescent="0.25">
      <c r="A2403">
        <f ca="1">32656.1967837518*((RANDBETWEEN(2979,3282)))</f>
        <v>104957016.46297823</v>
      </c>
      <c r="B2403">
        <v>145454100.34260923</v>
      </c>
    </row>
    <row r="2404" spans="1:2" x14ac:dyDescent="0.25">
      <c r="A2404">
        <f ca="1">30649.2168040661*((RANDBETWEEN(2979,3282)))</f>
        <v>94276990.889307246</v>
      </c>
      <c r="B2404">
        <v>170556242.40328902</v>
      </c>
    </row>
    <row r="2405" spans="1:2" x14ac:dyDescent="0.25">
      <c r="A2405">
        <f ca="1">38463.9522098547*((RANDBETWEEN(2979,3282)))</f>
        <v>124353957.49446009</v>
      </c>
      <c r="B2405">
        <v>165287389.97142202</v>
      </c>
    </row>
    <row r="2406" spans="1:2" x14ac:dyDescent="0.25">
      <c r="A2406">
        <f ca="1">38631.6299582243*((RANDBETWEEN(2979,3282)))</f>
        <v>117440155.0730018</v>
      </c>
      <c r="B2406">
        <v>177321374.02657306</v>
      </c>
    </row>
    <row r="2407" spans="1:2" x14ac:dyDescent="0.25">
      <c r="A2407">
        <f ca="1">31131.2047160641*((RANDBETWEEN(2979,3282)))</f>
        <v>94794518.360415235</v>
      </c>
      <c r="B2407">
        <v>175652718.19440538</v>
      </c>
    </row>
    <row r="2408" spans="1:2" x14ac:dyDescent="0.25">
      <c r="A2408">
        <f ca="1">33126.6466305032*((RANDBETWEEN(2979,3282)))</f>
        <v>108556021.00815904</v>
      </c>
      <c r="B2408">
        <v>180155997.07237595</v>
      </c>
    </row>
    <row r="2409" spans="1:2" x14ac:dyDescent="0.25">
      <c r="A2409">
        <f ca="1">32153.3591035467*((RANDBETWEEN(2979,3282)))</f>
        <v>102151221.8719679</v>
      </c>
      <c r="B2409">
        <v>156813826.07538277</v>
      </c>
    </row>
    <row r="2410" spans="1:2" x14ac:dyDescent="0.25">
      <c r="A2410">
        <f ca="1">30734.8564428575*((RANDBETWEEN(2979,3282)))</f>
        <v>97613904.062515333</v>
      </c>
      <c r="B2410">
        <v>179960199.30194017</v>
      </c>
    </row>
    <row r="2411" spans="1:2" x14ac:dyDescent="0.25">
      <c r="A2411">
        <f ca="1">30170.7292691983*((RANDBETWEEN(2979,3282)))</f>
        <v>91085431.663709536</v>
      </c>
      <c r="B2411">
        <v>145624290.76173797</v>
      </c>
    </row>
    <row r="2412" spans="1:2" x14ac:dyDescent="0.25">
      <c r="A2412">
        <f ca="1">31110.7653807469*((RANDBETWEEN(2979,3282)))</f>
        <v>101296652.07971187</v>
      </c>
      <c r="B2412">
        <v>150472881.97668073</v>
      </c>
    </row>
    <row r="2413" spans="1:2" x14ac:dyDescent="0.25">
      <c r="A2413">
        <f ca="1">30325.3927173677*((RANDBETWEEN(2979,3282)))</f>
        <v>92098217.682645842</v>
      </c>
      <c r="B2413">
        <v>160067416.10440773</v>
      </c>
    </row>
    <row r="2414" spans="1:2" x14ac:dyDescent="0.25">
      <c r="A2414">
        <f ca="1">31453.6966165466*((RANDBETWEEN(2979,3282)))</f>
        <v>95839413.590617567</v>
      </c>
      <c r="B2414">
        <v>177475472.58900163</v>
      </c>
    </row>
    <row r="2415" spans="1:2" x14ac:dyDescent="0.25">
      <c r="A2415">
        <f ca="1">32651.0888418617*((RANDBETWEEN(2979,3282)))</f>
        <v>98051219.792110547</v>
      </c>
      <c r="B2415">
        <v>154321233.42203566</v>
      </c>
    </row>
    <row r="2416" spans="1:2" x14ac:dyDescent="0.25">
      <c r="A2416">
        <f ca="1">38066.0398611243*((RANDBETWEEN(2979,3282)))</f>
        <v>120935808.63879175</v>
      </c>
      <c r="B2416">
        <v>167915378.69475064</v>
      </c>
    </row>
    <row r="2417" spans="1:2" x14ac:dyDescent="0.25">
      <c r="A2417">
        <f ca="1">31366.3330137404*((RANDBETWEEN(2979,3282)))</f>
        <v>96075078.021086797</v>
      </c>
      <c r="B2417">
        <v>174748095.37450156</v>
      </c>
    </row>
    <row r="2418" spans="1:2" x14ac:dyDescent="0.25">
      <c r="A2418">
        <f ca="1">30335.8540314424*((RANDBETWEEN(2979,3282)))</f>
        <v>95952306.301452219</v>
      </c>
      <c r="B2418">
        <v>162703527.35780478</v>
      </c>
    </row>
    <row r="2419" spans="1:2" x14ac:dyDescent="0.25">
      <c r="A2419">
        <f ca="1">30550.2788680507*((RANDBETWEEN(2979,3282)))</f>
        <v>95133568.395109832</v>
      </c>
      <c r="B2419">
        <v>201142759.02110875</v>
      </c>
    </row>
    <row r="2420" spans="1:2" x14ac:dyDescent="0.25">
      <c r="A2420">
        <f ca="1">32601.2321674761*((RANDBETWEEN(2979,3282)))</f>
        <v>102563476.39887969</v>
      </c>
      <c r="B2420">
        <v>170287870.32572615</v>
      </c>
    </row>
    <row r="2421" spans="1:2" x14ac:dyDescent="0.25">
      <c r="A2421">
        <f ca="1">38938.7546001523*((RANDBETWEEN(2979,3282)))</f>
        <v>125071279.77568917</v>
      </c>
      <c r="B2421">
        <v>186720523.08829418</v>
      </c>
    </row>
    <row r="2422" spans="1:2" x14ac:dyDescent="0.25">
      <c r="A2422">
        <f ca="1">32956.7275697252*((RANDBETWEEN(2979,3282)))</f>
        <v>107241191.5118857</v>
      </c>
      <c r="B2422">
        <v>150183580.87128726</v>
      </c>
    </row>
    <row r="2423" spans="1:2" x14ac:dyDescent="0.25">
      <c r="A2423">
        <f ca="1">36319.4013476794*((RANDBETWEEN(2979,3282)))</f>
        <v>118110693.18265352</v>
      </c>
      <c r="B2423">
        <v>158072449.18513238</v>
      </c>
    </row>
    <row r="2424" spans="1:2" x14ac:dyDescent="0.25">
      <c r="A2424">
        <f ca="1">37716.3670480984*((RANDBETWEEN(2979,3282)))</f>
        <v>113639413.91592045</v>
      </c>
      <c r="B2424">
        <v>171896118.45627689</v>
      </c>
    </row>
    <row r="2425" spans="1:2" x14ac:dyDescent="0.25">
      <c r="A2425">
        <f ca="1">40012.7443447124*((RANDBETWEEN(2979,3282)))</f>
        <v>119958207.54544784</v>
      </c>
      <c r="B2425">
        <v>160702941.78682369</v>
      </c>
    </row>
    <row r="2426" spans="1:2" x14ac:dyDescent="0.25">
      <c r="A2426">
        <f ca="1">36461.6153734398*((RANDBETWEEN(2979,3282)))</f>
        <v>119193020.65577482</v>
      </c>
      <c r="B2426">
        <v>147218663.78951922</v>
      </c>
    </row>
    <row r="2427" spans="1:2" x14ac:dyDescent="0.25">
      <c r="A2427">
        <f ca="1">36277.9955643055*((RANDBETWEEN(2979,3282)))</f>
        <v>116125863.80134183</v>
      </c>
      <c r="B2427">
        <v>151186568.07734561</v>
      </c>
    </row>
    <row r="2428" spans="1:2" x14ac:dyDescent="0.25">
      <c r="A2428">
        <f ca="1">31190.2291992736*((RANDBETWEEN(2979,3282)))</f>
        <v>98623504.728103131</v>
      </c>
      <c r="B2428">
        <v>149954594.26348066</v>
      </c>
    </row>
    <row r="2429" spans="1:2" x14ac:dyDescent="0.25">
      <c r="A2429">
        <f ca="1">33391.8773352422*((RANDBETWEEN(2979,3282)))</f>
        <v>100743293.92042567</v>
      </c>
      <c r="B2429">
        <v>144355534.51976317</v>
      </c>
    </row>
    <row r="2430" spans="1:2" x14ac:dyDescent="0.25">
      <c r="A2430">
        <f ca="1">33662.3886399204*((RANDBETWEEN(2979,3282)))</f>
        <v>107551331.70454574</v>
      </c>
      <c r="B2430">
        <v>149871257.33364946</v>
      </c>
    </row>
    <row r="2431" spans="1:2" x14ac:dyDescent="0.25">
      <c r="A2431">
        <f ca="1">39218.8501889952*((RANDBETWEEN(2979,3282)))</f>
        <v>127618138.51499027</v>
      </c>
      <c r="B2431">
        <v>151981545.31450719</v>
      </c>
    </row>
    <row r="2432" spans="1:2" x14ac:dyDescent="0.25">
      <c r="A2432">
        <f ca="1">31072.7009559256*((RANDBETWEEN(2979,3282)))</f>
        <v>101700950.2287446</v>
      </c>
      <c r="B2432">
        <v>164432385.88650671</v>
      </c>
    </row>
    <row r="2433" spans="1:2" x14ac:dyDescent="0.25">
      <c r="A2433">
        <f ca="1">29175.4445638583*((RANDBETWEEN(2979,3282)))</f>
        <v>87322105.579627857</v>
      </c>
      <c r="B2433">
        <v>168725434.91073141</v>
      </c>
    </row>
    <row r="2434" spans="1:2" x14ac:dyDescent="0.25">
      <c r="A2434">
        <f ca="1">31111.6531115807*((RANDBETWEEN(2979,3282)))</f>
        <v>98903945.241715103</v>
      </c>
      <c r="B2434">
        <v>156802831.24569356</v>
      </c>
    </row>
    <row r="2435" spans="1:2" x14ac:dyDescent="0.25">
      <c r="A2435">
        <f ca="1">33261.7833381099*((RANDBETWEEN(2979,3282)))</f>
        <v>101847580.58129247</v>
      </c>
      <c r="B2435">
        <v>183851654.57674488</v>
      </c>
    </row>
    <row r="2436" spans="1:2" x14ac:dyDescent="0.25">
      <c r="A2436">
        <f ca="1">32904.5060058521*((RANDBETWEEN(2979,3282)))</f>
        <v>100687788.37790748</v>
      </c>
      <c r="B2436">
        <v>183652912.71750766</v>
      </c>
    </row>
    <row r="2437" spans="1:2" x14ac:dyDescent="0.25">
      <c r="A2437">
        <f ca="1">31014.0244161258*((RANDBETWEEN(2979,3282)))</f>
        <v>99089808.009521931</v>
      </c>
      <c r="B2437">
        <v>156040041.30815279</v>
      </c>
    </row>
    <row r="2438" spans="1:2" x14ac:dyDescent="0.25">
      <c r="A2438">
        <f ca="1">36080.0374769132*((RANDBETWEEN(2979,3282)))</f>
        <v>108636992.84298563</v>
      </c>
      <c r="B2438">
        <v>195775227.81556752</v>
      </c>
    </row>
    <row r="2439" spans="1:2" x14ac:dyDescent="0.25">
      <c r="A2439">
        <f ca="1">34600.3392925709*((RANDBETWEEN(2979,3282)))</f>
        <v>111551493.8792485</v>
      </c>
      <c r="B2439">
        <v>147452416.63268071</v>
      </c>
    </row>
    <row r="2440" spans="1:2" x14ac:dyDescent="0.25">
      <c r="A2440">
        <f ca="1">33558.0952832047*((RANDBETWEEN(2979,3282)))</f>
        <v>109734971.57607922</v>
      </c>
      <c r="B2440">
        <v>156600168.2000384</v>
      </c>
    </row>
    <row r="2441" spans="1:2" x14ac:dyDescent="0.25">
      <c r="A2441">
        <f ca="1">28570.2358085732*((RANDBETWEEN(2979,3282)))</f>
        <v>92824696.14205429</v>
      </c>
      <c r="B2441">
        <v>142986929.05805981</v>
      </c>
    </row>
    <row r="2442" spans="1:2" x14ac:dyDescent="0.25">
      <c r="A2442">
        <f ca="1">33452.5739317124*((RANDBETWEEN(2979,3282)))</f>
        <v>104338578.09301093</v>
      </c>
      <c r="B2442">
        <v>175183576.15959013</v>
      </c>
    </row>
    <row r="2443" spans="1:2" x14ac:dyDescent="0.25">
      <c r="A2443">
        <f ca="1">33204.6128842779*((RANDBETWEEN(2979,3282)))</f>
        <v>102436230.74799734</v>
      </c>
      <c r="B2443">
        <v>171952525.75921717</v>
      </c>
    </row>
    <row r="2444" spans="1:2" x14ac:dyDescent="0.25">
      <c r="A2444">
        <f ca="1">30886.0972840222*((RANDBETWEEN(2979,3282)))</f>
        <v>99298802.768131316</v>
      </c>
      <c r="B2444">
        <v>164612206.62372965</v>
      </c>
    </row>
    <row r="2445" spans="1:2" x14ac:dyDescent="0.25">
      <c r="A2445">
        <f ca="1">36664.0308879995*((RANDBETWEEN(2979,3282)))</f>
        <v>120111365.18908636</v>
      </c>
      <c r="B2445">
        <v>146388425.79381219</v>
      </c>
    </row>
    <row r="2446" spans="1:2" x14ac:dyDescent="0.25">
      <c r="A2446">
        <f ca="1">32238.8470875858*((RANDBETWEEN(2979,3282)))</f>
        <v>99166693.641413838</v>
      </c>
      <c r="B2446">
        <v>159315686.18136388</v>
      </c>
    </row>
    <row r="2447" spans="1:2" x14ac:dyDescent="0.25">
      <c r="A2447">
        <f ca="1">33081.6606001072*((RANDBETWEEN(2979,3282)))</f>
        <v>106853763.73834619</v>
      </c>
      <c r="B2447">
        <v>147059493.85151121</v>
      </c>
    </row>
    <row r="2448" spans="1:2" x14ac:dyDescent="0.25">
      <c r="A2448">
        <f ca="1">31897.9514495903*((RANDBETWEEN(2979,3282)))</f>
        <v>104593382.80320655</v>
      </c>
      <c r="B2448">
        <v>152402946.10202816</v>
      </c>
    </row>
    <row r="2449" spans="1:2" x14ac:dyDescent="0.25">
      <c r="A2449">
        <f ca="1">31767.123991791*((RANDBETWEEN(2979,3282)))</f>
        <v>99939372.078174442</v>
      </c>
      <c r="B2449">
        <v>160465229.17065638</v>
      </c>
    </row>
    <row r="2450" spans="1:2" x14ac:dyDescent="0.25">
      <c r="A2450">
        <f ca="1">30930.94024908*((RANDBETWEEN(2979,3282)))</f>
        <v>101453484.01698242</v>
      </c>
      <c r="B2450">
        <v>146837940.56159484</v>
      </c>
    </row>
    <row r="2451" spans="1:2" x14ac:dyDescent="0.25">
      <c r="A2451">
        <f ca="1">30939.687312436*((RANDBETWEEN(2979,3282)))</f>
        <v>97088738.786424056</v>
      </c>
      <c r="B2451">
        <v>158942551.8587662</v>
      </c>
    </row>
    <row r="2452" spans="1:2" x14ac:dyDescent="0.25">
      <c r="A2452">
        <f ca="1">33766.4348271825*((RANDBETWEEN(2979,3282)))</f>
        <v>102244764.65670857</v>
      </c>
      <c r="B2452">
        <v>150630037.26092163</v>
      </c>
    </row>
    <row r="2453" spans="1:2" x14ac:dyDescent="0.25">
      <c r="A2453">
        <f ca="1">41075.0314834759*((RANDBETWEEN(2979,3282)))</f>
        <v>129591724.33036661</v>
      </c>
      <c r="B2453">
        <v>160176039.37499163</v>
      </c>
    </row>
    <row r="2454" spans="1:2" x14ac:dyDescent="0.25">
      <c r="A2454">
        <f ca="1">36897.4957622177*((RANDBETWEEN(2979,3282)))</f>
        <v>120654811.14245194</v>
      </c>
      <c r="B2454">
        <v>175422475.17564842</v>
      </c>
    </row>
    <row r="2455" spans="1:2" x14ac:dyDescent="0.25">
      <c r="A2455">
        <f ca="1">40405.3911869324*((RANDBETWEEN(2979,3282)))</f>
        <v>124933469.54999493</v>
      </c>
      <c r="B2455">
        <v>160790350.75888926</v>
      </c>
    </row>
    <row r="2456" spans="1:2" x14ac:dyDescent="0.25">
      <c r="A2456">
        <f ca="1">37561.8980412105*((RANDBETWEEN(2979,3282)))</f>
        <v>113512055.88053799</v>
      </c>
      <c r="B2456">
        <v>163653563.21987498</v>
      </c>
    </row>
    <row r="2457" spans="1:2" x14ac:dyDescent="0.25">
      <c r="A2457">
        <f ca="1">36270.0475013983*((RANDBETWEEN(2979,3282)))</f>
        <v>109027762.78920317</v>
      </c>
      <c r="B2457">
        <v>148341720.31201217</v>
      </c>
    </row>
    <row r="2458" spans="1:2" x14ac:dyDescent="0.25">
      <c r="A2458">
        <f ca="1">34916.255936869*((RANDBETWEEN(2979,3282)))</f>
        <v>110090954.96894799</v>
      </c>
      <c r="B2458">
        <v>151292554.97857112</v>
      </c>
    </row>
    <row r="2459" spans="1:2" x14ac:dyDescent="0.25">
      <c r="A2459">
        <f ca="1">33730.301466599*((RANDBETWEEN(2979,3282)))</f>
        <v>108206807.10484974</v>
      </c>
      <c r="B2459">
        <v>170362372.73340696</v>
      </c>
    </row>
    <row r="2460" spans="1:2" x14ac:dyDescent="0.25">
      <c r="A2460">
        <f ca="1">34029.1359547653*((RANDBETWEEN(2979,3282)))</f>
        <v>103278427.62271276</v>
      </c>
      <c r="B2460">
        <v>158088896.58048028</v>
      </c>
    </row>
    <row r="2461" spans="1:2" x14ac:dyDescent="0.25">
      <c r="A2461">
        <f ca="1">37749.6270580493*((RANDBETWEEN(2979,3282)))</f>
        <v>120232562.179887</v>
      </c>
      <c r="B2461">
        <v>170015222.18532497</v>
      </c>
    </row>
    <row r="2462" spans="1:2" x14ac:dyDescent="0.25">
      <c r="A2462">
        <f ca="1">36048.5721603652*((RANDBETWEEN(2979,3282)))</f>
        <v>117121810.94902667</v>
      </c>
      <c r="B2462">
        <v>151098940.90621251</v>
      </c>
    </row>
    <row r="2463" spans="1:2" x14ac:dyDescent="0.25">
      <c r="A2463">
        <f ca="1">32432.6295347616*((RANDBETWEEN(2979,3282)))</f>
        <v>101968187.25729059</v>
      </c>
      <c r="B2463">
        <v>192999872.79312769</v>
      </c>
    </row>
    <row r="2464" spans="1:2" x14ac:dyDescent="0.25">
      <c r="A2464">
        <f ca="1">31495.9297631462*((RANDBETWEEN(2979,3282)))</f>
        <v>98645252.018173799</v>
      </c>
      <c r="B2464">
        <v>153080152.6455442</v>
      </c>
    </row>
    <row r="2465" spans="1:2" x14ac:dyDescent="0.25">
      <c r="A2465">
        <f ca="1">30499.5208389579*((RANDBETWEEN(2979,3282)))</f>
        <v>99519936.497519553</v>
      </c>
      <c r="B2465">
        <v>165240210.20544863</v>
      </c>
    </row>
    <row r="2466" spans="1:2" x14ac:dyDescent="0.25">
      <c r="A2466">
        <f ca="1">37144.5658905224*((RANDBETWEEN(2979,3282)))</f>
        <v>113699516.19088919</v>
      </c>
      <c r="B2466">
        <v>149791124.99601704</v>
      </c>
    </row>
    <row r="2467" spans="1:2" x14ac:dyDescent="0.25">
      <c r="A2467">
        <f ca="1">30342.0421273156*((RANDBETWEEN(2979,3282)))</f>
        <v>93787252.215532646</v>
      </c>
      <c r="B2467">
        <v>172903977.98844427</v>
      </c>
    </row>
    <row r="2468" spans="1:2" x14ac:dyDescent="0.25">
      <c r="A2468">
        <f ca="1">31752.0306895636*((RANDBETWEEN(2979,3282)))</f>
        <v>95541860.344896734</v>
      </c>
      <c r="B2468">
        <v>158528107.84607503</v>
      </c>
    </row>
    <row r="2469" spans="1:2" x14ac:dyDescent="0.25">
      <c r="A2469">
        <f ca="1">31532.2860833219*((RANDBETWEEN(2979,3282)))</f>
        <v>97277102.567048207</v>
      </c>
      <c r="B2469">
        <v>148139664.65949652</v>
      </c>
    </row>
    <row r="2470" spans="1:2" x14ac:dyDescent="0.25">
      <c r="A2470">
        <f ca="1">41464.8332499132*((RANDBETWEEN(2979,3282)))</f>
        <v>125431120.58098753</v>
      </c>
      <c r="B2470">
        <v>171636944.93179977</v>
      </c>
    </row>
    <row r="2471" spans="1:2" x14ac:dyDescent="0.25">
      <c r="A2471">
        <f ca="1">33586.0660120588*((RANDBETWEEN(2979,3282)))</f>
        <v>101665021.81850186</v>
      </c>
      <c r="B2471">
        <v>169423226.17457655</v>
      </c>
    </row>
    <row r="2472" spans="1:2" x14ac:dyDescent="0.25">
      <c r="A2472">
        <f ca="1">38652.3393224095*((RANDBETWEEN(2979,3282)))</f>
        <v>116266236.68180782</v>
      </c>
      <c r="B2472">
        <v>171331615.72824544</v>
      </c>
    </row>
    <row r="2473" spans="1:2" x14ac:dyDescent="0.25">
      <c r="A2473">
        <f ca="1">33038.0669980082*((RANDBETWEEN(2979,3282)))</f>
        <v>107472831.94452056</v>
      </c>
      <c r="B2473">
        <v>190091771.86655024</v>
      </c>
    </row>
    <row r="2474" spans="1:2" x14ac:dyDescent="0.25">
      <c r="A2474">
        <f ca="1">39446.6280044474*((RANDBETWEEN(2979,3282)))</f>
        <v>125874189.96219157</v>
      </c>
      <c r="B2474">
        <v>155661706.54630664</v>
      </c>
    </row>
    <row r="2475" spans="1:2" x14ac:dyDescent="0.25">
      <c r="A2475">
        <f ca="1">31070.9005214736*((RANDBETWEEN(2979,3282)))</f>
        <v>95139097.396752015</v>
      </c>
      <c r="B2475">
        <v>145458678.93968099</v>
      </c>
    </row>
    <row r="2476" spans="1:2" x14ac:dyDescent="0.25">
      <c r="A2476">
        <f ca="1">32243.2803903389*((RANDBETWEEN(2979,3282)))</f>
        <v>104951877.67055322</v>
      </c>
      <c r="B2476">
        <v>200805243.76577222</v>
      </c>
    </row>
    <row r="2477" spans="1:2" x14ac:dyDescent="0.25">
      <c r="A2477">
        <f ca="1">33824.0080532135*((RANDBETWEEN(2979,3282)))</f>
        <v>103197048.57035433</v>
      </c>
      <c r="B2477">
        <v>148774185.87649223</v>
      </c>
    </row>
    <row r="2478" spans="1:2" x14ac:dyDescent="0.25">
      <c r="A2478">
        <f ca="1">36450.9879333421*((RANDBETWEEN(2979,3282)))</f>
        <v>115586082.73662777</v>
      </c>
      <c r="B2478">
        <v>166703284.05359316</v>
      </c>
    </row>
    <row r="2479" spans="1:2" x14ac:dyDescent="0.25">
      <c r="A2479">
        <f ca="1">31054.4400352261*((RANDBETWEEN(2979,3282)))</f>
        <v>101485910.035119</v>
      </c>
      <c r="B2479">
        <v>163434605.49447829</v>
      </c>
    </row>
    <row r="2480" spans="1:2" x14ac:dyDescent="0.25">
      <c r="A2480">
        <f ca="1">30695.3635013392*((RANDBETWEEN(2979,3282)))</f>
        <v>92239567.321524173</v>
      </c>
      <c r="B2480">
        <v>160171167.28258628</v>
      </c>
    </row>
    <row r="2481" spans="1:2" x14ac:dyDescent="0.25">
      <c r="A2481">
        <f ca="1">36332.1762738803*((RANDBETWEEN(2979,3282)))</f>
        <v>118115905.066385</v>
      </c>
      <c r="B2481">
        <v>194889796.31677023</v>
      </c>
    </row>
    <row r="2482" spans="1:2" x14ac:dyDescent="0.25">
      <c r="A2482">
        <f ca="1">38371.8603428112*((RANDBETWEEN(2979,3282)))</f>
        <v>116650455.44214611</v>
      </c>
      <c r="B2482">
        <v>199476337.67532259</v>
      </c>
    </row>
    <row r="2483" spans="1:2" x14ac:dyDescent="0.25">
      <c r="A2483">
        <f ca="1">29442.9785484234*((RANDBETWEEN(2979,3282)))</f>
        <v>88800023.302044824</v>
      </c>
      <c r="B2483">
        <v>145370573.68754807</v>
      </c>
    </row>
    <row r="2484" spans="1:2" x14ac:dyDescent="0.25">
      <c r="A2484">
        <f ca="1">29598.6326971856*((RANDBETWEEN(2979,3282)))</f>
        <v>94242046.50783892</v>
      </c>
      <c r="B2484">
        <v>157244530.12014556</v>
      </c>
    </row>
    <row r="2485" spans="1:2" x14ac:dyDescent="0.25">
      <c r="A2485">
        <f ca="1">32257.2905907218*((RANDBETWEEN(2979,3282)))</f>
        <v>101287892.45486671</v>
      </c>
      <c r="B2485">
        <v>165779457.91964129</v>
      </c>
    </row>
    <row r="2486" spans="1:2" x14ac:dyDescent="0.25">
      <c r="A2486">
        <f ca="1">29348.4950833909*((RANDBETWEEN(2979,3282)))</f>
        <v>88397667.191173315</v>
      </c>
      <c r="B2486">
        <v>162425777.86199132</v>
      </c>
    </row>
    <row r="2487" spans="1:2" x14ac:dyDescent="0.25">
      <c r="A2487">
        <f ca="1">31227.7932217384*((RANDBETWEEN(2979,3282)))</f>
        <v>99928938.309562936</v>
      </c>
      <c r="B2487">
        <v>146629105.49452305</v>
      </c>
    </row>
    <row r="2488" spans="1:2" x14ac:dyDescent="0.25">
      <c r="A2488">
        <f ca="1">33622.7387933964*((RANDBETWEEN(2979,3282)))</f>
        <v>103827017.39400819</v>
      </c>
      <c r="B2488">
        <v>143477099.18308771</v>
      </c>
    </row>
    <row r="2489" spans="1:2" x14ac:dyDescent="0.25">
      <c r="A2489">
        <f ca="1">29435.2189931881*((RANDBETWEEN(2979,3282)))</f>
        <v>88570573.950502947</v>
      </c>
      <c r="B2489">
        <v>163579379.52235472</v>
      </c>
    </row>
    <row r="2490" spans="1:2" x14ac:dyDescent="0.25">
      <c r="A2490">
        <f ca="1">35929.6510926944*((RANDBETWEEN(2979,3282)))</f>
        <v>108543475.95102964</v>
      </c>
      <c r="B2490">
        <v>147407385.15435353</v>
      </c>
    </row>
    <row r="2491" spans="1:2" x14ac:dyDescent="0.25">
      <c r="A2491">
        <f ca="1">28871.5937417952*((RANDBETWEEN(2979,3282)))</f>
        <v>92533457.942453608</v>
      </c>
      <c r="B2491">
        <v>183567689.54648536</v>
      </c>
    </row>
    <row r="2492" spans="1:2" x14ac:dyDescent="0.25">
      <c r="A2492">
        <f ca="1">29535.3700505417*((RANDBETWEEN(2979,3282)))</f>
        <v>96049023.404361665</v>
      </c>
      <c r="B2492">
        <v>149035306.94822687</v>
      </c>
    </row>
    <row r="2493" spans="1:2" x14ac:dyDescent="0.25">
      <c r="A2493">
        <f ca="1">32350.5807617397*((RANDBETWEEN(2979,3282)))</f>
        <v>105042335.73336865</v>
      </c>
      <c r="B2493">
        <v>194575910.96259472</v>
      </c>
    </row>
    <row r="2494" spans="1:2" x14ac:dyDescent="0.25">
      <c r="A2494">
        <f ca="1">32273.067136002*((RANDBETWEEN(2979,3282)))</f>
        <v>102370168.95539843</v>
      </c>
      <c r="B2494">
        <v>150430994.69423541</v>
      </c>
    </row>
    <row r="2495" spans="1:2" x14ac:dyDescent="0.25">
      <c r="A2495">
        <f ca="1">30656.1576491408*((RANDBETWEEN(2979,3282)))</f>
        <v>94543590.189950317</v>
      </c>
      <c r="B2495">
        <v>151970967.95797983</v>
      </c>
    </row>
    <row r="2496" spans="1:2" x14ac:dyDescent="0.25">
      <c r="A2496">
        <f ca="1">38589.3276038581*((RANDBETWEEN(2979,3282)))</f>
        <v>126650173.19586213</v>
      </c>
      <c r="B2496">
        <v>158552985.43155107</v>
      </c>
    </row>
    <row r="2497" spans="1:2" x14ac:dyDescent="0.25">
      <c r="A2497">
        <f ca="1">33694.6448057187*((RANDBETWEEN(2979,3282)))</f>
        <v>108429366.98480266</v>
      </c>
      <c r="B2497">
        <v>197347521.95580977</v>
      </c>
    </row>
    <row r="2498" spans="1:2" x14ac:dyDescent="0.25">
      <c r="A2498">
        <f ca="1">30622.7083370354*((RANDBETWEEN(2979,3282)))</f>
        <v>99952520.01208353</v>
      </c>
      <c r="B2498">
        <v>186589819.54826272</v>
      </c>
    </row>
    <row r="2499" spans="1:2" x14ac:dyDescent="0.25">
      <c r="A2499">
        <f ca="1">40468.1119889731*((RANDBETWEEN(2979,3282)))</f>
        <v>125896296.3976952</v>
      </c>
      <c r="B2499">
        <v>190828948.10513246</v>
      </c>
    </row>
    <row r="2500" spans="1:2" x14ac:dyDescent="0.25">
      <c r="A2500">
        <f ca="1">34513.4878869803*((RANDBETWEEN(2979,3282)))</f>
        <v>106163488.74035138</v>
      </c>
      <c r="B2500">
        <v>182947041.46470919</v>
      </c>
    </row>
    <row r="2501" spans="1:2" x14ac:dyDescent="0.25">
      <c r="A2501">
        <f ca="1">29706.9417455859*((RANDBETWEEN(2979,3282)))</f>
        <v>92269761.061789721</v>
      </c>
      <c r="B2501">
        <v>173973485.44109973</v>
      </c>
    </row>
    <row r="2502" spans="1:2" x14ac:dyDescent="0.25">
      <c r="A2502">
        <f ca="1">29946.1607501657*((RANDBETWEEN(2979,3282)))</f>
        <v>95079060.381776005</v>
      </c>
      <c r="B2502">
        <v>178639165.81557199</v>
      </c>
    </row>
    <row r="2503" spans="1:2" x14ac:dyDescent="0.25">
      <c r="A2503">
        <f ca="1">28494.2722886064*((RANDBETWEEN(2979,3282)))</f>
        <v>86138185.128457293</v>
      </c>
      <c r="B2503">
        <v>153510362.68023923</v>
      </c>
    </row>
    <row r="2504" spans="1:2" x14ac:dyDescent="0.25">
      <c r="A2504">
        <f ca="1">32905.6679143687*((RANDBETWEEN(2979,3282)))</f>
        <v>99868702.120109096</v>
      </c>
      <c r="B2504">
        <v>151939306.7106719</v>
      </c>
    </row>
    <row r="2505" spans="1:2" x14ac:dyDescent="0.25">
      <c r="A2505">
        <f ca="1">28365.7804359794*((RANDBETWEEN(2979,3282)))</f>
        <v>86714190.792788938</v>
      </c>
      <c r="B2505">
        <v>160451545.71533284</v>
      </c>
    </row>
    <row r="2506" spans="1:2" x14ac:dyDescent="0.25">
      <c r="A2506">
        <f ca="1">30618.1681379941*((RANDBETWEEN(2979,3282)))</f>
        <v>93232321.980192184</v>
      </c>
      <c r="B2506">
        <v>175332490.75858161</v>
      </c>
    </row>
    <row r="2507" spans="1:2" x14ac:dyDescent="0.25">
      <c r="A2507">
        <f ca="1">30773.4993494077*((RANDBETWEEN(2979,3282)))</f>
        <v>93305250.02740407</v>
      </c>
      <c r="B2507">
        <v>155265588.73782477</v>
      </c>
    </row>
    <row r="2508" spans="1:2" x14ac:dyDescent="0.25">
      <c r="A2508">
        <f ca="1">32827.1729286819*((RANDBETWEEN(2979,3282)))</f>
        <v>100976383.92862564</v>
      </c>
      <c r="B2508">
        <v>153723990.12915722</v>
      </c>
    </row>
    <row r="2509" spans="1:2" x14ac:dyDescent="0.25">
      <c r="A2509">
        <f ca="1">30789.0582573329*((RANDBETWEEN(2979,3282)))</f>
        <v>99048400.413839936</v>
      </c>
      <c r="B2509">
        <v>168451190.43633854</v>
      </c>
    </row>
    <row r="2510" spans="1:2" x14ac:dyDescent="0.25">
      <c r="A2510">
        <f ca="1">30107.9277388109*((RANDBETWEEN(2979,3282)))</f>
        <v>94057166.256045386</v>
      </c>
      <c r="B2510">
        <v>162785185.58627349</v>
      </c>
    </row>
    <row r="2511" spans="1:2" x14ac:dyDescent="0.25">
      <c r="A2511">
        <f ca="1">33852.2235875285*((RANDBETWEEN(2979,3282)))</f>
        <v>105043449.79210095</v>
      </c>
      <c r="B2511">
        <v>157173043.01002237</v>
      </c>
    </row>
    <row r="2512" spans="1:2" x14ac:dyDescent="0.25">
      <c r="A2512">
        <f ca="1">31369.3060273084*((RANDBETWEEN(2979,3282)))</f>
        <v>96335138.809864163</v>
      </c>
      <c r="B2512">
        <v>156888188.58068624</v>
      </c>
    </row>
    <row r="2513" spans="1:2" x14ac:dyDescent="0.25">
      <c r="A2513">
        <f ca="1">29680.4675582524*((RANDBETWEEN(2979,3282)))</f>
        <v>95511744.602456212</v>
      </c>
      <c r="B2513">
        <v>184967406.14456117</v>
      </c>
    </row>
    <row r="2514" spans="1:2" x14ac:dyDescent="0.25">
      <c r="A2514">
        <f ca="1">31849.8607437003*((RANDBETWEEN(2979,3282)))</f>
        <v>100072262.45670637</v>
      </c>
      <c r="B2514">
        <v>145402052.53268462</v>
      </c>
    </row>
    <row r="2515" spans="1:2" x14ac:dyDescent="0.25">
      <c r="A2515">
        <f ca="1">34592.4676225469*((RANDBETWEEN(2979,3282)))</f>
        <v>105679988.5868808</v>
      </c>
      <c r="B2515">
        <v>143972971.10471821</v>
      </c>
    </row>
    <row r="2516" spans="1:2" x14ac:dyDescent="0.25">
      <c r="A2516">
        <f ca="1">32980.1777760688*((RANDBETWEEN(2979,3282)))</f>
        <v>100721462.92811409</v>
      </c>
      <c r="B2516">
        <v>182095316.10120946</v>
      </c>
    </row>
    <row r="2517" spans="1:2" x14ac:dyDescent="0.25">
      <c r="A2517">
        <f ca="1">29916.4640963278*((RANDBETWEEN(2979,3282)))</f>
        <v>96600262.567042425</v>
      </c>
      <c r="B2517">
        <v>173543170.31087503</v>
      </c>
    </row>
    <row r="2518" spans="1:2" x14ac:dyDescent="0.25">
      <c r="A2518">
        <f ca="1">31724.9080764473*((RANDBETWEEN(2979,3282)))</f>
        <v>100282434.42964979</v>
      </c>
      <c r="B2518">
        <v>159951039.19000566</v>
      </c>
    </row>
    <row r="2519" spans="1:2" x14ac:dyDescent="0.25">
      <c r="A2519">
        <f ca="1">37604.952185214*((RANDBETWEEN(2979,3282)))</f>
        <v>121689625.27135244</v>
      </c>
      <c r="B2519">
        <v>187592605.18567312</v>
      </c>
    </row>
    <row r="2520" spans="1:2" x14ac:dyDescent="0.25">
      <c r="A2520">
        <f ca="1">32170.533271247*((RANDBETWEEN(2979,3282)))</f>
        <v>97959273.810947135</v>
      </c>
      <c r="B2520">
        <v>149206460.73123437</v>
      </c>
    </row>
    <row r="2521" spans="1:2" x14ac:dyDescent="0.25">
      <c r="A2521">
        <f ca="1">31301.9033904387*((RANDBETWEEN(2979,3282)))</f>
        <v>102263318.37656336</v>
      </c>
      <c r="B2521">
        <v>165794615.03871438</v>
      </c>
    </row>
    <row r="2522" spans="1:2" x14ac:dyDescent="0.25">
      <c r="A2522">
        <f ca="1">29171.1942738142*((RANDBETWEEN(2979,3282)))</f>
        <v>90868270.162931114</v>
      </c>
      <c r="B2522">
        <v>144687652.18084854</v>
      </c>
    </row>
    <row r="2523" spans="1:2" x14ac:dyDescent="0.25">
      <c r="A2523">
        <f ca="1">35288.531287734*((RANDBETWEEN(2979,3282)))</f>
        <v>109641466.71098962</v>
      </c>
      <c r="B2523">
        <v>196872416.83323759</v>
      </c>
    </row>
    <row r="2524" spans="1:2" x14ac:dyDescent="0.25">
      <c r="A2524">
        <f ca="1">32508.7231859163*((RANDBETWEEN(2979,3282)))</f>
        <v>104287983.98041943</v>
      </c>
      <c r="B2524">
        <v>163853319.9610076</v>
      </c>
    </row>
    <row r="2525" spans="1:2" x14ac:dyDescent="0.25">
      <c r="A2525">
        <f ca="1">31083.2821843353*((RANDBETWEEN(2979,3282)))</f>
        <v>97383923.083522573</v>
      </c>
      <c r="B2525">
        <v>158086587.36898822</v>
      </c>
    </row>
    <row r="2526" spans="1:2" x14ac:dyDescent="0.25">
      <c r="A2526">
        <f ca="1">33366.9229491446*((RANDBETWEEN(2979,3282)))</f>
        <v>104705404.21441574</v>
      </c>
      <c r="B2526">
        <v>168664954.31551823</v>
      </c>
    </row>
    <row r="2527" spans="1:2" x14ac:dyDescent="0.25">
      <c r="A2527">
        <f ca="1">31294.3800553524*((RANDBETWEEN(2979,3282)))</f>
        <v>102082267.74055947</v>
      </c>
      <c r="B2527">
        <v>175214526.28982818</v>
      </c>
    </row>
    <row r="2528" spans="1:2" x14ac:dyDescent="0.25">
      <c r="A2528">
        <f ca="1">31830.1990912203*((RANDBETWEEN(2979,3282)))</f>
        <v>97846032.006411254</v>
      </c>
      <c r="B2528">
        <v>145795505.53367341</v>
      </c>
    </row>
    <row r="2529" spans="1:2" x14ac:dyDescent="0.25">
      <c r="A2529">
        <f ca="1">36927.5833321352*((RANDBETWEEN(2979,3282)))</f>
        <v>111779794.7463734</v>
      </c>
      <c r="B2529">
        <v>203600019.75773025</v>
      </c>
    </row>
    <row r="2530" spans="1:2" x14ac:dyDescent="0.25">
      <c r="A2530">
        <f ca="1">34840.5687931982*((RANDBETWEEN(2979,3282)))</f>
        <v>105671445.14977007</v>
      </c>
      <c r="B2530">
        <v>158183946.34094781</v>
      </c>
    </row>
    <row r="2531" spans="1:2" x14ac:dyDescent="0.25">
      <c r="A2531">
        <f ca="1">30165.2767881069*((RANDBETWEEN(2979,3282)))</f>
        <v>94055333.025317252</v>
      </c>
      <c r="B2531">
        <v>176861378.84531605</v>
      </c>
    </row>
    <row r="2532" spans="1:2" x14ac:dyDescent="0.25">
      <c r="A2532">
        <f ca="1">39727.34471746*((RANDBETWEEN(2979,3282)))</f>
        <v>123472587.38186562</v>
      </c>
      <c r="B2532">
        <v>194765332.96990588</v>
      </c>
    </row>
    <row r="2533" spans="1:2" x14ac:dyDescent="0.25">
      <c r="A2533">
        <f ca="1">32172.4789352605*((RANDBETWEEN(2979,3282)))</f>
        <v>99316442.473149285</v>
      </c>
      <c r="B2533">
        <v>160230638.58072233</v>
      </c>
    </row>
    <row r="2534" spans="1:2" x14ac:dyDescent="0.25">
      <c r="A2534">
        <f ca="1">40670.233554085*((RANDBETWEEN(2979,3282)))</f>
        <v>130754800.87638342</v>
      </c>
      <c r="B2534">
        <v>170783885.53342202</v>
      </c>
    </row>
    <row r="2535" spans="1:2" x14ac:dyDescent="0.25">
      <c r="A2535">
        <f ca="1">31244.1362945967*((RANDBETWEEN(2979,3282)))</f>
        <v>93263746.839371026</v>
      </c>
      <c r="B2535">
        <v>199787674.23662889</v>
      </c>
    </row>
    <row r="2536" spans="1:2" x14ac:dyDescent="0.25">
      <c r="A2536">
        <f ca="1">32268.9262775091*((RANDBETWEEN(2979,3282)))</f>
        <v>101808462.40554117</v>
      </c>
      <c r="B2536">
        <v>167293336.92155528</v>
      </c>
    </row>
    <row r="2537" spans="1:2" x14ac:dyDescent="0.25">
      <c r="A2537">
        <f ca="1">34561.6361786361*((RANDBETWEEN(2979,3282)))</f>
        <v>106277031.24930587</v>
      </c>
      <c r="B2537">
        <v>181239117.86344171</v>
      </c>
    </row>
    <row r="2538" spans="1:2" x14ac:dyDescent="0.25">
      <c r="A2538">
        <f ca="1">29441.2242581287*((RANDBETWEEN(2979,3282)))</f>
        <v>95419007.820595145</v>
      </c>
      <c r="B2538">
        <v>195359409.27561104</v>
      </c>
    </row>
    <row r="2539" spans="1:2" x14ac:dyDescent="0.25">
      <c r="A2539">
        <f ca="1">33060.9195570928*((RANDBETWEEN(2979,3282)))</f>
        <v>107778597.75612243</v>
      </c>
      <c r="B2539">
        <v>177818542.97706097</v>
      </c>
    </row>
    <row r="2540" spans="1:2" x14ac:dyDescent="0.25">
      <c r="A2540">
        <f ca="1">29009.3319038207*((RANDBETWEEN(2979,3282)))</f>
        <v>93468067.394110337</v>
      </c>
      <c r="B2540">
        <v>168920141.53927624</v>
      </c>
    </row>
    <row r="2541" spans="1:2" x14ac:dyDescent="0.25">
      <c r="A2541">
        <f ca="1">38277.1584411433*((RANDBETWEEN(2979,3282)))</f>
        <v>122257244.06101167</v>
      </c>
      <c r="B2541">
        <v>160742251.47986609</v>
      </c>
    </row>
    <row r="2542" spans="1:2" x14ac:dyDescent="0.25">
      <c r="A2542">
        <f ca="1">31480.96238411*((RANDBETWEEN(2979,3282)))</f>
        <v>98189121.676039085</v>
      </c>
      <c r="B2542">
        <v>202908154.97549358</v>
      </c>
    </row>
    <row r="2543" spans="1:2" x14ac:dyDescent="0.25">
      <c r="A2543">
        <f ca="1">33053.3276948381*((RANDBETWEEN(2979,3282)))</f>
        <v>102597529.16477744</v>
      </c>
      <c r="B2543">
        <v>192407999.76353005</v>
      </c>
    </row>
    <row r="2544" spans="1:2" x14ac:dyDescent="0.25">
      <c r="A2544">
        <f ca="1">40430.8665266344*((RANDBETWEEN(2979,3282)))</f>
        <v>132208933.54209445</v>
      </c>
      <c r="B2544">
        <v>180434998.16019988</v>
      </c>
    </row>
    <row r="2545" spans="1:2" x14ac:dyDescent="0.25">
      <c r="A2545">
        <f ca="1">31952.5994526486*((RANDBETWEEN(2979,3282)))</f>
        <v>103334706.62986554</v>
      </c>
      <c r="B2545">
        <v>145331515.0643782</v>
      </c>
    </row>
    <row r="2546" spans="1:2" x14ac:dyDescent="0.25">
      <c r="A2546">
        <f ca="1">41432.7665007362*((RANDBETWEEN(2979,3282)))</f>
        <v>130968974.90882713</v>
      </c>
      <c r="B2546">
        <v>177054626.56892067</v>
      </c>
    </row>
    <row r="2547" spans="1:2" x14ac:dyDescent="0.25">
      <c r="A2547">
        <f ca="1">34385.7953067572*((RANDBETWEEN(2979,3282)))</f>
        <v>103054228.53435127</v>
      </c>
      <c r="B2547">
        <v>175085007.61820617</v>
      </c>
    </row>
    <row r="2548" spans="1:2" x14ac:dyDescent="0.25">
      <c r="A2548">
        <f ca="1">31603.7326305401*((RANDBETWEEN(2979,3282)))</f>
        <v>96170158.394733652</v>
      </c>
      <c r="B2548">
        <v>146411055.85654005</v>
      </c>
    </row>
    <row r="2549" spans="1:2" x14ac:dyDescent="0.25">
      <c r="A2549">
        <f ca="1">29693.681799426*((RANDBETWEEN(2979,3282)))</f>
        <v>91070522.078839406</v>
      </c>
      <c r="B2549">
        <v>161608395.46637896</v>
      </c>
    </row>
    <row r="2550" spans="1:2" x14ac:dyDescent="0.25">
      <c r="A2550">
        <f ca="1">35775.3287606418*((RANDBETWEEN(2979,3282)))</f>
        <v>110044911.26773418</v>
      </c>
      <c r="B2550">
        <v>157275740.39073282</v>
      </c>
    </row>
    <row r="2551" spans="1:2" x14ac:dyDescent="0.25">
      <c r="A2551">
        <f ca="1">29065.2425974598*((RANDBETWEEN(2979,3282)))</f>
        <v>89026838.076019332</v>
      </c>
      <c r="B2551">
        <v>168540659.17211738</v>
      </c>
    </row>
    <row r="2552" spans="1:2" x14ac:dyDescent="0.25">
      <c r="A2552">
        <f ca="1">28805.2612739928*((RANDBETWEEN(2979,3282)))</f>
        <v>85810873.33522445</v>
      </c>
      <c r="B2552">
        <v>150816298.3066963</v>
      </c>
    </row>
    <row r="2553" spans="1:2" x14ac:dyDescent="0.25">
      <c r="A2553">
        <f ca="1">37170.1536349566*((RANDBETWEEN(2979,3282)))</f>
        <v>121843763.61538757</v>
      </c>
      <c r="B2553">
        <v>159031653.87318665</v>
      </c>
    </row>
    <row r="2554" spans="1:2" x14ac:dyDescent="0.25">
      <c r="A2554">
        <f ca="1">34060.364398852*((RANDBETWEEN(2979,3282)))</f>
        <v>107460449.67837799</v>
      </c>
      <c r="B2554">
        <v>150758323.88284749</v>
      </c>
    </row>
    <row r="2555" spans="1:2" x14ac:dyDescent="0.25">
      <c r="A2555">
        <f ca="1">37565.1412720351*((RANDBETWEEN(2979,3282)))</f>
        <v>112470032.96847311</v>
      </c>
      <c r="B2555">
        <v>187455508.91036871</v>
      </c>
    </row>
    <row r="2556" spans="1:2" x14ac:dyDescent="0.25">
      <c r="A2556">
        <f ca="1">32245.6154045965*((RANDBETWEEN(2979,3282)))</f>
        <v>104572530.7571063</v>
      </c>
      <c r="B2556">
        <v>144260264.26962888</v>
      </c>
    </row>
    <row r="2557" spans="1:2" x14ac:dyDescent="0.25">
      <c r="A2557">
        <f ca="1">33856.8762213834*((RANDBETWEEN(2979,3282)))</f>
        <v>103737468.74231882</v>
      </c>
      <c r="B2557">
        <v>152925176.46804059</v>
      </c>
    </row>
    <row r="2558" spans="1:2" x14ac:dyDescent="0.25">
      <c r="A2558">
        <f ca="1">32509.2850393337*((RANDBETWEEN(2979,3282)))</f>
        <v>100778783.6219344</v>
      </c>
      <c r="B2558">
        <v>158211482.9113411</v>
      </c>
    </row>
    <row r="2559" spans="1:2" x14ac:dyDescent="0.25">
      <c r="A2559">
        <f ca="1">30901.4171476746*((RANDBETWEEN(2979,3282)))</f>
        <v>99564366.049807489</v>
      </c>
      <c r="B2559">
        <v>144168970.37032992</v>
      </c>
    </row>
    <row r="2560" spans="1:2" x14ac:dyDescent="0.25">
      <c r="A2560">
        <f ca="1">30801.9199024602*((RANDBETWEEN(2979,3282)))</f>
        <v>95793970.896651223</v>
      </c>
      <c r="B2560">
        <v>188832733.59650216</v>
      </c>
    </row>
    <row r="2561" spans="1:2" x14ac:dyDescent="0.25">
      <c r="A2561">
        <f ca="1">32696.516648171*((RANDBETWEEN(2979,3282)))</f>
        <v>97664495.228086874</v>
      </c>
      <c r="B2561">
        <v>147755945.54666218</v>
      </c>
    </row>
    <row r="2562" spans="1:2" x14ac:dyDescent="0.25">
      <c r="A2562">
        <f ca="1">32836.3204657016*((RANDBETWEEN(2979,3282)))</f>
        <v>103598591.06928866</v>
      </c>
      <c r="B2562">
        <v>171755389.08018976</v>
      </c>
    </row>
    <row r="2563" spans="1:2" x14ac:dyDescent="0.25">
      <c r="A2563">
        <f ca="1">29786.5363443074*((RANDBETWEEN(2979,3282)))</f>
        <v>90729789.704760328</v>
      </c>
      <c r="B2563">
        <v>164488142.79495978</v>
      </c>
    </row>
    <row r="2564" spans="1:2" x14ac:dyDescent="0.25">
      <c r="A2564">
        <f ca="1">32371.7770582724*((RANDBETWEEN(2979,3282)))</f>
        <v>98831035.358905733</v>
      </c>
      <c r="B2564">
        <v>145340206.19430396</v>
      </c>
    </row>
    <row r="2565" spans="1:2" x14ac:dyDescent="0.25">
      <c r="A2565">
        <f ca="1">27623.7868876016*((RANDBETWEEN(2979,3282)))</f>
        <v>84473540.302285761</v>
      </c>
      <c r="B2565">
        <v>143461650.29012749</v>
      </c>
    </row>
    <row r="2566" spans="1:2" x14ac:dyDescent="0.25">
      <c r="A2566">
        <f ca="1">33132.1906397198*((RANDBETWEEN(2979,3282)))</f>
        <v>101351371.16690299</v>
      </c>
      <c r="B2566">
        <v>195520698.68221277</v>
      </c>
    </row>
    <row r="2567" spans="1:2" x14ac:dyDescent="0.25">
      <c r="A2567">
        <f ca="1">38177.3526954387*((RANDBETWEEN(2979,3282)))</f>
        <v>120984030.69184537</v>
      </c>
      <c r="B2567">
        <v>183883609.1344952</v>
      </c>
    </row>
    <row r="2568" spans="1:2" x14ac:dyDescent="0.25">
      <c r="A2568">
        <f ca="1">33462.4381897186*((RANDBETWEEN(2979,3282)))</f>
        <v>105607454.92675203</v>
      </c>
      <c r="B2568">
        <v>199842675.46212357</v>
      </c>
    </row>
    <row r="2569" spans="1:2" x14ac:dyDescent="0.25">
      <c r="A2569">
        <f ca="1">39057.7941545091*((RANDBETWEEN(2979,3282)))</f>
        <v>120649526.14327875</v>
      </c>
      <c r="B2569">
        <v>192281331.88399827</v>
      </c>
    </row>
    <row r="2570" spans="1:2" x14ac:dyDescent="0.25">
      <c r="A2570">
        <f ca="1">35211.8393176186*((RANDBETWEEN(2979,3282)))</f>
        <v>109614455.79574659</v>
      </c>
      <c r="B2570">
        <v>183460358.46598029</v>
      </c>
    </row>
    <row r="2571" spans="1:2" x14ac:dyDescent="0.25">
      <c r="A2571">
        <f ca="1">38801.8866290361*((RANDBETWEEN(2979,3282)))</f>
        <v>117298103.27957623</v>
      </c>
      <c r="B2571">
        <v>189540820.17690438</v>
      </c>
    </row>
    <row r="2572" spans="1:2" x14ac:dyDescent="0.25">
      <c r="A2572">
        <f ca="1">31660.8681293545*((RANDBETWEEN(2979,3282)))</f>
        <v>96439004.322013736</v>
      </c>
      <c r="B2572">
        <v>165807579.70839736</v>
      </c>
    </row>
    <row r="2573" spans="1:2" x14ac:dyDescent="0.25">
      <c r="A2573">
        <f ca="1">36006.0328741529*((RANDBETWEEN(2979,3282)))</f>
        <v>113094949.25771411</v>
      </c>
      <c r="B2573">
        <v>171659576.42500687</v>
      </c>
    </row>
    <row r="2574" spans="1:2" x14ac:dyDescent="0.25">
      <c r="A2574">
        <f ca="1">30237.2745947134*((RANDBETWEEN(2979,3282)))</f>
        <v>91588704.747387037</v>
      </c>
      <c r="B2574">
        <v>201548487.9169893</v>
      </c>
    </row>
    <row r="2575" spans="1:2" x14ac:dyDescent="0.25">
      <c r="A2575">
        <f ca="1">32791.5363411154*((RANDBETWEEN(2979,3282)))</f>
        <v>98079485.196276262</v>
      </c>
      <c r="B2575">
        <v>200994316.26203108</v>
      </c>
    </row>
    <row r="2576" spans="1:2" x14ac:dyDescent="0.25">
      <c r="A2576">
        <f ca="1">31570.148855272*((RANDBETWEEN(2979,3282)))</f>
        <v>98625145.023869753</v>
      </c>
      <c r="B2576">
        <v>180933867.81871238</v>
      </c>
    </row>
    <row r="2577" spans="1:2" x14ac:dyDescent="0.25">
      <c r="A2577">
        <f ca="1">39199.2715203006*((RANDBETWEEN(2979,3282)))</f>
        <v>123830498.73262958</v>
      </c>
      <c r="B2577">
        <v>146704423.95278168</v>
      </c>
    </row>
    <row r="2578" spans="1:2" x14ac:dyDescent="0.25">
      <c r="A2578">
        <f ca="1">35173.4742182698*((RANDBETWEEN(2979,3282)))</f>
        <v>111253698.95238733</v>
      </c>
      <c r="B2578">
        <v>189241762.44991156</v>
      </c>
    </row>
    <row r="2579" spans="1:2" x14ac:dyDescent="0.25">
      <c r="A2579">
        <f ca="1">30876.4652951641*((RANDBETWEEN(2979,3282)))</f>
        <v>96828595.165634543</v>
      </c>
      <c r="B2579">
        <v>168352404.4323872</v>
      </c>
    </row>
    <row r="2580" spans="1:2" x14ac:dyDescent="0.25">
      <c r="A2580">
        <f ca="1">31473.2898726895*((RANDBETWEEN(2979,3282)))</f>
        <v>102634398.27484037</v>
      </c>
      <c r="B2580">
        <v>184629869.09404263</v>
      </c>
    </row>
    <row r="2581" spans="1:2" x14ac:dyDescent="0.25">
      <c r="A2581">
        <f ca="1">38950.1074340554*((RANDBETWEEN(2979,3282)))</f>
        <v>124874044.43358146</v>
      </c>
      <c r="B2581">
        <v>149264762.79918075</v>
      </c>
    </row>
    <row r="2582" spans="1:2" x14ac:dyDescent="0.25">
      <c r="A2582">
        <f ca="1">31126.1320310202*((RANDBETWEEN(2979,3282)))</f>
        <v>96242000.239914313</v>
      </c>
      <c r="B2582">
        <v>171670797.80870599</v>
      </c>
    </row>
    <row r="2583" spans="1:2" x14ac:dyDescent="0.25">
      <c r="A2583">
        <f ca="1">30808.316979708*((RANDBETWEEN(2979,3282)))</f>
        <v>93071925.595697775</v>
      </c>
      <c r="B2583">
        <v>150771801.62909612</v>
      </c>
    </row>
    <row r="2584" spans="1:2" x14ac:dyDescent="0.25">
      <c r="A2584">
        <f ca="1">34346.6233645639*((RANDBETWEEN(2979,3282)))</f>
        <v>107333198.01426223</v>
      </c>
      <c r="B2584">
        <v>159266309.83875793</v>
      </c>
    </row>
    <row r="2585" spans="1:2" x14ac:dyDescent="0.25">
      <c r="A2585">
        <f ca="1">33958.79615597*((RANDBETWEEN(2979,3282)))</f>
        <v>106970207.89130543</v>
      </c>
      <c r="B2585">
        <v>162888892.01234162</v>
      </c>
    </row>
    <row r="2586" spans="1:2" x14ac:dyDescent="0.25">
      <c r="A2586">
        <f ca="1">31050.067078583*((RANDBETWEEN(2979,3282)))</f>
        <v>95634206.602035627</v>
      </c>
      <c r="B2586">
        <v>161830729.61221474</v>
      </c>
    </row>
    <row r="2587" spans="1:2" x14ac:dyDescent="0.25">
      <c r="A2587">
        <f ca="1">32052.2395799412*((RANDBETWEEN(2979,3282)))</f>
        <v>96701606.812682569</v>
      </c>
      <c r="B2587">
        <v>149060284.64871517</v>
      </c>
    </row>
    <row r="2588" spans="1:2" x14ac:dyDescent="0.25">
      <c r="A2588">
        <f ca="1">30227.0271273803*((RANDBETWEEN(2979,3282)))</f>
        <v>97663524.648565874</v>
      </c>
      <c r="B2588">
        <v>159956860.85367197</v>
      </c>
    </row>
    <row r="2589" spans="1:2" x14ac:dyDescent="0.25">
      <c r="A2589">
        <f ca="1">33805.978196393*((RANDBETWEEN(2979,3282)))</f>
        <v>101620770.45835729</v>
      </c>
      <c r="B2589">
        <v>173804592.34206626</v>
      </c>
    </row>
    <row r="2590" spans="1:2" x14ac:dyDescent="0.25">
      <c r="A2590">
        <f ca="1">30988.9132469012*((RANDBETWEEN(2979,3282)))</f>
        <v>94919041.275258482</v>
      </c>
      <c r="B2590">
        <v>160850476.37681764</v>
      </c>
    </row>
    <row r="2591" spans="1:2" x14ac:dyDescent="0.25">
      <c r="A2591">
        <f ca="1">40983.4102674235*((RANDBETWEEN(2979,3282)))</f>
        <v>127335455.70088489</v>
      </c>
      <c r="B2591">
        <v>178805907.59011298</v>
      </c>
    </row>
    <row r="2592" spans="1:2" x14ac:dyDescent="0.25">
      <c r="A2592">
        <f ca="1">40153.8896815299*((RANDBETWEEN(2979,3282)))</f>
        <v>127809830.85630952</v>
      </c>
      <c r="B2592">
        <v>187265943.02178439</v>
      </c>
    </row>
    <row r="2593" spans="1:2" x14ac:dyDescent="0.25">
      <c r="A2593">
        <f ca="1">30053.1447267561*((RANDBETWEEN(2979,3282)))</f>
        <v>94967937.336549327</v>
      </c>
      <c r="B2593">
        <v>168787679.1175268</v>
      </c>
    </row>
    <row r="2594" spans="1:2" x14ac:dyDescent="0.25">
      <c r="A2594">
        <f ca="1">36850.7224002026*((RANDBETWEEN(2979,3282)))</f>
        <v>114532045.21982956</v>
      </c>
      <c r="B2594">
        <v>161101943.41424474</v>
      </c>
    </row>
    <row r="2595" spans="1:2" x14ac:dyDescent="0.25">
      <c r="A2595">
        <f ca="1">30380.8926953117*((RANDBETWEEN(2979,3282)))</f>
        <v>92479437.364528716</v>
      </c>
      <c r="B2595">
        <v>184051883.85996979</v>
      </c>
    </row>
    <row r="2596" spans="1:2" x14ac:dyDescent="0.25">
      <c r="A2596">
        <f ca="1">30227.3002159708*((RANDBETWEEN(2979,3282)))</f>
        <v>91225992.051799849</v>
      </c>
      <c r="B2596">
        <v>145320135.08613208</v>
      </c>
    </row>
    <row r="2597" spans="1:2" x14ac:dyDescent="0.25">
      <c r="A2597">
        <f ca="1">31031.0736702172*((RANDBETWEEN(2979,3282)))</f>
        <v>99299435.744694993</v>
      </c>
      <c r="B2597">
        <v>194704067.83642712</v>
      </c>
    </row>
    <row r="2598" spans="1:2" x14ac:dyDescent="0.25">
      <c r="A2598">
        <f ca="1">42081.1478082038*((RANDBETWEEN(2979,3282)))</f>
        <v>126243443.42461132</v>
      </c>
      <c r="B2598">
        <v>188914471.82185054</v>
      </c>
    </row>
    <row r="2599" spans="1:2" x14ac:dyDescent="0.25">
      <c r="A2599">
        <f ca="1">31857.4336472784*((RANDBETWEEN(2979,3282)))</f>
        <v>98535042.271032169</v>
      </c>
      <c r="B2599">
        <v>161342404.4111186</v>
      </c>
    </row>
    <row r="2600" spans="1:2" x14ac:dyDescent="0.25">
      <c r="A2600">
        <f ca="1">32484.7097326189*((RANDBETWEEN(2979,3282)))</f>
        <v>104730704.17796332</v>
      </c>
      <c r="B2600">
        <v>155840822.11004904</v>
      </c>
    </row>
    <row r="2601" spans="1:2" x14ac:dyDescent="0.25">
      <c r="A2601">
        <f ca="1">27812.8962051566*((RANDBETWEEN(2979,3282)))</f>
        <v>87415932.772807345</v>
      </c>
      <c r="B2601">
        <v>160136724.96027577</v>
      </c>
    </row>
    <row r="2602" spans="1:2" x14ac:dyDescent="0.25">
      <c r="A2602">
        <f ca="1">31458.6906102835*((RANDBETWEEN(2979,3282)))</f>
        <v>100510516.49985564</v>
      </c>
      <c r="B2602">
        <v>190570981.70911422</v>
      </c>
    </row>
    <row r="2603" spans="1:2" x14ac:dyDescent="0.25">
      <c r="A2603">
        <f ca="1">31793.1104406921*((RANDBETWEEN(2979,3282)))</f>
        <v>103804505.58885965</v>
      </c>
      <c r="B2603">
        <v>148610579.43601695</v>
      </c>
    </row>
    <row r="2604" spans="1:2" x14ac:dyDescent="0.25">
      <c r="A2604">
        <f ca="1">30100.9158078177*((RANDBETWEEN(2979,3282)))</f>
        <v>95540306.77401334</v>
      </c>
      <c r="B2604">
        <v>154291463.8782976</v>
      </c>
    </row>
    <row r="2605" spans="1:2" x14ac:dyDescent="0.25">
      <c r="A2605">
        <f ca="1">33661.5470788719*((RANDBETWEEN(2979,3282)))</f>
        <v>103071657.15550588</v>
      </c>
      <c r="B2605">
        <v>155731420.97573429</v>
      </c>
    </row>
    <row r="2606" spans="1:2" x14ac:dyDescent="0.25">
      <c r="A2606">
        <f ca="1">28761.5843670006*((RANDBETWEEN(2979,3282)))</f>
        <v>94280473.555028111</v>
      </c>
      <c r="B2606">
        <v>147110352.33694273</v>
      </c>
    </row>
    <row r="2607" spans="1:2" x14ac:dyDescent="0.25">
      <c r="A2607">
        <f ca="1">29474.9251110076*((RANDBETWEEN(2979,3282)))</f>
        <v>96441954.963216826</v>
      </c>
      <c r="B2607">
        <v>145741574.49786061</v>
      </c>
    </row>
    <row r="2608" spans="1:2" x14ac:dyDescent="0.25">
      <c r="A2608">
        <f ca="1">29309.4598351477*((RANDBETWEEN(2979,3282)))</f>
        <v>95226435.004394904</v>
      </c>
      <c r="B2608">
        <v>148899349.14975578</v>
      </c>
    </row>
    <row r="2609" spans="1:2" x14ac:dyDescent="0.25">
      <c r="A2609">
        <f ca="1">31786.1700084762*((RANDBETWEEN(2979,3282)))</f>
        <v>103750058.90766637</v>
      </c>
      <c r="B2609">
        <v>162617515.2796019</v>
      </c>
    </row>
    <row r="2610" spans="1:2" x14ac:dyDescent="0.25">
      <c r="A2610">
        <f ca="1">31968.9931443508*((RANDBETWEEN(2979,3282)))</f>
        <v>100862173.37042692</v>
      </c>
      <c r="B2610">
        <v>193412469.28830445</v>
      </c>
    </row>
    <row r="2611" spans="1:2" x14ac:dyDescent="0.25">
      <c r="A2611">
        <f ca="1">30825.4737862107*((RANDBETWEEN(2979,3282)))</f>
        <v>98394912.32558465</v>
      </c>
      <c r="B2611">
        <v>167163037.06337661</v>
      </c>
    </row>
    <row r="2612" spans="1:2" x14ac:dyDescent="0.25">
      <c r="A2612">
        <f ca="1">36601.1097422183*((RANDBETWEEN(2979,3282)))</f>
        <v>109766728.11691281</v>
      </c>
      <c r="B2612">
        <v>163024522.61648089</v>
      </c>
    </row>
    <row r="2613" spans="1:2" x14ac:dyDescent="0.25">
      <c r="A2613">
        <f ca="1">35833.9292146039*((RANDBETWEEN(2979,3282)))</f>
        <v>110045996.61804871</v>
      </c>
      <c r="B2613">
        <v>186126417.01404351</v>
      </c>
    </row>
    <row r="2614" spans="1:2" x14ac:dyDescent="0.25">
      <c r="A2614">
        <f ca="1">39492.2620323149*((RANDBETWEEN(2979,3282)))</f>
        <v>125071993.85634141</v>
      </c>
      <c r="B2614">
        <v>156384360.99669951</v>
      </c>
    </row>
    <row r="2615" spans="1:2" x14ac:dyDescent="0.25">
      <c r="A2615">
        <f ca="1">30712.3818103258*((RANDBETWEEN(2979,3282)))</f>
        <v>94072025.485027775</v>
      </c>
      <c r="B2615">
        <v>156639249.77025548</v>
      </c>
    </row>
    <row r="2616" spans="1:2" x14ac:dyDescent="0.25">
      <c r="A2616">
        <f ca="1">34927.2735028734*((RANDBETWEEN(2979,3282)))</f>
        <v>109252511.51698795</v>
      </c>
      <c r="B2616">
        <v>180522060.72369388</v>
      </c>
    </row>
    <row r="2617" spans="1:2" x14ac:dyDescent="0.25">
      <c r="A2617">
        <f ca="1">41607.3522914409*((RANDBETWEEN(2979,3282)))</f>
        <v>129232436.21721554</v>
      </c>
      <c r="B2617">
        <v>167232741.14874247</v>
      </c>
    </row>
    <row r="2618" spans="1:2" x14ac:dyDescent="0.25">
      <c r="A2618">
        <f ca="1">29171.5288885*((RANDBETWEEN(2979,3282)))</f>
        <v>93173863.26986891</v>
      </c>
      <c r="B2618">
        <v>159020662.25934038</v>
      </c>
    </row>
    <row r="2619" spans="1:2" x14ac:dyDescent="0.25">
      <c r="A2619">
        <f ca="1">29942.0950759555*((RANDBETWEEN(2979,3282)))</f>
        <v>97401635.282083169</v>
      </c>
      <c r="B2619">
        <v>160452193.99265301</v>
      </c>
    </row>
    <row r="2620" spans="1:2" x14ac:dyDescent="0.25">
      <c r="A2620">
        <f ca="1">30170.3885723793*((RANDBETWEEN(2979,3282)))</f>
        <v>98566659.465963125</v>
      </c>
      <c r="B2620">
        <v>144112348.23208749</v>
      </c>
    </row>
    <row r="2621" spans="1:2" x14ac:dyDescent="0.25">
      <c r="A2621">
        <f ca="1">38881.826019857*((RANDBETWEEN(2979,3282)))</f>
        <v>120883597.09573539</v>
      </c>
      <c r="B2621">
        <v>189498839.73783869</v>
      </c>
    </row>
    <row r="2622" spans="1:2" x14ac:dyDescent="0.25">
      <c r="A2622">
        <f ca="1">28715.0966121213*((RANDBETWEEN(2979,3282)))</f>
        <v>87983056.019539699</v>
      </c>
      <c r="B2622">
        <v>146744620.867558</v>
      </c>
    </row>
    <row r="2623" spans="1:2" x14ac:dyDescent="0.25">
      <c r="A2623">
        <f ca="1">29790.838531454*((RANDBETWEEN(2979,3282)))</f>
        <v>97028761.096945539</v>
      </c>
      <c r="B2623">
        <v>160210137.80235183</v>
      </c>
    </row>
    <row r="2624" spans="1:2" x14ac:dyDescent="0.25">
      <c r="A2624">
        <f ca="1">30161.6199677143*((RANDBETWEEN(2979,3282)))</f>
        <v>97210901.1559432</v>
      </c>
      <c r="B2624">
        <v>152572113.45640367</v>
      </c>
    </row>
    <row r="2625" spans="1:2" x14ac:dyDescent="0.25">
      <c r="A2625">
        <f ca="1">32307.973486939*((RANDBETWEEN(2979,3282)))</f>
        <v>103967058.6809696</v>
      </c>
      <c r="B2625">
        <v>147701271.66720685</v>
      </c>
    </row>
    <row r="2626" spans="1:2" x14ac:dyDescent="0.25">
      <c r="A2626">
        <f ca="1">40048.0643402132*((RANDBETWEEN(2979,3282)))</f>
        <v>123828614.93993936</v>
      </c>
      <c r="B2626">
        <v>149885122.68000355</v>
      </c>
    </row>
    <row r="2627" spans="1:2" x14ac:dyDescent="0.25">
      <c r="A2627">
        <f ca="1">39180.8650798294*((RANDBETWEEN(2979,3282)))</f>
        <v>119188191.57284106</v>
      </c>
      <c r="B2627">
        <v>157960472.15077615</v>
      </c>
    </row>
    <row r="2628" spans="1:2" x14ac:dyDescent="0.25">
      <c r="A2628">
        <f ca="1">41607.0154961454*((RANDBETWEEN(2979,3282)))</f>
        <v>134681909.16102272</v>
      </c>
      <c r="B2628">
        <v>188274352.17415008</v>
      </c>
    </row>
    <row r="2629" spans="1:2" x14ac:dyDescent="0.25">
      <c r="A2629">
        <f ca="1">41782.6931312309*((RANDBETWEEN(2979,3282)))</f>
        <v>130487350.64883412</v>
      </c>
      <c r="B2629">
        <v>171129778.12899458</v>
      </c>
    </row>
    <row r="2630" spans="1:2" x14ac:dyDescent="0.25">
      <c r="A2630">
        <f ca="1">30389.7650929062*((RANDBETWEEN(2979,3282)))</f>
        <v>96122826.988862157</v>
      </c>
      <c r="B2630">
        <v>159202748.29886833</v>
      </c>
    </row>
    <row r="2631" spans="1:2" x14ac:dyDescent="0.25">
      <c r="A2631">
        <f ca="1">31768.5060102559*((RANDBETWEEN(2979,3282)))</f>
        <v>96322110.223095804</v>
      </c>
      <c r="B2631">
        <v>145828464.0392831</v>
      </c>
    </row>
    <row r="2632" spans="1:2" x14ac:dyDescent="0.25">
      <c r="A2632">
        <f ca="1">28434.1211341448*((RANDBETWEEN(2979,3282)))</f>
        <v>93008010.229787633</v>
      </c>
      <c r="B2632">
        <v>173573495.21024537</v>
      </c>
    </row>
    <row r="2633" spans="1:2" x14ac:dyDescent="0.25">
      <c r="A2633">
        <f ca="1">30780.8561074911*((RANDBETWEEN(2979,3282)))</f>
        <v>97267505.299672008</v>
      </c>
      <c r="B2633">
        <v>174066439.59045425</v>
      </c>
    </row>
    <row r="2634" spans="1:2" x14ac:dyDescent="0.25">
      <c r="A2634">
        <f ca="1">30893.0242571171*((RANDBETWEEN(2979,3282)))</f>
        <v>100834831.17523025</v>
      </c>
      <c r="B2634">
        <v>151088728.67452818</v>
      </c>
    </row>
    <row r="2635" spans="1:2" x14ac:dyDescent="0.25">
      <c r="A2635">
        <f ca="1">37998.0585618276*((RANDBETWEEN(2979,3282)))</f>
        <v>119921872.82112795</v>
      </c>
      <c r="B2635">
        <v>181671377.86467454</v>
      </c>
    </row>
    <row r="2636" spans="1:2" x14ac:dyDescent="0.25">
      <c r="A2636">
        <f ca="1">39069.5671985195*((RANDBETWEEN(2979,3282)))</f>
        <v>124670988.93047586</v>
      </c>
      <c r="B2636">
        <v>190165198.88654187</v>
      </c>
    </row>
    <row r="2637" spans="1:2" x14ac:dyDescent="0.25">
      <c r="A2637">
        <f ca="1">32834.3982888098*((RANDBETWEEN(2979,3282)))</f>
        <v>105004405.72761361</v>
      </c>
      <c r="B2637">
        <v>153695261.87523058</v>
      </c>
    </row>
    <row r="2638" spans="1:2" x14ac:dyDescent="0.25">
      <c r="A2638">
        <f ca="1">30974.314442476*((RANDBETWEEN(2979,3282)))</f>
        <v>98405396.983746231</v>
      </c>
      <c r="B2638">
        <v>152467177.62218413</v>
      </c>
    </row>
    <row r="2639" spans="1:2" x14ac:dyDescent="0.25">
      <c r="A2639">
        <f ca="1">39337.5632882065*((RANDBETWEEN(2979,3282)))</f>
        <v>121553070.56055814</v>
      </c>
      <c r="B2639">
        <v>171868319.18240878</v>
      </c>
    </row>
    <row r="2640" spans="1:2" x14ac:dyDescent="0.25">
      <c r="A2640">
        <f ca="1">29691.7047179961*((RANDBETWEEN(2979,3282)))</f>
        <v>96230814.991025299</v>
      </c>
      <c r="B2640">
        <v>197244501.81584281</v>
      </c>
    </row>
    <row r="2641" spans="1:2" x14ac:dyDescent="0.25">
      <c r="A2641">
        <f ca="1">29894.0333155677*((RANDBETWEEN(2979,3282)))</f>
        <v>93538430.244411319</v>
      </c>
      <c r="B2641">
        <v>191842662.13145614</v>
      </c>
    </row>
    <row r="2642" spans="1:2" x14ac:dyDescent="0.25">
      <c r="A2642">
        <f ca="1">33501.4105720128*((RANDBETWEEN(2979,3282)))</f>
        <v>105227930.60669218</v>
      </c>
      <c r="B2642">
        <v>153532488.58605078</v>
      </c>
    </row>
    <row r="2643" spans="1:2" x14ac:dyDescent="0.25">
      <c r="A2643">
        <f ca="1">29375.9958899181*((RANDBETWEEN(2979,3282)))</f>
        <v>92681267.032691628</v>
      </c>
      <c r="B2643">
        <v>159333869.75462466</v>
      </c>
    </row>
    <row r="2644" spans="1:2" x14ac:dyDescent="0.25">
      <c r="A2644">
        <f ca="1">31029.5216778643*((RANDBETWEEN(2979,3282)))</f>
        <v>99573735.064266697</v>
      </c>
      <c r="B2644">
        <v>162360585.19157997</v>
      </c>
    </row>
    <row r="2645" spans="1:2" x14ac:dyDescent="0.25">
      <c r="A2645">
        <f ca="1">28825.7740732717*((RANDBETWEEN(2979,3282)))</f>
        <v>86477322.219815195</v>
      </c>
      <c r="B2645">
        <v>146926784.75687081</v>
      </c>
    </row>
    <row r="2646" spans="1:2" x14ac:dyDescent="0.25">
      <c r="A2646">
        <f ca="1">31486.5866356123*((RANDBETWEEN(2979,3282)))</f>
        <v>103181544.40490147</v>
      </c>
      <c r="B2646">
        <v>148907649.31497341</v>
      </c>
    </row>
    <row r="2647" spans="1:2" x14ac:dyDescent="0.25">
      <c r="A2647">
        <f ca="1">30688.4265235549*((RANDBETWEEN(2979,3282)))</f>
        <v>93783831.455983654</v>
      </c>
      <c r="B2647">
        <v>194176233.4531838</v>
      </c>
    </row>
    <row r="2648" spans="1:2" x14ac:dyDescent="0.25">
      <c r="A2648">
        <f ca="1">33213.6018104706*((RANDBETWEEN(2979,3282)))</f>
        <v>103161447.22332157</v>
      </c>
      <c r="B2648">
        <v>173681145.11202213</v>
      </c>
    </row>
    <row r="2649" spans="1:2" x14ac:dyDescent="0.25">
      <c r="A2649">
        <f ca="1">32014.7325418938*((RANDBETWEEN(2979,3282)))</f>
        <v>101582746.35542914</v>
      </c>
      <c r="B2649">
        <v>197962867.99040368</v>
      </c>
    </row>
    <row r="2650" spans="1:2" x14ac:dyDescent="0.25">
      <c r="A2650">
        <f ca="1">33887.05556707*((RANDBETWEEN(2979,3282)))</f>
        <v>109116318.92596553</v>
      </c>
      <c r="B2650">
        <v>172600809.78495169</v>
      </c>
    </row>
    <row r="2651" spans="1:2" x14ac:dyDescent="0.25">
      <c r="A2651">
        <f ca="1">34348.3865441735*((RANDBETWEEN(2979,3282)))</f>
        <v>109468307.91628098</v>
      </c>
      <c r="B2651">
        <v>189626826.46693268</v>
      </c>
    </row>
    <row r="2652" spans="1:2" x14ac:dyDescent="0.25">
      <c r="A2652">
        <f ca="1">28631.358085158*((RANDBETWEEN(2979,3282)))</f>
        <v>91906659.453357175</v>
      </c>
      <c r="B2652">
        <v>198211242.9162752</v>
      </c>
    </row>
    <row r="2653" spans="1:2" x14ac:dyDescent="0.25">
      <c r="A2653">
        <f ca="1">29871.6002977218*((RANDBETWEEN(2979,3282)))</f>
        <v>96634626.963129997</v>
      </c>
      <c r="B2653">
        <v>202059513.81077659</v>
      </c>
    </row>
    <row r="2654" spans="1:2" x14ac:dyDescent="0.25">
      <c r="A2654">
        <f ca="1">30697.8304302941*((RANDBETWEEN(2979,3282)))</f>
        <v>94365130.742724076</v>
      </c>
      <c r="B2654">
        <v>150037422.3724986</v>
      </c>
    </row>
    <row r="2655" spans="1:2" x14ac:dyDescent="0.25">
      <c r="A2655">
        <f ca="1">36708.2763486753*((RANDBETWEEN(2979,3282)))</f>
        <v>117870275.35559626</v>
      </c>
      <c r="B2655">
        <v>160710205.36957276</v>
      </c>
    </row>
    <row r="2656" spans="1:2" x14ac:dyDescent="0.25">
      <c r="A2656">
        <f ca="1">33937.064989156*((RANDBETWEEN(2979,3282)))</f>
        <v>102625684.52720766</v>
      </c>
      <c r="B2656">
        <v>168443288.04697445</v>
      </c>
    </row>
    <row r="2657" spans="1:2" x14ac:dyDescent="0.25">
      <c r="A2657">
        <f ca="1">31615.5368546198*((RANDBETWEEN(2979,3282)))</f>
        <v>96459002.943444952</v>
      </c>
      <c r="B2657">
        <v>143842055.19779387</v>
      </c>
    </row>
    <row r="2658" spans="1:2" x14ac:dyDescent="0.25">
      <c r="A2658">
        <f ca="1">38182.2841144916*((RANDBETWEEN(2979,3282)))</f>
        <v>123672418.24683838</v>
      </c>
      <c r="B2658">
        <v>153221266.96974039</v>
      </c>
    </row>
    <row r="2659" spans="1:2" x14ac:dyDescent="0.25">
      <c r="A2659">
        <f ca="1">37204.1578267669*((RANDBETWEEN(2979,3282)))</f>
        <v>113286660.58250511</v>
      </c>
      <c r="B2659">
        <v>149173495.45164967</v>
      </c>
    </row>
    <row r="2660" spans="1:2" x14ac:dyDescent="0.25">
      <c r="A2660">
        <f ca="1">35738.8735602413*((RANDBETWEEN(2979,3282)))</f>
        <v>113435184.68020582</v>
      </c>
      <c r="B2660">
        <v>189179120.88124231</v>
      </c>
    </row>
    <row r="2661" spans="1:2" x14ac:dyDescent="0.25">
      <c r="A2661">
        <f ca="1">39175.1938515943*((RANDBETWEEN(2979,3282)))</f>
        <v>117878158.29944737</v>
      </c>
      <c r="B2661">
        <v>160047616.87043926</v>
      </c>
    </row>
    <row r="2662" spans="1:2" x14ac:dyDescent="0.25">
      <c r="A2662">
        <f ca="1">35281.0016814333*((RANDBETWEEN(2979,3282)))</f>
        <v>110076725.2460718</v>
      </c>
      <c r="B2662">
        <v>191708270.8298566</v>
      </c>
    </row>
    <row r="2663" spans="1:2" x14ac:dyDescent="0.25">
      <c r="A2663">
        <f ca="1">29888.6490757391*((RANDBETWEEN(2979,3282)))</f>
        <v>92595034.836639613</v>
      </c>
      <c r="B2663">
        <v>154122679.0217379</v>
      </c>
    </row>
    <row r="2664" spans="1:2" x14ac:dyDescent="0.25">
      <c r="A2664">
        <f ca="1">40130.5422811249*((RANDBETWEEN(2979,3282)))</f>
        <v>121756065.28093284</v>
      </c>
      <c r="B2664">
        <v>164027447.06379759</v>
      </c>
    </row>
    <row r="2665" spans="1:2" x14ac:dyDescent="0.25">
      <c r="A2665">
        <f ca="1">29508.1966533824*((RANDBETWEEN(2979,3282)))</f>
        <v>91062294.872338191</v>
      </c>
      <c r="B2665">
        <v>150047602.50566489</v>
      </c>
    </row>
    <row r="2666" spans="1:2" x14ac:dyDescent="0.25">
      <c r="A2666">
        <f ca="1">36062.5784362547*((RANDBETWEEN(2979,3282)))</f>
        <v>109882676.49526823</v>
      </c>
      <c r="B2666">
        <v>193370217.70111564</v>
      </c>
    </row>
    <row r="2667" spans="1:2" x14ac:dyDescent="0.25">
      <c r="A2667">
        <f ca="1">30281.5349659977*((RANDBETWEEN(2979,3282)))</f>
        <v>92116429.366565108</v>
      </c>
      <c r="B2667">
        <v>146987598.14338359</v>
      </c>
    </row>
    <row r="2668" spans="1:2" x14ac:dyDescent="0.25">
      <c r="A2668">
        <f ca="1">30767.8620922644*((RANDBETWEEN(2979,3282)))</f>
        <v>92703568.483992711</v>
      </c>
      <c r="B2668">
        <v>157079399.06947911</v>
      </c>
    </row>
    <row r="2669" spans="1:2" x14ac:dyDescent="0.25">
      <c r="A2669">
        <f ca="1">40610.1849627094*((RANDBETWEEN(2979,3282)))</f>
        <v>122886419.69715862</v>
      </c>
      <c r="B2669">
        <v>170035071.40113971</v>
      </c>
    </row>
    <row r="2670" spans="1:2" x14ac:dyDescent="0.25">
      <c r="A2670">
        <f ca="1">31619.3501168053*((RANDBETWEEN(2979,3282)))</f>
        <v>96122824.355088264</v>
      </c>
      <c r="B2670">
        <v>163727835.82781267</v>
      </c>
    </row>
    <row r="2671" spans="1:2" x14ac:dyDescent="0.25">
      <c r="A2671">
        <f ca="1">29046.782039978*((RANDBETWEEN(2979,3282)))</f>
        <v>95302491.873167723</v>
      </c>
      <c r="B2671">
        <v>150182465.24513704</v>
      </c>
    </row>
    <row r="2672" spans="1:2" x14ac:dyDescent="0.25">
      <c r="A2672">
        <f ca="1">35444.7494405194*((RANDBETWEEN(2979,3282)))</f>
        <v>106653251.06652275</v>
      </c>
      <c r="B2672">
        <v>177946020.66666678</v>
      </c>
    </row>
    <row r="2673" spans="1:2" x14ac:dyDescent="0.25">
      <c r="A2673">
        <f ca="1">34359.316111354*((RANDBETWEEN(2979,3282)))</f>
        <v>108438001.64743327</v>
      </c>
      <c r="B2673">
        <v>200621885.40110499</v>
      </c>
    </row>
    <row r="2674" spans="1:2" x14ac:dyDescent="0.25">
      <c r="A2674">
        <f ca="1">33708.5708415066*((RANDBETWEEN(2979,3282)))</f>
        <v>102912266.77911977</v>
      </c>
      <c r="B2674">
        <v>191833397.76105532</v>
      </c>
    </row>
    <row r="2675" spans="1:2" x14ac:dyDescent="0.25">
      <c r="A2675">
        <f ca="1">30374.1723579889*((RANDBETWEEN(2979,3282)))</f>
        <v>98776808.508179933</v>
      </c>
      <c r="B2675">
        <v>186232510.46170384</v>
      </c>
    </row>
    <row r="2676" spans="1:2" x14ac:dyDescent="0.25">
      <c r="A2676">
        <f ca="1">41993.7329322391*((RANDBETWEEN(2979,3282)))</f>
        <v>137319506.68842188</v>
      </c>
      <c r="B2676">
        <v>185320498.9458774</v>
      </c>
    </row>
    <row r="2677" spans="1:2" x14ac:dyDescent="0.25">
      <c r="A2677">
        <f ca="1">30627.060255108*((RANDBETWEEN(2979,3282)))</f>
        <v>92309959.608895525</v>
      </c>
      <c r="B2677">
        <v>200520010.07859868</v>
      </c>
    </row>
    <row r="2678" spans="1:2" x14ac:dyDescent="0.25">
      <c r="A2678">
        <f ca="1">31477.1152095536*((RANDBETWEEN(2979,3282)))</f>
        <v>95438613.315366372</v>
      </c>
      <c r="B2678">
        <v>163639257.89189911</v>
      </c>
    </row>
    <row r="2679" spans="1:2" x14ac:dyDescent="0.25">
      <c r="A2679">
        <f ca="1">38711.2227003294*((RANDBETWEEN(2979,3282)))</f>
        <v>116172379.32368839</v>
      </c>
      <c r="B2679">
        <v>142919565.21654904</v>
      </c>
    </row>
    <row r="2680" spans="1:2" x14ac:dyDescent="0.25">
      <c r="A2680">
        <f ca="1">33361.7196962266*((RANDBETWEEN(2979,3282)))</f>
        <v>104655714.68706299</v>
      </c>
      <c r="B2680">
        <v>195678560.01649657</v>
      </c>
    </row>
    <row r="2681" spans="1:2" x14ac:dyDescent="0.25">
      <c r="A2681">
        <f ca="1">32671.4109819103*((RANDBETWEEN(2979,3282)))</f>
        <v>101673430.97570474</v>
      </c>
      <c r="B2681">
        <v>167621721.50369141</v>
      </c>
    </row>
    <row r="2682" spans="1:2" x14ac:dyDescent="0.25">
      <c r="A2682">
        <f ca="1">29573.2398487951*((RANDBETWEEN(2979,3282)))</f>
        <v>96704494.305560067</v>
      </c>
      <c r="B2682">
        <v>150054269.23630801</v>
      </c>
    </row>
    <row r="2683" spans="1:2" x14ac:dyDescent="0.25">
      <c r="A2683">
        <f ca="1">31518.5870968943*((RANDBETWEEN(2979,3282)))</f>
        <v>103254891.32942586</v>
      </c>
      <c r="B2683">
        <v>166522897.71741048</v>
      </c>
    </row>
    <row r="2684" spans="1:2" x14ac:dyDescent="0.25">
      <c r="A2684">
        <f ca="1">29135.7296666081*((RANDBETWEEN(2979,3282)))</f>
        <v>92272855.854147702</v>
      </c>
      <c r="B2684">
        <v>191599091.14920193</v>
      </c>
    </row>
    <row r="2685" spans="1:2" x14ac:dyDescent="0.25">
      <c r="A2685">
        <f ca="1">27312.6179387258*((RANDBETWEEN(2979,3282)))</f>
        <v>85324618.440579548</v>
      </c>
      <c r="B2685">
        <v>148639151.6421836</v>
      </c>
    </row>
    <row r="2686" spans="1:2" x14ac:dyDescent="0.25">
      <c r="A2686">
        <f ca="1">33826.0393944832*((RANDBETWEEN(2979,3282)))</f>
        <v>105131330.43805377</v>
      </c>
      <c r="B2686">
        <v>201212122.12510887</v>
      </c>
    </row>
    <row r="2687" spans="1:2" x14ac:dyDescent="0.25">
      <c r="A2687">
        <f ca="1">33527.7131692501*((RANDBETWEEN(2979,3282)))</f>
        <v>109132706.36590916</v>
      </c>
      <c r="B2687">
        <v>164680927.14139077</v>
      </c>
    </row>
    <row r="2688" spans="1:2" x14ac:dyDescent="0.25">
      <c r="A2688">
        <f ca="1">34853.4275766661*((RANDBETWEEN(2979,3282)))</f>
        <v>113169079.34143496</v>
      </c>
      <c r="B2688">
        <v>192070764.9718017</v>
      </c>
    </row>
    <row r="2689" spans="1:2" x14ac:dyDescent="0.25">
      <c r="A2689">
        <f ca="1">32391.5255537187*((RANDBETWEEN(2979,3282)))</f>
        <v>106147029.23953612</v>
      </c>
      <c r="B2689">
        <v>169516511.24294052</v>
      </c>
    </row>
    <row r="2690" spans="1:2" x14ac:dyDescent="0.25">
      <c r="A2690">
        <f ca="1">32012.5502331696*((RANDBETWEEN(2979,3282)))</f>
        <v>96069663.249742031</v>
      </c>
      <c r="B2690">
        <v>146045430.91400683</v>
      </c>
    </row>
    <row r="2691" spans="1:2" x14ac:dyDescent="0.25">
      <c r="A2691">
        <f ca="1">33094.4380652789*((RANDBETWEEN(2979,3282)))</f>
        <v>105604351.86630484</v>
      </c>
      <c r="B2691">
        <v>159056301.97619241</v>
      </c>
    </row>
    <row r="2692" spans="1:2" x14ac:dyDescent="0.25">
      <c r="A2692">
        <f ca="1">32280.6196700081*((RANDBETWEEN(2979,3282)))</f>
        <v>100360446.55405527</v>
      </c>
      <c r="B2692">
        <v>177537686.1262328</v>
      </c>
    </row>
    <row r="2693" spans="1:2" x14ac:dyDescent="0.25">
      <c r="A2693">
        <f ca="1">40130.4923008166*((RANDBETWEEN(2979,3282)))</f>
        <v>130183317.02384906</v>
      </c>
      <c r="B2693">
        <v>188239548.38820583</v>
      </c>
    </row>
    <row r="2694" spans="1:2" x14ac:dyDescent="0.25">
      <c r="A2694">
        <f ca="1">34521.6934211547*((RANDBETWEEN(2979,3282)))</f>
        <v>107880291.94110857</v>
      </c>
      <c r="B2694">
        <v>143370522.1251435</v>
      </c>
    </row>
    <row r="2695" spans="1:2" x14ac:dyDescent="0.25">
      <c r="A2695">
        <f ca="1">34771.6105550547*((RANDBETWEEN(2979,3282)))</f>
        <v>108591739.7634359</v>
      </c>
      <c r="B2695">
        <v>192893969.86914867</v>
      </c>
    </row>
    <row r="2696" spans="1:2" x14ac:dyDescent="0.25">
      <c r="A2696">
        <f ca="1">29003.7487871287*((RANDBETWEEN(2979,3282)))</f>
        <v>93914138.572722793</v>
      </c>
      <c r="B2696">
        <v>198603832.77083391</v>
      </c>
    </row>
    <row r="2697" spans="1:2" x14ac:dyDescent="0.25">
      <c r="A2697">
        <f ca="1">28135.0611058942*((RANDBETWEEN(2979,3282)))</f>
        <v>87668850.405966282</v>
      </c>
      <c r="B2697">
        <v>157362174.40915033</v>
      </c>
    </row>
    <row r="2698" spans="1:2" x14ac:dyDescent="0.25">
      <c r="A2698">
        <f ca="1">31849.7932684785*((RANDBETWEEN(2979,3282)))</f>
        <v>95007933.319871232</v>
      </c>
      <c r="B2698">
        <v>182924565.20889944</v>
      </c>
    </row>
    <row r="2699" spans="1:2" x14ac:dyDescent="0.25">
      <c r="A2699">
        <f ca="1">31757.8327922746*((RANDBETWEEN(2979,3282)))</f>
        <v>103879871.06353019</v>
      </c>
      <c r="B2699">
        <v>174955145.38853776</v>
      </c>
    </row>
    <row r="2700" spans="1:2" x14ac:dyDescent="0.25">
      <c r="A2700">
        <f ca="1">33124.9547577401*((RANDBETWEEN(2979,3282)))</f>
        <v>100202988.14216387</v>
      </c>
      <c r="B2700">
        <v>143775246.87997538</v>
      </c>
    </row>
    <row r="2701" spans="1:2" x14ac:dyDescent="0.25">
      <c r="A2701">
        <f ca="1">29995.3116202098*((RANDBETWEEN(2979,3282)))</f>
        <v>91725662.934601501</v>
      </c>
      <c r="B2701">
        <v>146546681.90105665</v>
      </c>
    </row>
    <row r="2702" spans="1:2" x14ac:dyDescent="0.25">
      <c r="A2702">
        <f ca="1">40980.3266857557*((RANDBETWEEN(2979,3282)))</f>
        <v>123432743.97749609</v>
      </c>
      <c r="B2702">
        <v>199101075.02183107</v>
      </c>
    </row>
    <row r="2703" spans="1:2" x14ac:dyDescent="0.25">
      <c r="A2703">
        <f ca="1">36450.1969802791*((RANDBETWEEN(2979,3282)))</f>
        <v>116130327.57916918</v>
      </c>
      <c r="B2703">
        <v>152766701.80144006</v>
      </c>
    </row>
    <row r="2704" spans="1:2" x14ac:dyDescent="0.25">
      <c r="A2704">
        <f ca="1">30541.5860858591*((RANDBETWEEN(2979,3282)))</f>
        <v>96908452.650430918</v>
      </c>
      <c r="B2704">
        <v>146331492.5191628</v>
      </c>
    </row>
    <row r="2705" spans="1:2" x14ac:dyDescent="0.25">
      <c r="A2705">
        <f ca="1">31137.2338867408*((RANDBETWEEN(2979,3282)))</f>
        <v>99701422.905344114</v>
      </c>
      <c r="B2705">
        <v>158295148.09356582</v>
      </c>
    </row>
    <row r="2706" spans="1:2" x14ac:dyDescent="0.25">
      <c r="A2706">
        <f ca="1">30156.5224379702*((RANDBETWEEN(2979,3282)))</f>
        <v>98611828.372162476</v>
      </c>
      <c r="B2706">
        <v>145030626.78235671</v>
      </c>
    </row>
    <row r="2707" spans="1:2" x14ac:dyDescent="0.25">
      <c r="A2707">
        <f ca="1">37394.3448380629*((RANDBETWEEN(2979,3282)))</f>
        <v>121082888.58564781</v>
      </c>
      <c r="B2707">
        <v>148515816.10335344</v>
      </c>
    </row>
    <row r="2708" spans="1:2" x14ac:dyDescent="0.25">
      <c r="A2708">
        <f ca="1">31401.3671061934*((RANDBETWEEN(2979,3282)))</f>
        <v>95020536.863341361</v>
      </c>
      <c r="B2708">
        <v>161939783.06547344</v>
      </c>
    </row>
    <row r="2709" spans="1:2" x14ac:dyDescent="0.25">
      <c r="A2709">
        <f ca="1">30074.8319291209*((RANDBETWEEN(2979,3282)))</f>
        <v>91096665.913307101</v>
      </c>
      <c r="B2709">
        <v>196246241.54378766</v>
      </c>
    </row>
    <row r="2710" spans="1:2" x14ac:dyDescent="0.25">
      <c r="A2710">
        <f ca="1">30221.6755707348*((RANDBETWEEN(2979,3282)))</f>
        <v>94261406.105121836</v>
      </c>
      <c r="B2710">
        <v>194932068.58747578</v>
      </c>
    </row>
    <row r="2711" spans="1:2" x14ac:dyDescent="0.25">
      <c r="A2711">
        <f ca="1">32499.5384110383*((RANDBETWEEN(2979,3282)))</f>
        <v>101171063.07356222</v>
      </c>
      <c r="B2711">
        <v>151153893.75609142</v>
      </c>
    </row>
    <row r="2712" spans="1:2" x14ac:dyDescent="0.25">
      <c r="A2712">
        <f ca="1">31649.8315233823*((RANDBETWEEN(2979,3282)))</f>
        <v>99507070.309513882</v>
      </c>
      <c r="B2712">
        <v>194000676.61376613</v>
      </c>
    </row>
    <row r="2713" spans="1:2" x14ac:dyDescent="0.25">
      <c r="A2713">
        <f ca="1">31729.0846480202*((RANDBETWEEN(2979,3282)))</f>
        <v>99597596.71013549</v>
      </c>
      <c r="B2713">
        <v>151791130.29802904</v>
      </c>
    </row>
    <row r="2714" spans="1:2" x14ac:dyDescent="0.25">
      <c r="A2714">
        <f ca="1">35011.3905206558*((RANDBETWEEN(2979,3282)))</f>
        <v>104298932.36103351</v>
      </c>
      <c r="B2714">
        <v>148373162.16645986</v>
      </c>
    </row>
    <row r="2715" spans="1:2" x14ac:dyDescent="0.25">
      <c r="A2715">
        <f ca="1">32359.124210172*((RANDBETWEEN(2979,3282)))</f>
        <v>103452120.09991996</v>
      </c>
      <c r="B2715">
        <v>147937749.24225569</v>
      </c>
    </row>
    <row r="2716" spans="1:2" x14ac:dyDescent="0.25">
      <c r="A2716">
        <f ca="1">29482.2248501687*((RANDBETWEEN(2979,3282)))</f>
        <v>96141535.236399978</v>
      </c>
      <c r="B2716">
        <v>181771929.19274062</v>
      </c>
    </row>
    <row r="2717" spans="1:2" x14ac:dyDescent="0.25">
      <c r="A2717">
        <f ca="1">29472.1617640063*((RANDBETWEEN(2979,3282)))</f>
        <v>92660476.586035907</v>
      </c>
      <c r="B2717">
        <v>154931419.74204108</v>
      </c>
    </row>
    <row r="2718" spans="1:2" x14ac:dyDescent="0.25">
      <c r="A2718">
        <f ca="1">37742.6651222536*((RANDBETWEEN(2979,3282)))</f>
        <v>117983571.1721646</v>
      </c>
      <c r="B2718">
        <v>146095079.31307837</v>
      </c>
    </row>
    <row r="2719" spans="1:2" x14ac:dyDescent="0.25">
      <c r="A2719">
        <f ca="1">36067.8324390624*((RANDBETWEEN(2979,3282)))</f>
        <v>111305330.90694654</v>
      </c>
      <c r="B2719">
        <v>174255976.11634216</v>
      </c>
    </row>
    <row r="2720" spans="1:2" x14ac:dyDescent="0.25">
      <c r="A2720">
        <f ca="1">38657.4302706376*((RANDBETWEEN(2979,3282)))</f>
        <v>123587804.57522847</v>
      </c>
      <c r="B2720">
        <v>156235184.69688934</v>
      </c>
    </row>
    <row r="2721" spans="1:2" x14ac:dyDescent="0.25">
      <c r="A2721">
        <f ca="1">29772.8362081213*((RANDBETWEEN(2979,3282)))</f>
        <v>94498982.124576926</v>
      </c>
      <c r="B2721">
        <v>152488977.44228467</v>
      </c>
    </row>
    <row r="2722" spans="1:2" x14ac:dyDescent="0.25">
      <c r="A2722">
        <f ca="1">31236.6452552945*((RANDBETWEEN(2979,3282)))</f>
        <v>101425387.14394118</v>
      </c>
      <c r="B2722">
        <v>157050458.38743246</v>
      </c>
    </row>
    <row r="2723" spans="1:2" x14ac:dyDescent="0.25">
      <c r="A2723">
        <f ca="1">31291.8152189184*((RANDBETWEEN(2979,3282)))</f>
        <v>95127118.26551199</v>
      </c>
      <c r="B2723">
        <v>199136255.75638121</v>
      </c>
    </row>
    <row r="2724" spans="1:2" x14ac:dyDescent="0.25">
      <c r="A2724">
        <f ca="1">38515.7994680105*((RANDBETWEEN(2979,3282)))</f>
        <v>123905326.88858965</v>
      </c>
      <c r="B2724">
        <v>144458063.28536415</v>
      </c>
    </row>
    <row r="2725" spans="1:2" x14ac:dyDescent="0.25">
      <c r="A2725">
        <f ca="1">41805.6871939587*((RANDBETWEEN(2979,3282)))</f>
        <v>131604303.2865821</v>
      </c>
      <c r="B2725">
        <v>150036964.42595258</v>
      </c>
    </row>
    <row r="2726" spans="1:2" x14ac:dyDescent="0.25">
      <c r="A2726">
        <f ca="1">30989.3048291439*((RANDBETWEEN(2979,3282)))</f>
        <v>99537647.111210287</v>
      </c>
      <c r="B2726">
        <v>162995535.53558463</v>
      </c>
    </row>
    <row r="2727" spans="1:2" x14ac:dyDescent="0.25">
      <c r="A2727">
        <f ca="1">40823.6710758089*((RANDBETWEEN(2979,3282)))</f>
        <v>123001720.95141234</v>
      </c>
      <c r="B2727">
        <v>173189724.46771142</v>
      </c>
    </row>
    <row r="2728" spans="1:2" x14ac:dyDescent="0.25">
      <c r="A2728">
        <f ca="1">30652.4573798712*((RANDBETWEEN(2979,3282)))</f>
        <v>94624135.931662261</v>
      </c>
      <c r="B2728">
        <v>157110518.21188742</v>
      </c>
    </row>
    <row r="2729" spans="1:2" x14ac:dyDescent="0.25">
      <c r="A2729">
        <f ca="1">30391.1013300825*((RANDBETWEEN(2979,3282)))</f>
        <v>94546716.237886742</v>
      </c>
      <c r="B2729">
        <v>152983852.10135046</v>
      </c>
    </row>
    <row r="2730" spans="1:2" x14ac:dyDescent="0.25">
      <c r="A2730">
        <f ca="1">31011.5712153126*((RANDBETWEEN(2979,3282)))</f>
        <v>97159252.617574319</v>
      </c>
      <c r="B2730">
        <v>177506552.3336328</v>
      </c>
    </row>
    <row r="2731" spans="1:2" x14ac:dyDescent="0.25">
      <c r="A2731">
        <f ca="1">28406.2817146051*((RANDBETWEEN(2979,3282)))</f>
        <v>92405634.417610258</v>
      </c>
      <c r="B2731">
        <v>143034789.06685758</v>
      </c>
    </row>
    <row r="2732" spans="1:2" x14ac:dyDescent="0.25">
      <c r="A2732">
        <f ca="1">35674.5232881618*((RANDBETWEEN(2979,3282)))</f>
        <v>109770508.15767372</v>
      </c>
      <c r="B2732">
        <v>157405157.2176545</v>
      </c>
    </row>
    <row r="2733" spans="1:2" x14ac:dyDescent="0.25">
      <c r="A2733">
        <f ca="1">29738.2219756563*((RANDBETWEEN(2979,3282)))</f>
        <v>91653200.128972575</v>
      </c>
      <c r="B2733">
        <v>143232849.03025383</v>
      </c>
    </row>
    <row r="2734" spans="1:2" x14ac:dyDescent="0.25">
      <c r="A2734">
        <f ca="1">29408.5695693797*((RANDBETWEEN(2979,3282)))</f>
        <v>96107205.352732956</v>
      </c>
      <c r="B2734">
        <v>175855279.07084453</v>
      </c>
    </row>
    <row r="2735" spans="1:2" x14ac:dyDescent="0.25">
      <c r="A2735">
        <f ca="1">30769.7715407301*((RANDBETWEEN(2979,3282)))</f>
        <v>93047789.139167711</v>
      </c>
      <c r="B2735">
        <v>155981581.8656801</v>
      </c>
    </row>
    <row r="2736" spans="1:2" x14ac:dyDescent="0.25">
      <c r="A2736">
        <f ca="1">35249.6169417657*((RANDBETWEEN(2979,3282)))</f>
        <v>108780317.88228889</v>
      </c>
      <c r="B2736">
        <v>174207000.07895133</v>
      </c>
    </row>
    <row r="2737" spans="1:2" x14ac:dyDescent="0.25">
      <c r="A2737">
        <f ca="1">32209.8220493954*((RANDBETWEEN(2979,3282)))</f>
        <v>103941095.75339903</v>
      </c>
      <c r="B2737">
        <v>162609641.07634532</v>
      </c>
    </row>
    <row r="2738" spans="1:2" x14ac:dyDescent="0.25">
      <c r="A2738">
        <f ca="1">28591.3107145572*((RANDBETWEEN(2979,3282)))</f>
        <v>91921063.947301403</v>
      </c>
      <c r="B2738">
        <v>147820737.19593242</v>
      </c>
    </row>
    <row r="2739" spans="1:2" x14ac:dyDescent="0.25">
      <c r="A2739">
        <f ca="1">30560.3375651733*((RANDBETWEEN(2979,3282)))</f>
        <v>97029071.769425154</v>
      </c>
      <c r="B2739">
        <v>167134053.17743272</v>
      </c>
    </row>
    <row r="2740" spans="1:2" x14ac:dyDescent="0.25">
      <c r="A2740">
        <f ca="1">37489.0124794591*((RANDBETWEEN(2979,3282)))</f>
        <v>116740784.86103556</v>
      </c>
      <c r="B2740">
        <v>185348485.48985875</v>
      </c>
    </row>
    <row r="2741" spans="1:2" x14ac:dyDescent="0.25">
      <c r="A2741">
        <f ca="1">36556.7685105102*((RANDBETWEEN(2979,3282)))</f>
        <v>114532355.74342836</v>
      </c>
      <c r="B2741">
        <v>166482635.19480154</v>
      </c>
    </row>
    <row r="2742" spans="1:2" x14ac:dyDescent="0.25">
      <c r="A2742">
        <f ca="1">29738.6562249867*((RANDBETWEEN(2979,3282)))</f>
        <v>96918280.637231514</v>
      </c>
      <c r="B2742">
        <v>152121020.3121126</v>
      </c>
    </row>
    <row r="2743" spans="1:2" x14ac:dyDescent="0.25">
      <c r="A2743">
        <f ca="1">36045.1845169523*((RANDBETWEEN(2979,3282)))</f>
        <v>107630920.96761966</v>
      </c>
      <c r="B2743">
        <v>201475709.51072019</v>
      </c>
    </row>
    <row r="2744" spans="1:2" x14ac:dyDescent="0.25">
      <c r="A2744">
        <f ca="1">39647.6202597926*((RANDBETWEEN(2979,3282)))</f>
        <v>129647718.24952167</v>
      </c>
      <c r="B2744">
        <v>184973343.51280555</v>
      </c>
    </row>
    <row r="2745" spans="1:2" x14ac:dyDescent="0.25">
      <c r="A2745">
        <f ca="1">32154.7570643248*((RANDBETWEEN(2979,3282)))</f>
        <v>103795555.80364043</v>
      </c>
      <c r="B2745">
        <v>187185467.74982512</v>
      </c>
    </row>
    <row r="2746" spans="1:2" x14ac:dyDescent="0.25">
      <c r="A2746">
        <f ca="1">31501.3600971455*((RANDBETWEEN(2979,3282)))</f>
        <v>98977273.425231248</v>
      </c>
      <c r="B2746">
        <v>171388925.90014574</v>
      </c>
    </row>
    <row r="2747" spans="1:2" x14ac:dyDescent="0.25">
      <c r="A2747">
        <f ca="1">38489.7864870149*((RANDBETWEEN(2979,3282)))</f>
        <v>115623318.60699271</v>
      </c>
      <c r="B2747">
        <v>158998010.44814718</v>
      </c>
    </row>
    <row r="2748" spans="1:2" x14ac:dyDescent="0.25">
      <c r="A2748">
        <f ca="1">33000.3318343805*((RANDBETWEEN(2979,3282)))</f>
        <v>98439989.861957118</v>
      </c>
      <c r="B2748">
        <v>200056980.6485768</v>
      </c>
    </row>
    <row r="2749" spans="1:2" x14ac:dyDescent="0.25">
      <c r="A2749">
        <f ca="1">31565.3468883352*((RANDBETWEEN(2979,3282)))</f>
        <v>94727606.011893973</v>
      </c>
      <c r="B2749">
        <v>144830865.85054553</v>
      </c>
    </row>
    <row r="2750" spans="1:2" x14ac:dyDescent="0.25">
      <c r="A2750">
        <f ca="1">40793.4938962933*((RANDBETWEEN(2979,3282)))</f>
        <v>128825853.7244941</v>
      </c>
      <c r="B2750">
        <v>162835807.89895469</v>
      </c>
    </row>
    <row r="2751" spans="1:2" x14ac:dyDescent="0.25">
      <c r="A2751">
        <f ca="1">33316.9630597624*((RANDBETWEEN(2979,3282)))</f>
        <v>105214969.34272972</v>
      </c>
      <c r="B2751">
        <v>144540471.11067379</v>
      </c>
    </row>
    <row r="2752" spans="1:2" x14ac:dyDescent="0.25">
      <c r="A2752">
        <f ca="1">41068.6623953386*((RANDBETWEEN(2979,3282)))</f>
        <v>126327205.52806167</v>
      </c>
      <c r="B2752">
        <v>151890444.03494617</v>
      </c>
    </row>
    <row r="2753" spans="1:2" x14ac:dyDescent="0.25">
      <c r="A2753">
        <f ca="1">31623.6838299537*((RANDBETWEEN(2979,3282)))</f>
        <v>98665893.549455404</v>
      </c>
      <c r="B2753">
        <v>155103209.29320139</v>
      </c>
    </row>
    <row r="2754" spans="1:2" x14ac:dyDescent="0.25">
      <c r="A2754">
        <f ca="1">31897.5028573744*((RANDBETWEEN(2979,3282)))</f>
        <v>102072009.14359805</v>
      </c>
      <c r="B2754">
        <v>193442213.52343062</v>
      </c>
    </row>
    <row r="2755" spans="1:2" x14ac:dyDescent="0.25">
      <c r="A2755">
        <f ca="1">31848.6456374018*((RANDBETWEEN(2979,3282)))</f>
        <v>99240379.806144148</v>
      </c>
      <c r="B2755">
        <v>143341442.73515439</v>
      </c>
    </row>
    <row r="2756" spans="1:2" x14ac:dyDescent="0.25">
      <c r="A2756">
        <f ca="1">33128.1747354598*((RANDBETWEEN(2979,3282)))</f>
        <v>105480108.35770392</v>
      </c>
      <c r="B2756">
        <v>180579054.73899764</v>
      </c>
    </row>
    <row r="2757" spans="1:2" x14ac:dyDescent="0.25">
      <c r="A2757">
        <f ca="1">31473.6511896615*((RANDBETWEEN(2979,3282)))</f>
        <v>102163471.7616415</v>
      </c>
      <c r="B2757">
        <v>154425824.36031377</v>
      </c>
    </row>
    <row r="2758" spans="1:2" x14ac:dyDescent="0.25">
      <c r="A2758">
        <f ca="1">32168.1244273849*((RANDBETWEEN(2979,3282)))</f>
        <v>95925347.042461678</v>
      </c>
      <c r="B2758">
        <v>146530571.54271924</v>
      </c>
    </row>
    <row r="2759" spans="1:2" x14ac:dyDescent="0.25">
      <c r="A2759">
        <f ca="1">29665.7680897464*((RANDBETWEEN(2979,3282)))</f>
        <v>90421261.137546942</v>
      </c>
      <c r="B2759">
        <v>145283098.73425168</v>
      </c>
    </row>
    <row r="2760" spans="1:2" x14ac:dyDescent="0.25">
      <c r="A2760">
        <f ca="1">32728.7780986064*((RANDBETWEEN(2979,3282)))</f>
        <v>103324752.45730036</v>
      </c>
      <c r="B2760">
        <v>143928265.4995321</v>
      </c>
    </row>
    <row r="2761" spans="1:2" x14ac:dyDescent="0.25">
      <c r="A2761">
        <f ca="1">31564.7351269727*((RANDBETWEEN(2979,3282)))</f>
        <v>101101846.61169352</v>
      </c>
      <c r="B2761">
        <v>167474106.21446306</v>
      </c>
    </row>
    <row r="2762" spans="1:2" x14ac:dyDescent="0.25">
      <c r="A2762">
        <f ca="1">30951.5699617538*((RANDBETWEEN(2979,3282)))</f>
        <v>98859314.45784165</v>
      </c>
      <c r="B2762">
        <v>186054376.30484486</v>
      </c>
    </row>
    <row r="2763" spans="1:2" x14ac:dyDescent="0.25">
      <c r="A2763">
        <f ca="1">39678.5909368513*((RANDBETWEEN(2979,3282)))</f>
        <v>120821309.4027123</v>
      </c>
      <c r="B2763">
        <v>144789014.11116087</v>
      </c>
    </row>
    <row r="2764" spans="1:2" x14ac:dyDescent="0.25">
      <c r="A2764">
        <f ca="1">32245.4543420377*((RANDBETWEEN(2979,3282)))</f>
        <v>98574353.923609108</v>
      </c>
      <c r="B2764">
        <v>144714200.33184725</v>
      </c>
    </row>
    <row r="2765" spans="1:2" x14ac:dyDescent="0.25">
      <c r="A2765">
        <f ca="1">42585.3011645464*((RANDBETWEEN(2979,3282)))</f>
        <v>129374144.93789209</v>
      </c>
      <c r="B2765">
        <v>194119569.78411591</v>
      </c>
    </row>
    <row r="2766" spans="1:2" x14ac:dyDescent="0.25">
      <c r="A2766">
        <f ca="1">36279.0780824244*((RANDBETWEEN(2979,3282)))</f>
        <v>112719095.60209265</v>
      </c>
      <c r="B2766">
        <v>156627268.65132868</v>
      </c>
    </row>
    <row r="2767" spans="1:2" x14ac:dyDescent="0.25">
      <c r="A2767">
        <f ca="1">29827.2164783495*((RANDBETWEEN(2979,3282)))</f>
        <v>90316811.496442229</v>
      </c>
      <c r="B2767">
        <v>179785730.89192393</v>
      </c>
    </row>
    <row r="2768" spans="1:2" x14ac:dyDescent="0.25">
      <c r="A2768">
        <f ca="1">29387.3085236813*((RANDBETWEEN(2979,3282)))</f>
        <v>88896608.284135878</v>
      </c>
      <c r="B2768">
        <v>182620226.89248127</v>
      </c>
    </row>
    <row r="2769" spans="1:2" x14ac:dyDescent="0.25">
      <c r="A2769">
        <f ca="1">40019.2854664966*((RANDBETWEEN(2979,3282)))</f>
        <v>125020247.79733549</v>
      </c>
      <c r="B2769">
        <v>174945466.49637347</v>
      </c>
    </row>
    <row r="2770" spans="1:2" x14ac:dyDescent="0.25">
      <c r="A2770">
        <f ca="1">32862.6844145429*((RANDBETWEEN(2979,3282)))</f>
        <v>98127975.661825046</v>
      </c>
      <c r="B2770">
        <v>184630904.7799027</v>
      </c>
    </row>
    <row r="2771" spans="1:2" x14ac:dyDescent="0.25">
      <c r="A2771">
        <f ca="1">30542.6256518498*((RANDBETWEEN(2979,3282)))</f>
        <v>98194541.470697075</v>
      </c>
      <c r="B2771">
        <v>186382281.28604835</v>
      </c>
    </row>
    <row r="2772" spans="1:2" x14ac:dyDescent="0.25">
      <c r="A2772">
        <f ca="1">31696.1288955476*((RANDBETWEEN(2979,3282)))</f>
        <v>95532132.49118048</v>
      </c>
      <c r="B2772">
        <v>159398226.23477557</v>
      </c>
    </row>
    <row r="2773" spans="1:2" x14ac:dyDescent="0.25">
      <c r="A2773">
        <f ca="1">30484.9957493805*((RANDBETWEEN(2979,3282)))</f>
        <v>93101177.018608183</v>
      </c>
      <c r="B2773">
        <v>165792211.78278214</v>
      </c>
    </row>
    <row r="2774" spans="1:2" x14ac:dyDescent="0.25">
      <c r="A2774">
        <f ca="1">37362.3300473476*((RANDBETWEEN(2979,3282)))</f>
        <v>114403454.60497846</v>
      </c>
      <c r="B2774">
        <v>193588753.45660231</v>
      </c>
    </row>
    <row r="2775" spans="1:2" x14ac:dyDescent="0.25">
      <c r="A2775">
        <f ca="1">36590.6951613269*((RANDBETWEEN(2979,3282)))</f>
        <v>119029531.35979646</v>
      </c>
      <c r="B2775">
        <v>185558789.69985384</v>
      </c>
    </row>
    <row r="2776" spans="1:2" x14ac:dyDescent="0.25">
      <c r="A2776">
        <f ca="1">32129.4431902395*((RANDBETWEEN(2979,3282)))</f>
        <v>104613467.02741975</v>
      </c>
      <c r="B2776">
        <v>148664305.74737477</v>
      </c>
    </row>
    <row r="2777" spans="1:2" x14ac:dyDescent="0.25">
      <c r="A2777">
        <f ca="1">32353.3772034881*((RANDBETWEEN(2979,3282)))</f>
        <v>99260161.260301486</v>
      </c>
      <c r="B2777">
        <v>192289658.83162543</v>
      </c>
    </row>
    <row r="2778" spans="1:2" x14ac:dyDescent="0.25">
      <c r="A2778">
        <f ca="1">36268.5088995171*((RANDBETWEEN(2979,3282)))</f>
        <v>113375358.81989057</v>
      </c>
      <c r="B2778">
        <v>167024283.69648179</v>
      </c>
    </row>
    <row r="2779" spans="1:2" x14ac:dyDescent="0.25">
      <c r="A2779">
        <f ca="1">34798.5101153186*((RANDBETWEEN(2979,3282)))</f>
        <v>108292963.47887158</v>
      </c>
      <c r="B2779">
        <v>154646623.83891413</v>
      </c>
    </row>
    <row r="2780" spans="1:2" x14ac:dyDescent="0.25">
      <c r="A2780">
        <f ca="1">31268.2434533025*((RANDBETWEEN(2979,3282)))</f>
        <v>100933889.86726035</v>
      </c>
      <c r="B2780">
        <v>147526523.28550515</v>
      </c>
    </row>
    <row r="2781" spans="1:2" x14ac:dyDescent="0.25">
      <c r="A2781">
        <f ca="1">34080.4370274544*((RANDBETWEEN(2979,3282)))</f>
        <v>108614352.80649731</v>
      </c>
      <c r="B2781">
        <v>185166411.54213125</v>
      </c>
    </row>
    <row r="2782" spans="1:2" x14ac:dyDescent="0.25">
      <c r="A2782">
        <f ca="1">38115.1658539074*((RANDBETWEEN(2979,3282)))</f>
        <v>124255440.68373814</v>
      </c>
      <c r="B2782">
        <v>148229326.54733539</v>
      </c>
    </row>
    <row r="2783" spans="1:2" x14ac:dyDescent="0.25">
      <c r="A2783">
        <f ca="1">39959.4359770106*((RANDBETWEEN(2979,3282)))</f>
        <v>122875265.62930758</v>
      </c>
      <c r="B2783">
        <v>160146116.37966722</v>
      </c>
    </row>
    <row r="2784" spans="1:2" x14ac:dyDescent="0.25">
      <c r="A2784">
        <f ca="1">33266.754387306*((RANDBETWEEN(2979,3282)))</f>
        <v>99733729.653143302</v>
      </c>
      <c r="B2784">
        <v>186877608.28289017</v>
      </c>
    </row>
    <row r="2785" spans="1:2" x14ac:dyDescent="0.25">
      <c r="A2785">
        <f ca="1">30830.7146221894*((RANDBETWEEN(2979,3282)))</f>
        <v>98072503.21318461</v>
      </c>
      <c r="B2785">
        <v>179114637.38714749</v>
      </c>
    </row>
    <row r="2786" spans="1:2" x14ac:dyDescent="0.25">
      <c r="A2786">
        <f ca="1">31105.8984491266*((RANDBETWEEN(2979,3282)))</f>
        <v>93597648.433422074</v>
      </c>
      <c r="B2786">
        <v>174795117.55055484</v>
      </c>
    </row>
    <row r="2787" spans="1:2" x14ac:dyDescent="0.25">
      <c r="A2787">
        <f ca="1">30497.8364052192*((RANDBETWEEN(2979,3282)))</f>
        <v>98386020.243237033</v>
      </c>
      <c r="B2787">
        <v>187847640.62841275</v>
      </c>
    </row>
    <row r="2788" spans="1:2" x14ac:dyDescent="0.25">
      <c r="A2788">
        <f ca="1">31957.9901773414*((RANDBETWEEN(2979,3282)))</f>
        <v>103863468.0763597</v>
      </c>
      <c r="B2788">
        <v>161064717.42524594</v>
      </c>
    </row>
    <row r="2789" spans="1:2" x14ac:dyDescent="0.25">
      <c r="A2789">
        <f ca="1">30164.6655834933*((RANDBETWEEN(2979,3282)))</f>
        <v>95260013.91267173</v>
      </c>
      <c r="B2789">
        <v>149596847.91920549</v>
      </c>
    </row>
    <row r="2790" spans="1:2" x14ac:dyDescent="0.25">
      <c r="A2790">
        <f ca="1">31193.5449002788*((RANDBETWEEN(2979,3282)))</f>
        <v>95046731.311149612</v>
      </c>
      <c r="B2790">
        <v>144807565.87658101</v>
      </c>
    </row>
    <row r="2791" spans="1:2" x14ac:dyDescent="0.25">
      <c r="A2791">
        <f ca="1">38177.0436598842*((RANDBETWEEN(2979,3282)))</f>
        <v>120983051.3581731</v>
      </c>
      <c r="B2791">
        <v>201653762.72625947</v>
      </c>
    </row>
    <row r="2792" spans="1:2" x14ac:dyDescent="0.25">
      <c r="A2792">
        <f ca="1">30003.0294897709*((RANDBETWEEN(2979,3282)))</f>
        <v>93309421.71318765</v>
      </c>
      <c r="B2792">
        <v>148804025.84486401</v>
      </c>
    </row>
    <row r="2793" spans="1:2" x14ac:dyDescent="0.25">
      <c r="A2793">
        <f ca="1">41205.7870600228*((RANDBETWEEN(2979,3282)))</f>
        <v>125966091.04248986</v>
      </c>
      <c r="B2793">
        <v>162154931.54270273</v>
      </c>
    </row>
    <row r="2794" spans="1:2" x14ac:dyDescent="0.25">
      <c r="A2794">
        <f ca="1">29890.6438977539*((RANDBETWEEN(2979,3282)))</f>
        <v>91465370.327126905</v>
      </c>
      <c r="B2794">
        <v>159961765.70686209</v>
      </c>
    </row>
    <row r="2795" spans="1:2" x14ac:dyDescent="0.25">
      <c r="A2795">
        <f ca="1">28692.1898374556*((RANDBETWEEN(2979,3282)))</f>
        <v>91040318.354246736</v>
      </c>
      <c r="B2795">
        <v>150299895.44981921</v>
      </c>
    </row>
    <row r="2796" spans="1:2" x14ac:dyDescent="0.25">
      <c r="A2796">
        <f ca="1">34042.2692149827*((RANDBETWEEN(2979,3282)))</f>
        <v>106007626.33545615</v>
      </c>
      <c r="B2796">
        <v>146135902.76485884</v>
      </c>
    </row>
    <row r="2797" spans="1:2" x14ac:dyDescent="0.25">
      <c r="A2797">
        <f ca="1">36136.1779830079*((RANDBETWEEN(2979,3282)))</f>
        <v>114009641.53638981</v>
      </c>
      <c r="B2797">
        <v>185575041.28682667</v>
      </c>
    </row>
    <row r="2798" spans="1:2" x14ac:dyDescent="0.25">
      <c r="A2798">
        <f ca="1">40043.0307994699*((RANDBETWEEN(2979,3282)))</f>
        <v>120329307.55240704</v>
      </c>
      <c r="B2798">
        <v>166138924.1104272</v>
      </c>
    </row>
    <row r="2799" spans="1:2" x14ac:dyDescent="0.25">
      <c r="A2799">
        <f ca="1">36497.4943027876*((RANDBETWEEN(2979,3282)))</f>
        <v>111353855.11780505</v>
      </c>
      <c r="B2799">
        <v>184381799.143509</v>
      </c>
    </row>
    <row r="2800" spans="1:2" x14ac:dyDescent="0.25">
      <c r="A2800">
        <f ca="1">36043.18198572*((RANDBETWEEN(2979,3282)))</f>
        <v>114617318.7145897</v>
      </c>
      <c r="B2800">
        <v>155249155.25026247</v>
      </c>
    </row>
    <row r="2801" spans="1:2" x14ac:dyDescent="0.25">
      <c r="A2801">
        <f ca="1">31808.5164202062*((RANDBETWEEN(2979,3282)))</f>
        <v>96125336.621863082</v>
      </c>
      <c r="B2801">
        <v>171169210.01483405</v>
      </c>
    </row>
    <row r="2802" spans="1:2" x14ac:dyDescent="0.25">
      <c r="A2802">
        <f ca="1">32869.9064657843*((RANDBETWEEN(2979,3282)))</f>
        <v>107451724.23664899</v>
      </c>
      <c r="B2802">
        <v>197332956.38605815</v>
      </c>
    </row>
    <row r="2803" spans="1:2" x14ac:dyDescent="0.25">
      <c r="A2803">
        <f ca="1">32032.8709258918*((RANDBETWEEN(2979,3282)))</f>
        <v>102473154.09192777</v>
      </c>
      <c r="B2803">
        <v>179679601.47453812</v>
      </c>
    </row>
    <row r="2804" spans="1:2" x14ac:dyDescent="0.25">
      <c r="A2804">
        <f ca="1">33866.9300160409*((RANDBETWEEN(2979,3282)))</f>
        <v>100991185.307834</v>
      </c>
      <c r="B2804">
        <v>143973014.8437131</v>
      </c>
    </row>
    <row r="2805" spans="1:2" x14ac:dyDescent="0.25">
      <c r="A2805">
        <f ca="1">41640.1244141244*((RANDBETWEEN(2979,3282)))</f>
        <v>128792904.81288677</v>
      </c>
      <c r="B2805">
        <v>160630506.50546315</v>
      </c>
    </row>
    <row r="2806" spans="1:2" x14ac:dyDescent="0.25">
      <c r="A2806">
        <f ca="1">33715.8461147521*((RANDBETWEEN(2979,3282)))</f>
        <v>108463876.95115739</v>
      </c>
      <c r="B2806">
        <v>162395607.61608237</v>
      </c>
    </row>
    <row r="2807" spans="1:2" x14ac:dyDescent="0.25">
      <c r="A2807">
        <f ca="1">30364.5320670391*((RANDBETWEEN(2979,3282)))</f>
        <v>94767704.58122915</v>
      </c>
      <c r="B2807">
        <v>154151312.44285643</v>
      </c>
    </row>
    <row r="2808" spans="1:2" x14ac:dyDescent="0.25">
      <c r="A2808">
        <f ca="1">32346.9215320272*((RANDBETWEEN(2979,3282)))</f>
        <v>100793007.4937969</v>
      </c>
      <c r="B2808">
        <v>181365288.80871081</v>
      </c>
    </row>
    <row r="2809" spans="1:2" x14ac:dyDescent="0.25">
      <c r="A2809">
        <f ca="1">28818.0587607738*((RANDBETWEEN(2979,3282)))</f>
        <v>86655902.693646878</v>
      </c>
      <c r="B2809">
        <v>176105185.80830169</v>
      </c>
    </row>
    <row r="2810" spans="1:2" x14ac:dyDescent="0.25">
      <c r="A2810">
        <f ca="1">29513.8800611002*((RANDBETWEEN(2979,3282)))</f>
        <v>94946152.156559363</v>
      </c>
      <c r="B2810">
        <v>160990019.54979759</v>
      </c>
    </row>
    <row r="2811" spans="1:2" x14ac:dyDescent="0.25">
      <c r="A2811">
        <f ca="1">30683.1277404014*((RANDBETWEEN(2979,3282)))</f>
        <v>97756444.980918825</v>
      </c>
      <c r="B2811">
        <v>184578346.7117694</v>
      </c>
    </row>
    <row r="2812" spans="1:2" x14ac:dyDescent="0.25">
      <c r="A2812">
        <f ca="1">32073.952072654*((RANDBETWEEN(2979,3282)))</f>
        <v>96831261.307342395</v>
      </c>
      <c r="B2812">
        <v>152464389.13020331</v>
      </c>
    </row>
    <row r="2813" spans="1:2" x14ac:dyDescent="0.25">
      <c r="A2813">
        <f ca="1">29350.7125984226*((RANDBETWEEN(2979,3282)))</f>
        <v>88785905.61022824</v>
      </c>
      <c r="B2813">
        <v>173935257.77465793</v>
      </c>
    </row>
    <row r="2814" spans="1:2" x14ac:dyDescent="0.25">
      <c r="A2814">
        <f ca="1">29326.3921716275*((RANDBETWEEN(2979,3282)))</f>
        <v>89034926.633060962</v>
      </c>
      <c r="B2814">
        <v>158179401.07786438</v>
      </c>
    </row>
    <row r="2815" spans="1:2" x14ac:dyDescent="0.25">
      <c r="A2815">
        <f ca="1">32690.8806389091*((RANDBETWEEN(2979,3282)))</f>
        <v>103793546.02853625</v>
      </c>
      <c r="B2815">
        <v>170386081.22991493</v>
      </c>
    </row>
    <row r="2816" spans="1:2" x14ac:dyDescent="0.25">
      <c r="A2816">
        <f ca="1">30728.8312725674*((RANDBETWEEN(2979,3282)))</f>
        <v>96457801.36458908</v>
      </c>
      <c r="B2816">
        <v>161741949.39772952</v>
      </c>
    </row>
    <row r="2817" spans="1:2" x14ac:dyDescent="0.25">
      <c r="A2817">
        <f ca="1">30848.2292293372*((RANDBETWEEN(2979,3282)))</f>
        <v>96400716.341678664</v>
      </c>
      <c r="B2817">
        <v>152038908.83985648</v>
      </c>
    </row>
    <row r="2818" spans="1:2" x14ac:dyDescent="0.25">
      <c r="A2818">
        <f ca="1">30498.2994145996*((RANDBETWEEN(2979,3282)))</f>
        <v>96130639.754818037</v>
      </c>
      <c r="B2818">
        <v>179684717.3304953</v>
      </c>
    </row>
    <row r="2819" spans="1:2" x14ac:dyDescent="0.25">
      <c r="A2819">
        <f ca="1">35434.8530595479*((RANDBETWEEN(2979,3282)))</f>
        <v>107084125.94595379</v>
      </c>
      <c r="B2819">
        <v>151768514.57944894</v>
      </c>
    </row>
    <row r="2820" spans="1:2" x14ac:dyDescent="0.25">
      <c r="A2820">
        <f ca="1">31858.0665656575*((RANDBETWEEN(2979,3282)))</f>
        <v>96625515.893639207</v>
      </c>
      <c r="B2820">
        <v>143393796.58031562</v>
      </c>
    </row>
    <row r="2821" spans="1:2" x14ac:dyDescent="0.25">
      <c r="A2821">
        <f ca="1">30064.0546959975*((RANDBETWEEN(2979,3282)))</f>
        <v>98489843.184087813</v>
      </c>
      <c r="B2821">
        <v>182825025.41760316</v>
      </c>
    </row>
    <row r="2822" spans="1:2" x14ac:dyDescent="0.25">
      <c r="A2822">
        <f ca="1">31094.7640562775*((RANDBETWEEN(2979,3282)))</f>
        <v>97202232.439923391</v>
      </c>
      <c r="B2822">
        <v>177005734.47660524</v>
      </c>
    </row>
    <row r="2823" spans="1:2" x14ac:dyDescent="0.25">
      <c r="A2823">
        <f ca="1">37581.764220911*((RANDBETWEEN(2979,3282)))</f>
        <v>113760000.29669748</v>
      </c>
      <c r="B2823">
        <v>164533216.14842519</v>
      </c>
    </row>
    <row r="2824" spans="1:2" x14ac:dyDescent="0.25">
      <c r="A2824">
        <f ca="1">29833.2540117564*((RANDBETWEEN(2979,3282)))</f>
        <v>96361410.457973033</v>
      </c>
      <c r="B2824">
        <v>159371395.91610941</v>
      </c>
    </row>
    <row r="2825" spans="1:2" x14ac:dyDescent="0.25">
      <c r="A2825">
        <f ca="1">31664.3991900336*((RANDBETWEEN(2979,3282)))</f>
        <v>96164780.340131968</v>
      </c>
      <c r="B2825">
        <v>145678468.56055486</v>
      </c>
    </row>
    <row r="2826" spans="1:2" x14ac:dyDescent="0.25">
      <c r="A2826">
        <f ca="1">31083.3979873806*((RANDBETWEEN(2979,3282)))</f>
        <v>100616959.28515099</v>
      </c>
      <c r="B2826">
        <v>162307380.86128408</v>
      </c>
    </row>
    <row r="2827" spans="1:2" x14ac:dyDescent="0.25">
      <c r="A2827">
        <f ca="1">33526.2110977528*((RANDBETWEEN(2979,3282)))</f>
        <v>105238776.63584615</v>
      </c>
      <c r="B2827">
        <v>178947278.8581773</v>
      </c>
    </row>
    <row r="2828" spans="1:2" x14ac:dyDescent="0.25">
      <c r="A2828">
        <f ca="1">31870.3282357754*((RANDBETWEEN(2979,3282)))</f>
        <v>95260411.096732587</v>
      </c>
      <c r="B2828">
        <v>170922601.23708612</v>
      </c>
    </row>
    <row r="2829" spans="1:2" x14ac:dyDescent="0.25">
      <c r="A2829">
        <f ca="1">30120.543780248*((RANDBETWEEN(2979,3282)))</f>
        <v>95843570.308749214</v>
      </c>
      <c r="B2829">
        <v>199158821.56915087</v>
      </c>
    </row>
    <row r="2830" spans="1:2" x14ac:dyDescent="0.25">
      <c r="A2830">
        <f ca="1">30923.1774508901*((RANDBETWEEN(2979,3282)))</f>
        <v>94037382.628156841</v>
      </c>
      <c r="B2830">
        <v>196812966.87296534</v>
      </c>
    </row>
    <row r="2831" spans="1:2" x14ac:dyDescent="0.25">
      <c r="A2831">
        <f ca="1">30378.1974142735*((RANDBETWEEN(2979,3282)))</f>
        <v>93412957.048891068</v>
      </c>
      <c r="B2831">
        <v>172900214.81508502</v>
      </c>
    </row>
    <row r="2832" spans="1:2" x14ac:dyDescent="0.25">
      <c r="A2832">
        <f ca="1">32096.0321556787*((RANDBETWEEN(2979,3282)))</f>
        <v>99208835.393202931</v>
      </c>
      <c r="B2832">
        <v>162541996.1017966</v>
      </c>
    </row>
    <row r="2833" spans="1:2" x14ac:dyDescent="0.25">
      <c r="A2833">
        <f ca="1">40326.904094038*((RANDBETWEEN(2979,3282)))</f>
        <v>130618842.36058898</v>
      </c>
      <c r="B2833">
        <v>160002168.71961814</v>
      </c>
    </row>
    <row r="2834" spans="1:2" x14ac:dyDescent="0.25">
      <c r="A2834">
        <f ca="1">31963.3836948264*((RANDBETWEEN(2979,3282)))</f>
        <v>99949500.813722208</v>
      </c>
      <c r="B2834">
        <v>178255240.86044997</v>
      </c>
    </row>
    <row r="2835" spans="1:2" x14ac:dyDescent="0.25">
      <c r="A2835">
        <f ca="1">29428.468784666*((RANDBETWEEN(2979,3282)))</f>
        <v>95907379.769226566</v>
      </c>
      <c r="B2835">
        <v>152901308.98500472</v>
      </c>
    </row>
    <row r="2836" spans="1:2" x14ac:dyDescent="0.25">
      <c r="A2836">
        <f ca="1">35286.6347070272*((RANDBETWEEN(2979,3282)))</f>
        <v>105507037.77401137</v>
      </c>
      <c r="B2836">
        <v>174008381.78285444</v>
      </c>
    </row>
    <row r="2837" spans="1:2" x14ac:dyDescent="0.25">
      <c r="A2837">
        <f ca="1">31825.6984192933*((RANDBETWEEN(2979,3282)))</f>
        <v>97513939.956714824</v>
      </c>
      <c r="B2837">
        <v>193159406.73726505</v>
      </c>
    </row>
    <row r="2838" spans="1:2" x14ac:dyDescent="0.25">
      <c r="A2838">
        <f ca="1">32609.7349818019*((RANDBETWEEN(2979,3282)))</f>
        <v>101220617.38351312</v>
      </c>
      <c r="B2838">
        <v>172786593.26309296</v>
      </c>
    </row>
    <row r="2839" spans="1:2" x14ac:dyDescent="0.25">
      <c r="A2839">
        <f ca="1">38791.367386873*((RANDBETWEEN(2979,3282)))</f>
        <v>127196893.66155647</v>
      </c>
      <c r="B2839">
        <v>183026517.86395845</v>
      </c>
    </row>
    <row r="2840" spans="1:2" x14ac:dyDescent="0.25">
      <c r="A2840">
        <f ca="1">33468.5339759544*((RANDBETWEEN(2979,3282)))</f>
        <v>101911685.95678104</v>
      </c>
      <c r="B2840">
        <v>171493729.77507681</v>
      </c>
    </row>
    <row r="2841" spans="1:2" x14ac:dyDescent="0.25">
      <c r="A2841">
        <f ca="1">39619.1837865342*((RANDBETWEEN(2979,3282)))</f>
        <v>118104786.8676585</v>
      </c>
      <c r="B2841">
        <v>159628934.06445277</v>
      </c>
    </row>
    <row r="2842" spans="1:2" x14ac:dyDescent="0.25">
      <c r="A2842">
        <f ca="1">31624.2059638627*((RANDBETWEEN(2979,3282)))</f>
        <v>99679497.198095098</v>
      </c>
      <c r="B2842">
        <v>170190679.37823439</v>
      </c>
    </row>
    <row r="2843" spans="1:2" x14ac:dyDescent="0.25">
      <c r="A2843">
        <f ca="1">29117.5830739243*((RANDBETWEEN(2979,3282)))</f>
        <v>91691269.099787638</v>
      </c>
      <c r="B2843">
        <v>200123402.07607058</v>
      </c>
    </row>
    <row r="2844" spans="1:2" x14ac:dyDescent="0.25">
      <c r="A2844">
        <f ca="1">32484.0583126848*((RANDBETWEEN(2979,3282)))</f>
        <v>102682108.3263966</v>
      </c>
      <c r="B2844">
        <v>167499099.97213855</v>
      </c>
    </row>
    <row r="2845" spans="1:2" x14ac:dyDescent="0.25">
      <c r="A2845">
        <f ca="1">31977.7764033753*((RANDBETWEEN(2979,3282)))</f>
        <v>96732773.62021032</v>
      </c>
      <c r="B2845">
        <v>174602087.54251313</v>
      </c>
    </row>
    <row r="2846" spans="1:2" x14ac:dyDescent="0.25">
      <c r="A2846">
        <f ca="1">32271.005533882*((RANDBETWEEN(2979,3282)))</f>
        <v>103331759.71949014</v>
      </c>
      <c r="B2846">
        <v>156487054.35967803</v>
      </c>
    </row>
    <row r="2847" spans="1:2" x14ac:dyDescent="0.25">
      <c r="A2847">
        <f ca="1">29094.1064693033*((RANDBETWEEN(2979,3282)))</f>
        <v>92257411.614160791</v>
      </c>
      <c r="B2847">
        <v>151960410.81539151</v>
      </c>
    </row>
    <row r="2848" spans="1:2" x14ac:dyDescent="0.25">
      <c r="A2848">
        <f ca="1">31149.9557815481*((RANDBETWEEN(2979,3282)))</f>
        <v>96938662.392177701</v>
      </c>
      <c r="B2848">
        <v>184638641.19137844</v>
      </c>
    </row>
    <row r="2849" spans="1:2" x14ac:dyDescent="0.25">
      <c r="A2849">
        <f ca="1">31258.0505347586*((RANDBETWEEN(2979,3282)))</f>
        <v>96649892.253473654</v>
      </c>
      <c r="B2849">
        <v>162633854.54340443</v>
      </c>
    </row>
    <row r="2850" spans="1:2" x14ac:dyDescent="0.25">
      <c r="A2850">
        <f ca="1">30729.5839485906*((RANDBETWEEN(2979,3282)))</f>
        <v>98303939.051541433</v>
      </c>
      <c r="B2850">
        <v>175923506.25736284</v>
      </c>
    </row>
    <row r="2851" spans="1:2" x14ac:dyDescent="0.25">
      <c r="A2851">
        <f ca="1">31813.4308717701*((RANDBETWEEN(2979,3282)))</f>
        <v>101134896.74135724</v>
      </c>
      <c r="B2851">
        <v>174442041.76505071</v>
      </c>
    </row>
    <row r="2852" spans="1:2" x14ac:dyDescent="0.25">
      <c r="A2852">
        <f ca="1">37365.4927334247*((RANDBETWEEN(2979,3282)))</f>
        <v>113067981.01134302</v>
      </c>
      <c r="B2852">
        <v>183696524.97601646</v>
      </c>
    </row>
    <row r="2853" spans="1:2" x14ac:dyDescent="0.25">
      <c r="A2853">
        <f ca="1">27860.7997078452*((RANDBETWEEN(2979,3282)))</f>
        <v>90436155.851665452</v>
      </c>
      <c r="B2853">
        <v>160925929.58583161</v>
      </c>
    </row>
    <row r="2854" spans="1:2" x14ac:dyDescent="0.25">
      <c r="A2854">
        <f ca="1">30753.6693395671*((RANDBETWEEN(2979,3282)))</f>
        <v>99119076.281424791</v>
      </c>
      <c r="B2854">
        <v>149291124.80092573</v>
      </c>
    </row>
    <row r="2855" spans="1:2" x14ac:dyDescent="0.25">
      <c r="A2855">
        <f ca="1">31430.5755847277*((RANDBETWEEN(2979,3282)))</f>
        <v>100892147.62697595</v>
      </c>
      <c r="B2855">
        <v>182701831.87647384</v>
      </c>
    </row>
    <row r="2856" spans="1:2" x14ac:dyDescent="0.25">
      <c r="A2856">
        <f ca="1">34687.8600980597*((RANDBETWEEN(2979,3282)))</f>
        <v>104930776.79663062</v>
      </c>
      <c r="B2856">
        <v>193058505.48283318</v>
      </c>
    </row>
    <row r="2857" spans="1:2" x14ac:dyDescent="0.25">
      <c r="A2857">
        <f ca="1">39042.3926934949*((RANDBETWEEN(2979,3282)))</f>
        <v>120562908.63751236</v>
      </c>
      <c r="B2857">
        <v>149287733.21572</v>
      </c>
    </row>
    <row r="2858" spans="1:2" x14ac:dyDescent="0.25">
      <c r="A2858">
        <f ca="1">33187.0353697463*((RANDBETWEEN(2979,3282)))</f>
        <v>105800268.75875127</v>
      </c>
      <c r="B2858">
        <v>190060890.22207564</v>
      </c>
    </row>
    <row r="2859" spans="1:2" x14ac:dyDescent="0.25">
      <c r="A2859">
        <f ca="1">40268.3556594266*((RANDBETWEEN(2979,3282)))</f>
        <v>121811775.86976551</v>
      </c>
      <c r="B2859">
        <v>147963336.4809117</v>
      </c>
    </row>
    <row r="2860" spans="1:2" x14ac:dyDescent="0.25">
      <c r="A2860">
        <f ca="1">30888.7010701764*((RANDBETWEEN(2979,3282)))</f>
        <v>92913212.819090664</v>
      </c>
      <c r="B2860">
        <v>163939210.15961346</v>
      </c>
    </row>
    <row r="2861" spans="1:2" x14ac:dyDescent="0.25">
      <c r="A2861">
        <f ca="1">31392.5750214478*((RANDBETWEEN(2979,3282)))</f>
        <v>100079529.16837546</v>
      </c>
      <c r="B2861">
        <v>165590102.1881156</v>
      </c>
    </row>
    <row r="2862" spans="1:2" x14ac:dyDescent="0.25">
      <c r="A2862">
        <f ca="1">31779.6325270418*((RANDBETWEEN(2979,3282)))</f>
        <v>95752032.803976819</v>
      </c>
      <c r="B2862">
        <v>160477999.70716703</v>
      </c>
    </row>
    <row r="2863" spans="1:2" x14ac:dyDescent="0.25">
      <c r="A2863">
        <f ca="1">31342.6482266319*((RANDBETWEEN(2979,3282)))</f>
        <v>98572628.672757298</v>
      </c>
      <c r="B2863">
        <v>192896752.79799438</v>
      </c>
    </row>
    <row r="2864" spans="1:2" x14ac:dyDescent="0.25">
      <c r="A2864">
        <f ca="1">36494.981996876*((RANDBETWEEN(2979,3282)))</f>
        <v>114776718.38017516</v>
      </c>
      <c r="B2864">
        <v>169440248.7850877</v>
      </c>
    </row>
    <row r="2865" spans="1:2" x14ac:dyDescent="0.25">
      <c r="A2865">
        <f ca="1">31592.8144523036*((RANDBETWEEN(2979,3282)))</f>
        <v>98253652.946664318</v>
      </c>
      <c r="B2865">
        <v>149333096.04713422</v>
      </c>
    </row>
    <row r="2866" spans="1:2" x14ac:dyDescent="0.25">
      <c r="A2866">
        <f ca="1">33834.2170405431*((RANDBETWEEN(2979,3282)))</f>
        <v>101028972.08306177</v>
      </c>
      <c r="B2866">
        <v>159644998.35231918</v>
      </c>
    </row>
    <row r="2867" spans="1:2" x14ac:dyDescent="0.25">
      <c r="A2867">
        <f ca="1">31522.8907290826*((RANDBETWEEN(2979,3282)))</f>
        <v>98540556.419112176</v>
      </c>
      <c r="B2867">
        <v>157002071.34687462</v>
      </c>
    </row>
    <row r="2868" spans="1:2" x14ac:dyDescent="0.25">
      <c r="A2868">
        <f ca="1">29500.6520241244*((RANDBETWEEN(2979,3282)))</f>
        <v>91894531.055147618</v>
      </c>
      <c r="B2868">
        <v>152920687.59444836</v>
      </c>
    </row>
    <row r="2869" spans="1:2" x14ac:dyDescent="0.25">
      <c r="A2869">
        <f ca="1">29296.7549954193*((RANDBETWEEN(2979,3282)))</f>
        <v>89003541.676083773</v>
      </c>
      <c r="B2869">
        <v>143919685.0067631</v>
      </c>
    </row>
    <row r="2870" spans="1:2" x14ac:dyDescent="0.25">
      <c r="A2870">
        <f ca="1">30496.9865866883*((RANDBETWEEN(2979,3282)))</f>
        <v>95242089.110227615</v>
      </c>
      <c r="B2870">
        <v>145891102.58672127</v>
      </c>
    </row>
    <row r="2871" spans="1:2" x14ac:dyDescent="0.25">
      <c r="A2871">
        <f ca="1">34728.3072086093*((RANDBETWEEN(2979,3282)))</f>
        <v>109081612.94224191</v>
      </c>
      <c r="B2871">
        <v>166504238.11654034</v>
      </c>
    </row>
    <row r="2872" spans="1:2" x14ac:dyDescent="0.25">
      <c r="A2872">
        <f ca="1">40193.1083151701*((RANDBETWEEN(2979,3282)))</f>
        <v>122950718.33610539</v>
      </c>
      <c r="B2872">
        <v>180464668.62686902</v>
      </c>
    </row>
    <row r="2873" spans="1:2" x14ac:dyDescent="0.25">
      <c r="A2873">
        <f ca="1">30021.9398897817*((RANDBETWEEN(2979,3282)))</f>
        <v>95409724.969726354</v>
      </c>
      <c r="B2873">
        <v>185693149.45616266</v>
      </c>
    </row>
    <row r="2874" spans="1:2" x14ac:dyDescent="0.25">
      <c r="A2874">
        <f ca="1">32894.7414432627*((RANDBETWEEN(2979,3282)))</f>
        <v>98190803.208139047</v>
      </c>
      <c r="B2874">
        <v>201098955.98491868</v>
      </c>
    </row>
    <row r="2875" spans="1:2" x14ac:dyDescent="0.25">
      <c r="A2875">
        <f ca="1">33753.5415354821*((RANDBETWEEN(2979,3282)))</f>
        <v>103758386.68007211</v>
      </c>
      <c r="B2875">
        <v>144267498.98318872</v>
      </c>
    </row>
    <row r="2876" spans="1:2" x14ac:dyDescent="0.25">
      <c r="A2876">
        <f ca="1">37502.5051288015*((RANDBETWEEN(2979,3282)))</f>
        <v>118282901.17623977</v>
      </c>
      <c r="B2876">
        <v>181400786.08077165</v>
      </c>
    </row>
    <row r="2877" spans="1:2" x14ac:dyDescent="0.25">
      <c r="A2877">
        <f ca="1">34099.7844569384*((RANDBETWEEN(2979,3282)))</f>
        <v>102503952.07755677</v>
      </c>
      <c r="B2877">
        <v>197718170.74479163</v>
      </c>
    </row>
    <row r="2878" spans="1:2" x14ac:dyDescent="0.25">
      <c r="A2878">
        <f ca="1">34488.2977894831*((RANDBETWEEN(2979,3282)))</f>
        <v>111362713.56224109</v>
      </c>
      <c r="B2878">
        <v>154838654.81612617</v>
      </c>
    </row>
    <row r="2879" spans="1:2" x14ac:dyDescent="0.25">
      <c r="A2879">
        <f ca="1">31566.2074365986*((RANDBETWEEN(2979,3282)))</f>
        <v>94035731.953627214</v>
      </c>
      <c r="B2879">
        <v>148924991.17912143</v>
      </c>
    </row>
    <row r="2880" spans="1:2" x14ac:dyDescent="0.25">
      <c r="A2880">
        <f ca="1">33299.9939061664*((RANDBETWEEN(2979,3282)))</f>
        <v>102364181.26755567</v>
      </c>
      <c r="B2880">
        <v>198504766.49303263</v>
      </c>
    </row>
    <row r="2881" spans="1:2" x14ac:dyDescent="0.25">
      <c r="A2881">
        <f ca="1">41101.0835313954*((RANDBETWEEN(2979,3282)))</f>
        <v>128810795.78739318</v>
      </c>
      <c r="B2881">
        <v>176615325.77864715</v>
      </c>
    </row>
    <row r="2882" spans="1:2" x14ac:dyDescent="0.25">
      <c r="A2882">
        <f ca="1">37421.9493704574*((RANDBETWEEN(2979,3282)))</f>
        <v>115409291.85849071</v>
      </c>
      <c r="B2882">
        <v>170386203.7104229</v>
      </c>
    </row>
    <row r="2883" spans="1:2" x14ac:dyDescent="0.25">
      <c r="A2883">
        <f ca="1">32445.7099892592*((RANDBETWEEN(2979,3282)))</f>
        <v>102658226.40601607</v>
      </c>
      <c r="B2883">
        <v>168793403.11941698</v>
      </c>
    </row>
    <row r="2884" spans="1:2" x14ac:dyDescent="0.25">
      <c r="A2884">
        <f ca="1">37605.2211824964*((RANDBETWEEN(2979,3282)))</f>
        <v>112025953.90265672</v>
      </c>
      <c r="B2884">
        <v>157892957.1754882</v>
      </c>
    </row>
    <row r="2885" spans="1:2" x14ac:dyDescent="0.25">
      <c r="A2885">
        <f ca="1">33590.7779409586*((RANDBETWEEN(2979,3282)))</f>
        <v>106146858.29342929</v>
      </c>
      <c r="B2885">
        <v>155993411.66788411</v>
      </c>
    </row>
    <row r="2886" spans="1:2" x14ac:dyDescent="0.25">
      <c r="A2886">
        <f ca="1">39263.8524682076*((RANDBETWEEN(2979,3282)))</f>
        <v>122267636.58599858</v>
      </c>
      <c r="B2886">
        <v>184931272.45122474</v>
      </c>
    </row>
    <row r="2887" spans="1:2" x14ac:dyDescent="0.25">
      <c r="A2887">
        <f ca="1">32014.9324660315*((RANDBETWEEN(2979,3282)))</f>
        <v>100750992.47060116</v>
      </c>
      <c r="B2887">
        <v>150128996.79624245</v>
      </c>
    </row>
    <row r="2888" spans="1:2" x14ac:dyDescent="0.25">
      <c r="A2888">
        <f ca="1">31850.8347173564*((RANDBETWEEN(2979,3282)))</f>
        <v>102145626.93856189</v>
      </c>
      <c r="B2888">
        <v>164394452.60848573</v>
      </c>
    </row>
    <row r="2889" spans="1:2" x14ac:dyDescent="0.25">
      <c r="A2889">
        <f ca="1">37142.3569378659*((RANDBETWEEN(2979,3282)))</f>
        <v>113618469.87293163</v>
      </c>
      <c r="B2889">
        <v>147269107.45892039</v>
      </c>
    </row>
    <row r="2890" spans="1:2" x14ac:dyDescent="0.25">
      <c r="A2890">
        <f ca="1">34233.7970401099*((RANDBETWEEN(2979,3282)))</f>
        <v>104070743.00193419</v>
      </c>
      <c r="B2890">
        <v>151870906.75903454</v>
      </c>
    </row>
    <row r="2891" spans="1:2" x14ac:dyDescent="0.25">
      <c r="A2891">
        <f ca="1">32057.5978884765*((RANDBETWEEN(2979,3282)))</f>
        <v>104283365.93121403</v>
      </c>
      <c r="B2891">
        <v>150829398.81853893</v>
      </c>
    </row>
    <row r="2892" spans="1:2" x14ac:dyDescent="0.25">
      <c r="A2892">
        <f ca="1">38730.7004032387*((RANDBETWEEN(2979,3282)))</f>
        <v>117741329.22584555</v>
      </c>
      <c r="B2892">
        <v>177447924.34922448</v>
      </c>
    </row>
    <row r="2893" spans="1:2" x14ac:dyDescent="0.25">
      <c r="A2893">
        <f ca="1">29830.5558047461*((RANDBETWEEN(2979,3282)))</f>
        <v>91013025.760280386</v>
      </c>
      <c r="B2893">
        <v>159263457.52679783</v>
      </c>
    </row>
    <row r="2894" spans="1:2" x14ac:dyDescent="0.25">
      <c r="A2894">
        <f ca="1">37708.1845858646*((RANDBETWEEN(2979,3282)))</f>
        <v>114029550.18765467</v>
      </c>
      <c r="B2894">
        <v>149198102.10032749</v>
      </c>
    </row>
    <row r="2895" spans="1:2" x14ac:dyDescent="0.25">
      <c r="A2895">
        <f ca="1">30449.7161588312*((RANDBETWEEN(2979,3282)))</f>
        <v>92201740.528940901</v>
      </c>
      <c r="B2895">
        <v>144523342.62168771</v>
      </c>
    </row>
    <row r="2896" spans="1:2" x14ac:dyDescent="0.25">
      <c r="A2896">
        <f ca="1">32693.1290496465*((RANDBETWEEN(2979,3282)))</f>
        <v>105010330.5074646</v>
      </c>
      <c r="B2896">
        <v>148636918.24848303</v>
      </c>
    </row>
    <row r="2897" spans="1:2" x14ac:dyDescent="0.25">
      <c r="A2897">
        <f ca="1">40991.0756889707*((RANDBETWEEN(2979,3282)))</f>
        <v>133876853.20017825</v>
      </c>
      <c r="B2897">
        <v>171954001.55731121</v>
      </c>
    </row>
    <row r="2898" spans="1:2" x14ac:dyDescent="0.25">
      <c r="A2898">
        <f ca="1">36024.8783533835*((RANDBETWEEN(2979,3282)))</f>
        <v>116396381.95978206</v>
      </c>
      <c r="B2898">
        <v>152259724.70290163</v>
      </c>
    </row>
    <row r="2899" spans="1:2" x14ac:dyDescent="0.25">
      <c r="A2899">
        <f ca="1">29425.4107822424*((RANDBETWEEN(2979,3282)))</f>
        <v>91689579.99746716</v>
      </c>
      <c r="B2899">
        <v>150491120.35767835</v>
      </c>
    </row>
    <row r="2900" spans="1:2" x14ac:dyDescent="0.25">
      <c r="A2900">
        <f ca="1">32636.7139967717*((RANDBETWEEN(2979,3282)))</f>
        <v>99868344.830121309</v>
      </c>
      <c r="B2900">
        <v>150652571.22893596</v>
      </c>
    </row>
    <row r="2901" spans="1:2" x14ac:dyDescent="0.25">
      <c r="A2901">
        <f ca="1">36167.6460161238*((RANDBETWEEN(2979,3282)))</f>
        <v>112806887.92429002</v>
      </c>
      <c r="B2901">
        <v>143722688.19041294</v>
      </c>
    </row>
    <row r="2902" spans="1:2" x14ac:dyDescent="0.25">
      <c r="A2902">
        <f ca="1">39299.947386476*((RANDBETWEEN(2979,3282)))</f>
        <v>126388630.79490696</v>
      </c>
      <c r="B2902">
        <v>183444780.35544547</v>
      </c>
    </row>
    <row r="2903" spans="1:2" x14ac:dyDescent="0.25">
      <c r="A2903">
        <f ca="1">31975.4272662848*((RANDBETWEEN(2979,3282)))</f>
        <v>102065563.83398095</v>
      </c>
      <c r="B2903">
        <v>179741849.67842072</v>
      </c>
    </row>
    <row r="2904" spans="1:2" x14ac:dyDescent="0.25">
      <c r="A2904">
        <f ca="1">28950.1273415568*((RANDBETWEEN(2979,3282)))</f>
        <v>88876890.93857941</v>
      </c>
      <c r="B2904">
        <v>155297564.5078792</v>
      </c>
    </row>
    <row r="2905" spans="1:2" x14ac:dyDescent="0.25">
      <c r="A2905">
        <f ca="1">35195.8144412909*((RANDBETWEEN(2979,3282)))</f>
        <v>114949529.96525608</v>
      </c>
      <c r="B2905">
        <v>154526141.30623889</v>
      </c>
    </row>
    <row r="2906" spans="1:2" x14ac:dyDescent="0.25">
      <c r="A2906">
        <f ca="1">29483.7317744292*((RANDBETWEEN(2979,3282)))</f>
        <v>93227559.870745108</v>
      </c>
      <c r="B2906">
        <v>159693918.53845423</v>
      </c>
    </row>
    <row r="2907" spans="1:2" x14ac:dyDescent="0.25">
      <c r="A2907">
        <f ca="1">30375.4561154861*((RANDBETWEEN(2979,3282)))</f>
        <v>98811358.743676424</v>
      </c>
      <c r="B2907">
        <v>194235032.98498392</v>
      </c>
    </row>
    <row r="2908" spans="1:2" x14ac:dyDescent="0.25">
      <c r="A2908">
        <f ca="1">27697.223916011*((RANDBETWEEN(2979,3282)))</f>
        <v>87107769.215854645</v>
      </c>
      <c r="B2908">
        <v>144464088.00290048</v>
      </c>
    </row>
    <row r="2909" spans="1:2" x14ac:dyDescent="0.25">
      <c r="A2909">
        <f ca="1">30601.798994535*((RANDBETWEEN(2979,3282)))</f>
        <v>95049187.67702584</v>
      </c>
      <c r="B2909">
        <v>157337101.64742765</v>
      </c>
    </row>
    <row r="2910" spans="1:2" x14ac:dyDescent="0.25">
      <c r="A2910">
        <f ca="1">31474.9589577634*((RANDBETWEEN(2979,3282)))</f>
        <v>99807094.855067715</v>
      </c>
      <c r="B2910">
        <v>187944037.34541139</v>
      </c>
    </row>
    <row r="2911" spans="1:2" x14ac:dyDescent="0.25">
      <c r="A2911">
        <f ca="1">29456.355171614*((RANDBETWEEN(2979,3282)))</f>
        <v>90460466.732026502</v>
      </c>
      <c r="B2911">
        <v>143690585.50176451</v>
      </c>
    </row>
    <row r="2912" spans="1:2" x14ac:dyDescent="0.25">
      <c r="A2912">
        <f ca="1">34394.0337264853*((RANDBETWEEN(2979,3282)))</f>
        <v>103973163.95516513</v>
      </c>
      <c r="B2912">
        <v>157194661.10913527</v>
      </c>
    </row>
    <row r="2913" spans="1:2" x14ac:dyDescent="0.25">
      <c r="A2913">
        <f ca="1">28954.4105732005*((RANDBETWEEN(2979,3282)))</f>
        <v>88976903.691445008</v>
      </c>
      <c r="B2913">
        <v>162220080.07931417</v>
      </c>
    </row>
    <row r="2914" spans="1:2" x14ac:dyDescent="0.25">
      <c r="A2914">
        <f ca="1">34037.5529305143*((RANDBETWEEN(2979,3282)))</f>
        <v>105992939.82562153</v>
      </c>
      <c r="B2914">
        <v>149556429.11432791</v>
      </c>
    </row>
    <row r="2915" spans="1:2" x14ac:dyDescent="0.25">
      <c r="A2915">
        <f ca="1">31383.0411831393*((RANDBETWEEN(2979,3282)))</f>
        <v>94274655.714150548</v>
      </c>
      <c r="B2915">
        <v>153634729.15391222</v>
      </c>
    </row>
    <row r="2916" spans="1:2" x14ac:dyDescent="0.25">
      <c r="A2916">
        <f ca="1">29802.2770055112*((RANDBETWEEN(2979,3282)))</f>
        <v>96171947.896784797</v>
      </c>
      <c r="B2916">
        <v>149794588.88307044</v>
      </c>
    </row>
    <row r="2917" spans="1:2" x14ac:dyDescent="0.25">
      <c r="A2917">
        <f ca="1">31217.3299012866*((RANDBETWEEN(2979,3282)))</f>
        <v>101487539.50908273</v>
      </c>
      <c r="B2917">
        <v>173421554.67619696</v>
      </c>
    </row>
    <row r="2918" spans="1:2" x14ac:dyDescent="0.25">
      <c r="A2918">
        <f ca="1">30128.0489139981*((RANDBETWEEN(2979,3282)))</f>
        <v>97825774.823751897</v>
      </c>
      <c r="B2918">
        <v>180345342.41932571</v>
      </c>
    </row>
    <row r="2919" spans="1:2" x14ac:dyDescent="0.25">
      <c r="A2919">
        <f ca="1">38584.5395205826*((RANDBETWEEN(2979,3282)))</f>
        <v>124203632.71675552</v>
      </c>
      <c r="B2919">
        <v>183217687.56069046</v>
      </c>
    </row>
    <row r="2920" spans="1:2" x14ac:dyDescent="0.25">
      <c r="A2920">
        <f ca="1">27798.6032440873*((RANDBETWEEN(2979,3282)))</f>
        <v>85063725.926907092</v>
      </c>
      <c r="B2920">
        <v>144413265.38118669</v>
      </c>
    </row>
    <row r="2921" spans="1:2" x14ac:dyDescent="0.25">
      <c r="A2921">
        <f ca="1">31992.3617900036*((RANDBETWEEN(2979,3282)))</f>
        <v>99848161.14660114</v>
      </c>
      <c r="B2921">
        <v>167344343.31460026</v>
      </c>
    </row>
    <row r="2922" spans="1:2" x14ac:dyDescent="0.25">
      <c r="A2922">
        <f ca="1">39652.8844287032*((RANDBETWEEN(2979,3282)))</f>
        <v>129545973.42857346</v>
      </c>
      <c r="B2922">
        <v>143599503.53481826</v>
      </c>
    </row>
    <row r="2923" spans="1:2" x14ac:dyDescent="0.25">
      <c r="A2923">
        <f ca="1">32407.539706094*((RANDBETWEEN(2979,3282)))</f>
        <v>98486513.166819572</v>
      </c>
      <c r="B2923">
        <v>187106436.08929715</v>
      </c>
    </row>
    <row r="2924" spans="1:2" x14ac:dyDescent="0.25">
      <c r="A2924">
        <f ca="1">38360.6925511117*((RANDBETWEEN(2979,3282)))</f>
        <v>122754216.16355751</v>
      </c>
      <c r="B2924">
        <v>158134137.00203723</v>
      </c>
    </row>
    <row r="2925" spans="1:2" x14ac:dyDescent="0.25">
      <c r="A2925">
        <f ca="1">29355.3367408014*((RANDBETWEEN(2979,3282)))</f>
        <v>92146402.029375613</v>
      </c>
      <c r="B2925">
        <v>182116866.55254617</v>
      </c>
    </row>
    <row r="2926" spans="1:2" x14ac:dyDescent="0.25">
      <c r="A2926">
        <f ca="1">31678.7744571268*((RANDBETWEEN(2979,3282)))</f>
        <v>97158801.260007754</v>
      </c>
      <c r="B2926">
        <v>165023435.71946663</v>
      </c>
    </row>
    <row r="2927" spans="1:2" x14ac:dyDescent="0.25">
      <c r="A2927">
        <f ca="1">33296.4909667013*((RANDBETWEEN(2979,3282)))</f>
        <v>106482178.11151083</v>
      </c>
      <c r="B2927">
        <v>143279389.31696165</v>
      </c>
    </row>
    <row r="2928" spans="1:2" x14ac:dyDescent="0.25">
      <c r="A2928">
        <f ca="1">33237.283482651*((RANDBETWEEN(2979,3282)))</f>
        <v>101473426.4725336</v>
      </c>
      <c r="B2928">
        <v>182988685.87897837</v>
      </c>
    </row>
    <row r="2929" spans="1:2" x14ac:dyDescent="0.25">
      <c r="A2929">
        <f ca="1">30808.2463251989*((RANDBETWEEN(2979,3282)))</f>
        <v>96707085.214799449</v>
      </c>
      <c r="B2929">
        <v>144458648.34947315</v>
      </c>
    </row>
    <row r="2930" spans="1:2" x14ac:dyDescent="0.25">
      <c r="A2930">
        <f ca="1">37333.7728425336*((RANDBETWEEN(2979,3282)))</f>
        <v>112187987.39181337</v>
      </c>
      <c r="B2930">
        <v>176271799.82810831</v>
      </c>
    </row>
    <row r="2931" spans="1:2" x14ac:dyDescent="0.25">
      <c r="A2931">
        <f ca="1">37278.1175504847*((RANDBETWEEN(2979,3282)))</f>
        <v>113847370.99918033</v>
      </c>
      <c r="B2931">
        <v>147074078.30886859</v>
      </c>
    </row>
    <row r="2932" spans="1:2" x14ac:dyDescent="0.25">
      <c r="A2932">
        <f ca="1">35427.8244075755*((RANDBETWEEN(2979,3282)))</f>
        <v>111491363.41064014</v>
      </c>
      <c r="B2932">
        <v>189219935.01590699</v>
      </c>
    </row>
    <row r="2933" spans="1:2" x14ac:dyDescent="0.25">
      <c r="A2933">
        <f ca="1">29696.5386547388*((RANDBETWEEN(2979,3282)))</f>
        <v>88941133.270942613</v>
      </c>
      <c r="B2933">
        <v>160518185.55370545</v>
      </c>
    </row>
    <row r="2934" spans="1:2" x14ac:dyDescent="0.25">
      <c r="A2934">
        <f ca="1">32637.1780897578*((RANDBETWEEN(2979,3282)))</f>
        <v>101697446.92768522</v>
      </c>
      <c r="B2934">
        <v>156970183.02631283</v>
      </c>
    </row>
    <row r="2935" spans="1:2" x14ac:dyDescent="0.25">
      <c r="A2935">
        <f ca="1">38700.4122218748*((RANDBETWEEN(2979,3282)))</f>
        <v>122912509.21667446</v>
      </c>
      <c r="B2935">
        <v>154043039.59818971</v>
      </c>
    </row>
    <row r="2936" spans="1:2" x14ac:dyDescent="0.25">
      <c r="A2936">
        <f ca="1">31076.3966496407*((RANDBETWEEN(2979,3282)))</f>
        <v>101713046.23427418</v>
      </c>
      <c r="B2936">
        <v>167187656.235156</v>
      </c>
    </row>
    <row r="2937" spans="1:2" x14ac:dyDescent="0.25">
      <c r="A2937">
        <f ca="1">29945.5845587543*((RANDBETWEEN(2979,3282)))</f>
        <v>93729679.668900877</v>
      </c>
      <c r="B2937">
        <v>201001934.45714325</v>
      </c>
    </row>
    <row r="2938" spans="1:2" x14ac:dyDescent="0.25">
      <c r="A2938">
        <f ca="1">36452.0505174116*((RANDBETWEEN(2979,3282)))</f>
        <v>118870136.73727924</v>
      </c>
      <c r="B2938">
        <v>161673242.04782066</v>
      </c>
    </row>
    <row r="2939" spans="1:2" x14ac:dyDescent="0.25">
      <c r="A2939">
        <f ca="1">32145.3268856277*((RANDBETWEEN(2979,3282)))</f>
        <v>102768610.05335166</v>
      </c>
      <c r="B2939">
        <v>155976146.38315526</v>
      </c>
    </row>
    <row r="2940" spans="1:2" x14ac:dyDescent="0.25">
      <c r="A2940">
        <f ca="1">32128.1369420834*((RANDBETWEEN(2979,3282)))</f>
        <v>105412417.30697577</v>
      </c>
      <c r="B2940">
        <v>153374742.4599826</v>
      </c>
    </row>
    <row r="2941" spans="1:2" x14ac:dyDescent="0.25">
      <c r="A2941">
        <f ca="1">28481.7676896864*((RANDBETWEEN(2979,3282)))</f>
        <v>90116312.970167786</v>
      </c>
      <c r="B2941">
        <v>177640918.78406283</v>
      </c>
    </row>
    <row r="2942" spans="1:2" x14ac:dyDescent="0.25">
      <c r="A2942">
        <f ca="1">32754.6663614405*((RANDBETWEEN(2979,3282)))</f>
        <v>102194559.04769439</v>
      </c>
      <c r="B2942">
        <v>152568577.93137532</v>
      </c>
    </row>
    <row r="2943" spans="1:2" x14ac:dyDescent="0.25">
      <c r="A2943">
        <f ca="1">29751.1752610737*((RANDBETWEEN(2979,3282)))</f>
        <v>96245051.969573289</v>
      </c>
      <c r="B2943">
        <v>160108249.70948604</v>
      </c>
    </row>
    <row r="2944" spans="1:2" x14ac:dyDescent="0.25">
      <c r="A2944">
        <f ca="1">33815.904433389*((RANDBETWEEN(2979,3282)))</f>
        <v>101819688.24893436</v>
      </c>
      <c r="B2944">
        <v>143690316.66393808</v>
      </c>
    </row>
    <row r="2945" spans="1:2" x14ac:dyDescent="0.25">
      <c r="A2945">
        <f ca="1">30983.238218057*((RANDBETWEEN(2979,3282)))</f>
        <v>98743580.200947776</v>
      </c>
      <c r="B2945">
        <v>149671171.27821812</v>
      </c>
    </row>
    <row r="2946" spans="1:2" x14ac:dyDescent="0.25">
      <c r="A2946">
        <f ca="1">34858.2653183256*((RANDBETWEEN(2979,3282)))</f>
        <v>105446252.58793487</v>
      </c>
      <c r="B2946">
        <v>152925266.65543053</v>
      </c>
    </row>
    <row r="2947" spans="1:2" x14ac:dyDescent="0.25">
      <c r="A2947">
        <f ca="1">31351.0901004164*((RANDBETWEEN(2979,3282)))</f>
        <v>95464069.35576798</v>
      </c>
      <c r="B2947">
        <v>173894609.05837536</v>
      </c>
    </row>
    <row r="2948" spans="1:2" x14ac:dyDescent="0.25">
      <c r="A2948">
        <f ca="1">37596.6140986494*((RANDBETWEEN(2979,3282)))</f>
        <v>112150699.85627104</v>
      </c>
      <c r="B2948">
        <v>175978603.02026814</v>
      </c>
    </row>
    <row r="2949" spans="1:2" x14ac:dyDescent="0.25">
      <c r="A2949">
        <f ca="1">37623.8431494556*((RANDBETWEEN(2979,3282)))</f>
        <v>115768565.37087502</v>
      </c>
      <c r="B2949">
        <v>176369692.24068144</v>
      </c>
    </row>
    <row r="2950" spans="1:2" x14ac:dyDescent="0.25">
      <c r="A2950">
        <f ca="1">31755.5773101254*((RANDBETWEEN(2979,3282)))</f>
        <v>99521979.289932847</v>
      </c>
      <c r="B2950">
        <v>151789275.246043</v>
      </c>
    </row>
    <row r="2951" spans="1:2" x14ac:dyDescent="0.25">
      <c r="A2951">
        <f ca="1">40348.4489117118*((RANDBETWEEN(2979,3282)))</f>
        <v>122417193.99813364</v>
      </c>
      <c r="B2951">
        <v>189488888.05442238</v>
      </c>
    </row>
    <row r="2952" spans="1:2" x14ac:dyDescent="0.25">
      <c r="A2952">
        <f ca="1">30583.0724863259*((RANDBETWEEN(2979,3282)))</f>
        <v>91688051.314004928</v>
      </c>
      <c r="B2952">
        <v>150943783.66748863</v>
      </c>
    </row>
    <row r="2953" spans="1:2" x14ac:dyDescent="0.25">
      <c r="A2953">
        <f ca="1">29298.5811545573*((RANDBETWEEN(2979,3282)))</f>
        <v>94810208.616147384</v>
      </c>
      <c r="B2953">
        <v>153778438.27221292</v>
      </c>
    </row>
    <row r="2954" spans="1:2" x14ac:dyDescent="0.25">
      <c r="A2954">
        <f ca="1">34340.4429246514*((RANDBETWEEN(2979,3282)))</f>
        <v>109614693.81548735</v>
      </c>
      <c r="B2954">
        <v>189775010.55546021</v>
      </c>
    </row>
    <row r="2955" spans="1:2" x14ac:dyDescent="0.25">
      <c r="A2955">
        <f ca="1">38040.7478788637*((RANDBETWEEN(2979,3282)))</f>
        <v>123746552.84994367</v>
      </c>
      <c r="B2955">
        <v>192879928.1516172</v>
      </c>
    </row>
    <row r="2956" spans="1:2" x14ac:dyDescent="0.25">
      <c r="A2956">
        <f ca="1">33964.7166740829*((RANDBETWEEN(2979,3282)))</f>
        <v>110181540.89072497</v>
      </c>
      <c r="B2956">
        <v>154187367.75696006</v>
      </c>
    </row>
    <row r="2957" spans="1:2" x14ac:dyDescent="0.25">
      <c r="A2957">
        <f ca="1">36679.4726963333*((RANDBETWEEN(2979,3282)))</f>
        <v>115870454.24771692</v>
      </c>
      <c r="B2957">
        <v>153131445.56131753</v>
      </c>
    </row>
    <row r="2958" spans="1:2" x14ac:dyDescent="0.25">
      <c r="A2958">
        <f ca="1">28247.0756829435*((RANDBETWEEN(2979,3282)))</f>
        <v>91633513.515468642</v>
      </c>
      <c r="B2958">
        <v>155388373.6211254</v>
      </c>
    </row>
    <row r="2959" spans="1:2" x14ac:dyDescent="0.25">
      <c r="A2959">
        <f ca="1">31275.3267606508*((RANDBETWEEN(2979,3282)))</f>
        <v>100800378.14957748</v>
      </c>
      <c r="B2959">
        <v>145753778.04138947</v>
      </c>
    </row>
    <row r="2960" spans="1:2" x14ac:dyDescent="0.25">
      <c r="A2960">
        <f ca="1">30561.2119542648*((RANDBETWEEN(2979,3282)))</f>
        <v>99965724.302400187</v>
      </c>
      <c r="B2960">
        <v>146693564.4827708</v>
      </c>
    </row>
    <row r="2961" spans="1:2" x14ac:dyDescent="0.25">
      <c r="A2961">
        <f ca="1">32452.9831355143*((RANDBETWEEN(2979,3282)))</f>
        <v>98137821.001795098</v>
      </c>
      <c r="B2961">
        <v>144502151.77451301</v>
      </c>
    </row>
    <row r="2962" spans="1:2" x14ac:dyDescent="0.25">
      <c r="A2962">
        <f ca="1">40953.9282319166*((RANDBETWEEN(2979,3282)))</f>
        <v>123517047.54746042</v>
      </c>
      <c r="B2962">
        <v>143847103.78742921</v>
      </c>
    </row>
    <row r="2963" spans="1:2" x14ac:dyDescent="0.25">
      <c r="A2963">
        <f ca="1">34170.021336191*((RANDBETWEEN(2979,3282)))</f>
        <v>101929173.64585771</v>
      </c>
      <c r="B2963">
        <v>189243757.91887152</v>
      </c>
    </row>
    <row r="2964" spans="1:2" x14ac:dyDescent="0.25">
      <c r="A2964">
        <f ca="1">36252.645729335*((RANDBETWEEN(2979,3282)))</f>
        <v>114993392.2534506</v>
      </c>
      <c r="B2964">
        <v>144564533.76680881</v>
      </c>
    </row>
    <row r="2965" spans="1:2" x14ac:dyDescent="0.25">
      <c r="A2965">
        <f ca="1">39514.019522301*((RANDBETWEEN(2979,3282)))</f>
        <v>119569423.07448277</v>
      </c>
      <c r="B2965">
        <v>175295527.1977995</v>
      </c>
    </row>
    <row r="2966" spans="1:2" x14ac:dyDescent="0.25">
      <c r="A2966">
        <f ca="1">38012.1392343973*((RANDBETWEEN(2979,3282)))</f>
        <v>121030651.32232095</v>
      </c>
      <c r="B2966">
        <v>171785168.40944472</v>
      </c>
    </row>
    <row r="2967" spans="1:2" x14ac:dyDescent="0.25">
      <c r="A2967">
        <f ca="1">37909.3263339423*((RANDBETWEEN(2979,3282)))</f>
        <v>124153043.74366088</v>
      </c>
      <c r="B2967">
        <v>175783692.7017459</v>
      </c>
    </row>
    <row r="2968" spans="1:2" x14ac:dyDescent="0.25">
      <c r="A2968">
        <f ca="1">31402.7040265637*((RANDBETWEEN(2979,3282)))</f>
        <v>95370012.128673971</v>
      </c>
      <c r="B2968">
        <v>197524611.27465937</v>
      </c>
    </row>
    <row r="2969" spans="1:2" x14ac:dyDescent="0.25">
      <c r="A2969">
        <f ca="1">31687.2980340879*((RANDBETWEEN(2979,3282)))</f>
        <v>94903457.612093359</v>
      </c>
      <c r="B2969">
        <v>182072668.77570114</v>
      </c>
    </row>
    <row r="2970" spans="1:2" x14ac:dyDescent="0.25">
      <c r="A2970">
        <f ca="1">39515.727210707*((RANDBETWEEN(2979,3282)))</f>
        <v>119535074.81238866</v>
      </c>
      <c r="B2970">
        <v>174736186.44519106</v>
      </c>
    </row>
    <row r="2971" spans="1:2" x14ac:dyDescent="0.25">
      <c r="A2971">
        <f ca="1">29261.7191050521*((RANDBETWEEN(2979,3282)))</f>
        <v>90769852.663871527</v>
      </c>
      <c r="B2971">
        <v>153665893.86890554</v>
      </c>
    </row>
    <row r="2972" spans="1:2" x14ac:dyDescent="0.25">
      <c r="A2972">
        <f ca="1">32767.809541803*((RANDBETWEEN(2979,3282)))</f>
        <v>99679676.626164854</v>
      </c>
      <c r="B2972">
        <v>169276326.68235144</v>
      </c>
    </row>
    <row r="2973" spans="1:2" x14ac:dyDescent="0.25">
      <c r="A2973">
        <f ca="1">34341.5814107393*((RANDBETWEEN(2979,3282)))</f>
        <v>107763882.46690002</v>
      </c>
      <c r="B2973">
        <v>187646270.5251734</v>
      </c>
    </row>
    <row r="2974" spans="1:2" x14ac:dyDescent="0.25">
      <c r="A2974">
        <f ca="1">33781.3036913523*((RANDBETWEEN(2979,3282)))</f>
        <v>101073660.64452596</v>
      </c>
      <c r="B2974">
        <v>194492001.09961584</v>
      </c>
    </row>
    <row r="2975" spans="1:2" x14ac:dyDescent="0.25">
      <c r="A2975">
        <f ca="1">31144.8609538613*((RANDBETWEEN(2979,3282)))</f>
        <v>100629045.74192587</v>
      </c>
      <c r="B2975">
        <v>199108820.82812867</v>
      </c>
    </row>
    <row r="2976" spans="1:2" x14ac:dyDescent="0.25">
      <c r="A2976">
        <f ca="1">38152.4725406291*((RANDBETWEEN(2979,3282)))</f>
        <v>119264629.16200665</v>
      </c>
      <c r="B2976">
        <v>170485437.76732135</v>
      </c>
    </row>
    <row r="2977" spans="1:2" x14ac:dyDescent="0.25">
      <c r="A2977">
        <f ca="1">39071.1391941089*((RANDBETWEEN(2979,3282)))</f>
        <v>116705492.77280331</v>
      </c>
      <c r="B2977">
        <v>175052783.56214595</v>
      </c>
    </row>
    <row r="2978" spans="1:2" x14ac:dyDescent="0.25">
      <c r="A2978">
        <f ca="1">31211.6141925029*((RANDBETWEEN(2979,3282)))</f>
        <v>97224178.209646448</v>
      </c>
      <c r="B2978">
        <v>144232853.31034583</v>
      </c>
    </row>
    <row r="2979" spans="1:2" x14ac:dyDescent="0.25">
      <c r="A2979">
        <f ca="1">37630.6245667523*((RANDBETWEEN(2979,3282)))</f>
        <v>120794304.85927501</v>
      </c>
      <c r="B2979">
        <v>148475644.82473499</v>
      </c>
    </row>
    <row r="2980" spans="1:2" x14ac:dyDescent="0.25">
      <c r="A2980">
        <f ca="1">37849.1986225743*((RANDBETWEEN(2979,3282)))</f>
        <v>113471897.47047777</v>
      </c>
      <c r="B2980">
        <v>195071519.68939453</v>
      </c>
    </row>
    <row r="2981" spans="1:2" x14ac:dyDescent="0.25">
      <c r="A2981">
        <f ca="1">31848.6971854208*((RANDBETWEEN(2979,3282)))</f>
        <v>100068606.55659217</v>
      </c>
      <c r="B2981">
        <v>153212720.83473557</v>
      </c>
    </row>
    <row r="2982" spans="1:2" x14ac:dyDescent="0.25">
      <c r="A2982">
        <f ca="1">38199.6929481692*((RANDBETWEEN(2979,3282)))</f>
        <v>118495447.52522092</v>
      </c>
      <c r="B2982">
        <v>169114718.71993864</v>
      </c>
    </row>
    <row r="2983" spans="1:2" x14ac:dyDescent="0.25">
      <c r="A2983">
        <f ca="1">31203.3164416926*((RANDBETWEEN(2979,3282)))</f>
        <v>94982895.248512402</v>
      </c>
      <c r="B2983">
        <v>182906732.87085766</v>
      </c>
    </row>
    <row r="2984" spans="1:2" x14ac:dyDescent="0.25">
      <c r="A2984">
        <f ca="1">39936.6723631561*((RANDBETWEEN(2979,3282)))</f>
        <v>120568813.86436814</v>
      </c>
      <c r="B2984">
        <v>160196891.0467813</v>
      </c>
    </row>
    <row r="2985" spans="1:2" x14ac:dyDescent="0.25">
      <c r="A2985">
        <f ca="1">31742.8399893803*((RANDBETWEEN(2979,3282)))</f>
        <v>100085174.48651604</v>
      </c>
      <c r="B2985">
        <v>159607910.3038986</v>
      </c>
    </row>
    <row r="2986" spans="1:2" x14ac:dyDescent="0.25">
      <c r="A2986">
        <f ca="1">30654.6366293052*((RANDBETWEEN(2979,3282)))</f>
        <v>100087388.59468132</v>
      </c>
      <c r="B2986">
        <v>198423464.73067078</v>
      </c>
    </row>
    <row r="2987" spans="1:2" x14ac:dyDescent="0.25">
      <c r="A2987">
        <f ca="1">32291.6088290649*((RANDBETWEEN(2979,3282)))</f>
        <v>99167530.714058354</v>
      </c>
      <c r="B2987">
        <v>151638303.69925368</v>
      </c>
    </row>
    <row r="2988" spans="1:2" x14ac:dyDescent="0.25">
      <c r="A2988">
        <f ca="1">32945.6651518463*((RANDBETWEEN(2979,3282)))</f>
        <v>99924202.405549705</v>
      </c>
      <c r="B2988">
        <v>196172934.82546201</v>
      </c>
    </row>
    <row r="2989" spans="1:2" x14ac:dyDescent="0.25">
      <c r="A2989">
        <f ca="1">33928.5009493917*((RANDBETWEEN(2979,3282)))</f>
        <v>108096204.02476184</v>
      </c>
      <c r="B2989">
        <v>184720648.56126544</v>
      </c>
    </row>
    <row r="2990" spans="1:2" x14ac:dyDescent="0.25">
      <c r="A2990">
        <f ca="1">31694.8393037622*((RANDBETWEEN(2979,3282)))</f>
        <v>102596194.82627816</v>
      </c>
      <c r="B2990">
        <v>155932735.91401935</v>
      </c>
    </row>
    <row r="2991" spans="1:2" x14ac:dyDescent="0.25">
      <c r="A2991">
        <f ca="1">33036.7934365566*((RANDBETWEEN(2979,3282)))</f>
        <v>102083691.71895976</v>
      </c>
      <c r="B2991">
        <v>156820111.23493364</v>
      </c>
    </row>
    <row r="2992" spans="1:2" x14ac:dyDescent="0.25">
      <c r="A2992">
        <f ca="1">31425.3616929096*((RANDBETWEEN(2979,3282)))</f>
        <v>102792358.09750736</v>
      </c>
      <c r="B2992">
        <v>171302452.32721794</v>
      </c>
    </row>
    <row r="2993" spans="1:2" x14ac:dyDescent="0.25">
      <c r="A2993">
        <f ca="1">33144.2867623118*((RANDBETWEEN(2979,3282)))</f>
        <v>105133677.61005291</v>
      </c>
      <c r="B2993">
        <v>189826510.12773979</v>
      </c>
    </row>
    <row r="2994" spans="1:2" x14ac:dyDescent="0.25">
      <c r="A2994">
        <f ca="1">39409.196179492*((RANDBETWEEN(2979,3282)))</f>
        <v>119646319.60093771</v>
      </c>
      <c r="B2994">
        <v>173629643.78609598</v>
      </c>
    </row>
    <row r="2995" spans="1:2" x14ac:dyDescent="0.25">
      <c r="A2995">
        <f ca="1">41747.1334615461*((RANDBETWEEN(2979,3282)))</f>
        <v>129917079.33233163</v>
      </c>
      <c r="B2995">
        <v>170097865.33397171</v>
      </c>
    </row>
    <row r="2996" spans="1:2" x14ac:dyDescent="0.25">
      <c r="A2996">
        <f ca="1">31325.432305677*((RANDBETWEEN(2979,3282)))</f>
        <v>94822083.589284331</v>
      </c>
      <c r="B2996">
        <v>161281420.02630076</v>
      </c>
    </row>
    <row r="2997" spans="1:2" x14ac:dyDescent="0.25">
      <c r="A2997">
        <f ca="1">28192.9201885208*((RANDBETWEEN(2979,3282)))</f>
        <v>84860689.767447546</v>
      </c>
      <c r="B2997">
        <v>151415401.70421118</v>
      </c>
    </row>
    <row r="2998" spans="1:2" x14ac:dyDescent="0.25">
      <c r="A2998">
        <f ca="1">28359.4497626398*((RANDBETWEEN(2979,3282)))</f>
        <v>91118912.087361813</v>
      </c>
      <c r="B2998">
        <v>190414763.10581908</v>
      </c>
    </row>
    <row r="2999" spans="1:2" x14ac:dyDescent="0.25">
      <c r="A2999">
        <f ca="1">32548.7391991249*((RANDBETWEEN(2979,3282)))</f>
        <v>100022275.55891067</v>
      </c>
      <c r="B2999">
        <v>176806255.6968863</v>
      </c>
    </row>
    <row r="3000" spans="1:2" x14ac:dyDescent="0.25">
      <c r="A3000">
        <f ca="1">30156.3597165141*((RANDBETWEEN(2979,3282)))</f>
        <v>96319412.934546009</v>
      </c>
      <c r="B3000">
        <v>152294609.74319121</v>
      </c>
    </row>
    <row r="3001" spans="1:2" x14ac:dyDescent="0.25">
      <c r="A3001">
        <f ca="1">42657.3897771309*((RANDBETWEEN(2979,3282)))</f>
        <v>135394555.15261346</v>
      </c>
      <c r="B3001">
        <v>173036446.34507734</v>
      </c>
    </row>
    <row r="3002" spans="1:2" x14ac:dyDescent="0.25">
      <c r="A3002">
        <f ca="1">31423.5316417227*((RANDBETWEEN(2979,3282)))</f>
        <v>102534983.74694125</v>
      </c>
      <c r="B3002">
        <v>149006750.36419833</v>
      </c>
    </row>
    <row r="3003" spans="1:2" x14ac:dyDescent="0.25">
      <c r="A3003">
        <f ca="1">35546.839966023*((RANDBETWEEN(2979,3282)))</f>
        <v>115349495.68974456</v>
      </c>
      <c r="B3003">
        <v>159578148.65662536</v>
      </c>
    </row>
    <row r="3004" spans="1:2" x14ac:dyDescent="0.25">
      <c r="A3004">
        <f ca="1">31280.0417731317*((RANDBETWEEN(2979,3282)))</f>
        <v>95591807.658690602</v>
      </c>
      <c r="B3004">
        <v>179616867.8453624</v>
      </c>
    </row>
    <row r="3005" spans="1:2" x14ac:dyDescent="0.25">
      <c r="A3005">
        <f ca="1">36242.0066445783*((RANDBETWEEN(2979,3282)))</f>
        <v>108073663.81413235</v>
      </c>
      <c r="B3005">
        <v>179641036.33684683</v>
      </c>
    </row>
    <row r="3006" spans="1:2" x14ac:dyDescent="0.25">
      <c r="A3006">
        <f ca="1">38452.0122509087*((RANDBETWEEN(2979,3282)))</f>
        <v>114586996.50770786</v>
      </c>
      <c r="B3006">
        <v>191143103.62513995</v>
      </c>
    </row>
    <row r="3007" spans="1:2" x14ac:dyDescent="0.25">
      <c r="A3007">
        <f ca="1">31338.3399159081*((RANDBETWEEN(2979,3282)))</f>
        <v>99029154.134269506</v>
      </c>
      <c r="B3007">
        <v>172381634.61381203</v>
      </c>
    </row>
    <row r="3008" spans="1:2" x14ac:dyDescent="0.25">
      <c r="A3008">
        <f ca="1">38792.6534137261*((RANDBETWEEN(2979,3282)))</f>
        <v>123981320.31026854</v>
      </c>
      <c r="B3008">
        <v>149195254.99536237</v>
      </c>
    </row>
    <row r="3009" spans="1:2" x14ac:dyDescent="0.25">
      <c r="A3009">
        <f ca="1">33099.2487202795*((RANDBETWEEN(2979,3282)))</f>
        <v>104030938.7278385</v>
      </c>
      <c r="B3009">
        <v>143582340.03398255</v>
      </c>
    </row>
    <row r="3010" spans="1:2" x14ac:dyDescent="0.25">
      <c r="A3010">
        <f ca="1">42076.2033904651*((RANDBETWEEN(2979,3282)))</f>
        <v>136705584.81562096</v>
      </c>
      <c r="B3010">
        <v>161910496.16168314</v>
      </c>
    </row>
    <row r="3011" spans="1:2" x14ac:dyDescent="0.25">
      <c r="A3011">
        <f ca="1">41342.2040085366*((RANDBETWEEN(2979,3282)))</f>
        <v>130310627.03490724</v>
      </c>
      <c r="B3011">
        <v>180889005.41864058</v>
      </c>
    </row>
    <row r="3012" spans="1:2" x14ac:dyDescent="0.25">
      <c r="A3012">
        <f ca="1">30587.3764017819*((RANDBETWEEN(2979,3282)))</f>
        <v>95157327.985943615</v>
      </c>
      <c r="B3012">
        <v>152118421.72221756</v>
      </c>
    </row>
    <row r="3013" spans="1:2" x14ac:dyDescent="0.25">
      <c r="A3013">
        <f ca="1">30073.4480734529*((RANDBETWEEN(2979,3282)))</f>
        <v>92896881.098895967</v>
      </c>
      <c r="B3013">
        <v>158073359.58992237</v>
      </c>
    </row>
    <row r="3014" spans="1:2" x14ac:dyDescent="0.25">
      <c r="A3014">
        <f ca="1">37222.9151411941*((RANDBETWEEN(2979,3282)))</f>
        <v>118927213.87611501</v>
      </c>
      <c r="B3014">
        <v>195461981.80415297</v>
      </c>
    </row>
    <row r="3015" spans="1:2" x14ac:dyDescent="0.25">
      <c r="A3015">
        <f ca="1">38260.5511231519*((RANDBETWEEN(2979,3282)))</f>
        <v>116732941.47673637</v>
      </c>
      <c r="B3015">
        <v>167091192.75739324</v>
      </c>
    </row>
    <row r="3016" spans="1:2" x14ac:dyDescent="0.25">
      <c r="A3016">
        <f ca="1">38955.7537771587*((RANDBETWEEN(2979,3282)))</f>
        <v>122282111.10650119</v>
      </c>
      <c r="B3016">
        <v>158973133.26712242</v>
      </c>
    </row>
    <row r="3017" spans="1:2" x14ac:dyDescent="0.25">
      <c r="A3017">
        <f ca="1">32229.367178455*((RANDBETWEEN(2979,3282)))</f>
        <v>104133085.35358796</v>
      </c>
      <c r="B3017">
        <v>199178647.92279795</v>
      </c>
    </row>
    <row r="3018" spans="1:2" x14ac:dyDescent="0.25">
      <c r="A3018">
        <f ca="1">31876.5887745132*((RANDBETWEEN(2979,3282)))</f>
        <v>102451356.32128537</v>
      </c>
      <c r="B3018">
        <v>199532839.18628514</v>
      </c>
    </row>
    <row r="3019" spans="1:2" x14ac:dyDescent="0.25">
      <c r="A3019">
        <f ca="1">33522.6415538329*((RANDBETWEEN(2979,3282)))</f>
        <v>102311102.02229802</v>
      </c>
      <c r="B3019">
        <v>183594100.71937311</v>
      </c>
    </row>
    <row r="3020" spans="1:2" x14ac:dyDescent="0.25">
      <c r="A3020">
        <f ca="1">30518.953146756*((RANDBETWEEN(2979,3282)))</f>
        <v>99461268.305277839</v>
      </c>
      <c r="B3020">
        <v>165539920.32091045</v>
      </c>
    </row>
    <row r="3021" spans="1:2" x14ac:dyDescent="0.25">
      <c r="A3021">
        <f ca="1">36052.353678677*((RANDBETWEEN(2979,3282)))</f>
        <v>109995731.07364361</v>
      </c>
      <c r="B3021">
        <v>154426546.45333013</v>
      </c>
    </row>
    <row r="3022" spans="1:2" x14ac:dyDescent="0.25">
      <c r="A3022">
        <f ca="1">32749.6298985377*((RANDBETWEEN(2979,3282)))</f>
        <v>101392854.16587281</v>
      </c>
      <c r="B3022">
        <v>172440831.21889132</v>
      </c>
    </row>
    <row r="3023" spans="1:2" x14ac:dyDescent="0.25">
      <c r="A3023">
        <f ca="1">29382.182829655*((RANDBETWEEN(2979,3282)))</f>
        <v>93993602.8720662</v>
      </c>
      <c r="B3023">
        <v>164142654.46563649</v>
      </c>
    </row>
    <row r="3024" spans="1:2" x14ac:dyDescent="0.25">
      <c r="A3024">
        <f ca="1">30561.7807511242*((RANDBETWEEN(2979,3282)))</f>
        <v>95047138.135996372</v>
      </c>
      <c r="B3024">
        <v>143155349.14158502</v>
      </c>
    </row>
    <row r="3025" spans="1:2" x14ac:dyDescent="0.25">
      <c r="A3025">
        <f ca="1">37822.2255876758*((RANDBETWEEN(2979,3282)))</f>
        <v>114790454.65859616</v>
      </c>
      <c r="B3025">
        <v>185046140.87366617</v>
      </c>
    </row>
    <row r="3026" spans="1:2" x14ac:dyDescent="0.25">
      <c r="A3026">
        <f ca="1">29086.8835471784*((RANDBETWEEN(2979,3282)))</f>
        <v>90140252.112705857</v>
      </c>
      <c r="B3026">
        <v>159437312.81360561</v>
      </c>
    </row>
    <row r="3027" spans="1:2" x14ac:dyDescent="0.25">
      <c r="A3027">
        <f ca="1">29212.8216353519*((RANDBETWEEN(2979,3282)))</f>
        <v>91465344.540286675</v>
      </c>
      <c r="B3027">
        <v>188508105.21979633</v>
      </c>
    </row>
    <row r="3028" spans="1:2" x14ac:dyDescent="0.25">
      <c r="A3028">
        <f ca="1">39807.8940297266*((RANDBETWEEN(2979,3282)))</f>
        <v>119025603.14888264</v>
      </c>
      <c r="B3028">
        <v>175493981.89495975</v>
      </c>
    </row>
    <row r="3029" spans="1:2" x14ac:dyDescent="0.25">
      <c r="A3029">
        <f ca="1">32158.3462853388*((RANDBETWEEN(2979,3282)))</f>
        <v>98629648.057134107</v>
      </c>
      <c r="B3029">
        <v>164457987.72783658</v>
      </c>
    </row>
    <row r="3030" spans="1:2" x14ac:dyDescent="0.25">
      <c r="A3030">
        <f ca="1">32439.9823541587*((RANDBETWEEN(2979,3282)))</f>
        <v>99525865.862559095</v>
      </c>
      <c r="B3030">
        <v>167635361.91959086</v>
      </c>
    </row>
    <row r="3031" spans="1:2" x14ac:dyDescent="0.25">
      <c r="A3031">
        <f ca="1">39132.9570521966*((RANDBETWEEN(2979,3282)))</f>
        <v>123268814.71441919</v>
      </c>
      <c r="B3031">
        <v>153605162.87674785</v>
      </c>
    </row>
    <row r="3032" spans="1:2" x14ac:dyDescent="0.25">
      <c r="A3032">
        <f ca="1">40433.9022999852*((RANDBETWEEN(2979,3282)))</f>
        <v>131693219.79105189</v>
      </c>
      <c r="B3032">
        <v>184148206.0439001</v>
      </c>
    </row>
    <row r="3033" spans="1:2" x14ac:dyDescent="0.25">
      <c r="A3033">
        <f ca="1">35579.4276637335*((RANDBETWEEN(2979,3282)))</f>
        <v>115633139.90713373</v>
      </c>
      <c r="B3033">
        <v>167812680.7085529</v>
      </c>
    </row>
    <row r="3034" spans="1:2" x14ac:dyDescent="0.25">
      <c r="A3034">
        <f ca="1">30498.6315666095*((RANDBETWEEN(2979,3282)))</f>
        <v>99364541.644013792</v>
      </c>
      <c r="B3034">
        <v>196830116.99313465</v>
      </c>
    </row>
    <row r="3035" spans="1:2" x14ac:dyDescent="0.25">
      <c r="A3035">
        <f ca="1">38980.7727789049*((RANDBETWEEN(2979,3282)))</f>
        <v>124387645.9374855</v>
      </c>
      <c r="B3035">
        <v>172445398.16772202</v>
      </c>
    </row>
    <row r="3036" spans="1:2" x14ac:dyDescent="0.25">
      <c r="A3036">
        <f ca="1">36218.2799619974*((RANDBETWEEN(2979,3282)))</f>
        <v>113580525.96082395</v>
      </c>
      <c r="B3036">
        <v>194277944.79484019</v>
      </c>
    </row>
    <row r="3037" spans="1:2" x14ac:dyDescent="0.25">
      <c r="A3037">
        <f ca="1">30898.225992584*((RANDBETWEEN(2979,3282)))</f>
        <v>97144022.520684153</v>
      </c>
      <c r="B3037">
        <v>199898912.86833459</v>
      </c>
    </row>
    <row r="3038" spans="1:2" x14ac:dyDescent="0.25">
      <c r="A3038">
        <f ca="1">33228.7262293344*((RANDBETWEEN(2979,3282)))</f>
        <v>101978960.7978272</v>
      </c>
      <c r="B3038">
        <v>169835750.85726205</v>
      </c>
    </row>
    <row r="3039" spans="1:2" x14ac:dyDescent="0.25">
      <c r="A3039">
        <f ca="1">36537.8902662138*((RANDBETWEEN(2979,3282)))</f>
        <v>114473210.20404781</v>
      </c>
      <c r="B3039">
        <v>162955368.40046167</v>
      </c>
    </row>
    <row r="3040" spans="1:2" x14ac:dyDescent="0.25">
      <c r="A3040">
        <f ca="1">31839.2082458794*((RANDBETWEEN(2979,3282)))</f>
        <v>102140180.05278096</v>
      </c>
      <c r="B3040">
        <v>147310388.4743593</v>
      </c>
    </row>
    <row r="3041" spans="1:2" x14ac:dyDescent="0.25">
      <c r="A3041">
        <f ca="1">32987.1181382349*((RANDBETWEEN(2979,3282)))</f>
        <v>105228906.8609692</v>
      </c>
      <c r="B3041">
        <v>188113783.53411734</v>
      </c>
    </row>
    <row r="3042" spans="1:2" x14ac:dyDescent="0.25">
      <c r="A3042">
        <f ca="1">32366.2378877824*((RANDBETWEEN(2979,3282)))</f>
        <v>102244945.48750469</v>
      </c>
      <c r="B3042">
        <v>170431453.35713923</v>
      </c>
    </row>
    <row r="3043" spans="1:2" x14ac:dyDescent="0.25">
      <c r="A3043">
        <f ca="1">37675.870234695*((RANDBETWEEN(2979,3282)))</f>
        <v>118377584.27741167</v>
      </c>
      <c r="B3043">
        <v>159957279.89652786</v>
      </c>
    </row>
    <row r="3044" spans="1:2" x14ac:dyDescent="0.25">
      <c r="A3044">
        <f ca="1">35911.1289175061*((RANDBETWEEN(2979,3282)))</f>
        <v>115777479.63003959</v>
      </c>
      <c r="B3044">
        <v>164153689.65775898</v>
      </c>
    </row>
    <row r="3045" spans="1:2" x14ac:dyDescent="0.25">
      <c r="A3045">
        <f ca="1">29075.1381556582*((RANDBETWEEN(2979,3282)))</f>
        <v>93098592.374417469</v>
      </c>
      <c r="B3045">
        <v>147872401.62184602</v>
      </c>
    </row>
    <row r="3046" spans="1:2" x14ac:dyDescent="0.25">
      <c r="A3046">
        <f ca="1">33488.291379791*((RANDBETWEEN(2979,3282)))</f>
        <v>105354164.68082254</v>
      </c>
      <c r="B3046">
        <v>174095044.69037479</v>
      </c>
    </row>
    <row r="3047" spans="1:2" x14ac:dyDescent="0.25">
      <c r="A3047">
        <f ca="1">39879.4264792707*((RANDBETWEEN(2979,3282)))</f>
        <v>129967050.89594322</v>
      </c>
      <c r="B3047">
        <v>151008809.23064542</v>
      </c>
    </row>
    <row r="3048" spans="1:2" x14ac:dyDescent="0.25">
      <c r="A3048">
        <f ca="1">30320.6811910606*((RANDBETWEEN(2979,3282)))</f>
        <v>91356212.428665444</v>
      </c>
      <c r="B3048">
        <v>182167167.41973981</v>
      </c>
    </row>
    <row r="3049" spans="1:2" x14ac:dyDescent="0.25">
      <c r="A3049">
        <f ca="1">29707.5507068138*((RANDBETWEEN(2979,3282)))</f>
        <v>96935737.956333473</v>
      </c>
      <c r="B3049">
        <v>159324439.20479614</v>
      </c>
    </row>
    <row r="3050" spans="1:2" x14ac:dyDescent="0.25">
      <c r="A3050">
        <f ca="1">31178.7400591252*((RANDBETWEEN(2979,3282)))</f>
        <v>102266267.39393064</v>
      </c>
      <c r="B3050">
        <v>156149444.78654855</v>
      </c>
    </row>
    <row r="3051" spans="1:2" x14ac:dyDescent="0.25">
      <c r="A3051">
        <f ca="1">34945.2507779499*((RANDBETWEEN(2979,3282)))</f>
        <v>112733379.00966652</v>
      </c>
      <c r="B3051">
        <v>175175557.82872546</v>
      </c>
    </row>
    <row r="3052" spans="1:2" x14ac:dyDescent="0.25">
      <c r="A3052">
        <f ca="1">38189.0555719716*((RANDBETWEEN(2979,3282)))</f>
        <v>118347883.21753992</v>
      </c>
      <c r="B3052">
        <v>183072188.88717103</v>
      </c>
    </row>
    <row r="3053" spans="1:2" x14ac:dyDescent="0.25">
      <c r="A3053">
        <f ca="1">30201.9899003237*((RANDBETWEEN(2979,3282)))</f>
        <v>94653036.347614408</v>
      </c>
      <c r="B3053">
        <v>153506644.56432769</v>
      </c>
    </row>
    <row r="3054" spans="1:2" x14ac:dyDescent="0.25">
      <c r="A3054">
        <f ca="1">32029.0678663384*((RANDBETWEEN(2979,3282)))</f>
        <v>100987650.9825649</v>
      </c>
      <c r="B3054">
        <v>185686071.2073265</v>
      </c>
    </row>
    <row r="3055" spans="1:2" x14ac:dyDescent="0.25">
      <c r="A3055">
        <f ca="1">30323.8401615155*((RANDBETWEEN(2979,3282)))</f>
        <v>98067299.082341105</v>
      </c>
      <c r="B3055">
        <v>188378596.68628743</v>
      </c>
    </row>
    <row r="3056" spans="1:2" x14ac:dyDescent="0.25">
      <c r="A3056">
        <f ca="1">31736.3194875978*((RANDBETWEEN(2979,3282)))</f>
        <v>102603520.90340361</v>
      </c>
      <c r="B3056">
        <v>151129556.39722952</v>
      </c>
    </row>
    <row r="3057" spans="1:2" x14ac:dyDescent="0.25">
      <c r="A3057">
        <f ca="1">36072.7307101482*((RANDBETWEEN(2979,3282)))</f>
        <v>115396665.54176405</v>
      </c>
      <c r="B3057">
        <v>143849980.55632889</v>
      </c>
    </row>
    <row r="3058" spans="1:2" x14ac:dyDescent="0.25">
      <c r="A3058">
        <f ca="1">32440.3288334795*((RANDBETWEEN(2979,3282)))</f>
        <v>99234965.901613891</v>
      </c>
      <c r="B3058">
        <v>144243999.91636842</v>
      </c>
    </row>
    <row r="3059" spans="1:2" x14ac:dyDescent="0.25">
      <c r="A3059">
        <f ca="1">44575.2776924547*((RANDBETWEEN(2979,3282)))</f>
        <v>142640888.61585492</v>
      </c>
      <c r="B3059">
        <v>163228478.24360344</v>
      </c>
    </row>
    <row r="3060" spans="1:2" x14ac:dyDescent="0.25">
      <c r="A3060">
        <f ca="1">36410.9179783852*((RANDBETWEEN(2979,3282)))</f>
        <v>115859541.00722177</v>
      </c>
      <c r="B3060">
        <v>158661272.41798624</v>
      </c>
    </row>
    <row r="3061" spans="1:2" x14ac:dyDescent="0.25">
      <c r="A3061">
        <f ca="1">27827.6603432659*((RANDBETWEEN(2979,3282)))</f>
        <v>87684957.741630822</v>
      </c>
      <c r="B3061">
        <v>153421520.22292265</v>
      </c>
    </row>
    <row r="3062" spans="1:2" x14ac:dyDescent="0.25">
      <c r="A3062">
        <f ca="1">33358.2023201271*((RANDBETWEEN(2979,3282)))</f>
        <v>100041248.75806107</v>
      </c>
      <c r="B3062">
        <v>183668655.58460107</v>
      </c>
    </row>
    <row r="3063" spans="1:2" x14ac:dyDescent="0.25">
      <c r="A3063">
        <f ca="1">36858.0388346152*((RANDBETWEEN(2979,3282)))</f>
        <v>120452070.9115226</v>
      </c>
      <c r="B3063">
        <v>150288831.61013046</v>
      </c>
    </row>
    <row r="3064" spans="1:2" x14ac:dyDescent="0.25">
      <c r="A3064">
        <f ca="1">34079.6912989366*((RANDBETWEEN(2979,3282)))</f>
        <v>108611976.16971105</v>
      </c>
      <c r="B3064">
        <v>197001890.85968623</v>
      </c>
    </row>
    <row r="3065" spans="1:2" x14ac:dyDescent="0.25">
      <c r="A3065">
        <f ca="1">42266.5450908914*((RANDBETWEEN(2979,3282)))</f>
        <v>127898565.44503734</v>
      </c>
      <c r="B3065">
        <v>164637263.15150142</v>
      </c>
    </row>
    <row r="3066" spans="1:2" x14ac:dyDescent="0.25">
      <c r="A3066">
        <f ca="1">41982.0376782518*((RANDBETWEEN(2979,3282)))</f>
        <v>136315676.34128371</v>
      </c>
      <c r="B3066">
        <v>159035200.6312941</v>
      </c>
    </row>
    <row r="3067" spans="1:2" x14ac:dyDescent="0.25">
      <c r="A3067">
        <f ca="1">36756.4589558057*((RANDBETWEEN(2979,3282)))</f>
        <v>110710454.37488686</v>
      </c>
      <c r="B3067">
        <v>193673907.43393597</v>
      </c>
    </row>
    <row r="3068" spans="1:2" x14ac:dyDescent="0.25">
      <c r="A3068">
        <f ca="1">40523.3363812808*((RANDBETWEEN(2979,3282)))</f>
        <v>122623615.88975555</v>
      </c>
      <c r="B3068">
        <v>181065719.92233586</v>
      </c>
    </row>
    <row r="3069" spans="1:2" x14ac:dyDescent="0.25">
      <c r="A3069">
        <f ca="1">32285.3916932266*((RANDBETWEEN(2979,3282)))</f>
        <v>101795840.00874355</v>
      </c>
      <c r="B3069">
        <v>143101480.88733155</v>
      </c>
    </row>
    <row r="3070" spans="1:2" x14ac:dyDescent="0.25">
      <c r="A3070">
        <f ca="1">31743.6784445744*((RANDBETWEEN(2979,3282)))</f>
        <v>97643554.895510808</v>
      </c>
      <c r="B3070">
        <v>175035605.29501584</v>
      </c>
    </row>
    <row r="3071" spans="1:2" x14ac:dyDescent="0.25">
      <c r="A3071">
        <f ca="1">38923.2202894064*((RANDBETWEEN(2979,3282)))</f>
        <v>116691814.42764038</v>
      </c>
      <c r="B3071">
        <v>171292793.28798759</v>
      </c>
    </row>
    <row r="3072" spans="1:2" x14ac:dyDescent="0.25">
      <c r="A3072">
        <f ca="1">32303.7549665285*((RANDBETWEEN(2979,3282)))</f>
        <v>98526452.647912055</v>
      </c>
      <c r="B3072">
        <v>148430987.38765332</v>
      </c>
    </row>
    <row r="3073" spans="1:2" x14ac:dyDescent="0.25">
      <c r="A3073">
        <f ca="1">30035.5588373737*((RANDBETWEEN(2979,3282)))</f>
        <v>95633219.338198021</v>
      </c>
      <c r="B3073">
        <v>179746401.04235867</v>
      </c>
    </row>
    <row r="3074" spans="1:2" x14ac:dyDescent="0.25">
      <c r="A3074">
        <f ca="1">38802.7474726748*((RANDBETWEEN(2979,3282)))</f>
        <v>126225337.52861109</v>
      </c>
      <c r="B3074">
        <v>171078816.09571803</v>
      </c>
    </row>
    <row r="3075" spans="1:2" x14ac:dyDescent="0.25">
      <c r="A3075">
        <f ca="1">35247.1388072112*((RANDBETWEEN(2979,3282)))</f>
        <v>109548107.41281246</v>
      </c>
      <c r="B3075">
        <v>161626165.99042374</v>
      </c>
    </row>
    <row r="3076" spans="1:2" x14ac:dyDescent="0.25">
      <c r="A3076">
        <f ca="1">30500.6644891811*((RANDBETWEEN(2979,3282)))</f>
        <v>94399556.594015494</v>
      </c>
      <c r="B3076">
        <v>145136889.21498328</v>
      </c>
    </row>
    <row r="3077" spans="1:2" x14ac:dyDescent="0.25">
      <c r="A3077">
        <f ca="1">29113.5358884489*((RANDBETWEEN(2979,3282)))</f>
        <v>90746891.36429511</v>
      </c>
      <c r="B3077">
        <v>192480772.18749112</v>
      </c>
    </row>
    <row r="3078" spans="1:2" x14ac:dyDescent="0.25">
      <c r="A3078">
        <f ca="1">33014.8854850411*((RANDBETWEEN(2979,3282)))</f>
        <v>100134147.67612961</v>
      </c>
      <c r="B3078">
        <v>154504402.27362648</v>
      </c>
    </row>
    <row r="3079" spans="1:2" x14ac:dyDescent="0.25">
      <c r="A3079">
        <f ca="1">36301.5564410542*((RANDBETWEEN(2979,3282)))</f>
        <v>110828651.81453855</v>
      </c>
      <c r="B3079">
        <v>154864647.54904124</v>
      </c>
    </row>
    <row r="3080" spans="1:2" x14ac:dyDescent="0.25">
      <c r="A3080">
        <f ca="1">38839.127597417*((RANDBETWEEN(2979,3282)))</f>
        <v>122653964.95264277</v>
      </c>
      <c r="B3080">
        <v>200988104.89031333</v>
      </c>
    </row>
    <row r="3081" spans="1:2" x14ac:dyDescent="0.25">
      <c r="A3081">
        <f ca="1">28394.3447686858*((RANDBETWEEN(2979,3282)))</f>
        <v>90265622.019652247</v>
      </c>
      <c r="B3081">
        <v>202847467.40557259</v>
      </c>
    </row>
    <row r="3082" spans="1:2" x14ac:dyDescent="0.25">
      <c r="A3082">
        <f ca="1">37851.5854649836*((RANDBETWEEN(2979,3282)))</f>
        <v>119497455.31295314</v>
      </c>
      <c r="B3082">
        <v>183677590.05061975</v>
      </c>
    </row>
    <row r="3083" spans="1:2" x14ac:dyDescent="0.25">
      <c r="A3083">
        <f ca="1">30348.3914444909*((RANDBETWEEN(2979,3282)))</f>
        <v>94565587.741033584</v>
      </c>
      <c r="B3083">
        <v>169033147.92871025</v>
      </c>
    </row>
    <row r="3084" spans="1:2" x14ac:dyDescent="0.25">
      <c r="A3084">
        <f ca="1">31901.957628841*((RANDBETWEEN(2979,3282)))</f>
        <v>104478911.23445415</v>
      </c>
      <c r="B3084">
        <v>147131839.36848155</v>
      </c>
    </row>
    <row r="3085" spans="1:2" x14ac:dyDescent="0.25">
      <c r="A3085">
        <f ca="1">34800.8810778857*((RANDBETWEEN(2979,3282)))</f>
        <v>111154014.16276704</v>
      </c>
      <c r="B3085">
        <v>183024091.04379377</v>
      </c>
    </row>
    <row r="3086" spans="1:2" x14ac:dyDescent="0.25">
      <c r="A3086">
        <f ca="1">29988.5693527096*((RANDBETWEEN(2979,3282)))</f>
        <v>98122598.922066092</v>
      </c>
      <c r="B3086">
        <v>159324058.53897762</v>
      </c>
    </row>
    <row r="3087" spans="1:2" x14ac:dyDescent="0.25">
      <c r="A3087">
        <f ca="1">31044.6826196868*((RANDBETWEEN(2979,3282)))</f>
        <v>101050441.92708053</v>
      </c>
      <c r="B3087">
        <v>149151186.89789873</v>
      </c>
    </row>
    <row r="3088" spans="1:2" x14ac:dyDescent="0.25">
      <c r="A3088">
        <f ca="1">28643.8816099175*((RANDBETWEEN(2979,3282)))</f>
        <v>92519737.600033432</v>
      </c>
      <c r="B3088">
        <v>177541945.98504922</v>
      </c>
    </row>
    <row r="3089" spans="1:2" x14ac:dyDescent="0.25">
      <c r="A3089">
        <f ca="1">30830.4655255071*((RANDBETWEEN(2979,3282)))</f>
        <v>96437696.163786128</v>
      </c>
      <c r="B3089">
        <v>188225724.73817623</v>
      </c>
    </row>
    <row r="3090" spans="1:2" x14ac:dyDescent="0.25">
      <c r="A3090">
        <f ca="1">29388.3403786144*((RANDBETWEEN(2979,3282)))</f>
        <v>89575661.474016696</v>
      </c>
      <c r="B3090">
        <v>154561502.67733565</v>
      </c>
    </row>
    <row r="3091" spans="1:2" x14ac:dyDescent="0.25">
      <c r="A3091">
        <f ca="1">38092.6585480957*((RANDBETWEEN(2979,3282)))</f>
        <v>124067788.89114772</v>
      </c>
      <c r="B3091">
        <v>145998839.33477479</v>
      </c>
    </row>
    <row r="3092" spans="1:2" x14ac:dyDescent="0.25">
      <c r="A3092">
        <f ca="1">29966.1711297777*((RANDBETWEEN(2979,3282)))</f>
        <v>97659751.711945668</v>
      </c>
      <c r="B3092">
        <v>148441490.97485054</v>
      </c>
    </row>
    <row r="3093" spans="1:2" x14ac:dyDescent="0.25">
      <c r="A3093">
        <f ca="1">31115.3611812769*((RANDBETWEEN(2979,3282)))</f>
        <v>98137849.165747404</v>
      </c>
      <c r="B3093">
        <v>179093079.19792908</v>
      </c>
    </row>
    <row r="3094" spans="1:2" x14ac:dyDescent="0.25">
      <c r="A3094">
        <f ca="1">34523.7547512062*((RANDBETWEEN(2979,3282)))</f>
        <v>110372443.93960606</v>
      </c>
      <c r="B3094">
        <v>168130596.47292605</v>
      </c>
    </row>
    <row r="3095" spans="1:2" x14ac:dyDescent="0.25">
      <c r="A3095">
        <f ca="1">30391.8302103782*((RANDBETWEEN(2979,3282)))</f>
        <v>95825440.653322443</v>
      </c>
      <c r="B3095">
        <v>158266664.80677104</v>
      </c>
    </row>
    <row r="3096" spans="1:2" x14ac:dyDescent="0.25">
      <c r="A3096">
        <f ca="1">29698.8579645347*((RANDBETWEEN(2979,3282)))</f>
        <v>89066875.035639629</v>
      </c>
      <c r="B3096">
        <v>145051868.44871137</v>
      </c>
    </row>
    <row r="3097" spans="1:2" x14ac:dyDescent="0.25">
      <c r="A3097">
        <f ca="1">35240.2516606658*((RANDBETWEEN(2979,3282)))</f>
        <v>106460800.26687135</v>
      </c>
      <c r="B3097">
        <v>161931218.66318589</v>
      </c>
    </row>
    <row r="3098" spans="1:2" x14ac:dyDescent="0.25">
      <c r="A3098">
        <f ca="1">40915.2694801191*((RANDBETWEEN(2979,3282)))</f>
        <v>130969777.60586129</v>
      </c>
      <c r="B3098">
        <v>153980752.19377351</v>
      </c>
    </row>
    <row r="3099" spans="1:2" x14ac:dyDescent="0.25">
      <c r="A3099">
        <f ca="1">39281.5895165185*((RANDBETWEEN(2979,3282)))</f>
        <v>128607924.07708159</v>
      </c>
      <c r="B3099">
        <v>149532187.571547</v>
      </c>
    </row>
    <row r="3100" spans="1:2" x14ac:dyDescent="0.25">
      <c r="A3100">
        <f ca="1">31453.9368870245*((RANDBETWEEN(2979,3282)))</f>
        <v>101659124.01886311</v>
      </c>
      <c r="B3100">
        <v>153268742.90435106</v>
      </c>
    </row>
    <row r="3101" spans="1:2" x14ac:dyDescent="0.25">
      <c r="A3101">
        <f ca="1">28391.100906439*((RANDBETWEEN(2979,3282)))</f>
        <v>87047115.37914212</v>
      </c>
      <c r="B3101">
        <v>172009260.66810989</v>
      </c>
    </row>
    <row r="3102" spans="1:2" x14ac:dyDescent="0.25">
      <c r="A3102">
        <f ca="1">31428.7583061977*((RANDBETWEEN(2979,3282)))</f>
        <v>100352025.27168915</v>
      </c>
      <c r="B3102">
        <v>197913113.76654065</v>
      </c>
    </row>
    <row r="3103" spans="1:2" x14ac:dyDescent="0.25">
      <c r="A3103">
        <f ca="1">34411.6504499154*((RANDBETWEEN(2979,3282)))</f>
        <v>108224640.66498397</v>
      </c>
      <c r="B3103">
        <v>195317391.84325334</v>
      </c>
    </row>
    <row r="3104" spans="1:2" x14ac:dyDescent="0.25">
      <c r="A3104">
        <f ca="1">30987.9450204751*((RANDBETWEEN(2979,3282)))</f>
        <v>93273714.511630103</v>
      </c>
      <c r="B3104">
        <v>154286885.80292881</v>
      </c>
    </row>
    <row r="3105" spans="1:2" x14ac:dyDescent="0.25">
      <c r="A3105">
        <f ca="1">32639.5022168465*((RANDBETWEEN(2979,3282)))</f>
        <v>98408099.183792114</v>
      </c>
      <c r="B3105">
        <v>162128417.02497903</v>
      </c>
    </row>
    <row r="3106" spans="1:2" x14ac:dyDescent="0.25">
      <c r="A3106">
        <f ca="1">32781.704971732*((RANDBETWEEN(2979,3282)))</f>
        <v>99984200.163782552</v>
      </c>
      <c r="B3106">
        <v>195261697.94478047</v>
      </c>
    </row>
    <row r="3107" spans="1:2" x14ac:dyDescent="0.25">
      <c r="A3107">
        <f ca="1">32804.9635640197*((RANDBETWEEN(2979,3282)))</f>
        <v>99267819.744723573</v>
      </c>
      <c r="B3107">
        <v>156767543.63974464</v>
      </c>
    </row>
    <row r="3108" spans="1:2" x14ac:dyDescent="0.25">
      <c r="A3108">
        <f ca="1">33804.3665029291*((RANDBETWEEN(2979,3282)))</f>
        <v>105909080.25367689</v>
      </c>
      <c r="B3108">
        <v>154551107.02665603</v>
      </c>
    </row>
    <row r="3109" spans="1:2" x14ac:dyDescent="0.25">
      <c r="A3109">
        <f ca="1">30199.5781491952*((RANDBETWEEN(2979,3282)))</f>
        <v>98209028.141182944</v>
      </c>
      <c r="B3109">
        <v>168504775.70311433</v>
      </c>
    </row>
    <row r="3110" spans="1:2" x14ac:dyDescent="0.25">
      <c r="A3110">
        <f ca="1">27880.2599296716*((RANDBETWEEN(2979,3282)))</f>
        <v>83612899.529085204</v>
      </c>
      <c r="B3110">
        <v>199782175.43922028</v>
      </c>
    </row>
    <row r="3111" spans="1:2" x14ac:dyDescent="0.25">
      <c r="A3111">
        <f ca="1">33047.9041389433*((RANDBETWEEN(2979,3282)))</f>
        <v>105885484.86117435</v>
      </c>
      <c r="B3111">
        <v>201018115.81955427</v>
      </c>
    </row>
    <row r="3112" spans="1:2" x14ac:dyDescent="0.25">
      <c r="A3112">
        <f ca="1">34117.9203187252*((RANDBETWEEN(2979,3282)))</f>
        <v>110132646.78884523</v>
      </c>
      <c r="B3112">
        <v>150677507.1633105</v>
      </c>
    </row>
    <row r="3113" spans="1:2" x14ac:dyDescent="0.25">
      <c r="A3113">
        <f ca="1">41001.0039015346*((RANDBETWEEN(2979,3282)))</f>
        <v>127021110.08695416</v>
      </c>
      <c r="B3113">
        <v>162404482.99965465</v>
      </c>
    </row>
    <row r="3114" spans="1:2" x14ac:dyDescent="0.25">
      <c r="A3114">
        <f ca="1">29895.9674512968*((RANDBETWEEN(2979,3282)))</f>
        <v>93544482.155107588</v>
      </c>
      <c r="B3114">
        <v>159668124.69859916</v>
      </c>
    </row>
    <row r="3115" spans="1:2" x14ac:dyDescent="0.25">
      <c r="A3115">
        <f ca="1">32458.247809284*((RANDBETWEEN(2979,3282)))</f>
        <v>103509352.26380661</v>
      </c>
      <c r="B3115">
        <v>144779269.8519938</v>
      </c>
    </row>
    <row r="3116" spans="1:2" x14ac:dyDescent="0.25">
      <c r="A3116">
        <f ca="1">32080.6791001581*((RANDBETWEEN(2979,3282)))</f>
        <v>101407026.63559964</v>
      </c>
      <c r="B3116">
        <v>183252177.30361825</v>
      </c>
    </row>
    <row r="3117" spans="1:2" x14ac:dyDescent="0.25">
      <c r="A3117">
        <f ca="1">33399.0348411691*((RANDBETWEEN(2979,3282)))</f>
        <v>105507551.0632533</v>
      </c>
      <c r="B3117">
        <v>196314770.76529065</v>
      </c>
    </row>
    <row r="3118" spans="1:2" x14ac:dyDescent="0.25">
      <c r="A3118">
        <f ca="1">30892.329863506*((RANDBETWEEN(2979,3282)))</f>
        <v>100678103.02516602</v>
      </c>
      <c r="B3118">
        <v>159996256.50290775</v>
      </c>
    </row>
    <row r="3119" spans="1:2" x14ac:dyDescent="0.25">
      <c r="A3119">
        <f ca="1">29107.3429529962*((RANDBETWEEN(2979,3282)))</f>
        <v>91717237.644891173</v>
      </c>
      <c r="B3119">
        <v>181671404.25680116</v>
      </c>
    </row>
    <row r="3120" spans="1:2" x14ac:dyDescent="0.25">
      <c r="A3120">
        <f ca="1">30477.9891070989*((RANDBETWEEN(2979,3282)))</f>
        <v>99876370.30396305</v>
      </c>
      <c r="B3120">
        <v>192004867.53592587</v>
      </c>
    </row>
    <row r="3121" spans="1:2" x14ac:dyDescent="0.25">
      <c r="A3121">
        <f ca="1">39595.6361333138*((RANDBETWEEN(2979,3282)))</f>
        <v>118628525.85540822</v>
      </c>
      <c r="B3121">
        <v>185967689.06542331</v>
      </c>
    </row>
    <row r="3122" spans="1:2" x14ac:dyDescent="0.25">
      <c r="A3122">
        <f ca="1">31053.9312019938*((RANDBETWEEN(2979,3282)))</f>
        <v>95428730.583726898</v>
      </c>
      <c r="B3122">
        <v>162600377.16420668</v>
      </c>
    </row>
    <row r="3123" spans="1:2" x14ac:dyDescent="0.25">
      <c r="A3123">
        <f ca="1">31505.2968601959*((RANDBETWEEN(2979,3282)))</f>
        <v>102675762.46737835</v>
      </c>
      <c r="B3123">
        <v>184722644.25874624</v>
      </c>
    </row>
    <row r="3124" spans="1:2" x14ac:dyDescent="0.25">
      <c r="A3124">
        <f ca="1">32673.613859466*((RANDBETWEEN(2979,3282)))</f>
        <v>104816953.2611669</v>
      </c>
      <c r="B3124">
        <v>182768123.66820663</v>
      </c>
    </row>
    <row r="3125" spans="1:2" x14ac:dyDescent="0.25">
      <c r="A3125">
        <f ca="1">33046.3524716975*((RANDBETWEEN(2979,3282)))</f>
        <v>100163494.34171504</v>
      </c>
      <c r="B3125">
        <v>202760041.04126894</v>
      </c>
    </row>
    <row r="3126" spans="1:2" x14ac:dyDescent="0.25">
      <c r="A3126">
        <f ca="1">32307.8497831515*((RANDBETWEEN(2979,3282)))</f>
        <v>101026646.27191469</v>
      </c>
      <c r="B3126">
        <v>152381440.55492821</v>
      </c>
    </row>
    <row r="3127" spans="1:2" x14ac:dyDescent="0.25">
      <c r="A3127">
        <f ca="1">39724.6252492849*((RANDBETWEEN(2979,3282)))</f>
        <v>121160107.01031886</v>
      </c>
      <c r="B3127">
        <v>184857371.82181063</v>
      </c>
    </row>
    <row r="3128" spans="1:2" x14ac:dyDescent="0.25">
      <c r="A3128">
        <f ca="1">29746.2711306873*((RANDBETWEEN(2979,3282)))</f>
        <v>90131201.525982365</v>
      </c>
      <c r="B3128">
        <v>185519580.34228477</v>
      </c>
    </row>
    <row r="3129" spans="1:2" x14ac:dyDescent="0.25">
      <c r="A3129">
        <f ca="1">33226.5815731523*((RANDBETWEEN(2979,3282)))</f>
        <v>105859888.89206317</v>
      </c>
      <c r="B3129">
        <v>156143654.27226323</v>
      </c>
    </row>
    <row r="3130" spans="1:2" x14ac:dyDescent="0.25">
      <c r="A3130">
        <f ca="1">31663.0536873863*((RANDBETWEEN(2979,3282)))</f>
        <v>102588293.94713174</v>
      </c>
      <c r="B3130">
        <v>186879282.28867057</v>
      </c>
    </row>
    <row r="3131" spans="1:2" x14ac:dyDescent="0.25">
      <c r="A3131">
        <f ca="1">30579.4620408148*((RANDBETWEEN(2979,3282)))</f>
        <v>99780784.639178783</v>
      </c>
      <c r="B3131">
        <v>175962322.03792587</v>
      </c>
    </row>
    <row r="3132" spans="1:2" x14ac:dyDescent="0.25">
      <c r="A3132">
        <f ca="1">28746.7522269135*((RANDBETWEEN(2979,3282)))</f>
        <v>89201172.160112724</v>
      </c>
      <c r="B3132">
        <v>145216826.69348451</v>
      </c>
    </row>
    <row r="3133" spans="1:2" x14ac:dyDescent="0.25">
      <c r="A3133">
        <f ca="1">30424.5154682652*((RANDBETWEEN(2979,3282)))</f>
        <v>94954912.776455626</v>
      </c>
      <c r="B3133">
        <v>190675763.97230428</v>
      </c>
    </row>
    <row r="3134" spans="1:2" x14ac:dyDescent="0.25">
      <c r="A3134">
        <f ca="1">37378.9387733773*((RANDBETWEEN(2979,3282)))</f>
        <v>113744110.68738727</v>
      </c>
      <c r="B3134">
        <v>160808361.82142994</v>
      </c>
    </row>
    <row r="3135" spans="1:2" x14ac:dyDescent="0.25">
      <c r="A3135">
        <f ca="1">34503.1989252022*((RANDBETWEEN(2979,3282)))</f>
        <v>110065204.57139502</v>
      </c>
      <c r="B3135">
        <v>152728094.1755707</v>
      </c>
    </row>
    <row r="3136" spans="1:2" x14ac:dyDescent="0.25">
      <c r="A3136">
        <f ca="1">33447.8523830459*((RANDBETWEEN(2979,3282)))</f>
        <v>101413888.42539506</v>
      </c>
      <c r="B3136">
        <v>163720322.98130172</v>
      </c>
    </row>
    <row r="3137" spans="1:2" x14ac:dyDescent="0.25">
      <c r="A3137">
        <f ca="1">29453.8060589383*((RANDBETWEEN(2979,3282)))</f>
        <v>87978518.698048562</v>
      </c>
      <c r="B3137">
        <v>146685797.76556787</v>
      </c>
    </row>
    <row r="3138" spans="1:2" x14ac:dyDescent="0.25">
      <c r="A3138">
        <f ca="1">32429.8900847231*((RANDBETWEEN(2979,3282)))</f>
        <v>106207890.02746825</v>
      </c>
      <c r="B3138">
        <v>167028301.05942714</v>
      </c>
    </row>
    <row r="3139" spans="1:2" x14ac:dyDescent="0.25">
      <c r="A3139">
        <f ca="1">28347.0397707849*((RANDBETWEEN(2979,3282)))</f>
        <v>88357722.965536684</v>
      </c>
      <c r="B3139">
        <v>156734044.8366065</v>
      </c>
    </row>
    <row r="3140" spans="1:2" x14ac:dyDescent="0.25">
      <c r="A3140">
        <f ca="1">30881.120404763*((RANDBETWEEN(2979,3282)))</f>
        <v>96534382.385289282</v>
      </c>
      <c r="B3140">
        <v>176153190.76837444</v>
      </c>
    </row>
    <row r="3141" spans="1:2" x14ac:dyDescent="0.25">
      <c r="A3141">
        <f ca="1">31615.5046627596*((RANDBETWEEN(2979,3282)))</f>
        <v>100632151.34156379</v>
      </c>
      <c r="B3141">
        <v>176391515.44482189</v>
      </c>
    </row>
    <row r="3142" spans="1:2" x14ac:dyDescent="0.25">
      <c r="A3142">
        <f ca="1">29040.0662702869*((RANDBETWEEN(2979,3282)))</f>
        <v>87410599.473563448</v>
      </c>
      <c r="B3142">
        <v>201932922.61030495</v>
      </c>
    </row>
    <row r="3143" spans="1:2" x14ac:dyDescent="0.25">
      <c r="A3143">
        <f ca="1">38977.0547769831*((RANDBETWEEN(2979,3282)))</f>
        <v>126948267.40863387</v>
      </c>
      <c r="B3143">
        <v>154953010.18857884</v>
      </c>
    </row>
    <row r="3144" spans="1:2" x14ac:dyDescent="0.25">
      <c r="A3144">
        <f ca="1">38301.1312808432*((RANDBETWEEN(2979,3282)))</f>
        <v>122640222.36125988</v>
      </c>
      <c r="B3144">
        <v>179146499.01004976</v>
      </c>
    </row>
    <row r="3145" spans="1:2" x14ac:dyDescent="0.25">
      <c r="A3145">
        <f ca="1">30281.8183879028*((RANDBETWEEN(2979,3282)))</f>
        <v>99354646.130709171</v>
      </c>
      <c r="B3145">
        <v>146889951.10332868</v>
      </c>
    </row>
    <row r="3146" spans="1:2" x14ac:dyDescent="0.25">
      <c r="A3146">
        <f ca="1">31141.7166838717*((RANDBETWEEN(2979,3282)))</f>
        <v>99840343.68849273</v>
      </c>
      <c r="B3146">
        <v>165316097.52109724</v>
      </c>
    </row>
    <row r="3147" spans="1:2" x14ac:dyDescent="0.25">
      <c r="A3147">
        <f ca="1">30755.4322885753*((RANDBETWEEN(2979,3282)))</f>
        <v>96264503.063240767</v>
      </c>
      <c r="B3147">
        <v>149887683.26656982</v>
      </c>
    </row>
    <row r="3148" spans="1:2" x14ac:dyDescent="0.25">
      <c r="A3148">
        <f ca="1">39894.0290726322*((RANDBETWEEN(2979,3282)))</f>
        <v>127740681.09056826</v>
      </c>
      <c r="B3148">
        <v>143537310.285088</v>
      </c>
    </row>
    <row r="3149" spans="1:2" x14ac:dyDescent="0.25">
      <c r="A3149">
        <f ca="1">31996.5528797079*((RANDBETWEEN(2979,3282)))</f>
        <v>104596731.36376517</v>
      </c>
      <c r="B3149">
        <v>173292899.9807978</v>
      </c>
    </row>
    <row r="3150" spans="1:2" x14ac:dyDescent="0.25">
      <c r="A3150">
        <f ca="1">31437.4611077782*((RANDBETWEEN(2979,3282)))</f>
        <v>99310939.639471382</v>
      </c>
      <c r="B3150">
        <v>156826932.58058289</v>
      </c>
    </row>
    <row r="3151" spans="1:2" x14ac:dyDescent="0.25">
      <c r="A3151">
        <f ca="1">31438.41140056*((RANDBETWEEN(2979,3282)))</f>
        <v>101105931.06420083</v>
      </c>
      <c r="B3151">
        <v>153929456.93579134</v>
      </c>
    </row>
    <row r="3152" spans="1:2" x14ac:dyDescent="0.25">
      <c r="A3152">
        <f ca="1">39600.9066382223*((RANDBETWEEN(2979,3282)))</f>
        <v>122010393.35236296</v>
      </c>
      <c r="B3152">
        <v>162418523.68517208</v>
      </c>
    </row>
    <row r="3153" spans="1:2" x14ac:dyDescent="0.25">
      <c r="A3153">
        <f ca="1">29957.3078196878*((RANDBETWEEN(2979,3282)))</f>
        <v>98050268.493838087</v>
      </c>
      <c r="B3153">
        <v>161216836.68674287</v>
      </c>
    </row>
    <row r="3154" spans="1:2" x14ac:dyDescent="0.25">
      <c r="A3154">
        <f ca="1">30888.0976608093*((RANDBETWEEN(2979,3282)))</f>
        <v>96061983.725116909</v>
      </c>
      <c r="B3154">
        <v>156653547.17606032</v>
      </c>
    </row>
    <row r="3155" spans="1:2" x14ac:dyDescent="0.25">
      <c r="A3155">
        <f ca="1">30405.263062241*((RANDBETWEEN(2979,3282)))</f>
        <v>96779952.327112988</v>
      </c>
      <c r="B3155">
        <v>162257217.54713061</v>
      </c>
    </row>
    <row r="3156" spans="1:2" x14ac:dyDescent="0.25">
      <c r="A3156">
        <f ca="1">31220.4148200196*((RANDBETWEEN(2979,3282)))</f>
        <v>93911007.778618842</v>
      </c>
      <c r="B3156">
        <v>165338141.30278769</v>
      </c>
    </row>
    <row r="3157" spans="1:2" x14ac:dyDescent="0.25">
      <c r="A3157">
        <f ca="1">35451.0957062097*((RANDBETWEEN(2979,3282)))</f>
        <v>110891027.36902417</v>
      </c>
      <c r="B3157">
        <v>153416010.77266979</v>
      </c>
    </row>
    <row r="3158" spans="1:2" x14ac:dyDescent="0.25">
      <c r="A3158">
        <f ca="1">29839.2626989126*((RANDBETWEEN(2979,3282)))</f>
        <v>89935537.774522647</v>
      </c>
      <c r="B3158">
        <v>167983378.26387694</v>
      </c>
    </row>
    <row r="3159" spans="1:2" x14ac:dyDescent="0.25">
      <c r="A3159">
        <f ca="1">27771.4748881415*((RANDBETWEEN(2979,3282)))</f>
        <v>89313063.240262911</v>
      </c>
      <c r="B3159">
        <v>167702813.89784366</v>
      </c>
    </row>
    <row r="3160" spans="1:2" x14ac:dyDescent="0.25">
      <c r="A3160">
        <f ca="1">30892.5701970652*((RANDBETWEEN(2979,3282)))</f>
        <v>99844786.876914665</v>
      </c>
      <c r="B3160">
        <v>190285408.80094975</v>
      </c>
    </row>
    <row r="3161" spans="1:2" x14ac:dyDescent="0.25">
      <c r="A3161">
        <f ca="1">30540.2658247389*((RANDBETWEEN(2979,3282)))</f>
        <v>99347484.727875665</v>
      </c>
      <c r="B3161">
        <v>159192637.13065282</v>
      </c>
    </row>
    <row r="3162" spans="1:2" x14ac:dyDescent="0.25">
      <c r="A3162">
        <f ca="1">30167.3848849521*((RANDBETWEEN(2979,3282)))</f>
        <v>92644038.981687754</v>
      </c>
      <c r="B3162">
        <v>167349603.96667418</v>
      </c>
    </row>
    <row r="3163" spans="1:2" x14ac:dyDescent="0.25">
      <c r="A3163">
        <f ca="1">42852.6091876304*((RANDBETWEEN(2979,3282)))</f>
        <v>135671360.68803799</v>
      </c>
      <c r="B3163">
        <v>184051879.44988519</v>
      </c>
    </row>
    <row r="3164" spans="1:2" x14ac:dyDescent="0.25">
      <c r="A3164">
        <f ca="1">37271.8965713305*((RANDBETWEEN(2979,3282)))</f>
        <v>117220114.71683455</v>
      </c>
      <c r="B3164">
        <v>154864835.12622851</v>
      </c>
    </row>
    <row r="3165" spans="1:2" x14ac:dyDescent="0.25">
      <c r="A3165">
        <f ca="1">35324.9741625836*((RANDBETWEEN(2979,3282)))</f>
        <v>111167693.68965068</v>
      </c>
      <c r="B3165">
        <v>162371942.24168715</v>
      </c>
    </row>
    <row r="3166" spans="1:2" x14ac:dyDescent="0.25">
      <c r="A3166">
        <f ca="1">36153.206718633*((RANDBETWEEN(2979,3282)))</f>
        <v>115762567.91306287</v>
      </c>
      <c r="B3166">
        <v>150264335.91511235</v>
      </c>
    </row>
    <row r="3167" spans="1:2" x14ac:dyDescent="0.25">
      <c r="A3167">
        <f ca="1">32955.1780098678*((RANDBETWEEN(2979,3282)))</f>
        <v>104467914.29128081</v>
      </c>
      <c r="B3167">
        <v>197880879.06846154</v>
      </c>
    </row>
    <row r="3168" spans="1:2" x14ac:dyDescent="0.25">
      <c r="A3168">
        <f ca="1">36174.9591474263*((RANDBETWEEN(2979,3282)))</f>
        <v>116411018.5364179</v>
      </c>
      <c r="B3168">
        <v>184161459.56858775</v>
      </c>
    </row>
    <row r="3169" spans="1:2" x14ac:dyDescent="0.25">
      <c r="A3169">
        <f ca="1">31007.4217944398*((RANDBETWEEN(2979,3282)))</f>
        <v>101084195.04987389</v>
      </c>
      <c r="B3169">
        <v>156368536.78830057</v>
      </c>
    </row>
    <row r="3170" spans="1:2" x14ac:dyDescent="0.25">
      <c r="A3170">
        <f ca="1">33984.4066833232*((RANDBETWEEN(2979,3282)))</f>
        <v>110449321.72080047</v>
      </c>
      <c r="B3170">
        <v>145366570.25666898</v>
      </c>
    </row>
    <row r="3171" spans="1:2" x14ac:dyDescent="0.25">
      <c r="A3171">
        <f ca="1">31835.7987852815*((RANDBETWEEN(2979,3282)))</f>
        <v>98372618.246519804</v>
      </c>
      <c r="B3171">
        <v>163007116.63384226</v>
      </c>
    </row>
    <row r="3172" spans="1:2" x14ac:dyDescent="0.25">
      <c r="A3172">
        <f ca="1">33306.4088364304*((RANDBETWEEN(2979,3282)))</f>
        <v>105414783.96730237</v>
      </c>
      <c r="B3172">
        <v>146817444.30106467</v>
      </c>
    </row>
    <row r="3173" spans="1:2" x14ac:dyDescent="0.25">
      <c r="A3173">
        <f ca="1">41668.951724842*((RANDBETWEEN(2979,3282)))</f>
        <v>133924010.84364219</v>
      </c>
      <c r="B3173">
        <v>170645149.53790766</v>
      </c>
    </row>
    <row r="3174" spans="1:2" x14ac:dyDescent="0.25">
      <c r="A3174">
        <f ca="1">30171.4397521004*((RANDBETWEEN(2979,3282)))</f>
        <v>98962322.386889264</v>
      </c>
      <c r="B3174">
        <v>144512375.47029656</v>
      </c>
    </row>
    <row r="3175" spans="1:2" x14ac:dyDescent="0.25">
      <c r="A3175">
        <f ca="1">35353.7130236001*((RANDBETWEEN(2979,3282)))</f>
        <v>115005628.46577109</v>
      </c>
      <c r="B3175">
        <v>155573718.46389517</v>
      </c>
    </row>
    <row r="3176" spans="1:2" x14ac:dyDescent="0.25">
      <c r="A3176">
        <f ca="1">29366.2934041475*((RANDBETWEEN(2979,3282)))</f>
        <v>90536282.564986661</v>
      </c>
      <c r="B3176">
        <v>157690417.99927235</v>
      </c>
    </row>
    <row r="3177" spans="1:2" x14ac:dyDescent="0.25">
      <c r="A3177">
        <f ca="1">33699.4627319816*((RANDBETWEEN(2979,3282)))</f>
        <v>103019257.57166764</v>
      </c>
      <c r="B3177">
        <v>151586467.80331686</v>
      </c>
    </row>
    <row r="3178" spans="1:2" x14ac:dyDescent="0.25">
      <c r="A3178">
        <f ca="1">31971.0773327267*((RANDBETWEEN(2979,3282)))</f>
        <v>100101443.12876736</v>
      </c>
      <c r="B3178">
        <v>176164283.24108818</v>
      </c>
    </row>
    <row r="3179" spans="1:2" x14ac:dyDescent="0.25">
      <c r="A3179">
        <f ca="1">29455.6413476616*((RANDBETWEEN(2979,3282)))</f>
        <v>96496681.0549393</v>
      </c>
      <c r="B3179">
        <v>165067232.90088096</v>
      </c>
    </row>
    <row r="3180" spans="1:2" x14ac:dyDescent="0.25">
      <c r="A3180">
        <f ca="1">31840.1635457151*((RANDBETWEEN(2979,3282)))</f>
        <v>103703412.66839406</v>
      </c>
      <c r="B3180">
        <v>179222012.21280655</v>
      </c>
    </row>
    <row r="3181" spans="1:2" x14ac:dyDescent="0.25">
      <c r="A3181">
        <f ca="1">30636.2949074863*((RANDBETWEEN(2979,3282)))</f>
        <v>93011791.339128464</v>
      </c>
      <c r="B3181">
        <v>144444478.03358892</v>
      </c>
    </row>
    <row r="3182" spans="1:2" x14ac:dyDescent="0.25">
      <c r="A3182">
        <f ca="1">40661.0006942834*((RANDBETWEEN(2979,3282)))</f>
        <v>131863625.25156118</v>
      </c>
      <c r="B3182">
        <v>152185283.81679899</v>
      </c>
    </row>
    <row r="3183" spans="1:2" x14ac:dyDescent="0.25">
      <c r="A3183">
        <f ca="1">30673.7662885792*((RANDBETWEEN(2979,3282)))</f>
        <v>93493639.647589311</v>
      </c>
      <c r="B3183">
        <v>143993840.65078834</v>
      </c>
    </row>
    <row r="3184" spans="1:2" x14ac:dyDescent="0.25">
      <c r="A3184">
        <f ca="1">36224.3971293212*((RANDBETWEEN(2979,3282)))</f>
        <v>115483378.04827599</v>
      </c>
      <c r="B3184">
        <v>160323222.01267898</v>
      </c>
    </row>
    <row r="3185" spans="1:2" x14ac:dyDescent="0.25">
      <c r="A3185">
        <f ca="1">29499.0711385476*((RANDBETWEEN(2979,3282)))</f>
        <v>95989977.484833807</v>
      </c>
      <c r="B3185">
        <v>188853944.99819243</v>
      </c>
    </row>
    <row r="3186" spans="1:2" x14ac:dyDescent="0.25">
      <c r="A3186">
        <f ca="1">36961.5912919139*((RANDBETWEEN(2979,3282)))</f>
        <v>110404273.18894671</v>
      </c>
      <c r="B3186">
        <v>148250148.96395788</v>
      </c>
    </row>
    <row r="3187" spans="1:2" x14ac:dyDescent="0.25">
      <c r="A3187">
        <f ca="1">32704.8870506446*((RANDBETWEEN(2979,3282)))</f>
        <v>101515969.40520081</v>
      </c>
      <c r="B3187">
        <v>143366497.77742043</v>
      </c>
    </row>
    <row r="3188" spans="1:2" x14ac:dyDescent="0.25">
      <c r="A3188">
        <f ca="1">38738.3229103505*((RANDBETWEEN(2979,3282)))</f>
        <v>120359969.28245911</v>
      </c>
      <c r="B3188">
        <v>152375747.25899729</v>
      </c>
    </row>
    <row r="3189" spans="1:2" x14ac:dyDescent="0.25">
      <c r="A3189">
        <f ca="1">40144.4660487813*((RANDBETWEEN(2979,3282)))</f>
        <v>128060846.69561221</v>
      </c>
      <c r="B3189">
        <v>190795867.2764197</v>
      </c>
    </row>
    <row r="3190" spans="1:2" x14ac:dyDescent="0.25">
      <c r="A3190">
        <f ca="1">31688.8930061301*((RANDBETWEEN(2979,3282)))</f>
        <v>102196679.94476973</v>
      </c>
      <c r="B3190">
        <v>188382236.18919331</v>
      </c>
    </row>
    <row r="3191" spans="1:2" x14ac:dyDescent="0.25">
      <c r="A3191">
        <f ca="1">28219.9754168095*((RANDBETWEEN(2979,3282)))</f>
        <v>88074543.275862321</v>
      </c>
      <c r="B3191">
        <v>178820943.00566855</v>
      </c>
    </row>
    <row r="3192" spans="1:2" x14ac:dyDescent="0.25">
      <c r="A3192">
        <f ca="1">31675.4374724165*((RANDBETWEEN(2979,3282)))</f>
        <v>94646207.16758059</v>
      </c>
      <c r="B3192">
        <v>161088534.96614438</v>
      </c>
    </row>
    <row r="3193" spans="1:2" x14ac:dyDescent="0.25">
      <c r="A3193">
        <f ca="1">39472.9814222919*((RANDBETWEEN(2979,3282)))</f>
        <v>125326716.01577693</v>
      </c>
      <c r="B3193">
        <v>147919869.53915584</v>
      </c>
    </row>
    <row r="3194" spans="1:2" x14ac:dyDescent="0.25">
      <c r="A3194">
        <f ca="1">31091.9818094601*((RANDBETWEEN(2979,3282)))</f>
        <v>97473362.972657263</v>
      </c>
      <c r="B3194">
        <v>155996306.62033105</v>
      </c>
    </row>
    <row r="3195" spans="1:2" x14ac:dyDescent="0.25">
      <c r="A3195">
        <f ca="1">29547.4969071879*((RANDBETWEEN(2979,3282)))</f>
        <v>95290677.525680929</v>
      </c>
      <c r="B3195">
        <v>154596934.48969761</v>
      </c>
    </row>
    <row r="3196" spans="1:2" x14ac:dyDescent="0.25">
      <c r="A3196">
        <f ca="1">30761.968702552*((RANDBETWEEN(2979,3282)))</f>
        <v>93301051.074840143</v>
      </c>
      <c r="B3196">
        <v>150728724.16216323</v>
      </c>
    </row>
    <row r="3197" spans="1:2" x14ac:dyDescent="0.25">
      <c r="A3197">
        <f ca="1">40433.2091901513*((RANDBETWEEN(2979,3282)))</f>
        <v>124898183.18837747</v>
      </c>
      <c r="B3197">
        <v>157818420.31173825</v>
      </c>
    </row>
    <row r="3198" spans="1:2" x14ac:dyDescent="0.25">
      <c r="A3198">
        <f ca="1">32314.2262067737*((RANDBETWEEN(2979,3282)))</f>
        <v>102048326.36099146</v>
      </c>
      <c r="B3198">
        <v>144903269.24289319</v>
      </c>
    </row>
    <row r="3199" spans="1:2" x14ac:dyDescent="0.25">
      <c r="A3199">
        <f ca="1">29234.4716822703*((RANDBETWEEN(2979,3282)))</f>
        <v>90948441.403542906</v>
      </c>
      <c r="B3199">
        <v>157606678.84994283</v>
      </c>
    </row>
    <row r="3200" spans="1:2" x14ac:dyDescent="0.25">
      <c r="A3200">
        <f ca="1">33164.6573301265*((RANDBETWEEN(2979,3282)))</f>
        <v>105430445.65247215</v>
      </c>
      <c r="B3200">
        <v>166172878.59879357</v>
      </c>
    </row>
    <row r="3201" spans="1:2" x14ac:dyDescent="0.25">
      <c r="A3201">
        <f ca="1">29716.9331694645*((RANDBETWEEN(2979,3282)))</f>
        <v>90993249.364900321</v>
      </c>
      <c r="B3201">
        <v>149651075.59763506</v>
      </c>
    </row>
    <row r="3202" spans="1:2" x14ac:dyDescent="0.25">
      <c r="A3202">
        <f ca="1">40501.7299864808*((RANDBETWEEN(2979,3282)))</f>
        <v>122963252.23895569</v>
      </c>
      <c r="B3202">
        <v>157942871.9300437</v>
      </c>
    </row>
    <row r="3203" spans="1:2" x14ac:dyDescent="0.25">
      <c r="A3203">
        <f ca="1">33012.9332502837*((RANDBETWEEN(2979,3282)))</f>
        <v>100062200.68160987</v>
      </c>
      <c r="B3203">
        <v>157036280.45237038</v>
      </c>
    </row>
    <row r="3204" spans="1:2" x14ac:dyDescent="0.25">
      <c r="A3204">
        <f ca="1">29472.974627558*((RANDBETWEEN(2979,3282)))</f>
        <v>89067329.32448037</v>
      </c>
      <c r="B3204">
        <v>147641617.80115664</v>
      </c>
    </row>
    <row r="3205" spans="1:2" x14ac:dyDescent="0.25">
      <c r="A3205">
        <f ca="1">37384.2373211624*((RANDBETWEEN(2979,3282)))</f>
        <v>112190096.20080836</v>
      </c>
      <c r="B3205">
        <v>151557710.0651117</v>
      </c>
    </row>
    <row r="3206" spans="1:2" x14ac:dyDescent="0.25">
      <c r="A3206">
        <f ca="1">42437.7315684485*((RANDBETWEEN(2979,3282)))</f>
        <v>138856257.69196352</v>
      </c>
      <c r="B3206">
        <v>152683503.35388818</v>
      </c>
    </row>
    <row r="3207" spans="1:2" x14ac:dyDescent="0.25">
      <c r="A3207">
        <f ca="1">33256.9095234633*((RANDBETWEEN(2979,3282)))</f>
        <v>101599858.59418041</v>
      </c>
      <c r="B3207">
        <v>156520398.76706061</v>
      </c>
    </row>
    <row r="3208" spans="1:2" x14ac:dyDescent="0.25">
      <c r="A3208">
        <f ca="1">29272.7189511186*((RANDBETWEEN(2979,3282)))</f>
        <v>91740701.192805663</v>
      </c>
      <c r="B3208">
        <v>164222974.56677541</v>
      </c>
    </row>
    <row r="3209" spans="1:2" x14ac:dyDescent="0.25">
      <c r="A3209">
        <f ca="1">29905.3417925501*((RANDBETWEEN(2979,3282)))</f>
        <v>91570156.568788394</v>
      </c>
      <c r="B3209">
        <v>175026937.99431461</v>
      </c>
    </row>
    <row r="3210" spans="1:2" x14ac:dyDescent="0.25">
      <c r="A3210">
        <f ca="1">30962.714487638*((RANDBETWEEN(2979,3282)))</f>
        <v>99730903.364682093</v>
      </c>
      <c r="B3210">
        <v>176677326.69290164</v>
      </c>
    </row>
    <row r="3211" spans="1:2" x14ac:dyDescent="0.25">
      <c r="A3211">
        <f ca="1">37935.3592374533*((RANDBETWEEN(2979,3282)))</f>
        <v>122227727.46307456</v>
      </c>
      <c r="B3211">
        <v>143754707.10618269</v>
      </c>
    </row>
    <row r="3212" spans="1:2" x14ac:dyDescent="0.25">
      <c r="A3212">
        <f ca="1">35975.2450657626*((RANDBETWEEN(2979,3282)))</f>
        <v>108429388.62820846</v>
      </c>
      <c r="B3212">
        <v>154262734.31047791</v>
      </c>
    </row>
    <row r="3213" spans="1:2" x14ac:dyDescent="0.25">
      <c r="A3213">
        <f ca="1">36085.6931639514*((RANDBETWEEN(2979,3282)))</f>
        <v>118397159.27092469</v>
      </c>
      <c r="B3213">
        <v>190904711.54078099</v>
      </c>
    </row>
    <row r="3214" spans="1:2" x14ac:dyDescent="0.25">
      <c r="A3214">
        <f ca="1">34482.8820102481*((RANDBETWEEN(2979,3282)))</f>
        <v>110965914.30897835</v>
      </c>
      <c r="B3214">
        <v>202904558.245792</v>
      </c>
    </row>
    <row r="3215" spans="1:2" x14ac:dyDescent="0.25">
      <c r="A3215">
        <f ca="1">29089.5195588318*((RANDBETWEEN(2979,3282)))</f>
        <v>92039239.884143949</v>
      </c>
      <c r="B3215">
        <v>150490075.36255047</v>
      </c>
    </row>
    <row r="3216" spans="1:2" x14ac:dyDescent="0.25">
      <c r="A3216">
        <f ca="1">32701.5353056325*((RANDBETWEEN(2979,3282)))</f>
        <v>101178550.23562689</v>
      </c>
      <c r="B3216">
        <v>190825450.50431171</v>
      </c>
    </row>
    <row r="3217" spans="1:2" x14ac:dyDescent="0.25">
      <c r="A3217">
        <f ca="1">29066.9203993395*((RANDBETWEEN(2979,3282)))</f>
        <v>94147755.173460618</v>
      </c>
      <c r="B3217">
        <v>164203968.15940732</v>
      </c>
    </row>
    <row r="3218" spans="1:2" x14ac:dyDescent="0.25">
      <c r="A3218">
        <f ca="1">35930.7403389606*((RANDBETWEEN(2979,3282)))</f>
        <v>112678801.70298047</v>
      </c>
      <c r="B3218">
        <v>169652171.21925008</v>
      </c>
    </row>
    <row r="3219" spans="1:2" x14ac:dyDescent="0.25">
      <c r="A3219">
        <f ca="1">28378.69532474*((RANDBETWEEN(2979,3282)))</f>
        <v>88626665.499163032</v>
      </c>
      <c r="B3219">
        <v>185594621.74014461</v>
      </c>
    </row>
    <row r="3220" spans="1:2" x14ac:dyDescent="0.25">
      <c r="A3220">
        <f ca="1">31881.935387167*((RANDBETWEEN(2979,3282)))</f>
        <v>102085957.10970862</v>
      </c>
      <c r="B3220">
        <v>168669880.84332445</v>
      </c>
    </row>
    <row r="3221" spans="1:2" x14ac:dyDescent="0.25">
      <c r="A3221">
        <f ca="1">30937.2946367555*((RANDBETWEEN(2979,3282)))</f>
        <v>95255930.186570138</v>
      </c>
      <c r="B3221">
        <v>152020761.84256247</v>
      </c>
    </row>
    <row r="3222" spans="1:2" x14ac:dyDescent="0.25">
      <c r="A3222">
        <f ca="1">33994.9145217929*((RANDBETWEEN(2979,3282)))</f>
        <v>103684489.29146822</v>
      </c>
      <c r="B3222">
        <v>164387978.39939281</v>
      </c>
    </row>
    <row r="3223" spans="1:2" x14ac:dyDescent="0.25">
      <c r="A3223">
        <f ca="1">32119.8578574269*((RANDBETWEEN(2979,3282)))</f>
        <v>101755709.69232845</v>
      </c>
      <c r="B3223">
        <v>169947611.45640478</v>
      </c>
    </row>
    <row r="3224" spans="1:2" x14ac:dyDescent="0.25">
      <c r="A3224">
        <f ca="1">42649.7947490277*((RANDBETWEEN(2979,3282)))</f>
        <v>130465722.13727574</v>
      </c>
      <c r="B3224">
        <v>185414945.12222728</v>
      </c>
    </row>
    <row r="3225" spans="1:2" x14ac:dyDescent="0.25">
      <c r="A3225">
        <f ca="1">33369.0189381218*((RANDBETWEEN(2979,3282)))</f>
        <v>100340639.94693221</v>
      </c>
      <c r="B3225">
        <v>177337236.04742128</v>
      </c>
    </row>
    <row r="3226" spans="1:2" x14ac:dyDescent="0.25">
      <c r="A3226">
        <f ca="1">38735.8419805844*((RANDBETWEEN(2979,3282)))</f>
        <v>124032166.02183127</v>
      </c>
      <c r="B3226">
        <v>194502772.70875648</v>
      </c>
    </row>
    <row r="3227" spans="1:2" x14ac:dyDescent="0.25">
      <c r="A3227">
        <f ca="1">34652.6172632988*((RANDBETWEEN(2979,3282)))</f>
        <v>107457766.13348944</v>
      </c>
      <c r="B3227">
        <v>148750620.0181618</v>
      </c>
    </row>
    <row r="3228" spans="1:2" x14ac:dyDescent="0.25">
      <c r="A3228">
        <f ca="1">29543.436519018*((RANDBETWEEN(2979,3282)))</f>
        <v>94450366.551300481</v>
      </c>
      <c r="B3228">
        <v>166367813.26167649</v>
      </c>
    </row>
    <row r="3229" spans="1:2" x14ac:dyDescent="0.25">
      <c r="A3229">
        <f ca="1">31723.4032936879*((RANDBETWEEN(2979,3282)))</f>
        <v>103830698.98024037</v>
      </c>
      <c r="B3229">
        <v>144130939.552912</v>
      </c>
    </row>
    <row r="3230" spans="1:2" x14ac:dyDescent="0.25">
      <c r="A3230">
        <f ca="1">30463.6938210721*((RANDBETWEEN(2979,3282)))</f>
        <v>97453356.533609569</v>
      </c>
      <c r="B3230">
        <v>145962844.77571809</v>
      </c>
    </row>
    <row r="3231" spans="1:2" x14ac:dyDescent="0.25">
      <c r="A3231">
        <f ca="1">29546.8846934714*((RANDBETWEEN(2979,3282)))</f>
        <v>92068092.704856932</v>
      </c>
      <c r="B3231">
        <v>158125779.47614074</v>
      </c>
    </row>
    <row r="3232" spans="1:2" x14ac:dyDescent="0.25">
      <c r="A3232">
        <f ca="1">40656.0698616649*((RANDBETWEEN(2979,3282)))</f>
        <v>133229940.93667577</v>
      </c>
      <c r="B3232">
        <v>164469657.33223438</v>
      </c>
    </row>
    <row r="3233" spans="1:2" x14ac:dyDescent="0.25">
      <c r="A3233">
        <f ca="1">31877.4288898165*((RANDBETWEEN(2979,3282)))</f>
        <v>99871984.711794972</v>
      </c>
      <c r="B3233">
        <v>165068274.81376395</v>
      </c>
    </row>
    <row r="3234" spans="1:2" x14ac:dyDescent="0.25">
      <c r="A3234">
        <f ca="1">29430.2259422502*((RANDBETWEEN(2979,3282)))</f>
        <v>94971339.115641251</v>
      </c>
      <c r="B3234">
        <v>178174846.84991753</v>
      </c>
    </row>
    <row r="3235" spans="1:2" x14ac:dyDescent="0.25">
      <c r="A3235">
        <f ca="1">35959.509260489*((RANDBETWEEN(2979,3282)))</f>
        <v>110899126.55934797</v>
      </c>
      <c r="B3235">
        <v>165035869.76493689</v>
      </c>
    </row>
    <row r="3236" spans="1:2" x14ac:dyDescent="0.25">
      <c r="A3236">
        <f ca="1">30794.2590581112*((RANDBETWEEN(2979,3282)))</f>
        <v>100851198.41531411</v>
      </c>
      <c r="B3236">
        <v>158498602.08010602</v>
      </c>
    </row>
    <row r="3237" spans="1:2" x14ac:dyDescent="0.25">
      <c r="A3237">
        <f ca="1">32028.7503448485*((RANDBETWEEN(2979,3282)))</f>
        <v>104445754.87455088</v>
      </c>
      <c r="B3237">
        <v>188863531.10856932</v>
      </c>
    </row>
    <row r="3238" spans="1:2" x14ac:dyDescent="0.25">
      <c r="A3238">
        <f ca="1">31423.9348219254*((RANDBETWEEN(2979,3282)))</f>
        <v>94083260.856844738</v>
      </c>
      <c r="B3238">
        <v>182445797.30253303</v>
      </c>
    </row>
    <row r="3239" spans="1:2" x14ac:dyDescent="0.25">
      <c r="A3239">
        <f ca="1">31619.1291062038*((RANDBETWEEN(2979,3282)))</f>
        <v>102224644.4003569</v>
      </c>
      <c r="B3239">
        <v>168299128.26128379</v>
      </c>
    </row>
    <row r="3240" spans="1:2" x14ac:dyDescent="0.25">
      <c r="A3240">
        <f ca="1">29054.8792613997*((RANDBETWEEN(2979,3282)))</f>
        <v>87106528.025676176</v>
      </c>
      <c r="B3240">
        <v>148186527.83214998</v>
      </c>
    </row>
    <row r="3241" spans="1:2" x14ac:dyDescent="0.25">
      <c r="A3241">
        <f ca="1">39528.0178651634*((RANDBETWEEN(2979,3282)))</f>
        <v>128307945.99032043</v>
      </c>
      <c r="B3241">
        <v>169255006.4587124</v>
      </c>
    </row>
    <row r="3242" spans="1:2" x14ac:dyDescent="0.25">
      <c r="A3242">
        <f ca="1">38767.3847467416*((RANDBETWEEN(2979,3282)))</f>
        <v>125567559.19469596</v>
      </c>
      <c r="B3242">
        <v>202107847.88766038</v>
      </c>
    </row>
    <row r="3243" spans="1:2" x14ac:dyDescent="0.25">
      <c r="A3243">
        <f ca="1">29768.7158327472*((RANDBETWEEN(2979,3282)))</f>
        <v>89841984.383231029</v>
      </c>
      <c r="B3243">
        <v>158006179.46238983</v>
      </c>
    </row>
    <row r="3244" spans="1:2" x14ac:dyDescent="0.25">
      <c r="A3244">
        <f ca="1">35841.2156576006*((RANDBETWEEN(2979,3282)))</f>
        <v>111215292.18553478</v>
      </c>
      <c r="B3244">
        <v>152461254.21498039</v>
      </c>
    </row>
    <row r="3245" spans="1:2" x14ac:dyDescent="0.25">
      <c r="A3245">
        <f ca="1">27626.9916772938*((RANDBETWEEN(2979,3282)))</f>
        <v>88765524.259144977</v>
      </c>
      <c r="B3245">
        <v>145795575.30167484</v>
      </c>
    </row>
    <row r="3246" spans="1:2" x14ac:dyDescent="0.25">
      <c r="A3246">
        <f ca="1">30494.4892998455*((RANDBETWEEN(2979,3282)))</f>
        <v>92703247.471530467</v>
      </c>
      <c r="B3246">
        <v>186450061.14381939</v>
      </c>
    </row>
    <row r="3247" spans="1:2" x14ac:dyDescent="0.25">
      <c r="A3247">
        <f ca="1">33926.3784177833*((RANDBETWEEN(2979,3282)))</f>
        <v>106868092.01601735</v>
      </c>
      <c r="B3247">
        <v>157230758.48280478</v>
      </c>
    </row>
    <row r="3248" spans="1:2" x14ac:dyDescent="0.25">
      <c r="A3248">
        <f ca="1">30069.8353356459*((RANDBETWEEN(2979,3282)))</f>
        <v>94449352.789263919</v>
      </c>
      <c r="B3248">
        <v>188656186.5951114</v>
      </c>
    </row>
    <row r="3249" spans="1:2" x14ac:dyDescent="0.25">
      <c r="A3249">
        <f ca="1">31924.5986886872*((RANDBETWEEN(2979,3282)))</f>
        <v>97178478.408363938</v>
      </c>
      <c r="B3249">
        <v>155138909.25311387</v>
      </c>
    </row>
    <row r="3250" spans="1:2" x14ac:dyDescent="0.25">
      <c r="A3250">
        <f ca="1">31418.7824946089*((RANDBETWEEN(2979,3282)))</f>
        <v>95984380.521030113</v>
      </c>
      <c r="B3250">
        <v>169782641.29111424</v>
      </c>
    </row>
    <row r="3251" spans="1:2" x14ac:dyDescent="0.25">
      <c r="A3251">
        <f ca="1">39339.0766633144*((RANDBETWEEN(2979,3282)))</f>
        <v>127576625.61912867</v>
      </c>
      <c r="B3251">
        <v>152872551.48917836</v>
      </c>
    </row>
    <row r="3252" spans="1:2" x14ac:dyDescent="0.25">
      <c r="A3252">
        <f ca="1">31886.3950023754*((RANDBETWEEN(2979,3282)))</f>
        <v>95659185.007126227</v>
      </c>
      <c r="B3252">
        <v>192167448.48940158</v>
      </c>
    </row>
    <row r="3253" spans="1:2" x14ac:dyDescent="0.25">
      <c r="A3253">
        <f ca="1">31289.1794665958*((RANDBETWEEN(2979,3282)))</f>
        <v>99405723.165374905</v>
      </c>
      <c r="B3253">
        <v>149711281.17766324</v>
      </c>
    </row>
    <row r="3254" spans="1:2" x14ac:dyDescent="0.25">
      <c r="A3254">
        <f ca="1">34444.5072389378*((RANDBETWEEN(2979,3282)))</f>
        <v>109051309.91847709</v>
      </c>
      <c r="B3254">
        <v>169573340.23500192</v>
      </c>
    </row>
    <row r="3255" spans="1:2" x14ac:dyDescent="0.25">
      <c r="A3255">
        <f ca="1">31524.1102890736*((RANDBETWEEN(2979,3282)))</f>
        <v>95644150.617049366</v>
      </c>
      <c r="B3255">
        <v>157030926.71988037</v>
      </c>
    </row>
    <row r="3256" spans="1:2" x14ac:dyDescent="0.25">
      <c r="A3256">
        <f ca="1">29443.2226913118*((RANDBETWEEN(2979,3282)))</f>
        <v>92451719.250718907</v>
      </c>
      <c r="B3256">
        <v>160858481.25303072</v>
      </c>
    </row>
    <row r="3257" spans="1:2" x14ac:dyDescent="0.25">
      <c r="A3257">
        <f ca="1">35815.500806851*((RANDBETWEEN(2979,3282)))</f>
        <v>115075204.09241252</v>
      </c>
      <c r="B3257">
        <v>160176276.35371578</v>
      </c>
    </row>
    <row r="3258" spans="1:2" x14ac:dyDescent="0.25">
      <c r="A3258">
        <f ca="1">33381.0625576842*((RANDBETWEEN(2979,3282)))</f>
        <v>100343474.04839888</v>
      </c>
      <c r="B3258">
        <v>184352732.62488934</v>
      </c>
    </row>
    <row r="3259" spans="1:2" x14ac:dyDescent="0.25">
      <c r="A3259">
        <f ca="1">35193.7398372049*((RANDBETWEEN(2979,3282)))</f>
        <v>111458574.064428</v>
      </c>
      <c r="B3259">
        <v>150156546.62695444</v>
      </c>
    </row>
    <row r="3260" spans="1:2" x14ac:dyDescent="0.25">
      <c r="A3260">
        <f ca="1">40232.6438925998*((RANDBETWEEN(2979,3282)))</f>
        <v>130233068.28034565</v>
      </c>
      <c r="B3260">
        <v>188607518.36443263</v>
      </c>
    </row>
    <row r="3261" spans="1:2" x14ac:dyDescent="0.25">
      <c r="A3261">
        <f ca="1">39874.6620068528*((RANDBETWEEN(2979,3282)))</f>
        <v>127120422.47784658</v>
      </c>
      <c r="B3261">
        <v>150157223.74091625</v>
      </c>
    </row>
    <row r="3262" spans="1:2" x14ac:dyDescent="0.25">
      <c r="A3262">
        <f ca="1">41833.6971574918*((RANDBETWEEN(2979,3282)))</f>
        <v>125124588.19805813</v>
      </c>
      <c r="B3262">
        <v>187323775.04735544</v>
      </c>
    </row>
    <row r="3263" spans="1:2" x14ac:dyDescent="0.25">
      <c r="A3263">
        <f ca="1">31500.0626599934*((RANDBETWEEN(2979,3282)))</f>
        <v>97650194.245979398</v>
      </c>
      <c r="B3263">
        <v>171368435.92169437</v>
      </c>
    </row>
    <row r="3264" spans="1:2" x14ac:dyDescent="0.25">
      <c r="A3264">
        <f ca="1">36274.5420722377*((RANDBETWEEN(2979,3282)))</f>
        <v>109041273.46914639</v>
      </c>
      <c r="B3264">
        <v>168671556.2269333</v>
      </c>
    </row>
    <row r="3265" spans="1:2" x14ac:dyDescent="0.25">
      <c r="A3265">
        <f ca="1">35227.871216794*((RANDBETWEEN(2979,3282)))</f>
        <v>110016641.81004758</v>
      </c>
      <c r="B3265">
        <v>149560751.41407537</v>
      </c>
    </row>
    <row r="3266" spans="1:2" x14ac:dyDescent="0.25">
      <c r="A3266">
        <f ca="1">28764.7609274952*((RANDBETWEEN(2979,3282)))</f>
        <v>91184292.140159667</v>
      </c>
      <c r="B3266">
        <v>186137376.06173959</v>
      </c>
    </row>
    <row r="3267" spans="1:2" x14ac:dyDescent="0.25">
      <c r="A3267">
        <f ca="1">28084.1045226551*((RANDBETWEEN(2979,3282)))</f>
        <v>88521097.455408961</v>
      </c>
      <c r="B3267">
        <v>199539449.92377594</v>
      </c>
    </row>
    <row r="3268" spans="1:2" x14ac:dyDescent="0.25">
      <c r="A3268">
        <f ca="1">34111.2371902269*((RANDBETWEEN(2979,3282)))</f>
        <v>102265489.0963002</v>
      </c>
      <c r="B3268">
        <v>190775127.65901273</v>
      </c>
    </row>
    <row r="3269" spans="1:2" x14ac:dyDescent="0.25">
      <c r="A3269">
        <f ca="1">37462.6346348938*((RANDBETWEEN(2979,3282)))</f>
        <v>122240576.81365852</v>
      </c>
      <c r="B3269">
        <v>188893142.29618895</v>
      </c>
    </row>
    <row r="3270" spans="1:2" x14ac:dyDescent="0.25">
      <c r="A3270">
        <f ca="1">31512.2315360319*((RANDBETWEEN(2979,3282)))</f>
        <v>103423143.90125675</v>
      </c>
      <c r="B3270">
        <v>144110958.43629035</v>
      </c>
    </row>
    <row r="3271" spans="1:2" x14ac:dyDescent="0.25">
      <c r="A3271">
        <f ca="1">29271.3010510208*((RANDBETWEEN(2979,3282)))</f>
        <v>89394553.409817457</v>
      </c>
      <c r="B3271">
        <v>144781639.42780951</v>
      </c>
    </row>
    <row r="3272" spans="1:2" x14ac:dyDescent="0.25">
      <c r="A3272">
        <f ca="1">35191.9781769733*((RANDBETWEEN(2979,3282)))</f>
        <v>113212593.79532322</v>
      </c>
      <c r="B3272">
        <v>178043108.88660112</v>
      </c>
    </row>
    <row r="3273" spans="1:2" x14ac:dyDescent="0.25">
      <c r="A3273">
        <f ca="1">28749.2721399492*((RANDBETWEEN(2979,3282)))</f>
        <v>86794052.590506673</v>
      </c>
      <c r="B3273">
        <v>146202930.66610116</v>
      </c>
    </row>
    <row r="3274" spans="1:2" x14ac:dyDescent="0.25">
      <c r="A3274">
        <f ca="1">30943.1483190674*((RANDBETWEEN(2979,3282)))</f>
        <v>99203733.510930076</v>
      </c>
      <c r="B3274">
        <v>144307385.79220754</v>
      </c>
    </row>
    <row r="3275" spans="1:2" x14ac:dyDescent="0.25">
      <c r="A3275">
        <f ca="1">30161.8537321374*((RANDBETWEEN(2979,3282)))</f>
        <v>98237157.605571672</v>
      </c>
      <c r="B3275">
        <v>165116930.93275368</v>
      </c>
    </row>
    <row r="3276" spans="1:2" x14ac:dyDescent="0.25">
      <c r="A3276">
        <f ca="1">29524.9548267658*((RANDBETWEEN(2979,3282)))</f>
        <v>88102465.203069031</v>
      </c>
      <c r="B3276">
        <v>158166892.73337772</v>
      </c>
    </row>
    <row r="3277" spans="1:2" x14ac:dyDescent="0.25">
      <c r="A3277">
        <f ca="1">32734.4161329923*((RANDBETWEEN(2979,3282)))</f>
        <v>99872703.621759534</v>
      </c>
      <c r="B3277">
        <v>200917968.49409568</v>
      </c>
    </row>
    <row r="3278" spans="1:2" x14ac:dyDescent="0.25">
      <c r="A3278">
        <f ca="1">31821.8690611917*((RANDBETWEEN(2979,3282)))</f>
        <v>100270709.41181508</v>
      </c>
      <c r="B3278">
        <v>145686730.02303511</v>
      </c>
    </row>
    <row r="3279" spans="1:2" x14ac:dyDescent="0.25">
      <c r="A3279">
        <f ca="1">33329.976639131*((RANDBETWEEN(2979,3282)))</f>
        <v>101089819.1464844</v>
      </c>
      <c r="B3279">
        <v>143145117.21986365</v>
      </c>
    </row>
    <row r="3280" spans="1:2" x14ac:dyDescent="0.25">
      <c r="A3280">
        <f ca="1">37687.2461971052*((RANDBETWEEN(2979,3282)))</f>
        <v>122973484.34115419</v>
      </c>
      <c r="B3280">
        <v>200382461.80733392</v>
      </c>
    </row>
    <row r="3281" spans="1:2" x14ac:dyDescent="0.25">
      <c r="A3281">
        <f ca="1">37003.7301550913*((RANDBETWEEN(2979,3282)))</f>
        <v>110678156.89387819</v>
      </c>
      <c r="B3281">
        <v>191269251.81830269</v>
      </c>
    </row>
    <row r="3282" spans="1:2" x14ac:dyDescent="0.25">
      <c r="A3282">
        <f ca="1">31911.0338816038*((RANDBETWEEN(2979,3282)))</f>
        <v>98764649.863563776</v>
      </c>
      <c r="B3282">
        <v>171598909.48516068</v>
      </c>
    </row>
    <row r="3283" spans="1:2" x14ac:dyDescent="0.25">
      <c r="A3283">
        <f ca="1">32621.1540389329*((RANDBETWEEN(2979,3282)))</f>
        <v>106279719.85884352</v>
      </c>
      <c r="B3283">
        <v>149680301.48282361</v>
      </c>
    </row>
    <row r="3284" spans="1:2" x14ac:dyDescent="0.25">
      <c r="A3284">
        <f ca="1">27161.6689716413*((RANDBETWEEN(2979,3282)))</f>
        <v>84119688.80517298</v>
      </c>
      <c r="B3284">
        <v>150323615.91162992</v>
      </c>
    </row>
    <row r="3285" spans="1:2" x14ac:dyDescent="0.25">
      <c r="A3285">
        <f ca="1">38884.7709912958*((RANDBETWEEN(2979,3282)))</f>
        <v>125870003.69882454</v>
      </c>
      <c r="B3285">
        <v>169342300.0908581</v>
      </c>
    </row>
    <row r="3286" spans="1:2" x14ac:dyDescent="0.25">
      <c r="A3286">
        <f ca="1">35483.5841120969*((RANDBETWEEN(2979,3282)))</f>
        <v>107373325.52320524</v>
      </c>
      <c r="B3286">
        <v>172013425.60966575</v>
      </c>
    </row>
    <row r="3287" spans="1:2" x14ac:dyDescent="0.25">
      <c r="A3287">
        <f ca="1">32829.0735393957*((RANDBETWEEN(2979,3282)))</f>
        <v>105709616.79685418</v>
      </c>
      <c r="B3287">
        <v>176027345.1337207</v>
      </c>
    </row>
    <row r="3288" spans="1:2" x14ac:dyDescent="0.25">
      <c r="A3288">
        <f ca="1">31517.148812029*((RANDBETWEEN(2979,3282)))</f>
        <v>101831907.81166585</v>
      </c>
      <c r="B3288">
        <v>144452381.88336337</v>
      </c>
    </row>
    <row r="3289" spans="1:2" x14ac:dyDescent="0.25">
      <c r="A3289">
        <f ca="1">33142.8182622952*((RANDBETWEEN(2979,3282)))</f>
        <v>106786160.44111502</v>
      </c>
      <c r="B3289">
        <v>180842446.3906647</v>
      </c>
    </row>
    <row r="3290" spans="1:2" x14ac:dyDescent="0.25">
      <c r="A3290">
        <f ca="1">30051.6916422716*((RANDBETWEEN(2979,3282)))</f>
        <v>95083552.356147483</v>
      </c>
      <c r="B3290">
        <v>178777048.94409403</v>
      </c>
    </row>
    <row r="3291" spans="1:2" x14ac:dyDescent="0.25">
      <c r="A3291">
        <f ca="1">29339.5952612969*((RANDBETWEEN(2979,3282)))</f>
        <v>94796232.28925021</v>
      </c>
      <c r="B3291">
        <v>151853780.17042798</v>
      </c>
    </row>
    <row r="3292" spans="1:2" x14ac:dyDescent="0.25">
      <c r="A3292">
        <f ca="1">31803.0591249533*((RANDBETWEEN(2979,3282)))</f>
        <v>97667194.57273151</v>
      </c>
      <c r="B3292">
        <v>175451057.24780551</v>
      </c>
    </row>
    <row r="3293" spans="1:2" x14ac:dyDescent="0.25">
      <c r="A3293">
        <f ca="1">39379.5412002588*((RANDBETWEEN(2979,3282)))</f>
        <v>120737673.31999363</v>
      </c>
      <c r="B3293">
        <v>151533258.91855928</v>
      </c>
    </row>
    <row r="3294" spans="1:2" x14ac:dyDescent="0.25">
      <c r="A3294">
        <f ca="1">38167.1565309194*((RANDBETWEEN(2979,3282)))</f>
        <v>117249504.86298434</v>
      </c>
      <c r="B3294">
        <v>153828211.65192872</v>
      </c>
    </row>
    <row r="3295" spans="1:2" x14ac:dyDescent="0.25">
      <c r="A3295">
        <f ca="1">36744.2113473466*((RANDBETWEEN(2979,3282)))</f>
        <v>115964731.01222576</v>
      </c>
      <c r="B3295">
        <v>148851155.23118478</v>
      </c>
    </row>
    <row r="3296" spans="1:2" x14ac:dyDescent="0.25">
      <c r="A3296">
        <f ca="1">33932.1699401654*((RANDBETWEEN(2979,3282)))</f>
        <v>104002100.86660697</v>
      </c>
      <c r="B3296">
        <v>186859469.03825921</v>
      </c>
    </row>
    <row r="3297" spans="1:2" x14ac:dyDescent="0.25">
      <c r="A3297">
        <f ca="1">30217.5066619242*((RANDBETWEEN(2979,3282)))</f>
        <v>96484498.771523997</v>
      </c>
      <c r="B3297">
        <v>179397668.89764801</v>
      </c>
    </row>
    <row r="3298" spans="1:2" x14ac:dyDescent="0.25">
      <c r="A3298">
        <f ca="1">31091.7208871296*((RANDBETWEEN(2979,3282)))</f>
        <v>100706083.9534128</v>
      </c>
      <c r="B3298">
        <v>162663921.25438541</v>
      </c>
    </row>
    <row r="3299" spans="1:2" x14ac:dyDescent="0.25">
      <c r="A3299">
        <f ca="1">38421.5693443582*((RANDBETWEEN(2979,3282)))</f>
        <v>120605306.17194065</v>
      </c>
      <c r="B3299">
        <v>169925282.75073424</v>
      </c>
    </row>
    <row r="3300" spans="1:2" x14ac:dyDescent="0.25">
      <c r="A3300">
        <f ca="1">31911.1413664554*((RANDBETWEEN(2979,3282)))</f>
        <v>100647739.8698002</v>
      </c>
      <c r="B3300">
        <v>196648414.41344959</v>
      </c>
    </row>
    <row r="3301" spans="1:2" x14ac:dyDescent="0.25">
      <c r="A3301">
        <f ca="1">32332.9300493379*((RANDBETWEEN(2979,3282)))</f>
        <v>104370698.1992628</v>
      </c>
      <c r="B3301">
        <v>155781099.47308946</v>
      </c>
    </row>
    <row r="3302" spans="1:2" x14ac:dyDescent="0.25">
      <c r="A3302">
        <f ca="1">31363.9233115796*((RANDBETWEEN(2979,3282)))</f>
        <v>96506792.029730335</v>
      </c>
      <c r="B3302">
        <v>161201810.55149847</v>
      </c>
    </row>
    <row r="3303" spans="1:2" x14ac:dyDescent="0.25">
      <c r="A3303">
        <f ca="1">28247.939928967*((RANDBETWEEN(2979,3282)))</f>
        <v>92483755.327437997</v>
      </c>
      <c r="B3303">
        <v>169544629.65177351</v>
      </c>
    </row>
    <row r="3304" spans="1:2" x14ac:dyDescent="0.25">
      <c r="A3304">
        <f ca="1">32300.173416025*((RANDBETWEEN(2979,3282)))</f>
        <v>100744240.88458189</v>
      </c>
      <c r="B3304">
        <v>179071470.82729042</v>
      </c>
    </row>
    <row r="3305" spans="1:2" x14ac:dyDescent="0.25">
      <c r="A3305">
        <f ca="1">36423.8827539837*((RANDBETWEEN(2979,3282)))</f>
        <v>112367678.29603969</v>
      </c>
      <c r="B3305">
        <v>191075251.68410465</v>
      </c>
    </row>
    <row r="3306" spans="1:2" x14ac:dyDescent="0.25">
      <c r="A3306">
        <f ca="1">31078.2058623108*((RANDBETWEEN(2979,3282)))</f>
        <v>100102901.0825032</v>
      </c>
      <c r="B3306">
        <v>199735952.80492657</v>
      </c>
    </row>
    <row r="3307" spans="1:2" x14ac:dyDescent="0.25">
      <c r="A3307">
        <f ca="1">29925.468384856*((RANDBETWEEN(2979,3282)))</f>
        <v>93756492.449753925</v>
      </c>
      <c r="B3307">
        <v>155715387.32812181</v>
      </c>
    </row>
    <row r="3308" spans="1:2" x14ac:dyDescent="0.25">
      <c r="A3308">
        <f ca="1">32810.1446652579*((RANDBETWEEN(2979,3282)))</f>
        <v>105714286.11146086</v>
      </c>
      <c r="B3308">
        <v>147341937.57639694</v>
      </c>
    </row>
    <row r="3309" spans="1:2" x14ac:dyDescent="0.25">
      <c r="A3309">
        <f ca="1">37518.1121976868*((RANDBETWEEN(2979,3282)))</f>
        <v>121183502.3985282</v>
      </c>
      <c r="B3309">
        <v>163067285.28457376</v>
      </c>
    </row>
    <row r="3310" spans="1:2" x14ac:dyDescent="0.25">
      <c r="A3310">
        <f ca="1">37677.4603761309*((RANDBETWEEN(2979,3282)))</f>
        <v>116197287.79998775</v>
      </c>
      <c r="B3310">
        <v>154015112.13330758</v>
      </c>
    </row>
    <row r="3311" spans="1:2" x14ac:dyDescent="0.25">
      <c r="A3311">
        <f ca="1">36364.3529849383*((RANDBETWEEN(2979,3282)))</f>
        <v>114656804.96151048</v>
      </c>
      <c r="B3311">
        <v>180593646.76019731</v>
      </c>
    </row>
    <row r="3312" spans="1:2" x14ac:dyDescent="0.25">
      <c r="A3312">
        <f ca="1">27409.9103802374*((RANDBETWEEN(2979,3282)))</f>
        <v>83874325.763526574</v>
      </c>
      <c r="B3312">
        <v>148941562.53464073</v>
      </c>
    </row>
    <row r="3313" spans="1:2" x14ac:dyDescent="0.25">
      <c r="A3313">
        <f ca="1">31636.2442329717*((RANDBETWEEN(2979,3282)))</f>
        <v>98483628.297241032</v>
      </c>
      <c r="B3313">
        <v>177358585.6604194</v>
      </c>
    </row>
    <row r="3314" spans="1:2" x14ac:dyDescent="0.25">
      <c r="A3314">
        <f ca="1">37995.660838757*((RANDBETWEEN(2979,3282)))</f>
        <v>116760665.75750038</v>
      </c>
      <c r="B3314">
        <v>164410568.14172554</v>
      </c>
    </row>
    <row r="3315" spans="1:2" x14ac:dyDescent="0.25">
      <c r="A3315">
        <f ca="1">27785.5986747518*((RANDBETWEEN(2979,3282)))</f>
        <v>87274565.437395543</v>
      </c>
      <c r="B3315">
        <v>147231743.00366157</v>
      </c>
    </row>
    <row r="3316" spans="1:2" x14ac:dyDescent="0.25">
      <c r="A3316">
        <f ca="1">31014.5898616743*((RANDBETWEEN(2979,3282)))</f>
        <v>94563484.488244817</v>
      </c>
      <c r="B3316">
        <v>180865884.73525572</v>
      </c>
    </row>
    <row r="3317" spans="1:2" x14ac:dyDescent="0.25">
      <c r="A3317">
        <f ca="1">35083.6893267151*((RANDBETWEEN(2979,3282)))</f>
        <v>108478767.39820321</v>
      </c>
      <c r="B3317">
        <v>174480276.44065171</v>
      </c>
    </row>
    <row r="3318" spans="1:2" x14ac:dyDescent="0.25">
      <c r="A3318">
        <f ca="1">33147.4925714947*((RANDBETWEEN(2979,3282)))</f>
        <v>107663055.87221475</v>
      </c>
      <c r="B3318">
        <v>149613579.69552457</v>
      </c>
    </row>
    <row r="3319" spans="1:2" x14ac:dyDescent="0.25">
      <c r="A3319">
        <f ca="1">33586.5598279616*((RANDBETWEEN(2979,3282)))</f>
        <v>109928810.31691846</v>
      </c>
      <c r="B3319">
        <v>161093075.24806723</v>
      </c>
    </row>
    <row r="3320" spans="1:2" x14ac:dyDescent="0.25">
      <c r="A3320">
        <f ca="1">32931.3837595083*((RANDBETWEEN(2979,3282)))</f>
        <v>99617435.87251249</v>
      </c>
      <c r="B3320">
        <v>157295040.95660415</v>
      </c>
    </row>
    <row r="3321" spans="1:2" x14ac:dyDescent="0.25">
      <c r="A3321">
        <f ca="1">31016.7830026595*((RANDBETWEEN(2979,3282)))</f>
        <v>96058976.959236369</v>
      </c>
      <c r="B3321">
        <v>145343808.57654646</v>
      </c>
    </row>
    <row r="3322" spans="1:2" x14ac:dyDescent="0.25">
      <c r="A3322">
        <f ca="1">32597.1147776659*((RANDBETWEEN(2979,3282)))</f>
        <v>103006882.69742413</v>
      </c>
      <c r="B3322">
        <v>196107392.47079712</v>
      </c>
    </row>
    <row r="3323" spans="1:2" x14ac:dyDescent="0.25">
      <c r="A3323">
        <f ca="1">30161.0639766097*((RANDBETWEEN(2979,3282)))</f>
        <v>98807645.587373331</v>
      </c>
      <c r="B3323">
        <v>175444084.27295417</v>
      </c>
    </row>
    <row r="3324" spans="1:2" x14ac:dyDescent="0.25">
      <c r="A3324">
        <f ca="1">33457.6805738778*((RANDBETWEEN(2979,3282)))</f>
        <v>108971665.62912001</v>
      </c>
      <c r="B3324">
        <v>187593985.84556001</v>
      </c>
    </row>
    <row r="3325" spans="1:2" x14ac:dyDescent="0.25">
      <c r="A3325">
        <f ca="1">35091.599169925*((RANDBETWEEN(2979,3282)))</f>
        <v>108257583.43921854</v>
      </c>
      <c r="B3325">
        <v>169675480.68547055</v>
      </c>
    </row>
    <row r="3326" spans="1:2" x14ac:dyDescent="0.25">
      <c r="A3326">
        <f ca="1">31745.5317325072*((RANDBETWEEN(2979,3282)))</f>
        <v>97014344.974541947</v>
      </c>
      <c r="B3326">
        <v>159115408.77621096</v>
      </c>
    </row>
    <row r="3327" spans="1:2" x14ac:dyDescent="0.25">
      <c r="A3327">
        <f ca="1">31797.1985081742*((RANDBETWEEN(2979,3282)))</f>
        <v>102863937.1739435</v>
      </c>
      <c r="B3327">
        <v>149156914.81560138</v>
      </c>
    </row>
    <row r="3328" spans="1:2" x14ac:dyDescent="0.25">
      <c r="A3328">
        <f ca="1">30658.1429099266*((RANDBETWEEN(2979,3282)))</f>
        <v>91361265.871581182</v>
      </c>
      <c r="B3328">
        <v>154106097.29351383</v>
      </c>
    </row>
    <row r="3329" spans="1:2" x14ac:dyDescent="0.25">
      <c r="A3329">
        <f ca="1">37080.7994560672*((RANDBETWEEN(2979,3282)))</f>
        <v>111316559.96711376</v>
      </c>
      <c r="B3329">
        <v>157660843.42030194</v>
      </c>
    </row>
    <row r="3330" spans="1:2" x14ac:dyDescent="0.25">
      <c r="A3330">
        <f ca="1">28915.5746207715*((RANDBETWEEN(2979,3282)))</f>
        <v>89175632.130459338</v>
      </c>
      <c r="B3330">
        <v>145483034.3309367</v>
      </c>
    </row>
    <row r="3331" spans="1:2" x14ac:dyDescent="0.25">
      <c r="A3331">
        <f ca="1">30812.6575035882*((RANDBETWEEN(2979,3282)))</f>
        <v>95087861.056073159</v>
      </c>
      <c r="B3331">
        <v>176985615.73707062</v>
      </c>
    </row>
    <row r="3332" spans="1:2" x14ac:dyDescent="0.25">
      <c r="A3332">
        <f ca="1">36821.7589937742*((RANDBETWEEN(2979,3282)))</f>
        <v>115178462.13252555</v>
      </c>
      <c r="B3332">
        <v>144136588.47845972</v>
      </c>
    </row>
    <row r="3333" spans="1:2" x14ac:dyDescent="0.25">
      <c r="A3333">
        <f ca="1">33760.9892014892*((RANDBETWEEN(2979,3282)))</f>
        <v>107157379.72552682</v>
      </c>
      <c r="B3333">
        <v>181621469.95777926</v>
      </c>
    </row>
    <row r="3334" spans="1:2" x14ac:dyDescent="0.25">
      <c r="A3334">
        <f ca="1">33992.3502104711*((RANDBETWEEN(2979,3282)))</f>
        <v>102452943.5343599</v>
      </c>
      <c r="B3334">
        <v>146253685.69660309</v>
      </c>
    </row>
    <row r="3335" spans="1:2" x14ac:dyDescent="0.25">
      <c r="A3335">
        <f ca="1">32697.8720570835*((RANDBETWEEN(2979,3282)))</f>
        <v>106071896.95317902</v>
      </c>
      <c r="B3335">
        <v>171702169.37210372</v>
      </c>
    </row>
    <row r="3336" spans="1:2" x14ac:dyDescent="0.25">
      <c r="A3336">
        <f ca="1">32544.9888138184*((RANDBETWEEN(2979,3282)))</f>
        <v>101963449.95369297</v>
      </c>
      <c r="B3336">
        <v>162848868.73096165</v>
      </c>
    </row>
    <row r="3337" spans="1:2" x14ac:dyDescent="0.25">
      <c r="A3337">
        <f ca="1">28159.6183596193*((RANDBETWEEN(2979,3282)))</f>
        <v>92081952.035955101</v>
      </c>
      <c r="B3337">
        <v>177635424.44594532</v>
      </c>
    </row>
    <row r="3338" spans="1:2" x14ac:dyDescent="0.25">
      <c r="A3338">
        <f ca="1">30567.2083016582*((RANDBETWEEN(2979,3282)))</f>
        <v>99190590.938880876</v>
      </c>
      <c r="B3338">
        <v>177544259.01961145</v>
      </c>
    </row>
    <row r="3339" spans="1:2" x14ac:dyDescent="0.25">
      <c r="A3339">
        <f ca="1">39074.8767622576*((RANDBETWEEN(2979,3282)))</f>
        <v>127032424.35409933</v>
      </c>
      <c r="B3339">
        <v>190126495.17745239</v>
      </c>
    </row>
    <row r="3340" spans="1:2" x14ac:dyDescent="0.25">
      <c r="A3340">
        <f ca="1">28967.3830402678*((RANDBETWEEN(2979,3282)))</f>
        <v>91913506.386769786</v>
      </c>
      <c r="B3340">
        <v>179768634.3490319</v>
      </c>
    </row>
    <row r="3341" spans="1:2" x14ac:dyDescent="0.25">
      <c r="A3341">
        <f ca="1">36421.3842941948*((RANDBETWEEN(2979,3282)))</f>
        <v>110721008.25435227</v>
      </c>
      <c r="B3341">
        <v>196400641.42154354</v>
      </c>
    </row>
    <row r="3342" spans="1:2" x14ac:dyDescent="0.25">
      <c r="A3342">
        <f ca="1">31768.2742494255*((RANDBETWEEN(2979,3282)))</f>
        <v>103246891.31063272</v>
      </c>
      <c r="B3342">
        <v>159852158.04640365</v>
      </c>
    </row>
    <row r="3343" spans="1:2" x14ac:dyDescent="0.25">
      <c r="A3343">
        <f ca="1">29789.0346671529*((RANDBETWEEN(2979,3282)))</f>
        <v>97499510.465591401</v>
      </c>
      <c r="B3343">
        <v>194049639.86379385</v>
      </c>
    </row>
    <row r="3344" spans="1:2" x14ac:dyDescent="0.25">
      <c r="A3344">
        <f ca="1">33557.6316660018*((RANDBETWEEN(2979,3282)))</f>
        <v>106813941.59288393</v>
      </c>
      <c r="B3344">
        <v>155783469.83861637</v>
      </c>
    </row>
    <row r="3345" spans="1:2" x14ac:dyDescent="0.25">
      <c r="A3345">
        <f ca="1">31681.6609082283*((RANDBETWEEN(2979,3282)))</f>
        <v>101412996.5672387</v>
      </c>
      <c r="B3345">
        <v>178684627.09916562</v>
      </c>
    </row>
    <row r="3346" spans="1:2" x14ac:dyDescent="0.25">
      <c r="A3346">
        <f ca="1">41017.3216309497*((RANDBETWEEN(2979,3282)))</f>
        <v>134208676.37646742</v>
      </c>
      <c r="B3346">
        <v>193230407.13734806</v>
      </c>
    </row>
    <row r="3347" spans="1:2" x14ac:dyDescent="0.25">
      <c r="A3347">
        <f ca="1">37128.1505428965*((RANDBETWEEN(2979,3282)))</f>
        <v>118513056.5329255</v>
      </c>
      <c r="B3347">
        <v>161876744.75695765</v>
      </c>
    </row>
    <row r="3348" spans="1:2" x14ac:dyDescent="0.25">
      <c r="A3348">
        <f ca="1">32799.8692705152*((RANDBETWEEN(2979,3282)))</f>
        <v>106993173.56042053</v>
      </c>
      <c r="B3348">
        <v>190332197.64176697</v>
      </c>
    </row>
    <row r="3349" spans="1:2" x14ac:dyDescent="0.25">
      <c r="A3349">
        <f ca="1">32456.2144746196*((RANDBETWEEN(2979,3282)))</f>
        <v>99251103.863386646</v>
      </c>
      <c r="B3349">
        <v>168777197.36228418</v>
      </c>
    </row>
    <row r="3350" spans="1:2" x14ac:dyDescent="0.25">
      <c r="A3350">
        <f ca="1">35347.5963687148*((RANDBETWEEN(2979,3282)))</f>
        <v>109860329.51396565</v>
      </c>
      <c r="B3350">
        <v>156233942.81888813</v>
      </c>
    </row>
    <row r="3351" spans="1:2" x14ac:dyDescent="0.25">
      <c r="A3351">
        <f ca="1">35425.6669423668*((RANDBETWEEN(2979,3282)))</f>
        <v>107304345.1684289</v>
      </c>
      <c r="B3351">
        <v>175924233.27501926</v>
      </c>
    </row>
    <row r="3352" spans="1:2" x14ac:dyDescent="0.25">
      <c r="A3352">
        <f ca="1">30495.0041265985*((RANDBETWEEN(2979,3282)))</f>
        <v>93497682.652150944</v>
      </c>
      <c r="B3352">
        <v>146054285.31088406</v>
      </c>
    </row>
    <row r="3353" spans="1:2" x14ac:dyDescent="0.25">
      <c r="A3353">
        <f ca="1">31472.0368793002*((RANDBETWEEN(2979,3282)))</f>
        <v>95643520.076193452</v>
      </c>
      <c r="B3353">
        <v>191658713.49280712</v>
      </c>
    </row>
    <row r="3354" spans="1:2" x14ac:dyDescent="0.25">
      <c r="A3354">
        <f ca="1">39753.6206023799*((RANDBETWEEN(2979,3282)))</f>
        <v>126496020.75677299</v>
      </c>
      <c r="B3354">
        <v>177729147.07698262</v>
      </c>
    </row>
    <row r="3355" spans="1:2" x14ac:dyDescent="0.25">
      <c r="A3355">
        <f ca="1">32483.7499216045*((RANDBETWEEN(2979,3282)))</f>
        <v>99075437.260893852</v>
      </c>
      <c r="B3355">
        <v>148469646.90525094</v>
      </c>
    </row>
    <row r="3356" spans="1:2" x14ac:dyDescent="0.25">
      <c r="A3356">
        <f ca="1">32689.4321281039*((RANDBETWEEN(2979,3282)))</f>
        <v>105325350.31675079</v>
      </c>
      <c r="B3356">
        <v>153537752.04216826</v>
      </c>
    </row>
    <row r="3357" spans="1:2" x14ac:dyDescent="0.25">
      <c r="A3357">
        <f ca="1">32376.0896897355*((RANDBETWEEN(2979,3282)))</f>
        <v>100495382.39693911</v>
      </c>
      <c r="B3357">
        <v>154569344.21022075</v>
      </c>
    </row>
    <row r="3358" spans="1:2" x14ac:dyDescent="0.25">
      <c r="A3358">
        <f ca="1">35120.6683947193*((RANDBETWEEN(2979,3282)))</f>
        <v>114142172.28283758</v>
      </c>
      <c r="B3358">
        <v>170705270.1765613</v>
      </c>
    </row>
    <row r="3359" spans="1:2" x14ac:dyDescent="0.25">
      <c r="A3359">
        <f ca="1">28466.7901106888*((RANDBETWEEN(2979,3282)))</f>
        <v>84944901.690295309</v>
      </c>
      <c r="B3359">
        <v>146258900.68666857</v>
      </c>
    </row>
    <row r="3360" spans="1:2" x14ac:dyDescent="0.25">
      <c r="A3360">
        <f ca="1">32014.5195225308*((RANDBETWEEN(2979,3282)))</f>
        <v>98060473.297511771</v>
      </c>
      <c r="B3360">
        <v>192517537.4403708</v>
      </c>
    </row>
    <row r="3361" spans="1:2" x14ac:dyDescent="0.25">
      <c r="A3361">
        <f ca="1">30888.3540021004*((RANDBETWEEN(2979,3282)))</f>
        <v>99058951.284735888</v>
      </c>
      <c r="B3361">
        <v>156028022.87485132</v>
      </c>
    </row>
    <row r="3362" spans="1:2" x14ac:dyDescent="0.25">
      <c r="A3362">
        <f ca="1">33623.1179665713*((RANDBETWEEN(2979,3282)))</f>
        <v>102550509.79804246</v>
      </c>
      <c r="B3362">
        <v>156273520.74134305</v>
      </c>
    </row>
    <row r="3363" spans="1:2" x14ac:dyDescent="0.25">
      <c r="A3363">
        <f ca="1">31868.2870918426*((RANDBETWEEN(2979,3282)))</f>
        <v>97198275.630119875</v>
      </c>
      <c r="B3363">
        <v>145610113.56961846</v>
      </c>
    </row>
    <row r="3364" spans="1:2" x14ac:dyDescent="0.25">
      <c r="A3364">
        <f ca="1">32945.6452299682*((RANDBETWEEN(2979,3282)))</f>
        <v>98803990.04467456</v>
      </c>
      <c r="B3364">
        <v>150061708.34059376</v>
      </c>
    </row>
    <row r="3365" spans="1:2" x14ac:dyDescent="0.25">
      <c r="A3365">
        <f ca="1">30423.5742256637*((RANDBETWEEN(2979,3282)))</f>
        <v>97477131.81902644</v>
      </c>
      <c r="B3365">
        <v>172730422.64159548</v>
      </c>
    </row>
    <row r="3366" spans="1:2" x14ac:dyDescent="0.25">
      <c r="A3366">
        <f ca="1">36129.9288984977*((RANDBETWEEN(2979,3282)))</f>
        <v>112183429.22983548</v>
      </c>
      <c r="B3366">
        <v>167587936.78278458</v>
      </c>
    </row>
    <row r="3367" spans="1:2" x14ac:dyDescent="0.25">
      <c r="A3367">
        <f ca="1">33656.28388326*((RANDBETWEEN(2979,3282)))</f>
        <v>105680731.3934363</v>
      </c>
      <c r="B3367">
        <v>145561019.03039709</v>
      </c>
    </row>
    <row r="3368" spans="1:2" x14ac:dyDescent="0.25">
      <c r="A3368">
        <f ca="1">35380.448147242*((RANDBETWEEN(2979,3282)))</f>
        <v>108688736.70832734</v>
      </c>
      <c r="B3368">
        <v>178764042.35184681</v>
      </c>
    </row>
    <row r="3369" spans="1:2" x14ac:dyDescent="0.25">
      <c r="A3369">
        <f ca="1">30446.3500866326*((RANDBETWEEN(2979,3282)))</f>
        <v>92770028.713969514</v>
      </c>
      <c r="B3369">
        <v>162970872.42654669</v>
      </c>
    </row>
    <row r="3370" spans="1:2" x14ac:dyDescent="0.25">
      <c r="A3370">
        <f ca="1">34679.3008221263*((RANDBETWEEN(2979,3282)))</f>
        <v>103829826.66144617</v>
      </c>
      <c r="B3370">
        <v>155433773.31654373</v>
      </c>
    </row>
    <row r="3371" spans="1:2" x14ac:dyDescent="0.25">
      <c r="A3371">
        <f ca="1">30523.7490259945*((RANDBETWEEN(2979,3282)))</f>
        <v>95600381.949414685</v>
      </c>
      <c r="B3371">
        <v>149863574.71363798</v>
      </c>
    </row>
    <row r="3372" spans="1:2" x14ac:dyDescent="0.25">
      <c r="A3372">
        <f ca="1">32887.3013947103*((RANDBETWEEN(2979,3282)))</f>
        <v>103463450.18775861</v>
      </c>
      <c r="B3372">
        <v>194009461.52626497</v>
      </c>
    </row>
    <row r="3373" spans="1:2" x14ac:dyDescent="0.25">
      <c r="A3373">
        <f ca="1">32124.6421945908*((RANDBETWEEN(2979,3282)))</f>
        <v>104469336.41680929</v>
      </c>
      <c r="B3373">
        <v>158699753.64692238</v>
      </c>
    </row>
    <row r="3374" spans="1:2" x14ac:dyDescent="0.25">
      <c r="A3374">
        <f ca="1">29133.1195735464*((RANDBETWEEN(2979,3282)))</f>
        <v>87515891.198933348</v>
      </c>
      <c r="B3374">
        <v>163316533.17584905</v>
      </c>
    </row>
    <row r="3375" spans="1:2" x14ac:dyDescent="0.25">
      <c r="A3375">
        <f ca="1">30926.8444892245*((RANDBETWEEN(2979,3282)))</f>
        <v>95254681.026811317</v>
      </c>
      <c r="B3375">
        <v>193490763.10996991</v>
      </c>
    </row>
    <row r="3376" spans="1:2" x14ac:dyDescent="0.25">
      <c r="A3376">
        <f ca="1">32928.8396011513*((RANDBETWEEN(2979,3282)))</f>
        <v>107084586.38294399</v>
      </c>
      <c r="B3376">
        <v>197207323.2006593</v>
      </c>
    </row>
    <row r="3377" spans="1:2" x14ac:dyDescent="0.25">
      <c r="A3377">
        <f ca="1">31255.6071156758*((RANDBETWEEN(2979,3282)))</f>
        <v>102268346.48249111</v>
      </c>
      <c r="B3377">
        <v>179946903.28151435</v>
      </c>
    </row>
    <row r="3378" spans="1:2" x14ac:dyDescent="0.25">
      <c r="A3378">
        <f ca="1">40330.7497152746*((RANDBETWEEN(2979,3282)))</f>
        <v>131155598.07407309</v>
      </c>
      <c r="B3378">
        <v>170360718.33009857</v>
      </c>
    </row>
    <row r="3379" spans="1:2" x14ac:dyDescent="0.25">
      <c r="A3379">
        <f ca="1">31479.2156250047*((RANDBETWEEN(2979,3282)))</f>
        <v>95444981.775014177</v>
      </c>
      <c r="B3379">
        <v>146265493.83456609</v>
      </c>
    </row>
    <row r="3380" spans="1:2" x14ac:dyDescent="0.25">
      <c r="A3380">
        <f ca="1">34213.9073172559*((RANDBETWEEN(2979,3282)))</f>
        <v>108013305.40057692</v>
      </c>
      <c r="B3380">
        <v>146033722.61557072</v>
      </c>
    </row>
    <row r="3381" spans="1:2" x14ac:dyDescent="0.25">
      <c r="A3381">
        <f ca="1">30404.679461742*((RANDBETWEEN(2979,3282)))</f>
        <v>97294974.27757436</v>
      </c>
      <c r="B3381">
        <v>161533140.56368783</v>
      </c>
    </row>
    <row r="3382" spans="1:2" x14ac:dyDescent="0.25">
      <c r="A3382">
        <f ca="1">38705.9385384188*((RANDBETWEEN(2979,3282)))</f>
        <v>116079109.67671813</v>
      </c>
      <c r="B3382">
        <v>163558875.63567621</v>
      </c>
    </row>
    <row r="3383" spans="1:2" x14ac:dyDescent="0.25">
      <c r="A3383">
        <f ca="1">33497.3464446949*((RANDBETWEEN(2979,3282)))</f>
        <v>99788595.058746085</v>
      </c>
      <c r="B3383">
        <v>163624961.67972171</v>
      </c>
    </row>
    <row r="3384" spans="1:2" x14ac:dyDescent="0.25">
      <c r="A3384">
        <f ca="1">30531.6434936427*((RANDBETWEEN(2979,3282)))</f>
        <v>92480348.142243624</v>
      </c>
      <c r="B3384">
        <v>157181356.44205034</v>
      </c>
    </row>
    <row r="3385" spans="1:2" x14ac:dyDescent="0.25">
      <c r="A3385">
        <f ca="1">33232.5614087799*((RANDBETWEEN(2979,3282)))</f>
        <v>101159916.92832607</v>
      </c>
      <c r="B3385">
        <v>165462225.23177189</v>
      </c>
    </row>
    <row r="3386" spans="1:2" x14ac:dyDescent="0.25">
      <c r="A3386">
        <f ca="1">31211.0729146971*((RANDBETWEEN(2979,3282)))</f>
        <v>101248720.53527738</v>
      </c>
      <c r="B3386">
        <v>182449175.7842502</v>
      </c>
    </row>
    <row r="3387" spans="1:2" x14ac:dyDescent="0.25">
      <c r="A3387">
        <f ca="1">32137.1745276948*((RANDBETWEEN(2979,3282)))</f>
        <v>102389038.0452358</v>
      </c>
      <c r="B3387">
        <v>155647703.64861697</v>
      </c>
    </row>
    <row r="3388" spans="1:2" x14ac:dyDescent="0.25">
      <c r="A3388">
        <f ca="1">28741.8112992513*((RANDBETWEEN(2979,3282)))</f>
        <v>90278029.290948376</v>
      </c>
      <c r="B3388">
        <v>144869098.61819389</v>
      </c>
    </row>
    <row r="3389" spans="1:2" x14ac:dyDescent="0.25">
      <c r="A3389">
        <f ca="1">31064.0783384658*((RANDBETWEEN(2979,3282)))</f>
        <v>98224615.706228927</v>
      </c>
      <c r="B3389">
        <v>143452774.27565473</v>
      </c>
    </row>
    <row r="3390" spans="1:2" x14ac:dyDescent="0.25">
      <c r="A3390">
        <f ca="1">31983.6494129867*((RANDBETWEEN(2979,3282)))</f>
        <v>97294261.514305666</v>
      </c>
      <c r="B3390">
        <v>195153864.90696895</v>
      </c>
    </row>
    <row r="3391" spans="1:2" x14ac:dyDescent="0.25">
      <c r="A3391">
        <f ca="1">34691.0058999216*((RANDBETWEEN(2979,3282)))</f>
        <v>103795489.65256546</v>
      </c>
      <c r="B3391">
        <v>155164569.9634892</v>
      </c>
    </row>
    <row r="3392" spans="1:2" x14ac:dyDescent="0.25">
      <c r="A3392">
        <f ca="1">32653.2074395531*((RANDBETWEEN(2979,3282)))</f>
        <v>105829045.3115916</v>
      </c>
      <c r="B3392">
        <v>160077336.71430829</v>
      </c>
    </row>
    <row r="3393" spans="1:2" x14ac:dyDescent="0.25">
      <c r="A3393">
        <f ca="1">32365.611264614*((RANDBETWEEN(2979,3282)))</f>
        <v>104055440.21573414</v>
      </c>
      <c r="B3393">
        <v>164184171.11839595</v>
      </c>
    </row>
    <row r="3394" spans="1:2" x14ac:dyDescent="0.25">
      <c r="A3394">
        <f ca="1">31043.1146960815*((RANDBETWEEN(2979,3282)))</f>
        <v>100269260.46834336</v>
      </c>
      <c r="B3394">
        <v>172617945.86450201</v>
      </c>
    </row>
    <row r="3395" spans="1:2" x14ac:dyDescent="0.25">
      <c r="A3395">
        <f ca="1">38871.4515622145*((RANDBETWEEN(2979,3282)))</f>
        <v>123922187.58033979</v>
      </c>
      <c r="B3395">
        <v>191189938.79933774</v>
      </c>
    </row>
    <row r="3396" spans="1:2" x14ac:dyDescent="0.25">
      <c r="A3396">
        <f ca="1">40774.2231927083*((RANDBETWEEN(2979,3282)))</f>
        <v>131782289.35883334</v>
      </c>
      <c r="B3396">
        <v>183115963.39988911</v>
      </c>
    </row>
    <row r="3397" spans="1:2" x14ac:dyDescent="0.25">
      <c r="A3397">
        <f ca="1">31285.999383591*((RANDBETWEEN(2979,3282)))</f>
        <v>95860302.111322939</v>
      </c>
      <c r="B3397">
        <v>171835154.38016063</v>
      </c>
    </row>
    <row r="3398" spans="1:2" x14ac:dyDescent="0.25">
      <c r="A3398">
        <f ca="1">32877.8639065043*((RANDBETWEEN(2979,3282)))</f>
        <v>107148958.47129756</v>
      </c>
      <c r="B3398">
        <v>144027506.56762713</v>
      </c>
    </row>
    <row r="3399" spans="1:2" x14ac:dyDescent="0.25">
      <c r="A3399">
        <f ca="1">32595.6777348241*((RANDBETWEEN(2979,3282)))</f>
        <v>98895286.247456178</v>
      </c>
      <c r="B3399">
        <v>147192873.07049924</v>
      </c>
    </row>
    <row r="3400" spans="1:2" x14ac:dyDescent="0.25">
      <c r="A3400">
        <f ca="1">38167.3460272804*((RANDBETWEEN(2979,3282)))</f>
        <v>118356940.03059657</v>
      </c>
      <c r="B3400">
        <v>160957370.02761382</v>
      </c>
    </row>
    <row r="3401" spans="1:2" x14ac:dyDescent="0.25">
      <c r="A3401">
        <f ca="1">30499.4262815481*((RANDBETWEEN(2979,3282)))</f>
        <v>92840253.601032272</v>
      </c>
      <c r="B3401">
        <v>175553432.23234838</v>
      </c>
    </row>
    <row r="3402" spans="1:2" x14ac:dyDescent="0.25">
      <c r="A3402">
        <f ca="1">31973.5403177421*((RANDBETWEEN(2979,3282)))</f>
        <v>100620731.37993452</v>
      </c>
      <c r="B3402">
        <v>201815045.43295574</v>
      </c>
    </row>
    <row r="3403" spans="1:2" x14ac:dyDescent="0.25">
      <c r="A3403">
        <f ca="1">33686.7217866786*((RANDBETWEEN(2979,3282)))</f>
        <v>110155580.24243909</v>
      </c>
      <c r="B3403">
        <v>165848922.01555234</v>
      </c>
    </row>
    <row r="3404" spans="1:2" x14ac:dyDescent="0.25">
      <c r="A3404">
        <f ca="1">32429.4934265354*((RANDBETWEEN(2979,3282)))</f>
        <v>102023186.31988031</v>
      </c>
      <c r="B3404">
        <v>162675770.53958762</v>
      </c>
    </row>
    <row r="3405" spans="1:2" x14ac:dyDescent="0.25">
      <c r="A3405">
        <f ca="1">37338.5695597808*((RANDBETWEEN(2979,3282)))</f>
        <v>121425028.20840716</v>
      </c>
      <c r="B3405">
        <v>158304107.52648032</v>
      </c>
    </row>
    <row r="3406" spans="1:2" x14ac:dyDescent="0.25">
      <c r="A3406">
        <f ca="1">29579.5025912072*((RANDBETWEEN(2979,3282)))</f>
        <v>91755617.037924752</v>
      </c>
      <c r="B3406">
        <v>146463516.74605685</v>
      </c>
    </row>
    <row r="3407" spans="1:2" x14ac:dyDescent="0.25">
      <c r="A3407">
        <f ca="1">31865.6859853793*((RANDBETWEEN(2979,3282)))</f>
        <v>104360121.60211705</v>
      </c>
      <c r="B3407">
        <v>183394662.09218246</v>
      </c>
    </row>
    <row r="3408" spans="1:2" x14ac:dyDescent="0.25">
      <c r="A3408">
        <f ca="1">32472.6814879404*((RANDBETWEEN(2979,3282)))</f>
        <v>101347238.92386185</v>
      </c>
      <c r="B3408">
        <v>191759857.56654239</v>
      </c>
    </row>
    <row r="3409" spans="1:2" x14ac:dyDescent="0.25">
      <c r="A3409">
        <f ca="1">35714.1427515295*((RANDBETWEEN(2979,3282)))</f>
        <v>111928123.38329358</v>
      </c>
      <c r="B3409">
        <v>171180060.02541286</v>
      </c>
    </row>
    <row r="3410" spans="1:2" x14ac:dyDescent="0.25">
      <c r="A3410">
        <f ca="1">31463.1774805135*((RANDBETWEEN(2979,3282)))</f>
        <v>100084367.56551334</v>
      </c>
      <c r="B3410">
        <v>164337416.0942429</v>
      </c>
    </row>
    <row r="3411" spans="1:2" x14ac:dyDescent="0.25">
      <c r="A3411">
        <f ca="1">33262.2633882309*((RANDBETWEEN(2979,3282)))</f>
        <v>103645212.71772733</v>
      </c>
      <c r="B3411">
        <v>149726408.7375021</v>
      </c>
    </row>
    <row r="3412" spans="1:2" x14ac:dyDescent="0.25">
      <c r="A3412">
        <f ca="1">31262.3966407331*((RANDBETWEEN(2979,3282)))</f>
        <v>98601599.004872307</v>
      </c>
      <c r="B3412">
        <v>145546937.30830976</v>
      </c>
    </row>
    <row r="3413" spans="1:2" x14ac:dyDescent="0.25">
      <c r="A3413">
        <f ca="1">30364.7246525969*((RANDBETWEEN(2979,3282)))</f>
        <v>97683319.207404122</v>
      </c>
      <c r="B3413">
        <v>175925748.66789594</v>
      </c>
    </row>
    <row r="3414" spans="1:2" x14ac:dyDescent="0.25">
      <c r="A3414">
        <f ca="1">30222.8094674753*((RANDBETWEEN(2979,3282)))</f>
        <v>96531653.43911621</v>
      </c>
      <c r="B3414">
        <v>154113571.863415</v>
      </c>
    </row>
    <row r="3415" spans="1:2" x14ac:dyDescent="0.25">
      <c r="A3415">
        <f ca="1">29930.3455995014*((RANDBETWEEN(2979,3282)))</f>
        <v>89791036.798504308</v>
      </c>
      <c r="B3415">
        <v>163752179.16415784</v>
      </c>
    </row>
    <row r="3416" spans="1:2" x14ac:dyDescent="0.25">
      <c r="A3416">
        <f ca="1">39042.1362560902*((RANDBETWEEN(2979,3282)))</f>
        <v>120132653.2599895</v>
      </c>
      <c r="B3416">
        <v>167688179.75766304</v>
      </c>
    </row>
    <row r="3417" spans="1:2" x14ac:dyDescent="0.25">
      <c r="A3417">
        <f ca="1">32306.8522727535*((RANDBETWEEN(2979,3282)))</f>
        <v>105708020.63644959</v>
      </c>
      <c r="B3417">
        <v>153759338.08827192</v>
      </c>
    </row>
    <row r="3418" spans="1:2" x14ac:dyDescent="0.25">
      <c r="A3418">
        <f ca="1">31701.2136303331*((RANDBETWEEN(2979,3282)))</f>
        <v>96086378.513539642</v>
      </c>
      <c r="B3418">
        <v>170076125.23250693</v>
      </c>
    </row>
    <row r="3419" spans="1:2" x14ac:dyDescent="0.25">
      <c r="A3419">
        <f ca="1">31143.7745812173*((RANDBETWEEN(2979,3282)))</f>
        <v>100189522.82777606</v>
      </c>
      <c r="B3419">
        <v>168680472.12679282</v>
      </c>
    </row>
    <row r="3420" spans="1:2" x14ac:dyDescent="0.25">
      <c r="A3420">
        <f ca="1">32666.5096243529*((RANDBETWEEN(2979,3282)))</f>
        <v>104532830.79792939</v>
      </c>
      <c r="B3420">
        <v>171958089.93553355</v>
      </c>
    </row>
    <row r="3421" spans="1:2" x14ac:dyDescent="0.25">
      <c r="A3421">
        <f ca="1">32296.4782107924*((RANDBETWEEN(2979,3282)))</f>
        <v>98924112.759656996</v>
      </c>
      <c r="B3421">
        <v>191989698.66615933</v>
      </c>
    </row>
    <row r="3422" spans="1:2" x14ac:dyDescent="0.25">
      <c r="A3422">
        <f ca="1">32131.1277337772*((RANDBETWEEN(2979,3282)))</f>
        <v>101373708.00006692</v>
      </c>
      <c r="B3422">
        <v>154885715.89844933</v>
      </c>
    </row>
    <row r="3423" spans="1:2" x14ac:dyDescent="0.25">
      <c r="A3423">
        <f ca="1">33672.9831536901*((RANDBETWEEN(2979,3282)))</f>
        <v>102264849.83775683</v>
      </c>
      <c r="B3423">
        <v>183022095.2399388</v>
      </c>
    </row>
    <row r="3424" spans="1:2" x14ac:dyDescent="0.25">
      <c r="A3424">
        <f ca="1">33055.8742283839*((RANDBETWEEN(2979,3282)))</f>
        <v>107464647.11647618</v>
      </c>
      <c r="B3424">
        <v>149441845.57990989</v>
      </c>
    </row>
    <row r="3425" spans="1:2" x14ac:dyDescent="0.25">
      <c r="A3425">
        <f ca="1">40508.6744749638*((RANDBETWEEN(2979,3282)))</f>
        <v>129465723.62198441</v>
      </c>
      <c r="B3425">
        <v>150462806.65439019</v>
      </c>
    </row>
    <row r="3426" spans="1:2" x14ac:dyDescent="0.25">
      <c r="A3426">
        <f ca="1">30835.404058714*((RANDBETWEEN(2979,3282)))</f>
        <v>92074516.519319966</v>
      </c>
      <c r="B3426">
        <v>183191855.71617687</v>
      </c>
    </row>
    <row r="3427" spans="1:2" x14ac:dyDescent="0.25">
      <c r="A3427">
        <f ca="1">32180.5432160395*((RANDBETWEEN(2979,3282)))</f>
        <v>102591571.77273385</v>
      </c>
      <c r="B3427">
        <v>149926041.21081096</v>
      </c>
    </row>
    <row r="3428" spans="1:2" x14ac:dyDescent="0.25">
      <c r="A3428">
        <f ca="1">36084.5413685033*((RANDBETWEEN(2979,3282)))</f>
        <v>109011399.4742486</v>
      </c>
      <c r="B3428">
        <v>159795593.9882077</v>
      </c>
    </row>
    <row r="3429" spans="1:2" x14ac:dyDescent="0.25">
      <c r="A3429">
        <f ca="1">28875.7428987487*((RANDBETWEEN(2979,3282)))</f>
        <v>93701785.706439495</v>
      </c>
      <c r="B3429">
        <v>170098546.72929242</v>
      </c>
    </row>
    <row r="3430" spans="1:2" x14ac:dyDescent="0.25">
      <c r="A3430">
        <f ca="1">34063.2598774358*((RANDBETWEEN(2979,3282)))</f>
        <v>110296835.48313701</v>
      </c>
      <c r="B3430">
        <v>186892305.9213298</v>
      </c>
    </row>
    <row r="3431" spans="1:2" x14ac:dyDescent="0.25">
      <c r="A3431">
        <f ca="1">37461.7096827348*((RANDBETWEEN(2979,3282)))</f>
        <v>119128236.79109681</v>
      </c>
      <c r="B3431">
        <v>147239025.65905806</v>
      </c>
    </row>
    <row r="3432" spans="1:2" x14ac:dyDescent="0.25">
      <c r="A3432">
        <f ca="1">28184.1449213431*((RANDBETWEEN(2979,3282)))</f>
        <v>84045120.155445218</v>
      </c>
      <c r="B3432">
        <v>154358646.96367711</v>
      </c>
    </row>
    <row r="3433" spans="1:2" x14ac:dyDescent="0.25">
      <c r="A3433">
        <f ca="1">30913.1585682693*((RANDBETWEEN(2979,3282)))</f>
        <v>96016270.513044521</v>
      </c>
      <c r="B3433">
        <v>147014040.77558735</v>
      </c>
    </row>
    <row r="3434" spans="1:2" x14ac:dyDescent="0.25">
      <c r="A3434">
        <f ca="1">32573.2907463776*((RANDBETWEEN(2979,3282)))</f>
        <v>99902282.719140097</v>
      </c>
      <c r="B3434">
        <v>178312127.93244821</v>
      </c>
    </row>
    <row r="3435" spans="1:2" x14ac:dyDescent="0.25">
      <c r="A3435">
        <f ca="1">29052.9397760942*((RANDBETWEEN(2979,3282)))</f>
        <v>87420295.786267534</v>
      </c>
      <c r="B3435">
        <v>176103802.08242148</v>
      </c>
    </row>
    <row r="3436" spans="1:2" x14ac:dyDescent="0.25">
      <c r="A3436">
        <f ca="1">33778.169568171*((RANDBETWEEN(2979,3282)))</f>
        <v>107786139.09203379</v>
      </c>
      <c r="B3436">
        <v>173171214.6994772</v>
      </c>
    </row>
    <row r="3437" spans="1:2" x14ac:dyDescent="0.25">
      <c r="A3437">
        <f ca="1">36826.5942404258*((RANDBETWEEN(2979,3282)))</f>
        <v>116003771.85734136</v>
      </c>
      <c r="B3437">
        <v>152475934.23139942</v>
      </c>
    </row>
    <row r="3438" spans="1:2" x14ac:dyDescent="0.25">
      <c r="A3438">
        <f ca="1">34047.5816783976*((RANDBETWEEN(2979,3282)))</f>
        <v>106977501.6335253</v>
      </c>
      <c r="B3438">
        <v>197735059.01563323</v>
      </c>
    </row>
    <row r="3439" spans="1:2" x14ac:dyDescent="0.25">
      <c r="A3439">
        <f ca="1">32302.3148861151*((RANDBETWEEN(2979,3282)))</f>
        <v>105983895.1413435</v>
      </c>
      <c r="B3439">
        <v>177100953.29514861</v>
      </c>
    </row>
    <row r="3440" spans="1:2" x14ac:dyDescent="0.25">
      <c r="A3440">
        <f ca="1">32115.9219473615*((RANDBETWEEN(2979,3282)))</f>
        <v>99366662.5051364</v>
      </c>
      <c r="B3440">
        <v>180650960.34222576</v>
      </c>
    </row>
    <row r="3441" spans="1:2" x14ac:dyDescent="0.25">
      <c r="A3441">
        <f ca="1">30945.7399928047*((RANDBETWEEN(2979,3282)))</f>
        <v>97571918.19731313</v>
      </c>
      <c r="B3441">
        <v>145548622.41519955</v>
      </c>
    </row>
    <row r="3442" spans="1:2" x14ac:dyDescent="0.25">
      <c r="A3442">
        <f ca="1">34003.0852929855*((RANDBETWEEN(2979,3282)))</f>
        <v>104967524.29944609</v>
      </c>
      <c r="B3442">
        <v>170815288.13858899</v>
      </c>
    </row>
    <row r="3443" spans="1:2" x14ac:dyDescent="0.25">
      <c r="A3443">
        <f ca="1">40698.7321944578*((RANDBETWEEN(2979,3282)))</f>
        <v>132108084.70321012</v>
      </c>
      <c r="B3443">
        <v>165387324.71860605</v>
      </c>
    </row>
    <row r="3444" spans="1:2" x14ac:dyDescent="0.25">
      <c r="A3444">
        <f ca="1">30976.8576418983*((RANDBETWEEN(2979,3282)))</f>
        <v>96090212.405168518</v>
      </c>
      <c r="B3444">
        <v>149269714.52052176</v>
      </c>
    </row>
    <row r="3445" spans="1:2" x14ac:dyDescent="0.25">
      <c r="A3445">
        <f ca="1">30704.2232595188*((RANDBETWEEN(2979,3282)))</f>
        <v>100740556.51448111</v>
      </c>
      <c r="B3445">
        <v>163313550.38328385</v>
      </c>
    </row>
    <row r="3446" spans="1:2" x14ac:dyDescent="0.25">
      <c r="A3446">
        <f ca="1">35017.491071547*((RANDBETWEEN(2979,3282)))</f>
        <v>105682788.05392893</v>
      </c>
      <c r="B3446">
        <v>145552719.63653326</v>
      </c>
    </row>
    <row r="3447" spans="1:2" x14ac:dyDescent="0.25">
      <c r="A3447">
        <f ca="1">30087.3417626217*((RANDBETWEEN(2979,3282)))</f>
        <v>95707834.146899521</v>
      </c>
      <c r="B3447">
        <v>176340234.96607095</v>
      </c>
    </row>
    <row r="3448" spans="1:2" x14ac:dyDescent="0.25">
      <c r="A3448">
        <f ca="1">33086.6408183552*((RANDBETWEEN(2979,3282)))</f>
        <v>106274290.30855678</v>
      </c>
      <c r="B3448">
        <v>183875674.36903232</v>
      </c>
    </row>
    <row r="3449" spans="1:2" x14ac:dyDescent="0.25">
      <c r="A3449">
        <f ca="1">30535.2926527278*((RANDBETWEEN(2979,3282)))</f>
        <v>98934348.194838047</v>
      </c>
      <c r="B3449">
        <v>143842030.08192471</v>
      </c>
    </row>
    <row r="3450" spans="1:2" x14ac:dyDescent="0.25">
      <c r="A3450">
        <f ca="1">30531.8694776119*((RANDBETWEEN(2979,3282)))</f>
        <v>93427520.601492435</v>
      </c>
      <c r="B3450">
        <v>161850876.3950702</v>
      </c>
    </row>
    <row r="3451" spans="1:2" x14ac:dyDescent="0.25">
      <c r="A3451">
        <f ca="1">35813.1681227614*((RANDBETWEEN(2979,3282)))</f>
        <v>113778435.12601283</v>
      </c>
      <c r="B3451">
        <v>173232675.69018471</v>
      </c>
    </row>
    <row r="3452" spans="1:2" x14ac:dyDescent="0.25">
      <c r="A3452">
        <f ca="1">32069.0934750409*((RANDBETWEEN(2979,3282)))</f>
        <v>98452116.968375623</v>
      </c>
      <c r="B3452">
        <v>190866178.33181912</v>
      </c>
    </row>
    <row r="3453" spans="1:2" x14ac:dyDescent="0.25">
      <c r="A3453">
        <f ca="1">28789.5423495198*((RANDBETWEEN(2979,3282)))</f>
        <v>92414430.941958711</v>
      </c>
      <c r="B3453">
        <v>164309566.78144163</v>
      </c>
    </row>
    <row r="3454" spans="1:2" x14ac:dyDescent="0.25">
      <c r="A3454">
        <f ca="1">40368.4425602169*((RANDBETWEEN(2979,3282)))</f>
        <v>129179016.1926941</v>
      </c>
      <c r="B3454">
        <v>167156627.90615547</v>
      </c>
    </row>
    <row r="3455" spans="1:2" x14ac:dyDescent="0.25">
      <c r="A3455">
        <f ca="1">42146.9867792627*((RANDBETWEEN(2979,3282)))</f>
        <v>135797591.40278456</v>
      </c>
      <c r="B3455">
        <v>178391475.56233805</v>
      </c>
    </row>
    <row r="3456" spans="1:2" x14ac:dyDescent="0.25">
      <c r="A3456">
        <f ca="1">29994.4089621396*((RANDBETWEEN(2979,3282)))</f>
        <v>90643103.883585811</v>
      </c>
      <c r="B3456">
        <v>176906246.24528793</v>
      </c>
    </row>
    <row r="3457" spans="1:2" x14ac:dyDescent="0.25">
      <c r="A3457">
        <f ca="1">32242.9440536713*((RANDBETWEEN(2979,3282)))</f>
        <v>98921352.3566636</v>
      </c>
      <c r="B3457">
        <v>191942954.95714781</v>
      </c>
    </row>
    <row r="3458" spans="1:2" x14ac:dyDescent="0.25">
      <c r="A3458">
        <f ca="1">31550.7062142259*((RANDBETWEEN(2979,3282)))</f>
        <v>102697548.72730526</v>
      </c>
      <c r="B3458">
        <v>167018414.28214872</v>
      </c>
    </row>
    <row r="3459" spans="1:2" x14ac:dyDescent="0.25">
      <c r="A3459">
        <f ca="1">33434.6627557104*((RANDBETWEEN(2979,3282)))</f>
        <v>103747758.5309695</v>
      </c>
      <c r="B3459">
        <v>184575800.05385518</v>
      </c>
    </row>
    <row r="3460" spans="1:2" x14ac:dyDescent="0.25">
      <c r="A3460">
        <f ca="1">31723.9939458826*((RANDBETWEEN(2979,3282)))</f>
        <v>96980249.492563084</v>
      </c>
      <c r="B3460">
        <v>156875478.99111286</v>
      </c>
    </row>
    <row r="3461" spans="1:2" x14ac:dyDescent="0.25">
      <c r="A3461">
        <f ca="1">33463.7660602487*((RANDBETWEEN(2979,3282)))</f>
        <v>105410863.08978346</v>
      </c>
      <c r="B3461">
        <v>167891161.67238423</v>
      </c>
    </row>
    <row r="3462" spans="1:2" x14ac:dyDescent="0.25">
      <c r="A3462">
        <f ca="1">29620.5979975061*((RANDBETWEEN(2979,3282)))</f>
        <v>92179300.968239084</v>
      </c>
      <c r="B3462">
        <v>157233743.3276931</v>
      </c>
    </row>
    <row r="3463" spans="1:2" x14ac:dyDescent="0.25">
      <c r="A3463">
        <f ca="1">30747.5305842028*((RANDBETWEEN(2979,3282)))</f>
        <v>97592662.074259698</v>
      </c>
      <c r="B3463">
        <v>175328610.19907296</v>
      </c>
    </row>
    <row r="3464" spans="1:2" x14ac:dyDescent="0.25">
      <c r="A3464">
        <f ca="1">31293.631512357*((RANDBETWEEN(2979,3282)))</f>
        <v>93567958.221947283</v>
      </c>
      <c r="B3464">
        <v>163894890.62576687</v>
      </c>
    </row>
    <row r="3465" spans="1:2" x14ac:dyDescent="0.25">
      <c r="A3465">
        <f ca="1">37472.2246462351*((RANDBETWEEN(2979,3282)))</f>
        <v>112229312.81547427</v>
      </c>
      <c r="B3465">
        <v>190081300.28025237</v>
      </c>
    </row>
    <row r="3466" spans="1:2" x14ac:dyDescent="0.25">
      <c r="A3466">
        <f ca="1">33813.2804224209*((RANDBETWEEN(2979,3282)))</f>
        <v>102623306.08204742</v>
      </c>
      <c r="B3466">
        <v>157708905.0763185</v>
      </c>
    </row>
    <row r="3467" spans="1:2" x14ac:dyDescent="0.25">
      <c r="A3467">
        <f ca="1">32705.9948332587*((RANDBETWEEN(2979,3282)))</f>
        <v>104332123.51809514</v>
      </c>
      <c r="B3467">
        <v>154775663.32768002</v>
      </c>
    </row>
    <row r="3468" spans="1:2" x14ac:dyDescent="0.25">
      <c r="A3468">
        <f ca="1">30851.2770033081*((RANDBETWEEN(2979,3282)))</f>
        <v>97181522.560420513</v>
      </c>
      <c r="B3468">
        <v>171494417.02405027</v>
      </c>
    </row>
    <row r="3469" spans="1:2" x14ac:dyDescent="0.25">
      <c r="A3469">
        <f ca="1">33189.203645283*((RANDBETWEEN(2979,3282)))</f>
        <v>101326638.72904889</v>
      </c>
      <c r="B3469">
        <v>175243283.11160406</v>
      </c>
    </row>
    <row r="3470" spans="1:2" x14ac:dyDescent="0.25">
      <c r="A3470">
        <f ca="1">31181.7881016546*((RANDBETWEEN(2979,3282)))</f>
        <v>99563449.408583239</v>
      </c>
      <c r="B3470">
        <v>145109197.34981</v>
      </c>
    </row>
    <row r="3471" spans="1:2" x14ac:dyDescent="0.25">
      <c r="A3471">
        <f ca="1">28913.8162883308*((RANDBETWEEN(2979,3282)))</f>
        <v>93304885.162443608</v>
      </c>
      <c r="B3471">
        <v>179721375.07369441</v>
      </c>
    </row>
    <row r="3472" spans="1:2" x14ac:dyDescent="0.25">
      <c r="A3472">
        <f ca="1">32166.4826850838*((RANDBETWEEN(2979,3282)))</f>
        <v>97239277.15700841</v>
      </c>
      <c r="B3472">
        <v>169646406.23905212</v>
      </c>
    </row>
    <row r="3473" spans="1:2" x14ac:dyDescent="0.25">
      <c r="A3473">
        <f ca="1">40921.206947832*((RANDBETWEEN(2979,3282)))</f>
        <v>128001535.33281842</v>
      </c>
      <c r="B3473">
        <v>164992430.0443131</v>
      </c>
    </row>
    <row r="3474" spans="1:2" x14ac:dyDescent="0.25">
      <c r="A3474">
        <f ca="1">31258.2580950057*((RANDBETWEEN(2979,3282)))</f>
        <v>100339008.48496819</v>
      </c>
      <c r="B3474">
        <v>148070437.03737208</v>
      </c>
    </row>
    <row r="3475" spans="1:2" x14ac:dyDescent="0.25">
      <c r="A3475">
        <f ca="1">34039.0359812592*((RANDBETWEEN(2979,3282)))</f>
        <v>102559615.41153392</v>
      </c>
      <c r="B3475">
        <v>183863262.39352027</v>
      </c>
    </row>
    <row r="3476" spans="1:2" x14ac:dyDescent="0.25">
      <c r="A3476">
        <f ca="1">30967.9302009285*((RANDBETWEEN(2979,3282)))</f>
        <v>93306373.69539766</v>
      </c>
      <c r="B3476">
        <v>164814003.6646027</v>
      </c>
    </row>
    <row r="3477" spans="1:2" x14ac:dyDescent="0.25">
      <c r="A3477">
        <f ca="1">36343.7142121344*((RANDBETWEEN(2979,3282)))</f>
        <v>119025664.04474026</v>
      </c>
      <c r="B3477">
        <v>146219596.65515402</v>
      </c>
    </row>
    <row r="3478" spans="1:2" x14ac:dyDescent="0.25">
      <c r="A3478">
        <f ca="1">35101.2503398518*((RANDBETWEEN(2979,3282)))</f>
        <v>111130558.57597065</v>
      </c>
      <c r="B3478">
        <v>201105031.06290442</v>
      </c>
    </row>
    <row r="3479" spans="1:2" x14ac:dyDescent="0.25">
      <c r="A3479">
        <f ca="1">31026.0879454588*((RANDBETWEEN(2979,3282)))</f>
        <v>97142681.357231483</v>
      </c>
      <c r="B3479">
        <v>153918070.35272747</v>
      </c>
    </row>
    <row r="3480" spans="1:2" x14ac:dyDescent="0.25">
      <c r="A3480">
        <f ca="1">41717.0154936914*((RANDBETWEEN(2979,3282)))</f>
        <v>129823352.21636769</v>
      </c>
      <c r="B3480">
        <v>201046796.27208093</v>
      </c>
    </row>
    <row r="3481" spans="1:2" x14ac:dyDescent="0.25">
      <c r="A3481">
        <f ca="1">33024.6919101733*((RANDBETWEEN(2979,3282)))</f>
        <v>107198149.94042249</v>
      </c>
      <c r="B3481">
        <v>151139717.24868715</v>
      </c>
    </row>
    <row r="3482" spans="1:2" x14ac:dyDescent="0.25">
      <c r="A3482">
        <f ca="1">39778.156121291*((RANDBETWEEN(2979,3282)))</f>
        <v>126414980.15346269</v>
      </c>
      <c r="B3482">
        <v>156587003.53321341</v>
      </c>
    </row>
    <row r="3483" spans="1:2" x14ac:dyDescent="0.25">
      <c r="A3483">
        <f ca="1">37272.7559980102*((RANDBETWEEN(2979,3282)))</f>
        <v>111333722.16605651</v>
      </c>
      <c r="B3483">
        <v>156648431.70213741</v>
      </c>
    </row>
    <row r="3484" spans="1:2" x14ac:dyDescent="0.25">
      <c r="A3484">
        <f ca="1">36372.7850968212*((RANDBETWEEN(2979,3282)))</f>
        <v>115338101.54202007</v>
      </c>
      <c r="B3484">
        <v>178725538.42750329</v>
      </c>
    </row>
    <row r="3485" spans="1:2" x14ac:dyDescent="0.25">
      <c r="A3485">
        <f ca="1">31968.7540134851*((RANDBETWEEN(2979,3282)))</f>
        <v>101117168.94465333</v>
      </c>
      <c r="B3485">
        <v>185765802.70641366</v>
      </c>
    </row>
    <row r="3486" spans="1:2" x14ac:dyDescent="0.25">
      <c r="A3486">
        <f ca="1">33327.4179191861*((RANDBETWEEN(2979,3282)))</f>
        <v>103015048.78820431</v>
      </c>
      <c r="B3486">
        <v>143781855.59244281</v>
      </c>
    </row>
    <row r="3487" spans="1:2" x14ac:dyDescent="0.25">
      <c r="A3487">
        <f ca="1">34748.9099468923*((RANDBETWEEN(2979,3282)))</f>
        <v>108520845.76414472</v>
      </c>
      <c r="B3487">
        <v>178458175.80306274</v>
      </c>
    </row>
    <row r="3488" spans="1:2" x14ac:dyDescent="0.25">
      <c r="A3488">
        <f ca="1">33501.7366016104*((RANDBETWEEN(2979,3282)))</f>
        <v>107071550.17874692</v>
      </c>
      <c r="B3488">
        <v>200976894.72563565</v>
      </c>
    </row>
    <row r="3489" spans="1:2" x14ac:dyDescent="0.25">
      <c r="A3489">
        <f ca="1">37961.3020253061*((RANDBETWEEN(2979,3282)))</f>
        <v>123905689.81059907</v>
      </c>
      <c r="B3489">
        <v>151464368.92446294</v>
      </c>
    </row>
    <row r="3490" spans="1:2" x14ac:dyDescent="0.25">
      <c r="A3490">
        <f ca="1">41650.3845638126*((RANDBETWEEN(2979,3282)))</f>
        <v>129491045.60889344</v>
      </c>
      <c r="B3490">
        <v>155511261.28417727</v>
      </c>
    </row>
    <row r="3491" spans="1:2" x14ac:dyDescent="0.25">
      <c r="A3491">
        <f ca="1">31540.763206056*((RANDBETWEEN(2979,3282)))</f>
        <v>99637270.967930913</v>
      </c>
      <c r="B3491">
        <v>156586541.93941742</v>
      </c>
    </row>
    <row r="3492" spans="1:2" x14ac:dyDescent="0.25">
      <c r="A3492">
        <f ca="1">31010.6620285983*((RANDBETWEEN(2979,3282)))</f>
        <v>93528156.678252444</v>
      </c>
      <c r="B3492">
        <v>163008239.00455591</v>
      </c>
    </row>
    <row r="3493" spans="1:2" x14ac:dyDescent="0.25">
      <c r="A3493">
        <f ca="1">33006.4587530623*((RANDBETWEEN(2979,3282)))</f>
        <v>106610861.77239135</v>
      </c>
      <c r="B3493">
        <v>201168745.43144554</v>
      </c>
    </row>
    <row r="3494" spans="1:2" x14ac:dyDescent="0.25">
      <c r="A3494">
        <f ca="1">31838.5382737197*((RANDBETWEEN(2979,3282)))</f>
        <v>100227718.48566964</v>
      </c>
      <c r="B3494">
        <v>157489514.45304167</v>
      </c>
    </row>
    <row r="3495" spans="1:2" x14ac:dyDescent="0.25">
      <c r="A3495">
        <f ca="1">39714.9460123325*((RANDBETWEEN(2979,3282)))</f>
        <v>129589868.8382411</v>
      </c>
      <c r="B3495">
        <v>152099235.32026079</v>
      </c>
    </row>
    <row r="3496" spans="1:2" x14ac:dyDescent="0.25">
      <c r="A3496">
        <f ca="1">31687.2814945093*((RANDBETWEEN(2979,3282)))</f>
        <v>96582833.995264232</v>
      </c>
      <c r="B3496">
        <v>161044369.79311204</v>
      </c>
    </row>
    <row r="3497" spans="1:2" x14ac:dyDescent="0.25">
      <c r="A3497">
        <f ca="1">38163.9119168031*((RANDBETWEEN(2979,3282)))</f>
        <v>115178686.16491176</v>
      </c>
      <c r="B3497">
        <v>152043979.53710705</v>
      </c>
    </row>
    <row r="3498" spans="1:2" x14ac:dyDescent="0.25">
      <c r="A3498">
        <f ca="1">34363.5144063816*((RANDBETWEEN(2979,3282)))</f>
        <v>109344702.84110618</v>
      </c>
      <c r="B3498">
        <v>184644598.54924354</v>
      </c>
    </row>
    <row r="3499" spans="1:2" x14ac:dyDescent="0.25">
      <c r="A3499">
        <f ca="1">33775.1153068374*((RANDBETWEEN(2979,3282)))</f>
        <v>109330048.24823263</v>
      </c>
      <c r="B3499">
        <v>148531668.58869553</v>
      </c>
    </row>
    <row r="3500" spans="1:2" x14ac:dyDescent="0.25">
      <c r="A3500">
        <f ca="1">29955.7301407252*((RANDBETWEEN(2979,3282)))</f>
        <v>90616083.675693661</v>
      </c>
      <c r="B3500">
        <v>186870048.59175089</v>
      </c>
    </row>
    <row r="3501" spans="1:2" x14ac:dyDescent="0.25">
      <c r="A3501">
        <f ca="1">33717.4217696396*((RANDBETWEEN(2979,3282)))</f>
        <v>100612786.56060457</v>
      </c>
      <c r="B3501">
        <v>179216642.06790534</v>
      </c>
    </row>
    <row r="3502" spans="1:2" x14ac:dyDescent="0.25">
      <c r="A3502">
        <f ca="1">32293.2366724585*((RANDBETWEEN(2979,3282)))</f>
        <v>103790462.66528158</v>
      </c>
      <c r="B3502">
        <v>151292173.99106616</v>
      </c>
    </row>
    <row r="3503" spans="1:2" x14ac:dyDescent="0.25">
      <c r="A3503">
        <f ca="1">40677.311670636*((RANDBETWEEN(2979,3282)))</f>
        <v>130940266.26777729</v>
      </c>
      <c r="B3503">
        <v>174606197.01541737</v>
      </c>
    </row>
    <row r="3504" spans="1:2" x14ac:dyDescent="0.25">
      <c r="A3504">
        <f ca="1">33834.4917115731*((RANDBETWEEN(2979,3282)))</f>
        <v>103770386.07939483</v>
      </c>
      <c r="B3504">
        <v>197415102.90888116</v>
      </c>
    </row>
    <row r="3505" spans="1:2" x14ac:dyDescent="0.25">
      <c r="A3505">
        <f ca="1">31337.4343857649*((RANDBETWEEN(2979,3282)))</f>
        <v>101282587.9347923</v>
      </c>
      <c r="B3505">
        <v>172813444.32287765</v>
      </c>
    </row>
    <row r="3506" spans="1:2" x14ac:dyDescent="0.25">
      <c r="A3506">
        <f ca="1">35791.1370967213*((RANDBETWEEN(2979,3282)))</f>
        <v>114639012.12079822</v>
      </c>
      <c r="B3506">
        <v>148796015.62742364</v>
      </c>
    </row>
    <row r="3507" spans="1:2" x14ac:dyDescent="0.25">
      <c r="A3507">
        <f ca="1">40891.0049221384*((RANDBETWEEN(2979,3282)))</f>
        <v>126516769.22909606</v>
      </c>
      <c r="B3507">
        <v>166164737.03239387</v>
      </c>
    </row>
    <row r="3508" spans="1:2" x14ac:dyDescent="0.25">
      <c r="A3508">
        <f ca="1">28112.8848689093*((RANDBETWEEN(2979,3282)))</f>
        <v>86587685.396240607</v>
      </c>
      <c r="B3508">
        <v>187070185.47933728</v>
      </c>
    </row>
    <row r="3509" spans="1:2" x14ac:dyDescent="0.25">
      <c r="A3509">
        <f ca="1">38866.3414912629*((RANDBETWEEN(2979,3282)))</f>
        <v>116132628.37589349</v>
      </c>
      <c r="B3509">
        <v>182507316.61640927</v>
      </c>
    </row>
    <row r="3510" spans="1:2" x14ac:dyDescent="0.25">
      <c r="A3510">
        <f ca="1">42114.9474694371*((RANDBETWEEN(2979,3282)))</f>
        <v>136031280.32628167</v>
      </c>
      <c r="B3510">
        <v>156701931.94561458</v>
      </c>
    </row>
    <row r="3511" spans="1:2" x14ac:dyDescent="0.25">
      <c r="A3511">
        <f ca="1">31211.3759075503*((RANDBETWEEN(2979,3282)))</f>
        <v>96755265.313405991</v>
      </c>
      <c r="B3511">
        <v>183524182.44931707</v>
      </c>
    </row>
    <row r="3512" spans="1:2" x14ac:dyDescent="0.25">
      <c r="A3512">
        <f ca="1">35897.5572236752*((RANDBETWEEN(2979,3282)))</f>
        <v>117061934.10640472</v>
      </c>
      <c r="B3512">
        <v>173983309.75079733</v>
      </c>
    </row>
    <row r="3513" spans="1:2" x14ac:dyDescent="0.25">
      <c r="A3513">
        <f ca="1">30812.9186957201*((RANDBETWEEN(2979,3282)))</f>
        <v>92438756.087160185</v>
      </c>
      <c r="B3513">
        <v>198251081.83037424</v>
      </c>
    </row>
    <row r="3514" spans="1:2" x14ac:dyDescent="0.25">
      <c r="A3514">
        <f ca="1">38023.5633017356*((RANDBETWEEN(2979,3282)))</f>
        <v>121181096.24263149</v>
      </c>
      <c r="B3514">
        <v>188177975.99364835</v>
      </c>
    </row>
    <row r="3515" spans="1:2" x14ac:dyDescent="0.25">
      <c r="A3515">
        <f ca="1">30275.9926578445*((RANDBETWEEN(2979,3282)))</f>
        <v>95641860.806130901</v>
      </c>
      <c r="B3515">
        <v>156810262.10656559</v>
      </c>
    </row>
    <row r="3516" spans="1:2" x14ac:dyDescent="0.25">
      <c r="A3516">
        <f ca="1">30889.0941708804*((RANDBETWEEN(2979,3282)))</f>
        <v>95570857.364704072</v>
      </c>
      <c r="B3516">
        <v>152577212.06485379</v>
      </c>
    </row>
    <row r="3517" spans="1:2" x14ac:dyDescent="0.25">
      <c r="A3517">
        <f ca="1">29936.2901756095*((RANDBETWEEN(2979,3282)))</f>
        <v>91784665.678418621</v>
      </c>
      <c r="B3517">
        <v>194386169.86026096</v>
      </c>
    </row>
    <row r="3518" spans="1:2" x14ac:dyDescent="0.25">
      <c r="A3518">
        <f ca="1">33633.3810911725*((RANDBETWEEN(2979,3282)))</f>
        <v>107694086.25393444</v>
      </c>
      <c r="B3518">
        <v>170681535.06431699</v>
      </c>
    </row>
    <row r="3519" spans="1:2" x14ac:dyDescent="0.25">
      <c r="A3519">
        <f ca="1">30169.4473416912*((RANDBETWEEN(2979,3282)))</f>
        <v>97688670.492396027</v>
      </c>
      <c r="B3519">
        <v>152389849.39675003</v>
      </c>
    </row>
    <row r="3520" spans="1:2" x14ac:dyDescent="0.25">
      <c r="A3520">
        <f ca="1">31151.9326216636*((RANDBETWEEN(2979,3282)))</f>
        <v>93113126.606152475</v>
      </c>
      <c r="B3520">
        <v>166875415.72487795</v>
      </c>
    </row>
    <row r="3521" spans="1:2" x14ac:dyDescent="0.25">
      <c r="A3521">
        <f ca="1">32317.809075668*((RANDBETWEEN(2979,3282)))</f>
        <v>100185208.13457082</v>
      </c>
      <c r="B3521">
        <v>179363146.80307454</v>
      </c>
    </row>
    <row r="3522" spans="1:2" x14ac:dyDescent="0.25">
      <c r="A3522">
        <f ca="1">31666.9022050759*((RANDBETWEEN(2979,3282)))</f>
        <v>97249056.671788141</v>
      </c>
      <c r="B3522">
        <v>183334533.10781503</v>
      </c>
    </row>
    <row r="3523" spans="1:2" x14ac:dyDescent="0.25">
      <c r="A3523">
        <f ca="1">32437.0428211925*((RANDBETWEEN(2979,3282)))</f>
        <v>101495506.98751146</v>
      </c>
      <c r="B3523">
        <v>184682570.04570693</v>
      </c>
    </row>
    <row r="3524" spans="1:2" x14ac:dyDescent="0.25">
      <c r="A3524">
        <f ca="1">31942.1693694304*((RANDBETWEEN(2979,3282)))</f>
        <v>99404031.07766737</v>
      </c>
      <c r="B3524">
        <v>154913933.19401374</v>
      </c>
    </row>
    <row r="3525" spans="1:2" x14ac:dyDescent="0.25">
      <c r="A3525">
        <f ca="1">37418.823876507*((RANDBETWEEN(2979,3282)))</f>
        <v>115212558.71576504</v>
      </c>
      <c r="B3525">
        <v>202901501.18756279</v>
      </c>
    </row>
    <row r="3526" spans="1:2" x14ac:dyDescent="0.25">
      <c r="A3526">
        <f ca="1">37057.7829618163*((RANDBETWEEN(2979,3282)))</f>
        <v>113656220.34389067</v>
      </c>
      <c r="B3526">
        <v>156417162.72791523</v>
      </c>
    </row>
    <row r="3527" spans="1:2" x14ac:dyDescent="0.25">
      <c r="A3527">
        <f ca="1">36613.0623793031*((RANDBETWEEN(2979,3282)))</f>
        <v>113646945.62535679</v>
      </c>
      <c r="B3527">
        <v>192925635.90664893</v>
      </c>
    </row>
    <row r="3528" spans="1:2" x14ac:dyDescent="0.25">
      <c r="A3528">
        <f ca="1">30912.4859182655*((RANDBETWEEN(2979,3282)))</f>
        <v>96199656.177642137</v>
      </c>
      <c r="B3528">
        <v>164161462.25282961</v>
      </c>
    </row>
    <row r="3529" spans="1:2" x14ac:dyDescent="0.25">
      <c r="A3529">
        <f ca="1">28883.5023054217*((RANDBETWEEN(2979,3282)))</f>
        <v>94680120.557172447</v>
      </c>
      <c r="B3529">
        <v>189138758.73405948</v>
      </c>
    </row>
    <row r="3530" spans="1:2" x14ac:dyDescent="0.25">
      <c r="A3530">
        <f ca="1">32504.2325898146*((RANDBETWEEN(2979,3282)))</f>
        <v>99527960.190012276</v>
      </c>
      <c r="B3530">
        <v>154756543.59966007</v>
      </c>
    </row>
    <row r="3531" spans="1:2" x14ac:dyDescent="0.25">
      <c r="A3531">
        <f ca="1">31492.227009128*((RANDBETWEEN(2979,3282)))</f>
        <v>96744121.372041106</v>
      </c>
      <c r="B3531">
        <v>189126464.4573555</v>
      </c>
    </row>
    <row r="3532" spans="1:2" x14ac:dyDescent="0.25">
      <c r="A3532">
        <f ca="1">33179.1957931156*((RANDBETWEEN(2979,3282)))</f>
        <v>104414929.16093472</v>
      </c>
      <c r="B3532">
        <v>188232041.19416237</v>
      </c>
    </row>
    <row r="3533" spans="1:2" x14ac:dyDescent="0.25">
      <c r="A3533">
        <f ca="1">39511.0443644169*((RANDBETWEEN(2979,3282)))</f>
        <v>129398670.2934652</v>
      </c>
      <c r="B3533">
        <v>146892939.59580353</v>
      </c>
    </row>
    <row r="3534" spans="1:2" x14ac:dyDescent="0.25">
      <c r="A3534">
        <f ca="1">32028.7255895204*((RANDBETWEEN(2979,3282)))</f>
        <v>101883376.1002643</v>
      </c>
      <c r="B3534">
        <v>165031201.59417635</v>
      </c>
    </row>
    <row r="3535" spans="1:2" x14ac:dyDescent="0.25">
      <c r="A3535">
        <f ca="1">32564.8494081072*((RANDBETWEEN(2979,3282)))</f>
        <v>105347287.83522676</v>
      </c>
      <c r="B3535">
        <v>186550718.88605475</v>
      </c>
    </row>
    <row r="3536" spans="1:2" x14ac:dyDescent="0.25">
      <c r="A3536">
        <f ca="1">36736.8839560804*((RANDBETWEEN(2979,3282)))</f>
        <v>111974022.29813291</v>
      </c>
      <c r="B3536">
        <v>169600976.27718893</v>
      </c>
    </row>
    <row r="3537" spans="1:2" x14ac:dyDescent="0.25">
      <c r="A3537">
        <f ca="1">32775.6103375441*((RANDBETWEEN(2979,3282)))</f>
        <v>107340123.85545696</v>
      </c>
      <c r="B3537">
        <v>154012726.26505914</v>
      </c>
    </row>
    <row r="3538" spans="1:2" x14ac:dyDescent="0.25">
      <c r="A3538">
        <f ca="1">28101.7997513735*((RANDBETWEEN(2979,3282)))</f>
        <v>87087477.429506525</v>
      </c>
      <c r="B3538">
        <v>150845636.06479222</v>
      </c>
    </row>
    <row r="3539" spans="1:2" x14ac:dyDescent="0.25">
      <c r="A3539">
        <f ca="1">33408.3415121661*((RANDBETWEEN(2979,3282)))</f>
        <v>102363158.39327706</v>
      </c>
      <c r="B3539">
        <v>147670913.28980738</v>
      </c>
    </row>
    <row r="3540" spans="1:2" x14ac:dyDescent="0.25">
      <c r="A3540">
        <f ca="1">31299.7906143655*((RANDBETWEEN(2979,3282)))</f>
        <v>96935451.532689884</v>
      </c>
      <c r="B3540">
        <v>180872766.40449387</v>
      </c>
    </row>
    <row r="3541" spans="1:2" x14ac:dyDescent="0.25">
      <c r="A3541">
        <f ca="1">34521.0685689304*((RANDBETWEEN(2979,3282)))</f>
        <v>108465197.44357921</v>
      </c>
      <c r="B3541">
        <v>150516234.35199875</v>
      </c>
    </row>
    <row r="3542" spans="1:2" x14ac:dyDescent="0.25">
      <c r="A3542">
        <f ca="1">31636.936727128*((RANDBETWEEN(2979,3282)))</f>
        <v>94309708.383568704</v>
      </c>
      <c r="B3542">
        <v>173204426.15480319</v>
      </c>
    </row>
    <row r="3543" spans="1:2" x14ac:dyDescent="0.25">
      <c r="A3543">
        <f ca="1">32410.6675109244*((RANDBETWEEN(2979,3282)))</f>
        <v>97037538.527707666</v>
      </c>
      <c r="B3543">
        <v>173265050.29659891</v>
      </c>
    </row>
    <row r="3544" spans="1:2" x14ac:dyDescent="0.25">
      <c r="A3544">
        <f ca="1">38869.1006714149*((RANDBETWEEN(2979,3282)))</f>
        <v>123681478.33644234</v>
      </c>
      <c r="B3544">
        <v>184809496.05139199</v>
      </c>
    </row>
    <row r="3545" spans="1:2" x14ac:dyDescent="0.25">
      <c r="A3545">
        <f ca="1">33239.9175785502*((RANDBETWEEN(2979,3282)))</f>
        <v>103974462.18570513</v>
      </c>
      <c r="B3545">
        <v>171547949.80858168</v>
      </c>
    </row>
    <row r="3546" spans="1:2" x14ac:dyDescent="0.25">
      <c r="A3546">
        <f ca="1">40278.7078072049*((RANDBETWEEN(2979,3282)))</f>
        <v>127119601.83953854</v>
      </c>
      <c r="B3546">
        <v>163276237.28474259</v>
      </c>
    </row>
    <row r="3547" spans="1:2" x14ac:dyDescent="0.25">
      <c r="A3547">
        <f ca="1">31219.473476223*((RANDBETWEEN(2979,3282)))</f>
        <v>96780367.776291177</v>
      </c>
      <c r="B3547">
        <v>162280456.41750389</v>
      </c>
    </row>
    <row r="3548" spans="1:2" x14ac:dyDescent="0.25">
      <c r="A3548">
        <f ca="1">31063.9684923894*((RANDBETWEEN(2979,3282)))</f>
        <v>99435763.144138515</v>
      </c>
      <c r="B3548">
        <v>166170476.66611707</v>
      </c>
    </row>
    <row r="3549" spans="1:2" x14ac:dyDescent="0.25">
      <c r="A3549">
        <f ca="1">40292.9422551905*((RANDBETWEEN(2979,3282)))</f>
        <v>120516190.28527501</v>
      </c>
      <c r="B3549">
        <v>161189533.02677184</v>
      </c>
    </row>
    <row r="3550" spans="1:2" x14ac:dyDescent="0.25">
      <c r="A3550">
        <f ca="1">29794.6939332757*((RANDBETWEEN(2979,3282)))</f>
        <v>94687537.319950327</v>
      </c>
      <c r="B3550">
        <v>175635830.52077717</v>
      </c>
    </row>
    <row r="3551" spans="1:2" x14ac:dyDescent="0.25">
      <c r="A3551">
        <f ca="1">30729.2531787982*((RANDBETWEEN(2979,3282)))</f>
        <v>97227357.057717472</v>
      </c>
      <c r="B3551">
        <v>160219875.51332051</v>
      </c>
    </row>
    <row r="3552" spans="1:2" x14ac:dyDescent="0.25">
      <c r="A3552">
        <f ca="1">43501.186596553*((RANDBETWEEN(2979,3282)))</f>
        <v>134375165.39675221</v>
      </c>
      <c r="B3552">
        <v>151582462.53094012</v>
      </c>
    </row>
    <row r="3553" spans="1:2" x14ac:dyDescent="0.25">
      <c r="A3553">
        <f ca="1">32445.7031503368*((RANDBETWEEN(2979,3282)))</f>
        <v>99381188.749481678</v>
      </c>
      <c r="B3553">
        <v>193353602.76566848</v>
      </c>
    </row>
    <row r="3554" spans="1:2" x14ac:dyDescent="0.25">
      <c r="A3554">
        <f ca="1">40543.452735994*((RANDBETWEEN(2979,3282)))</f>
        <v>127184811.23281321</v>
      </c>
      <c r="B3554">
        <v>170435291.80293885</v>
      </c>
    </row>
    <row r="3555" spans="1:2" x14ac:dyDescent="0.25">
      <c r="A3555">
        <f ca="1">31236.4373070721*((RANDBETWEEN(2979,3282)))</f>
        <v>99675471.446866974</v>
      </c>
      <c r="B3555">
        <v>184715005.24864742</v>
      </c>
    </row>
    <row r="3556" spans="1:2" x14ac:dyDescent="0.25">
      <c r="A3556">
        <f ca="1">32151.3114208386*((RANDBETWEEN(2979,3282)))</f>
        <v>99122493.110445425</v>
      </c>
      <c r="B3556">
        <v>191885207.0194774</v>
      </c>
    </row>
    <row r="3557" spans="1:2" x14ac:dyDescent="0.25">
      <c r="A3557">
        <f ca="1">41497.54207377*((RANDBETWEEN(2979,3282)))</f>
        <v>129140350.93357238</v>
      </c>
      <c r="B3557">
        <v>147093622.96749616</v>
      </c>
    </row>
    <row r="3558" spans="1:2" x14ac:dyDescent="0.25">
      <c r="A3558">
        <f ca="1">36944.6360067426*((RANDBETWEEN(2979,3282)))</f>
        <v>111572800.74036258</v>
      </c>
      <c r="B3558">
        <v>144705140.63590869</v>
      </c>
    </row>
    <row r="3559" spans="1:2" x14ac:dyDescent="0.25">
      <c r="A3559">
        <f ca="1">33511.7458062734*((RANDBETWEEN(2979,3282)))</f>
        <v>101708148.52203986</v>
      </c>
      <c r="B3559">
        <v>146299528.7427187</v>
      </c>
    </row>
    <row r="3560" spans="1:2" x14ac:dyDescent="0.25">
      <c r="A3560">
        <f ca="1">33592.1512024363*((RANDBETWEEN(2979,3282)))</f>
        <v>103228680.64508668</v>
      </c>
      <c r="B3560">
        <v>147491344.77686852</v>
      </c>
    </row>
    <row r="3561" spans="1:2" x14ac:dyDescent="0.25">
      <c r="A3561">
        <f ca="1">35441.4547845617*((RANDBETWEEN(2979,3282)))</f>
        <v>108982473.46252717</v>
      </c>
      <c r="B3561">
        <v>152342543.97852415</v>
      </c>
    </row>
    <row r="3562" spans="1:2" x14ac:dyDescent="0.25">
      <c r="A3562">
        <f ca="1">32611.4865940387*((RANDBETWEEN(2979,3282)))</f>
        <v>101421723.30746046</v>
      </c>
      <c r="B3562">
        <v>190643295.57148656</v>
      </c>
    </row>
    <row r="3563" spans="1:2" x14ac:dyDescent="0.25">
      <c r="A3563">
        <f ca="1">36111.3917746182*((RANDBETWEEN(2979,3282)))</f>
        <v>110320301.87145866</v>
      </c>
      <c r="B3563">
        <v>160892816.54112783</v>
      </c>
    </row>
    <row r="3564" spans="1:2" x14ac:dyDescent="0.25">
      <c r="A3564">
        <f ca="1">38368.3684353632*((RANDBETWEEN(2979,3282)))</f>
        <v>119210520.72867359</v>
      </c>
      <c r="B3564">
        <v>189797679.45895517</v>
      </c>
    </row>
    <row r="3565" spans="1:2" x14ac:dyDescent="0.25">
      <c r="A3565">
        <f ca="1">30118.6179763044*((RANDBETWEEN(2979,3282)))</f>
        <v>94903765.243335307</v>
      </c>
      <c r="B3565">
        <v>163982221.49133027</v>
      </c>
    </row>
    <row r="3566" spans="1:2" x14ac:dyDescent="0.25">
      <c r="A3566">
        <f ca="1">33449.8975175064*((RANDBETWEEN(2979,3282)))</f>
        <v>100182443.06493166</v>
      </c>
      <c r="B3566">
        <v>157073397.81250912</v>
      </c>
    </row>
    <row r="3567" spans="1:2" x14ac:dyDescent="0.25">
      <c r="A3567">
        <f ca="1">29503.0716675896*((RANDBETWEEN(2979,3282)))</f>
        <v>94852375.41130051</v>
      </c>
      <c r="B3567">
        <v>176874786.98068964</v>
      </c>
    </row>
    <row r="3568" spans="1:2" x14ac:dyDescent="0.25">
      <c r="A3568">
        <f ca="1">34185.4274300611*((RANDBETWEEN(2979,3282)))</f>
        <v>103479288.83079493</v>
      </c>
      <c r="B3568">
        <v>145641921.0245558</v>
      </c>
    </row>
    <row r="3569" spans="1:2" x14ac:dyDescent="0.25">
      <c r="A3569">
        <f ca="1">32813.1460146123*((RANDBETWEEN(2979,3282)))</f>
        <v>100112908.49058211</v>
      </c>
      <c r="B3569">
        <v>164624731.00373226</v>
      </c>
    </row>
    <row r="3570" spans="1:2" x14ac:dyDescent="0.25">
      <c r="A3570">
        <f ca="1">36162.5165141926*((RANDBETWEEN(2979,3282)))</f>
        <v>115828540.39495884</v>
      </c>
      <c r="B3570">
        <v>152250993.73575309</v>
      </c>
    </row>
    <row r="3571" spans="1:2" x14ac:dyDescent="0.25">
      <c r="A3571">
        <f ca="1">37309.2933916956*((RANDBETWEEN(2979,3282)))</f>
        <v>111815952.29491156</v>
      </c>
      <c r="B3571">
        <v>171453497.33062926</v>
      </c>
    </row>
    <row r="3572" spans="1:2" x14ac:dyDescent="0.25">
      <c r="A3572">
        <f ca="1">38755.69413837*((RANDBETWEEN(2979,3282)))</f>
        <v>116809662.13304703</v>
      </c>
      <c r="B3572">
        <v>196947249.98915887</v>
      </c>
    </row>
    <row r="3573" spans="1:2" x14ac:dyDescent="0.25">
      <c r="A3573">
        <f ca="1">30721.3398880954*((RANDBETWEEN(2979,3282)))</f>
        <v>92932053.161488712</v>
      </c>
      <c r="B3573">
        <v>158890700.17586705</v>
      </c>
    </row>
    <row r="3574" spans="1:2" x14ac:dyDescent="0.25">
      <c r="A3574">
        <f ca="1">41331.8614315316*((RANDBETWEEN(2979,3282)))</f>
        <v>129616717.44928299</v>
      </c>
      <c r="B3574">
        <v>185677303.73842591</v>
      </c>
    </row>
    <row r="3575" spans="1:2" x14ac:dyDescent="0.25">
      <c r="A3575">
        <f ca="1">38340.9331654398*((RANDBETWEEN(2979,3282)))</f>
        <v>117668323.88473472</v>
      </c>
      <c r="B3575">
        <v>159946019.17453498</v>
      </c>
    </row>
    <row r="3576" spans="1:2" x14ac:dyDescent="0.25">
      <c r="A3576">
        <f ca="1">39056.1684677658*((RANDBETWEEN(2979,3282)))</f>
        <v>117285673.90870059</v>
      </c>
      <c r="B3576">
        <v>147147798.98522803</v>
      </c>
    </row>
    <row r="3577" spans="1:2" x14ac:dyDescent="0.25">
      <c r="A3577">
        <f ca="1">31609.7229417909*((RANDBETWEEN(2979,3282)))</f>
        <v>99412578.651932359</v>
      </c>
      <c r="B3577">
        <v>189428327.03671959</v>
      </c>
    </row>
    <row r="3578" spans="1:2" x14ac:dyDescent="0.25">
      <c r="A3578">
        <f ca="1">34398.6202662934*((RANDBETWEEN(2979,3282)))</f>
        <v>105844554.55938487</v>
      </c>
      <c r="B3578">
        <v>144981430.10813075</v>
      </c>
    </row>
    <row r="3579" spans="1:2" x14ac:dyDescent="0.25">
      <c r="A3579">
        <f ca="1">32933.1210836673*((RANDBETWEEN(2979,3282)))</f>
        <v>103344133.96054798</v>
      </c>
      <c r="B3579">
        <v>189000031.03625235</v>
      </c>
    </row>
    <row r="3580" spans="1:2" x14ac:dyDescent="0.25">
      <c r="A3580">
        <f ca="1">37722.4266347199*((RANDBETWEEN(2979,3282)))</f>
        <v>123088278.1090911</v>
      </c>
      <c r="B3580">
        <v>182128411.17708158</v>
      </c>
    </row>
    <row r="3581" spans="1:2" x14ac:dyDescent="0.25">
      <c r="A3581">
        <f ca="1">32768.047876336*((RANDBETWEEN(2979,3282)))</f>
        <v>102727830.09231323</v>
      </c>
      <c r="B3581">
        <v>154270191.74878535</v>
      </c>
    </row>
    <row r="3582" spans="1:2" x14ac:dyDescent="0.25">
      <c r="A3582">
        <f ca="1">39886.7162537399*((RANDBETWEEN(2979,3282)))</f>
        <v>121973578.30393653</v>
      </c>
      <c r="B3582">
        <v>188353219.43073046</v>
      </c>
    </row>
    <row r="3583" spans="1:2" x14ac:dyDescent="0.25">
      <c r="A3583">
        <f ca="1">31328.0238406928*((RANDBETWEEN(2979,3282)))</f>
        <v>98933899.288907915</v>
      </c>
      <c r="B3583">
        <v>156703373.41365981</v>
      </c>
    </row>
    <row r="3584" spans="1:2" x14ac:dyDescent="0.25">
      <c r="A3584">
        <f ca="1">30157.163215716*((RANDBETWEEN(2979,3282)))</f>
        <v>96442607.963859737</v>
      </c>
      <c r="B3584">
        <v>151526900.58852774</v>
      </c>
    </row>
    <row r="3585" spans="1:2" x14ac:dyDescent="0.25">
      <c r="A3585">
        <f ca="1">29487.1534878538*((RANDBETWEEN(2979,3282)))</f>
        <v>92206328.956518903</v>
      </c>
      <c r="B3585">
        <v>145692664.0160749</v>
      </c>
    </row>
    <row r="3586" spans="1:2" x14ac:dyDescent="0.25">
      <c r="A3586">
        <f ca="1">32099.299300696*((RANDBETWEEN(2979,3282)))</f>
        <v>103841233.23775171</v>
      </c>
      <c r="B3586">
        <v>200044630.78147626</v>
      </c>
    </row>
    <row r="3587" spans="1:2" x14ac:dyDescent="0.25">
      <c r="A3587">
        <f ca="1">38268.0190681703*((RANDBETWEEN(2979,3282)))</f>
        <v>119396219.4926912</v>
      </c>
      <c r="B3587">
        <v>176703404.95950541</v>
      </c>
    </row>
    <row r="3588" spans="1:2" x14ac:dyDescent="0.25">
      <c r="A3588">
        <f ca="1">28666.6215871674*((RANDBETWEEN(2979,3282)))</f>
        <v>87232529.4897504</v>
      </c>
      <c r="B3588">
        <v>151507740.30166274</v>
      </c>
    </row>
    <row r="3589" spans="1:2" x14ac:dyDescent="0.25">
      <c r="A3589">
        <f ca="1">37752.7058433454*((RANDBETWEEN(2979,3282)))</f>
        <v>121827981.75647573</v>
      </c>
      <c r="B3589">
        <v>143649431.82261395</v>
      </c>
    </row>
    <row r="3590" spans="1:2" x14ac:dyDescent="0.25">
      <c r="A3590">
        <f ca="1">35764.4901450025*((RANDBETWEEN(2979,3282)))</f>
        <v>110190394.13675278</v>
      </c>
      <c r="B3590">
        <v>172370433.60455379</v>
      </c>
    </row>
    <row r="3591" spans="1:2" x14ac:dyDescent="0.25">
      <c r="A3591">
        <f ca="1">41094.8025952154*((RANDBETWEEN(2979,3282)))</f>
        <v>126037759.55952553</v>
      </c>
      <c r="B3591">
        <v>193482446.34093073</v>
      </c>
    </row>
    <row r="3592" spans="1:2" x14ac:dyDescent="0.25">
      <c r="A3592">
        <f ca="1">31587.3977747281*((RANDBETWEEN(2979,3282)))</f>
        <v>102185231.80124542</v>
      </c>
      <c r="B3592">
        <v>194065550.29487225</v>
      </c>
    </row>
    <row r="3593" spans="1:2" x14ac:dyDescent="0.25">
      <c r="A3593">
        <f ca="1">31405.2788892433*((RANDBETWEEN(2979,3282)))</f>
        <v>94529889.456622258</v>
      </c>
      <c r="B3593">
        <v>181621074.74400097</v>
      </c>
    </row>
    <row r="3594" spans="1:2" x14ac:dyDescent="0.25">
      <c r="A3594">
        <f ca="1">35126.1768161369*((RANDBETWEEN(2979,3282)))</f>
        <v>108715517.24594358</v>
      </c>
      <c r="B3594">
        <v>193714290.59227356</v>
      </c>
    </row>
    <row r="3595" spans="1:2" x14ac:dyDescent="0.25">
      <c r="A3595">
        <f ca="1">29999.7755224592*((RANDBETWEEN(2979,3282)))</f>
        <v>92339309.058129549</v>
      </c>
      <c r="B3595">
        <v>147279257.60778812</v>
      </c>
    </row>
    <row r="3596" spans="1:2" x14ac:dyDescent="0.25">
      <c r="A3596">
        <f ca="1">30406.0270654976*((RANDBETWEEN(2979,3282)))</f>
        <v>93224878.982815668</v>
      </c>
      <c r="B3596">
        <v>167225700.32994127</v>
      </c>
    </row>
    <row r="3597" spans="1:2" x14ac:dyDescent="0.25">
      <c r="A3597">
        <f ca="1">31478.8218322186*((RANDBETWEEN(2979,3282)))</f>
        <v>95506745.43895112</v>
      </c>
      <c r="B3597">
        <v>201331423.05293906</v>
      </c>
    </row>
    <row r="3598" spans="1:2" x14ac:dyDescent="0.25">
      <c r="A3598">
        <f ca="1">35135.5566694076*((RANDBETWEEN(2979,3282)))</f>
        <v>111028359.07532817</v>
      </c>
      <c r="B3598">
        <v>188876597.69223082</v>
      </c>
    </row>
    <row r="3599" spans="1:2" x14ac:dyDescent="0.25">
      <c r="A3599">
        <f ca="1">33387.5495993584*((RANDBETWEEN(2979,3282)))</f>
        <v>100196036.34767453</v>
      </c>
      <c r="B3599">
        <v>159626287.89536363</v>
      </c>
    </row>
    <row r="3600" spans="1:2" x14ac:dyDescent="0.25">
      <c r="A3600">
        <f ca="1">32698.7054598089*((RANDBETWEEN(2979,3282)))</f>
        <v>105584119.92972286</v>
      </c>
      <c r="B3600">
        <v>167975641.52959934</v>
      </c>
    </row>
    <row r="3601" spans="1:2" x14ac:dyDescent="0.25">
      <c r="A3601">
        <f ca="1">39520.5455153924*((RANDBETWEEN(2979,3282)))</f>
        <v>118640677.6372079</v>
      </c>
      <c r="B3601">
        <v>198774717.47394687</v>
      </c>
    </row>
    <row r="3602" spans="1:2" x14ac:dyDescent="0.25">
      <c r="A3602">
        <f ca="1">31313.0161935786*((RANDBETWEEN(2979,3282)))</f>
        <v>95191569.228479043</v>
      </c>
      <c r="B3602">
        <v>164457576.35320586</v>
      </c>
    </row>
    <row r="3603" spans="1:2" x14ac:dyDescent="0.25">
      <c r="A3603">
        <f ca="1">38144.3526080829*((RANDBETWEEN(2979,3282)))</f>
        <v>117026873.80159819</v>
      </c>
      <c r="B3603">
        <v>152932306.73954797</v>
      </c>
    </row>
    <row r="3604" spans="1:2" x14ac:dyDescent="0.25">
      <c r="A3604">
        <f ca="1">27338.4410488011*((RANDBETWEEN(2979,3282)))</f>
        <v>83081522.347306609</v>
      </c>
      <c r="B3604">
        <v>180948307.60304287</v>
      </c>
    </row>
    <row r="3605" spans="1:2" x14ac:dyDescent="0.25">
      <c r="A3605">
        <f ca="1">32186.1289872306*((RANDBETWEEN(2979,3282)))</f>
        <v>96944620.509538636</v>
      </c>
      <c r="B3605">
        <v>148949903.73793939</v>
      </c>
    </row>
    <row r="3606" spans="1:2" x14ac:dyDescent="0.25">
      <c r="A3606">
        <f ca="1">38009.3072855002*((RANDBETWEEN(2979,3282)))</f>
        <v>120679550.63146323</v>
      </c>
      <c r="B3606">
        <v>176694194.93664604</v>
      </c>
    </row>
    <row r="3607" spans="1:2" x14ac:dyDescent="0.25">
      <c r="A3607">
        <f ca="1">30180.4828810433*((RANDBETWEEN(2979,3282)))</f>
        <v>91658126.509728462</v>
      </c>
      <c r="B3607">
        <v>155942807.02718276</v>
      </c>
    </row>
    <row r="3608" spans="1:2" x14ac:dyDescent="0.25">
      <c r="A3608">
        <f ca="1">32332.0039581654*((RANDBETWEEN(2979,3282)))</f>
        <v>102589448.55925888</v>
      </c>
      <c r="B3608">
        <v>150914037.2483815</v>
      </c>
    </row>
    <row r="3609" spans="1:2" x14ac:dyDescent="0.25">
      <c r="A3609">
        <f ca="1">30069.9454978428*((RANDBETWEEN(2979,3282)))</f>
        <v>93066481.315823525</v>
      </c>
      <c r="B3609">
        <v>192881312.28806117</v>
      </c>
    </row>
    <row r="3610" spans="1:2" x14ac:dyDescent="0.25">
      <c r="A3610">
        <f ca="1">33872.2566437403*((RANDBETWEEN(2979,3282)))</f>
        <v>110863895.99496186</v>
      </c>
      <c r="B3610">
        <v>154322023.20409402</v>
      </c>
    </row>
    <row r="3611" spans="1:2" x14ac:dyDescent="0.25">
      <c r="A3611">
        <f ca="1">31723.3706740084*((RANDBETWEEN(2979,3282)))</f>
        <v>100848595.37267265</v>
      </c>
      <c r="B3611">
        <v>151221790.59817263</v>
      </c>
    </row>
    <row r="3612" spans="1:2" x14ac:dyDescent="0.25">
      <c r="A3612">
        <f ca="1">41676.6296569327*((RANDBETWEEN(2979,3282)))</f>
        <v>134740543.6808635</v>
      </c>
      <c r="B3612">
        <v>196575517.96799546</v>
      </c>
    </row>
    <row r="3613" spans="1:2" x14ac:dyDescent="0.25">
      <c r="A3613">
        <f ca="1">32036.6266095332*((RANDBETWEEN(2979,3282)))</f>
        <v>100883337.1934201</v>
      </c>
      <c r="B3613">
        <v>144513330.14094555</v>
      </c>
    </row>
    <row r="3614" spans="1:2" x14ac:dyDescent="0.25">
      <c r="A3614">
        <f ca="1">31754.5794563192*((RANDBETWEEN(2979,3282)))</f>
        <v>94850928.836025387</v>
      </c>
      <c r="B3614">
        <v>202235660.14455938</v>
      </c>
    </row>
    <row r="3615" spans="1:2" x14ac:dyDescent="0.25">
      <c r="A3615">
        <f ca="1">35778.3094496104*((RANDBETWEEN(2979,3282)))</f>
        <v>112129221.81507884</v>
      </c>
      <c r="B3615">
        <v>169493273.11595309</v>
      </c>
    </row>
    <row r="3616" spans="1:2" x14ac:dyDescent="0.25">
      <c r="A3616">
        <f ca="1">31378.4388378787*((RANDBETWEEN(2979,3282)))</f>
        <v>93758775.247581646</v>
      </c>
      <c r="B3616">
        <v>183111141.67218143</v>
      </c>
    </row>
    <row r="3617" spans="1:2" x14ac:dyDescent="0.25">
      <c r="A3617">
        <f ca="1">33158.786862185*((RANDBETWEEN(2979,3282)))</f>
        <v>108031327.59699878</v>
      </c>
      <c r="B3617">
        <v>173523863.03280693</v>
      </c>
    </row>
    <row r="3618" spans="1:2" x14ac:dyDescent="0.25">
      <c r="A3618">
        <f ca="1">30919.5022953556*((RANDBETWEEN(2979,3282)))</f>
        <v>99220682.865796149</v>
      </c>
      <c r="B3618">
        <v>153795595.42081362</v>
      </c>
    </row>
    <row r="3619" spans="1:2" x14ac:dyDescent="0.25">
      <c r="A3619">
        <f ca="1">31704.7340167537*((RANDBETWEEN(2979,3282)))</f>
        <v>102025834.06591327</v>
      </c>
      <c r="B3619">
        <v>180703660.37701416</v>
      </c>
    </row>
    <row r="3620" spans="1:2" x14ac:dyDescent="0.25">
      <c r="A3620">
        <f ca="1">31368.9115149198*((RANDBETWEEN(2979,3282)))</f>
        <v>97243625.696251377</v>
      </c>
      <c r="B3620">
        <v>155636368.61325052</v>
      </c>
    </row>
    <row r="3621" spans="1:2" x14ac:dyDescent="0.25">
      <c r="A3621">
        <f ca="1">29467.6231063255*((RANDBETWEEN(2979,3282)))</f>
        <v>96241257.065258995</v>
      </c>
      <c r="B3621">
        <v>158611098.29845592</v>
      </c>
    </row>
    <row r="3622" spans="1:2" x14ac:dyDescent="0.25">
      <c r="A3622">
        <f ca="1">29228.0814437876*((RANDBETWEEN(2979,3282)))</f>
        <v>90548596.312853962</v>
      </c>
      <c r="B3622">
        <v>170544265.11904234</v>
      </c>
    </row>
    <row r="3623" spans="1:2" x14ac:dyDescent="0.25">
      <c r="A3623">
        <f ca="1">36771.2485654878*((RANDBETWEEN(2979,3282)))</f>
        <v>119469786.58926976</v>
      </c>
      <c r="B3623">
        <v>165436356.29986235</v>
      </c>
    </row>
    <row r="3624" spans="1:2" x14ac:dyDescent="0.25">
      <c r="A3624">
        <f ca="1">31423.6002177635*((RANDBETWEEN(2979,3282)))</f>
        <v>96941806.67180042</v>
      </c>
      <c r="B3624">
        <v>184757461.27640098</v>
      </c>
    </row>
    <row r="3625" spans="1:2" x14ac:dyDescent="0.25">
      <c r="A3625">
        <f ca="1">29361.0270127322*((RANDBETWEEN(2979,3282)))</f>
        <v>89051994.929616883</v>
      </c>
      <c r="B3625">
        <v>148113076.97118717</v>
      </c>
    </row>
    <row r="3626" spans="1:2" x14ac:dyDescent="0.25">
      <c r="A3626">
        <f ca="1">33008.5506533877*((RANDBETWEEN(2979,3282)))</f>
        <v>104340028.61535853</v>
      </c>
      <c r="B3626">
        <v>155551566.6436381</v>
      </c>
    </row>
    <row r="3627" spans="1:2" x14ac:dyDescent="0.25">
      <c r="A3627">
        <f ca="1">32066.6750495174*((RANDBETWEEN(2979,3282)))</f>
        <v>96007625.098255008</v>
      </c>
      <c r="B3627">
        <v>149252078.12102142</v>
      </c>
    </row>
    <row r="3628" spans="1:2" x14ac:dyDescent="0.25">
      <c r="A3628">
        <f ca="1">32769.828448934*((RANDBETWEEN(2979,3282)))</f>
        <v>104273594.12450805</v>
      </c>
      <c r="B3628">
        <v>181020126.4470906</v>
      </c>
    </row>
    <row r="3629" spans="1:2" x14ac:dyDescent="0.25">
      <c r="A3629">
        <f ca="1">38669.9931513255*((RANDBETWEEN(2979,3282)))</f>
        <v>118910228.94032578</v>
      </c>
      <c r="B3629">
        <v>175731669.03891498</v>
      </c>
    </row>
    <row r="3630" spans="1:2" x14ac:dyDescent="0.25">
      <c r="A3630">
        <f ca="1">30063.5605139502*((RANDBETWEEN(2979,3282)))</f>
        <v>89829918.815683335</v>
      </c>
      <c r="B3630">
        <v>142965618.0953505</v>
      </c>
    </row>
    <row r="3631" spans="1:2" x14ac:dyDescent="0.25">
      <c r="A3631">
        <f ca="1">41829.8436707437*((RANDBETWEEN(2979,3282)))</f>
        <v>131889497.09385495</v>
      </c>
      <c r="B3631">
        <v>183898162.79387414</v>
      </c>
    </row>
    <row r="3632" spans="1:2" x14ac:dyDescent="0.25">
      <c r="A3632">
        <f ca="1">32943.3584717924*((RANDBETWEEN(2979,3282)))</f>
        <v>101169053.86687438</v>
      </c>
      <c r="B3632">
        <v>144628230.3070623</v>
      </c>
    </row>
    <row r="3633" spans="1:2" x14ac:dyDescent="0.25">
      <c r="A3633">
        <f ca="1">32136.7178024708*((RANDBETWEEN(2979,3282)))</f>
        <v>104283649.26901771</v>
      </c>
      <c r="B3633">
        <v>158316924.55502591</v>
      </c>
    </row>
    <row r="3634" spans="1:2" x14ac:dyDescent="0.25">
      <c r="A3634">
        <f ca="1">31873.0229762003*((RANDBETWEEN(2979,3282)))</f>
        <v>102471768.86848383</v>
      </c>
      <c r="B3634">
        <v>146902136.48035121</v>
      </c>
    </row>
    <row r="3635" spans="1:2" x14ac:dyDescent="0.25">
      <c r="A3635">
        <f ca="1">41822.0475351081*((RANDBETWEEN(2979,3282)))</f>
        <v>128853728.45566796</v>
      </c>
      <c r="B3635">
        <v>172475225.49105984</v>
      </c>
    </row>
    <row r="3636" spans="1:2" x14ac:dyDescent="0.25">
      <c r="A3636">
        <f ca="1">30018.9942469218*((RANDBETWEEN(2979,3282)))</f>
        <v>96210876.561384425</v>
      </c>
      <c r="B3636">
        <v>160351154.82842857</v>
      </c>
    </row>
    <row r="3637" spans="1:2" x14ac:dyDescent="0.25">
      <c r="A3637">
        <f ca="1">33876.3992261344*((RANDBETWEEN(2979,3282)))</f>
        <v>107557567.54297666</v>
      </c>
      <c r="B3637">
        <v>150842664.23195609</v>
      </c>
    </row>
    <row r="3638" spans="1:2" x14ac:dyDescent="0.25">
      <c r="A3638">
        <f ca="1">30879.2162919892*((RANDBETWEEN(2979,3282)))</f>
        <v>93934575.960231021</v>
      </c>
      <c r="B3638">
        <v>144487918.91276067</v>
      </c>
    </row>
    <row r="3639" spans="1:2" x14ac:dyDescent="0.25">
      <c r="A3639">
        <f ca="1">30688.8074109288*((RANDBETWEEN(2979,3282)))</f>
        <v>97252830.685233235</v>
      </c>
      <c r="B3639">
        <v>150825241.43322343</v>
      </c>
    </row>
    <row r="3640" spans="1:2" x14ac:dyDescent="0.25">
      <c r="A3640">
        <f ca="1">31104.2851761531*((RANDBETWEEN(2979,3282)))</f>
        <v>93841628.376453817</v>
      </c>
      <c r="B3640">
        <v>145818862.66325462</v>
      </c>
    </row>
    <row r="3641" spans="1:2" x14ac:dyDescent="0.25">
      <c r="A3641">
        <f ca="1">39998.3119093716*((RANDBETWEEN(2979,3282)))</f>
        <v>129794522.14591071</v>
      </c>
      <c r="B3641">
        <v>200028110.24620384</v>
      </c>
    </row>
    <row r="3642" spans="1:2" x14ac:dyDescent="0.25">
      <c r="A3642">
        <f ca="1">27679.2076124229*((RANDBETWEEN(2979,3282)))</f>
        <v>87410937.640031487</v>
      </c>
      <c r="B3642">
        <v>144234827.30633852</v>
      </c>
    </row>
    <row r="3643" spans="1:2" x14ac:dyDescent="0.25">
      <c r="A3643">
        <f ca="1">41199.2328449097*((RANDBETWEEN(2979,3282)))</f>
        <v>133938705.97880156</v>
      </c>
      <c r="B3643">
        <v>200149924.84571558</v>
      </c>
    </row>
    <row r="3644" spans="1:2" x14ac:dyDescent="0.25">
      <c r="A3644">
        <f ca="1">31744.7313674415*((RANDBETWEEN(2979,3282)))</f>
        <v>98726114.552743018</v>
      </c>
      <c r="B3644">
        <v>164299657.47537339</v>
      </c>
    </row>
    <row r="3645" spans="1:2" x14ac:dyDescent="0.25">
      <c r="A3645">
        <f ca="1">39467.7919669147*((RANDBETWEEN(2979,3282)))</f>
        <v>126296934.29412696</v>
      </c>
      <c r="B3645">
        <v>151666395.09498075</v>
      </c>
    </row>
    <row r="3646" spans="1:2" x14ac:dyDescent="0.25">
      <c r="A3646">
        <f ca="1">37231.3454986296*((RANDBETWEEN(2979,3282)))</f>
        <v>117018118.90219274</v>
      </c>
      <c r="B3646">
        <v>161031647.34188145</v>
      </c>
    </row>
    <row r="3647" spans="1:2" x14ac:dyDescent="0.25">
      <c r="A3647">
        <f ca="1">35561.5072576634*((RANDBETWEEN(2979,3282)))</f>
        <v>116321690.23981695</v>
      </c>
      <c r="B3647">
        <v>202209662.33288714</v>
      </c>
    </row>
    <row r="3648" spans="1:2" x14ac:dyDescent="0.25">
      <c r="A3648">
        <f ca="1">35539.9455306624*((RANDBETWEEN(2979,3282)))</f>
        <v>116037922.15761276</v>
      </c>
      <c r="B3648">
        <v>186401343.19902059</v>
      </c>
    </row>
    <row r="3649" spans="1:2" x14ac:dyDescent="0.25">
      <c r="A3649">
        <f ca="1">31919.8455111705*((RANDBETWEEN(2979,3282)))</f>
        <v>98025845.564804718</v>
      </c>
      <c r="B3649">
        <v>144821007.2280381</v>
      </c>
    </row>
    <row r="3650" spans="1:2" x14ac:dyDescent="0.25">
      <c r="A3650">
        <f ca="1">32081.4829697511*((RANDBETWEEN(2979,3282)))</f>
        <v>99997982.416714311</v>
      </c>
      <c r="B3650">
        <v>146010958.1963957</v>
      </c>
    </row>
    <row r="3651" spans="1:2" x14ac:dyDescent="0.25">
      <c r="A3651">
        <f ca="1">34308.7829128*((RANDBETWEEN(2979,3282)))</f>
        <v>111434926.90077424</v>
      </c>
      <c r="B3651">
        <v>154583826.88964117</v>
      </c>
    </row>
    <row r="3652" spans="1:2" x14ac:dyDescent="0.25">
      <c r="A3652">
        <f ca="1">32843.9331159346*((RANDBETWEEN(2979,3282)))</f>
        <v>101553441.19446975</v>
      </c>
      <c r="B3652">
        <v>183437929.27498132</v>
      </c>
    </row>
    <row r="3653" spans="1:2" x14ac:dyDescent="0.25">
      <c r="A3653">
        <f ca="1">32263.0464357855*((RANDBETWEEN(2979,3282)))</f>
        <v>104112850.84827991</v>
      </c>
      <c r="B3653">
        <v>197321044.77196464</v>
      </c>
    </row>
    <row r="3654" spans="1:2" x14ac:dyDescent="0.25">
      <c r="A3654">
        <f ca="1">32726.5084572604*((RANDBETWEEN(2979,3282)))</f>
        <v>102139432.89510956</v>
      </c>
      <c r="B3654">
        <v>178877705.93450433</v>
      </c>
    </row>
    <row r="3655" spans="1:2" x14ac:dyDescent="0.25">
      <c r="A3655">
        <f ca="1">31469.2468832105*((RANDBETWEEN(2979,3282)))</f>
        <v>94407740.649631366</v>
      </c>
      <c r="B3655">
        <v>151453065.91315818</v>
      </c>
    </row>
    <row r="3656" spans="1:2" x14ac:dyDescent="0.25">
      <c r="A3656">
        <f ca="1">31639.0531377814*((RANDBETWEEN(2979,3282)))</f>
        <v>98524011.47105132</v>
      </c>
      <c r="B3656">
        <v>151325714.95381251</v>
      </c>
    </row>
    <row r="3657" spans="1:2" x14ac:dyDescent="0.25">
      <c r="A3657">
        <f ca="1">30198.1798240111*((RANDBETWEEN(2979,3282)))</f>
        <v>97630715.371027976</v>
      </c>
      <c r="B3657">
        <v>163601256.29824471</v>
      </c>
    </row>
    <row r="3658" spans="1:2" x14ac:dyDescent="0.25">
      <c r="A3658">
        <f ca="1">27847.5030210291*((RANDBETWEEN(2979,3282)))</f>
        <v>86689276.904463664</v>
      </c>
      <c r="B3658">
        <v>170305949.31765449</v>
      </c>
    </row>
    <row r="3659" spans="1:2" x14ac:dyDescent="0.25">
      <c r="A3659">
        <f ca="1">39600.6813892004*((RANDBETWEEN(2979,3282)))</f>
        <v>128741815.19629061</v>
      </c>
      <c r="B3659">
        <v>146100161.02092734</v>
      </c>
    </row>
    <row r="3660" spans="1:2" x14ac:dyDescent="0.25">
      <c r="A3660">
        <f ca="1">29754.455298835*((RANDBETWEEN(2979,3282)))</f>
        <v>92804146.077066302</v>
      </c>
      <c r="B3660">
        <v>163179867.19167644</v>
      </c>
    </row>
    <row r="3661" spans="1:2" x14ac:dyDescent="0.25">
      <c r="A3661">
        <f ca="1">30314.8884052474*((RANDBETWEEN(2979,3282)))</f>
        <v>92672613.854841322</v>
      </c>
      <c r="B3661">
        <v>190469727.25535336</v>
      </c>
    </row>
    <row r="3662" spans="1:2" x14ac:dyDescent="0.25">
      <c r="A3662">
        <f ca="1">31244.4811360957*((RANDBETWEEN(2979,3282)))</f>
        <v>95326911.946228057</v>
      </c>
      <c r="B3662">
        <v>174734497.09820703</v>
      </c>
    </row>
    <row r="3663" spans="1:2" x14ac:dyDescent="0.25">
      <c r="A3663">
        <f ca="1">30757.6656280177*((RANDBETWEEN(2979,3282)))</f>
        <v>92580573.540333331</v>
      </c>
      <c r="B3663">
        <v>144828101.8006295</v>
      </c>
    </row>
    <row r="3664" spans="1:2" x14ac:dyDescent="0.25">
      <c r="A3664">
        <f ca="1">29188.8165003754*((RANDBETWEEN(2979,3282)))</f>
        <v>90281009.435661212</v>
      </c>
      <c r="B3664">
        <v>142934463.40919799</v>
      </c>
    </row>
    <row r="3665" spans="1:2" x14ac:dyDescent="0.25">
      <c r="A3665">
        <f ca="1">30109.1999880341*((RANDBETWEEN(2979,3282)))</f>
        <v>93248192.362941474</v>
      </c>
      <c r="B3665">
        <v>146034467.92954528</v>
      </c>
    </row>
    <row r="3666" spans="1:2" x14ac:dyDescent="0.25">
      <c r="A3666">
        <f ca="1">29349.5548762993*((RANDBETWEEN(2979,3282)))</f>
        <v>93008739.402992427</v>
      </c>
      <c r="B3666">
        <v>170091418.87917414</v>
      </c>
    </row>
    <row r="3667" spans="1:2" x14ac:dyDescent="0.25">
      <c r="A3667">
        <f ca="1">34479.1800958469*((RANDBETWEEN(2979,3282)))</f>
        <v>104196082.24964963</v>
      </c>
      <c r="B3667">
        <v>182324384.11037713</v>
      </c>
    </row>
    <row r="3668" spans="1:2" x14ac:dyDescent="0.25">
      <c r="A3668">
        <f ca="1">31525.5601058063*((RANDBETWEEN(2979,3282)))</f>
        <v>96783469.524825469</v>
      </c>
      <c r="B3668">
        <v>147685717.83148658</v>
      </c>
    </row>
    <row r="3669" spans="1:2" x14ac:dyDescent="0.25">
      <c r="A3669">
        <f ca="1">37527.0100672601*((RANDBETWEEN(2979,3282)))</f>
        <v>116296204.19843899</v>
      </c>
      <c r="B3669">
        <v>156899745.90149495</v>
      </c>
    </row>
    <row r="3670" spans="1:2" x14ac:dyDescent="0.25">
      <c r="A3670">
        <f ca="1">31342.9511340037*((RANDBETWEEN(2979,3282)))</f>
        <v>97915379.342627525</v>
      </c>
      <c r="B3670">
        <v>180693630.04745495</v>
      </c>
    </row>
    <row r="3671" spans="1:2" x14ac:dyDescent="0.25">
      <c r="A3671">
        <f ca="1">31962.9629265447*((RANDBETWEEN(2979,3282)))</f>
        <v>97614888.777667508</v>
      </c>
      <c r="B3671">
        <v>194530149.62536228</v>
      </c>
    </row>
    <row r="3672" spans="1:2" x14ac:dyDescent="0.25">
      <c r="A3672">
        <f ca="1">33959.2495230525*((RANDBETWEEN(2979,3282)))</f>
        <v>106190573.25858524</v>
      </c>
      <c r="B3672">
        <v>153460898.80421579</v>
      </c>
    </row>
    <row r="3673" spans="1:2" x14ac:dyDescent="0.25">
      <c r="A3673">
        <f ca="1">28465.2614713497*((RANDBETWEEN(2979,3282)))</f>
        <v>92853682.919542685</v>
      </c>
      <c r="B3673">
        <v>173406193.428083</v>
      </c>
    </row>
    <row r="3674" spans="1:2" x14ac:dyDescent="0.25">
      <c r="A3674">
        <f ca="1">38928.9532252624*((RANDBETWEEN(2979,3282)))</f>
        <v>116553285.95643577</v>
      </c>
      <c r="B3674">
        <v>154863649.62840277</v>
      </c>
    </row>
    <row r="3675" spans="1:2" x14ac:dyDescent="0.25">
      <c r="A3675">
        <f ca="1">40128.6599395718*((RANDBETWEEN(2979,3282)))</f>
        <v>122472670.13557316</v>
      </c>
      <c r="B3675">
        <v>160299229.85183343</v>
      </c>
    </row>
    <row r="3676" spans="1:2" x14ac:dyDescent="0.25">
      <c r="A3676">
        <f ca="1">31181.9888105533*((RANDBETWEEN(2979,3282)))</f>
        <v>95354521.782671914</v>
      </c>
      <c r="B3676">
        <v>154690351.92877561</v>
      </c>
    </row>
    <row r="3677" spans="1:2" x14ac:dyDescent="0.25">
      <c r="A3677">
        <f ca="1">31842.6545878096*((RANDBETWEEN(2979,3282)))</f>
        <v>101673596.09887612</v>
      </c>
      <c r="B3677">
        <v>165733123.61959186</v>
      </c>
    </row>
    <row r="3678" spans="1:2" x14ac:dyDescent="0.25">
      <c r="A3678">
        <f ca="1">41108.5269175362*((RANDBETWEEN(2979,3282)))</f>
        <v>131752828.77070355</v>
      </c>
      <c r="B3678">
        <v>201174259.84657732</v>
      </c>
    </row>
    <row r="3679" spans="1:2" x14ac:dyDescent="0.25">
      <c r="A3679">
        <f ca="1">36628.2546616879*((RANDBETWEEN(2979,3282)))</f>
        <v>115635399.96694872</v>
      </c>
      <c r="B3679">
        <v>164449832.95866656</v>
      </c>
    </row>
    <row r="3680" spans="1:2" x14ac:dyDescent="0.25">
      <c r="A3680">
        <f ca="1">40599.3885671744*((RANDBETWEEN(2979,3282)))</f>
        <v>124599523.51265816</v>
      </c>
      <c r="B3680">
        <v>176857573.5126712</v>
      </c>
    </row>
    <row r="3681" spans="1:2" x14ac:dyDescent="0.25">
      <c r="A3681">
        <f ca="1">31800.5874807948*((RANDBETWEEN(2979,3282)))</f>
        <v>102397891.68815918</v>
      </c>
      <c r="B3681">
        <v>168545056.29635766</v>
      </c>
    </row>
    <row r="3682" spans="1:2" x14ac:dyDescent="0.25">
      <c r="A3682">
        <f ca="1">31756.7100662701*((RANDBETWEEN(2979,3282)))</f>
        <v>96254588.210864544</v>
      </c>
      <c r="B3682">
        <v>149276386.60638112</v>
      </c>
    </row>
    <row r="3683" spans="1:2" x14ac:dyDescent="0.25">
      <c r="A3683">
        <f ca="1">40511.5559664219*((RANDBETWEEN(2979,3282)))</f>
        <v>130973860.43944195</v>
      </c>
      <c r="B3683">
        <v>152170516.47378975</v>
      </c>
    </row>
    <row r="3684" spans="1:2" x14ac:dyDescent="0.25">
      <c r="A3684">
        <f ca="1">38927.3467366373*((RANDBETWEEN(2979,3282)))</f>
        <v>117132386.33054164</v>
      </c>
      <c r="B3684">
        <v>164634812.86619544</v>
      </c>
    </row>
    <row r="3685" spans="1:2" x14ac:dyDescent="0.25">
      <c r="A3685">
        <f ca="1">28944.7839623893*((RANDBETWEEN(2979,3282)))</f>
        <v>87384302.782453194</v>
      </c>
      <c r="B3685">
        <v>191491671.3750211</v>
      </c>
    </row>
    <row r="3686" spans="1:2" x14ac:dyDescent="0.25">
      <c r="A3686">
        <f ca="1">30863.625602313*((RANDBETWEEN(2979,3282)))</f>
        <v>94813057.850305498</v>
      </c>
      <c r="B3686">
        <v>151530808.76588288</v>
      </c>
    </row>
    <row r="3687" spans="1:2" x14ac:dyDescent="0.25">
      <c r="A3687">
        <f ca="1">31303.8524075796*((RANDBETWEEN(2979,3282)))</f>
        <v>94694153.532928213</v>
      </c>
      <c r="B3687">
        <v>169164874.45864531</v>
      </c>
    </row>
    <row r="3688" spans="1:2" x14ac:dyDescent="0.25">
      <c r="A3688">
        <f ca="1">34439.2395130142*((RANDBETWEEN(2979,3282)))</f>
        <v>111617575.2616791</v>
      </c>
      <c r="B3688">
        <v>160369969.41160539</v>
      </c>
    </row>
    <row r="3689" spans="1:2" x14ac:dyDescent="0.25">
      <c r="A3689">
        <f ca="1">36013.8089086644*((RANDBETWEEN(2979,3282)))</f>
        <v>118161307.02932788</v>
      </c>
      <c r="B3689">
        <v>164813767.09711772</v>
      </c>
    </row>
    <row r="3690" spans="1:2" x14ac:dyDescent="0.25">
      <c r="A3690">
        <f ca="1">32160.8417656654*((RANDBETWEEN(2979,3282)))</f>
        <v>103107658.70072325</v>
      </c>
      <c r="B3690">
        <v>145834164.23858693</v>
      </c>
    </row>
    <row r="3691" spans="1:2" x14ac:dyDescent="0.25">
      <c r="A3691">
        <f ca="1">30217.85077435*((RANDBETWEEN(2979,3282)))</f>
        <v>97905836.508894101</v>
      </c>
      <c r="B3691">
        <v>189899413.1437571</v>
      </c>
    </row>
    <row r="3692" spans="1:2" x14ac:dyDescent="0.25">
      <c r="A3692">
        <f ca="1">29949.5584648543*((RANDBETWEEN(2979,3282)))</f>
        <v>92723833.007188991</v>
      </c>
      <c r="B3692">
        <v>170692880.6187408</v>
      </c>
    </row>
    <row r="3693" spans="1:2" x14ac:dyDescent="0.25">
      <c r="A3693">
        <f ca="1">35200.0988572755*((RANDBETWEEN(2979,3282)))</f>
        <v>107113900.82268927</v>
      </c>
      <c r="B3693">
        <v>154994585.49725401</v>
      </c>
    </row>
    <row r="3694" spans="1:2" x14ac:dyDescent="0.25">
      <c r="A3694">
        <f ca="1">38941.2174091419*((RANDBETWEEN(2979,3282)))</f>
        <v>123910953.79588945</v>
      </c>
      <c r="B3694">
        <v>194790425.64610973</v>
      </c>
    </row>
    <row r="3695" spans="1:2" x14ac:dyDescent="0.25">
      <c r="A3695">
        <f ca="1">30717.5147588461*((RANDBETWEEN(2979,3282)))</f>
        <v>98418917.287342817</v>
      </c>
      <c r="B3695">
        <v>164351632.1857948</v>
      </c>
    </row>
    <row r="3696" spans="1:2" x14ac:dyDescent="0.25">
      <c r="A3696">
        <f ca="1">29929.8269717862*((RANDBETWEEN(2979,3282)))</f>
        <v>90986673.994229898</v>
      </c>
      <c r="B3696">
        <v>148987904.04972231</v>
      </c>
    </row>
    <row r="3697" spans="1:2" x14ac:dyDescent="0.25">
      <c r="A3697">
        <f ca="1">39812.8098158242*((RANDBETWEEN(2979,3282)))</f>
        <v>128396311.65603304</v>
      </c>
      <c r="B3697">
        <v>161060377.64355955</v>
      </c>
    </row>
    <row r="3698" spans="1:2" x14ac:dyDescent="0.25">
      <c r="A3698">
        <f ca="1">28101.36672657*((RANDBETWEEN(2979,3282)))</f>
        <v>85147141.181506991</v>
      </c>
      <c r="B3698">
        <v>164782940.5218153</v>
      </c>
    </row>
    <row r="3699" spans="1:2" x14ac:dyDescent="0.25">
      <c r="A3699">
        <f ca="1">34183.3935337324*((RANDBETWEEN(2979,3282)))</f>
        <v>103370582.0460069</v>
      </c>
      <c r="B3699">
        <v>163557537.19950658</v>
      </c>
    </row>
    <row r="3700" spans="1:2" x14ac:dyDescent="0.25">
      <c r="A3700">
        <f ca="1">32906.7903935612*((RANDBETWEEN(2979,3282)))</f>
        <v>104709407.03231183</v>
      </c>
      <c r="B3700">
        <v>178296290.82366928</v>
      </c>
    </row>
    <row r="3701" spans="1:2" x14ac:dyDescent="0.25">
      <c r="A3701">
        <f ca="1">31383.9285558168*((RANDBETWEEN(2979,3282)))</f>
        <v>94120401.738894433</v>
      </c>
      <c r="B3701">
        <v>144763610.29140097</v>
      </c>
    </row>
    <row r="3702" spans="1:2" x14ac:dyDescent="0.25">
      <c r="A3702">
        <f ca="1">37380.8063238309*((RANDBETWEEN(2979,3282)))</f>
        <v>112777892.67899796</v>
      </c>
      <c r="B3702">
        <v>155002438.6501905</v>
      </c>
    </row>
    <row r="3703" spans="1:2" x14ac:dyDescent="0.25">
      <c r="A3703">
        <f ca="1">33868.8295481691*((RANDBETWEEN(2979,3282)))</f>
        <v>107228714.34950326</v>
      </c>
      <c r="B3703">
        <v>175092844.24878481</v>
      </c>
    </row>
    <row r="3704" spans="1:2" x14ac:dyDescent="0.25">
      <c r="A3704">
        <f ca="1">33080.1955657487*((RANDBETWEEN(2979,3282)))</f>
        <v>105492743.65917253</v>
      </c>
      <c r="B3704">
        <v>165881866.91867605</v>
      </c>
    </row>
    <row r="3705" spans="1:2" x14ac:dyDescent="0.25">
      <c r="A3705">
        <f ca="1">37369.7808592565*((RANDBETWEEN(2979,3282)))</f>
        <v>114912076.14221369</v>
      </c>
      <c r="B3705">
        <v>155764679.16283104</v>
      </c>
    </row>
    <row r="3706" spans="1:2" x14ac:dyDescent="0.25">
      <c r="A3706">
        <f ca="1">31746.023381617*((RANDBETWEEN(2979,3282)))</f>
        <v>98063466.225814879</v>
      </c>
      <c r="B3706">
        <v>199791184.35079587</v>
      </c>
    </row>
    <row r="3707" spans="1:2" x14ac:dyDescent="0.25">
      <c r="A3707">
        <f ca="1">40578.0312838849*((RANDBETWEEN(2979,3282)))</f>
        <v>121328313.5388158</v>
      </c>
      <c r="B3707">
        <v>199896733.61840183</v>
      </c>
    </row>
    <row r="3708" spans="1:2" x14ac:dyDescent="0.25">
      <c r="A3708">
        <f ca="1">29432.8301674524*((RANDBETWEEN(2979,3282)))</f>
        <v>88239624.842022359</v>
      </c>
      <c r="B3708">
        <v>170094507.11546317</v>
      </c>
    </row>
    <row r="3709" spans="1:2" x14ac:dyDescent="0.25">
      <c r="A3709">
        <f ca="1">36190.0883630838*((RANDBETWEEN(2979,3282)))</f>
        <v>108172174.11725751</v>
      </c>
      <c r="B3709">
        <v>184776555.56899044</v>
      </c>
    </row>
    <row r="3710" spans="1:2" x14ac:dyDescent="0.25">
      <c r="A3710">
        <f ca="1">34240.4331517005*((RANDBETWEEN(2979,3282)))</f>
        <v>111760773.80715045</v>
      </c>
      <c r="B3710">
        <v>158763827.73769951</v>
      </c>
    </row>
    <row r="3711" spans="1:2" x14ac:dyDescent="0.25">
      <c r="A3711">
        <f ca="1">39812.7017464147*((RANDBETWEEN(2979,3282)))</f>
        <v>123618438.92261757</v>
      </c>
      <c r="B3711">
        <v>184889084.22087225</v>
      </c>
    </row>
    <row r="3712" spans="1:2" x14ac:dyDescent="0.25">
      <c r="A3712">
        <f ca="1">37969.6410669428*((RANDBETWEEN(2979,3282)))</f>
        <v>118009644.43605813</v>
      </c>
      <c r="B3712">
        <v>150948730.69952521</v>
      </c>
    </row>
    <row r="3713" spans="1:2" x14ac:dyDescent="0.25">
      <c r="A3713">
        <f ca="1">29381.344086888*((RANDBETWEEN(2979,3282)))</f>
        <v>88819803.174662426</v>
      </c>
      <c r="B3713">
        <v>162007446.0447228</v>
      </c>
    </row>
    <row r="3714" spans="1:2" x14ac:dyDescent="0.25">
      <c r="A3714">
        <f ca="1">30626.0263199916*((RANDBETWEEN(2979,3282)))</f>
        <v>94726299.407733947</v>
      </c>
      <c r="B3714">
        <v>151981521.66361409</v>
      </c>
    </row>
    <row r="3715" spans="1:2" x14ac:dyDescent="0.25">
      <c r="A3715">
        <f ca="1">31091.7058106873*((RANDBETWEEN(2979,3282)))</f>
        <v>95638087.073674276</v>
      </c>
      <c r="B3715">
        <v>170414917.37012649</v>
      </c>
    </row>
    <row r="3716" spans="1:2" x14ac:dyDescent="0.25">
      <c r="A3716">
        <f ca="1">30657.091534933*((RANDBETWEEN(2979,3282)))</f>
        <v>91817989.14712435</v>
      </c>
      <c r="B3716">
        <v>200213122.76967788</v>
      </c>
    </row>
    <row r="3717" spans="1:2" x14ac:dyDescent="0.25">
      <c r="A3717">
        <f ca="1">30494.698112804*((RANDBETWEEN(2979,3282)))</f>
        <v>94106638.376112998</v>
      </c>
      <c r="B3717">
        <v>159447790.7564773</v>
      </c>
    </row>
    <row r="3718" spans="1:2" x14ac:dyDescent="0.25">
      <c r="A3718">
        <f ca="1">28628.8247839245*((RANDBETWEEN(2979,3282)))</f>
        <v>88377182.107974961</v>
      </c>
      <c r="B3718">
        <v>148249543.43793121</v>
      </c>
    </row>
    <row r="3719" spans="1:2" x14ac:dyDescent="0.25">
      <c r="A3719">
        <f ca="1">31389.1210071822*((RANDBETWEEN(2979,3282)))</f>
        <v>96333212.371042088</v>
      </c>
      <c r="B3719">
        <v>186102537.51131633</v>
      </c>
    </row>
    <row r="3720" spans="1:2" x14ac:dyDescent="0.25">
      <c r="A3720">
        <f ca="1">37551.0503967663*((RANDBETWEEN(2979,3282)))</f>
        <v>120200912.32004908</v>
      </c>
      <c r="B3720">
        <v>171823765.01824433</v>
      </c>
    </row>
    <row r="3721" spans="1:2" x14ac:dyDescent="0.25">
      <c r="A3721">
        <f ca="1">39112.9697501053*((RANDBETWEEN(2979,3282)))</f>
        <v>118042942.70581776</v>
      </c>
      <c r="B3721">
        <v>160663256.95856234</v>
      </c>
    </row>
    <row r="3722" spans="1:2" x14ac:dyDescent="0.25">
      <c r="A3722">
        <f ca="1">37349.4799589932*((RANDBETWEEN(2979,3282)))</f>
        <v>113280972.71562645</v>
      </c>
      <c r="B3722">
        <v>147695308.63893762</v>
      </c>
    </row>
    <row r="3723" spans="1:2" x14ac:dyDescent="0.25">
      <c r="A3723">
        <f ca="1">29461.9101684985*((RANDBETWEEN(2979,3282)))</f>
        <v>87796492.302125677</v>
      </c>
      <c r="B3723">
        <v>154792833.00141114</v>
      </c>
    </row>
    <row r="3724" spans="1:2" x14ac:dyDescent="0.25">
      <c r="A3724">
        <f ca="1">39028.4724376603*((RANDBETWEEN(2979,3282)))</f>
        <v>119817410.38361716</v>
      </c>
      <c r="B3724">
        <v>145616032.06595066</v>
      </c>
    </row>
    <row r="3725" spans="1:2" x14ac:dyDescent="0.25">
      <c r="A3725">
        <f ca="1">30452.5311069213*((RANDBETWEEN(2979,3282)))</f>
        <v>92453884.440612942</v>
      </c>
      <c r="B3725">
        <v>166154387.74473226</v>
      </c>
    </row>
    <row r="3726" spans="1:2" x14ac:dyDescent="0.25">
      <c r="A3726">
        <f ca="1">36044.5149500856*((RANDBETWEEN(2979,3282)))</f>
        <v>107592877.12600565</v>
      </c>
      <c r="B3726">
        <v>180105960.74879181</v>
      </c>
    </row>
    <row r="3727" spans="1:2" x14ac:dyDescent="0.25">
      <c r="A3727">
        <f ca="1">31364.681313466*((RANDBETWEEN(2979,3282)))</f>
        <v>102092037.67533183</v>
      </c>
      <c r="B3727">
        <v>175854873.77152246</v>
      </c>
    </row>
    <row r="3728" spans="1:2" x14ac:dyDescent="0.25">
      <c r="A3728">
        <f ca="1">34737.196621325*((RANDBETWEEN(2979,3282)))</f>
        <v>106990565.59368111</v>
      </c>
      <c r="B3728">
        <v>166960378.87791216</v>
      </c>
    </row>
    <row r="3729" spans="1:2" x14ac:dyDescent="0.25">
      <c r="A3729">
        <f ca="1">30056.3854109605*((RANDBETWEEN(2979,3282)))</f>
        <v>96090264.158840626</v>
      </c>
      <c r="B3729">
        <v>202362388.4685069</v>
      </c>
    </row>
    <row r="3730" spans="1:2" x14ac:dyDescent="0.25">
      <c r="A3730">
        <f ca="1">29251.8790985505*((RANDBETWEEN(2979,3282)))</f>
        <v>90037283.865338504</v>
      </c>
      <c r="B3730">
        <v>186294082.91817239</v>
      </c>
    </row>
    <row r="3731" spans="1:2" x14ac:dyDescent="0.25">
      <c r="A3731">
        <f ca="1">30799.5664947643*((RANDBETWEEN(2979,3282)))</f>
        <v>98774209.748709023</v>
      </c>
      <c r="B3731">
        <v>150892034.53329861</v>
      </c>
    </row>
    <row r="3732" spans="1:2" x14ac:dyDescent="0.25">
      <c r="A3732">
        <f ca="1">33387.5867657778*((RANDBETWEEN(2979,3282)))</f>
        <v>100429860.99145949</v>
      </c>
      <c r="B3732">
        <v>180303683.88497293</v>
      </c>
    </row>
    <row r="3733" spans="1:2" x14ac:dyDescent="0.25">
      <c r="A3733">
        <f ca="1">31645.4508229828*((RANDBETWEEN(2979,3282)))</f>
        <v>96803434.067504257</v>
      </c>
      <c r="B3733">
        <v>183903262.61786321</v>
      </c>
    </row>
    <row r="3734" spans="1:2" x14ac:dyDescent="0.25">
      <c r="A3734">
        <f ca="1">35415.5742447877*((RANDBETWEEN(2979,3282)))</f>
        <v>108017501.44660263</v>
      </c>
      <c r="B3734">
        <v>161723728.0479269</v>
      </c>
    </row>
    <row r="3735" spans="1:2" x14ac:dyDescent="0.25">
      <c r="A3735">
        <f ca="1">34867.5530071255*((RANDBETWEEN(2979,3282)))</f>
        <v>105195407.42249778</v>
      </c>
      <c r="B3735">
        <v>160819329.95809337</v>
      </c>
    </row>
    <row r="3736" spans="1:2" x14ac:dyDescent="0.25">
      <c r="A3736">
        <f ca="1">33022.5203091367*((RANDBETWEEN(2979,3282)))</f>
        <v>98539200.60246402</v>
      </c>
      <c r="B3736">
        <v>145183308.27183229</v>
      </c>
    </row>
    <row r="3737" spans="1:2" x14ac:dyDescent="0.25">
      <c r="A3737">
        <f ca="1">30476.2487864842*((RANDBETWEEN(2979,3282)))</f>
        <v>98438283.580343872</v>
      </c>
      <c r="B3737">
        <v>178730096.44253296</v>
      </c>
    </row>
    <row r="3738" spans="1:2" x14ac:dyDescent="0.25">
      <c r="A3738">
        <f ca="1">31678.7911075694*((RANDBETWEEN(2979,3282)))</f>
        <v>98299288.806787774</v>
      </c>
      <c r="B3738">
        <v>154461056.8546181</v>
      </c>
    </row>
    <row r="3739" spans="1:2" x14ac:dyDescent="0.25">
      <c r="A3739">
        <f ca="1">30283.3335213058*((RANDBETWEEN(2979,3282)))</f>
        <v>92182467.238854766</v>
      </c>
      <c r="B3739">
        <v>164606832.34758401</v>
      </c>
    </row>
    <row r="3740" spans="1:2" x14ac:dyDescent="0.25">
      <c r="A3740">
        <f ca="1">31924.6701929232*((RANDBETWEEN(2979,3282)))</f>
        <v>99285724.299991205</v>
      </c>
      <c r="B3740">
        <v>164169154.01497355</v>
      </c>
    </row>
    <row r="3741" spans="1:2" x14ac:dyDescent="0.25">
      <c r="A3741">
        <f ca="1">33402.834138183*((RANDBETWEEN(2979,3282)))</f>
        <v>100542530.75593069</v>
      </c>
      <c r="B3741">
        <v>174236236.27161825</v>
      </c>
    </row>
    <row r="3742" spans="1:2" x14ac:dyDescent="0.25">
      <c r="A3742">
        <f ca="1">31388.818830404*((RANDBETWEEN(2979,3282)))</f>
        <v>93538680.114603996</v>
      </c>
      <c r="B3742">
        <v>162240503.94657415</v>
      </c>
    </row>
    <row r="3743" spans="1:2" x14ac:dyDescent="0.25">
      <c r="A3743">
        <f ca="1">35387.4387233424*((RANDBETWEEN(2979,3282)))</f>
        <v>115327662.79937318</v>
      </c>
      <c r="B3743">
        <v>176955364.47309887</v>
      </c>
    </row>
    <row r="3744" spans="1:2" x14ac:dyDescent="0.25">
      <c r="A3744">
        <f ca="1">29597.7831235893*((RANDBETWEEN(2979,3282)))</f>
        <v>95216068.308586702</v>
      </c>
      <c r="B3744">
        <v>183019276.34396544</v>
      </c>
    </row>
    <row r="3745" spans="1:2" x14ac:dyDescent="0.25">
      <c r="A3745">
        <f ca="1">29569.5438666196*((RANDBETWEEN(2979,3282)))</f>
        <v>91281181.916254684</v>
      </c>
      <c r="B3745">
        <v>177180294.77287069</v>
      </c>
    </row>
    <row r="3746" spans="1:2" x14ac:dyDescent="0.25">
      <c r="A3746">
        <f ca="1">27037.920895082*((RANDBETWEEN(2979,3282)))</f>
        <v>88414001.32691817</v>
      </c>
      <c r="B3746">
        <v>187917186.20235509</v>
      </c>
    </row>
    <row r="3747" spans="1:2" x14ac:dyDescent="0.25">
      <c r="A3747">
        <f ca="1">32726.2440616753*((RANDBETWEEN(2979,3282)))</f>
        <v>99160519.506876066</v>
      </c>
      <c r="B3747">
        <v>194091912.60710251</v>
      </c>
    </row>
    <row r="3748" spans="1:2" x14ac:dyDescent="0.25">
      <c r="A3748">
        <f ca="1">31632.6720127481*((RANDBETWEEN(2979,3282)))</f>
        <v>103723531.52980106</v>
      </c>
      <c r="B3748">
        <v>171201954.9696767</v>
      </c>
    </row>
    <row r="3749" spans="1:2" x14ac:dyDescent="0.25">
      <c r="A3749">
        <f ca="1">31279.3720903645*((RANDBETWEEN(2979,3282)))</f>
        <v>98655139.57300964</v>
      </c>
      <c r="B3749">
        <v>169779837.52188712</v>
      </c>
    </row>
    <row r="3750" spans="1:2" x14ac:dyDescent="0.25">
      <c r="A3750">
        <f ca="1">32224.5255080856*((RANDBETWEEN(2979,3282)))</f>
        <v>96061310.539603114</v>
      </c>
      <c r="B3750">
        <v>144505783.98063838</v>
      </c>
    </row>
    <row r="3751" spans="1:2" x14ac:dyDescent="0.25">
      <c r="A3751">
        <f ca="1">27946.1300416042*((RANDBETWEEN(2979,3282)))</f>
        <v>84061959.165145367</v>
      </c>
      <c r="B3751">
        <v>147471342.58541322</v>
      </c>
    </row>
    <row r="3752" spans="1:2" x14ac:dyDescent="0.25">
      <c r="A3752">
        <f ca="1">41139.3853845116*((RANDBETWEEN(2979,3282)))</f>
        <v>130288433.51274832</v>
      </c>
      <c r="B3752">
        <v>176881735.60017896</v>
      </c>
    </row>
    <row r="3753" spans="1:2" x14ac:dyDescent="0.25">
      <c r="A3753">
        <f ca="1">34366.1673496379*((RANDBETWEEN(2979,3282)))</f>
        <v>107600469.97171631</v>
      </c>
      <c r="B3753">
        <v>151227188.79766172</v>
      </c>
    </row>
    <row r="3754" spans="1:2" x14ac:dyDescent="0.25">
      <c r="A3754">
        <f ca="1">32511.0738066135*((RANDBETWEEN(2979,3282)))</f>
        <v>103515259.00025754</v>
      </c>
      <c r="B3754">
        <v>158498242.43290257</v>
      </c>
    </row>
    <row r="3755" spans="1:2" x14ac:dyDescent="0.25">
      <c r="A3755">
        <f ca="1">34351.002594473*((RANDBETWEEN(2979,3282)))</f>
        <v>108927029.22707403</v>
      </c>
      <c r="B3755">
        <v>167028597.39147615</v>
      </c>
    </row>
    <row r="3756" spans="1:2" x14ac:dyDescent="0.25">
      <c r="A3756">
        <f ca="1">40590.4856336581*((RANDBETWEEN(2979,3282)))</f>
        <v>132081440.25192346</v>
      </c>
      <c r="B3756">
        <v>194581509.05986482</v>
      </c>
    </row>
    <row r="3757" spans="1:2" x14ac:dyDescent="0.25">
      <c r="A3757">
        <f ca="1">29693.5016153654*((RANDBETWEEN(2979,3282)))</f>
        <v>89080504.846096337</v>
      </c>
      <c r="B3757">
        <v>178000437.75333378</v>
      </c>
    </row>
    <row r="3758" spans="1:2" x14ac:dyDescent="0.25">
      <c r="A3758">
        <f ca="1">31276.0855181296*((RANDBETWEEN(2979,3282)))</f>
        <v>93452943.528171107</v>
      </c>
      <c r="B3758">
        <v>144109016.76248485</v>
      </c>
    </row>
    <row r="3759" spans="1:2" x14ac:dyDescent="0.25">
      <c r="A3759">
        <f ca="1">35605.4809000479*((RANDBETWEEN(2979,3282)))</f>
        <v>107457341.35634458</v>
      </c>
      <c r="B3759">
        <v>197990817.36991608</v>
      </c>
    </row>
    <row r="3760" spans="1:2" x14ac:dyDescent="0.25">
      <c r="A3760">
        <f ca="1">29506.7246995572*((RANDBETWEEN(2979,3282)))</f>
        <v>93978918.168089688</v>
      </c>
      <c r="B3760">
        <v>163396310.20887446</v>
      </c>
    </row>
    <row r="3761" spans="1:2" x14ac:dyDescent="0.25">
      <c r="A3761">
        <f ca="1">32635.1768492949*((RANDBETWEEN(2979,3282)))</f>
        <v>98754045.145966217</v>
      </c>
      <c r="B3761">
        <v>201887402.03608036</v>
      </c>
    </row>
    <row r="3762" spans="1:2" x14ac:dyDescent="0.25">
      <c r="A3762">
        <f ca="1">39817.4723702272*((RANDBETWEEN(2979,3282)))</f>
        <v>120527488.86467764</v>
      </c>
      <c r="B3762">
        <v>162608010.98243296</v>
      </c>
    </row>
    <row r="3763" spans="1:2" x14ac:dyDescent="0.25">
      <c r="A3763">
        <f ca="1">35148.7393263691*((RANDBETWEEN(2979,3282)))</f>
        <v>105586812.93641268</v>
      </c>
      <c r="B3763">
        <v>199787952.69388416</v>
      </c>
    </row>
    <row r="3764" spans="1:2" x14ac:dyDescent="0.25">
      <c r="A3764">
        <f ca="1">33325.6245444747*((RANDBETWEEN(2979,3282)))</f>
        <v>107608441.65410888</v>
      </c>
      <c r="B3764">
        <v>195276870.34315324</v>
      </c>
    </row>
    <row r="3765" spans="1:2" x14ac:dyDescent="0.25">
      <c r="A3765">
        <f ca="1">31765.7431831858*((RANDBETWEEN(2979,3282)))</f>
        <v>95646652.724572361</v>
      </c>
      <c r="B3765">
        <v>144833306.05658138</v>
      </c>
    </row>
    <row r="3766" spans="1:2" x14ac:dyDescent="0.25">
      <c r="A3766">
        <f ca="1">38107.294317959*((RANDBETWEEN(2979,3282)))</f>
        <v>114474312.13114886</v>
      </c>
      <c r="B3766">
        <v>146349151.18106934</v>
      </c>
    </row>
    <row r="3767" spans="1:2" x14ac:dyDescent="0.25">
      <c r="A3767">
        <f ca="1">37052.0416686344*((RANDBETWEEN(2979,3282)))</f>
        <v>115824682.2561511</v>
      </c>
      <c r="B3767">
        <v>182239125.62038732</v>
      </c>
    </row>
    <row r="3768" spans="1:2" x14ac:dyDescent="0.25">
      <c r="A3768">
        <f ca="1">39554.440766726*((RANDBETWEEN(2979,3282)))</f>
        <v>121629905.35768236</v>
      </c>
      <c r="B3768">
        <v>160016202.63469124</v>
      </c>
    </row>
    <row r="3769" spans="1:2" x14ac:dyDescent="0.25">
      <c r="A3769">
        <f ca="1">31930.2415830451*((RANDBETWEEN(2979,3282)))</f>
        <v>100995354.12717162</v>
      </c>
      <c r="B3769">
        <v>143225778.3158325</v>
      </c>
    </row>
    <row r="3770" spans="1:2" x14ac:dyDescent="0.25">
      <c r="A3770">
        <f ca="1">41115.5221411328*((RANDBETWEEN(2979,3282)))</f>
        <v>126512461.62826547</v>
      </c>
      <c r="B3770">
        <v>178454547.90180993</v>
      </c>
    </row>
    <row r="3771" spans="1:2" x14ac:dyDescent="0.25">
      <c r="A3771">
        <f ca="1">36374.0421560838*((RANDBETWEEN(2979,3282)))</f>
        <v>109485866.88981232</v>
      </c>
      <c r="B3771">
        <v>146679745.92067769</v>
      </c>
    </row>
    <row r="3772" spans="1:2" x14ac:dyDescent="0.25">
      <c r="A3772">
        <f ca="1">31816.329823892*((RANDBETWEEN(2979,3282)))</f>
        <v>99171500.061071396</v>
      </c>
      <c r="B3772">
        <v>179956911.33368826</v>
      </c>
    </row>
    <row r="3773" spans="1:2" x14ac:dyDescent="0.25">
      <c r="A3773">
        <f ca="1">36442.6910941464*((RANDBETWEEN(2979,3282)))</f>
        <v>111077322.45495808</v>
      </c>
      <c r="B3773">
        <v>197934995.4786194</v>
      </c>
    </row>
    <row r="3774" spans="1:2" x14ac:dyDescent="0.25">
      <c r="A3774">
        <f ca="1">33131.1696429294*((RANDBETWEEN(2979,3282)))</f>
        <v>102143396.00915119</v>
      </c>
      <c r="B3774">
        <v>143737638.55812421</v>
      </c>
    </row>
    <row r="3775" spans="1:2" x14ac:dyDescent="0.25">
      <c r="A3775">
        <f ca="1">31934.4668202363*((RANDBETWEEN(2979,3282)))</f>
        <v>103627344.83166695</v>
      </c>
      <c r="B3775">
        <v>178176393.86842468</v>
      </c>
    </row>
    <row r="3776" spans="1:2" x14ac:dyDescent="0.25">
      <c r="A3776">
        <f ca="1">30411.5018997575*((RANDBETWEEN(2979,3282)))</f>
        <v>98502854.653314516</v>
      </c>
      <c r="B3776">
        <v>168098368.67575258</v>
      </c>
    </row>
    <row r="3777" spans="1:2" x14ac:dyDescent="0.25">
      <c r="A3777">
        <f ca="1">33011.0675736105*((RANDBETWEEN(2979,3282)))</f>
        <v>107153925.34393977</v>
      </c>
      <c r="B3777">
        <v>161415989.05141726</v>
      </c>
    </row>
    <row r="3778" spans="1:2" x14ac:dyDescent="0.25">
      <c r="A3778">
        <f ca="1">31671.7162030737*((RANDBETWEEN(2979,3282)))</f>
        <v>101254476.70122664</v>
      </c>
      <c r="B3778">
        <v>201055564.55149066</v>
      </c>
    </row>
    <row r="3779" spans="1:2" x14ac:dyDescent="0.25">
      <c r="A3779">
        <f ca="1">30327.1865811413*((RANDBETWEEN(2979,3282)))</f>
        <v>97653540.791274965</v>
      </c>
      <c r="B3779">
        <v>144069496.06239393</v>
      </c>
    </row>
    <row r="3780" spans="1:2" x14ac:dyDescent="0.25">
      <c r="A3780">
        <f ca="1">38188.1849041938*((RANDBETWEEN(2979,3282)))</f>
        <v>118306996.83319245</v>
      </c>
      <c r="B3780">
        <v>171273757.06212723</v>
      </c>
    </row>
    <row r="3781" spans="1:2" x14ac:dyDescent="0.25">
      <c r="A3781">
        <f ca="1">39168.6591207723*((RANDBETWEEN(2979,3282)))</f>
        <v>117936832.61264531</v>
      </c>
      <c r="B3781">
        <v>168232686.81911838</v>
      </c>
    </row>
    <row r="3782" spans="1:2" x14ac:dyDescent="0.25">
      <c r="A3782">
        <f ca="1">30797.9050186704*((RANDBETWEEN(2979,3282)))</f>
        <v>94426376.787243485</v>
      </c>
      <c r="B3782">
        <v>145518770.81198871</v>
      </c>
    </row>
    <row r="3783" spans="1:2" x14ac:dyDescent="0.25">
      <c r="A3783">
        <f ca="1">34737.7534191109*((RANDBETWEEN(2979,3282)))</f>
        <v>110674482.39328729</v>
      </c>
      <c r="B3783">
        <v>192166274.12270337</v>
      </c>
    </row>
    <row r="3784" spans="1:2" x14ac:dyDescent="0.25">
      <c r="A3784">
        <f ca="1">31042.7706276603*((RANDBETWEEN(2979,3282)))</f>
        <v>95518605.221310586</v>
      </c>
      <c r="B3784">
        <v>196684320.9511404</v>
      </c>
    </row>
    <row r="3785" spans="1:2" x14ac:dyDescent="0.25">
      <c r="A3785">
        <f ca="1">36871.6444958594*((RANDBETWEEN(2979,3282)))</f>
        <v>110541190.19858661</v>
      </c>
      <c r="B3785">
        <v>169551793.32514513</v>
      </c>
    </row>
    <row r="3786" spans="1:2" x14ac:dyDescent="0.25">
      <c r="A3786">
        <f ca="1">31447.5192562277*((RANDBETWEEN(2979,3282)))</f>
        <v>94499795.364964128</v>
      </c>
      <c r="B3786">
        <v>158310546.17565066</v>
      </c>
    </row>
    <row r="3787" spans="1:2" x14ac:dyDescent="0.25">
      <c r="A3787">
        <f ca="1">38914.8305709623*((RANDBETWEEN(2979,3282)))</f>
        <v>126434284.52505659</v>
      </c>
      <c r="B3787">
        <v>156822418.97639307</v>
      </c>
    </row>
    <row r="3788" spans="1:2" x14ac:dyDescent="0.25">
      <c r="A3788">
        <f ca="1">32070.4661232197*((RANDBETWEEN(2979,3282)))</f>
        <v>99226022.185241729</v>
      </c>
      <c r="B3788">
        <v>163772221.83896902</v>
      </c>
    </row>
    <row r="3789" spans="1:2" x14ac:dyDescent="0.25">
      <c r="A3789">
        <f ca="1">28462.8798021898*((RANDBETWEEN(2979,3282)))</f>
        <v>90625809.290172189</v>
      </c>
      <c r="B3789">
        <v>168644263.29152793</v>
      </c>
    </row>
    <row r="3790" spans="1:2" x14ac:dyDescent="0.25">
      <c r="A3790">
        <f ca="1">31790.9108241414*((RANDBETWEEN(2979,3282)))</f>
        <v>97343768.943520963</v>
      </c>
      <c r="B3790">
        <v>159638371.29449433</v>
      </c>
    </row>
    <row r="3791" spans="1:2" x14ac:dyDescent="0.25">
      <c r="A3791">
        <f ca="1">41613.1046835994*((RANDBETWEEN(2979,3282)))</f>
        <v>124381569.89927848</v>
      </c>
      <c r="B3791">
        <v>191001881.67966652</v>
      </c>
    </row>
    <row r="3792" spans="1:2" x14ac:dyDescent="0.25">
      <c r="A3792">
        <f ca="1">32362.6656676648*((RANDBETWEEN(2979,3282)))</f>
        <v>99159207.605724961</v>
      </c>
      <c r="B3792">
        <v>166877065.85515559</v>
      </c>
    </row>
    <row r="3793" spans="1:2" x14ac:dyDescent="0.25">
      <c r="A3793">
        <f ca="1">31342.9197604614*((RANDBETWEEN(2979,3282)))</f>
        <v>100516743.67179962</v>
      </c>
      <c r="B3793">
        <v>190108953.00809348</v>
      </c>
    </row>
    <row r="3794" spans="1:2" x14ac:dyDescent="0.25">
      <c r="A3794">
        <f ca="1">29496.1158994089*((RANDBETWEEN(2979,3282)))</f>
        <v>88134394.307433933</v>
      </c>
      <c r="B3794">
        <v>159617163.69589826</v>
      </c>
    </row>
    <row r="3795" spans="1:2" x14ac:dyDescent="0.25">
      <c r="A3795">
        <f ca="1">30178.308164399*((RANDBETWEEN(2979,3282)))</f>
        <v>98773602.622077852</v>
      </c>
      <c r="B3795">
        <v>181851563.14415547</v>
      </c>
    </row>
    <row r="3796" spans="1:2" x14ac:dyDescent="0.25">
      <c r="A3796">
        <f ca="1">33210.4275173765*((RANDBETWEEN(2979,3282)))</f>
        <v>102321327.18103708</v>
      </c>
      <c r="B3796">
        <v>183667938.18500611</v>
      </c>
    </row>
    <row r="3797" spans="1:2" x14ac:dyDescent="0.25">
      <c r="A3797">
        <f ca="1">30112.1493068953*((RANDBETWEEN(2979,3282)))</f>
        <v>94220915.181275398</v>
      </c>
      <c r="B3797">
        <v>160844067.91486156</v>
      </c>
    </row>
    <row r="3798" spans="1:2" x14ac:dyDescent="0.25">
      <c r="A3798">
        <f ca="1">34124.6170750166*((RANDBETWEEN(2979,3282)))</f>
        <v>108004413.04242758</v>
      </c>
      <c r="B3798">
        <v>184116818.10996276</v>
      </c>
    </row>
    <row r="3799" spans="1:2" x14ac:dyDescent="0.25">
      <c r="A3799">
        <f ca="1">31849.1421988714*((RANDBETWEEN(2979,3282)))</f>
        <v>95420030.02781859</v>
      </c>
      <c r="B3799">
        <v>153177861.04098457</v>
      </c>
    </row>
    <row r="3800" spans="1:2" x14ac:dyDescent="0.25">
      <c r="A3800">
        <f ca="1">33890.3617562985*((RANDBETWEEN(2979,3282)))</f>
        <v>102348892.50402139</v>
      </c>
      <c r="B3800">
        <v>147868991.88402441</v>
      </c>
    </row>
    <row r="3801" spans="1:2" x14ac:dyDescent="0.25">
      <c r="A3801">
        <f ca="1">31765.9598692361*((RANDBETWEEN(2979,3282)))</f>
        <v>94726092.330062076</v>
      </c>
      <c r="B3801">
        <v>160562931.38306323</v>
      </c>
    </row>
    <row r="3802" spans="1:2" x14ac:dyDescent="0.25">
      <c r="A3802">
        <f ca="1">41123.3039793266*((RANDBETWEEN(2979,3282)))</f>
        <v>130237503.7025273</v>
      </c>
      <c r="B3802">
        <v>175325690.79752246</v>
      </c>
    </row>
    <row r="3803" spans="1:2" x14ac:dyDescent="0.25">
      <c r="A3803">
        <f ca="1">38908.7664720462*((RANDBETWEEN(2979,3282)))</f>
        <v>119800091.96743026</v>
      </c>
      <c r="B3803">
        <v>189670263.63515455</v>
      </c>
    </row>
    <row r="3804" spans="1:2" x14ac:dyDescent="0.25">
      <c r="A3804">
        <f ca="1">36803.8052275332*((RANDBETWEEN(2979,3282)))</f>
        <v>114386226.64717314</v>
      </c>
      <c r="B3804">
        <v>155734228.07510695</v>
      </c>
    </row>
    <row r="3805" spans="1:2" x14ac:dyDescent="0.25">
      <c r="A3805">
        <f ca="1">34716.3638174527*((RANDBETWEEN(2979,3282)))</f>
        <v>109009382.38680153</v>
      </c>
      <c r="B3805">
        <v>164227217.6406492</v>
      </c>
    </row>
    <row r="3806" spans="1:2" x14ac:dyDescent="0.25">
      <c r="A3806">
        <f ca="1">32211.0661218367*((RANDBETWEEN(2979,3282)))</f>
        <v>104138376.77189821</v>
      </c>
      <c r="B3806">
        <v>185108280.89388344</v>
      </c>
    </row>
    <row r="3807" spans="1:2" x14ac:dyDescent="0.25">
      <c r="A3807">
        <f ca="1">31520.6397304016*((RANDBETWEEN(2979,3282)))</f>
        <v>97840065.723166525</v>
      </c>
      <c r="B3807">
        <v>144956898.55767444</v>
      </c>
    </row>
    <row r="3808" spans="1:2" x14ac:dyDescent="0.25">
      <c r="A3808">
        <f ca="1">37531.465679039*((RANDBETWEEN(2979,3282)))</f>
        <v>120213284.56996177</v>
      </c>
      <c r="B3808">
        <v>152516336.37252012</v>
      </c>
    </row>
    <row r="3809" spans="1:2" x14ac:dyDescent="0.25">
      <c r="A3809">
        <f ca="1">32360.3273489685*((RANDBETWEEN(2979,3282)))</f>
        <v>103909011.1175379</v>
      </c>
      <c r="B3809">
        <v>149622907.10115489</v>
      </c>
    </row>
    <row r="3810" spans="1:2" x14ac:dyDescent="0.25">
      <c r="A3810">
        <f ca="1">39954.4792447525*((RANDBETWEEN(2979,3282)))</f>
        <v>121781252.7380057</v>
      </c>
      <c r="B3810">
        <v>172951158.86272287</v>
      </c>
    </row>
    <row r="3811" spans="1:2" x14ac:dyDescent="0.25">
      <c r="A3811">
        <f ca="1">31367.9231871085*((RANDBETWEEN(2979,3282)))</f>
        <v>102353533.35953519</v>
      </c>
      <c r="B3811">
        <v>151044400.6615698</v>
      </c>
    </row>
    <row r="3812" spans="1:2" x14ac:dyDescent="0.25">
      <c r="A3812">
        <f ca="1">29465.8929841643*((RANDBETWEEN(2979,3282)))</f>
        <v>95469493.2686923</v>
      </c>
      <c r="B3812">
        <v>151192866.80603659</v>
      </c>
    </row>
    <row r="3813" spans="1:2" x14ac:dyDescent="0.25">
      <c r="A3813">
        <f ca="1">35402.448211453*((RANDBETWEEN(2979,3282)))</f>
        <v>109818394.35192718</v>
      </c>
      <c r="B3813">
        <v>143571953.88699117</v>
      </c>
    </row>
    <row r="3814" spans="1:2" x14ac:dyDescent="0.25">
      <c r="A3814">
        <f ca="1">31612.2501374781*((RANDBETWEEN(2979,3282)))</f>
        <v>99104404.180993944</v>
      </c>
      <c r="B3814">
        <v>201312842.26872951</v>
      </c>
    </row>
    <row r="3815" spans="1:2" x14ac:dyDescent="0.25">
      <c r="A3815">
        <f ca="1">41706.9746504284*((RANDBETWEEN(2979,3282)))</f>
        <v>136089858.2843478</v>
      </c>
      <c r="B3815">
        <v>177577300.45183134</v>
      </c>
    </row>
    <row r="3816" spans="1:2" x14ac:dyDescent="0.25">
      <c r="A3816">
        <f ca="1">30340.4110381404*((RANDBETWEEN(2979,3282)))</f>
        <v>98606335.873956174</v>
      </c>
      <c r="B3816">
        <v>173230068.06616834</v>
      </c>
    </row>
    <row r="3817" spans="1:2" x14ac:dyDescent="0.25">
      <c r="A3817">
        <f ca="1">30415.839813679*((RANDBETWEEN(2979,3282)))</f>
        <v>94502014.301100567</v>
      </c>
      <c r="B3817">
        <v>203436877.85379797</v>
      </c>
    </row>
    <row r="3818" spans="1:2" x14ac:dyDescent="0.25">
      <c r="A3818">
        <f ca="1">31683.4149353264*((RANDBETWEEN(2979,3282)))</f>
        <v>101291877.54823843</v>
      </c>
      <c r="B3818">
        <v>145389220.40132457</v>
      </c>
    </row>
    <row r="3819" spans="1:2" x14ac:dyDescent="0.25">
      <c r="A3819">
        <f ca="1">30262.9518939535*((RANDBETWEEN(2979,3282)))</f>
        <v>96266449.974666014</v>
      </c>
      <c r="B3819">
        <v>170158637.8628507</v>
      </c>
    </row>
    <row r="3820" spans="1:2" x14ac:dyDescent="0.25">
      <c r="A3820">
        <f ca="1">31265.3829743455*((RANDBETWEEN(2979,3282)))</f>
        <v>99892898.603033885</v>
      </c>
      <c r="B3820">
        <v>183078889.27761245</v>
      </c>
    </row>
    <row r="3821" spans="1:2" x14ac:dyDescent="0.25">
      <c r="A3821">
        <f ca="1">29759.6895089664*((RANDBETWEEN(2979,3282)))</f>
        <v>96629711.835613847</v>
      </c>
      <c r="B3821">
        <v>145229046.1424793</v>
      </c>
    </row>
    <row r="3822" spans="1:2" x14ac:dyDescent="0.25">
      <c r="A3822">
        <f ca="1">32265.0697992903*((RANDBETWEEN(2979,3282)))</f>
        <v>100860608.19258146</v>
      </c>
      <c r="B3822">
        <v>173508192.23356375</v>
      </c>
    </row>
    <row r="3823" spans="1:2" x14ac:dyDescent="0.25">
      <c r="A3823">
        <f ca="1">30559.235636121*((RANDBETWEEN(2979,3282)))</f>
        <v>94978104.357064113</v>
      </c>
      <c r="B3823">
        <v>157641214.25586757</v>
      </c>
    </row>
    <row r="3824" spans="1:2" x14ac:dyDescent="0.25">
      <c r="A3824">
        <f ca="1">36777.8860895044*((RANDBETWEEN(2979,3282)))</f>
        <v>110627881.35722934</v>
      </c>
      <c r="B3824">
        <v>167795557.08437303</v>
      </c>
    </row>
    <row r="3825" spans="1:2" x14ac:dyDescent="0.25">
      <c r="A3825">
        <f ca="1">32785.6424505167*((RANDBETWEEN(2979,3282)))</f>
        <v>99242139.697713897</v>
      </c>
      <c r="B3825">
        <v>191403241.9095608</v>
      </c>
    </row>
    <row r="3826" spans="1:2" x14ac:dyDescent="0.25">
      <c r="A3826">
        <f ca="1">37189.3137092613*((RANDBETWEEN(2979,3282)))</f>
        <v>117629799.26239346</v>
      </c>
      <c r="B3826">
        <v>152352419.28026342</v>
      </c>
    </row>
    <row r="3827" spans="1:2" x14ac:dyDescent="0.25">
      <c r="A3827">
        <f ca="1">31213.4192611045*((RANDBETWEEN(2979,3282)))</f>
        <v>99633234.281445593</v>
      </c>
      <c r="B3827">
        <v>195588971.85141379</v>
      </c>
    </row>
    <row r="3828" spans="1:2" x14ac:dyDescent="0.25">
      <c r="A3828">
        <f ca="1">32265.3830008668*((RANDBETWEEN(2979,3282)))</f>
        <v>99829095.004682004</v>
      </c>
      <c r="B3828">
        <v>197808202.53344071</v>
      </c>
    </row>
    <row r="3829" spans="1:2" x14ac:dyDescent="0.25">
      <c r="A3829">
        <f ca="1">32927.707224803*((RANDBETWEEN(2979,3282)))</f>
        <v>106817482.23726106</v>
      </c>
      <c r="B3829">
        <v>173393805.7553421</v>
      </c>
    </row>
    <row r="3830" spans="1:2" x14ac:dyDescent="0.25">
      <c r="A3830">
        <f ca="1">30527.9716960707*((RANDBETWEEN(2979,3282)))</f>
        <v>95979943.012446314</v>
      </c>
      <c r="B3830">
        <v>146535083.44720358</v>
      </c>
    </row>
    <row r="3831" spans="1:2" x14ac:dyDescent="0.25">
      <c r="A3831">
        <f ca="1">29231.680172312*((RANDBETWEEN(2979,3282)))</f>
        <v>90004343.250548512</v>
      </c>
      <c r="B3831">
        <v>148471311.14194405</v>
      </c>
    </row>
    <row r="3832" spans="1:2" x14ac:dyDescent="0.25">
      <c r="A3832">
        <f ca="1">29130.6645675846*((RANDBETWEEN(2979,3282)))</f>
        <v>91790724.05245921</v>
      </c>
      <c r="B3832">
        <v>168992049.4843486</v>
      </c>
    </row>
    <row r="3833" spans="1:2" x14ac:dyDescent="0.25">
      <c r="A3833">
        <f ca="1">30820.0949105087*((RANDBETWEEN(2979,3282)))</f>
        <v>92552745.016257688</v>
      </c>
      <c r="B3833">
        <v>169983107.46614423</v>
      </c>
    </row>
    <row r="3834" spans="1:2" x14ac:dyDescent="0.25">
      <c r="A3834">
        <f ca="1">29702.3544983876*((RANDBETWEEN(2979,3282)))</f>
        <v>93503011.960924074</v>
      </c>
      <c r="B3834">
        <v>203546615.97872964</v>
      </c>
    </row>
    <row r="3835" spans="1:2" x14ac:dyDescent="0.25">
      <c r="A3835">
        <f ca="1">32897.6474823569*((RANDBETWEEN(2979,3282)))</f>
        <v>98923225.979447156</v>
      </c>
      <c r="B3835">
        <v>193369198.58247876</v>
      </c>
    </row>
    <row r="3836" spans="1:2" x14ac:dyDescent="0.25">
      <c r="A3836">
        <f ca="1">31225.2771125883*((RANDBETWEEN(2979,3282)))</f>
        <v>98328397.627540454</v>
      </c>
      <c r="B3836">
        <v>151777867.94273865</v>
      </c>
    </row>
    <row r="3837" spans="1:2" x14ac:dyDescent="0.25">
      <c r="A3837">
        <f ca="1">40346.2080789674*((RANDBETWEEN(2979,3282)))</f>
        <v>126888824.40835238</v>
      </c>
      <c r="B3837">
        <v>165616814.73997048</v>
      </c>
    </row>
    <row r="3838" spans="1:2" x14ac:dyDescent="0.25">
      <c r="A3838">
        <f ca="1">38803.4068804477*((RANDBETWEEN(2979,3282)))</f>
        <v>121027826.06011651</v>
      </c>
      <c r="B3838">
        <v>199233235.59063303</v>
      </c>
    </row>
    <row r="3839" spans="1:2" x14ac:dyDescent="0.25">
      <c r="A3839">
        <f ca="1">32194.135378779*((RANDBETWEEN(2979,3282)))</f>
        <v>98385277.71754849</v>
      </c>
      <c r="B3839">
        <v>157273464.75781149</v>
      </c>
    </row>
    <row r="3840" spans="1:2" x14ac:dyDescent="0.25">
      <c r="A3840">
        <f ca="1">33882.1597768224*((RANDBETWEEN(2979,3282)))</f>
        <v>110964073.26909344</v>
      </c>
      <c r="B3840">
        <v>201471111.05791217</v>
      </c>
    </row>
    <row r="3841" spans="1:2" x14ac:dyDescent="0.25">
      <c r="A3841">
        <f ca="1">36060.0037598756*((RANDBETWEEN(2979,3282)))</f>
        <v>117844092.2872733</v>
      </c>
      <c r="B3841">
        <v>193914864.23042527</v>
      </c>
    </row>
    <row r="3842" spans="1:2" x14ac:dyDescent="0.25">
      <c r="A3842">
        <f ca="1">34185.6852390763*((RANDBETWEEN(2979,3282)))</f>
        <v>103377512.16296676</v>
      </c>
      <c r="B3842">
        <v>167961768.71959001</v>
      </c>
    </row>
    <row r="3843" spans="1:2" x14ac:dyDescent="0.25">
      <c r="A3843">
        <f ca="1">38901.3091359032*((RANDBETWEEN(2979,3282)))</f>
        <v>117054039.18993263</v>
      </c>
      <c r="B3843">
        <v>162011264.991413</v>
      </c>
    </row>
    <row r="3844" spans="1:2" x14ac:dyDescent="0.25">
      <c r="A3844">
        <f ca="1">33810.8097351679*((RANDBETWEEN(2979,3282)))</f>
        <v>104002050.74537656</v>
      </c>
      <c r="B3844">
        <v>188444392.83480203</v>
      </c>
    </row>
    <row r="3845" spans="1:2" x14ac:dyDescent="0.25">
      <c r="A3845">
        <f ca="1">29064.4561862314*((RANDBETWEEN(2979,3282)))</f>
        <v>91407714.705697775</v>
      </c>
      <c r="B3845">
        <v>187621621.60238588</v>
      </c>
    </row>
    <row r="3846" spans="1:2" x14ac:dyDescent="0.25">
      <c r="A3846">
        <f ca="1">38264.4139366501*((RANDBETWEEN(2979,3282)))</f>
        <v>124359345.2941127</v>
      </c>
      <c r="B3846">
        <v>166692411.83344299</v>
      </c>
    </row>
    <row r="3847" spans="1:2" x14ac:dyDescent="0.25">
      <c r="A3847">
        <f ca="1">31823.5392351552*((RANDBETWEEN(2979,3282)))</f>
        <v>103394678.97501916</v>
      </c>
      <c r="B3847">
        <v>194202088.49447945</v>
      </c>
    </row>
    <row r="3848" spans="1:2" x14ac:dyDescent="0.25">
      <c r="A3848">
        <f ca="1">32231.8221049126*((RANDBETWEEN(2979,3282)))</f>
        <v>104076553.57676284</v>
      </c>
      <c r="B3848">
        <v>143458967.5421088</v>
      </c>
    </row>
    <row r="3849" spans="1:2" x14ac:dyDescent="0.25">
      <c r="A3849">
        <f ca="1">32475.2799288635*((RANDBETWEEN(2979,3282)))</f>
        <v>99147029.622820303</v>
      </c>
      <c r="B3849">
        <v>150351071.12622213</v>
      </c>
    </row>
    <row r="3850" spans="1:2" x14ac:dyDescent="0.25">
      <c r="A3850">
        <f ca="1">29831.6276295688*((RANDBETWEEN(2979,3282)))</f>
        <v>92627203.789811239</v>
      </c>
      <c r="B3850">
        <v>159912311.93838531</v>
      </c>
    </row>
    <row r="3851" spans="1:2" x14ac:dyDescent="0.25">
      <c r="A3851">
        <f ca="1">32687.146518387*((RANDBETWEEN(2979,3282)))</f>
        <v>105644857.5474267</v>
      </c>
      <c r="B3851">
        <v>146876586.86224321</v>
      </c>
    </row>
    <row r="3852" spans="1:2" x14ac:dyDescent="0.25">
      <c r="A3852">
        <f ca="1">32566.5389168225*((RANDBETWEEN(2979,3282)))</f>
        <v>105417886.47375432</v>
      </c>
      <c r="B3852">
        <v>154956191.95560452</v>
      </c>
    </row>
    <row r="3853" spans="1:2" x14ac:dyDescent="0.25">
      <c r="A3853">
        <f ca="1">32576.3649045445*((RANDBETWEEN(2979,3282)))</f>
        <v>98185163.822297037</v>
      </c>
      <c r="B3853">
        <v>162579225.67381671</v>
      </c>
    </row>
    <row r="3854" spans="1:2" x14ac:dyDescent="0.25">
      <c r="A3854">
        <f ca="1">33847.6486191519*((RANDBETWEEN(2979,3282)))</f>
        <v>102659918.26188771</v>
      </c>
      <c r="B3854">
        <v>174189993.727952</v>
      </c>
    </row>
    <row r="3855" spans="1:2" x14ac:dyDescent="0.25">
      <c r="A3855">
        <f ca="1">28975.1306796224*((RANDBETWEEN(2979,3282)))</f>
        <v>88634924.748964921</v>
      </c>
      <c r="B3855">
        <v>152318650.53865352</v>
      </c>
    </row>
    <row r="3856" spans="1:2" x14ac:dyDescent="0.25">
      <c r="A3856">
        <f ca="1">30253.6808366854*((RANDBETWEEN(2979,3282)))</f>
        <v>90912310.914239749</v>
      </c>
      <c r="B3856">
        <v>147608325.76418275</v>
      </c>
    </row>
    <row r="3857" spans="1:2" x14ac:dyDescent="0.25">
      <c r="A3857">
        <f ca="1">39294.0245069811*((RANDBETWEEN(2979,3282)))</f>
        <v>126762523.05952089</v>
      </c>
      <c r="B3857">
        <v>155250529.32603806</v>
      </c>
    </row>
    <row r="3858" spans="1:2" x14ac:dyDescent="0.25">
      <c r="A3858">
        <f ca="1">32786.576275949*((RANDBETWEEN(2979,3282)))</f>
        <v>104720324.62538095</v>
      </c>
      <c r="B3858">
        <v>153321687.59193888</v>
      </c>
    </row>
    <row r="3859" spans="1:2" x14ac:dyDescent="0.25">
      <c r="A3859">
        <f ca="1">29995.0664095375*((RANDBETWEEN(2979,3282)))</f>
        <v>89955204.162202895</v>
      </c>
      <c r="B3859">
        <v>151732707.49269277</v>
      </c>
    </row>
    <row r="3860" spans="1:2" x14ac:dyDescent="0.25">
      <c r="A3860">
        <f ca="1">33711.8258524755*((RANDBETWEEN(2979,3282)))</f>
        <v>103899847.27732947</v>
      </c>
      <c r="B3860">
        <v>148883639.8090924</v>
      </c>
    </row>
    <row r="3861" spans="1:2" x14ac:dyDescent="0.25">
      <c r="A3861">
        <f ca="1">33045.8695165419*((RANDBETWEEN(2979,3282)))</f>
        <v>105878965.93100031</v>
      </c>
      <c r="B3861">
        <v>171015667.32371199</v>
      </c>
    </row>
    <row r="3862" spans="1:2" x14ac:dyDescent="0.25">
      <c r="A3862">
        <f ca="1">32807.3265885381*((RANDBETWEEN(2979,3282)))</f>
        <v>104294491.22496261</v>
      </c>
      <c r="B3862">
        <v>144350051.13442111</v>
      </c>
    </row>
    <row r="3863" spans="1:2" x14ac:dyDescent="0.25">
      <c r="A3863">
        <f ca="1">34450.8829146249*((RANDBETWEEN(2979,3282)))</f>
        <v>106556580.85493472</v>
      </c>
      <c r="B3863">
        <v>146810717.72092348</v>
      </c>
    </row>
    <row r="3864" spans="1:2" x14ac:dyDescent="0.25">
      <c r="A3864">
        <f ca="1">29756.362106844*((RANDBETWEEN(2979,3282)))</f>
        <v>96261831.415640324</v>
      </c>
      <c r="B3864">
        <v>159979811.60085332</v>
      </c>
    </row>
    <row r="3865" spans="1:2" x14ac:dyDescent="0.25">
      <c r="A3865">
        <f ca="1">29687.2590357833*((RANDBETWEEN(2979,3282)))</f>
        <v>92950808.0410375</v>
      </c>
      <c r="B3865">
        <v>172998540.72525853</v>
      </c>
    </row>
    <row r="3866" spans="1:2" x14ac:dyDescent="0.25">
      <c r="A3866">
        <f ca="1">30936.613944518*((RANDBETWEEN(2979,3282)))</f>
        <v>101533966.96590818</v>
      </c>
      <c r="B3866">
        <v>185949266.88496986</v>
      </c>
    </row>
    <row r="3867" spans="1:2" x14ac:dyDescent="0.25">
      <c r="A3867">
        <f ca="1">31847.1024934131*((RANDBETWEEN(2979,3282)))</f>
        <v>98566782.217113495</v>
      </c>
      <c r="B3867">
        <v>197748116.82993147</v>
      </c>
    </row>
    <row r="3868" spans="1:2" x14ac:dyDescent="0.25">
      <c r="A3868">
        <f ca="1">29003.46294175*((RANDBETWEEN(2979,3282)))</f>
        <v>93884209.542444736</v>
      </c>
      <c r="B3868">
        <v>184543863.57879817</v>
      </c>
    </row>
    <row r="3869" spans="1:2" x14ac:dyDescent="0.25">
      <c r="A3869">
        <f ca="1">31165.4394171037*((RANDBETWEEN(2979,3282)))</f>
        <v>98825608.39163588</v>
      </c>
      <c r="B3869">
        <v>148269716.8141048</v>
      </c>
    </row>
    <row r="3870" spans="1:2" x14ac:dyDescent="0.25">
      <c r="A3870">
        <f ca="1">41276.3671521055*((RANDBETWEEN(2979,3282)))</f>
        <v>132084374.88673751</v>
      </c>
      <c r="B3870">
        <v>166428837.40799946</v>
      </c>
    </row>
    <row r="3871" spans="1:2" x14ac:dyDescent="0.25">
      <c r="A3871">
        <f ca="1">33463.3232439847*((RANDBETWEEN(2979,3282)))</f>
        <v>102933182.29849681</v>
      </c>
      <c r="B3871">
        <v>162778614.40593219</v>
      </c>
    </row>
    <row r="3872" spans="1:2" x14ac:dyDescent="0.25">
      <c r="A3872">
        <f ca="1">33261.6920632698*((RANDBETWEEN(2979,3282)))</f>
        <v>107268956.90404522</v>
      </c>
      <c r="B3872">
        <v>172292759.50696164</v>
      </c>
    </row>
    <row r="3873" spans="1:2" x14ac:dyDescent="0.25">
      <c r="A3873">
        <f ca="1">30568.2932630701*((RANDBETWEEN(2979,3282)))</f>
        <v>97665696.975509092</v>
      </c>
      <c r="B3873">
        <v>149532967.20172131</v>
      </c>
    </row>
    <row r="3874" spans="1:2" x14ac:dyDescent="0.25">
      <c r="A3874">
        <f ca="1">41879.0561841706*((RANDBETWEEN(2979,3282)))</f>
        <v>131919026.98013745</v>
      </c>
      <c r="B3874">
        <v>147953880.5151636</v>
      </c>
    </row>
    <row r="3875" spans="1:2" x14ac:dyDescent="0.25">
      <c r="A3875">
        <f ca="1">34360.8450046936*((RANDBETWEEN(2979,3282)))</f>
        <v>108064857.53976139</v>
      </c>
      <c r="B3875">
        <v>192585494.70596957</v>
      </c>
    </row>
    <row r="3876" spans="1:2" x14ac:dyDescent="0.25">
      <c r="A3876">
        <f ca="1">33929.9177820495*((RANDBETWEEN(2979,3282)))</f>
        <v>108473947.14921235</v>
      </c>
      <c r="B3876">
        <v>188112048.7980336</v>
      </c>
    </row>
    <row r="3877" spans="1:2" x14ac:dyDescent="0.25">
      <c r="A3877">
        <f ca="1">31149.6864218352*((RANDBETWEEN(2979,3282)))</f>
        <v>101049582.75243346</v>
      </c>
      <c r="B3877">
        <v>195034997.04190272</v>
      </c>
    </row>
    <row r="3878" spans="1:2" x14ac:dyDescent="0.25">
      <c r="A3878">
        <f ca="1">31041.1189311395*((RANDBETWEEN(2979,3282)))</f>
        <v>100914677.64513449</v>
      </c>
      <c r="B3878">
        <v>150263983.58665845</v>
      </c>
    </row>
    <row r="3879" spans="1:2" x14ac:dyDescent="0.25">
      <c r="A3879">
        <f ca="1">34546.7243537971*((RANDBETWEEN(2979,3282)))</f>
        <v>112311400.87419435</v>
      </c>
      <c r="B3879">
        <v>173196363.46959686</v>
      </c>
    </row>
    <row r="3880" spans="1:2" x14ac:dyDescent="0.25">
      <c r="A3880">
        <f ca="1">31813.4464893596*((RANDBETWEEN(2979,3282)))</f>
        <v>99766968.190631613</v>
      </c>
      <c r="B3880">
        <v>203111416.99046814</v>
      </c>
    </row>
    <row r="3881" spans="1:2" x14ac:dyDescent="0.25">
      <c r="A3881">
        <f ca="1">35851.2335258285*((RANDBETWEEN(2979,3282)))</f>
        <v>112859683.13930817</v>
      </c>
      <c r="B3881">
        <v>143940133.13726413</v>
      </c>
    </row>
    <row r="3882" spans="1:2" x14ac:dyDescent="0.25">
      <c r="A3882">
        <f ca="1">30667.1634976852*((RANDBETWEEN(2979,3282)))</f>
        <v>95926887.420759425</v>
      </c>
      <c r="B3882">
        <v>195156177.65351</v>
      </c>
    </row>
    <row r="3883" spans="1:2" x14ac:dyDescent="0.25">
      <c r="A3883">
        <f ca="1">30858.2434663574*((RANDBETWEEN(2979,3282)))</f>
        <v>99795559.370199934</v>
      </c>
      <c r="B3883">
        <v>165592594.19593027</v>
      </c>
    </row>
    <row r="3884" spans="1:2" x14ac:dyDescent="0.25">
      <c r="A3884">
        <f ca="1">35800.2880458546*((RANDBETWEEN(2979,3282)))</f>
        <v>107544065.28974728</v>
      </c>
      <c r="B3884">
        <v>144773521.81416067</v>
      </c>
    </row>
    <row r="3885" spans="1:2" x14ac:dyDescent="0.25">
      <c r="A3885">
        <f ca="1">36978.2189024184*((RANDBETWEEN(2979,3282)))</f>
        <v>111341417.11518188</v>
      </c>
      <c r="B3885">
        <v>146633859.67213136</v>
      </c>
    </row>
    <row r="3886" spans="1:2" x14ac:dyDescent="0.25">
      <c r="A3886">
        <f ca="1">41105.302548882*((RANDBETWEEN(2979,3282)))</f>
        <v>126152173.52251883</v>
      </c>
      <c r="B3886">
        <v>150201838.1950407</v>
      </c>
    </row>
    <row r="3887" spans="1:2" x14ac:dyDescent="0.25">
      <c r="A3887">
        <f ca="1">33892.1381475112*((RANDBETWEEN(2979,3282)))</f>
        <v>108725979.17721602</v>
      </c>
      <c r="B3887">
        <v>169385301.83424509</v>
      </c>
    </row>
    <row r="3888" spans="1:2" x14ac:dyDescent="0.25">
      <c r="A3888">
        <f ca="1">33574.0196118917*((RANDBETWEEN(2979,3282)))</f>
        <v>105388847.56172808</v>
      </c>
      <c r="B3888">
        <v>164396158.97872633</v>
      </c>
    </row>
    <row r="3889" spans="1:2" x14ac:dyDescent="0.25">
      <c r="A3889">
        <f ca="1">40844.3831925583*((RANDBETWEEN(2979,3282)))</f>
        <v>127924608.15909266</v>
      </c>
      <c r="B3889">
        <v>187525992.65879568</v>
      </c>
    </row>
    <row r="3890" spans="1:2" x14ac:dyDescent="0.25">
      <c r="A3890">
        <f ca="1">40185.753131098*((RANDBETWEEN(2979,3282)))</f>
        <v>123209519.09994659</v>
      </c>
      <c r="B3890">
        <v>180953508.17782801</v>
      </c>
    </row>
    <row r="3891" spans="1:2" x14ac:dyDescent="0.25">
      <c r="A3891">
        <f ca="1">41822.1129817879*((RANDBETWEEN(2979,3282)))</f>
        <v>128937574.32285224</v>
      </c>
      <c r="B3891">
        <v>163232879.48083472</v>
      </c>
    </row>
    <row r="3892" spans="1:2" x14ac:dyDescent="0.25">
      <c r="A3892">
        <f ca="1">35263.7490623918*((RANDBETWEEN(2979,3282)))</f>
        <v>109493940.83872649</v>
      </c>
      <c r="B3892">
        <v>194646805.36102784</v>
      </c>
    </row>
    <row r="3893" spans="1:2" x14ac:dyDescent="0.25">
      <c r="A3893">
        <f ca="1">33593.9317122662*((RANDBETWEEN(2979,3282)))</f>
        <v>104006812.58117607</v>
      </c>
      <c r="B3893">
        <v>177415624.37760037</v>
      </c>
    </row>
    <row r="3894" spans="1:2" x14ac:dyDescent="0.25">
      <c r="A3894">
        <f ca="1">32676.4881954352*((RANDBETWEEN(2979,3282)))</f>
        <v>101297113.40584898</v>
      </c>
      <c r="B3894">
        <v>152491780.19890484</v>
      </c>
    </row>
    <row r="3895" spans="1:2" x14ac:dyDescent="0.25">
      <c r="A3895">
        <f ca="1">32661.0640371856*((RANDBETWEEN(2979,3282)))</f>
        <v>104711371.30321698</v>
      </c>
      <c r="B3895">
        <v>202220779.98655364</v>
      </c>
    </row>
    <row r="3896" spans="1:2" x14ac:dyDescent="0.25">
      <c r="A3896">
        <f ca="1">31678.3250277861*((RANDBETWEEN(2979,3282)))</f>
        <v>103588122.84086062</v>
      </c>
      <c r="B3896">
        <v>193731289.60473847</v>
      </c>
    </row>
    <row r="3897" spans="1:2" x14ac:dyDescent="0.25">
      <c r="A3897">
        <f ca="1">36235.1610033462*((RANDBETWEEN(2979,3282)))</f>
        <v>109031599.4590688</v>
      </c>
      <c r="B3897">
        <v>175778536.20916748</v>
      </c>
    </row>
    <row r="3898" spans="1:2" x14ac:dyDescent="0.25">
      <c r="A3898">
        <f ca="1">31384.3568679089*((RANDBETWEEN(2979,3282)))</f>
        <v>102156081.60504356</v>
      </c>
      <c r="B3898">
        <v>148239299.67574039</v>
      </c>
    </row>
    <row r="3899" spans="1:2" x14ac:dyDescent="0.25">
      <c r="A3899">
        <f ca="1">36184.3155657348*((RANDBETWEEN(2979,3282)))</f>
        <v>116730602.01506031</v>
      </c>
      <c r="B3899">
        <v>172568408.57410815</v>
      </c>
    </row>
    <row r="3900" spans="1:2" x14ac:dyDescent="0.25">
      <c r="A3900">
        <f ca="1">32215.491692373*((RANDBETWEEN(2979,3282)))</f>
        <v>99223714.41250886</v>
      </c>
      <c r="B3900">
        <v>187650417.8904511</v>
      </c>
    </row>
    <row r="3901" spans="1:2" x14ac:dyDescent="0.25">
      <c r="A3901">
        <f ca="1">30463.2532170358*((RANDBETWEEN(2979,3282)))</f>
        <v>98640013.91676195</v>
      </c>
      <c r="B3901">
        <v>147311302.33742878</v>
      </c>
    </row>
    <row r="3902" spans="1:2" x14ac:dyDescent="0.25">
      <c r="A3902">
        <f ca="1">29672.1860166441*((RANDBETWEEN(2979,3282)))</f>
        <v>92606892.55794628</v>
      </c>
      <c r="B3902">
        <v>146670985.18400359</v>
      </c>
    </row>
    <row r="3903" spans="1:2" x14ac:dyDescent="0.25">
      <c r="A3903">
        <f ca="1">29337.9387385359*((RANDBETWEEN(2979,3282)))</f>
        <v>94790880.064209417</v>
      </c>
      <c r="B3903">
        <v>145141866.11217919</v>
      </c>
    </row>
    <row r="3904" spans="1:2" x14ac:dyDescent="0.25">
      <c r="A3904">
        <f ca="1">29651.173127008*((RANDBETWEEN(2979,3282)))</f>
        <v>91622124.962454572</v>
      </c>
      <c r="B3904">
        <v>193798673.27971074</v>
      </c>
    </row>
    <row r="3905" spans="1:2" x14ac:dyDescent="0.25">
      <c r="A3905">
        <f ca="1">39776.902409402*((RANDBETWEEN(2979,3282)))</f>
        <v>129076048.31850965</v>
      </c>
      <c r="B3905">
        <v>199850819.94949734</v>
      </c>
    </row>
    <row r="3906" spans="1:2" x14ac:dyDescent="0.25">
      <c r="A3906">
        <f ca="1">30803.3079021406*((RANDBETWEEN(2979,3282)))</f>
        <v>99402274.600207701</v>
      </c>
      <c r="B3906">
        <v>161620532.8962487</v>
      </c>
    </row>
    <row r="3907" spans="1:2" x14ac:dyDescent="0.25">
      <c r="A3907">
        <f ca="1">33220.2214121726*((RANDBETWEEN(2979,3282)))</f>
        <v>100059306.89346394</v>
      </c>
      <c r="B3907">
        <v>167926842.10717225</v>
      </c>
    </row>
    <row r="3908" spans="1:2" x14ac:dyDescent="0.25">
      <c r="A3908">
        <f ca="1">40236.9257816562*((RANDBETWEEN(2979,3282)))</f>
        <v>126142762.32549234</v>
      </c>
      <c r="B3908">
        <v>180101933.91291142</v>
      </c>
    </row>
    <row r="3909" spans="1:2" x14ac:dyDescent="0.25">
      <c r="A3909">
        <f ca="1">35078.2771599032*((RANDBETWEEN(2979,3282)))</f>
        <v>111969860.69441117</v>
      </c>
      <c r="B3909">
        <v>188086779.07501495</v>
      </c>
    </row>
    <row r="3910" spans="1:2" x14ac:dyDescent="0.25">
      <c r="A3910">
        <f ca="1">34272.9356478785*((RANDBETWEEN(2979,3282)))</f>
        <v>108199657.84035228</v>
      </c>
      <c r="B3910">
        <v>148258701.48797345</v>
      </c>
    </row>
    <row r="3911" spans="1:2" x14ac:dyDescent="0.25">
      <c r="A3911">
        <f ca="1">30860.2831198307*((RANDBETWEEN(2979,3282)))</f>
        <v>101067427.21744546</v>
      </c>
      <c r="B3911">
        <v>144028463.87563992</v>
      </c>
    </row>
    <row r="3912" spans="1:2" x14ac:dyDescent="0.25">
      <c r="A3912">
        <f ca="1">30574.8659028502*((RANDBETWEEN(2979,3282)))</f>
        <v>97319798.168772206</v>
      </c>
      <c r="B3912">
        <v>166492240.94199541</v>
      </c>
    </row>
    <row r="3913" spans="1:2" x14ac:dyDescent="0.25">
      <c r="A3913">
        <f ca="1">38655.6801354148*((RANDBETWEEN(2979,3282)))</f>
        <v>125940205.88118152</v>
      </c>
      <c r="B3913">
        <v>201700541.11306399</v>
      </c>
    </row>
    <row r="3914" spans="1:2" x14ac:dyDescent="0.25">
      <c r="A3914">
        <f ca="1">30035.7958790933*((RANDBETWEEN(2979,3282)))</f>
        <v>95483795.099637717</v>
      </c>
      <c r="B3914">
        <v>162042256.17134207</v>
      </c>
    </row>
    <row r="3915" spans="1:2" x14ac:dyDescent="0.25">
      <c r="A3915">
        <f ca="1">30596.3455510523*((RANDBETWEEN(2979,3282)))</f>
        <v>96776240.977978587</v>
      </c>
      <c r="B3915">
        <v>183380825.58136541</v>
      </c>
    </row>
    <row r="3916" spans="1:2" x14ac:dyDescent="0.25">
      <c r="A3916">
        <f ca="1">32907.883659424*((RANDBETWEEN(2979,3282)))</f>
        <v>103692741.41084504</v>
      </c>
      <c r="B3916">
        <v>170291015.98270828</v>
      </c>
    </row>
    <row r="3917" spans="1:2" x14ac:dyDescent="0.25">
      <c r="A3917">
        <f ca="1">31725.3114502399*((RANDBETWEEN(2979,3282)))</f>
        <v>100156808.24840721</v>
      </c>
      <c r="B3917">
        <v>193926923.33560246</v>
      </c>
    </row>
    <row r="3918" spans="1:2" x14ac:dyDescent="0.25">
      <c r="A3918">
        <f ca="1">27963.4559956718*((RANDBETWEEN(2979,3282)))</f>
        <v>91049012.721907273</v>
      </c>
      <c r="B3918">
        <v>156881602.55326986</v>
      </c>
    </row>
    <row r="3919" spans="1:2" x14ac:dyDescent="0.25">
      <c r="A3919">
        <f ca="1">30917.037913374*((RANDBETWEEN(2979,3282)))</f>
        <v>97110416.085907757</v>
      </c>
      <c r="B3919">
        <v>177801623.56005955</v>
      </c>
    </row>
    <row r="3920" spans="1:2" x14ac:dyDescent="0.25">
      <c r="A3920">
        <f ca="1">30189.9831537832*((RANDBETWEEN(2979,3282)))</f>
        <v>95611676.648031279</v>
      </c>
      <c r="B3920">
        <v>186938485.77121454</v>
      </c>
    </row>
    <row r="3921" spans="1:2" x14ac:dyDescent="0.25">
      <c r="A3921">
        <f ca="1">33298.1113898963*((RANDBETWEEN(2979,3282)))</f>
        <v>107686092.2349247</v>
      </c>
      <c r="B3921">
        <v>148419530.79111814</v>
      </c>
    </row>
    <row r="3922" spans="1:2" x14ac:dyDescent="0.25">
      <c r="A3922">
        <f ca="1">31869.8304669977*((RANDBETWEEN(2979,3282)))</f>
        <v>97808509.703216061</v>
      </c>
      <c r="B3922">
        <v>149753256.52700073</v>
      </c>
    </row>
    <row r="3923" spans="1:2" x14ac:dyDescent="0.25">
      <c r="A3923">
        <f ca="1">33576.4451743474*((RANDBETWEEN(2979,3282)))</f>
        <v>105665072.96367112</v>
      </c>
      <c r="B3923">
        <v>183509655.3470535</v>
      </c>
    </row>
    <row r="3924" spans="1:2" x14ac:dyDescent="0.25">
      <c r="A3924">
        <f ca="1">39906.2872272721*((RANDBETWEEN(2979,3282)))</f>
        <v>128019369.42508878</v>
      </c>
      <c r="B3924">
        <v>176913821.27737534</v>
      </c>
    </row>
    <row r="3925" spans="1:2" x14ac:dyDescent="0.25">
      <c r="A3925">
        <f ca="1">31532.960376885*((RANDBETWEEN(2979,3282)))</f>
        <v>94315084.487262994</v>
      </c>
      <c r="B3925">
        <v>144777094.18291166</v>
      </c>
    </row>
    <row r="3926" spans="1:2" x14ac:dyDescent="0.25">
      <c r="A3926">
        <f ca="1">29437.1473385501*((RANDBETWEEN(2979,3282)))</f>
        <v>89282867.877822503</v>
      </c>
      <c r="B3926">
        <v>182036089.75584078</v>
      </c>
    </row>
    <row r="3927" spans="1:2" x14ac:dyDescent="0.25">
      <c r="A3927">
        <f ca="1">37452.7860243197*((RANDBETWEEN(2979,3282)))</f>
        <v>122508063.08554962</v>
      </c>
      <c r="B3927">
        <v>168237563.03495106</v>
      </c>
    </row>
    <row r="3928" spans="1:2" x14ac:dyDescent="0.25">
      <c r="A3928">
        <f ca="1">30690.7629727687*((RANDBETWEEN(2979,3282)))</f>
        <v>91642618.236687303</v>
      </c>
      <c r="B3928">
        <v>148883644.94254884</v>
      </c>
    </row>
    <row r="3929" spans="1:2" x14ac:dyDescent="0.25">
      <c r="A3929">
        <f ca="1">35296.3195870486*((RANDBETWEEN(2979,3282)))</f>
        <v>111148110.37961607</v>
      </c>
      <c r="B3929">
        <v>196484248.47327629</v>
      </c>
    </row>
    <row r="3930" spans="1:2" x14ac:dyDescent="0.25">
      <c r="A3930">
        <f ca="1">33243.7758217588*((RANDBETWEEN(2979,3282)))</f>
        <v>101061078.49814677</v>
      </c>
      <c r="B3930">
        <v>147932443.97685677</v>
      </c>
    </row>
    <row r="3931" spans="1:2" x14ac:dyDescent="0.25">
      <c r="A3931">
        <f ca="1">31301.2780691115*((RANDBETWEEN(2979,3282)))</f>
        <v>96971359.458107457</v>
      </c>
      <c r="B3931">
        <v>150546657.11276746</v>
      </c>
    </row>
    <row r="3932" spans="1:2" x14ac:dyDescent="0.25">
      <c r="A3932">
        <f ca="1">29613.6680612793*((RANDBETWEEN(2979,3282)))</f>
        <v>91210097.628740326</v>
      </c>
      <c r="B3932">
        <v>174555962.46245879</v>
      </c>
    </row>
    <row r="3933" spans="1:2" x14ac:dyDescent="0.25">
      <c r="A3933">
        <f ca="1">38039.0017491143*((RANDBETWEEN(2979,3282)))</f>
        <v>116855813.37327902</v>
      </c>
      <c r="B3933">
        <v>161508881.8887957</v>
      </c>
    </row>
    <row r="3934" spans="1:2" x14ac:dyDescent="0.25">
      <c r="A3934">
        <f ca="1">33540.4199615164*((RANDBETWEEN(2979,3282)))</f>
        <v>104243625.24039303</v>
      </c>
      <c r="B3934">
        <v>153159733.89722228</v>
      </c>
    </row>
    <row r="3935" spans="1:2" x14ac:dyDescent="0.25">
      <c r="A3935">
        <f ca="1">34436.7240492398*((RANDBETWEEN(2979,3282)))</f>
        <v>107167085.24123418</v>
      </c>
      <c r="B3935">
        <v>148182256.92930058</v>
      </c>
    </row>
    <row r="3936" spans="1:2" x14ac:dyDescent="0.25">
      <c r="A3936">
        <f ca="1">37533.7105349141*((RANDBETWEEN(2979,3282)))</f>
        <v>113389339.52597541</v>
      </c>
      <c r="B3936">
        <v>165766573.45815107</v>
      </c>
    </row>
    <row r="3937" spans="1:2" x14ac:dyDescent="0.25">
      <c r="A3937">
        <f ca="1">34745.8437670989*((RANDBETWEEN(2979,3282)))</f>
        <v>113688400.8059476</v>
      </c>
      <c r="B3937">
        <v>188060824.57816038</v>
      </c>
    </row>
    <row r="3938" spans="1:2" x14ac:dyDescent="0.25">
      <c r="A3938">
        <f ca="1">33456.0853687314*((RANDBETWEEN(2979,3282)))</f>
        <v>104751003.28949809</v>
      </c>
      <c r="B3938">
        <v>194012834.06179565</v>
      </c>
    </row>
    <row r="3939" spans="1:2" x14ac:dyDescent="0.25">
      <c r="A3939">
        <f ca="1">37378.5447176185*((RANDBETWEEN(2979,3282)))</f>
        <v>116920087.87671064</v>
      </c>
      <c r="B3939">
        <v>199355759.12235525</v>
      </c>
    </row>
    <row r="3940" spans="1:2" x14ac:dyDescent="0.25">
      <c r="A3940">
        <f ca="1">40079.1091196659*((RANDBETWEEN(2979,3282)))</f>
        <v>128533702.94676852</v>
      </c>
      <c r="B3940">
        <v>151208823.91380626</v>
      </c>
    </row>
    <row r="3941" spans="1:2" x14ac:dyDescent="0.25">
      <c r="A3941">
        <f ca="1">32431.4413535113*((RANDBETWEEN(2979,3282)))</f>
        <v>96710558.116170615</v>
      </c>
      <c r="B3941">
        <v>163312695.61878073</v>
      </c>
    </row>
    <row r="3942" spans="1:2" x14ac:dyDescent="0.25">
      <c r="A3942">
        <f ca="1">33369.6653523298*((RANDBETWEEN(2979,3282)))</f>
        <v>108484782.06042428</v>
      </c>
      <c r="B3942">
        <v>152826076.33960378</v>
      </c>
    </row>
    <row r="3943" spans="1:2" x14ac:dyDescent="0.25">
      <c r="A3943">
        <f ca="1">32754.7996825574*((RANDBETWEEN(2979,3282)))</f>
        <v>103767205.3943419</v>
      </c>
      <c r="B3943">
        <v>198148278.27456707</v>
      </c>
    </row>
    <row r="3944" spans="1:2" x14ac:dyDescent="0.25">
      <c r="A3944">
        <f ca="1">38193.5563642101*((RANDBETWEEN(2979,3282)))</f>
        <v>114084152.8598955</v>
      </c>
      <c r="B3944">
        <v>187787531.23828709</v>
      </c>
    </row>
    <row r="3945" spans="1:2" x14ac:dyDescent="0.25">
      <c r="A3945">
        <f ca="1">32235.3962612862*((RANDBETWEEN(2979,3282)))</f>
        <v>99768551.428680822</v>
      </c>
      <c r="B3945">
        <v>149781965.45297557</v>
      </c>
    </row>
    <row r="3946" spans="1:2" x14ac:dyDescent="0.25">
      <c r="A3946">
        <f ca="1">37774.3809362235*((RANDBETWEEN(2979,3282)))</f>
        <v>115929575.09326991</v>
      </c>
      <c r="B3946">
        <v>181699117.46271044</v>
      </c>
    </row>
    <row r="3947" spans="1:2" x14ac:dyDescent="0.25">
      <c r="A3947">
        <f ca="1">36263.6483355954*((RANDBETWEEN(2979,3282)))</f>
        <v>108935999.60012873</v>
      </c>
      <c r="B3947">
        <v>167958151.46667144</v>
      </c>
    </row>
    <row r="3948" spans="1:2" x14ac:dyDescent="0.25">
      <c r="A3948">
        <f ca="1">33168.194741979*((RANDBETWEEN(2979,3282)))</f>
        <v>106304064.14804263</v>
      </c>
      <c r="B3948">
        <v>196259025.94111994</v>
      </c>
    </row>
    <row r="3949" spans="1:2" x14ac:dyDescent="0.25">
      <c r="A3949">
        <f ca="1">36820.6743992088*((RANDBETWEEN(2979,3282)))</f>
        <v>110793409.2672192</v>
      </c>
      <c r="B3949">
        <v>144658100.79660758</v>
      </c>
    </row>
    <row r="3950" spans="1:2" x14ac:dyDescent="0.25">
      <c r="A3950">
        <f ca="1">30560.2234439479*((RANDBETWEEN(2979,3282)))</f>
        <v>93575404.185368374</v>
      </c>
      <c r="B3950">
        <v>158060492.96022487</v>
      </c>
    </row>
    <row r="3951" spans="1:2" x14ac:dyDescent="0.25">
      <c r="A3951">
        <f ca="1">31104.7556491467*((RANDBETWEEN(2979,3282)))</f>
        <v>96549161.534951463</v>
      </c>
      <c r="B3951">
        <v>146285772.00218812</v>
      </c>
    </row>
    <row r="3952" spans="1:2" x14ac:dyDescent="0.25">
      <c r="A3952">
        <f ca="1">42121.9686105482*((RANDBETWEEN(2979,3282)))</f>
        <v>133147542.77794294</v>
      </c>
      <c r="B3952">
        <v>170512299.01213652</v>
      </c>
    </row>
    <row r="3953" spans="1:2" x14ac:dyDescent="0.25">
      <c r="A3953">
        <f ca="1">34169.1474188849*((RANDBETWEEN(2979,3282)))</f>
        <v>109272933.44559382</v>
      </c>
      <c r="B3953">
        <v>152700458.21015108</v>
      </c>
    </row>
    <row r="3954" spans="1:2" x14ac:dyDescent="0.25">
      <c r="A3954">
        <f ca="1">29854.9566490079*((RANDBETWEEN(2979,3282)))</f>
        <v>90042549.253407791</v>
      </c>
      <c r="B3954">
        <v>201022814.89846534</v>
      </c>
    </row>
    <row r="3955" spans="1:2" x14ac:dyDescent="0.25">
      <c r="A3955">
        <f ca="1">32694.7268065761*((RANDBETWEEN(2979,3282)))</f>
        <v>98149569.873341322</v>
      </c>
      <c r="B3955">
        <v>149855826.32186759</v>
      </c>
    </row>
    <row r="3956" spans="1:2" x14ac:dyDescent="0.25">
      <c r="A3956">
        <f ca="1">38728.2982555422*((RANDBETWEEN(2979,3282)))</f>
        <v>125053675.06714562</v>
      </c>
      <c r="B3956">
        <v>159054180.68222818</v>
      </c>
    </row>
    <row r="3957" spans="1:2" x14ac:dyDescent="0.25">
      <c r="A3957">
        <f ca="1">34793.2635417859*((RANDBETWEEN(2979,3282)))</f>
        <v>114052317.88997413</v>
      </c>
      <c r="B3957">
        <v>158932980.42979029</v>
      </c>
    </row>
    <row r="3958" spans="1:2" x14ac:dyDescent="0.25">
      <c r="A3958">
        <f ca="1">39766.9773925565*((RANDBETWEEN(2979,3282)))</f>
        <v>119499767.06463237</v>
      </c>
      <c r="B3958">
        <v>157623542.85485023</v>
      </c>
    </row>
    <row r="3959" spans="1:2" x14ac:dyDescent="0.25">
      <c r="A3959">
        <f ca="1">30828.381871813*((RANDBETWEEN(2979,3282)))</f>
        <v>95352185.12951757</v>
      </c>
      <c r="B3959">
        <v>186375096.50400424</v>
      </c>
    </row>
    <row r="3960" spans="1:2" x14ac:dyDescent="0.25">
      <c r="A3960">
        <f ca="1">39999.5285159909*((RANDBETWEEN(2979,3282)))</f>
        <v>120958574.23235647</v>
      </c>
      <c r="B3960">
        <v>146615397.47630897</v>
      </c>
    </row>
    <row r="3961" spans="1:2" x14ac:dyDescent="0.25">
      <c r="A3961">
        <f ca="1">30390.5464072704*((RANDBETWEEN(2979,3282)))</f>
        <v>96459594.296676144</v>
      </c>
      <c r="B3961">
        <v>144440390.32563338</v>
      </c>
    </row>
    <row r="3962" spans="1:2" x14ac:dyDescent="0.25">
      <c r="A3962">
        <f ca="1">29808.6217949838*((RANDBETWEEN(2979,3282)))</f>
        <v>96997255.32087715</v>
      </c>
      <c r="B3962">
        <v>191518167.16304547</v>
      </c>
    </row>
    <row r="3963" spans="1:2" x14ac:dyDescent="0.25">
      <c r="A3963">
        <f ca="1">30207.7651144086*((RANDBETWEEN(2979,3282)))</f>
        <v>90683710.87345463</v>
      </c>
      <c r="B3963">
        <v>144743510.91479379</v>
      </c>
    </row>
    <row r="3964" spans="1:2" x14ac:dyDescent="0.25">
      <c r="A3964">
        <f ca="1">30281.3203398744*((RANDBETWEEN(2979,3282)))</f>
        <v>99383293.355467826</v>
      </c>
      <c r="B3964">
        <v>157243129.11093813</v>
      </c>
    </row>
    <row r="3965" spans="1:2" x14ac:dyDescent="0.25">
      <c r="A3965">
        <f ca="1">33596.114045406*((RANDBETWEEN(2979,3282)))</f>
        <v>106466085.40989175</v>
      </c>
      <c r="B3965">
        <v>177799584.84987232</v>
      </c>
    </row>
    <row r="3966" spans="1:2" x14ac:dyDescent="0.25">
      <c r="A3966">
        <f ca="1">39951.9585676341*((RANDBETWEEN(2979,3282)))</f>
        <v>129724009.46910788</v>
      </c>
      <c r="B3966">
        <v>156341456.79869086</v>
      </c>
    </row>
    <row r="3967" spans="1:2" x14ac:dyDescent="0.25">
      <c r="A3967">
        <f ca="1">30003.1102342601*((RANDBETWEEN(2979,3282)))</f>
        <v>93159657.277377531</v>
      </c>
      <c r="B3967">
        <v>184058468.02572387</v>
      </c>
    </row>
    <row r="3968" spans="1:2" x14ac:dyDescent="0.25">
      <c r="A3968">
        <f ca="1">33157.9565055124*((RANDBETWEEN(2979,3282)))</f>
        <v>106901251.77377206</v>
      </c>
      <c r="B3968">
        <v>196854892.3318817</v>
      </c>
    </row>
    <row r="3969" spans="1:2" x14ac:dyDescent="0.25">
      <c r="A3969">
        <f ca="1">31041.3560802383*((RANDBETWEEN(2979,3282)))</f>
        <v>93310316.377196237</v>
      </c>
      <c r="B3969">
        <v>153079879.48296103</v>
      </c>
    </row>
    <row r="3970" spans="1:2" x14ac:dyDescent="0.25">
      <c r="A3970">
        <f ca="1">31899.5319483364*((RANDBETWEEN(2979,3282)))</f>
        <v>101823305.97908971</v>
      </c>
      <c r="B3970">
        <v>172488728.21080428</v>
      </c>
    </row>
    <row r="3971" spans="1:2" x14ac:dyDescent="0.25">
      <c r="A3971">
        <f ca="1">32424.4142149367*((RANDBETWEEN(2979,3282)))</f>
        <v>101423567.66432214</v>
      </c>
      <c r="B3971">
        <v>196115951.02590403</v>
      </c>
    </row>
    <row r="3972" spans="1:2" x14ac:dyDescent="0.25">
      <c r="A3972">
        <f ca="1">36469.4718027816*((RANDBETWEEN(2979,3282)))</f>
        <v>111560114.24470891</v>
      </c>
      <c r="B3972">
        <v>155624278.01136088</v>
      </c>
    </row>
    <row r="3973" spans="1:2" x14ac:dyDescent="0.25">
      <c r="A3973">
        <f ca="1">32339.4122982154*((RANDBETWEEN(2979,3282)))</f>
        <v>97697364.552908808</v>
      </c>
      <c r="B3973">
        <v>162952889.5658322</v>
      </c>
    </row>
    <row r="3974" spans="1:2" x14ac:dyDescent="0.25">
      <c r="A3974">
        <f ca="1">28847.9731599217*((RANDBETWEEN(2979,3282)))</f>
        <v>87034335.023483872</v>
      </c>
      <c r="B3974">
        <v>157343624.444913</v>
      </c>
    </row>
    <row r="3975" spans="1:2" x14ac:dyDescent="0.25">
      <c r="A3975">
        <f ca="1">31397.6305634753*((RANDBETWEEN(2979,3282)))</f>
        <v>96170942.415924907</v>
      </c>
      <c r="B3975">
        <v>172390126.02828646</v>
      </c>
    </row>
    <row r="3976" spans="1:2" x14ac:dyDescent="0.25">
      <c r="A3976">
        <f ca="1">30981.3394010268*((RANDBETWEEN(2979,3282)))</f>
        <v>92603223.469669074</v>
      </c>
      <c r="B3976">
        <v>158067070.0027141</v>
      </c>
    </row>
    <row r="3977" spans="1:2" x14ac:dyDescent="0.25">
      <c r="A3977">
        <f ca="1">37614.8159232794*((RANDBETWEEN(2979,3282)))</f>
        <v>117132536.7850922</v>
      </c>
      <c r="B3977">
        <v>197484659.610704</v>
      </c>
    </row>
    <row r="3978" spans="1:2" x14ac:dyDescent="0.25">
      <c r="A3978">
        <f ca="1">38950.7091495754*((RANDBETWEEN(2979,3282)))</f>
        <v>118682810.77875626</v>
      </c>
      <c r="B3978">
        <v>158609727.42534363</v>
      </c>
    </row>
    <row r="3979" spans="1:2" x14ac:dyDescent="0.25">
      <c r="A3979">
        <f ca="1">41324.6667337521*((RANDBETWEEN(2979,3282)))</f>
        <v>130255349.54478671</v>
      </c>
      <c r="B3979">
        <v>151114756.40142199</v>
      </c>
    </row>
    <row r="3980" spans="1:2" x14ac:dyDescent="0.25">
      <c r="A3980">
        <f ca="1">36304.4145390195*((RANDBETWEEN(2979,3282)))</f>
        <v>108513895.05712929</v>
      </c>
      <c r="B3980">
        <v>180018471.41849551</v>
      </c>
    </row>
    <row r="3981" spans="1:2" x14ac:dyDescent="0.25">
      <c r="A3981">
        <f ca="1">39935.5730794902*((RANDBETWEEN(2979,3282)))</f>
        <v>119886590.38462962</v>
      </c>
      <c r="B3981">
        <v>196389384.0373612</v>
      </c>
    </row>
    <row r="3982" spans="1:2" x14ac:dyDescent="0.25">
      <c r="A3982">
        <f ca="1">31558.8520540661*((RANDBETWEEN(2979,3282)))</f>
        <v>102250680.65517427</v>
      </c>
      <c r="B3982">
        <v>153041769.6969834</v>
      </c>
    </row>
    <row r="3983" spans="1:2" x14ac:dyDescent="0.25">
      <c r="A3983">
        <f ca="1">35978.9725355814*((RANDBETWEEN(2979,3282)))</f>
        <v>114269216.7730066</v>
      </c>
      <c r="B3983">
        <v>169723030.61879742</v>
      </c>
    </row>
    <row r="3984" spans="1:2" x14ac:dyDescent="0.25">
      <c r="A3984">
        <f ca="1">29990.1255165953*((RANDBETWEEN(2979,3282)))</f>
        <v>89940386.42426917</v>
      </c>
      <c r="B3984">
        <v>151586990.09589028</v>
      </c>
    </row>
    <row r="3985" spans="1:2" x14ac:dyDescent="0.25">
      <c r="A3985">
        <f ca="1">34126.2049441453*((RANDBETWEEN(2979,3282)))</f>
        <v>111012544.68330465</v>
      </c>
      <c r="B3985">
        <v>170323212.76161087</v>
      </c>
    </row>
    <row r="3986" spans="1:2" x14ac:dyDescent="0.25">
      <c r="A3986">
        <f ca="1">27979.3027755675*((RANDBETWEEN(2979,3282)))</f>
        <v>85980397.429318786</v>
      </c>
      <c r="B3986">
        <v>156090394.32524315</v>
      </c>
    </row>
    <row r="3987" spans="1:2" x14ac:dyDescent="0.25">
      <c r="A3987">
        <f ca="1">30108.9000536077*((RANDBETWEEN(2979,3282)))</f>
        <v>95806519.970579758</v>
      </c>
      <c r="B3987">
        <v>173510251.19061962</v>
      </c>
    </row>
    <row r="3988" spans="1:2" x14ac:dyDescent="0.25">
      <c r="A3988">
        <f ca="1">30052.5814296704*((RANDBETWEEN(2979,3282)))</f>
        <v>93613791.153423369</v>
      </c>
      <c r="B3988">
        <v>147194857.86293823</v>
      </c>
    </row>
    <row r="3989" spans="1:2" x14ac:dyDescent="0.25">
      <c r="A3989">
        <f ca="1">31891.0101142107*((RANDBETWEEN(2979,3282)))</f>
        <v>103135526.70935743</v>
      </c>
      <c r="B3989">
        <v>159071382.76421326</v>
      </c>
    </row>
    <row r="3990" spans="1:2" x14ac:dyDescent="0.25">
      <c r="A3990">
        <f ca="1">37646.4933650872*((RANDBETWEEN(2979,3282)))</f>
        <v>119301737.47396132</v>
      </c>
      <c r="B3990">
        <v>198859068.29562044</v>
      </c>
    </row>
    <row r="3991" spans="1:2" x14ac:dyDescent="0.25">
      <c r="A3991">
        <f ca="1">30097.3816540671*((RANDBETWEEN(2979,3282)))</f>
        <v>97756295.612409815</v>
      </c>
      <c r="B3991">
        <v>182322464.02926317</v>
      </c>
    </row>
    <row r="3992" spans="1:2" x14ac:dyDescent="0.25">
      <c r="A3992">
        <f ca="1">39390.2208850389*((RANDBETWEEN(2979,3282)))</f>
        <v>118091882.21334657</v>
      </c>
      <c r="B3992">
        <v>195110208.36525482</v>
      </c>
    </row>
    <row r="3993" spans="1:2" x14ac:dyDescent="0.25">
      <c r="A3993">
        <f ca="1">31270.6732946469*((RANDBETWEEN(2979,3282)))</f>
        <v>93874561.230529949</v>
      </c>
      <c r="B3993">
        <v>171714443.91154408</v>
      </c>
    </row>
    <row r="3994" spans="1:2" x14ac:dyDescent="0.25">
      <c r="A3994">
        <f ca="1">42411.2977862457*((RANDBETWEEN(2979,3282)))</f>
        <v>128039708.01667571</v>
      </c>
      <c r="B3994">
        <v>176169992.52354306</v>
      </c>
    </row>
    <row r="3995" spans="1:2" x14ac:dyDescent="0.25">
      <c r="A3995">
        <f ca="1">30835.1734927259*((RANDBETWEEN(2979,3282)))</f>
        <v>93831432.938364834</v>
      </c>
      <c r="B3995">
        <v>144157858.05809745</v>
      </c>
    </row>
    <row r="3996" spans="1:2" x14ac:dyDescent="0.25">
      <c r="A3996">
        <f ca="1">32611.7999259562*((RANDBETWEEN(2979,3282)))</f>
        <v>105173054.76120888</v>
      </c>
      <c r="B3996">
        <v>184774228.32340711</v>
      </c>
    </row>
    <row r="3997" spans="1:2" x14ac:dyDescent="0.25">
      <c r="A3997">
        <f ca="1">32383.2153332063*((RANDBETWEEN(2979,3282)))</f>
        <v>106087413.43158391</v>
      </c>
      <c r="B3997">
        <v>154302718.21682942</v>
      </c>
    </row>
    <row r="3998" spans="1:2" x14ac:dyDescent="0.25">
      <c r="A3998">
        <f ca="1">37852.0221696429*((RANDBETWEEN(2979,3282)))</f>
        <v>117341268.72589301</v>
      </c>
      <c r="B3998">
        <v>145667043.0639241</v>
      </c>
    </row>
    <row r="3999" spans="1:2" x14ac:dyDescent="0.25">
      <c r="A3999">
        <f ca="1">33043.7534224867*((RANDBETWEEN(2979,3282)))</f>
        <v>104120867.03425562</v>
      </c>
      <c r="B3999">
        <v>185310708.04204988</v>
      </c>
    </row>
    <row r="4000" spans="1:2" x14ac:dyDescent="0.25">
      <c r="A4000">
        <f ca="1">37827.3664195865*((RANDBETWEEN(2979,3282)))</f>
        <v>122901113.49723649</v>
      </c>
      <c r="B4000">
        <v>176439486.09588632</v>
      </c>
    </row>
    <row r="4001" spans="1:2" x14ac:dyDescent="0.25">
      <c r="A4001">
        <f ca="1">32531.6519181823*((RANDBETWEEN(2979,3282)))</f>
        <v>99449259.913883239</v>
      </c>
      <c r="B4001">
        <v>166336462.75730139</v>
      </c>
    </row>
    <row r="4002" spans="1:2" x14ac:dyDescent="0.25">
      <c r="A4002">
        <f ca="1">32901.8694576591*((RANDBETWEEN(2979,3282)))</f>
        <v>104627944.87535596</v>
      </c>
      <c r="B4002">
        <v>147489853.93145901</v>
      </c>
    </row>
    <row r="4003" spans="1:2" x14ac:dyDescent="0.25">
      <c r="A4003">
        <f ca="1">34758.5215682019*((RANDBETWEEN(2979,3282)))</f>
        <v>105109769.22224262</v>
      </c>
      <c r="B4003">
        <v>147037472.40750885</v>
      </c>
    </row>
    <row r="4004" spans="1:2" x14ac:dyDescent="0.25">
      <c r="A4004">
        <f ca="1">28864.2243289043*((RANDBETWEEN(2979,3282)))</f>
        <v>91845961.814573616</v>
      </c>
      <c r="B4004">
        <v>157666940.184771</v>
      </c>
    </row>
    <row r="4005" spans="1:2" x14ac:dyDescent="0.25">
      <c r="A4005">
        <f ca="1">40029.8016554299*((RANDBETWEEN(2979,3282)))</f>
        <v>129816646.76855922</v>
      </c>
      <c r="B4005">
        <v>143682006.16960308</v>
      </c>
    </row>
    <row r="4006" spans="1:2" x14ac:dyDescent="0.25">
      <c r="A4006">
        <f ca="1">32116.1013508386*((RANDBETWEEN(2979,3282)))</f>
        <v>105308696.32939963</v>
      </c>
      <c r="B4006">
        <v>162862601.18474394</v>
      </c>
    </row>
    <row r="4007" spans="1:2" x14ac:dyDescent="0.25">
      <c r="A4007">
        <f ca="1">31312.7622583784*((RANDBETWEEN(2979,3282)))</f>
        <v>99731147.792935207</v>
      </c>
      <c r="B4007">
        <v>193619695.85541874</v>
      </c>
    </row>
    <row r="4008" spans="1:2" x14ac:dyDescent="0.25">
      <c r="A4008">
        <f ca="1">33612.6884116035*((RANDBETWEEN(2979,3282)))</f>
        <v>100434712.97387122</v>
      </c>
      <c r="B4008">
        <v>147774156.88426685</v>
      </c>
    </row>
    <row r="4009" spans="1:2" x14ac:dyDescent="0.25">
      <c r="A4009">
        <f ca="1">42179.3581000203*((RANDBETWEEN(2979,3282)))</f>
        <v>129448450.00896224</v>
      </c>
      <c r="B4009">
        <v>177969093.80622625</v>
      </c>
    </row>
    <row r="4010" spans="1:2" x14ac:dyDescent="0.25">
      <c r="A4010">
        <f ca="1">32207.4956240825*((RANDBETWEEN(2979,3282)))</f>
        <v>103611513.42267345</v>
      </c>
      <c r="B4010">
        <v>146433722.60008276</v>
      </c>
    </row>
    <row r="4011" spans="1:2" x14ac:dyDescent="0.25">
      <c r="A4011">
        <f ca="1">31494.1826162472*((RANDBETWEEN(2979,3282)))</f>
        <v>94230594.387811571</v>
      </c>
      <c r="B4011">
        <v>187305759.0309785</v>
      </c>
    </row>
    <row r="4012" spans="1:2" x14ac:dyDescent="0.25">
      <c r="A4012">
        <f ca="1">33180.0223227827*((RANDBETWEEN(2979,3282)))</f>
        <v>102625809.04436685</v>
      </c>
      <c r="B4012">
        <v>150186693.04839903</v>
      </c>
    </row>
    <row r="4013" spans="1:2" x14ac:dyDescent="0.25">
      <c r="A4013">
        <f ca="1">35471.2616020138*((RANDBETWEEN(2979,3282)))</f>
        <v>108506589.24056013</v>
      </c>
      <c r="B4013">
        <v>178923770.56017402</v>
      </c>
    </row>
    <row r="4014" spans="1:2" x14ac:dyDescent="0.25">
      <c r="A4014">
        <f ca="1">36557.2915311932*((RANDBETWEEN(2979,3282)))</f>
        <v>118518739.14412846</v>
      </c>
      <c r="B4014">
        <v>175088047.8833409</v>
      </c>
    </row>
    <row r="4015" spans="1:2" x14ac:dyDescent="0.25">
      <c r="A4015">
        <f ca="1">30714.0064978859*((RANDBETWEEN(2979,3282)))</f>
        <v>98161964.767243207</v>
      </c>
      <c r="B4015">
        <v>145170405.16685674</v>
      </c>
    </row>
    <row r="4016" spans="1:2" x14ac:dyDescent="0.25">
      <c r="A4016">
        <f ca="1">36856.7538822367*((RANDBETWEEN(2979,3282)))</f>
        <v>120816439.22597195</v>
      </c>
      <c r="B4016">
        <v>194136324.46383551</v>
      </c>
    </row>
    <row r="4017" spans="1:2" x14ac:dyDescent="0.25">
      <c r="A4017">
        <f ca="1">31688.6639045252*((RANDBETWEEN(2979,3282)))</f>
        <v>95351189.688716337</v>
      </c>
      <c r="B4017">
        <v>151510046.89635754</v>
      </c>
    </row>
    <row r="4018" spans="1:2" x14ac:dyDescent="0.25">
      <c r="A4018">
        <f ca="1">32476.2204819778*((RANDBETWEEN(2979,3282)))</f>
        <v>101390760.34473476</v>
      </c>
      <c r="B4018">
        <v>144834080.23840606</v>
      </c>
    </row>
    <row r="4019" spans="1:2" x14ac:dyDescent="0.25">
      <c r="A4019">
        <f ca="1">31895.7557047346*((RANDBETWEEN(2979,3282)))</f>
        <v>95782954.381317958</v>
      </c>
      <c r="B4019">
        <v>153471912.03441012</v>
      </c>
    </row>
    <row r="4020" spans="1:2" x14ac:dyDescent="0.25">
      <c r="A4020">
        <f ca="1">31047.0522027708*((RANDBETWEEN(2979,3282)))</f>
        <v>96711567.61163117</v>
      </c>
      <c r="B4020">
        <v>153890522.93729818</v>
      </c>
    </row>
    <row r="4021" spans="1:2" x14ac:dyDescent="0.25">
      <c r="A4021">
        <f ca="1">38908.5061538517*((RANDBETWEEN(2979,3282)))</f>
        <v>126919547.07386425</v>
      </c>
      <c r="B4021">
        <v>149265598.29147327</v>
      </c>
    </row>
    <row r="4022" spans="1:2" x14ac:dyDescent="0.25">
      <c r="A4022">
        <f ca="1">31883.5175957531*((RANDBETWEEN(2979,3282)))</f>
        <v>96957777.008685082</v>
      </c>
      <c r="B4022">
        <v>147088885.78374726</v>
      </c>
    </row>
    <row r="4023" spans="1:2" x14ac:dyDescent="0.25">
      <c r="A4023">
        <f ca="1">30199.7425140262*((RANDBETWEEN(2979,3282)))</f>
        <v>91142822.907331064</v>
      </c>
      <c r="B4023">
        <v>165104531.56257957</v>
      </c>
    </row>
    <row r="4024" spans="1:2" x14ac:dyDescent="0.25">
      <c r="A4024">
        <f ca="1">28311.8276805593*((RANDBETWEEN(2979,3282)))</f>
        <v>92607988.343109429</v>
      </c>
      <c r="B4024">
        <v>167444266.16896674</v>
      </c>
    </row>
    <row r="4025" spans="1:2" x14ac:dyDescent="0.25">
      <c r="A4025">
        <f ca="1">29249.9393540921*((RANDBETWEEN(2979,3282)))</f>
        <v>89738813.938354418</v>
      </c>
      <c r="B4025">
        <v>180389043.83383307</v>
      </c>
    </row>
    <row r="4026" spans="1:2" x14ac:dyDescent="0.25">
      <c r="A4026">
        <f ca="1">38263.3162816853*((RANDBETWEEN(2979,3282)))</f>
        <v>116550061.39401329</v>
      </c>
      <c r="B4026">
        <v>157772698.34063414</v>
      </c>
    </row>
    <row r="4027" spans="1:2" x14ac:dyDescent="0.25">
      <c r="A4027">
        <f ca="1">30731.9968688581*((RANDBETWEEN(2979,3282)))</f>
        <v>94777478.343558446</v>
      </c>
      <c r="B4027">
        <v>146289441.95048985</v>
      </c>
    </row>
    <row r="4028" spans="1:2" x14ac:dyDescent="0.25">
      <c r="A4028">
        <f ca="1">40416.3885273595*((RANDBETWEEN(2979,3282)))</f>
        <v>128645364.68258555</v>
      </c>
      <c r="B4028">
        <v>183545876.21899804</v>
      </c>
    </row>
    <row r="4029" spans="1:2" x14ac:dyDescent="0.25">
      <c r="A4029">
        <f ca="1">34644.1539233779*((RANDBETWEEN(2979,3282)))</f>
        <v>113459604.09906252</v>
      </c>
      <c r="B4029">
        <v>156251850.80028605</v>
      </c>
    </row>
    <row r="4030" spans="1:2" x14ac:dyDescent="0.25">
      <c r="A4030">
        <f ca="1">38124.2104093072*((RANDBETWEEN(2979,3282)))</f>
        <v>115058867.01528904</v>
      </c>
      <c r="B4030">
        <v>174405177.60330373</v>
      </c>
    </row>
    <row r="4031" spans="1:2" x14ac:dyDescent="0.25">
      <c r="A4031">
        <f ca="1">33390.7512322889*((RANDBETWEEN(2979,3282)))</f>
        <v>105614946.14772971</v>
      </c>
      <c r="B4031">
        <v>175156939.60488191</v>
      </c>
    </row>
    <row r="4032" spans="1:2" x14ac:dyDescent="0.25">
      <c r="A4032">
        <f ca="1">33232.0972942273*((RANDBETWEEN(2979,3282)))</f>
        <v>102919805.32022189</v>
      </c>
      <c r="B4032">
        <v>150977594.89216188</v>
      </c>
    </row>
    <row r="4033" spans="1:2" x14ac:dyDescent="0.25">
      <c r="A4033">
        <f ca="1">40669.1415105972*((RANDBETWEEN(2979,3282)))</f>
        <v>131279988.79620788</v>
      </c>
      <c r="B4033">
        <v>168514902.87279791</v>
      </c>
    </row>
    <row r="4034" spans="1:2" x14ac:dyDescent="0.25">
      <c r="A4034">
        <f ca="1">31007.6092268768*((RANDBETWEEN(2979,3282)))</f>
        <v>100805737.59657648</v>
      </c>
      <c r="B4034">
        <v>146037295.57481939</v>
      </c>
    </row>
    <row r="4035" spans="1:2" x14ac:dyDescent="0.25">
      <c r="A4035">
        <f ca="1">39476.6601724327*((RANDBETWEEN(2979,3282)))</f>
        <v>122298693.21419643</v>
      </c>
      <c r="B4035">
        <v>148603028.5345962</v>
      </c>
    </row>
    <row r="4036" spans="1:2" x14ac:dyDescent="0.25">
      <c r="A4036">
        <f ca="1">37591.3386319045*((RANDBETWEEN(2979,3282)))</f>
        <v>118111985.98144403</v>
      </c>
      <c r="B4036">
        <v>161884443.41349959</v>
      </c>
    </row>
    <row r="4037" spans="1:2" x14ac:dyDescent="0.25">
      <c r="A4037">
        <f ca="1">33165.635223298*((RANDBETWEEN(2979,3282)))</f>
        <v>104637579.1295052</v>
      </c>
      <c r="B4037">
        <v>192715695.90917641</v>
      </c>
    </row>
    <row r="4038" spans="1:2" x14ac:dyDescent="0.25">
      <c r="A4038">
        <f ca="1">31823.4118605932*((RANDBETWEEN(2979,3282)))</f>
        <v>103362441.7232067</v>
      </c>
      <c r="B4038">
        <v>188082734.23989078</v>
      </c>
    </row>
    <row r="4039" spans="1:2" x14ac:dyDescent="0.25">
      <c r="A4039">
        <f ca="1">40813.3196527616*((RANDBETWEEN(2979,3282)))</f>
        <v>131500515.92119791</v>
      </c>
      <c r="B4039">
        <v>144176641.3667776</v>
      </c>
    </row>
    <row r="4040" spans="1:2" x14ac:dyDescent="0.25">
      <c r="A4040">
        <f ca="1">30198.3851579112*((RANDBETWEEN(2979,3282)))</f>
        <v>91440710.258155048</v>
      </c>
      <c r="B4040">
        <v>168014327.13569352</v>
      </c>
    </row>
    <row r="4041" spans="1:2" x14ac:dyDescent="0.25">
      <c r="A4041">
        <f ca="1">30358.5568876298*((RANDBETWEEN(2979,3282)))</f>
        <v>91531049.016203806</v>
      </c>
      <c r="B4041">
        <v>154712369.92427534</v>
      </c>
    </row>
    <row r="4042" spans="1:2" x14ac:dyDescent="0.25">
      <c r="A4042">
        <f ca="1">33970.090617547*((RANDBETWEEN(2979,3282)))</f>
        <v>111353957.04431897</v>
      </c>
      <c r="B4042">
        <v>175170912.25395092</v>
      </c>
    </row>
    <row r="4043" spans="1:2" x14ac:dyDescent="0.25">
      <c r="A4043">
        <f ca="1">30937.8910401315*((RANDBETWEEN(2979,3282)))</f>
        <v>96959350.519772023</v>
      </c>
      <c r="B4043">
        <v>144583455.54398671</v>
      </c>
    </row>
    <row r="4044" spans="1:2" x14ac:dyDescent="0.25">
      <c r="A4044">
        <f ca="1">32399.2258018994*((RANDBETWEEN(2979,3282)))</f>
        <v>100502398.43749189</v>
      </c>
      <c r="B4044">
        <v>161265524.38697729</v>
      </c>
    </row>
    <row r="4045" spans="1:2" x14ac:dyDescent="0.25">
      <c r="A4045">
        <f ca="1">30023.0462993094*((RANDBETWEEN(2979,3282)))</f>
        <v>94182296.240933612</v>
      </c>
      <c r="B4045">
        <v>144519624.87704</v>
      </c>
    </row>
    <row r="4046" spans="1:2" x14ac:dyDescent="0.25">
      <c r="A4046">
        <f ca="1">34534.4992448587*((RANDBETWEEN(2979,3282)))</f>
        <v>109785173.09940566</v>
      </c>
      <c r="B4046">
        <v>180469090.79033038</v>
      </c>
    </row>
    <row r="4047" spans="1:2" x14ac:dyDescent="0.25">
      <c r="A4047">
        <f ca="1">28431.2995756549*((RANDBETWEEN(2979,3282)))</f>
        <v>87141933.19938235</v>
      </c>
      <c r="B4047">
        <v>186850262.60643211</v>
      </c>
    </row>
    <row r="4048" spans="1:2" x14ac:dyDescent="0.25">
      <c r="A4048">
        <f ca="1">30747.9990132264*((RANDBETWEEN(2979,3282)))</f>
        <v>95841512.924226746</v>
      </c>
      <c r="B4048">
        <v>145176705.60471037</v>
      </c>
    </row>
    <row r="4049" spans="1:2" x14ac:dyDescent="0.25">
      <c r="A4049">
        <f ca="1">30840.349499167*((RANDBETWEEN(2979,3282)))</f>
        <v>96067688.689905152</v>
      </c>
      <c r="B4049">
        <v>164446977.54469645</v>
      </c>
    </row>
    <row r="4050" spans="1:2" x14ac:dyDescent="0.25">
      <c r="A4050">
        <f ca="1">30464.6257947066*((RANDBETWEEN(2979,3282)))</f>
        <v>98400741.31690225</v>
      </c>
      <c r="B4050">
        <v>185081067.73528838</v>
      </c>
    </row>
    <row r="4051" spans="1:2" x14ac:dyDescent="0.25">
      <c r="A4051">
        <f ca="1">29789.0299617812*((RANDBETWEEN(2979,3282)))</f>
        <v>97708018.274642363</v>
      </c>
      <c r="B4051">
        <v>154189047.83805996</v>
      </c>
    </row>
    <row r="4052" spans="1:2" x14ac:dyDescent="0.25">
      <c r="A4052">
        <f ca="1">29237.9678844693*((RANDBETWEEN(2979,3282)))</f>
        <v>94935681.72087194</v>
      </c>
      <c r="B4052">
        <v>146194420.61061203</v>
      </c>
    </row>
    <row r="4053" spans="1:2" x14ac:dyDescent="0.25">
      <c r="A4053">
        <f ca="1">36830.484542601*((RANDBETWEEN(2979,3282)))</f>
        <v>113106418.0303276</v>
      </c>
      <c r="B4053">
        <v>163678540.42621088</v>
      </c>
    </row>
    <row r="4054" spans="1:2" x14ac:dyDescent="0.25">
      <c r="A4054">
        <f ca="1">32253.678192145*((RANDBETWEEN(2979,3282)))</f>
        <v>101760354.69621743</v>
      </c>
      <c r="B4054">
        <v>151525983.61211783</v>
      </c>
    </row>
    <row r="4055" spans="1:2" x14ac:dyDescent="0.25">
      <c r="A4055">
        <f ca="1">31865.9442748802*((RANDBETWEEN(2979,3282)))</f>
        <v>100282126.6330481</v>
      </c>
      <c r="B4055">
        <v>199045113.94084787</v>
      </c>
    </row>
    <row r="4056" spans="1:2" x14ac:dyDescent="0.25">
      <c r="A4056">
        <f ca="1">28361.8526405437*((RANDBETWEEN(2979,3282)))</f>
        <v>86361841.29045558</v>
      </c>
      <c r="B4056">
        <v>164983035.33420452</v>
      </c>
    </row>
    <row r="4057" spans="1:2" x14ac:dyDescent="0.25">
      <c r="A4057">
        <f ca="1">38429.1895120778*((RANDBETWEEN(2979,3282)))</f>
        <v>117439603.14890969</v>
      </c>
      <c r="B4057">
        <v>177545403.82480714</v>
      </c>
    </row>
    <row r="4058" spans="1:2" x14ac:dyDescent="0.25">
      <c r="A4058">
        <f ca="1">31050.0735129488*((RANDBETWEEN(2979,3282)))</f>
        <v>97745631.418762982</v>
      </c>
      <c r="B4058">
        <v>158019418.40322292</v>
      </c>
    </row>
    <row r="4059" spans="1:2" x14ac:dyDescent="0.25">
      <c r="A4059">
        <f ca="1">32318.6301617047*((RANDBETWEEN(2979,3282)))</f>
        <v>106069744.19071473</v>
      </c>
      <c r="B4059">
        <v>185701745.52909034</v>
      </c>
    </row>
    <row r="4060" spans="1:2" x14ac:dyDescent="0.25">
      <c r="A4060">
        <f ca="1">33237.8891031429*((RANDBETWEEN(2979,3282)))</f>
        <v>101142896.5408638</v>
      </c>
      <c r="B4060">
        <v>143229621.0651339</v>
      </c>
    </row>
    <row r="4061" spans="1:2" x14ac:dyDescent="0.25">
      <c r="A4061">
        <f ca="1">28962.3081293745*((RANDBETWEEN(2979,3282)))</f>
        <v>88943248.265309155</v>
      </c>
      <c r="B4061">
        <v>185649755.5128563</v>
      </c>
    </row>
    <row r="4062" spans="1:2" x14ac:dyDescent="0.25">
      <c r="A4062">
        <f ca="1">30696.3026600526*((RANDBETWEEN(2979,3282)))</f>
        <v>97829116.5775875</v>
      </c>
      <c r="B4062">
        <v>180078086.9795543</v>
      </c>
    </row>
    <row r="4063" spans="1:2" x14ac:dyDescent="0.25">
      <c r="A4063">
        <f ca="1">31169.5779219402*((RANDBETWEEN(2979,3282)))</f>
        <v>96407504.512561098</v>
      </c>
      <c r="B4063">
        <v>160153876.05353716</v>
      </c>
    </row>
    <row r="4064" spans="1:2" x14ac:dyDescent="0.25">
      <c r="A4064">
        <f ca="1">34972.5287114645*((RANDBETWEEN(2979,3282)))</f>
        <v>104847641.07697049</v>
      </c>
      <c r="B4064">
        <v>193238400.41295496</v>
      </c>
    </row>
    <row r="4065" spans="1:2" x14ac:dyDescent="0.25">
      <c r="A4065">
        <f ca="1">38369.2636734362*((RANDBETWEEN(2979,3282)))</f>
        <v>114762467.64724776</v>
      </c>
      <c r="B4065">
        <v>167261676.03231549</v>
      </c>
    </row>
    <row r="4066" spans="1:2" x14ac:dyDescent="0.25">
      <c r="A4066">
        <f ca="1">39037.7313362801*((RANDBETWEEN(2979,3282)))</f>
        <v>128082796.51433508</v>
      </c>
      <c r="B4066">
        <v>158805109.64522353</v>
      </c>
    </row>
    <row r="4067" spans="1:2" x14ac:dyDescent="0.25">
      <c r="A4067">
        <f ca="1">40893.0600794799*((RANDBETWEEN(2979,3282)))</f>
        <v>129140283.73099756</v>
      </c>
      <c r="B4067">
        <v>201800730.11960068</v>
      </c>
    </row>
    <row r="4068" spans="1:2" x14ac:dyDescent="0.25">
      <c r="A4068">
        <f ca="1">41012.1759790949*((RANDBETWEEN(2979,3282)))</f>
        <v>124636002.80046953</v>
      </c>
      <c r="B4068">
        <v>169302634.12949938</v>
      </c>
    </row>
    <row r="4069" spans="1:2" x14ac:dyDescent="0.25">
      <c r="A4069">
        <f ca="1">32260.8477507962*((RANDBETWEEN(2979,3282)))</f>
        <v>102976626.02054146</v>
      </c>
      <c r="B4069">
        <v>158978845.18782207</v>
      </c>
    </row>
    <row r="4070" spans="1:2" x14ac:dyDescent="0.25">
      <c r="A4070">
        <f ca="1">31414.3169153248*((RANDBETWEEN(2979,3282)))</f>
        <v>95342451.838010922</v>
      </c>
      <c r="B4070">
        <v>172669230.45807034</v>
      </c>
    </row>
    <row r="4071" spans="1:2" x14ac:dyDescent="0.25">
      <c r="A4071">
        <f ca="1">32520.046794013*((RANDBETWEEN(2979,3282)))</f>
        <v>102633267.68190497</v>
      </c>
      <c r="B4071">
        <v>202869936.40350991</v>
      </c>
    </row>
    <row r="4072" spans="1:2" x14ac:dyDescent="0.25">
      <c r="A4072">
        <f ca="1">34349.5258891533*((RANDBETWEEN(2979,3282)))</f>
        <v>109574987.58639896</v>
      </c>
      <c r="B4072">
        <v>175592734.7762163</v>
      </c>
    </row>
    <row r="4073" spans="1:2" x14ac:dyDescent="0.25">
      <c r="A4073">
        <f ca="1">30344.450999669*((RANDBETWEEN(2979,3282)))</f>
        <v>99317388.121916533</v>
      </c>
      <c r="B4073">
        <v>150577337.35623506</v>
      </c>
    </row>
    <row r="4074" spans="1:2" x14ac:dyDescent="0.25">
      <c r="A4074">
        <f ca="1">35739.5187440164*((RANDBETWEEN(2979,3282)))</f>
        <v>113973325.27466816</v>
      </c>
      <c r="B4074">
        <v>177445965.62816632</v>
      </c>
    </row>
    <row r="4075" spans="1:2" x14ac:dyDescent="0.25">
      <c r="A4075">
        <f ca="1">38169.9109607053*((RANDBETWEEN(2979,3282)))</f>
        <v>117677835.49185438</v>
      </c>
      <c r="B4075">
        <v>152297812.98220202</v>
      </c>
    </row>
    <row r="4076" spans="1:2" x14ac:dyDescent="0.25">
      <c r="A4076">
        <f ca="1">34597.1784704254*((RANDBETWEEN(2979,3282)))</f>
        <v>112613815.92123483</v>
      </c>
      <c r="B4076">
        <v>152653701.96226159</v>
      </c>
    </row>
    <row r="4077" spans="1:2" x14ac:dyDescent="0.25">
      <c r="A4077">
        <f ca="1">31469.4851085537*((RANDBETWEEN(2979,3282)))</f>
        <v>98310671.479121864</v>
      </c>
      <c r="B4077">
        <v>166961296.11807674</v>
      </c>
    </row>
    <row r="4078" spans="1:2" x14ac:dyDescent="0.25">
      <c r="A4078">
        <f ca="1">37345.4108434086*((RANDBETWEEN(2979,3282)))</f>
        <v>117488662.51336353</v>
      </c>
      <c r="B4078">
        <v>189909107.25954938</v>
      </c>
    </row>
    <row r="4079" spans="1:2" x14ac:dyDescent="0.25">
      <c r="A4079">
        <f ca="1">36728.5286010039*((RANDBETWEEN(2979,3282)))</f>
        <v>116319250.07937945</v>
      </c>
      <c r="B4079">
        <v>146050802.49012277</v>
      </c>
    </row>
    <row r="4080" spans="1:2" x14ac:dyDescent="0.25">
      <c r="A4080">
        <f ca="1">31222.4528265202*((RANDBETWEEN(2979,3282)))</f>
        <v>93604913.573907614</v>
      </c>
      <c r="B4080">
        <v>161945349.67479536</v>
      </c>
    </row>
    <row r="4081" spans="1:2" x14ac:dyDescent="0.25">
      <c r="A4081">
        <f ca="1">34103.177625999*((RANDBETWEEN(2979,3282)))</f>
        <v>110460192.33061086</v>
      </c>
      <c r="B4081">
        <v>159177339.13201249</v>
      </c>
    </row>
    <row r="4082" spans="1:2" x14ac:dyDescent="0.25">
      <c r="A4082">
        <f ca="1">29007.8420366444*((RANDBETWEEN(2979,3282)))</f>
        <v>93492274.884104937</v>
      </c>
      <c r="B4082">
        <v>201284147.55513358</v>
      </c>
    </row>
    <row r="4083" spans="1:2" x14ac:dyDescent="0.25">
      <c r="A4083">
        <f ca="1">30117.8305076926*((RANDBETWEEN(2979,3282)))</f>
        <v>93515863.726385519</v>
      </c>
      <c r="B4083">
        <v>196564125.2541005</v>
      </c>
    </row>
    <row r="4084" spans="1:2" x14ac:dyDescent="0.25">
      <c r="A4084">
        <f ca="1">36611.0769745046*((RANDBETWEEN(2979,3282)))</f>
        <v>113347894.31306612</v>
      </c>
      <c r="B4084">
        <v>145259323.07022965</v>
      </c>
    </row>
    <row r="4085" spans="1:2" x14ac:dyDescent="0.25">
      <c r="A4085">
        <f ca="1">37702.2211497912*((RANDBETWEEN(2979,3282)))</f>
        <v>122758432.06372012</v>
      </c>
      <c r="B4085">
        <v>167635615.75774902</v>
      </c>
    </row>
    <row r="4086" spans="1:2" x14ac:dyDescent="0.25">
      <c r="A4086">
        <f ca="1">41924.557835913*((RANDBETWEEN(2979,3282)))</f>
        <v>132397753.6458133</v>
      </c>
      <c r="B4086">
        <v>192016822.51465291</v>
      </c>
    </row>
    <row r="4087" spans="1:2" x14ac:dyDescent="0.25">
      <c r="A4087">
        <f ca="1">33729.8493233989*((RANDBETWEEN(2979,3282)))</f>
        <v>109487090.90375276</v>
      </c>
      <c r="B4087">
        <v>196563328.37943321</v>
      </c>
    </row>
    <row r="4088" spans="1:2" x14ac:dyDescent="0.25">
      <c r="A4088">
        <f ca="1">33047.2111279122*((RANDBETWEEN(2979,3282)))</f>
        <v>105618886.76480728</v>
      </c>
      <c r="B4088">
        <v>150204592.4524312</v>
      </c>
    </row>
    <row r="4089" spans="1:2" x14ac:dyDescent="0.25">
      <c r="A4089">
        <f ca="1">31211.9366037414*((RANDBETWEEN(2979,3282)))</f>
        <v>96413672.168957099</v>
      </c>
      <c r="B4089">
        <v>180811089.29510868</v>
      </c>
    </row>
    <row r="4090" spans="1:2" x14ac:dyDescent="0.25">
      <c r="A4090">
        <f ca="1">30027.386507321*((RANDBETWEEN(2979,3282)))</f>
        <v>96357883.301993102</v>
      </c>
      <c r="B4090">
        <v>177229673.85462227</v>
      </c>
    </row>
    <row r="4091" spans="1:2" x14ac:dyDescent="0.25">
      <c r="A4091">
        <f ca="1">35112.6515523834*((RANDBETWEEN(2979,3282)))</f>
        <v>111974245.80055076</v>
      </c>
      <c r="B4091">
        <v>179237776.52725676</v>
      </c>
    </row>
    <row r="4092" spans="1:2" x14ac:dyDescent="0.25">
      <c r="A4092">
        <f ca="1">27144.8793311086*((RANDBETWEEN(2979,3282)))</f>
        <v>82248984.373259172</v>
      </c>
      <c r="B4092">
        <v>167328913.51829991</v>
      </c>
    </row>
    <row r="4093" spans="1:2" x14ac:dyDescent="0.25">
      <c r="A4093">
        <f ca="1">31724.7577368275*((RANDBETWEEN(2979,3282)))</f>
        <v>102978563.61374192</v>
      </c>
      <c r="B4093">
        <v>159503960.52334964</v>
      </c>
    </row>
    <row r="4094" spans="1:2" x14ac:dyDescent="0.25">
      <c r="A4094">
        <f ca="1">28890.3893915124*((RANDBETWEEN(2979,3282)))</f>
        <v>87826783.750197843</v>
      </c>
      <c r="B4094">
        <v>152216992.55389684</v>
      </c>
    </row>
    <row r="4095" spans="1:2" x14ac:dyDescent="0.25">
      <c r="A4095">
        <f ca="1">30717.5391187174*((RANDBETWEEN(2979,3282)))</f>
        <v>98818323.344913781</v>
      </c>
      <c r="B4095">
        <v>158752574.97199327</v>
      </c>
    </row>
    <row r="4096" spans="1:2" x14ac:dyDescent="0.25">
      <c r="A4096">
        <f ca="1">34099.2915948203*((RANDBETWEEN(2979,3282)))</f>
        <v>110924995.55795035</v>
      </c>
      <c r="B4096">
        <v>146485357.76783502</v>
      </c>
    </row>
    <row r="4097" spans="1:2" x14ac:dyDescent="0.25">
      <c r="A4097">
        <f ca="1">28282.4417970186*((RANDBETWEEN(2979,3282)))</f>
        <v>86883661.200441077</v>
      </c>
      <c r="B4097">
        <v>158804654.28893378</v>
      </c>
    </row>
    <row r="4098" spans="1:2" x14ac:dyDescent="0.25">
      <c r="A4098">
        <f ca="1">33281.7216331214*((RANDBETWEEN(2979,3282)))</f>
        <v>99945010.064263538</v>
      </c>
      <c r="B4098">
        <v>173476818.70450944</v>
      </c>
    </row>
    <row r="4099" spans="1:2" x14ac:dyDescent="0.25">
      <c r="A4099">
        <f ca="1">27917.3092901553*((RANDBETWEEN(2979,3282)))</f>
        <v>89726232.058559224</v>
      </c>
      <c r="B4099">
        <v>156911785.53576753</v>
      </c>
    </row>
    <row r="4100" spans="1:2" x14ac:dyDescent="0.25">
      <c r="A4100">
        <f ca="1">35064.0784559616*((RANDBETWEEN(2979,3282)))</f>
        <v>108944091.76267269</v>
      </c>
      <c r="B4100">
        <v>148422851.14314601</v>
      </c>
    </row>
    <row r="4101" spans="1:2" x14ac:dyDescent="0.25">
      <c r="A4101">
        <f ca="1">39110.1672019112*((RANDBETWEEN(2979,3282)))</f>
        <v>120224653.97867517</v>
      </c>
      <c r="B4101">
        <v>177795656.66228911</v>
      </c>
    </row>
    <row r="4102" spans="1:2" x14ac:dyDescent="0.25">
      <c r="A4102">
        <f ca="1">35520.7086969401*((RANDBETWEEN(2979,3282)))</f>
        <v>110575966.17357469</v>
      </c>
      <c r="B4102">
        <v>197846052.95790756</v>
      </c>
    </row>
    <row r="4103" spans="1:2" x14ac:dyDescent="0.25">
      <c r="A4103">
        <f ca="1">39519.6491442727*((RANDBETWEEN(2979,3282)))</f>
        <v>120297811.99516603</v>
      </c>
      <c r="B4103">
        <v>174612907.83722511</v>
      </c>
    </row>
    <row r="4104" spans="1:2" x14ac:dyDescent="0.25">
      <c r="A4104">
        <f ca="1">33426.1008922843*((RANDBETWEEN(2979,3282)))</f>
        <v>103888321.57321969</v>
      </c>
      <c r="B4104">
        <v>145301664.23247367</v>
      </c>
    </row>
    <row r="4105" spans="1:2" x14ac:dyDescent="0.25">
      <c r="A4105">
        <f ca="1">33481.2871135367*((RANDBETWEEN(2979,3282)))</f>
        <v>103725027.47773664</v>
      </c>
      <c r="B4105">
        <v>148776799.5975562</v>
      </c>
    </row>
    <row r="4106" spans="1:2" x14ac:dyDescent="0.25">
      <c r="A4106">
        <f ca="1">30001.950419032*((RANDBETWEEN(2979,3282)))</f>
        <v>95376200.382102877</v>
      </c>
      <c r="B4106">
        <v>175993625.40750003</v>
      </c>
    </row>
    <row r="4107" spans="1:2" x14ac:dyDescent="0.25">
      <c r="A4107">
        <f ca="1">32420.4220759074*((RANDBETWEEN(2979,3282)))</f>
        <v>101735284.47419733</v>
      </c>
      <c r="B4107">
        <v>170105340.0787954</v>
      </c>
    </row>
    <row r="4108" spans="1:2" x14ac:dyDescent="0.25">
      <c r="A4108">
        <f ca="1">35024.3397845006*((RANDBETWEEN(2979,3282)))</f>
        <v>111237303.15557379</v>
      </c>
      <c r="B4108">
        <v>187675212.67521158</v>
      </c>
    </row>
    <row r="4109" spans="1:2" x14ac:dyDescent="0.25">
      <c r="A4109">
        <f ca="1">38220.9225411806*((RANDBETWEEN(2979,3282)))</f>
        <v>117682220.50429496</v>
      </c>
      <c r="B4109">
        <v>168513719.55855098</v>
      </c>
    </row>
    <row r="4110" spans="1:2" x14ac:dyDescent="0.25">
      <c r="A4110">
        <f ca="1">32123.3554896077*((RANDBETWEEN(2979,3282)))</f>
        <v>99582402.017783985</v>
      </c>
      <c r="B4110">
        <v>176373453.68877921</v>
      </c>
    </row>
    <row r="4111" spans="1:2" x14ac:dyDescent="0.25">
      <c r="A4111">
        <f ca="1">34496.9315877257*((RANDBETWEEN(2979,3282)))</f>
        <v>106216052.3586074</v>
      </c>
      <c r="B4111">
        <v>193008028.39158338</v>
      </c>
    </row>
    <row r="4112" spans="1:2" x14ac:dyDescent="0.25">
      <c r="A4112">
        <f ca="1">38159.4571872824*((RANDBETWEEN(2979,3282)))</f>
        <v>121957625.1705547</v>
      </c>
      <c r="B4112">
        <v>143161654.89476904</v>
      </c>
    </row>
    <row r="4113" spans="1:2" x14ac:dyDescent="0.25">
      <c r="A4113">
        <f ca="1">33178.9648567477*((RANDBETWEEN(2979,3282)))</f>
        <v>101593990.39136143</v>
      </c>
      <c r="B4113">
        <v>161014198.97854137</v>
      </c>
    </row>
    <row r="4114" spans="1:2" x14ac:dyDescent="0.25">
      <c r="A4114">
        <f ca="1">35421.5665971287*((RANDBETWEEN(2979,3282)))</f>
        <v>112853111.17845218</v>
      </c>
      <c r="B4114">
        <v>196187857.62070346</v>
      </c>
    </row>
    <row r="4115" spans="1:2" x14ac:dyDescent="0.25">
      <c r="A4115">
        <f ca="1">31537.1627400032*((RANDBETWEEN(2979,3282)))</f>
        <v>99342062.631010011</v>
      </c>
      <c r="B4115">
        <v>164071418.55869827</v>
      </c>
    </row>
    <row r="4116" spans="1:2" x14ac:dyDescent="0.25">
      <c r="A4116">
        <f ca="1">32366.2224880262*((RANDBETWEEN(2979,3282)))</f>
        <v>100723684.38273746</v>
      </c>
      <c r="B4116">
        <v>191139373.64704984</v>
      </c>
    </row>
    <row r="4117" spans="1:2" x14ac:dyDescent="0.25">
      <c r="A4117">
        <f ca="1">33506.0085273215*((RANDBETWEEN(2979,3282)))</f>
        <v>104907312.69904375</v>
      </c>
      <c r="B4117">
        <v>191655291.90814695</v>
      </c>
    </row>
    <row r="4118" spans="1:2" x14ac:dyDescent="0.25">
      <c r="A4118">
        <f ca="1">38597.7827041639*((RANDBETWEEN(2979,3282)))</f>
        <v>119035561.85964152</v>
      </c>
      <c r="B4118">
        <v>152090986.17593277</v>
      </c>
    </row>
    <row r="4119" spans="1:2" x14ac:dyDescent="0.25">
      <c r="A4119">
        <f ca="1">36503.0350980006*((RANDBETWEEN(2979,3282)))</f>
        <v>114875051.45340799</v>
      </c>
      <c r="B4119">
        <v>151885445.73075628</v>
      </c>
    </row>
    <row r="4120" spans="1:2" x14ac:dyDescent="0.25">
      <c r="A4120">
        <f ca="1">42703.6499944197*((RANDBETWEEN(2979,3282)))</f>
        <v>136694383.63213751</v>
      </c>
      <c r="B4120">
        <v>181601538.83452243</v>
      </c>
    </row>
    <row r="4121" spans="1:2" x14ac:dyDescent="0.25">
      <c r="A4121">
        <f ca="1">38494.8471134319*((RANDBETWEEN(2979,3282)))</f>
        <v>124992768.57731323</v>
      </c>
      <c r="B4121">
        <v>145332326.00000831</v>
      </c>
    </row>
    <row r="4122" spans="1:2" x14ac:dyDescent="0.25">
      <c r="A4122">
        <f ca="1">41699.360721035*((RANDBETWEEN(2979,3282)))</f>
        <v>132478869.01072831</v>
      </c>
      <c r="B4122">
        <v>161250687.56334633</v>
      </c>
    </row>
    <row r="4123" spans="1:2" x14ac:dyDescent="0.25">
      <c r="A4123">
        <f ca="1">30953.0271794337*((RANDBETWEEN(2979,3282)))</f>
        <v>96325820.582397699</v>
      </c>
      <c r="B4123">
        <v>194031423.03648204</v>
      </c>
    </row>
    <row r="4124" spans="1:2" x14ac:dyDescent="0.25">
      <c r="A4124">
        <f ca="1">35721.9939521091*((RANDBETWEEN(2979,3282)))</f>
        <v>115167708.50159962</v>
      </c>
      <c r="B4124">
        <v>149891247.3398945</v>
      </c>
    </row>
    <row r="4125" spans="1:2" x14ac:dyDescent="0.25">
      <c r="A4125">
        <f ca="1">33262.4781518426*((RANDBETWEEN(2979,3282)))</f>
        <v>104344393.96233019</v>
      </c>
      <c r="B4125">
        <v>165676231.51609749</v>
      </c>
    </row>
    <row r="4126" spans="1:2" x14ac:dyDescent="0.25">
      <c r="A4126">
        <f ca="1">28971.309452025*((RANDBETWEEN(2979,3282)))</f>
        <v>88710149.542100549</v>
      </c>
      <c r="B4126">
        <v>183598911.43595982</v>
      </c>
    </row>
    <row r="4127" spans="1:2" x14ac:dyDescent="0.25">
      <c r="A4127">
        <f ca="1">31666.9832785448*((RANDBETWEEN(2979,3282)))</f>
        <v>94589279.05301331</v>
      </c>
      <c r="B4127">
        <v>191200314.30158299</v>
      </c>
    </row>
    <row r="4128" spans="1:2" x14ac:dyDescent="0.25">
      <c r="A4128">
        <f ca="1">30371.8665471782*((RANDBETWEEN(2979,3282)))</f>
        <v>93241630.299836949</v>
      </c>
      <c r="B4128">
        <v>163489913.90395641</v>
      </c>
    </row>
    <row r="4129" spans="1:2" x14ac:dyDescent="0.25">
      <c r="A4129">
        <f ca="1">34135.3218438897*((RANDBETWEEN(2979,3282)))</f>
        <v>103054536.6467029</v>
      </c>
      <c r="B4129">
        <v>169571760.90412781</v>
      </c>
    </row>
    <row r="4130" spans="1:2" x14ac:dyDescent="0.25">
      <c r="A4130">
        <f ca="1">30192.0586970193*((RANDBETWEEN(2979,3282)))</f>
        <v>98909184.291435197</v>
      </c>
      <c r="B4130">
        <v>179708042.84819019</v>
      </c>
    </row>
    <row r="4131" spans="1:2" x14ac:dyDescent="0.25">
      <c r="A4131">
        <f ca="1">31263.8099675833*((RANDBETWEEN(2979,3282)))</f>
        <v>93353736.563203663</v>
      </c>
      <c r="B4131">
        <v>161741840.27905825</v>
      </c>
    </row>
    <row r="4132" spans="1:2" x14ac:dyDescent="0.25">
      <c r="A4132">
        <f ca="1">34360.7848420875*((RANDBETWEEN(2979,3282)))</f>
        <v>109920150.70983806</v>
      </c>
      <c r="B4132">
        <v>150291446.36790675</v>
      </c>
    </row>
    <row r="4133" spans="1:2" x14ac:dyDescent="0.25">
      <c r="A4133">
        <f ca="1">31994.3396304313*((RANDBETWEEN(2979,3282)))</f>
        <v>100558209.45844558</v>
      </c>
      <c r="B4133">
        <v>188471744.57938993</v>
      </c>
    </row>
    <row r="4134" spans="1:2" x14ac:dyDescent="0.25">
      <c r="A4134">
        <f ca="1">40830.0830963182*((RANDBETWEEN(2979,3282)))</f>
        <v>131023736.65608518</v>
      </c>
      <c r="B4134">
        <v>190073996.70732489</v>
      </c>
    </row>
    <row r="4135" spans="1:2" x14ac:dyDescent="0.25">
      <c r="A4135">
        <f ca="1">36361.3167016106*((RANDBETWEEN(2979,3282)))</f>
        <v>113665476.00923467</v>
      </c>
      <c r="B4135">
        <v>150079861.51850334</v>
      </c>
    </row>
    <row r="4136" spans="1:2" x14ac:dyDescent="0.25">
      <c r="A4136">
        <f ca="1">31087.7541958486*((RANDBETWEEN(2979,3282)))</f>
        <v>97646635.929160446</v>
      </c>
      <c r="B4136">
        <v>151201288.86792243</v>
      </c>
    </row>
    <row r="4137" spans="1:2" x14ac:dyDescent="0.25">
      <c r="A4137">
        <f ca="1">32159.2436756796*((RANDBETWEEN(2979,3282)))</f>
        <v>96156138.590281904</v>
      </c>
      <c r="B4137">
        <v>158830508.94175452</v>
      </c>
    </row>
    <row r="4138" spans="1:2" x14ac:dyDescent="0.25">
      <c r="A4138">
        <f ca="1">31657.1108715643*((RANDBETWEEN(2979,3282)))</f>
        <v>98611900.364922941</v>
      </c>
      <c r="B4138">
        <v>145689920.18408626</v>
      </c>
    </row>
    <row r="4139" spans="1:2" x14ac:dyDescent="0.25">
      <c r="A4139">
        <f ca="1">29143.3838298852*((RANDBETWEEN(2979,3282)))</f>
        <v>89178754.519448817</v>
      </c>
      <c r="B4139">
        <v>166528385.51763719</v>
      </c>
    </row>
    <row r="4140" spans="1:2" x14ac:dyDescent="0.25">
      <c r="A4140">
        <f ca="1">37378.9549917414*((RANDBETWEEN(2979,3282)))</f>
        <v>120995677.30826695</v>
      </c>
      <c r="B4140">
        <v>186505042.90941</v>
      </c>
    </row>
    <row r="4141" spans="1:2" x14ac:dyDescent="0.25">
      <c r="A4141">
        <f ca="1">36677.0304934672*((RANDBETWEEN(2979,3282)))</f>
        <v>120374014.07955948</v>
      </c>
      <c r="B4141">
        <v>169202845.511583</v>
      </c>
    </row>
    <row r="4142" spans="1:2" x14ac:dyDescent="0.25">
      <c r="A4142">
        <f ca="1">34812.3358600664*((RANDBETWEEN(2979,3282)))</f>
        <v>111677973.43909299</v>
      </c>
      <c r="B4142">
        <v>154738719.39039403</v>
      </c>
    </row>
    <row r="4143" spans="1:2" x14ac:dyDescent="0.25">
      <c r="A4143">
        <f ca="1">33658.6005865509*((RANDBETWEEN(2979,3282)))</f>
        <v>100605557.15320069</v>
      </c>
      <c r="B4143">
        <v>179819353.99098557</v>
      </c>
    </row>
    <row r="4144" spans="1:2" x14ac:dyDescent="0.25">
      <c r="A4144">
        <f ca="1">37027.1474124535*((RANDBETWEEN(2979,3282)))</f>
        <v>115524699.9268548</v>
      </c>
      <c r="B4144">
        <v>198683084.72018176</v>
      </c>
    </row>
    <row r="4145" spans="1:2" x14ac:dyDescent="0.25">
      <c r="A4145">
        <f ca="1">31339.1167193409*((RANDBETWEEN(2979,3282)))</f>
        <v>102760963.72271885</v>
      </c>
      <c r="B4145">
        <v>192732392.47114995</v>
      </c>
    </row>
    <row r="4146" spans="1:2" x14ac:dyDescent="0.25">
      <c r="A4146">
        <f ca="1">38616.6975727213*((RANDBETWEEN(2979,3282)))</f>
        <v>117317527.22592744</v>
      </c>
      <c r="B4146">
        <v>191377568.91634703</v>
      </c>
    </row>
    <row r="4147" spans="1:2" x14ac:dyDescent="0.25">
      <c r="A4147">
        <f ca="1">33018.7193025373*((RANDBETWEEN(2979,3282)))</f>
        <v>102589160.87298347</v>
      </c>
      <c r="B4147">
        <v>145048668.26382098</v>
      </c>
    </row>
    <row r="4148" spans="1:2" x14ac:dyDescent="0.25">
      <c r="A4148">
        <f ca="1">35374.4973986125*((RANDBETWEEN(2979,3282)))</f>
        <v>110828300.34985285</v>
      </c>
      <c r="B4148">
        <v>183346798.95258892</v>
      </c>
    </row>
    <row r="4149" spans="1:2" x14ac:dyDescent="0.25">
      <c r="A4149">
        <f ca="1">31593.0623754344*((RANDBETWEEN(2979,3282)))</f>
        <v>94273698.12829636</v>
      </c>
      <c r="B4149">
        <v>160670224.60630611</v>
      </c>
    </row>
    <row r="4150" spans="1:2" x14ac:dyDescent="0.25">
      <c r="A4150">
        <f ca="1">28499.2326191735*((RANDBETWEEN(2979,3282)))</f>
        <v>92679504.477552056</v>
      </c>
      <c r="B4150">
        <v>152756790.83132666</v>
      </c>
    </row>
    <row r="4151" spans="1:2" x14ac:dyDescent="0.25">
      <c r="A4151">
        <f ca="1">30198.0844016123*((RANDBETWEEN(2979,3282)))</f>
        <v>94338815.670636967</v>
      </c>
      <c r="B4151">
        <v>156657069.3470338</v>
      </c>
    </row>
    <row r="4152" spans="1:2" x14ac:dyDescent="0.25">
      <c r="A4152">
        <f ca="1">32648.5200451632*((RANDBETWEEN(2979,3282)))</f>
        <v>98043505.695625216</v>
      </c>
      <c r="B4152">
        <v>199388163.51657042</v>
      </c>
    </row>
    <row r="4153" spans="1:2" x14ac:dyDescent="0.25">
      <c r="A4153">
        <f ca="1">27808.2873895411*((RANDBETWEEN(2979,3282)))</f>
        <v>83953219.629024506</v>
      </c>
      <c r="B4153">
        <v>165281633.72096187</v>
      </c>
    </row>
    <row r="4154" spans="1:2" x14ac:dyDescent="0.25">
      <c r="A4154">
        <f ca="1">38630.9706991897*((RANDBETWEEN(2979,3282)))</f>
        <v>117669936.74973193</v>
      </c>
      <c r="B4154">
        <v>167429795.9500964</v>
      </c>
    </row>
    <row r="4155" spans="1:2" x14ac:dyDescent="0.25">
      <c r="A4155">
        <f ca="1">31774.2562989766*((RANDBETWEEN(2979,3282)))</f>
        <v>98404871.757930517</v>
      </c>
      <c r="B4155">
        <v>169014965.35938323</v>
      </c>
    </row>
    <row r="4156" spans="1:2" x14ac:dyDescent="0.25">
      <c r="A4156">
        <f ca="1">28446.7416500268*((RANDBETWEEN(2979,3282)))</f>
        <v>86648775.065981776</v>
      </c>
      <c r="B4156">
        <v>143867533.78386074</v>
      </c>
    </row>
    <row r="4157" spans="1:2" x14ac:dyDescent="0.25">
      <c r="A4157">
        <f ca="1">31076.2555702142*((RANDBETWEEN(2979,3282)))</f>
        <v>99537246.591395989</v>
      </c>
      <c r="B4157">
        <v>151099935.20812184</v>
      </c>
    </row>
    <row r="4158" spans="1:2" x14ac:dyDescent="0.25">
      <c r="A4158">
        <f ca="1">28153.8574142435*((RANDBETWEEN(2979,3282)))</f>
        <v>86573111.548798725</v>
      </c>
      <c r="B4158">
        <v>169841176.92852354</v>
      </c>
    </row>
    <row r="4159" spans="1:2" x14ac:dyDescent="0.25">
      <c r="A4159">
        <f ca="1">29958.9269532906*((RANDBETWEEN(2979,3282)))</f>
        <v>89816863.005965337</v>
      </c>
      <c r="B4159">
        <v>148878735.60249013</v>
      </c>
    </row>
    <row r="4160" spans="1:2" x14ac:dyDescent="0.25">
      <c r="A4160">
        <f ca="1">35500.6467705795*((RANDBETWEEN(2979,3282)))</f>
        <v>111720535.38701361</v>
      </c>
      <c r="B4160">
        <v>153575642.88238448</v>
      </c>
    </row>
    <row r="4161" spans="1:2" x14ac:dyDescent="0.25">
      <c r="A4161">
        <f ca="1">32824.715771669*((RANDBETWEEN(2979,3282)))</f>
        <v>100968825.71365401</v>
      </c>
      <c r="B4161">
        <v>170932677.90114653</v>
      </c>
    </row>
    <row r="4162" spans="1:2" x14ac:dyDescent="0.25">
      <c r="A4162">
        <f ca="1">33887.5240788115*((RANDBETWEEN(2979,3282)))</f>
        <v>108372302.00403909</v>
      </c>
      <c r="B4162">
        <v>169570224.93743947</v>
      </c>
    </row>
    <row r="4163" spans="1:2" x14ac:dyDescent="0.25">
      <c r="A4163">
        <f ca="1">34625.6916030789*((RANDBETWEEN(2979,3282)))</f>
        <v>107270392.5863383</v>
      </c>
      <c r="B4163">
        <v>180897008.19558918</v>
      </c>
    </row>
    <row r="4164" spans="1:2" x14ac:dyDescent="0.25">
      <c r="A4164">
        <f ca="1">31586.8253973158*((RANDBETWEEN(2979,3282)))</f>
        <v>96971553.96975942</v>
      </c>
      <c r="B4164">
        <v>149509863.54301149</v>
      </c>
    </row>
    <row r="4165" spans="1:2" x14ac:dyDescent="0.25">
      <c r="A4165">
        <f ca="1">30962.1447217911*((RANDBETWEEN(2979,3282)))</f>
        <v>99481370.991114929</v>
      </c>
      <c r="B4165">
        <v>150217901.26253521</v>
      </c>
    </row>
    <row r="4166" spans="1:2" x14ac:dyDescent="0.25">
      <c r="A4166">
        <f ca="1">29413.5575135844*((RANDBETWEEN(2979,3282)))</f>
        <v>91270268.964652523</v>
      </c>
      <c r="B4166">
        <v>200335504.55121186</v>
      </c>
    </row>
    <row r="4167" spans="1:2" x14ac:dyDescent="0.25">
      <c r="A4167">
        <f ca="1">35067.3737983201*((RANDBETWEEN(2979,3282)))</f>
        <v>110637564.33370003</v>
      </c>
      <c r="B4167">
        <v>146339744.62147176</v>
      </c>
    </row>
    <row r="4168" spans="1:2" x14ac:dyDescent="0.25">
      <c r="A4168">
        <f ca="1">31285.3274651154*((RANDBETWEEN(2979,3282)))</f>
        <v>96421379.247485578</v>
      </c>
      <c r="B4168">
        <v>155358193.64811748</v>
      </c>
    </row>
    <row r="4169" spans="1:2" x14ac:dyDescent="0.25">
      <c r="A4169">
        <f ca="1">29365.3582109242*((RANDBETWEEN(2979,3282)))</f>
        <v>87743690.334241584</v>
      </c>
      <c r="B4169">
        <v>196389291.64276433</v>
      </c>
    </row>
    <row r="4170" spans="1:2" x14ac:dyDescent="0.25">
      <c r="A4170">
        <f ca="1">38552.3837989932*((RANDBETWEEN(2979,3282)))</f>
        <v>126027742.63890882</v>
      </c>
      <c r="B4170">
        <v>202838451.30788803</v>
      </c>
    </row>
    <row r="4171" spans="1:2" x14ac:dyDescent="0.25">
      <c r="A4171">
        <f ca="1">30553.6850694228*((RANDBETWEEN(2979,3282)))</f>
        <v>96366322.708959639</v>
      </c>
      <c r="B4171">
        <v>151722710.51711139</v>
      </c>
    </row>
    <row r="4172" spans="1:2" x14ac:dyDescent="0.25">
      <c r="A4172">
        <f ca="1">30195.3649778866*((RANDBETWEEN(2979,3282)))</f>
        <v>98406694.462932363</v>
      </c>
      <c r="B4172">
        <v>146038052.49968112</v>
      </c>
    </row>
    <row r="4173" spans="1:2" x14ac:dyDescent="0.25">
      <c r="A4173">
        <f ca="1">36206.4438082013*((RANDBETWEEN(2979,3282)))</f>
        <v>117489910.1576132</v>
      </c>
      <c r="B4173">
        <v>176547673.68901008</v>
      </c>
    </row>
    <row r="4174" spans="1:2" x14ac:dyDescent="0.25">
      <c r="A4174">
        <f ca="1">29944.5568346326*((RANDBETWEEN(2979,3282)))</f>
        <v>97319809.712555811</v>
      </c>
      <c r="B4174">
        <v>189595822.57378557</v>
      </c>
    </row>
    <row r="4175" spans="1:2" x14ac:dyDescent="0.25">
      <c r="A4175">
        <f ca="1">42216.4227942214*((RANDBETWEEN(2979,3282)))</f>
        <v>127324731.14737174</v>
      </c>
      <c r="B4175">
        <v>155984131.09843072</v>
      </c>
    </row>
    <row r="4176" spans="1:2" x14ac:dyDescent="0.25">
      <c r="A4176">
        <f ca="1">32155.5755310255*((RANDBETWEEN(2979,3282)))</f>
        <v>96273793.139890373</v>
      </c>
      <c r="B4176">
        <v>186657517.08810955</v>
      </c>
    </row>
    <row r="4177" spans="1:2" x14ac:dyDescent="0.25">
      <c r="A4177">
        <f ca="1">29723.9722661088*((RANDBETWEEN(2979,3282)))</f>
        <v>96929873.559780806</v>
      </c>
      <c r="B4177">
        <v>159094213.20416889</v>
      </c>
    </row>
    <row r="4178" spans="1:2" x14ac:dyDescent="0.25">
      <c r="A4178">
        <f ca="1">28162.7397116842*((RANDBETWEEN(2979,3282)))</f>
        <v>90712184.611334935</v>
      </c>
      <c r="B4178">
        <v>200162229.26202792</v>
      </c>
    </row>
    <row r="4179" spans="1:2" x14ac:dyDescent="0.25">
      <c r="A4179">
        <f ca="1">30894.8071773086*((RANDBETWEEN(2979,3282)))</f>
        <v>99357699.882224515</v>
      </c>
      <c r="B4179">
        <v>147924381.28108945</v>
      </c>
    </row>
    <row r="4180" spans="1:2" x14ac:dyDescent="0.25">
      <c r="A4180">
        <f ca="1">31069.1872079542*((RANDBETWEEN(2979,3282)))</f>
        <v>98737876.946878433</v>
      </c>
      <c r="B4180">
        <v>150618919.41164958</v>
      </c>
    </row>
    <row r="4181" spans="1:2" x14ac:dyDescent="0.25">
      <c r="A4181">
        <f ca="1">33793.1061170547*((RANDBETWEEN(2979,3282)))</f>
        <v>107124146.39106341</v>
      </c>
      <c r="B4181">
        <v>199552875.17423621</v>
      </c>
    </row>
    <row r="4182" spans="1:2" x14ac:dyDescent="0.25">
      <c r="A4182">
        <f ca="1">35819.5768065003*((RANDBETWEEN(2979,3282)))</f>
        <v>108927333.06856745</v>
      </c>
      <c r="B4182">
        <v>152179809.38091892</v>
      </c>
    </row>
    <row r="4183" spans="1:2" x14ac:dyDescent="0.25">
      <c r="A4183">
        <f ca="1">34916.5021318411*((RANDBETWEEN(2979,3282)))</f>
        <v>107507910.0639386</v>
      </c>
      <c r="B4183">
        <v>165943204.48411277</v>
      </c>
    </row>
    <row r="4184" spans="1:2" x14ac:dyDescent="0.25">
      <c r="A4184">
        <f ca="1">31554.6590546726*((RANDBETWEEN(2979,3282)))</f>
        <v>100817135.67967902</v>
      </c>
      <c r="B4184">
        <v>170667749.07499802</v>
      </c>
    </row>
    <row r="4185" spans="1:2" x14ac:dyDescent="0.25">
      <c r="A4185">
        <f ca="1">38999.1891053041*((RANDBETWEEN(2979,3282)))</f>
        <v>122418454.60154985</v>
      </c>
      <c r="B4185">
        <v>166599279.33990383</v>
      </c>
    </row>
    <row r="4186" spans="1:2" x14ac:dyDescent="0.25">
      <c r="A4186">
        <f ca="1">31560.3565193027*((RANDBETWEEN(2979,3282)))</f>
        <v>102097753.3399443</v>
      </c>
      <c r="B4186">
        <v>166921974.71304414</v>
      </c>
    </row>
    <row r="4187" spans="1:2" x14ac:dyDescent="0.25">
      <c r="A4187">
        <f ca="1">32591.138713125*((RANDBETWEEN(2979,3282)))</f>
        <v>105823427.40151677</v>
      </c>
      <c r="B4187">
        <v>162840723.32106635</v>
      </c>
    </row>
    <row r="4188" spans="1:2" x14ac:dyDescent="0.25">
      <c r="A4188">
        <f ca="1">31478.8531807716*((RANDBETWEEN(2979,3282)))</f>
        <v>97710360.273115173</v>
      </c>
      <c r="B4188">
        <v>165134592.87951261</v>
      </c>
    </row>
    <row r="4189" spans="1:2" x14ac:dyDescent="0.25">
      <c r="A4189">
        <f ca="1">35904.0300984231*((RANDBETWEEN(2979,3282)))</f>
        <v>112774558.53914702</v>
      </c>
      <c r="B4189">
        <v>182847603.2234627</v>
      </c>
    </row>
    <row r="4190" spans="1:2" x14ac:dyDescent="0.25">
      <c r="A4190">
        <f ca="1">32719.9720148231*((RANDBETWEEN(2979,3282)))</f>
        <v>104867510.30750789</v>
      </c>
      <c r="B4190">
        <v>190185241.20875514</v>
      </c>
    </row>
    <row r="4191" spans="1:2" x14ac:dyDescent="0.25">
      <c r="A4191">
        <f ca="1">36225.0265293946*((RANDBETWEEN(2979,3282)))</f>
        <v>112659832.5064172</v>
      </c>
      <c r="B4191">
        <v>161058354.95219207</v>
      </c>
    </row>
    <row r="4192" spans="1:2" x14ac:dyDescent="0.25">
      <c r="A4192">
        <f ca="1">35872.3879415166*((RANDBETWEEN(2979,3282)))</f>
        <v>112998022.01577733</v>
      </c>
      <c r="B4192">
        <v>175940601.48393774</v>
      </c>
    </row>
    <row r="4193" spans="1:2" x14ac:dyDescent="0.25">
      <c r="A4193">
        <f ca="1">35998.0360844815*((RANDBETWEEN(2979,3282)))</f>
        <v>115229713.50642526</v>
      </c>
      <c r="B4193">
        <v>171314499.91112292</v>
      </c>
    </row>
    <row r="4194" spans="1:2" x14ac:dyDescent="0.25">
      <c r="A4194">
        <f ca="1">30658.4713114154*((RANDBETWEEN(2979,3282)))</f>
        <v>98229742.08177492</v>
      </c>
      <c r="B4194">
        <v>189820283.63159162</v>
      </c>
    </row>
    <row r="4195" spans="1:2" x14ac:dyDescent="0.25">
      <c r="A4195">
        <f ca="1">32846.8925768888*((RANDBETWEEN(2979,3282)))</f>
        <v>99427543.83024244</v>
      </c>
      <c r="B4195">
        <v>162184458.95393944</v>
      </c>
    </row>
    <row r="4196" spans="1:2" x14ac:dyDescent="0.25">
      <c r="A4196">
        <f ca="1">30414.0908377983*((RANDBETWEEN(2979,3282)))</f>
        <v>92793391.146122694</v>
      </c>
      <c r="B4196">
        <v>150724200.33052513</v>
      </c>
    </row>
    <row r="4197" spans="1:2" x14ac:dyDescent="0.25">
      <c r="A4197">
        <f ca="1">33207.7091755173*((RANDBETWEEN(2979,3282)))</f>
        <v>98958973.343041539</v>
      </c>
      <c r="B4197">
        <v>177801752.66693407</v>
      </c>
    </row>
    <row r="4198" spans="1:2" x14ac:dyDescent="0.25">
      <c r="A4198">
        <f ca="1">36125.4420182333*((RANDBETWEEN(2979,3282)))</f>
        <v>115167909.15412775</v>
      </c>
      <c r="B4198">
        <v>181267114.23780823</v>
      </c>
    </row>
    <row r="4199" spans="1:2" x14ac:dyDescent="0.25">
      <c r="A4199">
        <f ca="1">32258.7174437625*((RANDBETWEEN(2979,3282)))</f>
        <v>99840730.488444835</v>
      </c>
      <c r="B4199">
        <v>195723526.31856543</v>
      </c>
    </row>
    <row r="4200" spans="1:2" x14ac:dyDescent="0.25">
      <c r="A4200">
        <f ca="1">32522.850610863*((RANDBETWEEN(2979,3282)))</f>
        <v>104073121.9547617</v>
      </c>
      <c r="B4200">
        <v>175074821.10947984</v>
      </c>
    </row>
    <row r="4201" spans="1:2" x14ac:dyDescent="0.25">
      <c r="A4201">
        <f ca="1">34960.8553378907*((RANDBETWEEN(2979,3282)))</f>
        <v>108133925.56009603</v>
      </c>
      <c r="B4201">
        <v>174875098.70955551</v>
      </c>
    </row>
    <row r="4202" spans="1:2" x14ac:dyDescent="0.25">
      <c r="A4202">
        <f ca="1">34448.9581936794*((RANDBETWEEN(2979,3282)))</f>
        <v>111028992.25822866</v>
      </c>
      <c r="B4202">
        <v>148234546.05916938</v>
      </c>
    </row>
    <row r="4203" spans="1:2" x14ac:dyDescent="0.25">
      <c r="A4203">
        <f ca="1">29883.0244691284*((RANDBETWEEN(2979,3282)))</f>
        <v>92278779.560668364</v>
      </c>
      <c r="B4203">
        <v>198764853.42702878</v>
      </c>
    </row>
    <row r="4204" spans="1:2" x14ac:dyDescent="0.25">
      <c r="A4204">
        <f ca="1">32652.8920845501*((RANDBETWEEN(2979,3282)))</f>
        <v>106709651.33230972</v>
      </c>
      <c r="B4204">
        <v>145323509.62972683</v>
      </c>
    </row>
    <row r="4205" spans="1:2" x14ac:dyDescent="0.25">
      <c r="A4205">
        <f ca="1">31145.1080568587*((RANDBETWEEN(2979,3282)))</f>
        <v>99913506.646402791</v>
      </c>
      <c r="B4205">
        <v>159311992.05130261</v>
      </c>
    </row>
    <row r="4206" spans="1:2" x14ac:dyDescent="0.25">
      <c r="A4206">
        <f ca="1">39367.1226580028*((RANDBETWEEN(2979,3282)))</f>
        <v>122904156.93828484</v>
      </c>
      <c r="B4206">
        <v>161009014.67828488</v>
      </c>
    </row>
    <row r="4207" spans="1:2" x14ac:dyDescent="0.25">
      <c r="A4207">
        <f ca="1">35273.4750127149*((RANDBETWEEN(2979,3282)))</f>
        <v>112557658.76557323</v>
      </c>
      <c r="B4207">
        <v>154988617.79097134</v>
      </c>
    </row>
    <row r="4208" spans="1:2" x14ac:dyDescent="0.25">
      <c r="A4208">
        <f ca="1">34236.1900705967*((RANDBETWEEN(2979,3282)))</f>
        <v>109110737.75499181</v>
      </c>
      <c r="B4208">
        <v>190445544.06503975</v>
      </c>
    </row>
    <row r="4209" spans="1:2" x14ac:dyDescent="0.25">
      <c r="A4209">
        <f ca="1">33347.2125544455*((RANDBETWEEN(2979,3282)))</f>
        <v>100741929.12697992</v>
      </c>
      <c r="B4209">
        <v>178589802.36716473</v>
      </c>
    </row>
    <row r="4210" spans="1:2" x14ac:dyDescent="0.25">
      <c r="A4210">
        <f ca="1">34908.9955500333*((RANDBETWEEN(2979,3282)))</f>
        <v>104692077.65454987</v>
      </c>
      <c r="B4210">
        <v>159269805.75195131</v>
      </c>
    </row>
    <row r="4211" spans="1:2" x14ac:dyDescent="0.25">
      <c r="A4211">
        <f ca="1">37975.0840837038*((RANDBETWEEN(2979,3282)))</f>
        <v>120760767.38617796</v>
      </c>
      <c r="B4211">
        <v>183615367.59567162</v>
      </c>
    </row>
    <row r="4212" spans="1:2" x14ac:dyDescent="0.25">
      <c r="A4212">
        <f ca="1">33370.6237671984*((RANDBETWEEN(2979,3282)))</f>
        <v>102381073.71776471</v>
      </c>
      <c r="B4212">
        <v>145976070.82552221</v>
      </c>
    </row>
    <row r="4213" spans="1:2" x14ac:dyDescent="0.25">
      <c r="A4213">
        <f ca="1">39812.6377664307*((RANDBETWEEN(2979,3282)))</f>
        <v>123777490.81583305</v>
      </c>
      <c r="B4213">
        <v>188838961.50610599</v>
      </c>
    </row>
    <row r="4214" spans="1:2" x14ac:dyDescent="0.25">
      <c r="A4214">
        <f ca="1">36902.7523476547*((RANDBETWEEN(2979,3282)))</f>
        <v>111852242.36574127</v>
      </c>
      <c r="B4214">
        <v>200993333.47547543</v>
      </c>
    </row>
    <row r="4215" spans="1:2" x14ac:dyDescent="0.25">
      <c r="A4215">
        <f ca="1">35773.8423079142*((RANDBETWEEN(2979,3282)))</f>
        <v>115621058.33917858</v>
      </c>
      <c r="B4215">
        <v>202456841.0288476</v>
      </c>
    </row>
    <row r="4216" spans="1:2" x14ac:dyDescent="0.25">
      <c r="A4216">
        <f ca="1">39580.647246311*((RANDBETWEEN(2979,3282)))</f>
        <v>121116780.57371154</v>
      </c>
      <c r="B4216">
        <v>177286133.49574319</v>
      </c>
    </row>
    <row r="4217" spans="1:2" x14ac:dyDescent="0.25">
      <c r="A4217">
        <f ca="1">36872.7942034855*((RANDBETWEEN(2979,3282)))</f>
        <v>117882323.06854303</v>
      </c>
      <c r="B4217">
        <v>145720934.52771926</v>
      </c>
    </row>
    <row r="4218" spans="1:2" x14ac:dyDescent="0.25">
      <c r="A4218">
        <f ca="1">35495.2778413142*((RANDBETWEEN(2979,3282)))</f>
        <v>109680408.52966085</v>
      </c>
      <c r="B4218">
        <v>163619696.75546223</v>
      </c>
    </row>
    <row r="4219" spans="1:2" x14ac:dyDescent="0.25">
      <c r="A4219">
        <f ca="1">29813.4835866953*((RANDBETWEEN(2979,3282)))</f>
        <v>93852846.330916673</v>
      </c>
      <c r="B4219">
        <v>149100815.43248808</v>
      </c>
    </row>
    <row r="4220" spans="1:2" x14ac:dyDescent="0.25">
      <c r="A4220">
        <f ca="1">31257.7603837796*((RANDBETWEEN(2979,3282)))</f>
        <v>100306153.07154885</v>
      </c>
      <c r="B4220">
        <v>165276447.66640022</v>
      </c>
    </row>
    <row r="4221" spans="1:2" x14ac:dyDescent="0.25">
      <c r="A4221">
        <f ca="1">30187.3393806425*((RANDBETWEEN(2979,3282)))</f>
        <v>94878807.673359498</v>
      </c>
      <c r="B4221">
        <v>186644926.3217842</v>
      </c>
    </row>
    <row r="4222" spans="1:2" x14ac:dyDescent="0.25">
      <c r="A4222">
        <f ca="1">28270.6969836122*((RANDBETWEEN(2979,3282)))</f>
        <v>89391943.862181723</v>
      </c>
      <c r="B4222">
        <v>188404452.22912991</v>
      </c>
    </row>
    <row r="4223" spans="1:2" x14ac:dyDescent="0.25">
      <c r="A4223">
        <f ca="1">29886.5170795859*((RANDBETWEEN(2979,3282)))</f>
        <v>97071407.474495083</v>
      </c>
      <c r="B4223">
        <v>173341961.18399659</v>
      </c>
    </row>
    <row r="4224" spans="1:2" x14ac:dyDescent="0.25">
      <c r="A4224">
        <f ca="1">32939.0807523453*((RANDBETWEEN(2979,3282)))</f>
        <v>105372119.32675268</v>
      </c>
      <c r="B4224">
        <v>155200215.05397511</v>
      </c>
    </row>
    <row r="4225" spans="1:2" x14ac:dyDescent="0.25">
      <c r="A4225">
        <f ca="1">31901.7212894842*((RANDBETWEEN(2979,3282)))</f>
        <v>96087984.523926497</v>
      </c>
      <c r="B4225">
        <v>202346124.5113261</v>
      </c>
    </row>
    <row r="4226" spans="1:2" x14ac:dyDescent="0.25">
      <c r="A4226">
        <f ca="1">37697.296492019*((RANDBETWEEN(2979,3282)))</f>
        <v>119198851.50776421</v>
      </c>
      <c r="B4226">
        <v>177382687.60942882</v>
      </c>
    </row>
    <row r="4227" spans="1:2" x14ac:dyDescent="0.25">
      <c r="A4227">
        <f ca="1">31923.7930896765*((RANDBETWEEN(2979,3282)))</f>
        <v>99634158.232880294</v>
      </c>
      <c r="B4227">
        <v>166784147.4177984</v>
      </c>
    </row>
    <row r="4228" spans="1:2" x14ac:dyDescent="0.25">
      <c r="A4228">
        <f ca="1">33991.6487155684*((RANDBETWEEN(2979,3282)))</f>
        <v>107617559.83348979</v>
      </c>
      <c r="B4228">
        <v>182515499.75982255</v>
      </c>
    </row>
    <row r="4229" spans="1:2" x14ac:dyDescent="0.25">
      <c r="A4229">
        <f ca="1">33841.3612109917*((RANDBETWEEN(2979,3282)))</f>
        <v>104874378.3928632</v>
      </c>
      <c r="B4229">
        <v>166221605.12365565</v>
      </c>
    </row>
    <row r="4230" spans="1:2" x14ac:dyDescent="0.25">
      <c r="A4230">
        <f ca="1">32468.4281759955*((RANDBETWEEN(2979,3282)))</f>
        <v>100619658.91741014</v>
      </c>
      <c r="B4230">
        <v>156449507.30789155</v>
      </c>
    </row>
    <row r="4231" spans="1:2" x14ac:dyDescent="0.25">
      <c r="A4231">
        <f ca="1">29735.9468973043*((RANDBETWEEN(2979,3282)))</f>
        <v>90486486.408497244</v>
      </c>
      <c r="B4231">
        <v>188590546.83629468</v>
      </c>
    </row>
    <row r="4232" spans="1:2" x14ac:dyDescent="0.25">
      <c r="A4232">
        <f ca="1">28931.9192916635*((RANDBETWEEN(2979,3282)))</f>
        <v>89283902.934073687</v>
      </c>
      <c r="B4232">
        <v>168589821.29487592</v>
      </c>
    </row>
    <row r="4233" spans="1:2" x14ac:dyDescent="0.25">
      <c r="A4233">
        <f ca="1">31524.8626121342*((RANDBETWEEN(2979,3282)))</f>
        <v>95142035.363421068</v>
      </c>
      <c r="B4233">
        <v>156647844.66885251</v>
      </c>
    </row>
    <row r="4234" spans="1:2" x14ac:dyDescent="0.25">
      <c r="A4234">
        <f ca="1">38196.2888467911*((RANDBETWEEN(2979,3282)))</f>
        <v>113901333.34113114</v>
      </c>
      <c r="B4234">
        <v>154932164.68732512</v>
      </c>
    </row>
    <row r="4235" spans="1:2" x14ac:dyDescent="0.25">
      <c r="A4235">
        <f ca="1">32770.9362742219*((RANDBETWEEN(2979,3282)))</f>
        <v>98378350.695214197</v>
      </c>
      <c r="B4235">
        <v>144258278.79549286</v>
      </c>
    </row>
    <row r="4236" spans="1:2" x14ac:dyDescent="0.25">
      <c r="A4236">
        <f ca="1">28513.6595059294*((RANDBETWEEN(2979,3282)))</f>
        <v>92156147.523163661</v>
      </c>
      <c r="B4236">
        <v>157887739.48650655</v>
      </c>
    </row>
    <row r="4237" spans="1:2" x14ac:dyDescent="0.25">
      <c r="A4237">
        <f ca="1">31016.3218617677*((RANDBETWEEN(2979,3282)))</f>
        <v>99252229.957656696</v>
      </c>
      <c r="B4237">
        <v>192477528.47243047</v>
      </c>
    </row>
    <row r="4238" spans="1:2" x14ac:dyDescent="0.25">
      <c r="A4238">
        <f ca="1">28407.4187953254*((RANDBETWEEN(2979,3282)))</f>
        <v>89000443.085754558</v>
      </c>
      <c r="B4238">
        <v>149963542.22066566</v>
      </c>
    </row>
    <row r="4239" spans="1:2" x14ac:dyDescent="0.25">
      <c r="A4239">
        <f ca="1">29981.6778246465*((RANDBETWEEN(2979,3282)))</f>
        <v>89735161.729166955</v>
      </c>
      <c r="B4239">
        <v>193793440.11303252</v>
      </c>
    </row>
    <row r="4240" spans="1:2" x14ac:dyDescent="0.25">
      <c r="A4240">
        <f ca="1">32612.0230485798*((RANDBETWEEN(2979,3282)))</f>
        <v>105728178.72349563</v>
      </c>
      <c r="B4240">
        <v>201774560.24666345</v>
      </c>
    </row>
    <row r="4241" spans="1:2" x14ac:dyDescent="0.25">
      <c r="A4241">
        <f ca="1">31037.4697591498*((RANDBETWEEN(2979,3282)))</f>
        <v>98916416.122410536</v>
      </c>
      <c r="B4241">
        <v>144970082.20828128</v>
      </c>
    </row>
    <row r="4242" spans="1:2" x14ac:dyDescent="0.25">
      <c r="A4242">
        <f ca="1">33856.1842752248*((RANDBETWEEN(2979,3282)))</f>
        <v>109084625.73477423</v>
      </c>
      <c r="B4242">
        <v>156263543.20301726</v>
      </c>
    </row>
    <row r="4243" spans="1:2" x14ac:dyDescent="0.25">
      <c r="A4243">
        <f ca="1">37739.0481310026*((RANDBETWEEN(2979,3282)))</f>
        <v>121406517.83743528</v>
      </c>
      <c r="B4243">
        <v>201699885.33260667</v>
      </c>
    </row>
    <row r="4244" spans="1:2" x14ac:dyDescent="0.25">
      <c r="A4244">
        <f ca="1">34636.3228401559*((RANDBETWEEN(2979,3282)))</f>
        <v>111909959.0965437</v>
      </c>
      <c r="B4244">
        <v>186319403.2276378</v>
      </c>
    </row>
    <row r="4245" spans="1:2" x14ac:dyDescent="0.25">
      <c r="A4245">
        <f ca="1">36569.8666278701*((RANDBETWEEN(2979,3282)))</f>
        <v>111026115.0822137</v>
      </c>
      <c r="B4245">
        <v>164551397.6006496</v>
      </c>
    </row>
    <row r="4246" spans="1:2" x14ac:dyDescent="0.25">
      <c r="A4246">
        <f ca="1">29930.2421184909*((RANDBETWEEN(2979,3282)))</f>
        <v>92993262.262151316</v>
      </c>
      <c r="B4246">
        <v>184301808.32727987</v>
      </c>
    </row>
    <row r="4247" spans="1:2" x14ac:dyDescent="0.25">
      <c r="A4247">
        <f ca="1">29848.1658453009*((RANDBETWEEN(2979,3282)))</f>
        <v>96648361.007084221</v>
      </c>
      <c r="B4247">
        <v>146033752.56596226</v>
      </c>
    </row>
    <row r="4248" spans="1:2" x14ac:dyDescent="0.25">
      <c r="A4248">
        <f ca="1">42795.896029854*((RANDBETWEEN(2979,3282)))</f>
        <v>133908358.67741331</v>
      </c>
      <c r="B4248">
        <v>145526620.22986168</v>
      </c>
    </row>
    <row r="4249" spans="1:2" x14ac:dyDescent="0.25">
      <c r="A4249">
        <f ca="1">33217.4333031231*((RANDBETWEEN(2979,3282)))</f>
        <v>104568480.03823163</v>
      </c>
      <c r="B4249">
        <v>147185267.20667082</v>
      </c>
    </row>
    <row r="4250" spans="1:2" x14ac:dyDescent="0.25">
      <c r="A4250">
        <f ca="1">31061.5112453266*((RANDBETWEEN(2979,3282)))</f>
        <v>97999067.979005367</v>
      </c>
      <c r="B4250">
        <v>187262528.67377332</v>
      </c>
    </row>
    <row r="4251" spans="1:2" x14ac:dyDescent="0.25">
      <c r="A4251">
        <f ca="1">30228.6879094392*((RANDBETWEEN(2979,3282)))</f>
        <v>96731801.310205489</v>
      </c>
      <c r="B4251">
        <v>164875401.72588241</v>
      </c>
    </row>
    <row r="4252" spans="1:2" x14ac:dyDescent="0.25">
      <c r="A4252">
        <f ca="1">28584.5118981011*((RANDBETWEEN(2979,3282)))</f>
        <v>93499938.418688789</v>
      </c>
      <c r="B4252">
        <v>143115596.4562169</v>
      </c>
    </row>
    <row r="4253" spans="1:2" x14ac:dyDescent="0.25">
      <c r="A4253">
        <f ca="1">40322.8044221448*((RANDBETWEEN(2979,3282)))</f>
        <v>122984553.48754175</v>
      </c>
      <c r="B4253">
        <v>149284457.6322875</v>
      </c>
    </row>
    <row r="4254" spans="1:2" x14ac:dyDescent="0.25">
      <c r="A4254">
        <f ca="1">32274.8960043087*((RANDBETWEEN(2979,3282)))</f>
        <v>104635212.84596868</v>
      </c>
      <c r="B4254">
        <v>152531169.71541259</v>
      </c>
    </row>
    <row r="4255" spans="1:2" x14ac:dyDescent="0.25">
      <c r="A4255">
        <f ca="1">28482.2844820193*((RANDBETWEEN(2979,3282)))</f>
        <v>92880729.695864797</v>
      </c>
      <c r="B4255">
        <v>155375870.6084376</v>
      </c>
    </row>
    <row r="4256" spans="1:2" x14ac:dyDescent="0.25">
      <c r="A4256">
        <f ca="1">30454.1392739687*((RANDBETWEEN(2979,3282)))</f>
        <v>96905071.169768348</v>
      </c>
      <c r="B4256">
        <v>160780276.58090782</v>
      </c>
    </row>
    <row r="4257" spans="1:2" x14ac:dyDescent="0.25">
      <c r="A4257">
        <f ca="1">37725.225667161*((RANDBETWEEN(2979,3282)))</f>
        <v>123210587.02894767</v>
      </c>
      <c r="B4257">
        <v>161944918.91893801</v>
      </c>
    </row>
    <row r="4258" spans="1:2" x14ac:dyDescent="0.25">
      <c r="A4258">
        <f ca="1">30440.6936767021*((RANDBETWEEN(2979,3282)))</f>
        <v>90804589.237602487</v>
      </c>
      <c r="B4258">
        <v>195038969.68354481</v>
      </c>
    </row>
    <row r="4259" spans="1:2" x14ac:dyDescent="0.25">
      <c r="A4259">
        <f ca="1">31883.3028558807*((RANDBETWEEN(2979,3282)))</f>
        <v>103971450.6130271</v>
      </c>
      <c r="B4259">
        <v>144798343.47130615</v>
      </c>
    </row>
    <row r="4260" spans="1:2" x14ac:dyDescent="0.25">
      <c r="A4260">
        <f ca="1">34658.4396160625*((RANDBETWEEN(2979,3282)))</f>
        <v>104217927.92550007</v>
      </c>
      <c r="B4260">
        <v>176371226.18170312</v>
      </c>
    </row>
    <row r="4261" spans="1:2" x14ac:dyDescent="0.25">
      <c r="A4261">
        <f ca="1">29232.0019219153*((RANDBETWEEN(2979,3282)))</f>
        <v>95325558.267365694</v>
      </c>
      <c r="B4261">
        <v>172813325.11125797</v>
      </c>
    </row>
    <row r="4262" spans="1:2" x14ac:dyDescent="0.25">
      <c r="A4262">
        <f ca="1">31559.5400418633*((RANDBETWEEN(2979,3282)))</f>
        <v>98592003.090781078</v>
      </c>
      <c r="B4262">
        <v>164272569.46993202</v>
      </c>
    </row>
    <row r="4263" spans="1:2" x14ac:dyDescent="0.25">
      <c r="A4263">
        <f ca="1">29048.7367565899*((RANDBETWEEN(2979,3282)))</f>
        <v>92345934.149199232</v>
      </c>
      <c r="B4263">
        <v>162274200.22269455</v>
      </c>
    </row>
    <row r="4264" spans="1:2" x14ac:dyDescent="0.25">
      <c r="A4264">
        <f ca="1">39806.6557627759*((RANDBETWEEN(2979,3282)))</f>
        <v>124156959.32409793</v>
      </c>
      <c r="B4264">
        <v>186462147.79463938</v>
      </c>
    </row>
    <row r="4265" spans="1:2" x14ac:dyDescent="0.25">
      <c r="A4265">
        <f ca="1">31193.1202312718*((RANDBETWEEN(2979,3282)))</f>
        <v>99911564.100763455</v>
      </c>
      <c r="B4265">
        <v>142904727.27492657</v>
      </c>
    </row>
    <row r="4266" spans="1:2" x14ac:dyDescent="0.25">
      <c r="A4266">
        <f ca="1">34018.8103058472*((RANDBETWEEN(2979,3282)))</f>
        <v>107227290.08403051</v>
      </c>
      <c r="B4266">
        <v>179985682.97949278</v>
      </c>
    </row>
    <row r="4267" spans="1:2" x14ac:dyDescent="0.25">
      <c r="A4267">
        <f ca="1">39576.3106197098*((RANDBETWEEN(2979,3282)))</f>
        <v>118649779.23788986</v>
      </c>
      <c r="B4267">
        <v>201679601.76260173</v>
      </c>
    </row>
    <row r="4268" spans="1:2" x14ac:dyDescent="0.25">
      <c r="A4268">
        <f ca="1">32625.5017603181*((RANDBETWEEN(2979,3282)))</f>
        <v>102085195.00803538</v>
      </c>
      <c r="B4268">
        <v>183351459.65647867</v>
      </c>
    </row>
    <row r="4269" spans="1:2" x14ac:dyDescent="0.25">
      <c r="A4269">
        <f ca="1">34529.7132832377*((RANDBETWEEN(2979,3282)))</f>
        <v>109597309.96099661</v>
      </c>
      <c r="B4269">
        <v>177966949.0918411</v>
      </c>
    </row>
    <row r="4270" spans="1:2" x14ac:dyDescent="0.25">
      <c r="A4270">
        <f ca="1">37781.5022348198*((RANDBETWEEN(2979,3282)))</f>
        <v>116631497.39888887</v>
      </c>
      <c r="B4270">
        <v>199578024.33438802</v>
      </c>
    </row>
    <row r="4271" spans="1:2" x14ac:dyDescent="0.25">
      <c r="A4271">
        <f ca="1">33380.8690496795*((RANDBETWEEN(2979,3282)))</f>
        <v>105984259.23273246</v>
      </c>
      <c r="B4271">
        <v>185090954.01378289</v>
      </c>
    </row>
    <row r="4272" spans="1:2" x14ac:dyDescent="0.25">
      <c r="A4272">
        <f ca="1">39057.7409609628*((RANDBETWEEN(2979,3282)))</f>
        <v>127835986.16523127</v>
      </c>
      <c r="B4272">
        <v>196168887.82768598</v>
      </c>
    </row>
    <row r="4273" spans="1:2" x14ac:dyDescent="0.25">
      <c r="A4273">
        <f ca="1">31180.4518629621*((RANDBETWEEN(2979,3282)))</f>
        <v>93073648.810941949</v>
      </c>
      <c r="B4273">
        <v>189928188.32522619</v>
      </c>
    </row>
    <row r="4274" spans="1:2" x14ac:dyDescent="0.25">
      <c r="A4274">
        <f ca="1">31941.5873732068*((RANDBETWEEN(2979,3282)))</f>
        <v>100104934.82762998</v>
      </c>
      <c r="B4274">
        <v>178310242.7064054</v>
      </c>
    </row>
    <row r="4275" spans="1:2" x14ac:dyDescent="0.25">
      <c r="A4275">
        <f ca="1">32329.1283200067*((RANDBETWEEN(2979,3282)))</f>
        <v>101610450.3097811</v>
      </c>
      <c r="B4275">
        <v>201147979.26708418</v>
      </c>
    </row>
    <row r="4276" spans="1:2" x14ac:dyDescent="0.25">
      <c r="A4276">
        <f ca="1">32952.6623407094*((RANDBETWEEN(2979,3282)))</f>
        <v>104196318.32132308</v>
      </c>
      <c r="B4276">
        <v>164952354.53344637</v>
      </c>
    </row>
    <row r="4277" spans="1:2" x14ac:dyDescent="0.25">
      <c r="A4277">
        <f ca="1">30926.1941111048*((RANDBETWEEN(2979,3282)))</f>
        <v>97726773.391091198</v>
      </c>
      <c r="B4277">
        <v>143961396.24879092</v>
      </c>
    </row>
    <row r="4278" spans="1:2" x14ac:dyDescent="0.25">
      <c r="A4278">
        <f ca="1">36287.169147605*((RANDBETWEEN(2979,3282)))</f>
        <v>109478389.31832439</v>
      </c>
      <c r="B4278">
        <v>159286384.42648089</v>
      </c>
    </row>
    <row r="4279" spans="1:2" x14ac:dyDescent="0.25">
      <c r="A4279">
        <f ca="1">32194.1469987349*((RANDBETWEEN(2979,3282)))</f>
        <v>97516071.259167925</v>
      </c>
      <c r="B4279">
        <v>147355869.4746027</v>
      </c>
    </row>
    <row r="4280" spans="1:2" x14ac:dyDescent="0.25">
      <c r="A4280">
        <f ca="1">33496.3954152032*((RANDBETWEEN(2979,3282)))</f>
        <v>104877214.04500121</v>
      </c>
      <c r="B4280">
        <v>161371142.69106168</v>
      </c>
    </row>
    <row r="4281" spans="1:2" x14ac:dyDescent="0.25">
      <c r="A4281">
        <f ca="1">28752.8711648312*((RANDBETWEEN(2979,3282)))</f>
        <v>87609998.439240813</v>
      </c>
      <c r="B4281">
        <v>177216024.61224577</v>
      </c>
    </row>
    <row r="4282" spans="1:2" x14ac:dyDescent="0.25">
      <c r="A4282">
        <f ca="1">31780.4928770729*((RANDBETWEEN(2979,3282)))</f>
        <v>100553479.46305862</v>
      </c>
      <c r="B4282">
        <v>201532238.3372978</v>
      </c>
    </row>
    <row r="4283" spans="1:2" x14ac:dyDescent="0.25">
      <c r="A4283">
        <f ca="1">32042.2167635672*((RANDBETWEEN(2979,3282)))</f>
        <v>104681922.16657409</v>
      </c>
      <c r="B4283">
        <v>197278404.82758364</v>
      </c>
    </row>
    <row r="4284" spans="1:2" x14ac:dyDescent="0.25">
      <c r="A4284">
        <f ca="1">32622.5557802482*((RANDBETWEEN(2979,3282)))</f>
        <v>102173844.70373733</v>
      </c>
      <c r="B4284">
        <v>170579873.32533324</v>
      </c>
    </row>
    <row r="4285" spans="1:2" x14ac:dyDescent="0.25">
      <c r="A4285">
        <f ca="1">35453.7850134321*((RANDBETWEEN(2979,3282)))</f>
        <v>105794094.48008136</v>
      </c>
      <c r="B4285">
        <v>163013501.54281729</v>
      </c>
    </row>
    <row r="4286" spans="1:2" x14ac:dyDescent="0.25">
      <c r="A4286">
        <f ca="1">37975.6350801374*((RANDBETWEEN(2979,3282)))</f>
        <v>121446080.98627926</v>
      </c>
      <c r="B4286">
        <v>163604990.47837308</v>
      </c>
    </row>
    <row r="4287" spans="1:2" x14ac:dyDescent="0.25">
      <c r="A4287">
        <f ca="1">37533.7673201561*((RANDBETWEEN(2979,3282)))</f>
        <v>115191131.90555921</v>
      </c>
      <c r="B4287">
        <v>157899031.55700228</v>
      </c>
    </row>
    <row r="4288" spans="1:2" x14ac:dyDescent="0.25">
      <c r="A4288">
        <f ca="1">33480.1882790289*((RANDBETWEEN(2979,3282)))</f>
        <v>100072282.76601726</v>
      </c>
      <c r="B4288">
        <v>165240668.62686962</v>
      </c>
    </row>
    <row r="4289" spans="1:2" x14ac:dyDescent="0.25">
      <c r="A4289">
        <f ca="1">32793.0727569521*((RANDBETWEEN(2979,3282)))</f>
        <v>103527730.69369784</v>
      </c>
      <c r="B4289">
        <v>197194226.13153309</v>
      </c>
    </row>
    <row r="4290" spans="1:2" x14ac:dyDescent="0.25">
      <c r="A4290">
        <f ca="1">29076.6452034891*((RANDBETWEEN(2979,3282)))</f>
        <v>92754498.199130177</v>
      </c>
      <c r="B4290">
        <v>150831176.97942492</v>
      </c>
    </row>
    <row r="4291" spans="1:2" x14ac:dyDescent="0.25">
      <c r="A4291">
        <f ca="1">30702.3564054723*((RANDBETWEEN(2979,3282)))</f>
        <v>91861450.365173072</v>
      </c>
      <c r="B4291">
        <v>175578889.9632796</v>
      </c>
    </row>
    <row r="4292" spans="1:2" x14ac:dyDescent="0.25">
      <c r="A4292">
        <f ca="1">32303.2243540702*((RANDBETWEEN(2979,3282)))</f>
        <v>97749556.89541629</v>
      </c>
      <c r="B4292">
        <v>143512556.64638448</v>
      </c>
    </row>
    <row r="4293" spans="1:2" x14ac:dyDescent="0.25">
      <c r="A4293">
        <f ca="1">37257.5720832847*((RANDBETWEEN(2979,3282)))</f>
        <v>111325625.38485475</v>
      </c>
      <c r="B4293">
        <v>161412010.00756338</v>
      </c>
    </row>
    <row r="4294" spans="1:2" x14ac:dyDescent="0.25">
      <c r="A4294">
        <f ca="1">31349.3551140786*((RANDBETWEEN(2979,3282)))</f>
        <v>99784997.328112334</v>
      </c>
      <c r="B4294">
        <v>160362086.52895373</v>
      </c>
    </row>
    <row r="4295" spans="1:2" x14ac:dyDescent="0.25">
      <c r="A4295">
        <f ca="1">37221.9705615228*((RANDBETWEEN(2979,3282)))</f>
        <v>121492511.91281047</v>
      </c>
      <c r="B4295">
        <v>186285750.86250591</v>
      </c>
    </row>
    <row r="4296" spans="1:2" x14ac:dyDescent="0.25">
      <c r="A4296">
        <f ca="1">34129.8544889893*((RANDBETWEEN(2979,3282)))</f>
        <v>109898131.45454569</v>
      </c>
      <c r="B4296">
        <v>164974561.44977722</v>
      </c>
    </row>
    <row r="4297" spans="1:2" x14ac:dyDescent="0.25">
      <c r="A4297">
        <f ca="1">32381.1827078778*((RANDBETWEEN(2979,3282)))</f>
        <v>104494076.59832163</v>
      </c>
      <c r="B4297">
        <v>184957656.71743971</v>
      </c>
    </row>
    <row r="4298" spans="1:2" x14ac:dyDescent="0.25">
      <c r="A4298">
        <f ca="1">39646.3333874675*((RANDBETWEEN(2979,3282)))</f>
        <v>127264730.1737708</v>
      </c>
      <c r="B4298">
        <v>144560060.55691135</v>
      </c>
    </row>
    <row r="4299" spans="1:2" x14ac:dyDescent="0.25">
      <c r="A4299">
        <f ca="1">28854.4310045829*((RANDBETWEEN(2979,3282)))</f>
        <v>90602913.354390427</v>
      </c>
      <c r="B4299">
        <v>201721218.35594162</v>
      </c>
    </row>
    <row r="4300" spans="1:2" x14ac:dyDescent="0.25">
      <c r="A4300">
        <f ca="1">30048.5714392515*((RANDBETWEEN(2979,3282)))</f>
        <v>93390960.033193618</v>
      </c>
      <c r="B4300">
        <v>149218333.83547756</v>
      </c>
    </row>
    <row r="4301" spans="1:2" x14ac:dyDescent="0.25">
      <c r="A4301">
        <f ca="1">32124.9103640306*((RANDBETWEEN(2979,3282)))</f>
        <v>101771716.03324902</v>
      </c>
      <c r="B4301">
        <v>165586989.67112777</v>
      </c>
    </row>
    <row r="4302" spans="1:2" x14ac:dyDescent="0.25">
      <c r="A4302">
        <f ca="1">30995.3463936858*((RANDBETWEEN(2979,3282)))</f>
        <v>95000736.696646884</v>
      </c>
      <c r="B4302">
        <v>155548274.74807173</v>
      </c>
    </row>
    <row r="4303" spans="1:2" x14ac:dyDescent="0.25">
      <c r="A4303">
        <f ca="1">35141.862473206*((RANDBETWEEN(2979,3282)))</f>
        <v>110240022.57844715</v>
      </c>
      <c r="B4303">
        <v>160318517.23669517</v>
      </c>
    </row>
    <row r="4304" spans="1:2" x14ac:dyDescent="0.25">
      <c r="A4304">
        <f ca="1">37755.432978171*((RANDBETWEEN(2979,3282)))</f>
        <v>113719364.13025101</v>
      </c>
      <c r="B4304">
        <v>175214351.23311993</v>
      </c>
    </row>
    <row r="4305" spans="1:2" x14ac:dyDescent="0.25">
      <c r="A4305">
        <f ca="1">31012.862398846*((RANDBETWEEN(2979,3282)))</f>
        <v>100667751.34665397</v>
      </c>
      <c r="B4305">
        <v>173746792.88495287</v>
      </c>
    </row>
    <row r="4306" spans="1:2" x14ac:dyDescent="0.25">
      <c r="A4306">
        <f ca="1">33492.6228721815*((RANDBETWEEN(2979,3282)))</f>
        <v>104496983.36120638</v>
      </c>
      <c r="B4306">
        <v>195338766.50451821</v>
      </c>
    </row>
    <row r="4307" spans="1:2" x14ac:dyDescent="0.25">
      <c r="A4307">
        <f ca="1">31366.014104454*((RANDBETWEEN(2979,3282)))</f>
        <v>99492996.739328057</v>
      </c>
      <c r="B4307">
        <v>144522228.8823739</v>
      </c>
    </row>
    <row r="4308" spans="1:2" x14ac:dyDescent="0.25">
      <c r="A4308">
        <f ca="1">41007.3410915441*((RANDBETWEEN(2979,3282)))</f>
        <v>132043638.31477216</v>
      </c>
      <c r="B4308">
        <v>150802870.68616474</v>
      </c>
    </row>
    <row r="4309" spans="1:2" x14ac:dyDescent="0.25">
      <c r="A4309">
        <f ca="1">39586.6971205999*((RANDBETWEEN(2979,3282)))</f>
        <v>119670585.39557359</v>
      </c>
      <c r="B4309">
        <v>169729655.33318189</v>
      </c>
    </row>
    <row r="4310" spans="1:2" x14ac:dyDescent="0.25">
      <c r="A4310">
        <f ca="1">31678.912674345*((RANDBETWEEN(2979,3282)))</f>
        <v>102259530.11278571</v>
      </c>
      <c r="B4310">
        <v>153095231.11589903</v>
      </c>
    </row>
    <row r="4311" spans="1:2" x14ac:dyDescent="0.25">
      <c r="A4311">
        <f ca="1">35437.3527363454*((RANDBETWEEN(2979,3282)))</f>
        <v>113080592.58167847</v>
      </c>
      <c r="B4311">
        <v>163029484.18976435</v>
      </c>
    </row>
    <row r="4312" spans="1:2" x14ac:dyDescent="0.25">
      <c r="A4312">
        <f ca="1">30088.4968994958*((RANDBETWEEN(2979,3282)))</f>
        <v>89693809.257396951</v>
      </c>
      <c r="B4312">
        <v>182429205.41806254</v>
      </c>
    </row>
    <row r="4313" spans="1:2" x14ac:dyDescent="0.25">
      <c r="A4313">
        <f ca="1">31954.8484632546*((RANDBETWEEN(2979,3282)))</f>
        <v>95481087.208204776</v>
      </c>
      <c r="B4313">
        <v>166277025.20339692</v>
      </c>
    </row>
    <row r="4314" spans="1:2" x14ac:dyDescent="0.25">
      <c r="A4314">
        <f ca="1">30541.4538028262*((RANDBETWEEN(2979,3282)))</f>
        <v>93334682.821436867</v>
      </c>
      <c r="B4314">
        <v>160816119.32902217</v>
      </c>
    </row>
    <row r="4315" spans="1:2" x14ac:dyDescent="0.25">
      <c r="A4315">
        <f ca="1">30870.4519178659*((RANDBETWEEN(2979,3282)))</f>
        <v>92395262.590172559</v>
      </c>
      <c r="B4315">
        <v>177899166.05647644</v>
      </c>
    </row>
    <row r="4316" spans="1:2" x14ac:dyDescent="0.25">
      <c r="A4316">
        <f ca="1">30692.6459969677*((RANDBETWEEN(2979,3282)))</f>
        <v>98124389.252305642</v>
      </c>
      <c r="B4316">
        <v>160901854.28722286</v>
      </c>
    </row>
    <row r="4317" spans="1:2" x14ac:dyDescent="0.25">
      <c r="A4317">
        <f ca="1">31044.7393506712*((RANDBETWEEN(2979,3282)))</f>
        <v>101578387.15539621</v>
      </c>
      <c r="B4317">
        <v>142927491.38638395</v>
      </c>
    </row>
    <row r="4318" spans="1:2" x14ac:dyDescent="0.25">
      <c r="A4318">
        <f ca="1">35953.3704646825*((RANDBETWEEN(2979,3282)))</f>
        <v>111671168.66330379</v>
      </c>
      <c r="B4318">
        <v>152573461.15629941</v>
      </c>
    </row>
    <row r="4319" spans="1:2" x14ac:dyDescent="0.25">
      <c r="A4319">
        <f ca="1">30949.7503512449*((RANDBETWEEN(2979,3282)))</f>
        <v>99008251.373632327</v>
      </c>
      <c r="B4319">
        <v>148817574.57153103</v>
      </c>
    </row>
    <row r="4320" spans="1:2" x14ac:dyDescent="0.25">
      <c r="A4320">
        <f ca="1">33715.6660550824*((RANDBETWEEN(2979,3282)))</f>
        <v>109946787.0056238</v>
      </c>
      <c r="B4320">
        <v>143460202.16090345</v>
      </c>
    </row>
    <row r="4321" spans="1:2" x14ac:dyDescent="0.25">
      <c r="A4321">
        <f ca="1">33575.8267309404*((RANDBETWEEN(2979,3282)))</f>
        <v>109188588.52901831</v>
      </c>
      <c r="B4321">
        <v>189469101.02191788</v>
      </c>
    </row>
    <row r="4322" spans="1:2" x14ac:dyDescent="0.25">
      <c r="A4322">
        <f ca="1">28902.823170727*((RANDBETWEEN(2979,3282)))</f>
        <v>89049598.189009815</v>
      </c>
      <c r="B4322">
        <v>146377356.13839653</v>
      </c>
    </row>
    <row r="4323" spans="1:2" x14ac:dyDescent="0.25">
      <c r="A4323">
        <f ca="1">32294.4444245453*((RANDBETWEEN(2979,3282)))</f>
        <v>100532605.49360944</v>
      </c>
      <c r="B4323">
        <v>189445942.93315822</v>
      </c>
    </row>
    <row r="4324" spans="1:2" x14ac:dyDescent="0.25">
      <c r="A4324">
        <f ca="1">31113.9177332103*((RANDBETWEEN(2979,3282)))</f>
        <v>95924208.371487439</v>
      </c>
      <c r="B4324">
        <v>165728537.26550499</v>
      </c>
    </row>
    <row r="4325" spans="1:2" x14ac:dyDescent="0.25">
      <c r="A4325">
        <f ca="1">33483.5128487767*((RANDBETWEEN(2979,3282)))</f>
        <v>105975318.16637814</v>
      </c>
      <c r="B4325">
        <v>173963536.82338244</v>
      </c>
    </row>
    <row r="4326" spans="1:2" x14ac:dyDescent="0.25">
      <c r="A4326">
        <f ca="1">29665.0684470761*((RANDBETWEEN(2979,3282)))</f>
        <v>95284199.852008551</v>
      </c>
      <c r="B4326">
        <v>143672364.58949786</v>
      </c>
    </row>
    <row r="4327" spans="1:2" x14ac:dyDescent="0.25">
      <c r="A4327">
        <f ca="1">32008.2408282004*((RANDBETWEEN(2979,3282)))</f>
        <v>104250840.37744859</v>
      </c>
      <c r="B4327">
        <v>201478514.26721486</v>
      </c>
    </row>
    <row r="4328" spans="1:2" x14ac:dyDescent="0.25">
      <c r="A4328">
        <f ca="1">31467.2610884821*((RANDBETWEEN(2979,3282)))</f>
        <v>101198711.66055831</v>
      </c>
      <c r="B4328">
        <v>165416570.71664435</v>
      </c>
    </row>
    <row r="4329" spans="1:2" x14ac:dyDescent="0.25">
      <c r="A4329">
        <f ca="1">30050.5566887623*((RANDBETWEEN(2979,3282)))</f>
        <v>90722630.643373325</v>
      </c>
      <c r="B4329">
        <v>173128343.89566863</v>
      </c>
    </row>
    <row r="4330" spans="1:2" x14ac:dyDescent="0.25">
      <c r="A4330">
        <f ca="1">34061.5719930059*((RANDBETWEEN(2979,3282)))</f>
        <v>105624934.75031115</v>
      </c>
      <c r="B4330">
        <v>174465366.3321116</v>
      </c>
    </row>
    <row r="4331" spans="1:2" x14ac:dyDescent="0.25">
      <c r="A4331">
        <f ca="1">32023.8608813958*((RANDBETWEEN(2979,3282)))</f>
        <v>104077547.86453649</v>
      </c>
      <c r="B4331">
        <v>183473220.4206503</v>
      </c>
    </row>
    <row r="4332" spans="1:2" x14ac:dyDescent="0.25">
      <c r="A4332">
        <f ca="1">30614.649999251*((RANDBETWEEN(2979,3282)))</f>
        <v>96619835.397636205</v>
      </c>
      <c r="B4332">
        <v>149027563.3995502</v>
      </c>
    </row>
    <row r="4333" spans="1:2" x14ac:dyDescent="0.25">
      <c r="A4333">
        <f ca="1">40937.8110269386*((RANDBETWEEN(2979,3282)))</f>
        <v>125801893.28578235</v>
      </c>
      <c r="B4333">
        <v>145323666.96957245</v>
      </c>
    </row>
    <row r="4334" spans="1:2" x14ac:dyDescent="0.25">
      <c r="A4334">
        <f ca="1">41100.5763442176*((RANDBETWEEN(2979,3282)))</f>
        <v>134398884.64559159</v>
      </c>
      <c r="B4334">
        <v>182400408.88465911</v>
      </c>
    </row>
    <row r="4335" spans="1:2" x14ac:dyDescent="0.25">
      <c r="A4335">
        <f ca="1">38804.2107227288*((RANDBETWEEN(2979,3282)))</f>
        <v>123397390.09827758</v>
      </c>
      <c r="B4335">
        <v>146457525.58549848</v>
      </c>
    </row>
    <row r="4336" spans="1:2" x14ac:dyDescent="0.25">
      <c r="A4336">
        <f ca="1">30547.5907836913*((RANDBETWEEN(2979,3282)))</f>
        <v>100135002.58894023</v>
      </c>
      <c r="B4336">
        <v>149075163.58978468</v>
      </c>
    </row>
    <row r="4337" spans="1:2" x14ac:dyDescent="0.25">
      <c r="A4337">
        <f ca="1">37915.6174143777*((RANDBETWEEN(2979,3282)))</f>
        <v>123339503.44897081</v>
      </c>
      <c r="B4337">
        <v>161282848.89582142</v>
      </c>
    </row>
    <row r="4338" spans="1:2" x14ac:dyDescent="0.25">
      <c r="A4338">
        <f ca="1">32003.9828877499*((RANDBETWEEN(2979,3282)))</f>
        <v>98764291.19159624</v>
      </c>
      <c r="B4338">
        <v>203394978.69274637</v>
      </c>
    </row>
    <row r="4339" spans="1:2" x14ac:dyDescent="0.25">
      <c r="A4339">
        <f ca="1">35889.2067126157*((RANDBETWEEN(2979,3282)))</f>
        <v>108098290.61839859</v>
      </c>
      <c r="B4339">
        <v>152660734.41309601</v>
      </c>
    </row>
    <row r="4340" spans="1:2" x14ac:dyDescent="0.25">
      <c r="A4340">
        <f ca="1">30623.8276213807*((RANDBETWEEN(2979,3282)))</f>
        <v>98639348.768467113</v>
      </c>
      <c r="B4340">
        <v>168971062.03857911</v>
      </c>
    </row>
    <row r="4341" spans="1:2" x14ac:dyDescent="0.25">
      <c r="A4341">
        <f ca="1">30697.22889539*((RANDBETWEEN(2979,3282)))</f>
        <v>93872125.962102666</v>
      </c>
      <c r="B4341">
        <v>175841301.94002581</v>
      </c>
    </row>
    <row r="4342" spans="1:2" x14ac:dyDescent="0.25">
      <c r="A4342">
        <f ca="1">39131.2395168322*((RANDBETWEEN(2979,3282)))</f>
        <v>127998284.45955804</v>
      </c>
      <c r="B4342">
        <v>172584700.62137339</v>
      </c>
    </row>
    <row r="4343" spans="1:2" x14ac:dyDescent="0.25">
      <c r="A4343">
        <f ca="1">42198.7946789906*((RANDBETWEEN(2979,3282)))</f>
        <v>131153853.8623029</v>
      </c>
      <c r="B4343">
        <v>151144617.14932346</v>
      </c>
    </row>
    <row r="4344" spans="1:2" x14ac:dyDescent="0.25">
      <c r="A4344">
        <f ca="1">34039.3620210336*((RANDBETWEEN(2979,3282)))</f>
        <v>106100691.41956162</v>
      </c>
      <c r="B4344">
        <v>153507582.82748473</v>
      </c>
    </row>
    <row r="4345" spans="1:2" x14ac:dyDescent="0.25">
      <c r="A4345">
        <f ca="1">28336.6419939581*((RANDBETWEEN(2979,3282)))</f>
        <v>86851807.711481556</v>
      </c>
      <c r="B4345">
        <v>151271472.24239624</v>
      </c>
    </row>
    <row r="4346" spans="1:2" x14ac:dyDescent="0.25">
      <c r="A4346">
        <f ca="1">31703.2254049899*((RANDBETWEEN(2979,3282)))</f>
        <v>95363302.018209696</v>
      </c>
      <c r="B4346">
        <v>165128533.86333799</v>
      </c>
    </row>
    <row r="4347" spans="1:2" x14ac:dyDescent="0.25">
      <c r="A4347">
        <f ca="1">33205.2827139047*((RANDBETWEEN(2979,3282)))</f>
        <v>100944059.45027041</v>
      </c>
      <c r="B4347">
        <v>172381632.43175414</v>
      </c>
    </row>
    <row r="4348" spans="1:2" x14ac:dyDescent="0.25">
      <c r="A4348">
        <f ca="1">38292.2334717826*((RANDBETWEEN(2979,3282)))</f>
        <v>118054955.79350576</v>
      </c>
      <c r="B4348">
        <v>196382244.358841</v>
      </c>
    </row>
    <row r="4349" spans="1:2" x14ac:dyDescent="0.25">
      <c r="A4349">
        <f ca="1">29483.7653745704*((RANDBETWEEN(2979,3282)))</f>
        <v>89188390.25807561</v>
      </c>
      <c r="B4349">
        <v>193496610.89592332</v>
      </c>
    </row>
    <row r="4350" spans="1:2" x14ac:dyDescent="0.25">
      <c r="A4350">
        <f ca="1">39235.5244298608*((RANDBETWEEN(2979,3282)))</f>
        <v>126338388.66415189</v>
      </c>
      <c r="B4350">
        <v>183424165.06116793</v>
      </c>
    </row>
    <row r="4351" spans="1:2" x14ac:dyDescent="0.25">
      <c r="A4351">
        <f ca="1">30246.1405186805*((RANDBETWEEN(2979,3282)))</f>
        <v>95245096.493324935</v>
      </c>
      <c r="B4351">
        <v>154481130.64765525</v>
      </c>
    </row>
    <row r="4352" spans="1:2" x14ac:dyDescent="0.25">
      <c r="A4352">
        <f ca="1">29094.4183441589*((RANDBETWEEN(2979,3282)))</f>
        <v>87719671.307638958</v>
      </c>
      <c r="B4352">
        <v>148503749.25815937</v>
      </c>
    </row>
    <row r="4353" spans="1:2" x14ac:dyDescent="0.25">
      <c r="A4353">
        <f ca="1">28330.7739230242*((RANDBETWEEN(2979,3282)))</f>
        <v>88222029.996297479</v>
      </c>
      <c r="B4353">
        <v>149862922.46388212</v>
      </c>
    </row>
    <row r="4354" spans="1:2" x14ac:dyDescent="0.25">
      <c r="A4354">
        <f ca="1">37496.7620174614*((RANDBETWEEN(2979,3282)))</f>
        <v>117177381.3045671</v>
      </c>
      <c r="B4354">
        <v>188782289.21119267</v>
      </c>
    </row>
    <row r="4355" spans="1:2" x14ac:dyDescent="0.25">
      <c r="A4355">
        <f ca="1">29850.8751926441*((RANDBETWEEN(2979,3282)))</f>
        <v>95522800.616461173</v>
      </c>
      <c r="B4355">
        <v>178045114.77013755</v>
      </c>
    </row>
    <row r="4356" spans="1:2" x14ac:dyDescent="0.25">
      <c r="A4356">
        <f ca="1">28707.3587268992*((RANDBETWEEN(2979,3282)))</f>
        <v>85662758.441067323</v>
      </c>
      <c r="B4356">
        <v>146296250.05350965</v>
      </c>
    </row>
    <row r="4357" spans="1:2" x14ac:dyDescent="0.25">
      <c r="A4357">
        <f ca="1">38395.8789578624*((RANDBETWEEN(2979,3282)))</f>
        <v>117299410.2162696</v>
      </c>
      <c r="B4357">
        <v>186175296.69465145</v>
      </c>
    </row>
    <row r="4358" spans="1:2" x14ac:dyDescent="0.25">
      <c r="A4358">
        <f ca="1">34730.2242089781*((RANDBETWEEN(2979,3282)))</f>
        <v>108219378.63517569</v>
      </c>
      <c r="B4358">
        <v>149441067.73120207</v>
      </c>
    </row>
    <row r="4359" spans="1:2" x14ac:dyDescent="0.25">
      <c r="A4359">
        <f ca="1">41654.9791506221*((RANDBETWEEN(2979,3282)))</f>
        <v>131962973.94917089</v>
      </c>
      <c r="B4359">
        <v>181327692.57354808</v>
      </c>
    </row>
    <row r="4360" spans="1:2" x14ac:dyDescent="0.25">
      <c r="A4360">
        <f ca="1">32952.458143857*((RANDBETWEEN(2979,3282)))</f>
        <v>100570902.25505166</v>
      </c>
      <c r="B4360">
        <v>181191037.04208913</v>
      </c>
    </row>
    <row r="4361" spans="1:2" x14ac:dyDescent="0.25">
      <c r="A4361">
        <f ca="1">32630.7134566528*((RANDBETWEEN(2979,3282)))</f>
        <v>98153186.07761164</v>
      </c>
      <c r="B4361">
        <v>178516299.68237782</v>
      </c>
    </row>
    <row r="4362" spans="1:2" x14ac:dyDescent="0.25">
      <c r="A4362">
        <f ca="1">33206.805061397*((RANDBETWEEN(2979,3282)))</f>
        <v>108054943.66978586</v>
      </c>
      <c r="B4362">
        <v>145170858.87142986</v>
      </c>
    </row>
    <row r="4363" spans="1:2" x14ac:dyDescent="0.25">
      <c r="A4363">
        <f ca="1">32541.0071028639*((RANDBETWEEN(2979,3282)))</f>
        <v>99412776.699249297</v>
      </c>
      <c r="B4363">
        <v>191708632.20532632</v>
      </c>
    </row>
    <row r="4364" spans="1:2" x14ac:dyDescent="0.25">
      <c r="A4364">
        <f ca="1">32467.3822208258*((RANDBETWEEN(2979,3282)))</f>
        <v>102304721.37782209</v>
      </c>
      <c r="B4364">
        <v>152536101.16408005</v>
      </c>
    </row>
    <row r="4365" spans="1:2" x14ac:dyDescent="0.25">
      <c r="A4365">
        <f ca="1">32499.6965722782*((RANDBETWEEN(2979,3282)))</f>
        <v>100066565.74604464</v>
      </c>
      <c r="B4365">
        <v>145037113.29293579</v>
      </c>
    </row>
    <row r="4366" spans="1:2" x14ac:dyDescent="0.25">
      <c r="A4366">
        <f ca="1">32851.2180477657*((RANDBETWEEN(2979,3282)))</f>
        <v>102561502.74512459</v>
      </c>
      <c r="B4366">
        <v>196372088.21045777</v>
      </c>
    </row>
    <row r="4367" spans="1:2" x14ac:dyDescent="0.25">
      <c r="A4367">
        <f ca="1">32955.0280366507*((RANDBETWEEN(2979,3282)))</f>
        <v>105587909.82942875</v>
      </c>
      <c r="B4367">
        <v>176077547.26972964</v>
      </c>
    </row>
    <row r="4368" spans="1:2" x14ac:dyDescent="0.25">
      <c r="A4368">
        <f ca="1">34216.6684067439*((RANDBETWEEN(2979,3282)))</f>
        <v>105695288.70843177</v>
      </c>
      <c r="B4368">
        <v>167203054.44279003</v>
      </c>
    </row>
    <row r="4369" spans="1:2" x14ac:dyDescent="0.25">
      <c r="A4369">
        <f ca="1">39341.9783677859*((RANDBETWEEN(2979,3282)))</f>
        <v>124871439.33935244</v>
      </c>
      <c r="B4369">
        <v>169184904.69718996</v>
      </c>
    </row>
    <row r="4370" spans="1:2" x14ac:dyDescent="0.25">
      <c r="A4370">
        <f ca="1">31251.4406839128*((RANDBETWEEN(2979,3282)))</f>
        <v>101317170.69724514</v>
      </c>
      <c r="B4370">
        <v>163784296.81406927</v>
      </c>
    </row>
    <row r="4371" spans="1:2" x14ac:dyDescent="0.25">
      <c r="A4371">
        <f ca="1">28942.4678111565*((RANDBETWEEN(2979,3282)))</f>
        <v>88042987.081537992</v>
      </c>
      <c r="B4371">
        <v>148026156.71223599</v>
      </c>
    </row>
    <row r="4372" spans="1:2" x14ac:dyDescent="0.25">
      <c r="A4372">
        <f ca="1">32287.9614386618*((RANDBETWEEN(2979,3282)))</f>
        <v>99931240.652658239</v>
      </c>
      <c r="B4372">
        <v>153300907.39400902</v>
      </c>
    </row>
    <row r="4373" spans="1:2" x14ac:dyDescent="0.25">
      <c r="A4373">
        <f ca="1">30346.4996746884*((RANDBETWEEN(2979,3282)))</f>
        <v>90584301.52894491</v>
      </c>
      <c r="B4373">
        <v>160051065.16726518</v>
      </c>
    </row>
    <row r="4374" spans="1:2" x14ac:dyDescent="0.25">
      <c r="A4374">
        <f ca="1">34554.664700704*((RANDBETWEEN(2979,3282)))</f>
        <v>104251423.40202382</v>
      </c>
      <c r="B4374">
        <v>193448455.74174792</v>
      </c>
    </row>
    <row r="4375" spans="1:2" x14ac:dyDescent="0.25">
      <c r="A4375">
        <f ca="1">40599.4313171946*((RANDBETWEEN(2979,3282)))</f>
        <v>126345430.25910968</v>
      </c>
      <c r="B4375">
        <v>193913221.89784518</v>
      </c>
    </row>
    <row r="4376" spans="1:2" x14ac:dyDescent="0.25">
      <c r="A4376">
        <f ca="1">31527.0724750074*((RANDBETWEEN(2979,3282)))</f>
        <v>94549690.352547243</v>
      </c>
      <c r="B4376">
        <v>152567049.53645602</v>
      </c>
    </row>
    <row r="4377" spans="1:2" x14ac:dyDescent="0.25">
      <c r="A4377">
        <f ca="1">29868.1684080038*((RANDBETWEEN(2979,3282)))</f>
        <v>92770531.075259909</v>
      </c>
      <c r="B4377">
        <v>153443772.43409142</v>
      </c>
    </row>
    <row r="4378" spans="1:2" x14ac:dyDescent="0.25">
      <c r="A4378">
        <f ca="1">32083.4940507501*((RANDBETWEEN(2979,3282)))</f>
        <v>96603400.586808428</v>
      </c>
      <c r="B4378">
        <v>166090495.00761452</v>
      </c>
    </row>
    <row r="4379" spans="1:2" x14ac:dyDescent="0.25">
      <c r="A4379">
        <f ca="1">30896.2074137956*((RANDBETWEEN(2979,3282)))</f>
        <v>98219043.368456066</v>
      </c>
      <c r="B4379">
        <v>148677988.50876129</v>
      </c>
    </row>
    <row r="4380" spans="1:2" x14ac:dyDescent="0.25">
      <c r="A4380">
        <f ca="1">38220.1530419404*((RANDBETWEEN(2979,3282)))</f>
        <v>118558914.73609921</v>
      </c>
      <c r="B4380">
        <v>188600584.79555357</v>
      </c>
    </row>
    <row r="4381" spans="1:2" x14ac:dyDescent="0.25">
      <c r="A4381">
        <f ca="1">34319.0288473461*((RANDBETWEEN(2979,3282)))</f>
        <v>106388989.426773</v>
      </c>
      <c r="B4381">
        <v>172717029.64711127</v>
      </c>
    </row>
    <row r="4382" spans="1:2" x14ac:dyDescent="0.25">
      <c r="A4382">
        <f ca="1">28003.163836084*((RANDBETWEEN(2979,3282)))</f>
        <v>90030171.733009934</v>
      </c>
      <c r="B4382">
        <v>187834108.73865837</v>
      </c>
    </row>
    <row r="4383" spans="1:2" x14ac:dyDescent="0.25">
      <c r="A4383">
        <f ca="1">38575.6084348778*((RANDBETWEEN(2979,3282)))</f>
        <v>120085869.05777466</v>
      </c>
      <c r="B4383">
        <v>188186687.92694244</v>
      </c>
    </row>
    <row r="4384" spans="1:2" x14ac:dyDescent="0.25">
      <c r="A4384">
        <f ca="1">36823.2887586941*((RANDBETWEEN(2979,3282)))</f>
        <v>116140652.74492106</v>
      </c>
      <c r="B4384">
        <v>159758937.8011117</v>
      </c>
    </row>
    <row r="4385" spans="1:2" x14ac:dyDescent="0.25">
      <c r="A4385">
        <f ca="1">31359.8748376749*((RANDBETWEEN(2979,3282)))</f>
        <v>98532726.73997438</v>
      </c>
      <c r="B4385">
        <v>160570330.59966525</v>
      </c>
    </row>
    <row r="4386" spans="1:2" x14ac:dyDescent="0.25">
      <c r="A4386">
        <f ca="1">29186.6788442803*((RANDBETWEEN(2979,3282)))</f>
        <v>90011717.555760577</v>
      </c>
      <c r="B4386">
        <v>188111345.87853354</v>
      </c>
    </row>
    <row r="4387" spans="1:2" x14ac:dyDescent="0.25">
      <c r="A4387">
        <f ca="1">29110.0999946878*((RANDBETWEEN(2979,3282)))</f>
        <v>90561521.083473802</v>
      </c>
      <c r="B4387">
        <v>167512578.99244717</v>
      </c>
    </row>
    <row r="4388" spans="1:2" x14ac:dyDescent="0.25">
      <c r="A4388">
        <f ca="1">37051.6052219408*((RANDBETWEEN(2979,3282)))</f>
        <v>117787053.00054982</v>
      </c>
      <c r="B4388">
        <v>191271828.33842576</v>
      </c>
    </row>
    <row r="4389" spans="1:2" x14ac:dyDescent="0.25">
      <c r="A4389">
        <f ca="1">39298.673957436*((RANDBETWEEN(2979,3282)))</f>
        <v>124733991.14090171</v>
      </c>
      <c r="B4389">
        <v>183740089.79856867</v>
      </c>
    </row>
    <row r="4390" spans="1:2" x14ac:dyDescent="0.25">
      <c r="A4390">
        <f ca="1">32807.5342577349*((RANDBETWEEN(2979,3282)))</f>
        <v>107674327.43388599</v>
      </c>
      <c r="B4390">
        <v>183948941.65839723</v>
      </c>
    </row>
    <row r="4391" spans="1:2" x14ac:dyDescent="0.25">
      <c r="A4391">
        <f ca="1">33045.5364120246*((RANDBETWEEN(2979,3282)))</f>
        <v>105977035.27336304</v>
      </c>
      <c r="B4391">
        <v>182180299.41140747</v>
      </c>
    </row>
    <row r="4392" spans="1:2" x14ac:dyDescent="0.25">
      <c r="A4392">
        <f ca="1">36727.329233296*((RANDBETWEEN(2979,3282)))</f>
        <v>119253638.02051207</v>
      </c>
      <c r="B4392">
        <v>184790174.69564924</v>
      </c>
    </row>
    <row r="4393" spans="1:2" x14ac:dyDescent="0.25">
      <c r="A4393">
        <f ca="1">33872.9755385635*((RANDBETWEEN(2979,3282)))</f>
        <v>110798502.98664133</v>
      </c>
      <c r="B4393">
        <v>144535194.91973856</v>
      </c>
    </row>
    <row r="4394" spans="1:2" x14ac:dyDescent="0.25">
      <c r="A4394">
        <f ca="1">38698.7368414086*((RANDBETWEEN(2979,3282)))</f>
        <v>121514033.68202303</v>
      </c>
      <c r="B4394">
        <v>201374067.42770076</v>
      </c>
    </row>
    <row r="4395" spans="1:2" x14ac:dyDescent="0.25">
      <c r="A4395">
        <f ca="1">34292.362000072*((RANDBETWEEN(2979,3282)))</f>
        <v>103460056.15421715</v>
      </c>
      <c r="B4395">
        <v>189893503.91618466</v>
      </c>
    </row>
    <row r="4396" spans="1:2" x14ac:dyDescent="0.25">
      <c r="A4396">
        <f ca="1">38770.9029413929*((RANDBETWEEN(2979,3282)))</f>
        <v>120073486.40949377</v>
      </c>
      <c r="B4396">
        <v>182719018.01041985</v>
      </c>
    </row>
    <row r="4397" spans="1:2" x14ac:dyDescent="0.25">
      <c r="A4397">
        <f ca="1">31062.2120629826*((RANDBETWEEN(2979,3282)))</f>
        <v>95982235.274616301</v>
      </c>
      <c r="B4397">
        <v>194207180.81878313</v>
      </c>
    </row>
    <row r="4398" spans="1:2" x14ac:dyDescent="0.25">
      <c r="A4398">
        <f ca="1">29334.6415106269*((RANDBETWEEN(2979,3282)))</f>
        <v>93577506.41889967</v>
      </c>
      <c r="B4398">
        <v>178391707.47668993</v>
      </c>
    </row>
    <row r="4399" spans="1:2" x14ac:dyDescent="0.25">
      <c r="A4399">
        <f ca="1">32228.6355689387*((RANDBETWEEN(2979,3282)))</f>
        <v>104549693.78563727</v>
      </c>
      <c r="B4399">
        <v>157622338.71684346</v>
      </c>
    </row>
    <row r="4400" spans="1:2" x14ac:dyDescent="0.25">
      <c r="A4400">
        <f ca="1">29774.7667035766*((RANDBETWEEN(2979,3282)))</f>
        <v>94624208.583966583</v>
      </c>
      <c r="B4400">
        <v>144882367.56475079</v>
      </c>
    </row>
    <row r="4401" spans="1:2" x14ac:dyDescent="0.25">
      <c r="A4401">
        <f ca="1">35102.3192768375*((RANDBETWEEN(2979,3282)))</f>
        <v>108009836.41482906</v>
      </c>
      <c r="B4401">
        <v>145189606.86408961</v>
      </c>
    </row>
    <row r="4402" spans="1:2" x14ac:dyDescent="0.25">
      <c r="A4402">
        <f ca="1">29715.9387106641*((RANDBETWEEN(2979,3282)))</f>
        <v>93634922.877302438</v>
      </c>
      <c r="B4402">
        <v>150888754.73211005</v>
      </c>
    </row>
    <row r="4403" spans="1:2" x14ac:dyDescent="0.25">
      <c r="A4403">
        <f ca="1">32614.7970818613*((RANDBETWEEN(2979,3282)))</f>
        <v>102084314.86622599</v>
      </c>
      <c r="B4403">
        <v>179824779.75155947</v>
      </c>
    </row>
    <row r="4404" spans="1:2" x14ac:dyDescent="0.25">
      <c r="A4404">
        <f ca="1">30940.6751040122*((RANDBETWEEN(2979,3282)))</f>
        <v>100588134.76314358</v>
      </c>
      <c r="B4404">
        <v>178134056.22183073</v>
      </c>
    </row>
    <row r="4405" spans="1:2" x14ac:dyDescent="0.25">
      <c r="A4405">
        <f ca="1">29740.7092136586*((RANDBETWEEN(2979,3282)))</f>
        <v>93534530.476956293</v>
      </c>
      <c r="B4405">
        <v>190539223.53234649</v>
      </c>
    </row>
    <row r="4406" spans="1:2" x14ac:dyDescent="0.25">
      <c r="A4406">
        <f ca="1">33368.4875650394*((RANDBETWEEN(2979,3282)))</f>
        <v>107012739.62108132</v>
      </c>
      <c r="B4406">
        <v>193668029.94578296</v>
      </c>
    </row>
    <row r="4407" spans="1:2" x14ac:dyDescent="0.25">
      <c r="A4407">
        <f ca="1">33143.3918875591*((RANDBETWEEN(2979,3282)))</f>
        <v>98734164.433038622</v>
      </c>
      <c r="B4407">
        <v>152789096.2307032</v>
      </c>
    </row>
    <row r="4408" spans="1:2" x14ac:dyDescent="0.25">
      <c r="A4408">
        <f ca="1">41110.1523576917*((RANDBETWEEN(2979,3282)))</f>
        <v>123618228.13957895</v>
      </c>
      <c r="B4408">
        <v>173912123.79671669</v>
      </c>
    </row>
    <row r="4409" spans="1:2" x14ac:dyDescent="0.25">
      <c r="A4409">
        <f ca="1">30503.0551245235*((RANDBETWEEN(2979,3282)))</f>
        <v>98768892.493207142</v>
      </c>
      <c r="B4409">
        <v>180634177.25353724</v>
      </c>
    </row>
    <row r="4410" spans="1:2" x14ac:dyDescent="0.25">
      <c r="A4410">
        <f ca="1">31473.6113414299*((RANDBETWEEN(2979,3282)))</f>
        <v>95459463.198556989</v>
      </c>
      <c r="B4410">
        <v>152240517.27354556</v>
      </c>
    </row>
    <row r="4411" spans="1:2" x14ac:dyDescent="0.25">
      <c r="A4411">
        <f ca="1">32777.5337196225*((RANDBETWEEN(2979,3282)))</f>
        <v>98201491.023989037</v>
      </c>
      <c r="B4411">
        <v>156917975.62259731</v>
      </c>
    </row>
    <row r="4412" spans="1:2" x14ac:dyDescent="0.25">
      <c r="A4412">
        <f ca="1">39491.6818842432*((RANDBETWEEN(2979,3282)))</f>
        <v>125504565.02812484</v>
      </c>
      <c r="B4412">
        <v>166076165.29097784</v>
      </c>
    </row>
    <row r="4413" spans="1:2" x14ac:dyDescent="0.25">
      <c r="A4413">
        <f ca="1">30908.8069257178*((RANDBETWEEN(2979,3282)))</f>
        <v>92479150.321747735</v>
      </c>
      <c r="B4413">
        <v>169637607.63582134</v>
      </c>
    </row>
    <row r="4414" spans="1:2" x14ac:dyDescent="0.25">
      <c r="A4414">
        <f ca="1">30339.6456515006*((RANDBETWEEN(2979,3282)))</f>
        <v>96207016.360908255</v>
      </c>
      <c r="B4414">
        <v>151020051.54256111</v>
      </c>
    </row>
    <row r="4415" spans="1:2" x14ac:dyDescent="0.25">
      <c r="A4415">
        <f ca="1">28305.553931408*((RANDBETWEEN(2979,3282)))</f>
        <v>88115189.388473094</v>
      </c>
      <c r="B4415">
        <v>168083795.89754009</v>
      </c>
    </row>
    <row r="4416" spans="1:2" x14ac:dyDescent="0.25">
      <c r="A4416">
        <f ca="1">29004.7385100028*((RANDBETWEEN(2979,3282)))</f>
        <v>93076205.878599107</v>
      </c>
      <c r="B4416">
        <v>170111758.43693247</v>
      </c>
    </row>
    <row r="4417" spans="1:2" x14ac:dyDescent="0.25">
      <c r="A4417">
        <f ca="1">30647.1983472405*((RANDBETWEEN(2979,3282)))</f>
        <v>98193623.504558548</v>
      </c>
      <c r="B4417">
        <v>157630971.02459863</v>
      </c>
    </row>
    <row r="4418" spans="1:2" x14ac:dyDescent="0.25">
      <c r="A4418">
        <f ca="1">34765.8455363151*((RANDBETWEEN(2979,3282)))</f>
        <v>111980788.47247091</v>
      </c>
      <c r="B4418">
        <v>158074623.89817059</v>
      </c>
    </row>
    <row r="4419" spans="1:2" x14ac:dyDescent="0.25">
      <c r="A4419">
        <f ca="1">32713.3231131344*((RANDBETWEEN(2979,3282)))</f>
        <v>100266335.34175691</v>
      </c>
      <c r="B4419">
        <v>154273401.86621544</v>
      </c>
    </row>
    <row r="4420" spans="1:2" x14ac:dyDescent="0.25">
      <c r="A4420">
        <f ca="1">27712.109911126*((RANDBETWEEN(2979,3282)))</f>
        <v>83441162.942400411</v>
      </c>
      <c r="B4420">
        <v>173433351.38285196</v>
      </c>
    </row>
    <row r="4421" spans="1:2" x14ac:dyDescent="0.25">
      <c r="A4421">
        <f ca="1">30240.9205296002*((RANDBETWEEN(2979,3282)))</f>
        <v>92083603.012632683</v>
      </c>
      <c r="B4421">
        <v>161167712.25413886</v>
      </c>
    </row>
    <row r="4422" spans="1:2" x14ac:dyDescent="0.25">
      <c r="A4422">
        <f ca="1">37061.7258208811*((RANDBETWEEN(2979,3282)))</f>
        <v>116522065.98085006</v>
      </c>
      <c r="B4422">
        <v>182905723.18458861</v>
      </c>
    </row>
    <row r="4423" spans="1:2" x14ac:dyDescent="0.25">
      <c r="A4423">
        <f ca="1">40494.1955321737*((RANDBETWEEN(2979,3282)))</f>
        <v>120753691.07694198</v>
      </c>
      <c r="B4423">
        <v>194658054.36632699</v>
      </c>
    </row>
    <row r="4424" spans="1:2" x14ac:dyDescent="0.25">
      <c r="A4424">
        <f ca="1">33028.2849533817*((RANDBETWEEN(2979,3282)))</f>
        <v>107573124.09316434</v>
      </c>
      <c r="B4424">
        <v>195657528.23392132</v>
      </c>
    </row>
    <row r="4425" spans="1:2" x14ac:dyDescent="0.25">
      <c r="A4425">
        <f ca="1">30193.3305106422*((RANDBETWEEN(2979,3282)))</f>
        <v>90096898.243756443</v>
      </c>
      <c r="B4425">
        <v>201466452.02193767</v>
      </c>
    </row>
    <row r="4426" spans="1:2" x14ac:dyDescent="0.25">
      <c r="A4426">
        <f ca="1">36714.7577980084*((RANDBETWEEN(2979,3282)))</f>
        <v>117964516.80500093</v>
      </c>
      <c r="B4426">
        <v>170502186.05540565</v>
      </c>
    </row>
    <row r="4427" spans="1:2" x14ac:dyDescent="0.25">
      <c r="A4427">
        <f ca="1">32457.5557722402*((RANDBETWEEN(2979,3282)))</f>
        <v>104578244.69815785</v>
      </c>
      <c r="B4427">
        <v>147945650.29261485</v>
      </c>
    </row>
    <row r="4428" spans="1:2" x14ac:dyDescent="0.25">
      <c r="A4428">
        <f ca="1">35267.3117885784*((RANDBETWEEN(2979,3282)))</f>
        <v>115147772.98970838</v>
      </c>
      <c r="B4428">
        <v>143255974.14762133</v>
      </c>
    </row>
    <row r="4429" spans="1:2" x14ac:dyDescent="0.25">
      <c r="A4429">
        <f ca="1">32616.1322817277*((RANDBETWEEN(2979,3282)))</f>
        <v>105056562.07944486</v>
      </c>
      <c r="B4429">
        <v>178078945.32073247</v>
      </c>
    </row>
    <row r="4430" spans="1:2" x14ac:dyDescent="0.25">
      <c r="A4430">
        <f ca="1">29206.0403598509*((RANDBETWEEN(2979,3282)))</f>
        <v>94598364.725557297</v>
      </c>
      <c r="B4430">
        <v>181714378.76013052</v>
      </c>
    </row>
    <row r="4431" spans="1:2" x14ac:dyDescent="0.25">
      <c r="A4431">
        <f ca="1">30108.6761893999*((RANDBETWEEN(2979,3282)))</f>
        <v>97552110.853655756</v>
      </c>
      <c r="B4431">
        <v>194151843.52487418</v>
      </c>
    </row>
    <row r="4432" spans="1:2" x14ac:dyDescent="0.25">
      <c r="A4432">
        <f ca="1">29851.0569250439*((RANDBETWEEN(2979,3282)))</f>
        <v>97642807.201818556</v>
      </c>
      <c r="B4432">
        <v>164322824.60472295</v>
      </c>
    </row>
    <row r="4433" spans="1:2" x14ac:dyDescent="0.25">
      <c r="A4433">
        <f ca="1">34548.2897296161*((RANDBETWEEN(2979,3282)))</f>
        <v>107548825.92829481</v>
      </c>
      <c r="B4433">
        <v>153947605.38501027</v>
      </c>
    </row>
    <row r="4434" spans="1:2" x14ac:dyDescent="0.25">
      <c r="A4434">
        <f ca="1">30483.594083602*((RANDBETWEEN(2979,3282)))</f>
        <v>98065722.166947752</v>
      </c>
      <c r="B4434">
        <v>186004804.30568874</v>
      </c>
    </row>
    <row r="4435" spans="1:2" x14ac:dyDescent="0.25">
      <c r="A4435">
        <f ca="1">34028.5006476599*((RANDBETWEEN(2979,3282)))</f>
        <v>106032808.01810828</v>
      </c>
      <c r="B4435">
        <v>159193038.15631956</v>
      </c>
    </row>
    <row r="4436" spans="1:2" x14ac:dyDescent="0.25">
      <c r="A4436">
        <f ca="1">30757.985807338*((RANDBETWEEN(2979,3282)))</f>
        <v>96149463.633738726</v>
      </c>
      <c r="B4436">
        <v>191450860.32610255</v>
      </c>
    </row>
    <row r="4437" spans="1:2" x14ac:dyDescent="0.25">
      <c r="A4437">
        <f ca="1">29724.0633411534*((RANDBETWEEN(2979,3282)))</f>
        <v>96276241.161995992</v>
      </c>
      <c r="B4437">
        <v>155036501.67815578</v>
      </c>
    </row>
    <row r="4438" spans="1:2" x14ac:dyDescent="0.25">
      <c r="A4438">
        <f ca="1">33419.1792182195*((RANDBETWEEN(2979,3282)))</f>
        <v>109147039.32670477</v>
      </c>
      <c r="B4438">
        <v>153666854.14439967</v>
      </c>
    </row>
    <row r="4439" spans="1:2" x14ac:dyDescent="0.25">
      <c r="A4439">
        <f ca="1">31067.6132517556*((RANDBETWEEN(2979,3282)))</f>
        <v>94259138.605826572</v>
      </c>
      <c r="B4439">
        <v>185806270.38596782</v>
      </c>
    </row>
    <row r="4440" spans="1:2" x14ac:dyDescent="0.25">
      <c r="A4440">
        <f ca="1">28502.5369959359*((RANDBETWEEN(2979,3282)))</f>
        <v>87217763.207563952</v>
      </c>
      <c r="B4440">
        <v>187125451.92680007</v>
      </c>
    </row>
    <row r="4441" spans="1:2" x14ac:dyDescent="0.25">
      <c r="A4441">
        <f ca="1">30754.0988601878*((RANDBETWEEN(2979,3282)))</f>
        <v>97336722.892494291</v>
      </c>
      <c r="B4441">
        <v>183776368.35036668</v>
      </c>
    </row>
    <row r="4442" spans="1:2" x14ac:dyDescent="0.25">
      <c r="A4442">
        <f ca="1">31962.9077550956*((RANDBETWEEN(2979,3282)))</f>
        <v>99820160.919163719</v>
      </c>
      <c r="B4442">
        <v>157127728.84856778</v>
      </c>
    </row>
    <row r="4443" spans="1:2" x14ac:dyDescent="0.25">
      <c r="A4443">
        <f ca="1">33218.9695336001*((RANDBETWEEN(2979,3282)))</f>
        <v>100553820.77820744</v>
      </c>
      <c r="B4443">
        <v>158327543.79267091</v>
      </c>
    </row>
    <row r="4444" spans="1:2" x14ac:dyDescent="0.25">
      <c r="A4444">
        <f ca="1">29959.823199045*((RANDBETWEEN(2979,3282)))</f>
        <v>92156416.16026254</v>
      </c>
      <c r="B4444">
        <v>143018079.78355372</v>
      </c>
    </row>
    <row r="4445" spans="1:2" x14ac:dyDescent="0.25">
      <c r="A4445">
        <f ca="1">41615.8834562934*((RANDBETWEEN(2979,3282)))</f>
        <v>125305425.08689944</v>
      </c>
      <c r="B4445">
        <v>184540964.10285065</v>
      </c>
    </row>
    <row r="4446" spans="1:2" x14ac:dyDescent="0.25">
      <c r="A4446">
        <f ca="1">38023.4788258224*((RANDBETWEEN(2979,3282)))</f>
        <v>118633253.9365658</v>
      </c>
      <c r="B4446">
        <v>148524374.04205215</v>
      </c>
    </row>
    <row r="4447" spans="1:2" x14ac:dyDescent="0.25">
      <c r="A4447">
        <f ca="1">31511.1399398625*((RANDBETWEEN(2979,3282)))</f>
        <v>96171999.096460268</v>
      </c>
      <c r="B4447">
        <v>152611917.79558912</v>
      </c>
    </row>
    <row r="4448" spans="1:2" x14ac:dyDescent="0.25">
      <c r="A4448">
        <f ca="1">39875.2197501562*((RANDBETWEEN(2979,3282)))</f>
        <v>120223787.54672091</v>
      </c>
      <c r="B4448">
        <v>187965385.74108639</v>
      </c>
    </row>
    <row r="4449" spans="1:2" x14ac:dyDescent="0.25">
      <c r="A4449">
        <f ca="1">38613.739358004*((RANDBETWEEN(2979,3282)))</f>
        <v>123834262.12111875</v>
      </c>
      <c r="B4449">
        <v>202181535.82188341</v>
      </c>
    </row>
    <row r="4450" spans="1:2" x14ac:dyDescent="0.25">
      <c r="A4450">
        <f ca="1">31123.9168459303*((RANDBETWEEN(2979,3282)))</f>
        <v>100810366.66396832</v>
      </c>
      <c r="B4450">
        <v>185055730.95707446</v>
      </c>
    </row>
    <row r="4451" spans="1:2" x14ac:dyDescent="0.25">
      <c r="A4451">
        <f ca="1">28580.3802050086*((RANDBETWEEN(2979,3282)))</f>
        <v>90628385.630082384</v>
      </c>
      <c r="B4451">
        <v>166758597.8329947</v>
      </c>
    </row>
    <row r="4452" spans="1:2" x14ac:dyDescent="0.25">
      <c r="A4452">
        <f ca="1">29513.8644961341*((RANDBETWEEN(2979,3282)))</f>
        <v>89545064.88127096</v>
      </c>
      <c r="B4452">
        <v>176323621.62449709</v>
      </c>
    </row>
    <row r="4453" spans="1:2" x14ac:dyDescent="0.25">
      <c r="A4453">
        <f ca="1">34933.0600955738*((RANDBETWEEN(2979,3282)))</f>
        <v>111122064.16402036</v>
      </c>
      <c r="B4453">
        <v>178796668.18360513</v>
      </c>
    </row>
    <row r="4454" spans="1:2" x14ac:dyDescent="0.25">
      <c r="A4454">
        <f ca="1">39587.0204036163*((RANDBETWEEN(2979,3282)))</f>
        <v>129647491.82184353</v>
      </c>
      <c r="B4454">
        <v>181249778.98127085</v>
      </c>
    </row>
    <row r="4455" spans="1:2" x14ac:dyDescent="0.25">
      <c r="A4455">
        <f ca="1">36283.4558990684*((RANDBETWEEN(2979,3282)))</f>
        <v>116796444.53910118</v>
      </c>
      <c r="B4455">
        <v>143846069.97886559</v>
      </c>
    </row>
    <row r="4456" spans="1:2" x14ac:dyDescent="0.25">
      <c r="A4456">
        <f ca="1">32736.2526620821*((RANDBETWEEN(2979,3282)))</f>
        <v>100041988.13532278</v>
      </c>
      <c r="B4456">
        <v>199272807.81074655</v>
      </c>
    </row>
    <row r="4457" spans="1:2" x14ac:dyDescent="0.25">
      <c r="A4457">
        <f ca="1">34372.9019695485*((RANDBETWEEN(2979,3282)))</f>
        <v>105971656.77211812</v>
      </c>
      <c r="B4457">
        <v>162314616.10818556</v>
      </c>
    </row>
    <row r="4458" spans="1:2" x14ac:dyDescent="0.25">
      <c r="A4458">
        <f ca="1">31349.653773736*((RANDBETWEEN(2979,3282)))</f>
        <v>102043123.03351058</v>
      </c>
      <c r="B4458">
        <v>198205604.79806542</v>
      </c>
    </row>
    <row r="4459" spans="1:2" x14ac:dyDescent="0.25">
      <c r="A4459">
        <f ca="1">30373.4937095142*((RANDBETWEEN(2979,3282)))</f>
        <v>93854095.562398881</v>
      </c>
      <c r="B4459">
        <v>157633916.95838171</v>
      </c>
    </row>
    <row r="4460" spans="1:2" x14ac:dyDescent="0.25">
      <c r="A4460">
        <f ca="1">29880.4284005457*((RANDBETWEEN(2979,3282)))</f>
        <v>94661197.17292878</v>
      </c>
      <c r="B4460">
        <v>190491179.21413219</v>
      </c>
    </row>
    <row r="4461" spans="1:2" x14ac:dyDescent="0.25">
      <c r="A4461">
        <f ca="1">39167.5443501732*((RANDBETWEEN(2979,3282)))</f>
        <v>120283528.69938199</v>
      </c>
      <c r="B4461">
        <v>186036561.34336951</v>
      </c>
    </row>
    <row r="4462" spans="1:2" x14ac:dyDescent="0.25">
      <c r="A4462">
        <f ca="1">33032.9436164145*((RANDBETWEEN(2979,3282)))</f>
        <v>107786495.02036066</v>
      </c>
      <c r="B4462">
        <v>144801009.0269568</v>
      </c>
    </row>
    <row r="4463" spans="1:2" x14ac:dyDescent="0.25">
      <c r="A4463">
        <f ca="1">29984.0980917916*((RANDBETWEEN(2979,3282)))</f>
        <v>97628223.386873379</v>
      </c>
      <c r="B4463">
        <v>150404667.94069356</v>
      </c>
    </row>
    <row r="4464" spans="1:2" x14ac:dyDescent="0.25">
      <c r="A4464">
        <f ca="1">28621.6705449878*((RANDBETWEEN(2979,3282)))</f>
        <v>87954393.584747478</v>
      </c>
      <c r="B4464">
        <v>143710084.1982027</v>
      </c>
    </row>
    <row r="4465" spans="1:2" x14ac:dyDescent="0.25">
      <c r="A4465">
        <f ca="1">30192.3153980335*((RANDBETWEEN(2979,3282)))</f>
        <v>95498293.603979975</v>
      </c>
      <c r="B4465">
        <v>173425912.29871291</v>
      </c>
    </row>
    <row r="4466" spans="1:2" x14ac:dyDescent="0.25">
      <c r="A4466">
        <f ca="1">32109.6582150669*((RANDBETWEEN(2979,3282)))</f>
        <v>105159130.65434411</v>
      </c>
      <c r="B4466">
        <v>154415008.21146822</v>
      </c>
    </row>
    <row r="4467" spans="1:2" x14ac:dyDescent="0.25">
      <c r="A4467">
        <f ca="1">34505.8585587163*((RANDBETWEEN(2979,3282)))</f>
        <v>108520925.16716269</v>
      </c>
      <c r="B4467">
        <v>175908092.83375788</v>
      </c>
    </row>
    <row r="4468" spans="1:2" x14ac:dyDescent="0.25">
      <c r="A4468">
        <f ca="1">41815.5528659177*((RANDBETWEEN(2979,3282)))</f>
        <v>125237580.83342347</v>
      </c>
      <c r="B4468">
        <v>149077899.59800011</v>
      </c>
    </row>
    <row r="4469" spans="1:2" x14ac:dyDescent="0.25">
      <c r="A4469">
        <f ca="1">32772.2377188035*((RANDBETWEEN(2979,3282)))</f>
        <v>99660374.902881339</v>
      </c>
      <c r="B4469">
        <v>161870389.53738767</v>
      </c>
    </row>
    <row r="4470" spans="1:2" x14ac:dyDescent="0.25">
      <c r="A4470">
        <f ca="1">30669.1275321056*((RANDBETWEEN(2979,3282)))</f>
        <v>93234147.697601005</v>
      </c>
      <c r="B4470">
        <v>153107701.85326853</v>
      </c>
    </row>
    <row r="4471" spans="1:2" x14ac:dyDescent="0.25">
      <c r="A4471">
        <f ca="1">28847.671534793*((RANDBETWEEN(2979,3282)))</f>
        <v>88446960.925675198</v>
      </c>
      <c r="B4471">
        <v>177744185.46577355</v>
      </c>
    </row>
    <row r="4472" spans="1:2" x14ac:dyDescent="0.25">
      <c r="A4472">
        <f ca="1">40543.4227897492*((RANDBETWEEN(2979,3282)))</f>
        <v>125644067.22543275</v>
      </c>
      <c r="B4472">
        <v>143437559.55273819</v>
      </c>
    </row>
    <row r="4473" spans="1:2" x14ac:dyDescent="0.25">
      <c r="A4473">
        <f ca="1">31514.1031666814*((RANDBETWEEN(2979,3282)))</f>
        <v>100277876.27638018</v>
      </c>
      <c r="B4473">
        <v>157743587.59804025</v>
      </c>
    </row>
    <row r="4474" spans="1:2" x14ac:dyDescent="0.25">
      <c r="A4474">
        <f ca="1">34396.926079011*((RANDBETWEEN(2979,3282)))</f>
        <v>111927597.46110198</v>
      </c>
      <c r="B4474">
        <v>143596345.46777636</v>
      </c>
    </row>
    <row r="4475" spans="1:2" x14ac:dyDescent="0.25">
      <c r="A4475">
        <f ca="1">30776.7231699345*((RANDBETWEEN(2979,3282)))</f>
        <v>95469395.273136958</v>
      </c>
      <c r="B4475">
        <v>178001462.01173964</v>
      </c>
    </row>
    <row r="4476" spans="1:2" x14ac:dyDescent="0.25">
      <c r="A4476">
        <f ca="1">33093.3736811817*((RANDBETWEEN(2979,3282)))</f>
        <v>107917491.5743334</v>
      </c>
      <c r="B4476">
        <v>152824321.94575506</v>
      </c>
    </row>
    <row r="4477" spans="1:2" x14ac:dyDescent="0.25">
      <c r="A4477">
        <f ca="1">31165.4773563702*((RANDBETWEEN(2979,3282)))</f>
        <v>95397526.187849104</v>
      </c>
      <c r="B4477">
        <v>153202640.38117263</v>
      </c>
    </row>
    <row r="4478" spans="1:2" x14ac:dyDescent="0.25">
      <c r="A4478">
        <f ca="1">32230.2690982277*((RANDBETWEEN(2979,3282)))</f>
        <v>103201321.65252514</v>
      </c>
      <c r="B4478">
        <v>156988560.08606178</v>
      </c>
    </row>
    <row r="4479" spans="1:2" x14ac:dyDescent="0.25">
      <c r="A4479">
        <f ca="1">38964.7940198392*((RANDBETWEEN(2979,3282)))</f>
        <v>121492227.75385861</v>
      </c>
      <c r="B4479">
        <v>191195195.01787543</v>
      </c>
    </row>
    <row r="4480" spans="1:2" x14ac:dyDescent="0.25">
      <c r="A4480">
        <f ca="1">33908.2705938403*((RANDBETWEEN(2979,3282)))</f>
        <v>107794392.21781825</v>
      </c>
      <c r="B4480">
        <v>151429321.54928601</v>
      </c>
    </row>
    <row r="4481" spans="1:2" x14ac:dyDescent="0.25">
      <c r="A4481">
        <f ca="1">30028.4540478251*((RANDBETWEEN(2979,3282)))</f>
        <v>97412304.931144625</v>
      </c>
      <c r="B4481">
        <v>176187412.11224097</v>
      </c>
    </row>
    <row r="4482" spans="1:2" x14ac:dyDescent="0.25">
      <c r="A4482">
        <f ca="1">30170.6329997963*((RANDBETWEEN(2979,3282)))</f>
        <v>95972783.572351992</v>
      </c>
      <c r="B4482">
        <v>150374383.05952078</v>
      </c>
    </row>
    <row r="4483" spans="1:2" x14ac:dyDescent="0.25">
      <c r="A4483">
        <f ca="1">30137.3627373875*((RANDBETWEEN(2979,3282)))</f>
        <v>89839478.320152149</v>
      </c>
      <c r="B4483">
        <v>144905403.53593135</v>
      </c>
    </row>
    <row r="4484" spans="1:2" x14ac:dyDescent="0.25">
      <c r="A4484">
        <f ca="1">30903.2434122252*((RANDBETWEEN(2979,3282)))</f>
        <v>100991799.47115183</v>
      </c>
      <c r="B4484">
        <v>169618486.39642423</v>
      </c>
    </row>
    <row r="4485" spans="1:2" x14ac:dyDescent="0.25">
      <c r="A4485">
        <f ca="1">40136.3172876068*((RANDBETWEEN(2979,3282)))</f>
        <v>125626673.11020918</v>
      </c>
      <c r="B4485">
        <v>155587962.95664382</v>
      </c>
    </row>
    <row r="4486" spans="1:2" x14ac:dyDescent="0.25">
      <c r="A4486">
        <f ca="1">31298.3173307624*((RANDBETWEEN(2979,3282)))</f>
        <v>99184367.621185988</v>
      </c>
      <c r="B4486">
        <v>150151124.12595835</v>
      </c>
    </row>
    <row r="4487" spans="1:2" x14ac:dyDescent="0.25">
      <c r="A4487">
        <f ca="1">37065.423955518*((RANDBETWEEN(2979,3282)))</f>
        <v>111418664.41028711</v>
      </c>
      <c r="B4487">
        <v>172957371.24001771</v>
      </c>
    </row>
    <row r="4488" spans="1:2" x14ac:dyDescent="0.25">
      <c r="A4488">
        <f ca="1">37390.2748384621*((RANDBETWEEN(2979,3282)))</f>
        <v>122490540.37080175</v>
      </c>
      <c r="B4488">
        <v>150326615.55906081</v>
      </c>
    </row>
    <row r="4489" spans="1:2" x14ac:dyDescent="0.25">
      <c r="A4489">
        <f ca="1">29847.0129694949*((RANDBETWEEN(2979,3282)))</f>
        <v>96734169.034132928</v>
      </c>
      <c r="B4489">
        <v>164504324.63828576</v>
      </c>
    </row>
    <row r="4490" spans="1:2" x14ac:dyDescent="0.25">
      <c r="A4490">
        <f ca="1">31448.4191672941*((RANDBETWEEN(2979,3282)))</f>
        <v>96829682.616098493</v>
      </c>
      <c r="B4490">
        <v>148694272.54764941</v>
      </c>
    </row>
    <row r="4491" spans="1:2" x14ac:dyDescent="0.25">
      <c r="A4491">
        <f ca="1">30724.6964057788*((RANDBETWEEN(2979,3282)))</f>
        <v>99240769.390665442</v>
      </c>
      <c r="B4491">
        <v>170086079.31446651</v>
      </c>
    </row>
    <row r="4492" spans="1:2" x14ac:dyDescent="0.25">
      <c r="A4492">
        <f ca="1">31147.2052702309*((RANDBETWEEN(2979,3282)))</f>
        <v>95061270.484744549</v>
      </c>
      <c r="B4492">
        <v>174055583.74253327</v>
      </c>
    </row>
    <row r="4493" spans="1:2" x14ac:dyDescent="0.25">
      <c r="A4493">
        <f ca="1">33183.3630158849*((RANDBETWEEN(2979,3282)))</f>
        <v>106385861.82892698</v>
      </c>
      <c r="B4493">
        <v>148559456.52451459</v>
      </c>
    </row>
    <row r="4494" spans="1:2" x14ac:dyDescent="0.25">
      <c r="A4494">
        <f ca="1">28407.346470186*((RANDBETWEEN(2979,3282)))</f>
        <v>85818593.686431915</v>
      </c>
      <c r="B4494">
        <v>185061956.10117114</v>
      </c>
    </row>
    <row r="4495" spans="1:2" x14ac:dyDescent="0.25">
      <c r="A4495">
        <f ca="1">40131.964488072*((RANDBETWEEN(2979,3282)))</f>
        <v>119633386.13894267</v>
      </c>
      <c r="B4495">
        <v>147713914.86043406</v>
      </c>
    </row>
    <row r="4496" spans="1:2" x14ac:dyDescent="0.25">
      <c r="A4496">
        <f ca="1">34326.3849133595*((RANDBETWEEN(2979,3282)))</f>
        <v>110359327.49645072</v>
      </c>
      <c r="B4496">
        <v>162522072.29386809</v>
      </c>
    </row>
    <row r="4497" spans="1:2" x14ac:dyDescent="0.25">
      <c r="A4497">
        <f ca="1">30545.4628536108*((RANDBETWEEN(2979,3282)))</f>
        <v>91239297.543735549</v>
      </c>
      <c r="B4497">
        <v>161115199.924934</v>
      </c>
    </row>
    <row r="4498" spans="1:2" x14ac:dyDescent="0.25">
      <c r="A4498">
        <f ca="1">38932.3480614582*((RANDBETWEEN(2979,3282)))</f>
        <v>121624655.34399547</v>
      </c>
      <c r="B4498">
        <v>182954058.96104854</v>
      </c>
    </row>
    <row r="4499" spans="1:2" x14ac:dyDescent="0.25">
      <c r="A4499">
        <f ca="1">32992.2889464874*((RANDBETWEEN(2979,3282)))</f>
        <v>105410363.18402727</v>
      </c>
      <c r="B4499">
        <v>157265329.19359177</v>
      </c>
    </row>
    <row r="4500" spans="1:2" x14ac:dyDescent="0.25">
      <c r="A4500">
        <f ca="1">37027.3739433856*((RANDBETWEEN(2979,3282)))</f>
        <v>113970256.99774073</v>
      </c>
      <c r="B4500">
        <v>147511940.05937535</v>
      </c>
    </row>
    <row r="4501" spans="1:2" x14ac:dyDescent="0.25">
      <c r="A4501">
        <f ca="1">37787.2886125446*((RANDBETWEEN(2979,3282)))</f>
        <v>122544176.97048198</v>
      </c>
      <c r="B4501">
        <v>145062602.33270007</v>
      </c>
    </row>
    <row r="4502" spans="1:2" x14ac:dyDescent="0.25">
      <c r="A4502">
        <f ca="1">37300.44321674*((RANDBETWEEN(2979,3282)))</f>
        <v>121972449.31873971</v>
      </c>
      <c r="B4502">
        <v>159876121.42122507</v>
      </c>
    </row>
    <row r="4503" spans="1:2" x14ac:dyDescent="0.25">
      <c r="A4503">
        <f ca="1">31392.8692626444*((RANDBETWEEN(2979,3282)))</f>
        <v>96501680.113368943</v>
      </c>
      <c r="B4503">
        <v>173033594.35646874</v>
      </c>
    </row>
    <row r="4504" spans="1:2" x14ac:dyDescent="0.25">
      <c r="A4504">
        <f ca="1">30562.0100963881*((RANDBETWEEN(2979,3282)))</f>
        <v>99143160.752683118</v>
      </c>
      <c r="B4504">
        <v>163758448.87628931</v>
      </c>
    </row>
    <row r="4505" spans="1:2" x14ac:dyDescent="0.25">
      <c r="A4505">
        <f ca="1">31293.184704292*((RANDBETWEEN(2979,3282)))</f>
        <v>98072840.863251194</v>
      </c>
      <c r="B4505">
        <v>172447107.27267233</v>
      </c>
    </row>
    <row r="4506" spans="1:2" x14ac:dyDescent="0.25">
      <c r="A4506">
        <f ca="1">32806.3750876004*((RANDBETWEEN(2979,3282)))</f>
        <v>105210044.9059345</v>
      </c>
      <c r="B4506">
        <v>152778534.858376</v>
      </c>
    </row>
    <row r="4507" spans="1:2" x14ac:dyDescent="0.25">
      <c r="A4507">
        <f ca="1">39234.3458389952*((RANDBETWEEN(2979,3282)))</f>
        <v>122921205.51357187</v>
      </c>
      <c r="B4507">
        <v>143099983.74596056</v>
      </c>
    </row>
    <row r="4508" spans="1:2" x14ac:dyDescent="0.25">
      <c r="A4508">
        <f ca="1">30486.3263700422*((RANDBETWEEN(2979,3282)))</f>
        <v>93593021.956029624</v>
      </c>
      <c r="B4508">
        <v>144241552.62369233</v>
      </c>
    </row>
    <row r="4509" spans="1:2" x14ac:dyDescent="0.25">
      <c r="A4509">
        <f ca="1">30579.6821963644*((RANDBETWEEN(2979,3282)))</f>
        <v>93818464.978445843</v>
      </c>
      <c r="B4509">
        <v>144139903.39999443</v>
      </c>
    </row>
    <row r="4510" spans="1:2" x14ac:dyDescent="0.25">
      <c r="A4510">
        <f ca="1">34834.9997700302*((RANDBETWEEN(2979,3282)))</f>
        <v>109660579.27605504</v>
      </c>
      <c r="B4510">
        <v>148350357.13293907</v>
      </c>
    </row>
    <row r="4511" spans="1:2" x14ac:dyDescent="0.25">
      <c r="A4511">
        <f ca="1">34723.435609452*((RANDBETWEEN(2979,3282)))</f>
        <v>112746995.42389075</v>
      </c>
      <c r="B4511">
        <v>191162036.51088545</v>
      </c>
    </row>
    <row r="4512" spans="1:2" x14ac:dyDescent="0.25">
      <c r="A4512">
        <f ca="1">32244.3176050915*((RANDBETWEEN(2979,3282)))</f>
        <v>105148719.71020335</v>
      </c>
      <c r="B4512">
        <v>150543551.67479372</v>
      </c>
    </row>
    <row r="4513" spans="1:2" x14ac:dyDescent="0.25">
      <c r="A4513">
        <f ca="1">33525.1882879893*((RANDBETWEEN(2979,3282)))</f>
        <v>104330385.95222269</v>
      </c>
      <c r="B4513">
        <v>156454299.3762455</v>
      </c>
    </row>
    <row r="4514" spans="1:2" x14ac:dyDescent="0.25">
      <c r="A4514">
        <f ca="1">31348.749789225*((RANDBETWEEN(2979,3282)))</f>
        <v>98529120.587534308</v>
      </c>
      <c r="B4514">
        <v>158191074.82893938</v>
      </c>
    </row>
    <row r="4515" spans="1:2" x14ac:dyDescent="0.25">
      <c r="A4515">
        <f ca="1">40399.9243978041*((RANDBETWEEN(2979,3282)))</f>
        <v>127057762.23109384</v>
      </c>
      <c r="B4515">
        <v>159335061.0923833</v>
      </c>
    </row>
    <row r="4516" spans="1:2" x14ac:dyDescent="0.25">
      <c r="A4516">
        <f ca="1">38122.185883873*((RANDBETWEEN(2979,3282)))</f>
        <v>118903097.77179995</v>
      </c>
      <c r="B4516">
        <v>192052934.29452133</v>
      </c>
    </row>
    <row r="4517" spans="1:2" x14ac:dyDescent="0.25">
      <c r="A4517">
        <f ca="1">30217.1662829717*((RANDBETWEEN(2979,3282)))</f>
        <v>96211457.444981739</v>
      </c>
      <c r="B4517">
        <v>146027475.94347575</v>
      </c>
    </row>
    <row r="4518" spans="1:2" x14ac:dyDescent="0.25">
      <c r="A4518">
        <f ca="1">27153.2196498384*((RANDBETWEEN(2979,3282)))</f>
        <v>83984908.376950145</v>
      </c>
      <c r="B4518">
        <v>175140283.85580456</v>
      </c>
    </row>
    <row r="4519" spans="1:2" x14ac:dyDescent="0.25">
      <c r="A4519">
        <f ca="1">29826.0589601031*((RANDBETWEEN(2979,3282)))</f>
        <v>97471560.681616917</v>
      </c>
      <c r="B4519">
        <v>145790515.40975869</v>
      </c>
    </row>
    <row r="4520" spans="1:2" x14ac:dyDescent="0.25">
      <c r="A4520">
        <f ca="1">30406.4843957376*((RANDBETWEEN(2979,3282)))</f>
        <v>99642049.364832208</v>
      </c>
      <c r="B4520">
        <v>148785390.08052605</v>
      </c>
    </row>
    <row r="4521" spans="1:2" x14ac:dyDescent="0.25">
      <c r="A4521">
        <f ca="1">40744.1015986845*((RANDBETWEEN(2979,3282)))</f>
        <v>124921415.50156672</v>
      </c>
      <c r="B4521">
        <v>177175815.22438997</v>
      </c>
    </row>
    <row r="4522" spans="1:2" x14ac:dyDescent="0.25">
      <c r="A4522">
        <f ca="1">40159.8026486276*((RANDBETWEEN(2979,3282)))</f>
        <v>121724361.82799011</v>
      </c>
      <c r="B4522">
        <v>148201204.40917769</v>
      </c>
    </row>
    <row r="4523" spans="1:2" x14ac:dyDescent="0.25">
      <c r="A4523">
        <f ca="1">38387.8629128081*((RANDBETWEEN(2979,3282)))</f>
        <v>124914105.91827768</v>
      </c>
      <c r="B4523">
        <v>161463770.44473067</v>
      </c>
    </row>
    <row r="4524" spans="1:2" x14ac:dyDescent="0.25">
      <c r="A4524">
        <f ca="1">41250.9263038617*((RANDBETWEEN(2979,3282)))</f>
        <v>131012941.94106482</v>
      </c>
      <c r="B4524">
        <v>143930996.96277523</v>
      </c>
    </row>
    <row r="4525" spans="1:2" x14ac:dyDescent="0.25">
      <c r="A4525">
        <f ca="1">31043.0135143011*((RANDBETWEEN(2979,3282)))</f>
        <v>97630277.502476811</v>
      </c>
      <c r="B4525">
        <v>145881154.31679285</v>
      </c>
    </row>
    <row r="4526" spans="1:2" x14ac:dyDescent="0.25">
      <c r="A4526">
        <f ca="1">29644.5042750244*((RANDBETWEEN(2979,3282)))</f>
        <v>90534316.055924401</v>
      </c>
      <c r="B4526">
        <v>160359956.70091385</v>
      </c>
    </row>
    <row r="4527" spans="1:2" x14ac:dyDescent="0.25">
      <c r="A4527">
        <f ca="1">28182.7429880422*((RANDBETWEEN(2979,3282)))</f>
        <v>89621122.701974347</v>
      </c>
      <c r="B4527">
        <v>163641388.50803363</v>
      </c>
    </row>
    <row r="4528" spans="1:2" x14ac:dyDescent="0.25">
      <c r="A4528">
        <f ca="1">30175.063205865*((RANDBETWEEN(2979,3282)))</f>
        <v>98883682.125619575</v>
      </c>
      <c r="B4528">
        <v>201421553.69687098</v>
      </c>
    </row>
    <row r="4529" spans="1:2" x14ac:dyDescent="0.25">
      <c r="A4529">
        <f ca="1">35663.2146410716*((RANDBETWEEN(2979,3282)))</f>
        <v>106668674.99144529</v>
      </c>
      <c r="B4529">
        <v>173058184.72622713</v>
      </c>
    </row>
    <row r="4530" spans="1:2" x14ac:dyDescent="0.25">
      <c r="A4530">
        <f ca="1">29025.4081981432*((RANDBETWEEN(2979,3282)))</f>
        <v>87395504.0846093</v>
      </c>
      <c r="B4530">
        <v>159482791.46339071</v>
      </c>
    </row>
    <row r="4531" spans="1:2" x14ac:dyDescent="0.25">
      <c r="A4531">
        <f ca="1">33448.9860168142*((RANDBETWEEN(2979,3282)))</f>
        <v>103257019.83390531</v>
      </c>
      <c r="B4531">
        <v>189247894.87133604</v>
      </c>
    </row>
    <row r="4532" spans="1:2" x14ac:dyDescent="0.25">
      <c r="A4532">
        <f ca="1">29927.7262474635*((RANDBETWEEN(2979,3282)))</f>
        <v>97953448.007948026</v>
      </c>
      <c r="B4532">
        <v>202133804.24897692</v>
      </c>
    </row>
    <row r="4533" spans="1:2" x14ac:dyDescent="0.25">
      <c r="A4533">
        <f ca="1">38070.1554130653*((RANDBETWEEN(2979,3282)))</f>
        <v>117941341.46967617</v>
      </c>
      <c r="B4533">
        <v>180540284.41928819</v>
      </c>
    </row>
    <row r="4534" spans="1:2" x14ac:dyDescent="0.25">
      <c r="A4534">
        <f ca="1">31548.4744937669*((RANDBETWEEN(2979,3282)))</f>
        <v>101743830.24239811</v>
      </c>
      <c r="B4534">
        <v>186634129.30734083</v>
      </c>
    </row>
    <row r="4535" spans="1:2" x14ac:dyDescent="0.25">
      <c r="A4535">
        <f ca="1">31730.2248913889*((RANDBETWEEN(2979,3282)))</f>
        <v>99315603.910047337</v>
      </c>
      <c r="B4535">
        <v>184732280.75758758</v>
      </c>
    </row>
    <row r="4536" spans="1:2" x14ac:dyDescent="0.25">
      <c r="A4536">
        <f ca="1">33231.7993401989*((RANDBETWEEN(2979,3282)))</f>
        <v>107604566.26356414</v>
      </c>
      <c r="B4536">
        <v>148880634.0649389</v>
      </c>
    </row>
    <row r="4537" spans="1:2" x14ac:dyDescent="0.25">
      <c r="A4537">
        <f ca="1">32594.2581768963*((RANDBETWEEN(2979,3282)))</f>
        <v>97652397.497981176</v>
      </c>
      <c r="B4537">
        <v>164971412.09603566</v>
      </c>
    </row>
    <row r="4538" spans="1:2" x14ac:dyDescent="0.25">
      <c r="A4538">
        <f ca="1">35714.9765291943*((RANDBETWEEN(2979,3282)))</f>
        <v>116073673.71988156</v>
      </c>
      <c r="B4538">
        <v>167764690.81287974</v>
      </c>
    </row>
    <row r="4539" spans="1:2" x14ac:dyDescent="0.25">
      <c r="A4539">
        <f ca="1">27140.6774817132*((RANDBETWEEN(2979,3282)))</f>
        <v>89021422.140019134</v>
      </c>
      <c r="B4539">
        <v>165381449.08739778</v>
      </c>
    </row>
    <row r="4540" spans="1:2" x14ac:dyDescent="0.25">
      <c r="A4540">
        <f ca="1">33035.7208634848*((RANDBETWEEN(2979,3282)))</f>
        <v>101287520.16744429</v>
      </c>
      <c r="B4540">
        <v>192469711.2664685</v>
      </c>
    </row>
    <row r="4541" spans="1:2" x14ac:dyDescent="0.25">
      <c r="A4541">
        <f ca="1">30592.919793955*((RANDBETWEEN(2979,3282)))</f>
        <v>97132520.345807031</v>
      </c>
      <c r="B4541">
        <v>191169334.01634157</v>
      </c>
    </row>
    <row r="4542" spans="1:2" x14ac:dyDescent="0.25">
      <c r="A4542">
        <f ca="1">30674.566221192*((RANDBETWEEN(2979,3282)))</f>
        <v>94876433.322146714</v>
      </c>
      <c r="B4542">
        <v>171097213.18262899</v>
      </c>
    </row>
    <row r="4543" spans="1:2" x14ac:dyDescent="0.25">
      <c r="A4543">
        <f ca="1">39422.8779486059*((RANDBETWEEN(2979,3282)))</f>
        <v>128203199.08886634</v>
      </c>
      <c r="B4543">
        <v>158223136.63779062</v>
      </c>
    </row>
    <row r="4544" spans="1:2" x14ac:dyDescent="0.25">
      <c r="A4544">
        <f ca="1">42274.8281010734*((RANDBETWEEN(2979,3282)))</f>
        <v>133461632.31508876</v>
      </c>
      <c r="B4544">
        <v>153055604.83804724</v>
      </c>
    </row>
    <row r="4545" spans="1:2" x14ac:dyDescent="0.25">
      <c r="A4545">
        <f ca="1">29385.0284065005*((RANDBETWEEN(2979,3282)))</f>
        <v>91769443.713501126</v>
      </c>
      <c r="B4545">
        <v>161310890.36035955</v>
      </c>
    </row>
    <row r="4546" spans="1:2" x14ac:dyDescent="0.25">
      <c r="A4546">
        <f ca="1">38750.9221488294*((RANDBETWEEN(2979,3282)))</f>
        <v>122414163.06815198</v>
      </c>
      <c r="B4546">
        <v>176145783.06781277</v>
      </c>
    </row>
    <row r="4547" spans="1:2" x14ac:dyDescent="0.25">
      <c r="A4547">
        <f ca="1">36402.4923523778*((RANDBETWEEN(2979,3282)))</f>
        <v>113721386.10882835</v>
      </c>
      <c r="B4547">
        <v>194869779.15845495</v>
      </c>
    </row>
    <row r="4548" spans="1:2" x14ac:dyDescent="0.25">
      <c r="A4548">
        <f ca="1">30890.4290268978*((RANDBETWEEN(2979,3282)))</f>
        <v>93103753.087069824</v>
      </c>
      <c r="B4548">
        <v>158647373.58149421</v>
      </c>
    </row>
    <row r="4549" spans="1:2" x14ac:dyDescent="0.25">
      <c r="A4549">
        <f ca="1">29869.4259002391*((RANDBETWEEN(2979,3282)))</f>
        <v>89877102.533819467</v>
      </c>
      <c r="B4549">
        <v>144491926.82605636</v>
      </c>
    </row>
    <row r="4550" spans="1:2" x14ac:dyDescent="0.25">
      <c r="A4550">
        <f ca="1">37143.2237397796*((RANDBETWEEN(2979,3282)))</f>
        <v>113732551.09120506</v>
      </c>
      <c r="B4550">
        <v>176533670.78115562</v>
      </c>
    </row>
    <row r="4551" spans="1:2" x14ac:dyDescent="0.25">
      <c r="A4551">
        <f ca="1">34802.1290026941*((RANDBETWEEN(2979,3282)))</f>
        <v>105833274.29719274</v>
      </c>
      <c r="B4551">
        <v>179094411.97748175</v>
      </c>
    </row>
    <row r="4552" spans="1:2" x14ac:dyDescent="0.25">
      <c r="A4552">
        <f ca="1">34735.1894818676*((RANDBETWEEN(2979,3282)))</f>
        <v>107540146.63586202</v>
      </c>
      <c r="B4552">
        <v>153140082.9540233</v>
      </c>
    </row>
    <row r="4553" spans="1:2" x14ac:dyDescent="0.25">
      <c r="A4553">
        <f ca="1">28791.0399103019*((RANDBETWEEN(2979,3282)))</f>
        <v>90144745.959155202</v>
      </c>
      <c r="B4553">
        <v>151922326.00265497</v>
      </c>
    </row>
    <row r="4554" spans="1:2" x14ac:dyDescent="0.25">
      <c r="A4554">
        <f ca="1">37530.4014401098*((RANDBETWEEN(2979,3282)))</f>
        <v>111953187.49584743</v>
      </c>
      <c r="B4554">
        <v>152372200.97166786</v>
      </c>
    </row>
    <row r="4555" spans="1:2" x14ac:dyDescent="0.25">
      <c r="A4555">
        <f ca="1">38962.3685343442*((RANDBETWEEN(2979,3282)))</f>
        <v>124640616.94136696</v>
      </c>
      <c r="B4555">
        <v>182566631.71843758</v>
      </c>
    </row>
    <row r="4556" spans="1:2" x14ac:dyDescent="0.25">
      <c r="A4556">
        <f ca="1">39104.2120519364*((RANDBETWEEN(2979,3282)))</f>
        <v>126306604.92775458</v>
      </c>
      <c r="B4556">
        <v>149409093.03036553</v>
      </c>
    </row>
    <row r="4557" spans="1:2" x14ac:dyDescent="0.25">
      <c r="A4557">
        <f ca="1">28833.1358187307*((RANDBETWEEN(2979,3282)))</f>
        <v>91718205.039382413</v>
      </c>
      <c r="B4557">
        <v>148569446.22658134</v>
      </c>
    </row>
    <row r="4558" spans="1:2" x14ac:dyDescent="0.25">
      <c r="A4558">
        <f ca="1">29883.1165702517*((RANDBETWEEN(2979,3282)))</f>
        <v>91860700.336953804</v>
      </c>
      <c r="B4558">
        <v>183596511.65718001</v>
      </c>
    </row>
    <row r="4559" spans="1:2" x14ac:dyDescent="0.25">
      <c r="A4559">
        <f ca="1">31845.7641684937*((RANDBETWEEN(2979,3282)))</f>
        <v>100186774.07408108</v>
      </c>
      <c r="B4559">
        <v>144388226.45043492</v>
      </c>
    </row>
    <row r="4560" spans="1:2" x14ac:dyDescent="0.25">
      <c r="A4560">
        <f ca="1">42306.8076603111*((RANDBETWEEN(2979,3282)))</f>
        <v>129458831.44055203</v>
      </c>
      <c r="B4560">
        <v>174920236.90997425</v>
      </c>
    </row>
    <row r="4561" spans="1:2" x14ac:dyDescent="0.25">
      <c r="A4561">
        <f ca="1">33870.5063698772*((RANDBETWEEN(2979,3282)))</f>
        <v>102559893.28798828</v>
      </c>
      <c r="B4561">
        <v>201205469.65466645</v>
      </c>
    </row>
    <row r="4562" spans="1:2" x14ac:dyDescent="0.25">
      <c r="A4562">
        <f ca="1">32007.050430565*((RANDBETWEEN(2979,3282)))</f>
        <v>100598159.50326587</v>
      </c>
      <c r="B4562">
        <v>155953084.09871435</v>
      </c>
    </row>
    <row r="4563" spans="1:2" x14ac:dyDescent="0.25">
      <c r="A4563">
        <f ca="1">31381.5203930773*((RANDBETWEEN(2979,3282)))</f>
        <v>93516930.771370411</v>
      </c>
      <c r="B4563">
        <v>178962329.97378388</v>
      </c>
    </row>
    <row r="4564" spans="1:2" x14ac:dyDescent="0.25">
      <c r="A4564">
        <f ca="1">30088.0339631068*((RANDBETWEEN(2979,3282)))</f>
        <v>95318891.595122203</v>
      </c>
      <c r="B4564">
        <v>163797772.9841291</v>
      </c>
    </row>
    <row r="4565" spans="1:2" x14ac:dyDescent="0.25">
      <c r="A4565">
        <f ca="1">39005.2990371021*((RANDBETWEEN(2979,3282)))</f>
        <v>124582925.12450404</v>
      </c>
      <c r="B4565">
        <v>199659270.34747714</v>
      </c>
    </row>
    <row r="4566" spans="1:2" x14ac:dyDescent="0.25">
      <c r="A4566">
        <f ca="1">38469.5939439457*((RANDBETWEEN(2979,3282)))</f>
        <v>118447879.7534087</v>
      </c>
      <c r="B4566">
        <v>166331859.74380669</v>
      </c>
    </row>
    <row r="4567" spans="1:2" x14ac:dyDescent="0.25">
      <c r="A4567">
        <f ca="1">31369.8634992612*((RANDBETWEEN(2979,3282)))</f>
        <v>98124933.025688961</v>
      </c>
      <c r="B4567">
        <v>184629527.20591739</v>
      </c>
    </row>
    <row r="4568" spans="1:2" x14ac:dyDescent="0.25">
      <c r="A4568">
        <f ca="1">32094.5832405867*((RANDBETWEEN(2979,3282)))</f>
        <v>103312463.4514485</v>
      </c>
      <c r="B4568">
        <v>142993988.42374131</v>
      </c>
    </row>
    <row r="4569" spans="1:2" x14ac:dyDescent="0.25">
      <c r="A4569">
        <f ca="1">36562.4843806537*((RANDBETWEEN(2979,3282)))</f>
        <v>115427763.18972374</v>
      </c>
      <c r="B4569">
        <v>160609478.37429005</v>
      </c>
    </row>
    <row r="4570" spans="1:2" x14ac:dyDescent="0.25">
      <c r="A4570">
        <f ca="1">33157.1286776061*((RANDBETWEEN(2979,3282)))</f>
        <v>103417084.3454535</v>
      </c>
      <c r="B4570">
        <v>143882303.65930492</v>
      </c>
    </row>
    <row r="4571" spans="1:2" x14ac:dyDescent="0.25">
      <c r="A4571">
        <f ca="1">41016.8805320783*((RANDBETWEEN(2979,3282)))</f>
        <v>133715030.53457528</v>
      </c>
      <c r="B4571">
        <v>155085734.279836</v>
      </c>
    </row>
    <row r="4572" spans="1:2" x14ac:dyDescent="0.25">
      <c r="A4572">
        <f ca="1">30581.1555490215*((RANDBETWEEN(2979,3282)))</f>
        <v>94067634.468790174</v>
      </c>
      <c r="B4572">
        <v>177536214.7628105</v>
      </c>
    </row>
    <row r="4573" spans="1:2" x14ac:dyDescent="0.25">
      <c r="A4573">
        <f ca="1">30538.4260357699*((RANDBETWEEN(2979,3282)))</f>
        <v>97264886.923927143</v>
      </c>
      <c r="B4573">
        <v>157242483.20609772</v>
      </c>
    </row>
    <row r="4574" spans="1:2" x14ac:dyDescent="0.25">
      <c r="A4574">
        <f ca="1">33104.8220441481*((RANDBETWEEN(2979,3282)))</f>
        <v>98784788.979737833</v>
      </c>
      <c r="B4574">
        <v>146049942.49291646</v>
      </c>
    </row>
    <row r="4575" spans="1:2" x14ac:dyDescent="0.25">
      <c r="A4575">
        <f ca="1">30617.7329606872*((RANDBETWEEN(2979,3282)))</f>
        <v>98895277.463019758</v>
      </c>
      <c r="B4575">
        <v>160983200.54725686</v>
      </c>
    </row>
    <row r="4576" spans="1:2" x14ac:dyDescent="0.25">
      <c r="A4576">
        <f ca="1">34285.415183022*((RANDBETWEEN(2979,3282)))</f>
        <v>111701882.66628563</v>
      </c>
      <c r="B4576">
        <v>175434622.25019246</v>
      </c>
    </row>
    <row r="4577" spans="1:2" x14ac:dyDescent="0.25">
      <c r="A4577">
        <f ca="1">31984.3676299362*((RANDBETWEEN(2979,3282)))</f>
        <v>98799711.60887301</v>
      </c>
      <c r="B4577">
        <v>183537784.35755759</v>
      </c>
    </row>
    <row r="4578" spans="1:2" x14ac:dyDescent="0.25">
      <c r="A4578">
        <f ca="1">38347.4623593918*((RANDBETWEEN(2979,3282)))</f>
        <v>122290057.46410036</v>
      </c>
      <c r="B4578">
        <v>163800049.33320564</v>
      </c>
    </row>
    <row r="4579" spans="1:2" x14ac:dyDescent="0.25">
      <c r="A4579">
        <f ca="1">40027.8916896358*((RANDBETWEEN(2979,3282)))</f>
        <v>128249364.97359306</v>
      </c>
      <c r="B4579">
        <v>144004720.26622361</v>
      </c>
    </row>
    <row r="4580" spans="1:2" x14ac:dyDescent="0.25">
      <c r="A4580">
        <f ca="1">40164.3151233886*((RANDBETWEEN(2979,3282)))</f>
        <v>121015081.46676987</v>
      </c>
      <c r="B4580">
        <v>157468676.74259934</v>
      </c>
    </row>
    <row r="4581" spans="1:2" x14ac:dyDescent="0.25">
      <c r="A4581">
        <f ca="1">32518.4275435103*((RANDBETWEEN(2979,3282)))</f>
        <v>104221560.27695064</v>
      </c>
      <c r="B4581">
        <v>195461009.27336162</v>
      </c>
    </row>
    <row r="4582" spans="1:2" x14ac:dyDescent="0.25">
      <c r="A4582">
        <f ca="1">37616.8972062485*((RANDBETWEEN(2979,3282)))</f>
        <v>119922668.29352014</v>
      </c>
      <c r="B4582">
        <v>149056697.67151555</v>
      </c>
    </row>
    <row r="4583" spans="1:2" x14ac:dyDescent="0.25">
      <c r="A4583">
        <f ca="1">39937.3447435405*((RANDBETWEEN(2979,3282)))</f>
        <v>126521508.14753641</v>
      </c>
      <c r="B4583">
        <v>156311825.27782217</v>
      </c>
    </row>
    <row r="4584" spans="1:2" x14ac:dyDescent="0.25">
      <c r="A4584">
        <f ca="1">32651.5280125163*((RANDBETWEEN(2979,3282)))</f>
        <v>104974662.56023994</v>
      </c>
      <c r="B4584">
        <v>145950391.35195011</v>
      </c>
    </row>
    <row r="4585" spans="1:2" x14ac:dyDescent="0.25">
      <c r="A4585">
        <f ca="1">30074.5680852771*((RANDBETWEEN(2979,3282)))</f>
        <v>90825195.617536768</v>
      </c>
      <c r="B4585">
        <v>178702003.49375027</v>
      </c>
    </row>
    <row r="4586" spans="1:2" x14ac:dyDescent="0.25">
      <c r="A4586">
        <f ca="1">37186.4849182788*((RANDBETWEEN(2979,3282)))</f>
        <v>111559454.75483632</v>
      </c>
      <c r="B4586">
        <v>184389041.34651119</v>
      </c>
    </row>
    <row r="4587" spans="1:2" x14ac:dyDescent="0.25">
      <c r="A4587">
        <f ca="1">32694.0885740716*((RANDBETWEEN(2979,3282)))</f>
        <v>103901813.48839967</v>
      </c>
      <c r="B4587">
        <v>143580524.30426264</v>
      </c>
    </row>
    <row r="4588" spans="1:2" x14ac:dyDescent="0.25">
      <c r="A4588">
        <f ca="1">32561.2561286047*((RANDBETWEEN(2979,3282)))</f>
        <v>105303102.31990744</v>
      </c>
      <c r="B4588">
        <v>154605852.09037146</v>
      </c>
    </row>
    <row r="4589" spans="1:2" x14ac:dyDescent="0.25">
      <c r="A4589">
        <f ca="1">33976.6166552276*((RANDBETWEEN(2979,3282)))</f>
        <v>108045640.96362382</v>
      </c>
      <c r="B4589">
        <v>145245322.38801694</v>
      </c>
    </row>
    <row r="4590" spans="1:2" x14ac:dyDescent="0.25">
      <c r="A4590">
        <f ca="1">32577.2271339447*((RANDBETWEEN(2979,3282)))</f>
        <v>103628159.51307814</v>
      </c>
      <c r="B4590">
        <v>173367005.87773949</v>
      </c>
    </row>
    <row r="4591" spans="1:2" x14ac:dyDescent="0.25">
      <c r="A4591">
        <f ca="1">34392.1240610852*((RANDBETWEEN(2979,3282)))</f>
        <v>104792802.01412673</v>
      </c>
      <c r="B4591">
        <v>147543669.99526986</v>
      </c>
    </row>
    <row r="4592" spans="1:2" x14ac:dyDescent="0.25">
      <c r="A4592">
        <f ca="1">32222.6105376638*((RANDBETWEEN(2979,3282)))</f>
        <v>101050106.64611356</v>
      </c>
      <c r="B4592">
        <v>169353010.36893827</v>
      </c>
    </row>
    <row r="4593" spans="1:2" x14ac:dyDescent="0.25">
      <c r="A4593">
        <f ca="1">31064.4378281235*((RANDBETWEEN(2979,3282)))</f>
        <v>97076368.212886155</v>
      </c>
      <c r="B4593">
        <v>187254925.09618634</v>
      </c>
    </row>
    <row r="4594" spans="1:2" x14ac:dyDescent="0.25">
      <c r="A4594">
        <f ca="1">35446.3442954144*((RANDBETWEEN(2979,3282)))</f>
        <v>106587157.29631107</v>
      </c>
      <c r="B4594">
        <v>188000684.69831285</v>
      </c>
    </row>
    <row r="4595" spans="1:2" x14ac:dyDescent="0.25">
      <c r="A4595">
        <f ca="1">30641.6056952651*((RANDBETWEEN(2979,3282)))</f>
        <v>96000150.643265635</v>
      </c>
      <c r="B4595">
        <v>152416114.30388224</v>
      </c>
    </row>
    <row r="4596" spans="1:2" x14ac:dyDescent="0.25">
      <c r="A4596">
        <f ca="1">29052.0938794446*((RANDBETWEEN(2979,3282)))</f>
        <v>90235803.589554802</v>
      </c>
      <c r="B4596">
        <v>179935836.279365</v>
      </c>
    </row>
    <row r="4597" spans="1:2" x14ac:dyDescent="0.25">
      <c r="A4597">
        <f ca="1">31063.2041480892*((RANDBETWEEN(2979,3282)))</f>
        <v>95177657.509745181</v>
      </c>
      <c r="B4597">
        <v>163590069.03697062</v>
      </c>
    </row>
    <row r="4598" spans="1:2" x14ac:dyDescent="0.25">
      <c r="A4598">
        <f ca="1">34424.5705881936*((RANDBETWEEN(2979,3282)))</f>
        <v>112465072.1116284</v>
      </c>
      <c r="B4598">
        <v>146238743.31691343</v>
      </c>
    </row>
    <row r="4599" spans="1:2" x14ac:dyDescent="0.25">
      <c r="A4599">
        <f ca="1">30490.5355803757*((RANDBETWEEN(2979,3282)))</f>
        <v>93605944.231753379</v>
      </c>
      <c r="B4599">
        <v>185192492.52898091</v>
      </c>
    </row>
    <row r="4600" spans="1:2" x14ac:dyDescent="0.25">
      <c r="A4600">
        <f ca="1">35009.9910539059*((RANDBETWEEN(2979,3282)))</f>
        <v>113922510.88940965</v>
      </c>
      <c r="B4600">
        <v>167561414.85850337</v>
      </c>
    </row>
    <row r="4601" spans="1:2" x14ac:dyDescent="0.25">
      <c r="A4601">
        <f ca="1">33401.0280683019*((RANDBETWEEN(2979,3282)))</f>
        <v>100837703.73820335</v>
      </c>
      <c r="B4601">
        <v>159510521.94893637</v>
      </c>
    </row>
    <row r="4602" spans="1:2" x14ac:dyDescent="0.25">
      <c r="A4602">
        <f ca="1">36027.3940667606*((RANDBETWEEN(2979,3282)))</f>
        <v>112585606.45862694</v>
      </c>
      <c r="B4602">
        <v>200756955.42724866</v>
      </c>
    </row>
    <row r="4603" spans="1:2" x14ac:dyDescent="0.25">
      <c r="A4603">
        <f ca="1">29243.5488206026*((RANDBETWEEN(2979,3282)))</f>
        <v>89105093.256376132</v>
      </c>
      <c r="B4603">
        <v>176491963.98111498</v>
      </c>
    </row>
    <row r="4604" spans="1:2" x14ac:dyDescent="0.25">
      <c r="A4604">
        <f ca="1">31555.4373622076*((RANDBETWEEN(2979,3282)))</f>
        <v>97727189.510756969</v>
      </c>
      <c r="B4604">
        <v>151735653.8550258</v>
      </c>
    </row>
    <row r="4605" spans="1:2" x14ac:dyDescent="0.25">
      <c r="A4605">
        <f ca="1">30577.9728092195*((RANDBETWEEN(2979,3282)))</f>
        <v>91428138.69956632</v>
      </c>
      <c r="B4605">
        <v>157086357.11976779</v>
      </c>
    </row>
    <row r="4606" spans="1:2" x14ac:dyDescent="0.25">
      <c r="A4606">
        <f ca="1">31192.6370703668*((RANDBETWEEN(2979,3282)))</f>
        <v>94326534.500789091</v>
      </c>
      <c r="B4606">
        <v>202831085.79849118</v>
      </c>
    </row>
    <row r="4607" spans="1:2" x14ac:dyDescent="0.25">
      <c r="A4607">
        <f ca="1">32592.9118119277*((RANDBETWEEN(2979,3282)))</f>
        <v>97648363.788535506</v>
      </c>
      <c r="B4607">
        <v>188967829.28546327</v>
      </c>
    </row>
    <row r="4608" spans="1:2" x14ac:dyDescent="0.25">
      <c r="A4608">
        <f ca="1">33696.2970767394*((RANDBETWEEN(2979,3282)))</f>
        <v>101358461.60683204</v>
      </c>
      <c r="B4608">
        <v>187518680.76429048</v>
      </c>
    </row>
    <row r="4609" spans="1:2" x14ac:dyDescent="0.25">
      <c r="A4609">
        <f ca="1">38650.1880232146*((RANDBETWEEN(2979,3282)))</f>
        <v>123487350.73417073</v>
      </c>
      <c r="B4609">
        <v>172882648.87518445</v>
      </c>
    </row>
    <row r="4610" spans="1:2" x14ac:dyDescent="0.25">
      <c r="A4610">
        <f ca="1">33535.4726305988*((RANDBETWEEN(2979,3282)))</f>
        <v>103155113.81172194</v>
      </c>
      <c r="B4610">
        <v>178866488.72760621</v>
      </c>
    </row>
    <row r="4611" spans="1:2" x14ac:dyDescent="0.25">
      <c r="A4611">
        <f ca="1">32050.1536203883*((RANDBETWEEN(2979,3282)))</f>
        <v>99932378.988370672</v>
      </c>
      <c r="B4611">
        <v>172692673.58904442</v>
      </c>
    </row>
    <row r="4612" spans="1:2" x14ac:dyDescent="0.25">
      <c r="A4612">
        <f ca="1">29864.9067378063*((RANDBETWEEN(2979,3282)))</f>
        <v>90610127.0425044</v>
      </c>
      <c r="B4612">
        <v>143251769.3211301</v>
      </c>
    </row>
    <row r="4613" spans="1:2" x14ac:dyDescent="0.25">
      <c r="A4613">
        <f ca="1">31572.116366867*((RANDBETWEEN(2979,3282)))</f>
        <v>101851647.39951287</v>
      </c>
      <c r="B4613">
        <v>200025995.8122406</v>
      </c>
    </row>
    <row r="4614" spans="1:2" x14ac:dyDescent="0.25">
      <c r="A4614">
        <f ca="1">32392.8316161064*((RANDBETWEEN(2979,3282)))</f>
        <v>100612134.99962637</v>
      </c>
      <c r="B4614">
        <v>182560055.28814346</v>
      </c>
    </row>
    <row r="4615" spans="1:2" x14ac:dyDescent="0.25">
      <c r="A4615">
        <f ca="1">32889.1991837837*((RANDBETWEEN(2979,3282)))</f>
        <v>100805395.49829696</v>
      </c>
      <c r="B4615">
        <v>186562511.35206646</v>
      </c>
    </row>
    <row r="4616" spans="1:2" x14ac:dyDescent="0.25">
      <c r="A4616">
        <f ca="1">30876.9103884495*((RANDBETWEEN(2979,3282)))</f>
        <v>95255268.548366562</v>
      </c>
      <c r="B4616">
        <v>169956258.05223823</v>
      </c>
    </row>
    <row r="4617" spans="1:2" x14ac:dyDescent="0.25">
      <c r="A4617">
        <f ca="1">29983.9291612805*((RANDBETWEEN(2979,3282)))</f>
        <v>93669794.699840412</v>
      </c>
      <c r="B4617">
        <v>201393696.85393026</v>
      </c>
    </row>
    <row r="4618" spans="1:2" x14ac:dyDescent="0.25">
      <c r="A4618">
        <f ca="1">38537.266290738*((RANDBETWEEN(2979,3282)))</f>
        <v>116690842.32835478</v>
      </c>
      <c r="B4618">
        <v>171289017.00460726</v>
      </c>
    </row>
    <row r="4619" spans="1:2" x14ac:dyDescent="0.25">
      <c r="A4619">
        <f ca="1">39324.3562415901*((RANDBETWEEN(2979,3282)))</f>
        <v>128747942.33496606</v>
      </c>
      <c r="B4619">
        <v>148996829.33724135</v>
      </c>
    </row>
    <row r="4620" spans="1:2" x14ac:dyDescent="0.25">
      <c r="A4620">
        <f ca="1">39909.068543135*((RANDBETWEEN(2979,3282)))</f>
        <v>130462745.06750841</v>
      </c>
      <c r="B4620">
        <v>177715310.335078</v>
      </c>
    </row>
    <row r="4621" spans="1:2" x14ac:dyDescent="0.25">
      <c r="A4621">
        <f ca="1">35392.0613880523*((RANDBETWEEN(2979,3282)))</f>
        <v>105857655.61166443</v>
      </c>
      <c r="B4621">
        <v>175923888.0445849</v>
      </c>
    </row>
    <row r="4622" spans="1:2" x14ac:dyDescent="0.25">
      <c r="A4622">
        <f ca="1">28797.5050787933*((RANDBETWEEN(2979,3282)))</f>
        <v>89128278.218865231</v>
      </c>
      <c r="B4622">
        <v>151103685.05077744</v>
      </c>
    </row>
    <row r="4623" spans="1:2" x14ac:dyDescent="0.25">
      <c r="A4623">
        <f ca="1">32300.2495442623*((RANDBETWEEN(2979,3282)))</f>
        <v>101325882.82035075</v>
      </c>
      <c r="B4623">
        <v>150127588.36640498</v>
      </c>
    </row>
    <row r="4624" spans="1:2" x14ac:dyDescent="0.25">
      <c r="A4624">
        <f ca="1">41772.4179494815*((RANDBETWEEN(2979,3282)))</f>
        <v>130497033.67418036</v>
      </c>
      <c r="B4624">
        <v>150041859.89150357</v>
      </c>
    </row>
    <row r="4625" spans="1:2" x14ac:dyDescent="0.25">
      <c r="A4625">
        <f ca="1">30543.6009180883*((RANDBETWEEN(2979,3282)))</f>
        <v>97189738.121356979</v>
      </c>
      <c r="B4625">
        <v>166445928.06366903</v>
      </c>
    </row>
    <row r="4626" spans="1:2" x14ac:dyDescent="0.25">
      <c r="A4626">
        <f ca="1">39694.7929080825*((RANDBETWEEN(2979,3282)))</f>
        <v>122775994.46469925</v>
      </c>
      <c r="B4626">
        <v>186294223.71335584</v>
      </c>
    </row>
    <row r="4627" spans="1:2" x14ac:dyDescent="0.25">
      <c r="A4627">
        <f ca="1">30347.1310251572*((RANDBETWEEN(2979,3282)))</f>
        <v>91587641.433924556</v>
      </c>
      <c r="B4627">
        <v>174674569.61644986</v>
      </c>
    </row>
    <row r="4628" spans="1:2" x14ac:dyDescent="0.25">
      <c r="A4628">
        <f ca="1">28686.3234018643*((RANDBETWEEN(2979,3282)))</f>
        <v>90447977.686078161</v>
      </c>
      <c r="B4628">
        <v>144928089.25881326</v>
      </c>
    </row>
    <row r="4629" spans="1:2" x14ac:dyDescent="0.25">
      <c r="A4629">
        <f ca="1">32921.6767350897*((RANDBETWEEN(2979,3282)))</f>
        <v>101859667.81836748</v>
      </c>
      <c r="B4629">
        <v>200028801.58323967</v>
      </c>
    </row>
    <row r="4630" spans="1:2" x14ac:dyDescent="0.25">
      <c r="A4630">
        <f ca="1">30248.597244854*((RANDBETWEEN(2979,3282)))</f>
        <v>93861397.250781924</v>
      </c>
      <c r="B4630">
        <v>164341542.72757784</v>
      </c>
    </row>
    <row r="4631" spans="1:2" x14ac:dyDescent="0.25">
      <c r="A4631">
        <f ca="1">35498.2130592825*((RANDBETWEEN(2979,3282)))</f>
        <v>114801221.03371976</v>
      </c>
      <c r="B4631">
        <v>175375291.5463866</v>
      </c>
    </row>
    <row r="4632" spans="1:2" x14ac:dyDescent="0.25">
      <c r="A4632">
        <f ca="1">38103.8461328401*((RANDBETWEEN(2979,3282)))</f>
        <v>116978807.62781921</v>
      </c>
      <c r="B4632">
        <v>158632895.05298585</v>
      </c>
    </row>
    <row r="4633" spans="1:2" x14ac:dyDescent="0.25">
      <c r="A4633">
        <f ca="1">28663.4228923314*((RANDBETWEEN(2979,3282)))</f>
        <v>88856610.966227353</v>
      </c>
      <c r="B4633">
        <v>170439035.41560778</v>
      </c>
    </row>
    <row r="4634" spans="1:2" x14ac:dyDescent="0.25">
      <c r="A4634">
        <f ca="1">30648.5450011176*((RANDBETWEEN(2979,3282)))</f>
        <v>96389674.028514847</v>
      </c>
      <c r="B4634">
        <v>145384697.36253738</v>
      </c>
    </row>
    <row r="4635" spans="1:2" x14ac:dyDescent="0.25">
      <c r="A4635">
        <f ca="1">29479.3625412752*((RANDBETWEEN(2979,3282)))</f>
        <v>95807928.259144381</v>
      </c>
      <c r="B4635">
        <v>145913367.00178146</v>
      </c>
    </row>
    <row r="4636" spans="1:2" x14ac:dyDescent="0.25">
      <c r="A4636">
        <f ca="1">29510.9314688056*((RANDBETWEEN(2979,3282)))</f>
        <v>90716603.335108444</v>
      </c>
      <c r="B4636">
        <v>166747190.90606481</v>
      </c>
    </row>
    <row r="4637" spans="1:2" x14ac:dyDescent="0.25">
      <c r="A4637">
        <f ca="1">32910.0961994636*((RANDBETWEEN(2979,3282)))</f>
        <v>100309973.21596515</v>
      </c>
      <c r="B4637">
        <v>165019857.19307828</v>
      </c>
    </row>
    <row r="4638" spans="1:2" x14ac:dyDescent="0.25">
      <c r="A4638">
        <f ca="1">40067.7921017476*((RANDBETWEEN(2979,3282)))</f>
        <v>119682495.00791994</v>
      </c>
      <c r="B4638">
        <v>156167090.04808271</v>
      </c>
    </row>
    <row r="4639" spans="1:2" x14ac:dyDescent="0.25">
      <c r="A4639">
        <f ca="1">33539.0310884054*((RANDBETWEEN(2979,3282)))</f>
        <v>109940943.90779306</v>
      </c>
      <c r="B4639">
        <v>143651600.99598989</v>
      </c>
    </row>
    <row r="4640" spans="1:2" x14ac:dyDescent="0.25">
      <c r="A4640">
        <f ca="1">36485.4464472361*((RANDBETWEEN(2979,3282)))</f>
        <v>111025213.5389394</v>
      </c>
      <c r="B4640">
        <v>145805883.33900559</v>
      </c>
    </row>
    <row r="4641" spans="1:2" x14ac:dyDescent="0.25">
      <c r="A4641">
        <f ca="1">37963.2301476253*((RANDBETWEEN(2979,3282)))</f>
        <v>119811954.34590557</v>
      </c>
      <c r="B4641">
        <v>159853120.98997933</v>
      </c>
    </row>
    <row r="4642" spans="1:2" x14ac:dyDescent="0.25">
      <c r="A4642">
        <f ca="1">30840.6729631455*((RANDBETWEEN(2979,3282)))</f>
        <v>96037855.607235044</v>
      </c>
      <c r="B4642">
        <v>184381799.63696319</v>
      </c>
    </row>
    <row r="4643" spans="1:2" x14ac:dyDescent="0.25">
      <c r="A4643">
        <f ca="1">31467.4057973864*((RANDBETWEEN(2979,3282)))</f>
        <v>102772547.33426407</v>
      </c>
      <c r="B4643">
        <v>176637903.42868954</v>
      </c>
    </row>
    <row r="4644" spans="1:2" x14ac:dyDescent="0.25">
      <c r="A4644">
        <f ca="1">37028.9778549418*((RANDBETWEEN(2979,3282)))</f>
        <v>110716643.78627586</v>
      </c>
      <c r="B4644">
        <v>197585364.09338024</v>
      </c>
    </row>
    <row r="4645" spans="1:2" x14ac:dyDescent="0.25">
      <c r="A4645">
        <f ca="1">32563.2258332971*((RANDBETWEEN(2979,3282)))</f>
        <v>101401885.24488719</v>
      </c>
      <c r="B4645">
        <v>160311971.07231194</v>
      </c>
    </row>
    <row r="4646" spans="1:2" x14ac:dyDescent="0.25">
      <c r="A4646">
        <f ca="1">31818.0792634278*((RANDBETWEEN(2979,3282)))</f>
        <v>96058781.29628861</v>
      </c>
      <c r="B4646">
        <v>177716059.06837463</v>
      </c>
    </row>
    <row r="4647" spans="1:2" x14ac:dyDescent="0.25">
      <c r="A4647">
        <f ca="1">30542.8997444353*((RANDBETWEEN(2979,3282)))</f>
        <v>98775737.77350378</v>
      </c>
      <c r="B4647">
        <v>153229051.85672742</v>
      </c>
    </row>
    <row r="4648" spans="1:2" x14ac:dyDescent="0.25">
      <c r="A4648">
        <f ca="1">30676.3645296238*((RANDBETWEEN(2979,3282)))</f>
        <v>94268468.199533939</v>
      </c>
      <c r="B4648">
        <v>147116065.82984444</v>
      </c>
    </row>
    <row r="4649" spans="1:2" x14ac:dyDescent="0.25">
      <c r="A4649">
        <f ca="1">36514.0443740557*((RANDBETWEEN(2979,3282)))</f>
        <v>111112237.03025134</v>
      </c>
      <c r="B4649">
        <v>188260177.40387642</v>
      </c>
    </row>
    <row r="4650" spans="1:2" x14ac:dyDescent="0.25">
      <c r="A4650">
        <f ca="1">29080.8790717635*((RANDBETWEEN(2979,3282)))</f>
        <v>90848666.220189244</v>
      </c>
      <c r="B4650">
        <v>147208013.74555677</v>
      </c>
    </row>
    <row r="4651" spans="1:2" x14ac:dyDescent="0.25">
      <c r="A4651">
        <f ca="1">30086.5676459234*((RANDBETWEEN(2979,3282)))</f>
        <v>91132213.399502054</v>
      </c>
      <c r="B4651">
        <v>189125216.4096083</v>
      </c>
    </row>
    <row r="4652" spans="1:2" x14ac:dyDescent="0.25">
      <c r="A4652">
        <f ca="1">29534.01396857*((RANDBETWEEN(2979,3282)))</f>
        <v>90167344.646044239</v>
      </c>
      <c r="B4652">
        <v>168874438.67088634</v>
      </c>
    </row>
    <row r="4653" spans="1:2" x14ac:dyDescent="0.25">
      <c r="A4653">
        <f ca="1">28188.7992353614*((RANDBETWEEN(2979,3282)))</f>
        <v>86511424.853324011</v>
      </c>
      <c r="B4653">
        <v>170749035.37655842</v>
      </c>
    </row>
    <row r="4654" spans="1:2" x14ac:dyDescent="0.25">
      <c r="A4654">
        <f ca="1">33517.7925635551*((RANDBETWEEN(2979,3282)))</f>
        <v>108295987.77284662</v>
      </c>
      <c r="B4654">
        <v>166362596.51010895</v>
      </c>
    </row>
    <row r="4655" spans="1:2" x14ac:dyDescent="0.25">
      <c r="A4655">
        <f ca="1">35681.8064084313*((RANDBETWEEN(2979,3282)))</f>
        <v>108865191.35212383</v>
      </c>
      <c r="B4655">
        <v>196081013.84621581</v>
      </c>
    </row>
    <row r="4656" spans="1:2" x14ac:dyDescent="0.25">
      <c r="A4656">
        <f ca="1">37759.2808083201*((RANDBETWEEN(2979,3282)))</f>
        <v>116978251.94417572</v>
      </c>
      <c r="B4656">
        <v>157084995.67268562</v>
      </c>
    </row>
    <row r="4657" spans="1:2" x14ac:dyDescent="0.25">
      <c r="A4657">
        <f ca="1">32069.7224452084*((RANDBETWEEN(2979,3282)))</f>
        <v>96273306.780515745</v>
      </c>
      <c r="B4657">
        <v>159357277.68776935</v>
      </c>
    </row>
    <row r="4658" spans="1:2" x14ac:dyDescent="0.25">
      <c r="A4658">
        <f ca="1">37979.331290555*((RANDBETWEEN(2979,3282)))</f>
        <v>117849864.99459225</v>
      </c>
      <c r="B4658">
        <v>163624700.90296882</v>
      </c>
    </row>
    <row r="4659" spans="1:2" x14ac:dyDescent="0.25">
      <c r="A4659">
        <f ca="1">32092.1099510406*((RANDBETWEEN(2979,3282)))</f>
        <v>103593330.92195897</v>
      </c>
      <c r="B4659">
        <v>186437623.33688015</v>
      </c>
    </row>
    <row r="4660" spans="1:2" x14ac:dyDescent="0.25">
      <c r="A4660">
        <f ca="1">32603.0822877627*((RANDBETWEEN(2979,3282)))</f>
        <v>106220842.09353098</v>
      </c>
      <c r="B4660">
        <v>159922896.77707511</v>
      </c>
    </row>
    <row r="4661" spans="1:2" x14ac:dyDescent="0.25">
      <c r="A4661">
        <f ca="1">32157.723336472*((RANDBETWEEN(2979,3282)))</f>
        <v>97920267.559557229</v>
      </c>
      <c r="B4661">
        <v>179451795.6472986</v>
      </c>
    </row>
    <row r="4662" spans="1:2" x14ac:dyDescent="0.25">
      <c r="A4662">
        <f ca="1">38331.8483432919*((RANDBETWEEN(2979,3282)))</f>
        <v>125191816.6891914</v>
      </c>
      <c r="B4662">
        <v>171537204.79051411</v>
      </c>
    </row>
    <row r="4663" spans="1:2" x14ac:dyDescent="0.25">
      <c r="A4663">
        <f ca="1">31793.3676303082*((RANDBETWEEN(2979,3282)))</f>
        <v>98432266.183434144</v>
      </c>
      <c r="B4663">
        <v>148289206.60671836</v>
      </c>
    </row>
    <row r="4664" spans="1:2" x14ac:dyDescent="0.25">
      <c r="A4664">
        <f ca="1">31902.7540849188*((RANDBETWEEN(2979,3282)))</f>
        <v>99089954.187757924</v>
      </c>
      <c r="B4664">
        <v>161549591.45576376</v>
      </c>
    </row>
    <row r="4665" spans="1:2" x14ac:dyDescent="0.25">
      <c r="A4665">
        <f ca="1">32022.295402105*((RANDBETWEEN(2979,3282)))</f>
        <v>96323064.569531813</v>
      </c>
      <c r="B4665">
        <v>166123627.50148058</v>
      </c>
    </row>
    <row r="4666" spans="1:2" x14ac:dyDescent="0.25">
      <c r="A4666">
        <f ca="1">41319.0423033247*((RANDBETWEEN(2979,3282)))</f>
        <v>130072345.1708663</v>
      </c>
      <c r="B4666">
        <v>182635775.51264882</v>
      </c>
    </row>
    <row r="4667" spans="1:2" x14ac:dyDescent="0.25">
      <c r="A4667">
        <f ca="1">39786.5932527564*((RANDBETWEEN(2979,3282)))</f>
        <v>121349109.42090693</v>
      </c>
      <c r="B4667">
        <v>149362021.85971138</v>
      </c>
    </row>
    <row r="4668" spans="1:2" x14ac:dyDescent="0.25">
      <c r="A4668">
        <f ca="1">32033.157609647*((RANDBETWEEN(2979,3282)))</f>
        <v>100327849.63341433</v>
      </c>
      <c r="B4668">
        <v>178617650.63646799</v>
      </c>
    </row>
    <row r="4669" spans="1:2" x14ac:dyDescent="0.25">
      <c r="A4669">
        <f ca="1">34542.0901430221*((RANDBETWEEN(2979,3282)))</f>
        <v>110327435.9168127</v>
      </c>
      <c r="B4669">
        <v>188350905.93755916</v>
      </c>
    </row>
    <row r="4670" spans="1:2" x14ac:dyDescent="0.25">
      <c r="A4670">
        <f ca="1">29989.9036508551*((RANDBETWEEN(2979,3282)))</f>
        <v>93808418.61987485</v>
      </c>
      <c r="B4670">
        <v>159305440.37665752</v>
      </c>
    </row>
    <row r="4671" spans="1:2" x14ac:dyDescent="0.25">
      <c r="A4671">
        <f ca="1">30816.5287000571*((RANDBETWEEN(2979,3282)))</f>
        <v>93158366.260272548</v>
      </c>
      <c r="B4671">
        <v>149020970.52709892</v>
      </c>
    </row>
    <row r="4672" spans="1:2" x14ac:dyDescent="0.25">
      <c r="A4672">
        <f ca="1">30191.1594990655*((RANDBETWEEN(2979,3282)))</f>
        <v>97789165.617473125</v>
      </c>
      <c r="B4672">
        <v>143936216.68941772</v>
      </c>
    </row>
    <row r="4673" spans="1:2" x14ac:dyDescent="0.25">
      <c r="A4673">
        <f ca="1">37088.5888727245*((RANDBETWEEN(2979,3282)))</f>
        <v>112526778.63984616</v>
      </c>
      <c r="B4673">
        <v>154495172.00371307</v>
      </c>
    </row>
    <row r="4674" spans="1:2" x14ac:dyDescent="0.25">
      <c r="A4674">
        <f ca="1">31161.7052183726*((RANDBETWEEN(2979,3282)))</f>
        <v>101711805.83276829</v>
      </c>
      <c r="B4674">
        <v>181169975.3939884</v>
      </c>
    </row>
    <row r="4675" spans="1:2" x14ac:dyDescent="0.25">
      <c r="A4675">
        <f ca="1">28585.6903963072*((RANDBETWEEN(2979,3282)))</f>
        <v>85814242.569714248</v>
      </c>
      <c r="B4675">
        <v>146825848.88500422</v>
      </c>
    </row>
    <row r="4676" spans="1:2" x14ac:dyDescent="0.25">
      <c r="A4676">
        <f ca="1">31041.2105961454*((RANDBETWEEN(2979,3282)))</f>
        <v>94458403.844070315</v>
      </c>
      <c r="B4676">
        <v>192724549.0450812</v>
      </c>
    </row>
    <row r="4677" spans="1:2" x14ac:dyDescent="0.25">
      <c r="A4677">
        <f ca="1">31801.1771325423*((RANDBETWEEN(2979,3282)))</f>
        <v>100332713.85317101</v>
      </c>
      <c r="B4677">
        <v>162853296.27488434</v>
      </c>
    </row>
    <row r="4678" spans="1:2" x14ac:dyDescent="0.25">
      <c r="A4678">
        <f ca="1">30081.8341332129*((RANDBETWEEN(2979,3282)))</f>
        <v>90967466.4188357</v>
      </c>
      <c r="B4678">
        <v>149545551.83198473</v>
      </c>
    </row>
    <row r="4679" spans="1:2" x14ac:dyDescent="0.25">
      <c r="A4679">
        <f ca="1">31945.661847765*((RANDBETWEEN(2979,3282)))</f>
        <v>101651095.99958813</v>
      </c>
      <c r="B4679">
        <v>177583604.47274914</v>
      </c>
    </row>
    <row r="4680" spans="1:2" x14ac:dyDescent="0.25">
      <c r="A4680">
        <f ca="1">32355.4479210927*((RANDBETWEEN(2979,3282)))</f>
        <v>104249253.2017608</v>
      </c>
      <c r="B4680">
        <v>153714745.01310587</v>
      </c>
    </row>
    <row r="4681" spans="1:2" x14ac:dyDescent="0.25">
      <c r="A4681">
        <f ca="1">36001.7087349371*((RANDBETWEEN(2979,3282)))</f>
        <v>116645536.30119634</v>
      </c>
      <c r="B4681">
        <v>176932508.44192851</v>
      </c>
    </row>
    <row r="4682" spans="1:2" x14ac:dyDescent="0.25">
      <c r="A4682">
        <f ca="1">34123.3866070593*((RANDBETWEEN(2979,3282)))</f>
        <v>102882010.62028368</v>
      </c>
      <c r="B4682">
        <v>167857973.46281794</v>
      </c>
    </row>
    <row r="4683" spans="1:2" x14ac:dyDescent="0.25">
      <c r="A4683">
        <f ca="1">32299.5268660955*((RANDBETWEEN(2979,3282)))</f>
        <v>101517412.94013816</v>
      </c>
      <c r="B4683">
        <v>185745412.75007236</v>
      </c>
    </row>
    <row r="4684" spans="1:2" x14ac:dyDescent="0.25">
      <c r="A4684">
        <f ca="1">30245.0516938047*((RANDBETWEEN(2979,3282)))</f>
        <v>95181177.680403695</v>
      </c>
      <c r="B4684">
        <v>149682734.9811821</v>
      </c>
    </row>
    <row r="4685" spans="1:2" x14ac:dyDescent="0.25">
      <c r="A4685">
        <f ca="1">31621.7332201944*((RANDBETWEEN(2979,3282)))</f>
        <v>94201143.262959212</v>
      </c>
      <c r="B4685">
        <v>149712984.27842814</v>
      </c>
    </row>
    <row r="4686" spans="1:2" x14ac:dyDescent="0.25">
      <c r="A4686">
        <f ca="1">30827.8217711301*((RANDBETWEEN(2979,3282)))</f>
        <v>94888035.411538303</v>
      </c>
      <c r="B4686">
        <v>191518242.76620862</v>
      </c>
    </row>
    <row r="4687" spans="1:2" x14ac:dyDescent="0.25">
      <c r="A4687">
        <f ca="1">30966.5158898907*((RANDBETWEEN(2979,3282)))</f>
        <v>95191069.845523894</v>
      </c>
      <c r="B4687">
        <v>158616511.79432365</v>
      </c>
    </row>
    <row r="4688" spans="1:2" x14ac:dyDescent="0.25">
      <c r="A4688">
        <f ca="1">33420.8875249626*((RANDBETWEEN(2979,3282)))</f>
        <v>108818409.78127815</v>
      </c>
      <c r="B4688">
        <v>144981527.64963603</v>
      </c>
    </row>
    <row r="4689" spans="1:2" x14ac:dyDescent="0.25">
      <c r="A4689">
        <f ca="1">31038.9611586521*((RANDBETWEEN(2979,3282)))</f>
        <v>99914415.969701156</v>
      </c>
      <c r="B4689">
        <v>161006096.058853</v>
      </c>
    </row>
    <row r="4690" spans="1:2" x14ac:dyDescent="0.25">
      <c r="A4690">
        <f ca="1">36558.5183083887*((RANDBETWEEN(2979,3282)))</f>
        <v>113038938.6095378</v>
      </c>
      <c r="B4690">
        <v>158801349.92212063</v>
      </c>
    </row>
    <row r="4691" spans="1:2" x14ac:dyDescent="0.25">
      <c r="A4691">
        <f ca="1">33073.3068764469*((RANDBETWEEN(2979,3282)))</f>
        <v>99021480.788081884</v>
      </c>
      <c r="B4691">
        <v>166046849.6002177</v>
      </c>
    </row>
    <row r="4692" spans="1:2" x14ac:dyDescent="0.25">
      <c r="A4692">
        <f ca="1">32068.8564239568*((RANDBETWEEN(2979,3282)))</f>
        <v>101305517.4432794</v>
      </c>
      <c r="B4692">
        <v>148444299.85297632</v>
      </c>
    </row>
    <row r="4693" spans="1:2" x14ac:dyDescent="0.25">
      <c r="A4693">
        <f ca="1">31336.6218762045*((RANDBETWEEN(2979,3282)))</f>
        <v>100496546.35698789</v>
      </c>
      <c r="B4693">
        <v>173337739.64803621</v>
      </c>
    </row>
    <row r="4694" spans="1:2" x14ac:dyDescent="0.25">
      <c r="A4694">
        <f ca="1">36969.0541601715*((RANDBETWEEN(2979,3282)))</f>
        <v>111794419.78035861</v>
      </c>
      <c r="B4694">
        <v>146162864.08857709</v>
      </c>
    </row>
    <row r="4695" spans="1:2" x14ac:dyDescent="0.25">
      <c r="A4695">
        <f ca="1">33392.744664013*((RANDBETWEEN(2979,3282)))</f>
        <v>109160882.30665845</v>
      </c>
      <c r="B4695">
        <v>147347299.41565299</v>
      </c>
    </row>
    <row r="4696" spans="1:2" x14ac:dyDescent="0.25">
      <c r="A4696">
        <f ca="1">41570.2143424979*((RANDBETWEEN(2979,3282)))</f>
        <v>132234851.82348573</v>
      </c>
      <c r="B4696">
        <v>154477616.80132756</v>
      </c>
    </row>
    <row r="4697" spans="1:2" x14ac:dyDescent="0.25">
      <c r="A4697">
        <f ca="1">30365.0420031695*((RANDBETWEEN(2979,3282)))</f>
        <v>97896895.418218523</v>
      </c>
      <c r="B4697">
        <v>178023904.62481162</v>
      </c>
    </row>
    <row r="4698" spans="1:2" x14ac:dyDescent="0.25">
      <c r="A4698">
        <f ca="1">32113.7128697316*((RANDBETWEEN(2979,3282)))</f>
        <v>98910235.638773233</v>
      </c>
      <c r="B4698">
        <v>191687693.94970405</v>
      </c>
    </row>
    <row r="4699" spans="1:2" x14ac:dyDescent="0.25">
      <c r="A4699">
        <f ca="1">32459.3266435895*((RANDBETWEEN(2979,3282)))</f>
        <v>104161979.19927858</v>
      </c>
      <c r="B4699">
        <v>160632213.63568491</v>
      </c>
    </row>
    <row r="4700" spans="1:2" x14ac:dyDescent="0.25">
      <c r="A4700">
        <f ca="1">29969.4186121286*((RANDBETWEEN(2979,3282)))</f>
        <v>90088072.348058626</v>
      </c>
      <c r="B4700">
        <v>165955671.16780627</v>
      </c>
    </row>
    <row r="4701" spans="1:2" x14ac:dyDescent="0.25">
      <c r="A4701">
        <f ca="1">37616.6516007076*((RANDBETWEEN(2979,3282)))</f>
        <v>115483120.41417223</v>
      </c>
      <c r="B4701">
        <v>147947595.49077559</v>
      </c>
    </row>
    <row r="4702" spans="1:2" x14ac:dyDescent="0.25">
      <c r="A4702">
        <f ca="1">29439.6261815858*((RANDBETWEEN(2979,3282)))</f>
        <v>91351160.041460752</v>
      </c>
      <c r="B4702">
        <v>152364096.84541273</v>
      </c>
    </row>
    <row r="4703" spans="1:2" x14ac:dyDescent="0.25">
      <c r="A4703">
        <f ca="1">27815.0755212789*((RANDBETWEEN(2979,3282)))</f>
        <v>86477069.795656055</v>
      </c>
      <c r="B4703">
        <v>154984137.04493886</v>
      </c>
    </row>
    <row r="4704" spans="1:2" x14ac:dyDescent="0.25">
      <c r="A4704">
        <f ca="1">31633.638967197*((RANDBETWEEN(2979,3282)))</f>
        <v>99234725.440097094</v>
      </c>
      <c r="B4704">
        <v>148581332.41940466</v>
      </c>
    </row>
    <row r="4705" spans="1:2" x14ac:dyDescent="0.25">
      <c r="A4705">
        <f ca="1">31235.9092931745*((RANDBETWEEN(2979,3282)))</f>
        <v>99455135.189467579</v>
      </c>
      <c r="B4705">
        <v>171763178.47140634</v>
      </c>
    </row>
    <row r="4706" spans="1:2" x14ac:dyDescent="0.25">
      <c r="A4706">
        <f ca="1">31066.7831536067*((RANDBETWEEN(2979,3282)))</f>
        <v>98171034.765397221</v>
      </c>
      <c r="B4706">
        <v>174792106.30526286</v>
      </c>
    </row>
    <row r="4707" spans="1:2" x14ac:dyDescent="0.25">
      <c r="A4707">
        <f ca="1">30344.2314299072*((RANDBETWEEN(2979,3282)))</f>
        <v>98254621.370039627</v>
      </c>
      <c r="B4707">
        <v>154700696.53438011</v>
      </c>
    </row>
    <row r="4708" spans="1:2" x14ac:dyDescent="0.25">
      <c r="A4708">
        <f ca="1">39167.6057057762*((RANDBETWEEN(2979,3282)))</f>
        <v>123652131.21313547</v>
      </c>
      <c r="B4708">
        <v>179164653.35616374</v>
      </c>
    </row>
    <row r="4709" spans="1:2" x14ac:dyDescent="0.25">
      <c r="A4709">
        <f ca="1">32504.4929533712*((RANDBETWEEN(2979,3282)))</f>
        <v>100861441.63431095</v>
      </c>
      <c r="B4709">
        <v>178931911.43446794</v>
      </c>
    </row>
    <row r="4710" spans="1:2" x14ac:dyDescent="0.25">
      <c r="A4710">
        <f ca="1">33124.4441723726*((RANDBETWEEN(2979,3282)))</f>
        <v>107389448.00683212</v>
      </c>
      <c r="B4710">
        <v>200720965.02525306</v>
      </c>
    </row>
    <row r="4711" spans="1:2" x14ac:dyDescent="0.25">
      <c r="A4711">
        <f ca="1">31649.018584956*((RANDBETWEEN(2979,3282)))</f>
        <v>95833228.275246859</v>
      </c>
      <c r="B4711">
        <v>185368150.60772341</v>
      </c>
    </row>
    <row r="4712" spans="1:2" x14ac:dyDescent="0.25">
      <c r="A4712">
        <f ca="1">32447.4932565259*((RANDBETWEEN(2979,3282)))</f>
        <v>98380799.55378665</v>
      </c>
      <c r="B4712">
        <v>153627431.09919274</v>
      </c>
    </row>
    <row r="4713" spans="1:2" x14ac:dyDescent="0.25">
      <c r="A4713">
        <f ca="1">36883.4159473021*((RANDBETWEEN(2979,3282)))</f>
        <v>119096550.0938386</v>
      </c>
      <c r="B4713">
        <v>160968369.18190891</v>
      </c>
    </row>
    <row r="4714" spans="1:2" x14ac:dyDescent="0.25">
      <c r="A4714">
        <f ca="1">38350.0221550263*((RANDBETWEEN(2979,3282)))</f>
        <v>116852517.506365</v>
      </c>
      <c r="B4714">
        <v>199212282.22880954</v>
      </c>
    </row>
    <row r="4715" spans="1:2" x14ac:dyDescent="0.25">
      <c r="A4715">
        <f ca="1">40348.4428654065*((RANDBETWEEN(2979,3282)))</f>
        <v>125564354.19714493</v>
      </c>
      <c r="B4715">
        <v>163652307.60068998</v>
      </c>
    </row>
    <row r="4716" spans="1:2" x14ac:dyDescent="0.25">
      <c r="A4716">
        <f ca="1">37016.7096699252*((RANDBETWEEN(2979,3282)))</f>
        <v>118564521.0727703</v>
      </c>
      <c r="B4716">
        <v>183312477.72555977</v>
      </c>
    </row>
    <row r="4717" spans="1:2" x14ac:dyDescent="0.25">
      <c r="A4717">
        <f ca="1">28473.855193087*((RANDBETWEEN(2979,3282)))</f>
        <v>88553689.650500685</v>
      </c>
      <c r="B4717">
        <v>153049131.84767216</v>
      </c>
    </row>
    <row r="4718" spans="1:2" x14ac:dyDescent="0.25">
      <c r="A4718">
        <f ca="1">38704.6394644982*((RANDBETWEEN(2979,3282)))</f>
        <v>125828782.89908372</v>
      </c>
      <c r="B4718">
        <v>160225006.02114585</v>
      </c>
    </row>
    <row r="4719" spans="1:2" x14ac:dyDescent="0.25">
      <c r="A4719">
        <f ca="1">33937.9260141237*((RANDBETWEEN(2979,3282)))</f>
        <v>105852391.23805174</v>
      </c>
      <c r="B4719">
        <v>165942930.67192918</v>
      </c>
    </row>
    <row r="4720" spans="1:2" x14ac:dyDescent="0.25">
      <c r="A4720">
        <f ca="1">26917.2447125668*((RANDBETWEEN(2979,3282)))</f>
        <v>82770527.491142884</v>
      </c>
      <c r="B4720">
        <v>144587099.0566687</v>
      </c>
    </row>
    <row r="4721" spans="1:2" x14ac:dyDescent="0.25">
      <c r="A4721">
        <f ca="1">30902.3127144*((RANDBETWEEN(2979,3282)))</f>
        <v>94746490.782350391</v>
      </c>
      <c r="B4721">
        <v>166732202.37098968</v>
      </c>
    </row>
    <row r="4722" spans="1:2" x14ac:dyDescent="0.25">
      <c r="A4722">
        <f ca="1">33024.461422311*((RANDBETWEEN(2979,3282)))</f>
        <v>101616267.79645096</v>
      </c>
      <c r="B4722">
        <v>185500367.62960413</v>
      </c>
    </row>
    <row r="4723" spans="1:2" x14ac:dyDescent="0.25">
      <c r="A4723">
        <f ca="1">31013.4858579971*((RANDBETWEEN(2979,3282)))</f>
        <v>100638761.60920073</v>
      </c>
      <c r="B4723">
        <v>158124152.09960961</v>
      </c>
    </row>
    <row r="4724" spans="1:2" x14ac:dyDescent="0.25">
      <c r="A4724">
        <f ca="1">32485.7421661711*((RANDBETWEEN(2979,3282)))</f>
        <v>103921889.18958133</v>
      </c>
      <c r="B4724">
        <v>167129918.41579399</v>
      </c>
    </row>
    <row r="4725" spans="1:2" x14ac:dyDescent="0.25">
      <c r="A4725">
        <f ca="1">31141.4182359023*((RANDBETWEEN(2979,3282)))</f>
        <v>100804770.82961567</v>
      </c>
      <c r="B4725">
        <v>160563899.02307451</v>
      </c>
    </row>
    <row r="4726" spans="1:2" x14ac:dyDescent="0.25">
      <c r="A4726">
        <f ca="1">30225.7579061726*((RANDBETWEEN(2979,3282)))</f>
        <v>98838228.353184536</v>
      </c>
      <c r="B4726">
        <v>177623285.7264941</v>
      </c>
    </row>
    <row r="4727" spans="1:2" x14ac:dyDescent="0.25">
      <c r="A4727">
        <f ca="1">30782.3595748902*((RANDBETWEEN(2979,3282)))</f>
        <v>98041815.246025249</v>
      </c>
      <c r="B4727">
        <v>162301799.32229224</v>
      </c>
    </row>
    <row r="4728" spans="1:2" x14ac:dyDescent="0.25">
      <c r="A4728">
        <f ca="1">35875.156534149*((RANDBETWEEN(2979,3282)))</f>
        <v>109634478.36835936</v>
      </c>
      <c r="B4728">
        <v>163669915.36650267</v>
      </c>
    </row>
    <row r="4729" spans="1:2" x14ac:dyDescent="0.25">
      <c r="A4729">
        <f ca="1">26229.3569108812*((RANDBETWEEN(2979,3282)))</f>
        <v>85796226.455492347</v>
      </c>
      <c r="B4729">
        <v>153643253.66030812</v>
      </c>
    </row>
    <row r="4730" spans="1:2" x14ac:dyDescent="0.25">
      <c r="A4730">
        <f ca="1">30172.1177579628*((RANDBETWEEN(2979,3282)))</f>
        <v>98904202.010602161</v>
      </c>
      <c r="B4730">
        <v>176839527.79782119</v>
      </c>
    </row>
    <row r="4731" spans="1:2" x14ac:dyDescent="0.25">
      <c r="A4731">
        <f ca="1">31534.8620247986*((RANDBETWEEN(2979,3282)))</f>
        <v>101479185.99580197</v>
      </c>
      <c r="B4731">
        <v>191622268.86725545</v>
      </c>
    </row>
    <row r="4732" spans="1:2" x14ac:dyDescent="0.25">
      <c r="A4732">
        <f ca="1">35213.4060463819*((RANDBETWEEN(2979,3282)))</f>
        <v>106450126.47821249</v>
      </c>
      <c r="B4732">
        <v>173482912.1137661</v>
      </c>
    </row>
    <row r="4733" spans="1:2" x14ac:dyDescent="0.25">
      <c r="A4733">
        <f ca="1">31382.8480281581*((RANDBETWEEN(2979,3282)))</f>
        <v>96878851.86292401</v>
      </c>
      <c r="B4733">
        <v>150605112.9847663</v>
      </c>
    </row>
    <row r="4734" spans="1:2" x14ac:dyDescent="0.25">
      <c r="A4734">
        <f ca="1">28231.1895716334*((RANDBETWEEN(2979,3282)))</f>
        <v>86387440.089198232</v>
      </c>
      <c r="B4734">
        <v>158118180.35642314</v>
      </c>
    </row>
    <row r="4735" spans="1:2" x14ac:dyDescent="0.25">
      <c r="A4735">
        <f ca="1">30824.5980294847*((RANDBETWEEN(2979,3282)))</f>
        <v>93552655.019485936</v>
      </c>
      <c r="B4735">
        <v>186255741.59488109</v>
      </c>
    </row>
    <row r="4736" spans="1:2" x14ac:dyDescent="0.25">
      <c r="A4736">
        <f ca="1">41216.3544716587*((RANDBETWEEN(2979,3282)))</f>
        <v>126369342.81010559</v>
      </c>
      <c r="B4736">
        <v>157427295.95324504</v>
      </c>
    </row>
    <row r="4737" spans="1:2" x14ac:dyDescent="0.25">
      <c r="A4737">
        <f ca="1">38406.3068184724*((RANDBETWEEN(2979,3282)))</f>
        <v>119136363.75090146</v>
      </c>
      <c r="B4737">
        <v>155591794.93554375</v>
      </c>
    </row>
    <row r="4738" spans="1:2" x14ac:dyDescent="0.25">
      <c r="A4738">
        <f ca="1">36642.0763851339*((RANDBETWEEN(2979,3282)))</f>
        <v>113040805.6481382</v>
      </c>
      <c r="B4738">
        <v>183035919.34535402</v>
      </c>
    </row>
    <row r="4739" spans="1:2" x14ac:dyDescent="0.25">
      <c r="A4739">
        <f ca="1">32880.2081398519*((RANDBETWEEN(2979,3282)))</f>
        <v>107616921.24173537</v>
      </c>
      <c r="B4739">
        <v>159765513.66231123</v>
      </c>
    </row>
    <row r="4740" spans="1:2" x14ac:dyDescent="0.25">
      <c r="A4740">
        <f ca="1">31046.4627322744*((RANDBETWEEN(2979,3282)))</f>
        <v>92766830.644035786</v>
      </c>
      <c r="B4740">
        <v>182647324.27458304</v>
      </c>
    </row>
    <row r="4741" spans="1:2" x14ac:dyDescent="0.25">
      <c r="A4741">
        <f ca="1">31702.4976212292*((RANDBETWEEN(2979,3282)))</f>
        <v>100496917.45929664</v>
      </c>
      <c r="B4741">
        <v>166684891.92955139</v>
      </c>
    </row>
    <row r="4742" spans="1:2" x14ac:dyDescent="0.25">
      <c r="A4742">
        <f ca="1">33215.2826523011*((RANDBETWEEN(2979,3282)))</f>
        <v>108514328.42506772</v>
      </c>
      <c r="B4742">
        <v>144676695.81277412</v>
      </c>
    </row>
    <row r="4743" spans="1:2" x14ac:dyDescent="0.25">
      <c r="A4743">
        <f ca="1">30025.8067819101*((RANDBETWEEN(2979,3282)))</f>
        <v>96442891.383495286</v>
      </c>
      <c r="B4743">
        <v>153354276.69490576</v>
      </c>
    </row>
    <row r="4744" spans="1:2" x14ac:dyDescent="0.25">
      <c r="A4744">
        <f ca="1">29071.5455596742*((RANDBETWEEN(2979,3282)))</f>
        <v>90121791.234990016</v>
      </c>
      <c r="B4744">
        <v>168111415.49281713</v>
      </c>
    </row>
    <row r="4745" spans="1:2" x14ac:dyDescent="0.25">
      <c r="A4745">
        <f ca="1">31303.5490167854*((RANDBETWEEN(2979,3282)))</f>
        <v>94474110.932658195</v>
      </c>
      <c r="B4745">
        <v>143833230.45647067</v>
      </c>
    </row>
    <row r="4746" spans="1:2" x14ac:dyDescent="0.25">
      <c r="A4746">
        <f ca="1">31181.3366446032*((RANDBETWEEN(2979,3282)))</f>
        <v>101432888.10489416</v>
      </c>
      <c r="B4746">
        <v>165778699.49830329</v>
      </c>
    </row>
    <row r="4747" spans="1:2" x14ac:dyDescent="0.25">
      <c r="A4747">
        <f ca="1">38142.0951115026*((RANDBETWEEN(2979,3282)))</f>
        <v>118621915.79677296</v>
      </c>
      <c r="B4747">
        <v>175165868.57140595</v>
      </c>
    </row>
    <row r="4748" spans="1:2" x14ac:dyDescent="0.25">
      <c r="A4748">
        <f ca="1">33592.885928495*((RANDBETWEEN(2979,3282)))</f>
        <v>103264531.34419365</v>
      </c>
      <c r="B4748">
        <v>178831331.79255867</v>
      </c>
    </row>
    <row r="4749" spans="1:2" x14ac:dyDescent="0.25">
      <c r="A4749">
        <f ca="1">42757.9617392029*((RANDBETWEEN(2979,3282)))</f>
        <v>138664069.9202351</v>
      </c>
      <c r="B4749">
        <v>173271648.02266008</v>
      </c>
    </row>
    <row r="4750" spans="1:2" x14ac:dyDescent="0.25">
      <c r="A4750">
        <f ca="1">31402.7129813982*((RANDBETWEEN(2979,3282)))</f>
        <v>98164880.779850692</v>
      </c>
      <c r="B4750">
        <v>179592548.02405941</v>
      </c>
    </row>
    <row r="4751" spans="1:2" x14ac:dyDescent="0.25">
      <c r="A4751">
        <f ca="1">40154.3829288039*((RANDBETWEEN(2979,3282)))</f>
        <v>127610628.94773881</v>
      </c>
      <c r="B4751">
        <v>144684237.17134854</v>
      </c>
    </row>
    <row r="4752" spans="1:2" x14ac:dyDescent="0.25">
      <c r="A4752">
        <f ca="1">34304.666906152*((RANDBETWEEN(2979,3282)))</f>
        <v>107099170.08100666</v>
      </c>
      <c r="B4752">
        <v>177633359.10321414</v>
      </c>
    </row>
    <row r="4753" spans="1:2" x14ac:dyDescent="0.25">
      <c r="A4753">
        <f ca="1">30778.2901085268*((RANDBETWEEN(2979,3282)))</f>
        <v>93535223.639812812</v>
      </c>
      <c r="B4753">
        <v>184892972.478845</v>
      </c>
    </row>
    <row r="4754" spans="1:2" x14ac:dyDescent="0.25">
      <c r="A4754">
        <f ca="1">29961.477114598*((RANDBETWEEN(2979,3282)))</f>
        <v>94438575.865212902</v>
      </c>
      <c r="B4754">
        <v>147321418.59805959</v>
      </c>
    </row>
    <row r="4755" spans="1:2" x14ac:dyDescent="0.25">
      <c r="A4755">
        <f ca="1">36931.8390060726*((RANDBETWEEN(2979,3282)))</f>
        <v>114562564.59683719</v>
      </c>
      <c r="B4755">
        <v>181803841.68460625</v>
      </c>
    </row>
    <row r="4756" spans="1:2" x14ac:dyDescent="0.25">
      <c r="A4756">
        <f ca="1">33553.6265065101*((RANDBETWEEN(2979,3282)))</f>
        <v>109485483.29074261</v>
      </c>
      <c r="B4756">
        <v>185219792.98182666</v>
      </c>
    </row>
    <row r="4757" spans="1:2" x14ac:dyDescent="0.25">
      <c r="A4757">
        <f ca="1">30274.2928972254*((RANDBETWEEN(2979,3282)))</f>
        <v>98815292.016543627</v>
      </c>
      <c r="B4757">
        <v>147372943.26147276</v>
      </c>
    </row>
    <row r="4758" spans="1:2" x14ac:dyDescent="0.25">
      <c r="A4758">
        <f ca="1">27746.8242443998*((RANDBETWEEN(2979,3282)))</f>
        <v>84045130.636286914</v>
      </c>
      <c r="B4758">
        <v>180152066.0497745</v>
      </c>
    </row>
    <row r="4759" spans="1:2" x14ac:dyDescent="0.25">
      <c r="A4759">
        <f ca="1">36152.0795222315*((RANDBETWEEN(2979,3282)))</f>
        <v>113770594.25646266</v>
      </c>
      <c r="B4759">
        <v>179107958.97421923</v>
      </c>
    </row>
    <row r="4760" spans="1:2" x14ac:dyDescent="0.25">
      <c r="A4760">
        <f ca="1">33058.1294179287*((RANDBETWEEN(2979,3282)))</f>
        <v>98744632.571353108</v>
      </c>
      <c r="B4760">
        <v>188921424.00571686</v>
      </c>
    </row>
    <row r="4761" spans="1:2" x14ac:dyDescent="0.25">
      <c r="A4761">
        <f ca="1">30270.9524700248*((RANDBETWEEN(2979,3282)))</f>
        <v>91569631.221824959</v>
      </c>
      <c r="B4761">
        <v>157693012.4440954</v>
      </c>
    </row>
    <row r="4762" spans="1:2" x14ac:dyDescent="0.25">
      <c r="A4762">
        <f ca="1">33787.0291053786*((RANDBETWEEN(2979,3282)))</f>
        <v>108963168.86484593</v>
      </c>
      <c r="B4762">
        <v>148855023.91442114</v>
      </c>
    </row>
    <row r="4763" spans="1:2" x14ac:dyDescent="0.25">
      <c r="A4763">
        <f ca="1">30867.1359339772*((RANDBETWEEN(2979,3282)))</f>
        <v>99392177.707406655</v>
      </c>
      <c r="B4763">
        <v>149121865.05306274</v>
      </c>
    </row>
    <row r="4764" spans="1:2" x14ac:dyDescent="0.25">
      <c r="A4764">
        <f ca="1">40752.3769134615*((RANDBETWEEN(2979,3282)))</f>
        <v>126495377.93938445</v>
      </c>
      <c r="B4764">
        <v>193727448.6103003</v>
      </c>
    </row>
    <row r="4765" spans="1:2" x14ac:dyDescent="0.25">
      <c r="A4765">
        <f ca="1">34952.9490516392*((RANDBETWEEN(2979,3282)))</f>
        <v>104544270.61345285</v>
      </c>
      <c r="B4765">
        <v>168408465.36225244</v>
      </c>
    </row>
    <row r="4766" spans="1:2" x14ac:dyDescent="0.25">
      <c r="A4766">
        <f ca="1">35881.0840154462*((RANDBETWEEN(2979,3282)))</f>
        <v>112415436.22039291</v>
      </c>
      <c r="B4766">
        <v>143085618.89944822</v>
      </c>
    </row>
    <row r="4767" spans="1:2" x14ac:dyDescent="0.25">
      <c r="A4767">
        <f ca="1">29464.081523983*((RANDBETWEEN(2979,3282)))</f>
        <v>92517215.985306695</v>
      </c>
      <c r="B4767">
        <v>194949748.33967417</v>
      </c>
    </row>
    <row r="4768" spans="1:2" x14ac:dyDescent="0.25">
      <c r="A4768">
        <f ca="1">33695.7372357574*((RANDBETWEEN(2979,3282)))</f>
        <v>104861134.27767703</v>
      </c>
      <c r="B4768">
        <v>176425215.31785494</v>
      </c>
    </row>
    <row r="4769" spans="1:2" x14ac:dyDescent="0.25">
      <c r="A4769">
        <f ca="1">31958.0948427994*((RANDBETWEEN(2979,3282)))</f>
        <v>95714494.054184422</v>
      </c>
      <c r="B4769">
        <v>169785492.08216077</v>
      </c>
    </row>
    <row r="4770" spans="1:2" x14ac:dyDescent="0.25">
      <c r="A4770">
        <f ca="1">38397.821206486*((RANDBETWEEN(2979,3282)))</f>
        <v>121413910.65490861</v>
      </c>
      <c r="B4770">
        <v>180073165.45538107</v>
      </c>
    </row>
    <row r="4771" spans="1:2" x14ac:dyDescent="0.25">
      <c r="A4771">
        <f ca="1">33911.831834409*((RANDBETWEEN(2979,3282)))</f>
        <v>103770205.4132916</v>
      </c>
      <c r="B4771">
        <v>156771122.94295454</v>
      </c>
    </row>
    <row r="4772" spans="1:2" x14ac:dyDescent="0.25">
      <c r="A4772">
        <f ca="1">39124.2772222352*((RANDBETWEEN(2979,3282)))</f>
        <v>125549805.60615268</v>
      </c>
      <c r="B4772">
        <v>155103616.59007531</v>
      </c>
    </row>
    <row r="4773" spans="1:2" x14ac:dyDescent="0.25">
      <c r="A4773">
        <f ca="1">30589.8420180702*((RANDBETWEEN(2979,3282)))</f>
        <v>97459236.669571683</v>
      </c>
      <c r="B4773">
        <v>167808835.75844517</v>
      </c>
    </row>
    <row r="4774" spans="1:2" x14ac:dyDescent="0.25">
      <c r="A4774">
        <f ca="1">32611.459553623*((RANDBETWEEN(2979,3282)))</f>
        <v>105922020.63016748</v>
      </c>
      <c r="B4774">
        <v>179945473.62352461</v>
      </c>
    </row>
    <row r="4775" spans="1:2" x14ac:dyDescent="0.25">
      <c r="A4775">
        <f ca="1">34717.7232054797*((RANDBETWEEN(2979,3282)))</f>
        <v>113318648.54268578</v>
      </c>
      <c r="B4775">
        <v>147212079.9491246</v>
      </c>
    </row>
    <row r="4776" spans="1:2" x14ac:dyDescent="0.25">
      <c r="A4776">
        <f ca="1">31609.7861572951*((RANDBETWEEN(2979,3282)))</f>
        <v>101119705.91718698</v>
      </c>
      <c r="B4776">
        <v>157523720.10733151</v>
      </c>
    </row>
    <row r="4777" spans="1:2" x14ac:dyDescent="0.25">
      <c r="A4777">
        <f ca="1">31241.5830155935*((RANDBETWEEN(2979,3282)))</f>
        <v>97348772.676589429</v>
      </c>
      <c r="B4777">
        <v>146880408.05545792</v>
      </c>
    </row>
    <row r="4778" spans="1:2" x14ac:dyDescent="0.25">
      <c r="A4778">
        <f ca="1">36902.9065695404*((RANDBETWEEN(2979,3282)))</f>
        <v>113771660.95389305</v>
      </c>
      <c r="B4778">
        <v>144423116.39719278</v>
      </c>
    </row>
    <row r="4779" spans="1:2" x14ac:dyDescent="0.25">
      <c r="A4779">
        <f ca="1">33792.1412881487*((RANDBETWEEN(2979,3282)))</f>
        <v>107188672.16600776</v>
      </c>
      <c r="B4779">
        <v>167760549.65200919</v>
      </c>
    </row>
    <row r="4780" spans="1:2" x14ac:dyDescent="0.25">
      <c r="A4780">
        <f ca="1">33785.4605190925*((RANDBETWEEN(2979,3282)))</f>
        <v>105951204.18787405</v>
      </c>
      <c r="B4780">
        <v>176664892.84982401</v>
      </c>
    </row>
    <row r="4781" spans="1:2" x14ac:dyDescent="0.25">
      <c r="A4781">
        <f ca="1">32749.3898940028*((RANDBETWEEN(2979,3282)))</f>
        <v>99263400.768722594</v>
      </c>
      <c r="B4781">
        <v>180596794.37443459</v>
      </c>
    </row>
    <row r="4782" spans="1:2" x14ac:dyDescent="0.25">
      <c r="A4782">
        <f ca="1">31304.2488553318*((RANDBETWEEN(2979,3282)))</f>
        <v>95603176.004183173</v>
      </c>
      <c r="B4782">
        <v>165987075.11883953</v>
      </c>
    </row>
    <row r="4783" spans="1:2" x14ac:dyDescent="0.25">
      <c r="A4783">
        <f ca="1">30429.5908532456*((RANDBETWEEN(2979,3282)))</f>
        <v>98378867.228542909</v>
      </c>
      <c r="B4783">
        <v>200722633.58689713</v>
      </c>
    </row>
    <row r="4784" spans="1:2" x14ac:dyDescent="0.25">
      <c r="A4784">
        <f ca="1">27251.0701494768*((RANDBETWEEN(2979,3282)))</f>
        <v>84941585.655919135</v>
      </c>
      <c r="B4784">
        <v>157165170.32133186</v>
      </c>
    </row>
    <row r="4785" spans="1:2" x14ac:dyDescent="0.25">
      <c r="A4785">
        <f ca="1">33900.2571683303*((RANDBETWEEN(2979,3282)))</f>
        <v>104887395.67881389</v>
      </c>
      <c r="B4785">
        <v>168560001.76597577</v>
      </c>
    </row>
    <row r="4786" spans="1:2" x14ac:dyDescent="0.25">
      <c r="A4786">
        <f ca="1">36038.8267739883*((RANDBETWEEN(2979,3282)))</f>
        <v>118207351.81868155</v>
      </c>
      <c r="B4786">
        <v>186249664.24805379</v>
      </c>
    </row>
    <row r="4787" spans="1:2" x14ac:dyDescent="0.25">
      <c r="A4787">
        <f ca="1">37092.3679946855*((RANDBETWEEN(2979,3282)))</f>
        <v>112909168.17582253</v>
      </c>
      <c r="B4787">
        <v>189979981.20276898</v>
      </c>
    </row>
    <row r="4788" spans="1:2" x14ac:dyDescent="0.25">
      <c r="A4788">
        <f ca="1">40057.9697631173*((RANDBETWEEN(2979,3282)))</f>
        <v>129988111.88131565</v>
      </c>
      <c r="B4788">
        <v>189379976.02026486</v>
      </c>
    </row>
    <row r="4789" spans="1:2" x14ac:dyDescent="0.25">
      <c r="A4789">
        <f ca="1">35362.4383907273*((RANDBETWEEN(2979,3282)))</f>
        <v>109446746.81930102</v>
      </c>
      <c r="B4789">
        <v>171777532.81807935</v>
      </c>
    </row>
    <row r="4790" spans="1:2" x14ac:dyDescent="0.25">
      <c r="A4790">
        <f ca="1">36823.2695918468*((RANDBETWEEN(2979,3282)))</f>
        <v>113599786.69084737</v>
      </c>
      <c r="B4790">
        <v>163468738.00579152</v>
      </c>
    </row>
    <row r="4791" spans="1:2" x14ac:dyDescent="0.25">
      <c r="A4791">
        <f ca="1">30336.0546432571*((RANDBETWEEN(2979,3282)))</f>
        <v>95012523.142681286</v>
      </c>
      <c r="B4791">
        <v>174784722.35095823</v>
      </c>
    </row>
    <row r="4792" spans="1:2" x14ac:dyDescent="0.25">
      <c r="A4792">
        <f ca="1">32042.9366733519*((RANDBETWEEN(2979,3282)))</f>
        <v>95808380.653322205</v>
      </c>
      <c r="B4792">
        <v>163224568.9896135</v>
      </c>
    </row>
    <row r="4793" spans="1:2" x14ac:dyDescent="0.25">
      <c r="A4793">
        <f ca="1">29316.0496140019*((RANDBETWEEN(2979,3282)))</f>
        <v>93107773.574070051</v>
      </c>
      <c r="B4793">
        <v>161623122.15290895</v>
      </c>
    </row>
    <row r="4794" spans="1:2" x14ac:dyDescent="0.25">
      <c r="A4794">
        <f ca="1">34371.3888881066*((RANDBETWEEN(2979,3282)))</f>
        <v>112153841.94189167</v>
      </c>
      <c r="B4794">
        <v>174371623.96641394</v>
      </c>
    </row>
    <row r="4795" spans="1:2" x14ac:dyDescent="0.25">
      <c r="A4795">
        <f ca="1">39374.4204769836*((RANDBETWEEN(2979,3282)))</f>
        <v>118989498.68144447</v>
      </c>
      <c r="B4795">
        <v>146605402.60430732</v>
      </c>
    </row>
    <row r="4796" spans="1:2" x14ac:dyDescent="0.25">
      <c r="A4796">
        <f ca="1">31721.4979628799*((RANDBETWEEN(2979,3282)))</f>
        <v>98939352.146222368</v>
      </c>
      <c r="B4796">
        <v>188553953.10448009</v>
      </c>
    </row>
    <row r="4797" spans="1:2" x14ac:dyDescent="0.25">
      <c r="A4797">
        <f ca="1">42315.8000912352*((RANDBETWEEN(2979,3282)))</f>
        <v>134141086.28921545</v>
      </c>
      <c r="B4797">
        <v>159243231.8967362</v>
      </c>
    </row>
    <row r="4798" spans="1:2" x14ac:dyDescent="0.25">
      <c r="A4798">
        <f ca="1">39346.7730289136*((RANDBETWEEN(2979,3282)))</f>
        <v>118709214.22823238</v>
      </c>
      <c r="B4798">
        <v>166977205.66550618</v>
      </c>
    </row>
    <row r="4799" spans="1:2" x14ac:dyDescent="0.25">
      <c r="A4799">
        <f ca="1">30456.2290915185*((RANDBETWEEN(2979,3282)))</f>
        <v>94992978.536446184</v>
      </c>
      <c r="B4799">
        <v>159571216.58847678</v>
      </c>
    </row>
    <row r="4800" spans="1:2" x14ac:dyDescent="0.25">
      <c r="A4800">
        <f ca="1">38470.567739556*((RANDBETWEEN(2979,3282)))</f>
        <v>122182523.14083001</v>
      </c>
      <c r="B4800">
        <v>160694992.75223866</v>
      </c>
    </row>
    <row r="4801" spans="1:2" x14ac:dyDescent="0.25">
      <c r="A4801">
        <f ca="1">30519.4515014627*((RANDBETWEEN(2979,3282)))</f>
        <v>97570686.450176373</v>
      </c>
      <c r="B4801">
        <v>146177196.39595044</v>
      </c>
    </row>
    <row r="4802" spans="1:2" x14ac:dyDescent="0.25">
      <c r="A4802">
        <f ca="1">31059.8708537049*((RANDBETWEEN(2979,3282)))</f>
        <v>98925688.669049978</v>
      </c>
      <c r="B4802">
        <v>179815848.48520455</v>
      </c>
    </row>
    <row r="4803" spans="1:2" x14ac:dyDescent="0.25">
      <c r="A4803">
        <f ca="1">29279.6627485031*((RANDBETWEEN(2979,3282)))</f>
        <v>94016997.085443556</v>
      </c>
      <c r="B4803">
        <v>183585252.67191792</v>
      </c>
    </row>
    <row r="4804" spans="1:2" x14ac:dyDescent="0.25">
      <c r="A4804">
        <f ca="1">30036.2063335891*((RANDBETWEEN(2979,3282)))</f>
        <v>96656511.981489718</v>
      </c>
      <c r="B4804">
        <v>143299337.02193573</v>
      </c>
    </row>
    <row r="4805" spans="1:2" x14ac:dyDescent="0.25">
      <c r="A4805">
        <f ca="1">36367.8715855826*((RANDBETWEEN(2979,3282)))</f>
        <v>111249319.18029714</v>
      </c>
      <c r="B4805">
        <v>197057574.48531178</v>
      </c>
    </row>
    <row r="4806" spans="1:2" x14ac:dyDescent="0.25">
      <c r="A4806">
        <f ca="1">36189.9341029935*((RANDBETWEEN(2979,3282)))</f>
        <v>114324001.83135641</v>
      </c>
      <c r="B4806">
        <v>194821431.95293266</v>
      </c>
    </row>
    <row r="4807" spans="1:2" x14ac:dyDescent="0.25">
      <c r="A4807">
        <f ca="1">31648.9177430234*((RANDBETWEEN(2979,3282)))</f>
        <v>99282654.959864289</v>
      </c>
      <c r="B4807">
        <v>153332438.33136427</v>
      </c>
    </row>
    <row r="4808" spans="1:2" x14ac:dyDescent="0.25">
      <c r="A4808">
        <f ca="1">29345.2722301185*((RANDBETWEEN(2979,3282)))</f>
        <v>91880047.35250099</v>
      </c>
      <c r="B4808">
        <v>163689775.43497312</v>
      </c>
    </row>
    <row r="4809" spans="1:2" x14ac:dyDescent="0.25">
      <c r="A4809">
        <f ca="1">31228.831796586*((RANDBETWEEN(2979,3282)))</f>
        <v>98745566.140804932</v>
      </c>
      <c r="B4809">
        <v>167304098.54917383</v>
      </c>
    </row>
    <row r="4810" spans="1:2" x14ac:dyDescent="0.25">
      <c r="A4810">
        <f ca="1">42705.6620867439*((RANDBETWEEN(2979,3282)))</f>
        <v>138110111.18852967</v>
      </c>
      <c r="B4810">
        <v>177584477.10713649</v>
      </c>
    </row>
    <row r="4811" spans="1:2" x14ac:dyDescent="0.25">
      <c r="A4811">
        <f ca="1">32434.8511988814*((RANDBETWEEN(2979,3282)))</f>
        <v>103856393.53881836</v>
      </c>
      <c r="B4811">
        <v>154032373.83217573</v>
      </c>
    </row>
    <row r="4812" spans="1:2" x14ac:dyDescent="0.25">
      <c r="A4812">
        <f ca="1">30720.261406423*((RANDBETWEEN(2979,3282)))</f>
        <v>92252945.003488332</v>
      </c>
      <c r="B4812">
        <v>146337693.9829334</v>
      </c>
    </row>
    <row r="4813" spans="1:2" x14ac:dyDescent="0.25">
      <c r="A4813">
        <f ca="1">37297.982767193*((RANDBETWEEN(2979,3282)))</f>
        <v>119726524.68268943</v>
      </c>
      <c r="B4813">
        <v>151947913.31299195</v>
      </c>
    </row>
    <row r="4814" spans="1:2" x14ac:dyDescent="0.25">
      <c r="A4814">
        <f ca="1">37813.3120653941*((RANDBETWEEN(2979,3282)))</f>
        <v>118393480.076749</v>
      </c>
      <c r="B4814">
        <v>158464860.03601792</v>
      </c>
    </row>
    <row r="4815" spans="1:2" x14ac:dyDescent="0.25">
      <c r="A4815">
        <f ca="1">30674.0367699305*((RANDBETWEEN(2979,3282)))</f>
        <v>94169292.883686736</v>
      </c>
      <c r="B4815">
        <v>157714048.48516551</v>
      </c>
    </row>
    <row r="4816" spans="1:2" x14ac:dyDescent="0.25">
      <c r="A4816">
        <f ca="1">29058.131760741*((RANDBETWEEN(2979,3282)))</f>
        <v>89760569.00892888</v>
      </c>
      <c r="B4816">
        <v>157374948.23018643</v>
      </c>
    </row>
    <row r="4817" spans="1:2" x14ac:dyDescent="0.25">
      <c r="A4817">
        <f ca="1">35767.6954520449*((RANDBETWEEN(2979,3282)))</f>
        <v>109306077.30144915</v>
      </c>
      <c r="B4817">
        <v>176827888.87142697</v>
      </c>
    </row>
    <row r="4818" spans="1:2" x14ac:dyDescent="0.25">
      <c r="A4818">
        <f ca="1">38600.769698083*((RANDBETWEEN(2979,3282)))</f>
        <v>117423541.42156835</v>
      </c>
      <c r="B4818">
        <v>151257064.49488595</v>
      </c>
    </row>
    <row r="4819" spans="1:2" x14ac:dyDescent="0.25">
      <c r="A4819">
        <f ca="1">31264.2501637827*((RANDBETWEEN(2979,3282)))</f>
        <v>101671341.53262141</v>
      </c>
      <c r="B4819">
        <v>153308365.04874623</v>
      </c>
    </row>
    <row r="4820" spans="1:2" x14ac:dyDescent="0.25">
      <c r="A4820">
        <f ca="1">34064.5609486317*((RANDBETWEEN(2979,3282)))</f>
        <v>102840909.5039192</v>
      </c>
      <c r="B4820">
        <v>166723000.98730353</v>
      </c>
    </row>
    <row r="4821" spans="1:2" x14ac:dyDescent="0.25">
      <c r="A4821">
        <f ca="1">39522.5744384513*((RANDBETWEEN(2979,3282)))</f>
        <v>126472238.20304406</v>
      </c>
      <c r="B4821">
        <v>192673913.92242354</v>
      </c>
    </row>
    <row r="4822" spans="1:2" x14ac:dyDescent="0.25">
      <c r="A4822">
        <f ca="1">35018.0376143228*((RANDBETWEEN(2979,3282)))</f>
        <v>109781547.920902</v>
      </c>
      <c r="B4822">
        <v>179365989.11754662</v>
      </c>
    </row>
    <row r="4823" spans="1:2" x14ac:dyDescent="0.25">
      <c r="A4823">
        <f ca="1">33520.0362213264*((RANDBETWEEN(2979,3282)))</f>
        <v>101800350.00416812</v>
      </c>
      <c r="B4823">
        <v>151467785.33312315</v>
      </c>
    </row>
    <row r="4824" spans="1:2" x14ac:dyDescent="0.25">
      <c r="A4824">
        <f ca="1">32882.8458089194*((RANDBETWEEN(2979,3282)))</f>
        <v>106704834.64994346</v>
      </c>
      <c r="B4824">
        <v>160973097.45108673</v>
      </c>
    </row>
    <row r="4825" spans="1:2" x14ac:dyDescent="0.25">
      <c r="A4825">
        <f ca="1">32348.3109703858*((RANDBETWEEN(2979,3282)))</f>
        <v>105714280.25122073</v>
      </c>
      <c r="B4825">
        <v>168476625.81489921</v>
      </c>
    </row>
    <row r="4826" spans="1:2" x14ac:dyDescent="0.25">
      <c r="A4826">
        <f ca="1">37271.1387623299*((RANDBETWEEN(2979,3282)))</f>
        <v>117255002.54628994</v>
      </c>
      <c r="B4826">
        <v>191966057.55038071</v>
      </c>
    </row>
    <row r="4827" spans="1:2" x14ac:dyDescent="0.25">
      <c r="A4827">
        <f ca="1">37951.9849364435*((RANDBETWEEN(2979,3282)))</f>
        <v>116512593.75488168</v>
      </c>
      <c r="B4827">
        <v>173558987.36850142</v>
      </c>
    </row>
    <row r="4828" spans="1:2" x14ac:dyDescent="0.25">
      <c r="A4828">
        <f ca="1">30532.1547342561*((RANDBETWEEN(2979,3282)))</f>
        <v>92146042.987985015</v>
      </c>
      <c r="B4828">
        <v>149490600.59185687</v>
      </c>
    </row>
    <row r="4829" spans="1:2" x14ac:dyDescent="0.25">
      <c r="A4829">
        <f ca="1">31170.0664218711*((RANDBETWEEN(2979,3282)))</f>
        <v>95068702.586706743</v>
      </c>
      <c r="B4829">
        <v>161256405.24514177</v>
      </c>
    </row>
    <row r="4830" spans="1:2" x14ac:dyDescent="0.25">
      <c r="A4830">
        <f ca="1">31113.820604765*((RANDBETWEEN(2979,3282)))</f>
        <v>97821851.981381014</v>
      </c>
      <c r="B4830">
        <v>163026148.31108633</v>
      </c>
    </row>
    <row r="4831" spans="1:2" x14ac:dyDescent="0.25">
      <c r="A4831">
        <f ca="1">31206.5471649275*((RANDBETWEEN(2979,3282)))</f>
        <v>101733343.75766371</v>
      </c>
      <c r="B4831">
        <v>167913305.7085456</v>
      </c>
    </row>
    <row r="4832" spans="1:2" x14ac:dyDescent="0.25">
      <c r="A4832">
        <f ca="1">31686.8649824053*((RANDBETWEEN(2979,3282)))</f>
        <v>96518190.73640655</v>
      </c>
      <c r="B4832">
        <v>194375028.38642648</v>
      </c>
    </row>
    <row r="4833" spans="1:2" x14ac:dyDescent="0.25">
      <c r="A4833">
        <f ca="1">30236.461099793*((RANDBETWEEN(2979,3282)))</f>
        <v>96393837.986140117</v>
      </c>
      <c r="B4833">
        <v>149416281.04505154</v>
      </c>
    </row>
    <row r="4834" spans="1:2" x14ac:dyDescent="0.25">
      <c r="A4834">
        <f ca="1">31767.883985337*((RANDBETWEEN(2979,3282)))</f>
        <v>97718011.138896659</v>
      </c>
      <c r="B4834">
        <v>157181724.05323967</v>
      </c>
    </row>
    <row r="4835" spans="1:2" x14ac:dyDescent="0.25">
      <c r="A4835">
        <f ca="1">31315.8211422994*((RANDBETWEEN(2979,3282)))</f>
        <v>101150102.28962691</v>
      </c>
      <c r="B4835">
        <v>189556987.60897237</v>
      </c>
    </row>
    <row r="4836" spans="1:2" x14ac:dyDescent="0.25">
      <c r="A4836">
        <f ca="1">30831.0029369587*((RANDBETWEEN(2979,3282)))</f>
        <v>95822757.128067538</v>
      </c>
      <c r="B4836">
        <v>162634473.34137964</v>
      </c>
    </row>
    <row r="4837" spans="1:2" x14ac:dyDescent="0.25">
      <c r="A4837">
        <f ca="1">38738.6802370977*((RANDBETWEEN(2979,3282)))</f>
        <v>126443052.29388705</v>
      </c>
      <c r="B4837">
        <v>169497506.03247929</v>
      </c>
    </row>
    <row r="4838" spans="1:2" x14ac:dyDescent="0.25">
      <c r="A4838">
        <f ca="1">38300.9681630941*((RANDBETWEEN(2979,3282)))</f>
        <v>117277564.51539406</v>
      </c>
      <c r="B4838">
        <v>199748607.36850137</v>
      </c>
    </row>
    <row r="4839" spans="1:2" x14ac:dyDescent="0.25">
      <c r="A4839">
        <f ca="1">32472.4695570144*((RANDBETWEEN(2979,3282)))</f>
        <v>106412282.73833604</v>
      </c>
      <c r="B4839">
        <v>159846778.50483191</v>
      </c>
    </row>
    <row r="4840" spans="1:2" x14ac:dyDescent="0.25">
      <c r="A4840">
        <f ca="1">33623.6099978173*((RANDBETWEEN(2979,3282)))</f>
        <v>100702711.94346274</v>
      </c>
      <c r="B4840">
        <v>175604559.14179444</v>
      </c>
    </row>
    <row r="4841" spans="1:2" x14ac:dyDescent="0.25">
      <c r="A4841">
        <f ca="1">31202.8845998873*((RANDBETWEEN(2979,3282)))</f>
        <v>101939823.98783188</v>
      </c>
      <c r="B4841">
        <v>163706559.34625506</v>
      </c>
    </row>
    <row r="4842" spans="1:2" x14ac:dyDescent="0.25">
      <c r="A4842">
        <f ca="1">30331.0776822198*((RANDBETWEEN(2979,3282)))</f>
        <v>95360908.232898921</v>
      </c>
      <c r="B4842">
        <v>183182107.03760341</v>
      </c>
    </row>
    <row r="4843" spans="1:2" x14ac:dyDescent="0.25">
      <c r="A4843">
        <f ca="1">31333.2292780351*((RANDBETWEEN(2979,3282)))</f>
        <v>100141000.77260025</v>
      </c>
      <c r="B4843">
        <v>159092991.42923912</v>
      </c>
    </row>
    <row r="4844" spans="1:2" x14ac:dyDescent="0.25">
      <c r="A4844">
        <f ca="1">31272.8598850542*((RANDBETWEEN(2979,3282)))</f>
        <v>93443305.336541831</v>
      </c>
      <c r="B4844">
        <v>150357874.03266191</v>
      </c>
    </row>
    <row r="4845" spans="1:2" x14ac:dyDescent="0.25">
      <c r="A4845">
        <f ca="1">33097.7595055296*((RANDBETWEEN(2979,3282)))</f>
        <v>99127789.719061166</v>
      </c>
      <c r="B4845">
        <v>150383306.20410791</v>
      </c>
    </row>
    <row r="4846" spans="1:2" x14ac:dyDescent="0.25">
      <c r="A4846">
        <f ca="1">30438.3834628373*((RANDBETWEEN(2979,3282)))</f>
        <v>94176358.434018478</v>
      </c>
      <c r="B4846">
        <v>177389869.94986746</v>
      </c>
    </row>
    <row r="4847" spans="1:2" x14ac:dyDescent="0.25">
      <c r="A4847">
        <f ca="1">28962.0709309688*((RANDBETWEEN(2979,3282)))</f>
        <v>88913557.758074313</v>
      </c>
      <c r="B4847">
        <v>151213173.12308604</v>
      </c>
    </row>
    <row r="4848" spans="1:2" x14ac:dyDescent="0.25">
      <c r="A4848">
        <f ca="1">30355.8111832447*((RANDBETWEEN(2979,3282)))</f>
        <v>98201049.177796692</v>
      </c>
      <c r="B4848">
        <v>169653955.94367525</v>
      </c>
    </row>
    <row r="4849" spans="1:2" x14ac:dyDescent="0.25">
      <c r="A4849">
        <f ca="1">34708.3840717726*((RANDBETWEEN(2979,3282)))</f>
        <v>110442078.11638041</v>
      </c>
      <c r="B4849">
        <v>194007489.97336119</v>
      </c>
    </row>
    <row r="4850" spans="1:2" x14ac:dyDescent="0.25">
      <c r="A4850">
        <f ca="1">29729.1113320615*((RANDBETWEEN(2979,3282)))</f>
        <v>90317040.226802766</v>
      </c>
      <c r="B4850">
        <v>148611650.64698285</v>
      </c>
    </row>
    <row r="4851" spans="1:2" x14ac:dyDescent="0.25">
      <c r="A4851">
        <f ca="1">39344.294152556*((RANDBETWEEN(2979,3282)))</f>
        <v>120354195.8126687</v>
      </c>
      <c r="B4851">
        <v>148334532.31766981</v>
      </c>
    </row>
    <row r="4852" spans="1:2" x14ac:dyDescent="0.25">
      <c r="A4852">
        <f ca="1">30942.6412067855*((RANDBETWEEN(2979,3282)))</f>
        <v>96695753.771204785</v>
      </c>
      <c r="B4852">
        <v>175715329.64244184</v>
      </c>
    </row>
    <row r="4853" spans="1:2" x14ac:dyDescent="0.25">
      <c r="A4853">
        <f ca="1">30040.164707258*((RANDBETWEEN(2979,3282)))</f>
        <v>96579129.533834577</v>
      </c>
      <c r="B4853">
        <v>191194869.53348318</v>
      </c>
    </row>
    <row r="4854" spans="1:2" x14ac:dyDescent="0.25">
      <c r="A4854">
        <f ca="1">29240.7295877317*((RANDBETWEEN(2979,3282)))</f>
        <v>90909428.288257822</v>
      </c>
      <c r="B4854">
        <v>158732955.18836284</v>
      </c>
    </row>
    <row r="4855" spans="1:2" x14ac:dyDescent="0.25">
      <c r="A4855">
        <f ca="1">31480.420306677*((RANDBETWEEN(2979,3282)))</f>
        <v>96739331.602418467</v>
      </c>
      <c r="B4855">
        <v>157178936.86799455</v>
      </c>
    </row>
    <row r="4856" spans="1:2" x14ac:dyDescent="0.25">
      <c r="A4856">
        <f ca="1">31431.3563773822*((RANDBETWEEN(2979,3282)))</f>
        <v>100266026.84384909</v>
      </c>
      <c r="B4856">
        <v>196916522.67697179</v>
      </c>
    </row>
    <row r="4857" spans="1:2" x14ac:dyDescent="0.25">
      <c r="A4857">
        <f ca="1">41736.4051975802*((RANDBETWEEN(2979,3282)))</f>
        <v>131427939.96717995</v>
      </c>
      <c r="B4857">
        <v>167821506.61757463</v>
      </c>
    </row>
    <row r="4858" spans="1:2" x14ac:dyDescent="0.25">
      <c r="A4858">
        <f ca="1">30712.4116779861*((RANDBETWEEN(2979,3282)))</f>
        <v>100214599.30526869</v>
      </c>
      <c r="B4858">
        <v>146188537.62934342</v>
      </c>
    </row>
    <row r="4859" spans="1:2" x14ac:dyDescent="0.25">
      <c r="A4859">
        <f ca="1">34010.5969452849*((RANDBETWEEN(2979,3282)))</f>
        <v>107303433.36237381</v>
      </c>
      <c r="B4859">
        <v>183286462.8357963</v>
      </c>
    </row>
    <row r="4860" spans="1:2" x14ac:dyDescent="0.25">
      <c r="A4860">
        <f ca="1">36923.52169654*((RANDBETWEEN(2979,3282)))</f>
        <v>113982911.4772189</v>
      </c>
      <c r="B4860">
        <v>166108361.34401953</v>
      </c>
    </row>
    <row r="4861" spans="1:2" x14ac:dyDescent="0.25">
      <c r="A4861">
        <f ca="1">30572.6067531015*((RANDBETWEEN(2979,3282)))</f>
        <v>91350948.978267163</v>
      </c>
      <c r="B4861">
        <v>170146593.80394191</v>
      </c>
    </row>
    <row r="4862" spans="1:2" x14ac:dyDescent="0.25">
      <c r="A4862">
        <f ca="1">32552.6338998975*((RANDBETWEEN(2979,3282)))</f>
        <v>98439164.913290024</v>
      </c>
      <c r="B4862">
        <v>182399152.18185425</v>
      </c>
    </row>
    <row r="4863" spans="1:2" x14ac:dyDescent="0.25">
      <c r="A4863">
        <f ca="1">31803.3946244853*((RANDBETWEEN(2979,3282)))</f>
        <v>100276103.2510021</v>
      </c>
      <c r="B4863">
        <v>148223138.43625098</v>
      </c>
    </row>
    <row r="4864" spans="1:2" x14ac:dyDescent="0.25">
      <c r="A4864">
        <f ca="1">32104.3865283107*((RANDBETWEEN(2979,3282)))</f>
        <v>103665064.09991539</v>
      </c>
      <c r="B4864">
        <v>177336764.07564169</v>
      </c>
    </row>
    <row r="4865" spans="1:2" x14ac:dyDescent="0.25">
      <c r="A4865">
        <f ca="1">31315.1302419731*((RANDBETWEEN(2979,3282)))</f>
        <v>96294025.494067192</v>
      </c>
      <c r="B4865">
        <v>167506896.87288356</v>
      </c>
    </row>
    <row r="4866" spans="1:2" x14ac:dyDescent="0.25">
      <c r="A4866">
        <f ca="1">36900.7186464895*((RANDBETWEEN(2979,3282)))</f>
        <v>117270483.85854353</v>
      </c>
      <c r="B4866">
        <v>187023091.95336375</v>
      </c>
    </row>
    <row r="4867" spans="1:2" x14ac:dyDescent="0.25">
      <c r="A4867">
        <f ca="1">31468.4374391928*((RANDBETWEEN(2979,3282)))</f>
        <v>94090627.943186596</v>
      </c>
      <c r="B4867">
        <v>147298476.4469637</v>
      </c>
    </row>
    <row r="4868" spans="1:2" x14ac:dyDescent="0.25">
      <c r="A4868">
        <f ca="1">32505.8747182788*((RANDBETWEEN(2979,3282)))</f>
        <v>105514069.33553308</v>
      </c>
      <c r="B4868">
        <v>176723624.3966915</v>
      </c>
    </row>
    <row r="4869" spans="1:2" x14ac:dyDescent="0.25">
      <c r="A4869">
        <f ca="1">28429.2160723736*((RANDBETWEEN(2979,3282)))</f>
        <v>87647273.15112789</v>
      </c>
      <c r="B4869">
        <v>145990467.16589212</v>
      </c>
    </row>
    <row r="4870" spans="1:2" x14ac:dyDescent="0.25">
      <c r="A4870">
        <f ca="1">29626.4093629023*((RANDBETWEEN(2979,3282)))</f>
        <v>92908419.762061507</v>
      </c>
      <c r="B4870">
        <v>147481528.87660125</v>
      </c>
    </row>
    <row r="4871" spans="1:2" x14ac:dyDescent="0.25">
      <c r="A4871">
        <f ca="1">30029.61613183*((RANDBETWEEN(2979,3282)))</f>
        <v>91860595.747268096</v>
      </c>
      <c r="B4871">
        <v>164363277.77396855</v>
      </c>
    </row>
    <row r="4872" spans="1:2" x14ac:dyDescent="0.25">
      <c r="A4872">
        <f ca="1">39379.8678271087*((RANDBETWEEN(2979,3282)))</f>
        <v>119084720.30917659</v>
      </c>
      <c r="B4872">
        <v>155252402.77471918</v>
      </c>
    </row>
    <row r="4873" spans="1:2" x14ac:dyDescent="0.25">
      <c r="A4873">
        <f ca="1">28914.1061902618*((RANDBETWEEN(2979,3282)))</f>
        <v>92525139.808837682</v>
      </c>
      <c r="B4873">
        <v>162321066.31395069</v>
      </c>
    </row>
    <row r="4874" spans="1:2" x14ac:dyDescent="0.25">
      <c r="A4874">
        <f ca="1">37247.8710703757*((RANDBETWEEN(2979,3282)))</f>
        <v>119230435.29627258</v>
      </c>
      <c r="B4874">
        <v>153411327.69204438</v>
      </c>
    </row>
    <row r="4875" spans="1:2" x14ac:dyDescent="0.25">
      <c r="A4875">
        <f ca="1">30361.1651738873*((RANDBETWEEN(2979,3282)))</f>
        <v>90567355.713705942</v>
      </c>
      <c r="B4875">
        <v>163035535.90015826</v>
      </c>
    </row>
    <row r="4876" spans="1:2" x14ac:dyDescent="0.25">
      <c r="A4876">
        <f ca="1">32099.3310583269*((RANDBETWEEN(2979,3282)))</f>
        <v>104387024.60167894</v>
      </c>
      <c r="B4876">
        <v>144265670.43726501</v>
      </c>
    </row>
    <row r="4877" spans="1:2" x14ac:dyDescent="0.25">
      <c r="A4877">
        <f ca="1">31439.8924411498*((RANDBETWEEN(2979,3282)))</f>
        <v>94634076.247860804</v>
      </c>
      <c r="B4877">
        <v>192011650.98936394</v>
      </c>
    </row>
    <row r="4878" spans="1:2" x14ac:dyDescent="0.25">
      <c r="A4878">
        <f ca="1">34317.6125916728*((RANDBETWEEN(2979,3282)))</f>
        <v>108889784.75337774</v>
      </c>
      <c r="B4878">
        <v>195953434.42586979</v>
      </c>
    </row>
    <row r="4879" spans="1:2" x14ac:dyDescent="0.25">
      <c r="A4879">
        <f ca="1">32715.5628881061*((RANDBETWEEN(2979,3282)))</f>
        <v>103348463.16352727</v>
      </c>
      <c r="B4879">
        <v>150787897.37076634</v>
      </c>
    </row>
    <row r="4880" spans="1:2" x14ac:dyDescent="0.25">
      <c r="A4880">
        <f ca="1">41492.6884323088*((RANDBETWEEN(2979,3282)))</f>
        <v>134560788.58597732</v>
      </c>
      <c r="B4880">
        <v>150534506.31484309</v>
      </c>
    </row>
    <row r="4881" spans="1:2" x14ac:dyDescent="0.25">
      <c r="A4881">
        <f ca="1">35875.2316668089*((RANDBETWEEN(2979,3282)))</f>
        <v>110065210.75376964</v>
      </c>
      <c r="B4881">
        <v>179478064.52891901</v>
      </c>
    </row>
    <row r="4882" spans="1:2" x14ac:dyDescent="0.25">
      <c r="A4882">
        <f ca="1">37358.3513594277*((RANDBETWEEN(2979,3282)))</f>
        <v>112523354.2945963</v>
      </c>
      <c r="B4882">
        <v>154277419.90271524</v>
      </c>
    </row>
    <row r="4883" spans="1:2" x14ac:dyDescent="0.25">
      <c r="A4883">
        <f ca="1">30254.3616698299*((RANDBETWEEN(2979,3282)))</f>
        <v>92699364.156358749</v>
      </c>
      <c r="B4883">
        <v>161155359.65028432</v>
      </c>
    </row>
    <row r="4884" spans="1:2" x14ac:dyDescent="0.25">
      <c r="A4884">
        <f ca="1">32930.9110880213*((RANDBETWEEN(2979,3282)))</f>
        <v>105313053.65949202</v>
      </c>
      <c r="B4884">
        <v>192637472.1010589</v>
      </c>
    </row>
    <row r="4885" spans="1:2" x14ac:dyDescent="0.25">
      <c r="A4885">
        <f ca="1">30918.8299815859*((RANDBETWEEN(2979,3282)))</f>
        <v>99898739.670504183</v>
      </c>
      <c r="B4885">
        <v>150596102.64684802</v>
      </c>
    </row>
    <row r="4886" spans="1:2" x14ac:dyDescent="0.25">
      <c r="A4886">
        <f ca="1">30720.6439423655*((RANDBETWEEN(2979,3282)))</f>
        <v>98859032.2065323</v>
      </c>
      <c r="B4886">
        <v>145342341.28185302</v>
      </c>
    </row>
    <row r="4887" spans="1:2" x14ac:dyDescent="0.25">
      <c r="A4887">
        <f ca="1">32598.1279662048*((RANDBETWEEN(2979,3282)))</f>
        <v>106628476.57745594</v>
      </c>
      <c r="B4887">
        <v>148088390.83867136</v>
      </c>
    </row>
    <row r="4888" spans="1:2" x14ac:dyDescent="0.25">
      <c r="A4888">
        <f ca="1">35186.7521083271*((RANDBETWEEN(2979,3282)))</f>
        <v>106475111.87979777</v>
      </c>
      <c r="B4888">
        <v>155667439.90735584</v>
      </c>
    </row>
    <row r="4889" spans="1:2" x14ac:dyDescent="0.25">
      <c r="A4889">
        <f ca="1">30513.2699364942*((RANDBETWEEN(2979,3282)))</f>
        <v>93034960.036370784</v>
      </c>
      <c r="B4889">
        <v>145569493.70677447</v>
      </c>
    </row>
    <row r="4890" spans="1:2" x14ac:dyDescent="0.25">
      <c r="A4890">
        <f ca="1">31444.6755017626*((RANDBETWEEN(2979,3282)))</f>
        <v>93988135.074768424</v>
      </c>
      <c r="B4890">
        <v>182852537.52039972</v>
      </c>
    </row>
    <row r="4891" spans="1:2" x14ac:dyDescent="0.25">
      <c r="A4891">
        <f ca="1">35786.9999676361*((RANDBETWEEN(2979,3282)))</f>
        <v>112872197.89792427</v>
      </c>
      <c r="B4891">
        <v>173337811.2997078</v>
      </c>
    </row>
    <row r="4892" spans="1:2" x14ac:dyDescent="0.25">
      <c r="A4892">
        <f ca="1">41054.2274381667*((RANDBETWEEN(2979,3282)))</f>
        <v>131414582.02957164</v>
      </c>
      <c r="B4892">
        <v>164168886.07627583</v>
      </c>
    </row>
    <row r="4893" spans="1:2" x14ac:dyDescent="0.25">
      <c r="A4893">
        <f ca="1">39050.5471146291*((RANDBETWEEN(2979,3282)))</f>
        <v>120588089.4899748</v>
      </c>
      <c r="B4893">
        <v>157224789.9702737</v>
      </c>
    </row>
    <row r="4894" spans="1:2" x14ac:dyDescent="0.25">
      <c r="A4894">
        <f ca="1">31114.0021805754*((RANDBETWEEN(2979,3282)))</f>
        <v>98009106.868812472</v>
      </c>
      <c r="B4894">
        <v>158930072.52842286</v>
      </c>
    </row>
    <row r="4895" spans="1:2" x14ac:dyDescent="0.25">
      <c r="A4895">
        <f ca="1">33420.8146268639*((RANDBETWEEN(2979,3282)))</f>
        <v>109319484.64447181</v>
      </c>
      <c r="B4895">
        <v>166887374.89482534</v>
      </c>
    </row>
    <row r="4896" spans="1:2" x14ac:dyDescent="0.25">
      <c r="A4896">
        <f ca="1">33983.4469865665*((RANDBETWEEN(2979,3282)))</f>
        <v>102765943.6873771</v>
      </c>
      <c r="B4896">
        <v>170323499.67539814</v>
      </c>
    </row>
    <row r="4897" spans="1:2" x14ac:dyDescent="0.25">
      <c r="A4897">
        <f ca="1">32256.4494887878*((RANDBETWEEN(2979,3282)))</f>
        <v>102059406.18252449</v>
      </c>
      <c r="B4897">
        <v>175875758.52027395</v>
      </c>
    </row>
    <row r="4898" spans="1:2" x14ac:dyDescent="0.25">
      <c r="A4898">
        <f ca="1">38963.7219317151*((RANDBETWEEN(2979,3282)))</f>
        <v>119501735.16457023</v>
      </c>
      <c r="B4898">
        <v>176025350.11261317</v>
      </c>
    </row>
    <row r="4899" spans="1:2" x14ac:dyDescent="0.25">
      <c r="A4899">
        <f ca="1">32064.822471131*((RANDBETWEEN(2979,3282)))</f>
        <v>102960144.95480163</v>
      </c>
      <c r="B4899">
        <v>175330586.67660779</v>
      </c>
    </row>
    <row r="4900" spans="1:2" x14ac:dyDescent="0.25">
      <c r="A4900">
        <f ca="1">41028.1873597033*((RANDBETWEEN(2979,3282)))</f>
        <v>125341112.38389367</v>
      </c>
      <c r="B4900">
        <v>146211355.75368294</v>
      </c>
    </row>
    <row r="4901" spans="1:2" x14ac:dyDescent="0.25">
      <c r="A4901">
        <f ca="1">36766.1891378185*((RANDBETWEEN(2979,3282)))</f>
        <v>114526679.16430473</v>
      </c>
      <c r="B4901">
        <v>154680124.02478749</v>
      </c>
    </row>
    <row r="4902" spans="1:2" x14ac:dyDescent="0.25">
      <c r="A4902">
        <f ca="1">38083.5122054837*((RANDBETWEEN(2979,3282)))</f>
        <v>114936039.83614971</v>
      </c>
      <c r="B4902">
        <v>195903527.5763391</v>
      </c>
    </row>
    <row r="4903" spans="1:2" x14ac:dyDescent="0.25">
      <c r="A4903">
        <f ca="1">30823.9468896284*((RANDBETWEEN(2979,3282)))</f>
        <v>97342024.277446344</v>
      </c>
      <c r="B4903">
        <v>175270312.82889327</v>
      </c>
    </row>
    <row r="4904" spans="1:2" x14ac:dyDescent="0.25">
      <c r="A4904">
        <f ca="1">32164.195695626*((RANDBETWEEN(2979,3282)))</f>
        <v>102796769.4432206</v>
      </c>
      <c r="B4904">
        <v>146292923.92921281</v>
      </c>
    </row>
    <row r="4905" spans="1:2" x14ac:dyDescent="0.25">
      <c r="A4905">
        <f ca="1">31261.4042464567*((RANDBETWEEN(2979,3282)))</f>
        <v>99661356.737703845</v>
      </c>
      <c r="B4905">
        <v>176360033.99495143</v>
      </c>
    </row>
    <row r="4906" spans="1:2" x14ac:dyDescent="0.25">
      <c r="A4906">
        <f ca="1">31077.3314335637*((RANDBETWEEN(2979,3282)))</f>
        <v>100410857.86184436</v>
      </c>
      <c r="B4906">
        <v>149237367.55519429</v>
      </c>
    </row>
    <row r="4907" spans="1:2" x14ac:dyDescent="0.25">
      <c r="A4907">
        <f ca="1">32084.9838743751*((RANDBETWEEN(2979,3282)))</f>
        <v>97506265.994226024</v>
      </c>
      <c r="B4907">
        <v>181015844.84128052</v>
      </c>
    </row>
    <row r="4908" spans="1:2" x14ac:dyDescent="0.25">
      <c r="A4908">
        <f ca="1">39725.1311376855*((RANDBETWEEN(2979,3282)))</f>
        <v>125412239.00167309</v>
      </c>
      <c r="B4908">
        <v>145667968.22365212</v>
      </c>
    </row>
    <row r="4909" spans="1:2" x14ac:dyDescent="0.25">
      <c r="A4909">
        <f ca="1">31620.2215186394*((RANDBETWEEN(2979,3282)))</f>
        <v>95050385.885030076</v>
      </c>
      <c r="B4909">
        <v>179061138.71624658</v>
      </c>
    </row>
    <row r="4910" spans="1:2" x14ac:dyDescent="0.25">
      <c r="A4910">
        <f ca="1">31495.7157047831*((RANDBETWEEN(2979,3282)))</f>
        <v>102581546.05047867</v>
      </c>
      <c r="B4910">
        <v>156031255.59304819</v>
      </c>
    </row>
    <row r="4911" spans="1:2" x14ac:dyDescent="0.25">
      <c r="A4911">
        <f ca="1">30946.6702143265*((RANDBETWEEN(2979,3282)))</f>
        <v>99060291.356059089</v>
      </c>
      <c r="B4911">
        <v>154329263.48504117</v>
      </c>
    </row>
    <row r="4912" spans="1:2" x14ac:dyDescent="0.25">
      <c r="A4912">
        <f ca="1">32020.9546005344*((RANDBETWEEN(2979,3282)))</f>
        <v>95998821.892402187</v>
      </c>
      <c r="B4912">
        <v>154255773.86435491</v>
      </c>
    </row>
    <row r="4913" spans="1:2" x14ac:dyDescent="0.25">
      <c r="A4913">
        <f ca="1">34054.9381979144*((RANDBETWEEN(2979,3282)))</f>
        <v>110406109.63763854</v>
      </c>
      <c r="B4913">
        <v>152138691.93427002</v>
      </c>
    </row>
    <row r="4914" spans="1:2" x14ac:dyDescent="0.25">
      <c r="A4914">
        <f ca="1">32078.2150578039*((RANDBETWEEN(2979,3282)))</f>
        <v>104510824.65832521</v>
      </c>
      <c r="B4914">
        <v>144530299.3567653</v>
      </c>
    </row>
    <row r="4915" spans="1:2" x14ac:dyDescent="0.25">
      <c r="A4915">
        <f ca="1">32654.6256256448*((RANDBETWEEN(2979,3282)))</f>
        <v>98812897.143201113</v>
      </c>
      <c r="B4915">
        <v>150400217.62221116</v>
      </c>
    </row>
    <row r="4916" spans="1:2" x14ac:dyDescent="0.25">
      <c r="A4916">
        <f ca="1">36335.4784564052*((RANDBETWEEN(2979,3282)))</f>
        <v>108752087.02002066</v>
      </c>
      <c r="B4916">
        <v>158504815.83949134</v>
      </c>
    </row>
    <row r="4917" spans="1:2" x14ac:dyDescent="0.25">
      <c r="A4917">
        <f ca="1">29647.3886023851*((RANDBETWEEN(2979,3282)))</f>
        <v>92737031.548260584</v>
      </c>
      <c r="B4917">
        <v>194481977.64025816</v>
      </c>
    </row>
    <row r="4918" spans="1:2" x14ac:dyDescent="0.25">
      <c r="A4918">
        <f ca="1">27377.4866203795*((RANDBETWEEN(2979,3282)))</f>
        <v>85992685.474612117</v>
      </c>
      <c r="B4918">
        <v>162667977.86276731</v>
      </c>
    </row>
    <row r="4919" spans="1:2" x14ac:dyDescent="0.25">
      <c r="A4919">
        <f ca="1">34450.6257318314*((RANDBETWEEN(2979,3282)))</f>
        <v>107623754.78624129</v>
      </c>
      <c r="B4919">
        <v>158978316.78504246</v>
      </c>
    </row>
    <row r="4920" spans="1:2" x14ac:dyDescent="0.25">
      <c r="A4920">
        <f ca="1">30196.9700267952*((RANDBETWEEN(2979,3282)))</f>
        <v>93942773.753359899</v>
      </c>
      <c r="B4920">
        <v>165648294.67092189</v>
      </c>
    </row>
    <row r="4921" spans="1:2" x14ac:dyDescent="0.25">
      <c r="A4921">
        <f ca="1">40155.5600096693*((RANDBETWEEN(2979,3282)))</f>
        <v>131107903.43157028</v>
      </c>
      <c r="B4921">
        <v>187865141.18009636</v>
      </c>
    </row>
    <row r="4922" spans="1:2" x14ac:dyDescent="0.25">
      <c r="A4922">
        <f ca="1">32405.2532609959*((RANDBETWEEN(2979,3282)))</f>
        <v>103340352.64931603</v>
      </c>
      <c r="B4922">
        <v>184739352.70887908</v>
      </c>
    </row>
    <row r="4923" spans="1:2" x14ac:dyDescent="0.25">
      <c r="A4923">
        <f ca="1">38108.493885495*((RANDBETWEEN(2979,3282)))</f>
        <v>116764425.26515666</v>
      </c>
      <c r="B4923">
        <v>196800416.14079928</v>
      </c>
    </row>
    <row r="4924" spans="1:2" x14ac:dyDescent="0.25">
      <c r="A4924">
        <f ca="1">35963.8915424866*((RANDBETWEEN(2979,3282)))</f>
        <v>114041500.08122489</v>
      </c>
      <c r="B4924">
        <v>163561391.99121237</v>
      </c>
    </row>
    <row r="4925" spans="1:2" x14ac:dyDescent="0.25">
      <c r="A4925">
        <f ca="1">34703.4604690984*((RANDBETWEEN(2979,3282)))</f>
        <v>109315900.47765982</v>
      </c>
      <c r="B4925">
        <v>182073117.02295589</v>
      </c>
    </row>
    <row r="4926" spans="1:2" x14ac:dyDescent="0.25">
      <c r="A4926">
        <f ca="1">31798.6434168588*((RANDBETWEEN(2979,3282)))</f>
        <v>94759957.382239193</v>
      </c>
      <c r="B4926">
        <v>148904679.71296084</v>
      </c>
    </row>
    <row r="4927" spans="1:2" x14ac:dyDescent="0.25">
      <c r="A4927">
        <f ca="1">28541.145227209*((RANDBETWEEN(2979,3282)))</f>
        <v>88591714.785256773</v>
      </c>
      <c r="B4927">
        <v>144707800.67954803</v>
      </c>
    </row>
    <row r="4928" spans="1:2" x14ac:dyDescent="0.25">
      <c r="A4928">
        <f ca="1">34503.2735369587*((RANDBETWEEN(2979,3282)))</f>
        <v>107305180.69994155</v>
      </c>
      <c r="B4928">
        <v>143369980.79015625</v>
      </c>
    </row>
    <row r="4929" spans="1:2" x14ac:dyDescent="0.25">
      <c r="A4929">
        <f ca="1">32902.0655998093*((RANDBETWEEN(2979,3282)))</f>
        <v>105451120.24738875</v>
      </c>
      <c r="B4929">
        <v>154726683.89738345</v>
      </c>
    </row>
    <row r="4930" spans="1:2" x14ac:dyDescent="0.25">
      <c r="A4930">
        <f ca="1">27912.8551938246*((RANDBETWEEN(2979,3282)))</f>
        <v>89125746.63388209</v>
      </c>
      <c r="B4930">
        <v>160131333.66013375</v>
      </c>
    </row>
    <row r="4931" spans="1:2" x14ac:dyDescent="0.25">
      <c r="A4931">
        <f ca="1">32082.2364255435*((RANDBETWEEN(2979,3282)))</f>
        <v>103401047.99952662</v>
      </c>
      <c r="B4931">
        <v>168526069.60348603</v>
      </c>
    </row>
    <row r="4932" spans="1:2" x14ac:dyDescent="0.25">
      <c r="A4932">
        <f ca="1">36057.12053591*((RANDBETWEEN(2979,3282)))</f>
        <v>109361246.58541505</v>
      </c>
      <c r="B4932">
        <v>197142034.61318004</v>
      </c>
    </row>
    <row r="4933" spans="1:2" x14ac:dyDescent="0.25">
      <c r="A4933">
        <f ca="1">33512.4731884909*((RANDBETWEEN(2979,3282)))</f>
        <v>104927553.55316488</v>
      </c>
      <c r="B4933">
        <v>182187188.91376787</v>
      </c>
    </row>
    <row r="4934" spans="1:2" x14ac:dyDescent="0.25">
      <c r="A4934">
        <f ca="1">31527.0546585008*((RANDBETWEEN(2979,3282)))</f>
        <v>100634358.46993458</v>
      </c>
      <c r="B4934">
        <v>167821929.51617539</v>
      </c>
    </row>
    <row r="4935" spans="1:2" x14ac:dyDescent="0.25">
      <c r="A4935">
        <f ca="1">39321.0618901386*((RANDBETWEEN(2979,3282)))</f>
        <v>128343946.0094123</v>
      </c>
      <c r="B4935">
        <v>177672030.71063879</v>
      </c>
    </row>
    <row r="4936" spans="1:2" x14ac:dyDescent="0.25">
      <c r="A4936">
        <f ca="1">27445.5905621727*((RANDBETWEEN(2979,3282)))</f>
        <v>86892739.719838694</v>
      </c>
      <c r="B4936">
        <v>168350099.93559372</v>
      </c>
    </row>
    <row r="4937" spans="1:2" x14ac:dyDescent="0.25">
      <c r="A4937">
        <f ca="1">29635.8763658973*((RANDBETWEEN(2979,3282)))</f>
        <v>93353010.552576572</v>
      </c>
      <c r="B4937">
        <v>155556243.23530221</v>
      </c>
    </row>
    <row r="4938" spans="1:2" x14ac:dyDescent="0.25">
      <c r="A4938">
        <f ca="1">39714.1233751521*((RANDBETWEEN(2979,3282)))</f>
        <v>125774628.72910677</v>
      </c>
      <c r="B4938">
        <v>182508078.6313726</v>
      </c>
    </row>
    <row r="4939" spans="1:2" x14ac:dyDescent="0.25">
      <c r="A4939">
        <f ca="1">33200.7412990555*((RANDBETWEEN(2979,3282)))</f>
        <v>104881141.76371644</v>
      </c>
      <c r="B4939">
        <v>151880197.71406516</v>
      </c>
    </row>
    <row r="4940" spans="1:2" x14ac:dyDescent="0.25">
      <c r="A4940">
        <f ca="1">37612.8470115884*((RANDBETWEEN(2979,3282)))</f>
        <v>115659504.56063434</v>
      </c>
      <c r="B4940">
        <v>153418503.69539589</v>
      </c>
    </row>
    <row r="4941" spans="1:2" x14ac:dyDescent="0.25">
      <c r="A4941">
        <f ca="1">35672.6508996019*((RANDBETWEEN(2979,3282)))</f>
        <v>106625553.53891014</v>
      </c>
      <c r="B4941">
        <v>198053264.39415267</v>
      </c>
    </row>
    <row r="4942" spans="1:2" x14ac:dyDescent="0.25">
      <c r="A4942">
        <f ca="1">34028.8806521483*((RANDBETWEEN(2979,3282)))</f>
        <v>105557587.78296398</v>
      </c>
      <c r="B4942">
        <v>161178441.04413423</v>
      </c>
    </row>
    <row r="4943" spans="1:2" x14ac:dyDescent="0.25">
      <c r="A4943">
        <f ca="1">35046.2938936684*((RANDBETWEEN(2979,3282)))</f>
        <v>107942585.1924988</v>
      </c>
      <c r="B4943">
        <v>143340110.61177981</v>
      </c>
    </row>
    <row r="4944" spans="1:2" x14ac:dyDescent="0.25">
      <c r="A4944">
        <f ca="1">38908.5717934762*((RANDBETWEEN(2979,3282)))</f>
        <v>125091058.31602588</v>
      </c>
      <c r="B4944">
        <v>145243063.80875683</v>
      </c>
    </row>
    <row r="4945" spans="1:2" x14ac:dyDescent="0.25">
      <c r="A4945">
        <f ca="1">30839.1003772021*((RANDBETWEEN(2979,3282)))</f>
        <v>96526384.180642635</v>
      </c>
      <c r="B4945">
        <v>149883704.65369266</v>
      </c>
    </row>
    <row r="4946" spans="1:2" x14ac:dyDescent="0.25">
      <c r="A4946">
        <f ca="1">30886.8014725917*((RANDBETWEEN(2979,3282)))</f>
        <v>97478745.447499365</v>
      </c>
      <c r="B4946">
        <v>143816408.49217567</v>
      </c>
    </row>
    <row r="4947" spans="1:2" x14ac:dyDescent="0.25">
      <c r="A4947">
        <f ca="1">38316.7319564882*((RANDBETWEEN(2979,3282)))</f>
        <v>122958392.84837067</v>
      </c>
      <c r="B4947">
        <v>200643073.93158937</v>
      </c>
    </row>
    <row r="4948" spans="1:2" x14ac:dyDescent="0.25">
      <c r="A4948">
        <f ca="1">32261.1811871678*((RANDBETWEEN(2979,3282)))</f>
        <v>104074570.50980324</v>
      </c>
      <c r="B4948">
        <v>187914783.58083755</v>
      </c>
    </row>
    <row r="4949" spans="1:2" x14ac:dyDescent="0.25">
      <c r="A4949">
        <f ca="1">32333.8404655413*((RANDBETWEEN(2979,3282)))</f>
        <v>99458893.272005066</v>
      </c>
      <c r="B4949">
        <v>171884163.19401976</v>
      </c>
    </row>
    <row r="4950" spans="1:2" x14ac:dyDescent="0.25">
      <c r="A4950">
        <f ca="1">27937.9925532347*((RANDBETWEEN(2979,3282)))</f>
        <v>85434381.227791563</v>
      </c>
      <c r="B4950">
        <v>184406910.94866145</v>
      </c>
    </row>
    <row r="4951" spans="1:2" x14ac:dyDescent="0.25">
      <c r="A4951">
        <f ca="1">30738.5161448305*((RANDBETWEEN(2979,3282)))</f>
        <v>98332513.147312686</v>
      </c>
      <c r="B4951">
        <v>152882769.61778039</v>
      </c>
    </row>
    <row r="4952" spans="1:2" x14ac:dyDescent="0.25">
      <c r="A4952">
        <f ca="1">31519.1363925708*((RANDBETWEEN(2979,3282)))</f>
        <v>96543114.770444363</v>
      </c>
      <c r="B4952">
        <v>182808454.26633495</v>
      </c>
    </row>
    <row r="4953" spans="1:2" x14ac:dyDescent="0.25">
      <c r="A4953">
        <f ca="1">33542.0616615074*((RANDBETWEEN(2979,3282)))</f>
        <v>107099802.88519309</v>
      </c>
      <c r="B4953">
        <v>192670964.50879902</v>
      </c>
    </row>
    <row r="4954" spans="1:2" x14ac:dyDescent="0.25">
      <c r="A4954">
        <f ca="1">32206.2227599616*((RANDBETWEEN(2979,3282)))</f>
        <v>99034134.986881986</v>
      </c>
      <c r="B4954">
        <v>172141391.16005969</v>
      </c>
    </row>
    <row r="4955" spans="1:2" x14ac:dyDescent="0.25">
      <c r="A4955">
        <f ca="1">31696.0447211368*((RANDBETWEEN(2979,3282)))</f>
        <v>99335404.156042799</v>
      </c>
      <c r="B4955">
        <v>187759289.95446855</v>
      </c>
    </row>
    <row r="4956" spans="1:2" x14ac:dyDescent="0.25">
      <c r="A4956">
        <f ca="1">31033.2868401435*((RANDBETWEEN(2979,3282)))</f>
        <v>93068827.233590424</v>
      </c>
      <c r="B4956">
        <v>145310184.18320283</v>
      </c>
    </row>
    <row r="4957" spans="1:2" x14ac:dyDescent="0.25">
      <c r="A4957">
        <f ca="1">42492.6301099468*((RANDBETWEEN(2979,3282)))</f>
        <v>135381519.53029048</v>
      </c>
      <c r="B4957">
        <v>167015447.22383654</v>
      </c>
    </row>
    <row r="4958" spans="1:2" x14ac:dyDescent="0.25">
      <c r="A4958">
        <f ca="1">31991.6581493035*((RANDBETWEEN(2979,3282)))</f>
        <v>97606549.01352495</v>
      </c>
      <c r="B4958">
        <v>160753356.22043732</v>
      </c>
    </row>
    <row r="4959" spans="1:2" x14ac:dyDescent="0.25">
      <c r="A4959">
        <f ca="1">30486.506668181*((RANDBETWEEN(2979,3282)))</f>
        <v>96764172.164806485</v>
      </c>
      <c r="B4959">
        <v>154119756.37851977</v>
      </c>
    </row>
    <row r="4960" spans="1:2" x14ac:dyDescent="0.25">
      <c r="A4960">
        <f ca="1">31977.7454564279*((RANDBETWEEN(2979,3282)))</f>
        <v>99994410.042249978</v>
      </c>
      <c r="B4960">
        <v>148577599.49630678</v>
      </c>
    </row>
    <row r="4961" spans="1:2" x14ac:dyDescent="0.25">
      <c r="A4961">
        <f ca="1">41137.85871236*((RANDBETWEEN(2979,3282)))</f>
        <v>129008324.92196102</v>
      </c>
      <c r="B4961">
        <v>146818691.24552375</v>
      </c>
    </row>
    <row r="4962" spans="1:2" x14ac:dyDescent="0.25">
      <c r="A4962">
        <f ca="1">35881.4214054169*((RANDBETWEEN(2979,3282)))</f>
        <v>111914153.36349539</v>
      </c>
      <c r="B4962">
        <v>194545954.44967714</v>
      </c>
    </row>
    <row r="4963" spans="1:2" x14ac:dyDescent="0.25">
      <c r="A4963">
        <f ca="1">39420.7879514017*((RANDBETWEEN(2979,3282)))</f>
        <v>120903556.64694916</v>
      </c>
      <c r="B4963">
        <v>143317270.35792375</v>
      </c>
    </row>
    <row r="4964" spans="1:2" x14ac:dyDescent="0.25">
      <c r="A4964">
        <f ca="1">37929.6515898631*((RANDBETWEEN(2979,3282)))</f>
        <v>115457859.43954313</v>
      </c>
      <c r="B4964">
        <v>159181979.25444669</v>
      </c>
    </row>
    <row r="4965" spans="1:2" x14ac:dyDescent="0.25">
      <c r="A4965">
        <f ca="1">41109.1478198339*((RANDBETWEEN(2979,3282)))</f>
        <v>126986157.61546697</v>
      </c>
      <c r="B4965">
        <v>165325393.34605017</v>
      </c>
    </row>
    <row r="4966" spans="1:2" x14ac:dyDescent="0.25">
      <c r="A4966">
        <f ca="1">32588.4897488428*((RANDBETWEEN(2979,3282)))</f>
        <v>102164915.36262231</v>
      </c>
      <c r="B4966">
        <v>164762400.90483707</v>
      </c>
    </row>
    <row r="4967" spans="1:2" x14ac:dyDescent="0.25">
      <c r="A4967">
        <f ca="1">35565.9206094951*((RANDBETWEEN(2979,3282)))</f>
        <v>108689453.38261706</v>
      </c>
      <c r="B4967">
        <v>177362808.14835232</v>
      </c>
    </row>
    <row r="4968" spans="1:2" x14ac:dyDescent="0.25">
      <c r="A4968">
        <f ca="1">31232.6166926305*((RANDBETWEEN(2979,3282)))</f>
        <v>98507673.0485567</v>
      </c>
      <c r="B4968">
        <v>172071064.09743357</v>
      </c>
    </row>
    <row r="4969" spans="1:2" x14ac:dyDescent="0.25">
      <c r="A4969">
        <f ca="1">30561.9831533632*((RANDBETWEEN(2979,3282)))</f>
        <v>93641916.381904691</v>
      </c>
      <c r="B4969">
        <v>145210789.90633053</v>
      </c>
    </row>
    <row r="4970" spans="1:2" x14ac:dyDescent="0.25">
      <c r="A4970">
        <f ca="1">33156.7281496964*((RANDBETWEEN(2979,3282)))</f>
        <v>99768595.002436548</v>
      </c>
      <c r="B4970">
        <v>144775420.36422044</v>
      </c>
    </row>
    <row r="4971" spans="1:2" x14ac:dyDescent="0.25">
      <c r="A4971">
        <f ca="1">33316.557489182*((RANDBETWEEN(2979,3282)))</f>
        <v>108478711.18477647</v>
      </c>
      <c r="B4971">
        <v>148057861.77712494</v>
      </c>
    </row>
    <row r="4972" spans="1:2" x14ac:dyDescent="0.25">
      <c r="A4972">
        <f ca="1">31965.9368155731*((RANDBETWEEN(2979,3282)))</f>
        <v>99222267.875538856</v>
      </c>
      <c r="B4972">
        <v>153557902.63043034</v>
      </c>
    </row>
    <row r="4973" spans="1:2" x14ac:dyDescent="0.25">
      <c r="A4973">
        <f ca="1">31602.6723867568*((RANDBETWEEN(2979,3282)))</f>
        <v>96956998.882570058</v>
      </c>
      <c r="B4973">
        <v>190790240.88676256</v>
      </c>
    </row>
    <row r="4974" spans="1:2" x14ac:dyDescent="0.25">
      <c r="A4974">
        <f ca="1">29737.3099195279*((RANDBETWEEN(2979,3282)))</f>
        <v>90609583.324801713</v>
      </c>
      <c r="B4974">
        <v>148523625.02107131</v>
      </c>
    </row>
    <row r="4975" spans="1:2" x14ac:dyDescent="0.25">
      <c r="A4975">
        <f ca="1">31647.9956711033*((RANDBETWEEN(2979,3282)))</f>
        <v>96083314.857469499</v>
      </c>
      <c r="B4975">
        <v>155183846.63845536</v>
      </c>
    </row>
    <row r="4976" spans="1:2" x14ac:dyDescent="0.25">
      <c r="A4976">
        <f ca="1">34839.6834668612*((RANDBETWEEN(2979,3282)))</f>
        <v>105146164.70298706</v>
      </c>
      <c r="B4976">
        <v>195948930.91284323</v>
      </c>
    </row>
    <row r="4977" spans="1:2" x14ac:dyDescent="0.25">
      <c r="A4977">
        <f ca="1">33280.6747786966*((RANDBETWEEN(2979,3282)))</f>
        <v>108794525.85155909</v>
      </c>
      <c r="B4977">
        <v>147623231.33217773</v>
      </c>
    </row>
    <row r="4978" spans="1:2" x14ac:dyDescent="0.25">
      <c r="A4978">
        <f ca="1">33303.9698981456*((RANDBETWEEN(2979,3282)))</f>
        <v>99878605.724538699</v>
      </c>
      <c r="B4978">
        <v>169050235.80581436</v>
      </c>
    </row>
    <row r="4979" spans="1:2" x14ac:dyDescent="0.25">
      <c r="A4979">
        <f ca="1">38910.1162481613*((RANDBETWEEN(2979,3282)))</f>
        <v>124979293.389094</v>
      </c>
      <c r="B4979">
        <v>145224494.94460884</v>
      </c>
    </row>
    <row r="4980" spans="1:2" x14ac:dyDescent="0.25">
      <c r="A4980">
        <f ca="1">35826.1950747911*((RANDBETWEEN(2979,3282)))</f>
        <v>111132857.12200193</v>
      </c>
      <c r="B4980">
        <v>159170909.59990445</v>
      </c>
    </row>
    <row r="4981" spans="1:2" x14ac:dyDescent="0.25">
      <c r="A4981">
        <f ca="1">35713.7157462756*((RANDBETWEEN(2979,3282)))</f>
        <v>107319715.81755818</v>
      </c>
      <c r="B4981">
        <v>188545251.81329742</v>
      </c>
    </row>
    <row r="4982" spans="1:2" x14ac:dyDescent="0.25">
      <c r="A4982">
        <f ca="1">32009.3277603423*((RANDBETWEEN(2979,3282)))</f>
        <v>104222371.18767442</v>
      </c>
      <c r="B4982">
        <v>183031291.52136928</v>
      </c>
    </row>
    <row r="4983" spans="1:2" x14ac:dyDescent="0.25">
      <c r="A4983">
        <f ca="1">32339.752179897*((RANDBETWEEN(2979,3282)))</f>
        <v>96598839.76135245</v>
      </c>
      <c r="B4983">
        <v>162697574.39290187</v>
      </c>
    </row>
    <row r="4984" spans="1:2" x14ac:dyDescent="0.25">
      <c r="A4984">
        <f ca="1">32003.4732180867*((RANDBETWEEN(2979,3282)))</f>
        <v>104619353.94992532</v>
      </c>
      <c r="B4984">
        <v>149972831.37264562</v>
      </c>
    </row>
    <row r="4985" spans="1:2" x14ac:dyDescent="0.25">
      <c r="A4985">
        <f ca="1">28992.7414362193*((RANDBETWEEN(2979,3282)))</f>
        <v>93965474.994786769</v>
      </c>
      <c r="B4985">
        <v>144480303.44780552</v>
      </c>
    </row>
    <row r="4986" spans="1:2" x14ac:dyDescent="0.25">
      <c r="A4986">
        <f ca="1">30729.8668118759*((RANDBETWEEN(2979,3282)))</f>
        <v>99288199.669170871</v>
      </c>
      <c r="B4986">
        <v>184162663.92811021</v>
      </c>
    </row>
    <row r="4987" spans="1:2" x14ac:dyDescent="0.25">
      <c r="A4987">
        <f ca="1">37109.9315113075*((RANDBETWEEN(2979,3282)))</f>
        <v>116339635.28794892</v>
      </c>
      <c r="B4987">
        <v>145035159.47687197</v>
      </c>
    </row>
    <row r="4988" spans="1:2" x14ac:dyDescent="0.25">
      <c r="A4988">
        <f ca="1">29488.1030676279*((RANDBETWEEN(2979,3282)))</f>
        <v>96131216.000467032</v>
      </c>
      <c r="B4988">
        <v>147688595.31662184</v>
      </c>
    </row>
    <row r="4989" spans="1:2" x14ac:dyDescent="0.25">
      <c r="A4989">
        <f ca="1">29445.7927536128*((RANDBETWEEN(2979,3282)))</f>
        <v>93195934.065184683</v>
      </c>
      <c r="B4989">
        <v>201544753.58675671</v>
      </c>
    </row>
    <row r="4990" spans="1:2" x14ac:dyDescent="0.25">
      <c r="A4990">
        <f ca="1">29430.8090603307*((RANDBETWEEN(2979,3282)))</f>
        <v>90705753.523939356</v>
      </c>
      <c r="B4990">
        <v>147762782.40662986</v>
      </c>
    </row>
    <row r="4991" spans="1:2" x14ac:dyDescent="0.25">
      <c r="A4991">
        <f ca="1">31949.1056602373*((RANDBETWEEN(2979,3282)))</f>
        <v>98467143.644851282</v>
      </c>
      <c r="B4991">
        <v>163936459.84285367</v>
      </c>
    </row>
    <row r="4992" spans="1:2" x14ac:dyDescent="0.25">
      <c r="A4992">
        <f ca="1">29749.9335509006*((RANDBETWEEN(2979,3282)))</f>
        <v>95437786.831289008</v>
      </c>
      <c r="B4992">
        <v>154386879.4494428</v>
      </c>
    </row>
    <row r="4993" spans="1:2" x14ac:dyDescent="0.25">
      <c r="A4993">
        <f ca="1">34273.5575180567*((RANDBETWEEN(2979,3282)))</f>
        <v>109469742.71267295</v>
      </c>
      <c r="B4993">
        <v>194790346.26541454</v>
      </c>
    </row>
    <row r="4994" spans="1:2" x14ac:dyDescent="0.25">
      <c r="A4994">
        <f ca="1">33205.0464990886*((RANDBETWEEN(2979,3282)))</f>
        <v>102238338.17069368</v>
      </c>
      <c r="B4994">
        <v>145424060.08958289</v>
      </c>
    </row>
    <row r="4995" spans="1:2" x14ac:dyDescent="0.25">
      <c r="A4995">
        <f ca="1">41083.5927795239*((RANDBETWEEN(2979,3282)))</f>
        <v>124606536.90029587</v>
      </c>
      <c r="B4995">
        <v>165558626.54777184</v>
      </c>
    </row>
    <row r="4996" spans="1:2" x14ac:dyDescent="0.25">
      <c r="A4996">
        <f ca="1">28565.3904709262*((RANDBETWEEN(2979,3282)))</f>
        <v>90637983.964248925</v>
      </c>
      <c r="B4996">
        <v>149390578.09606913</v>
      </c>
    </row>
    <row r="4997" spans="1:2" x14ac:dyDescent="0.25">
      <c r="A4997">
        <f ca="1">33923.8766300247*((RANDBETWEEN(2979,3282)))</f>
        <v>109947284.15790996</v>
      </c>
      <c r="B4997">
        <v>160967749.50196144</v>
      </c>
    </row>
    <row r="4998" spans="1:2" x14ac:dyDescent="0.25">
      <c r="A4998">
        <f ca="1">32060.2621416532*((RANDBETWEEN(2979,3282)))</f>
        <v>97334955.862059027</v>
      </c>
      <c r="B4998">
        <v>151474601.77612746</v>
      </c>
    </row>
    <row r="4999" spans="1:2" x14ac:dyDescent="0.25">
      <c r="A4999">
        <f ca="1">30887.1276618131*((RANDBETWEEN(2979,3282)))</f>
        <v>92661382.985439211</v>
      </c>
      <c r="B4999">
        <v>187567137.38369489</v>
      </c>
    </row>
    <row r="5000" spans="1:2" x14ac:dyDescent="0.25">
      <c r="A5000">
        <f ca="1">35794.9537592784*((RANDBETWEEN(2979,3282)))</f>
        <v>116834729.07028459</v>
      </c>
      <c r="B5000">
        <v>179925358.85781372</v>
      </c>
    </row>
    <row r="5001" spans="1:2" x14ac:dyDescent="0.25">
      <c r="A5001">
        <f ca="1">30432.9200147153*((RANDBETWEEN(2979,3282)))</f>
        <v>98572227.92766273</v>
      </c>
      <c r="B5001">
        <v>158902871.05021352</v>
      </c>
    </row>
    <row r="5002" spans="1:2" x14ac:dyDescent="0.25">
      <c r="A5002">
        <f ca="1">36619.5306179773*((RANDBETWEEN(2979,3282)))</f>
        <v>114912087.0792128</v>
      </c>
      <c r="B5002">
        <v>157160002.94422853</v>
      </c>
    </row>
    <row r="5003" spans="1:2" x14ac:dyDescent="0.25">
      <c r="A5003">
        <f ca="1">31535.3624602041*((RANDBETWEEN(2979,3282)))</f>
        <v>94322269.11847055</v>
      </c>
      <c r="B5003">
        <v>161275204.53344738</v>
      </c>
    </row>
    <row r="5004" spans="1:2" x14ac:dyDescent="0.25">
      <c r="A5004">
        <f ca="1">35518.4236394078*((RANDBETWEEN(2979,3282)))</f>
        <v>112238218.70052868</v>
      </c>
      <c r="B5004">
        <v>190932118.83220476</v>
      </c>
    </row>
    <row r="5005" spans="1:2" x14ac:dyDescent="0.25">
      <c r="A5005">
        <f ca="1">30875.744423318*((RANDBETWEEN(2979,3282)))</f>
        <v>97073340.466911808</v>
      </c>
      <c r="B5005">
        <v>169773519.17216241</v>
      </c>
    </row>
    <row r="5006" spans="1:2" x14ac:dyDescent="0.25">
      <c r="A5006">
        <f ca="1">38995.6216051443*((RANDBETWEEN(2979,3282)))</f>
        <v>121354374.43520899</v>
      </c>
      <c r="B5006">
        <v>158369813.34218216</v>
      </c>
    </row>
    <row r="5007" spans="1:2" x14ac:dyDescent="0.25">
      <c r="A5007">
        <f ca="1">39558.0718403268*((RANDBETWEEN(2979,3282)))</f>
        <v>121878419.34004697</v>
      </c>
      <c r="B5007">
        <v>195853380.74301338</v>
      </c>
    </row>
    <row r="5008" spans="1:2" x14ac:dyDescent="0.25">
      <c r="A5008">
        <f ca="1">39454.0387649782*((RANDBETWEEN(2979,3282)))</f>
        <v>121755163.62872286</v>
      </c>
      <c r="B5008">
        <v>156270108.56429821</v>
      </c>
    </row>
    <row r="5009" spans="1:2" x14ac:dyDescent="0.25">
      <c r="A5009">
        <f ca="1">34814.5281900926*((RANDBETWEEN(2979,3282)))</f>
        <v>105453205.88779055</v>
      </c>
      <c r="B5009">
        <v>156691443.55982226</v>
      </c>
    </row>
    <row r="5010" spans="1:2" x14ac:dyDescent="0.25">
      <c r="A5010">
        <f ca="1">30422.7308819401*((RANDBETWEEN(2979,3282)))</f>
        <v>94249620.272250503</v>
      </c>
      <c r="B5010">
        <v>192834374.2350693</v>
      </c>
    </row>
    <row r="5011" spans="1:2" x14ac:dyDescent="0.25">
      <c r="A5011">
        <f ca="1">33444.9839644033*((RANDBETWEEN(2979,3282)))</f>
        <v>107993853.22105822</v>
      </c>
      <c r="B5011">
        <v>146879487.57124794</v>
      </c>
    </row>
    <row r="5012" spans="1:2" x14ac:dyDescent="0.25">
      <c r="A5012">
        <f ca="1">31438.9683581551*((RANDBETWEEN(2979,3282)))</f>
        <v>96674827.701326936</v>
      </c>
      <c r="B5012">
        <v>180817931.57438275</v>
      </c>
    </row>
    <row r="5013" spans="1:2" x14ac:dyDescent="0.25">
      <c r="A5013">
        <f ca="1">32266.1001989524*((RANDBETWEEN(2979,3282)))</f>
        <v>104638962.94520269</v>
      </c>
      <c r="B5013">
        <v>173081207.22530186</v>
      </c>
    </row>
    <row r="5014" spans="1:2" x14ac:dyDescent="0.25">
      <c r="A5014">
        <f ca="1">32983.9231312028*((RANDBETWEEN(2979,3282)))</f>
        <v>101293627.93592376</v>
      </c>
      <c r="B5014">
        <v>196039355.44418958</v>
      </c>
    </row>
    <row r="5015" spans="1:2" x14ac:dyDescent="0.25">
      <c r="A5015">
        <f ca="1">33489.136071616*((RANDBETWEEN(2979,3282)))</f>
        <v>108471311.73596439</v>
      </c>
      <c r="B5015">
        <v>177921574.21948081</v>
      </c>
    </row>
    <row r="5016" spans="1:2" x14ac:dyDescent="0.25">
      <c r="A5016">
        <f ca="1">40051.8122540613*((RANDBETWEEN(2979,3282)))</f>
        <v>119634763.20288096</v>
      </c>
      <c r="B5016">
        <v>170681217.95158827</v>
      </c>
    </row>
    <row r="5017" spans="1:2" x14ac:dyDescent="0.25">
      <c r="A5017">
        <f ca="1">30634.3338939746*((RANDBETWEEN(2979,3282)))</f>
        <v>94353748.393441692</v>
      </c>
      <c r="B5017">
        <v>197794181.53965577</v>
      </c>
    </row>
    <row r="5018" spans="1:2" x14ac:dyDescent="0.25">
      <c r="A5018">
        <f ca="1">28469.659283089*((RANDBETWEEN(2979,3282)))</f>
        <v>86547764.220590502</v>
      </c>
      <c r="B5018">
        <v>185595474.38518065</v>
      </c>
    </row>
    <row r="5019" spans="1:2" x14ac:dyDescent="0.25">
      <c r="A5019">
        <f ca="1">36003.3264261767*((RANDBETWEEN(2979,3282)))</f>
        <v>116902800.90579586</v>
      </c>
      <c r="B5019">
        <v>158438793.69978729</v>
      </c>
    </row>
    <row r="5020" spans="1:2" x14ac:dyDescent="0.25">
      <c r="A5020">
        <f ca="1">35656.242073385*((RANDBETWEEN(2979,3282)))</f>
        <v>112638068.70982318</v>
      </c>
      <c r="B5020">
        <v>177436621.48582608</v>
      </c>
    </row>
    <row r="5021" spans="1:2" x14ac:dyDescent="0.25">
      <c r="A5021">
        <f ca="1">37015.8642960183*((RANDBETWEEN(2979,3282)))</f>
        <v>118117622.96859443</v>
      </c>
      <c r="B5021">
        <v>175525551.52786484</v>
      </c>
    </row>
    <row r="5022" spans="1:2" x14ac:dyDescent="0.25">
      <c r="A5022">
        <f ca="1">38491.1119558889*((RANDBETWEEN(2979,3282)))</f>
        <v>118899044.83174084</v>
      </c>
      <c r="B5022">
        <v>188227115.39606553</v>
      </c>
    </row>
    <row r="5023" spans="1:2" x14ac:dyDescent="0.25">
      <c r="A5023">
        <f ca="1">40215.607045177*((RANDBETWEEN(2979,3282)))</f>
        <v>122536954.66665418</v>
      </c>
      <c r="B5023">
        <v>152843208.37845391</v>
      </c>
    </row>
    <row r="5024" spans="1:2" x14ac:dyDescent="0.25">
      <c r="A5024">
        <f ca="1">31017.0395828256*((RANDBETWEEN(2979,3282)))</f>
        <v>94291800.331789881</v>
      </c>
      <c r="B5024">
        <v>173750036.51561329</v>
      </c>
    </row>
    <row r="5025" spans="1:2" x14ac:dyDescent="0.25">
      <c r="A5025">
        <f ca="1">39624.4165618626*((RANDBETWEEN(2979,3282)))</f>
        <v>118516629.93653108</v>
      </c>
      <c r="B5025">
        <v>200080139.34450534</v>
      </c>
    </row>
    <row r="5026" spans="1:2" x14ac:dyDescent="0.25">
      <c r="A5026">
        <f ca="1">30978.9953626463*((RANDBETWEEN(2979,3282)))</f>
        <v>100093134.01671024</v>
      </c>
      <c r="B5026">
        <v>203075171.29793453</v>
      </c>
    </row>
    <row r="5027" spans="1:2" x14ac:dyDescent="0.25">
      <c r="A5027">
        <f ca="1">35047.4632944023*((RANDBETWEEN(2979,3282)))</f>
        <v>107595712.31381504</v>
      </c>
      <c r="B5027">
        <v>149142969.28023922</v>
      </c>
    </row>
    <row r="5028" spans="1:2" x14ac:dyDescent="0.25">
      <c r="A5028">
        <f ca="1">39516.9213005956*((RANDBETWEEN(2979,3282)))</f>
        <v>129180815.7316469</v>
      </c>
      <c r="B5028">
        <v>165034190.8575505</v>
      </c>
    </row>
    <row r="5029" spans="1:2" x14ac:dyDescent="0.25">
      <c r="A5029">
        <f ca="1">31104.3960761668*((RANDBETWEEN(2979,3282)))</f>
        <v>95179451.993070319</v>
      </c>
      <c r="B5029">
        <v>164158254.20978725</v>
      </c>
    </row>
    <row r="5030" spans="1:2" x14ac:dyDescent="0.25">
      <c r="A5030">
        <f ca="1">39596.405887588*((RANDBETWEEN(2979,3282)))</f>
        <v>121085809.20424397</v>
      </c>
      <c r="B5030">
        <v>158613046.89641643</v>
      </c>
    </row>
    <row r="5031" spans="1:2" x14ac:dyDescent="0.25">
      <c r="A5031">
        <f ca="1">31039.4238212259*((RANDBETWEEN(2979,3282)))</f>
        <v>97618987.91775544</v>
      </c>
      <c r="B5031">
        <v>197923146.86029243</v>
      </c>
    </row>
    <row r="5032" spans="1:2" x14ac:dyDescent="0.25">
      <c r="A5032">
        <f ca="1">38716.3247758629*((RANDBETWEEN(2979,3282)))</f>
        <v>118433237.4893645</v>
      </c>
      <c r="B5032">
        <v>146501238.85799283</v>
      </c>
    </row>
    <row r="5033" spans="1:2" x14ac:dyDescent="0.25">
      <c r="A5033">
        <f ca="1">39766.2852996242*((RANDBETWEEN(2979,3282)))</f>
        <v>126576086.10870394</v>
      </c>
      <c r="B5033">
        <v>193408814.55924103</v>
      </c>
    </row>
    <row r="5034" spans="1:2" x14ac:dyDescent="0.25">
      <c r="A5034">
        <f ca="1">38964.0901680004*((RANDBETWEEN(2979,3282)))</f>
        <v>121256248.6028173</v>
      </c>
      <c r="B5034">
        <v>198063730.85227412</v>
      </c>
    </row>
    <row r="5035" spans="1:2" x14ac:dyDescent="0.25">
      <c r="A5035">
        <f ca="1">36355.4637825971*((RANDBETWEEN(2979,3282)))</f>
        <v>110157055.2612693</v>
      </c>
      <c r="B5035">
        <v>176181799.13614008</v>
      </c>
    </row>
    <row r="5036" spans="1:2" x14ac:dyDescent="0.25">
      <c r="A5036">
        <f ca="1">32707.8319013858*((RANDBETWEEN(2979,3282)))</f>
        <v>97469339.066129744</v>
      </c>
      <c r="B5036">
        <v>195822394.47678742</v>
      </c>
    </row>
    <row r="5037" spans="1:2" x14ac:dyDescent="0.25">
      <c r="A5037">
        <f ca="1">30964.1159074478*((RANDBETWEEN(2979,3282)))</f>
        <v>98156247.426609665</v>
      </c>
      <c r="B5037">
        <v>152443670.28172445</v>
      </c>
    </row>
    <row r="5038" spans="1:2" x14ac:dyDescent="0.25">
      <c r="A5038">
        <f ca="1">31120.4797204295*((RANDBETWEEN(2979,3282)))</f>
        <v>94077210.194858268</v>
      </c>
      <c r="B5038">
        <v>185465072.34976652</v>
      </c>
    </row>
    <row r="5039" spans="1:2" x14ac:dyDescent="0.25">
      <c r="A5039">
        <f ca="1">30780.0830764008*((RANDBETWEEN(2979,3282)))</f>
        <v>100773991.99213627</v>
      </c>
      <c r="B5039">
        <v>145622115.57184446</v>
      </c>
    </row>
    <row r="5040" spans="1:2" x14ac:dyDescent="0.25">
      <c r="A5040">
        <f ca="1">31312.2434093701*((RANDBETWEEN(2979,3282)))</f>
        <v>97976009.627919048</v>
      </c>
      <c r="B5040">
        <v>148977886.55803359</v>
      </c>
    </row>
    <row r="5041" spans="1:2" x14ac:dyDescent="0.25">
      <c r="A5041">
        <f ca="1">30439.1455897175*((RANDBETWEEN(2979,3282)))</f>
        <v>93143785.504535556</v>
      </c>
      <c r="B5041">
        <v>153771398.5951871</v>
      </c>
    </row>
    <row r="5042" spans="1:2" x14ac:dyDescent="0.25">
      <c r="A5042">
        <f ca="1">34372.1770893613*((RANDBETWEEN(2979,3282)))</f>
        <v>109234778.78999028</v>
      </c>
      <c r="B5042">
        <v>172613053.98027223</v>
      </c>
    </row>
    <row r="5043" spans="1:2" x14ac:dyDescent="0.25">
      <c r="A5043">
        <f ca="1">30837.306853586*((RANDBETWEEN(2979,3282)))</f>
        <v>94978905.109044731</v>
      </c>
      <c r="B5043">
        <v>192166699.78792483</v>
      </c>
    </row>
    <row r="5044" spans="1:2" x14ac:dyDescent="0.25">
      <c r="A5044">
        <f ca="1">29622.971601057*((RANDBETWEEN(2979,3282)))</f>
        <v>96304280.675036266</v>
      </c>
      <c r="B5044">
        <v>149255080.05539367</v>
      </c>
    </row>
    <row r="5045" spans="1:2" x14ac:dyDescent="0.25">
      <c r="A5045">
        <f ca="1">31671.4708939241*((RANDBETWEEN(2979,3282)))</f>
        <v>100525248.61731495</v>
      </c>
      <c r="B5045">
        <v>145169771.59392691</v>
      </c>
    </row>
    <row r="5046" spans="1:2" x14ac:dyDescent="0.25">
      <c r="A5046">
        <f ca="1">30402.0507529457*((RANDBETWEEN(2979,3282)))</f>
        <v>93638316.319072843</v>
      </c>
      <c r="B5046">
        <v>149360393.59658301</v>
      </c>
    </row>
    <row r="5047" spans="1:2" x14ac:dyDescent="0.25">
      <c r="A5047">
        <f ca="1">32767.6299447738*((RANDBETWEEN(2979,3282)))</f>
        <v>99089312.952995852</v>
      </c>
      <c r="B5047">
        <v>168978730.00234872</v>
      </c>
    </row>
    <row r="5048" spans="1:2" x14ac:dyDescent="0.25">
      <c r="A5048">
        <f ca="1">36219.400170326*((RANDBETWEEN(2979,3282)))</f>
        <v>116590249.14827944</v>
      </c>
      <c r="B5048">
        <v>195882340.93140846</v>
      </c>
    </row>
    <row r="5049" spans="1:2" x14ac:dyDescent="0.25">
      <c r="A5049">
        <f ca="1">39418.5373916825*((RANDBETWEEN(2979,3282)))</f>
        <v>118295030.71243919</v>
      </c>
      <c r="B5049">
        <v>189762637.26064056</v>
      </c>
    </row>
    <row r="5050" spans="1:2" x14ac:dyDescent="0.25">
      <c r="A5050">
        <f ca="1">35585.3322211672*((RANDBETWEEN(2979,3282)))</f>
        <v>116328451.03099564</v>
      </c>
      <c r="B5050">
        <v>174560423.89822024</v>
      </c>
    </row>
    <row r="5051" spans="1:2" x14ac:dyDescent="0.25">
      <c r="A5051">
        <f ca="1">35576.1148798314*((RANDBETWEEN(2979,3282)))</f>
        <v>111388815.68875201</v>
      </c>
      <c r="B5051">
        <v>152320098.36790448</v>
      </c>
    </row>
    <row r="5052" spans="1:2" x14ac:dyDescent="0.25">
      <c r="A5052">
        <f ca="1">36807.0847538993*((RANDBETWEEN(2979,3282)))</f>
        <v>111415045.55005339</v>
      </c>
      <c r="B5052">
        <v>153242714.83613786</v>
      </c>
    </row>
    <row r="5053" spans="1:2" x14ac:dyDescent="0.25">
      <c r="A5053">
        <f ca="1">34294.6180995786*((RANDBETWEEN(2979,3282)))</f>
        <v>106141843.01819591</v>
      </c>
      <c r="B5053">
        <v>160646572.89796865</v>
      </c>
    </row>
    <row r="5054" spans="1:2" x14ac:dyDescent="0.25">
      <c r="A5054">
        <f ca="1">32960.8577312019*((RANDBETWEEN(2979,3282)))</f>
        <v>105969157.60581419</v>
      </c>
      <c r="B5054">
        <v>182313026.12110794</v>
      </c>
    </row>
    <row r="5055" spans="1:2" x14ac:dyDescent="0.25">
      <c r="A5055">
        <f ca="1">30279.7895753389*((RANDBETWEEN(2979,3282)))</f>
        <v>93080073.154591858</v>
      </c>
      <c r="B5055">
        <v>148069777.05773777</v>
      </c>
    </row>
    <row r="5056" spans="1:2" x14ac:dyDescent="0.25">
      <c r="A5056">
        <f ca="1">31281.2626625317*((RANDBETWEEN(2979,3282)))</f>
        <v>94375569.452858239</v>
      </c>
      <c r="B5056">
        <v>164432028.79319569</v>
      </c>
    </row>
    <row r="5057" spans="1:2" x14ac:dyDescent="0.25">
      <c r="A5057">
        <f ca="1">34734.9094958148*((RANDBETWEEN(2979,3282)))</f>
        <v>113583154.05131441</v>
      </c>
      <c r="B5057">
        <v>170313696.33812779</v>
      </c>
    </row>
    <row r="5058" spans="1:2" x14ac:dyDescent="0.25">
      <c r="A5058">
        <f ca="1">27157.9726866704*((RANDBETWEEN(2979,3282)))</f>
        <v>87258566.242272109</v>
      </c>
      <c r="B5058">
        <v>197533508.79287222</v>
      </c>
    </row>
    <row r="5059" spans="1:2" x14ac:dyDescent="0.25">
      <c r="A5059">
        <f ca="1">36291.0603615475*((RANDBETWEEN(2979,3282)))</f>
        <v>109381255.92970407</v>
      </c>
      <c r="B5059">
        <v>171131114.37923053</v>
      </c>
    </row>
    <row r="5060" spans="1:2" x14ac:dyDescent="0.25">
      <c r="A5060">
        <f ca="1">35439.7274879907*((RANDBETWEEN(2979,3282)))</f>
        <v>114151362.23881799</v>
      </c>
      <c r="B5060">
        <v>146225319.04503757</v>
      </c>
    </row>
    <row r="5061" spans="1:2" x14ac:dyDescent="0.25">
      <c r="A5061">
        <f ca="1">30824.0862699037*((RANDBETWEEN(2979,3282)))</f>
        <v>97311640.354085848</v>
      </c>
      <c r="B5061">
        <v>165091973.23465553</v>
      </c>
    </row>
    <row r="5062" spans="1:2" x14ac:dyDescent="0.25">
      <c r="A5062">
        <f ca="1">30946.8372961562*((RANDBETWEEN(2979,3282)))</f>
        <v>99060826.184995994</v>
      </c>
      <c r="B5062">
        <v>152120305.92013747</v>
      </c>
    </row>
    <row r="5063" spans="1:2" x14ac:dyDescent="0.25">
      <c r="A5063">
        <f ca="1">41514.2842464016*((RANDBETWEEN(2979,3282)))</f>
        <v>129898195.40699072</v>
      </c>
      <c r="B5063">
        <v>198411996.8775126</v>
      </c>
    </row>
    <row r="5064" spans="1:2" x14ac:dyDescent="0.25">
      <c r="A5064">
        <f ca="1">30366.3126876699*((RANDBETWEEN(2979,3282)))</f>
        <v>96929270.099042296</v>
      </c>
      <c r="B5064">
        <v>153476113.28347328</v>
      </c>
    </row>
    <row r="5065" spans="1:2" x14ac:dyDescent="0.25">
      <c r="A5065">
        <f ca="1">30657.6738752158*((RANDBETWEEN(2979,3282)))</f>
        <v>96142465.272676662</v>
      </c>
      <c r="B5065">
        <v>196810823.52893272</v>
      </c>
    </row>
    <row r="5066" spans="1:2" x14ac:dyDescent="0.25">
      <c r="A5066">
        <f ca="1">32018.6610767778*((RANDBETWEEN(2979,3282)))</f>
        <v>98553438.794322163</v>
      </c>
      <c r="B5066">
        <v>192564168.76644292</v>
      </c>
    </row>
    <row r="5067" spans="1:2" x14ac:dyDescent="0.25">
      <c r="A5067">
        <f ca="1">30829.065690647*((RANDBETWEEN(2979,3282)))</f>
        <v>97974770.764876321</v>
      </c>
      <c r="B5067">
        <v>187277804.17173126</v>
      </c>
    </row>
    <row r="5068" spans="1:2" x14ac:dyDescent="0.25">
      <c r="A5068">
        <f ca="1">31363.4906234351*((RANDBETWEEN(2979,3282)))</f>
        <v>101931344.52616408</v>
      </c>
      <c r="B5068">
        <v>164343426.16357341</v>
      </c>
    </row>
    <row r="5069" spans="1:2" x14ac:dyDescent="0.25">
      <c r="A5069">
        <f ca="1">34176.4912746068*((RANDBETWEEN(2979,3282)))</f>
        <v>110219184.36060679</v>
      </c>
      <c r="B5069">
        <v>151050760.04076141</v>
      </c>
    </row>
    <row r="5070" spans="1:2" x14ac:dyDescent="0.25">
      <c r="A5070">
        <f ca="1">30594.2757171057*((RANDBETWEEN(2979,3282)))</f>
        <v>99370207.529159337</v>
      </c>
      <c r="B5070">
        <v>180748004.88508582</v>
      </c>
    </row>
    <row r="5071" spans="1:2" x14ac:dyDescent="0.25">
      <c r="A5071">
        <f ca="1">34844.6056280568*((RANDBETWEEN(2979,3282)))</f>
        <v>110771001.29159261</v>
      </c>
      <c r="B5071">
        <v>143128781.48954499</v>
      </c>
    </row>
    <row r="5072" spans="1:2" x14ac:dyDescent="0.25">
      <c r="A5072">
        <f ca="1">38647.8241415946*((RANDBETWEEN(2979,3282)))</f>
        <v>119344480.94924414</v>
      </c>
      <c r="B5072">
        <v>188015775.39356714</v>
      </c>
    </row>
    <row r="5073" spans="1:2" x14ac:dyDescent="0.25">
      <c r="A5073">
        <f ca="1">28812.1845211964*((RANDBETWEEN(2979,3282)))</f>
        <v>90844817.795332119</v>
      </c>
      <c r="B5073">
        <v>155476234.06736642</v>
      </c>
    </row>
    <row r="5074" spans="1:2" x14ac:dyDescent="0.25">
      <c r="A5074">
        <f ca="1">28152.3387197008*((RANDBETWEEN(2979,3282)))</f>
        <v>87553773.418269634</v>
      </c>
      <c r="B5074">
        <v>152519706.84617239</v>
      </c>
    </row>
    <row r="5075" spans="1:2" x14ac:dyDescent="0.25">
      <c r="A5075">
        <f ca="1">40178.4562329614*((RANDBETWEEN(2979,3282)))</f>
        <v>129093379.87650505</v>
      </c>
      <c r="B5075">
        <v>193408860.60977256</v>
      </c>
    </row>
    <row r="5076" spans="1:2" x14ac:dyDescent="0.25">
      <c r="A5076">
        <f ca="1">30079.6986045434*((RANDBETWEEN(2979,3282)))</f>
        <v>90660211.594093919</v>
      </c>
      <c r="B5076">
        <v>143484174.40746805</v>
      </c>
    </row>
    <row r="5077" spans="1:2" x14ac:dyDescent="0.25">
      <c r="A5077">
        <f ca="1">33123.435214627*((RANDBETWEEN(2979,3282)))</f>
        <v>100993353.96939769</v>
      </c>
      <c r="B5077">
        <v>182450985.89188781</v>
      </c>
    </row>
    <row r="5078" spans="1:2" x14ac:dyDescent="0.25">
      <c r="A5078">
        <f ca="1">31044.730888189*((RANDBETWEEN(2979,3282)))</f>
        <v>95835084.25183931</v>
      </c>
      <c r="B5078">
        <v>165236033.83611315</v>
      </c>
    </row>
    <row r="5079" spans="1:2" x14ac:dyDescent="0.25">
      <c r="A5079">
        <f ca="1">38102.7808560537*((RANDBETWEEN(2979,3282)))</f>
        <v>116861228.88551657</v>
      </c>
      <c r="B5079">
        <v>185209822.57879585</v>
      </c>
    </row>
    <row r="5080" spans="1:2" x14ac:dyDescent="0.25">
      <c r="A5080">
        <f ca="1">30701.3283875883*((RANDBETWEEN(2979,3282)))</f>
        <v>96003053.867988721</v>
      </c>
      <c r="B5080">
        <v>171242325.59236747</v>
      </c>
    </row>
    <row r="5081" spans="1:2" x14ac:dyDescent="0.25">
      <c r="A5081">
        <f ca="1">32258.0070246557*((RANDBETWEEN(2979,3282)))</f>
        <v>101677238.14171492</v>
      </c>
      <c r="B5081">
        <v>162783368.67547557</v>
      </c>
    </row>
    <row r="5082" spans="1:2" x14ac:dyDescent="0.25">
      <c r="A5082">
        <f ca="1">29461.2082305164*((RANDBETWEEN(2979,3282)))</f>
        <v>92596577.468512937</v>
      </c>
      <c r="B5082">
        <v>144031543.58652207</v>
      </c>
    </row>
    <row r="5083" spans="1:2" x14ac:dyDescent="0.25">
      <c r="A5083">
        <f ca="1">31614.1067190558*((RANDBETWEEN(2979,3282)))</f>
        <v>99868963.125497296</v>
      </c>
      <c r="B5083">
        <v>147410234.00856498</v>
      </c>
    </row>
    <row r="5084" spans="1:2" x14ac:dyDescent="0.25">
      <c r="A5084">
        <f ca="1">31500.2257057334*((RANDBETWEEN(2979,3282)))</f>
        <v>101304725.86963874</v>
      </c>
      <c r="B5084">
        <v>180251742.78687692</v>
      </c>
    </row>
    <row r="5085" spans="1:2" x14ac:dyDescent="0.25">
      <c r="A5085">
        <f ca="1">37929.5022205223*((RANDBETWEEN(2979,3282)))</f>
        <v>119591720.50130688</v>
      </c>
      <c r="B5085">
        <v>161625794.61617023</v>
      </c>
    </row>
    <row r="5086" spans="1:2" x14ac:dyDescent="0.25">
      <c r="A5086">
        <f ca="1">27781.4557117613*((RANDBETWEEN(2979,3282)))</f>
        <v>85316850.490818962</v>
      </c>
      <c r="B5086">
        <v>155175017.45650223</v>
      </c>
    </row>
    <row r="5087" spans="1:2" x14ac:dyDescent="0.25">
      <c r="A5087">
        <f ca="1">30916.8156443542*((RANDBETWEEN(2979,3282)))</f>
        <v>96955133.860694841</v>
      </c>
      <c r="B5087">
        <v>192202346.44671544</v>
      </c>
    </row>
    <row r="5088" spans="1:2" x14ac:dyDescent="0.25">
      <c r="A5088">
        <f ca="1">39715.6973808743*((RANDBETWEEN(2979,3282)))</f>
        <v>118670503.77405247</v>
      </c>
      <c r="B5088">
        <v>168683080.67896685</v>
      </c>
    </row>
    <row r="5089" spans="1:2" x14ac:dyDescent="0.25">
      <c r="A5089">
        <f ca="1">39824.9532271707*((RANDBETWEEN(2979,3282)))</f>
        <v>127718624.99953648</v>
      </c>
      <c r="B5089">
        <v>165665165.22400621</v>
      </c>
    </row>
    <row r="5090" spans="1:2" x14ac:dyDescent="0.25">
      <c r="A5090">
        <f ca="1">31815.696348091*((RANDBETWEEN(2979,3282)))</f>
        <v>101237545.77962561</v>
      </c>
      <c r="B5090">
        <v>175063523.32238376</v>
      </c>
    </row>
    <row r="5091" spans="1:2" x14ac:dyDescent="0.25">
      <c r="A5091">
        <f ca="1">31862.4223843306*((RANDBETWEEN(2979,3282)))</f>
        <v>100111731.13156679</v>
      </c>
      <c r="B5091">
        <v>185728263.90489033</v>
      </c>
    </row>
    <row r="5092" spans="1:2" x14ac:dyDescent="0.25">
      <c r="A5092">
        <f ca="1">32413.3520280745*((RANDBETWEEN(2979,3282)))</f>
        <v>99606230.782273069</v>
      </c>
      <c r="B5092">
        <v>183460640.67815542</v>
      </c>
    </row>
    <row r="5093" spans="1:2" x14ac:dyDescent="0.25">
      <c r="A5093">
        <f ca="1">32852.4123312029*((RANDBETWEEN(2979,3282)))</f>
        <v>102105297.52537847</v>
      </c>
      <c r="B5093">
        <v>177187589.03894052</v>
      </c>
    </row>
    <row r="5094" spans="1:2" x14ac:dyDescent="0.25">
      <c r="A5094">
        <f ca="1">40578.3892686697*((RANDBETWEEN(2979,3282)))</f>
        <v>123966979.21578595</v>
      </c>
      <c r="B5094">
        <v>154131414.40094882</v>
      </c>
    </row>
    <row r="5095" spans="1:2" x14ac:dyDescent="0.25">
      <c r="A5095">
        <f ca="1">31256.9154425481*((RANDBETWEEN(2979,3282)))</f>
        <v>95802445.831409886</v>
      </c>
      <c r="B5095">
        <v>157534855.66662079</v>
      </c>
    </row>
    <row r="5096" spans="1:2" x14ac:dyDescent="0.25">
      <c r="A5096">
        <f ca="1">40905.7078332523*((RANDBETWEEN(2979,3282)))</f>
        <v>131593662.09957255</v>
      </c>
      <c r="B5096">
        <v>185949259.39956757</v>
      </c>
    </row>
    <row r="5097" spans="1:2" x14ac:dyDescent="0.25">
      <c r="A5097">
        <f ca="1">30316.3729804389*((RANDBETWEEN(2979,3282)))</f>
        <v>93616959.763595253</v>
      </c>
      <c r="B5097">
        <v>144096522.35862765</v>
      </c>
    </row>
    <row r="5098" spans="1:2" x14ac:dyDescent="0.25">
      <c r="A5098">
        <f ca="1">40030.6876113267*((RANDBETWEEN(2979,3282)))</f>
        <v>131140532.61470634</v>
      </c>
      <c r="B5098">
        <v>146692386.19084713</v>
      </c>
    </row>
    <row r="5099" spans="1:2" x14ac:dyDescent="0.25">
      <c r="A5099">
        <f ca="1">35632.7375009616*((RANDBETWEEN(2979,3282)))</f>
        <v>116447786.1531426</v>
      </c>
      <c r="B5099">
        <v>184366178.4633787</v>
      </c>
    </row>
    <row r="5100" spans="1:2" x14ac:dyDescent="0.25">
      <c r="A5100">
        <f ca="1">29909.0035418544*((RANDBETWEEN(2979,3282)))</f>
        <v>93944180.124964818</v>
      </c>
      <c r="B5100">
        <v>160686000.96541387</v>
      </c>
    </row>
    <row r="5101" spans="1:2" x14ac:dyDescent="0.25">
      <c r="A5101">
        <f ca="1">29069.5427226818*((RANDBETWEEN(2979,3282)))</f>
        <v>94039970.707875639</v>
      </c>
      <c r="B5101">
        <v>175763589.19663247</v>
      </c>
    </row>
    <row r="5102" spans="1:2" x14ac:dyDescent="0.25">
      <c r="A5102">
        <f ca="1">35699.2757733735*((RANDBETWEEN(2979,3282)))</f>
        <v>113773591.88974141</v>
      </c>
      <c r="B5102">
        <v>169770389.38388562</v>
      </c>
    </row>
    <row r="5103" spans="1:2" x14ac:dyDescent="0.25">
      <c r="A5103">
        <f ca="1">30739.5139215199*((RANDBETWEEN(2979,3282)))</f>
        <v>95261753.642790228</v>
      </c>
      <c r="B5103">
        <v>159051974.68414259</v>
      </c>
    </row>
    <row r="5104" spans="1:2" x14ac:dyDescent="0.25">
      <c r="A5104">
        <f ca="1">31461.0924693006*((RANDBETWEEN(2979,3282)))</f>
        <v>101462023.21349448</v>
      </c>
      <c r="B5104">
        <v>194797515.61310759</v>
      </c>
    </row>
    <row r="5105" spans="1:2" x14ac:dyDescent="0.25">
      <c r="A5105">
        <f ca="1">34658.6503696856*((RANDBETWEEN(2979,3282)))</f>
        <v>107476474.79639508</v>
      </c>
      <c r="B5105">
        <v>182929573.81577355</v>
      </c>
    </row>
    <row r="5106" spans="1:2" x14ac:dyDescent="0.25">
      <c r="A5106">
        <f ca="1">29403.0006246177*((RANDBETWEEN(2979,3282)))</f>
        <v>89737957.906333506</v>
      </c>
      <c r="B5106">
        <v>190453674.71538985</v>
      </c>
    </row>
    <row r="5107" spans="1:2" x14ac:dyDescent="0.25">
      <c r="A5107">
        <f ca="1">30357.3182280916*((RANDBETWEEN(2979,3282)))</f>
        <v>99541646.469912276</v>
      </c>
      <c r="B5107">
        <v>176650706.47584975</v>
      </c>
    </row>
    <row r="5108" spans="1:2" x14ac:dyDescent="0.25">
      <c r="A5108">
        <f ca="1">33159.6815587235*((RANDBETWEEN(2979,3282)))</f>
        <v>105646745.44609299</v>
      </c>
      <c r="B5108">
        <v>149521534.83683923</v>
      </c>
    </row>
    <row r="5109" spans="1:2" x14ac:dyDescent="0.25">
      <c r="A5109">
        <f ca="1">32331.5392678977*((RANDBETWEEN(2979,3282)))</f>
        <v>104333877.21750601</v>
      </c>
      <c r="B5109">
        <v>184127156.64655185</v>
      </c>
    </row>
    <row r="5110" spans="1:2" x14ac:dyDescent="0.25">
      <c r="A5110">
        <f ca="1">38865.9059144311*((RANDBETWEEN(2979,3282)))</f>
        <v>120989565.11162405</v>
      </c>
      <c r="B5110">
        <v>186456951.84316146</v>
      </c>
    </row>
    <row r="5111" spans="1:2" x14ac:dyDescent="0.25">
      <c r="A5111">
        <f ca="1">39815.0096752488*((RANDBETWEEN(2979,3282)))</f>
        <v>121873744.61593667</v>
      </c>
      <c r="B5111">
        <v>155248363.16431576</v>
      </c>
    </row>
    <row r="5112" spans="1:2" x14ac:dyDescent="0.25">
      <c r="A5112">
        <f ca="1">38122.1250839099*((RANDBETWEEN(2979,3282)))</f>
        <v>117339901.00827457</v>
      </c>
      <c r="B5112">
        <v>149082125.27954811</v>
      </c>
    </row>
    <row r="5113" spans="1:2" x14ac:dyDescent="0.25">
      <c r="A5113">
        <f ca="1">31542.803969845*((RANDBETWEEN(2979,3282)))</f>
        <v>98192748.758127481</v>
      </c>
      <c r="B5113">
        <v>144411990.91423365</v>
      </c>
    </row>
    <row r="5114" spans="1:2" x14ac:dyDescent="0.25">
      <c r="A5114">
        <f ca="1">33211.2017139199*((RANDBETWEEN(2979,3282)))</f>
        <v>105810888.66054893</v>
      </c>
      <c r="B5114">
        <v>203288855.84641194</v>
      </c>
    </row>
    <row r="5115" spans="1:2" x14ac:dyDescent="0.25">
      <c r="A5115">
        <f ca="1">31986.4181437119*((RANDBETWEEN(2979,3282)))</f>
        <v>101524891.18814145</v>
      </c>
      <c r="B5115">
        <v>171215200.03831688</v>
      </c>
    </row>
    <row r="5116" spans="1:2" x14ac:dyDescent="0.25">
      <c r="A5116">
        <f ca="1">32472.0794418196*((RANDBETWEEN(2979,3282)))</f>
        <v>103553461.33996269</v>
      </c>
      <c r="B5116">
        <v>179494329.90042585</v>
      </c>
    </row>
    <row r="5117" spans="1:2" x14ac:dyDescent="0.25">
      <c r="A5117">
        <f ca="1">35989.0844803174*((RANDBETWEEN(2979,3282)))</f>
        <v>113005725.26819664</v>
      </c>
      <c r="B5117">
        <v>153308677.43093187</v>
      </c>
    </row>
    <row r="5118" spans="1:2" x14ac:dyDescent="0.25">
      <c r="A5118">
        <f ca="1">31648.6630563967*((RANDBETWEEN(2979,3282)))</f>
        <v>98870423.388183147</v>
      </c>
      <c r="B5118">
        <v>172128557.01592374</v>
      </c>
    </row>
    <row r="5119" spans="1:2" x14ac:dyDescent="0.25">
      <c r="A5119">
        <f ca="1">32623.1701474889*((RANDBETWEEN(2979,3282)))</f>
        <v>104752999.34358679</v>
      </c>
      <c r="B5119">
        <v>160782789.93185434</v>
      </c>
    </row>
    <row r="5120" spans="1:2" x14ac:dyDescent="0.25">
      <c r="A5120">
        <f ca="1">30538.8716503554*((RANDBETWEEN(2979,3282)))</f>
        <v>99007021.890452325</v>
      </c>
      <c r="B5120">
        <v>157174789.46917939</v>
      </c>
    </row>
    <row r="5121" spans="1:2" x14ac:dyDescent="0.25">
      <c r="A5121">
        <f ca="1">39649.5649735289*((RANDBETWEEN(2979,3282)))</f>
        <v>118631498.40079834</v>
      </c>
      <c r="B5121">
        <v>167023330.6927188</v>
      </c>
    </row>
    <row r="5122" spans="1:2" x14ac:dyDescent="0.25">
      <c r="A5122">
        <f ca="1">30631.481304649*((RANDBETWEEN(2979,3282)))</f>
        <v>95754010.558332726</v>
      </c>
      <c r="B5122">
        <v>192801445.25420621</v>
      </c>
    </row>
    <row r="5123" spans="1:2" x14ac:dyDescent="0.25">
      <c r="A5123">
        <f ca="1">34744.9261182304*((RANDBETWEEN(2979,3282)))</f>
        <v>109689731.75525339</v>
      </c>
      <c r="B5123">
        <v>173308201.87237456</v>
      </c>
    </row>
    <row r="5124" spans="1:2" x14ac:dyDescent="0.25">
      <c r="A5124">
        <f ca="1">30345.1901597899*((RANDBETWEEN(2979,3282)))</f>
        <v>91551438.712086275</v>
      </c>
      <c r="B5124">
        <v>151442750.12325865</v>
      </c>
    </row>
    <row r="5125" spans="1:2" x14ac:dyDescent="0.25">
      <c r="A5125">
        <f ca="1">30132.9784043838*((RANDBETWEEN(2979,3282)))</f>
        <v>95883137.282749236</v>
      </c>
      <c r="B5125">
        <v>155228204.77763319</v>
      </c>
    </row>
    <row r="5126" spans="1:2" x14ac:dyDescent="0.25">
      <c r="A5126">
        <f ca="1">35744.7855138176*((RANDBETWEEN(2979,3282)))</f>
        <v>117099917.3432664</v>
      </c>
      <c r="B5126">
        <v>149172875.04882938</v>
      </c>
    </row>
    <row r="5127" spans="1:2" x14ac:dyDescent="0.25">
      <c r="A5127">
        <f ca="1">38889.4717884923*((RANDBETWEEN(2979,3282)))</f>
        <v>126663009.61511956</v>
      </c>
      <c r="B5127">
        <v>144881256.97900748</v>
      </c>
    </row>
    <row r="5128" spans="1:2" x14ac:dyDescent="0.25">
      <c r="A5128">
        <f ca="1">30555.1727382117*((RANDBETWEEN(2979,3282)))</f>
        <v>100037635.54490525</v>
      </c>
      <c r="B5128">
        <v>159025847.90981153</v>
      </c>
    </row>
    <row r="5129" spans="1:2" x14ac:dyDescent="0.25">
      <c r="A5129">
        <f ca="1">32321.5513709243*((RANDBETWEEN(2979,3282)))</f>
        <v>98613053.232690051</v>
      </c>
      <c r="B5129">
        <v>162699577.23382613</v>
      </c>
    </row>
    <row r="5130" spans="1:2" x14ac:dyDescent="0.25">
      <c r="A5130">
        <f ca="1">31467.8588992563*((RANDBETWEEN(2979,3282)))</f>
        <v>103151641.47176212</v>
      </c>
      <c r="B5130">
        <v>166410144.9320018</v>
      </c>
    </row>
    <row r="5131" spans="1:2" x14ac:dyDescent="0.25">
      <c r="A5131">
        <f ca="1">33461.9731035185*((RANDBETWEEN(2979,3282)))</f>
        <v>109721809.80643748</v>
      </c>
      <c r="B5131">
        <v>174327431.43778193</v>
      </c>
    </row>
    <row r="5132" spans="1:2" x14ac:dyDescent="0.25">
      <c r="A5132">
        <f ca="1">30565.8732845902*((RANDBETWEEN(2979,3282)))</f>
        <v>91850449.220193684</v>
      </c>
      <c r="B5132">
        <v>157915249.47586966</v>
      </c>
    </row>
    <row r="5133" spans="1:2" x14ac:dyDescent="0.25">
      <c r="A5133">
        <f ca="1">31207.9085234875*((RANDBETWEEN(2979,3282)))</f>
        <v>93810973.021603405</v>
      </c>
      <c r="B5133">
        <v>181181733.90670624</v>
      </c>
    </row>
    <row r="5134" spans="1:2" x14ac:dyDescent="0.25">
      <c r="A5134">
        <f ca="1">43221.973624235*((RANDBETWEEN(2979,3282)))</f>
        <v>137618764.01956436</v>
      </c>
      <c r="B5134">
        <v>155717478.29561281</v>
      </c>
    </row>
    <row r="5135" spans="1:2" x14ac:dyDescent="0.25">
      <c r="A5135">
        <f ca="1">29638.1128793176*((RANDBETWEEN(2979,3282)))</f>
        <v>94575218.197902456</v>
      </c>
      <c r="B5135">
        <v>173358230.13834208</v>
      </c>
    </row>
    <row r="5136" spans="1:2" x14ac:dyDescent="0.25">
      <c r="A5136">
        <f ca="1">34160.0303723304*((RANDBETWEEN(2979,3282)))</f>
        <v>107843215.88544692</v>
      </c>
      <c r="B5136">
        <v>153768191.70143715</v>
      </c>
    </row>
    <row r="5137" spans="1:2" x14ac:dyDescent="0.25">
      <c r="A5137">
        <f ca="1">28888.4056348716*((RANDBETWEEN(2979,3282)))</f>
        <v>93511769.040079445</v>
      </c>
      <c r="B5137">
        <v>169762511.6343759</v>
      </c>
    </row>
    <row r="5138" spans="1:2" x14ac:dyDescent="0.25">
      <c r="A5138">
        <f ca="1">29836.7760179813*((RANDBETWEEN(2979,3282)))</f>
        <v>91628739.151220486</v>
      </c>
      <c r="B5138">
        <v>171754503.87973794</v>
      </c>
    </row>
    <row r="5139" spans="1:2" x14ac:dyDescent="0.25">
      <c r="A5139">
        <f ca="1">29144.582310862*((RANDBETWEEN(2979,3282)))</f>
        <v>92708916.330851868</v>
      </c>
      <c r="B5139">
        <v>151646471.57626987</v>
      </c>
    </row>
    <row r="5140" spans="1:2" x14ac:dyDescent="0.25">
      <c r="A5140">
        <f ca="1">32221.6689335771*((RANDBETWEEN(2979,3282)))</f>
        <v>97470548.524070844</v>
      </c>
      <c r="B5140">
        <v>188140663.78971547</v>
      </c>
    </row>
    <row r="5141" spans="1:2" x14ac:dyDescent="0.25">
      <c r="A5141">
        <f ca="1">31965.5863852046*((RANDBETWEEN(2979,3282)))</f>
        <v>95832827.982843339</v>
      </c>
      <c r="B5141">
        <v>151953675.8714076</v>
      </c>
    </row>
    <row r="5142" spans="1:2" x14ac:dyDescent="0.25">
      <c r="A5142">
        <f ca="1">31193.6808770815*((RANDBETWEEN(2979,3282)))</f>
        <v>97355478.017371625</v>
      </c>
      <c r="B5142">
        <v>153882278.66836587</v>
      </c>
    </row>
    <row r="5143" spans="1:2" x14ac:dyDescent="0.25">
      <c r="A5143">
        <f ca="1">32486.0972168478*((RANDBETWEEN(2979,3282)))</f>
        <v>104085455.48278044</v>
      </c>
      <c r="B5143">
        <v>201848548.10022652</v>
      </c>
    </row>
    <row r="5144" spans="1:2" x14ac:dyDescent="0.25">
      <c r="A5144">
        <f ca="1">36366.844577055*((RANDBETWEEN(2979,3282)))</f>
        <v>117464907.98388766</v>
      </c>
      <c r="B5144">
        <v>160392117.38531333</v>
      </c>
    </row>
    <row r="5145" spans="1:2" x14ac:dyDescent="0.25">
      <c r="A5145">
        <f ca="1">36147.8002535638*((RANDBETWEEN(2979,3282)))</f>
        <v>117552646.42458943</v>
      </c>
      <c r="B5145">
        <v>187677525.58962181</v>
      </c>
    </row>
    <row r="5146" spans="1:2" x14ac:dyDescent="0.25">
      <c r="A5146">
        <f ca="1">40876.3679252717*((RANDBETWEEN(2979,3282)))</f>
        <v>131376646.51182325</v>
      </c>
      <c r="B5146">
        <v>176789074.62082663</v>
      </c>
    </row>
    <row r="5147" spans="1:2" x14ac:dyDescent="0.25">
      <c r="A5147">
        <f ca="1">37956.069980354*((RANDBETWEEN(2979,3282)))</f>
        <v>122825842.45642568</v>
      </c>
      <c r="B5147">
        <v>201548517.99150956</v>
      </c>
    </row>
    <row r="5148" spans="1:2" x14ac:dyDescent="0.25">
      <c r="A5148">
        <f ca="1">31672.9872831267*((RANDBETWEEN(2979,3282)))</f>
        <v>95715767.569608971</v>
      </c>
      <c r="B5148">
        <v>169461766.14881352</v>
      </c>
    </row>
    <row r="5149" spans="1:2" x14ac:dyDescent="0.25">
      <c r="A5149">
        <f ca="1">40149.2516954687*((RANDBETWEEN(2979,3282)))</f>
        <v>123057456.44661148</v>
      </c>
      <c r="B5149">
        <v>202234725.02353692</v>
      </c>
    </row>
    <row r="5150" spans="1:2" x14ac:dyDescent="0.25">
      <c r="A5150">
        <f ca="1">33284.2245701263*((RANDBETWEEN(2979,3282)))</f>
        <v>108140445.62834041</v>
      </c>
      <c r="B5150">
        <v>156850242.0930512</v>
      </c>
    </row>
    <row r="5151" spans="1:2" x14ac:dyDescent="0.25">
      <c r="A5151">
        <f ca="1">30292.8992289666*((RANDBETWEEN(2979,3282)))</f>
        <v>95937611.858137086</v>
      </c>
      <c r="B5151">
        <v>174783339.09127212</v>
      </c>
    </row>
    <row r="5152" spans="1:2" x14ac:dyDescent="0.25">
      <c r="A5152">
        <f ca="1">26952.9270901919*((RANDBETWEEN(2979,3282)))</f>
        <v>87785683.532754883</v>
      </c>
      <c r="B5152">
        <v>146833464.20650423</v>
      </c>
    </row>
    <row r="5153" spans="1:2" x14ac:dyDescent="0.25">
      <c r="A5153">
        <f ca="1">35016.6612966581*((RANDBETWEEN(2979,3282)))</f>
        <v>113594049.24635883</v>
      </c>
      <c r="B5153">
        <v>156865454.16370878</v>
      </c>
    </row>
    <row r="5154" spans="1:2" x14ac:dyDescent="0.25">
      <c r="A5154">
        <f ca="1">35125.0842927001*((RANDBETWEEN(2979,3282)))</f>
        <v>114226774.11986057</v>
      </c>
      <c r="B5154">
        <v>160145214.1525704</v>
      </c>
    </row>
    <row r="5155" spans="1:2" x14ac:dyDescent="0.25">
      <c r="A5155">
        <f ca="1">30695.3200782933*((RANDBETWEEN(2979,3282)))</f>
        <v>97611117.848972738</v>
      </c>
      <c r="B5155">
        <v>175015327.34609479</v>
      </c>
    </row>
    <row r="5156" spans="1:2" x14ac:dyDescent="0.25">
      <c r="A5156">
        <f ca="1">39009.460844158*((RANDBETWEEN(2979,3282)))</f>
        <v>120383196.16507144</v>
      </c>
      <c r="B5156">
        <v>193044733.64812523</v>
      </c>
    </row>
    <row r="5157" spans="1:2" x14ac:dyDescent="0.25">
      <c r="A5157">
        <f ca="1">39399.9103805247*((RANDBETWEEN(2979,3282)))</f>
        <v>121154724.42011353</v>
      </c>
      <c r="B5157">
        <v>160045692.69711673</v>
      </c>
    </row>
    <row r="5158" spans="1:2" x14ac:dyDescent="0.25">
      <c r="A5158">
        <f ca="1">35790.3885601169*((RANDBETWEEN(2979,3282)))</f>
        <v>112167077.74740648</v>
      </c>
      <c r="B5158">
        <v>177423440.48631817</v>
      </c>
    </row>
    <row r="5159" spans="1:2" x14ac:dyDescent="0.25">
      <c r="A5159">
        <f ca="1">40702.9448674705*((RANDBETWEEN(2979,3282)))</f>
        <v>123329922.94843568</v>
      </c>
      <c r="B5159">
        <v>188158225.1867837</v>
      </c>
    </row>
    <row r="5160" spans="1:2" x14ac:dyDescent="0.25">
      <c r="A5160">
        <f ca="1">31238.6181886207*((RANDBETWEEN(2979,3282)))</f>
        <v>95496455.802613541</v>
      </c>
      <c r="B5160">
        <v>159996654.49437526</v>
      </c>
    </row>
    <row r="5161" spans="1:2" x14ac:dyDescent="0.25">
      <c r="A5161">
        <f ca="1">31340.433502833*((RANDBETWEEN(2979,3282)))</f>
        <v>101292281.0811561</v>
      </c>
      <c r="B5161">
        <v>160473191.63559476</v>
      </c>
    </row>
    <row r="5162" spans="1:2" x14ac:dyDescent="0.25">
      <c r="A5162">
        <f ca="1">33600.0242267725*((RANDBETWEEN(2979,3282)))</f>
        <v>108628878.32515539</v>
      </c>
      <c r="B5162">
        <v>172021176.84648401</v>
      </c>
    </row>
    <row r="5163" spans="1:2" x14ac:dyDescent="0.25">
      <c r="A5163">
        <f ca="1">30803.1497768666*((RANDBETWEEN(2979,3282)))</f>
        <v>92871496.57725291</v>
      </c>
      <c r="B5163">
        <v>161214584.99947283</v>
      </c>
    </row>
    <row r="5164" spans="1:2" x14ac:dyDescent="0.25">
      <c r="A5164">
        <f ca="1">33956.2921254135*((RANDBETWEEN(2979,3282)))</f>
        <v>106181325.47616796</v>
      </c>
      <c r="B5164">
        <v>163816570.13712734</v>
      </c>
    </row>
    <row r="5165" spans="1:2" x14ac:dyDescent="0.25">
      <c r="A5165">
        <f ca="1">34425.950847785*((RANDBETWEEN(2979,3282)))</f>
        <v>107856504.00611028</v>
      </c>
      <c r="B5165">
        <v>183474194.60568601</v>
      </c>
    </row>
    <row r="5166" spans="1:2" x14ac:dyDescent="0.25">
      <c r="A5166">
        <f ca="1">38987.5272287284*((RANDBETWEEN(2979,3282)))</f>
        <v>125734775.31264912</v>
      </c>
      <c r="B5166">
        <v>156327371.69130713</v>
      </c>
    </row>
    <row r="5167" spans="1:2" x14ac:dyDescent="0.25">
      <c r="A5167">
        <f ca="1">35408.6731351496*((RANDBETWEEN(2979,3282)))</f>
        <v>110793738.23988305</v>
      </c>
      <c r="B5167">
        <v>144526934.90132713</v>
      </c>
    </row>
    <row r="5168" spans="1:2" x14ac:dyDescent="0.25">
      <c r="A5168">
        <f ca="1">40019.2657745859*((RANDBETWEEN(2979,3282)))</f>
        <v>126060687.18994558</v>
      </c>
      <c r="B5168">
        <v>155704325.32773781</v>
      </c>
    </row>
    <row r="5169" spans="1:2" x14ac:dyDescent="0.25">
      <c r="A5169">
        <f ca="1">41733.6991526086*((RANDBETWEEN(2979,3282)))</f>
        <v>134966783.05953628</v>
      </c>
      <c r="B5169">
        <v>197730689.02930054</v>
      </c>
    </row>
    <row r="5170" spans="1:2" x14ac:dyDescent="0.25">
      <c r="A5170">
        <f ca="1">30686.1859957201*((RANDBETWEEN(2979,3282)))</f>
        <v>93163260.683006078</v>
      </c>
      <c r="B5170">
        <v>157108964.4105317</v>
      </c>
    </row>
    <row r="5171" spans="1:2" x14ac:dyDescent="0.25">
      <c r="A5171">
        <f ca="1">36897.7455314778*((RANDBETWEEN(2979,3282)))</f>
        <v>120729423.37899536</v>
      </c>
      <c r="B5171">
        <v>188523015.47538835</v>
      </c>
    </row>
    <row r="5172" spans="1:2" x14ac:dyDescent="0.25">
      <c r="A5172">
        <f ca="1">32634.2778685099*((RANDBETWEEN(2979,3282)))</f>
        <v>103418026.56530789</v>
      </c>
      <c r="B5172">
        <v>161818094.13892031</v>
      </c>
    </row>
    <row r="5173" spans="1:2" x14ac:dyDescent="0.25">
      <c r="A5173">
        <f ca="1">28772.3473770437*((RANDBETWEEN(2979,3282)))</f>
        <v>91697471.090638295</v>
      </c>
      <c r="B5173">
        <v>202704335.51528275</v>
      </c>
    </row>
    <row r="5174" spans="1:2" x14ac:dyDescent="0.25">
      <c r="A5174">
        <f ca="1">39350.5757217035*((RANDBETWEEN(2979,3282)))</f>
        <v>128833784.91285713</v>
      </c>
      <c r="B5174">
        <v>143146172.7889241</v>
      </c>
    </row>
    <row r="5175" spans="1:2" x14ac:dyDescent="0.25">
      <c r="A5175">
        <f ca="1">39289.5109642256*((RANDBETWEEN(2979,3282)))</f>
        <v>127965937.21048266</v>
      </c>
      <c r="B5175">
        <v>161661174.38596416</v>
      </c>
    </row>
    <row r="5176" spans="1:2" x14ac:dyDescent="0.25">
      <c r="A5176">
        <f ca="1">33562.4041215234*((RANDBETWEEN(2979,3282)))</f>
        <v>108641502.14137125</v>
      </c>
      <c r="B5176">
        <v>186582651.09737411</v>
      </c>
    </row>
    <row r="5177" spans="1:2" x14ac:dyDescent="0.25">
      <c r="A5177">
        <f ca="1">30943.9414953454*((RANDBETWEEN(2979,3282)))</f>
        <v>98123238.481740132</v>
      </c>
      <c r="B5177">
        <v>173212250.20708567</v>
      </c>
    </row>
    <row r="5178" spans="1:2" x14ac:dyDescent="0.25">
      <c r="A5178">
        <f ca="1">31946.5970734833*((RANDBETWEEN(2979,3282)))</f>
        <v>99481703.286826953</v>
      </c>
      <c r="B5178">
        <v>144363410.53764725</v>
      </c>
    </row>
    <row r="5179" spans="1:2" x14ac:dyDescent="0.25">
      <c r="A5179">
        <f ca="1">31777.5709084963*((RANDBETWEEN(2979,3282)))</f>
        <v>101688226.90718801</v>
      </c>
      <c r="B5179">
        <v>165752083.78803939</v>
      </c>
    </row>
    <row r="5180" spans="1:2" x14ac:dyDescent="0.25">
      <c r="A5180">
        <f ca="1">30238.187809376*((RANDBETWEEN(2979,3282)))</f>
        <v>93617429.457828209</v>
      </c>
      <c r="B5180">
        <v>181557140.14103377</v>
      </c>
    </row>
    <row r="5181" spans="1:2" x14ac:dyDescent="0.25">
      <c r="A5181">
        <f ca="1">37490.1645195418*((RANDBETWEEN(2979,3282)))</f>
        <v>113407747.67161395</v>
      </c>
      <c r="B5181">
        <v>146989502.90899223</v>
      </c>
    </row>
    <row r="5182" spans="1:2" x14ac:dyDescent="0.25">
      <c r="A5182">
        <f ca="1">35520.9653300257*((RANDBETWEEN(2979,3282)))</f>
        <v>107202273.36601754</v>
      </c>
      <c r="B5182">
        <v>147643718.25871503</v>
      </c>
    </row>
    <row r="5183" spans="1:2" x14ac:dyDescent="0.25">
      <c r="A5183">
        <f ca="1">29469.1534927058*((RANDBETWEEN(2979,3282)))</f>
        <v>88820028.627015337</v>
      </c>
      <c r="B5183">
        <v>172611820.56496546</v>
      </c>
    </row>
    <row r="5184" spans="1:2" x14ac:dyDescent="0.25">
      <c r="A5184">
        <f ca="1">31662.1184366023*((RANDBETWEEN(2979,3282)))</f>
        <v>102680250.08990121</v>
      </c>
      <c r="B5184">
        <v>183865768.84433249</v>
      </c>
    </row>
    <row r="5185" spans="1:2" x14ac:dyDescent="0.25">
      <c r="A5185">
        <f ca="1">39580.0363913841*((RANDBETWEEN(2979,3282)))</f>
        <v>126774856.56160325</v>
      </c>
      <c r="B5185">
        <v>191328159.40758142</v>
      </c>
    </row>
    <row r="5186" spans="1:2" x14ac:dyDescent="0.25">
      <c r="A5186">
        <f ca="1">32741.66132316*((RANDBETWEEN(2979,3282)))</f>
        <v>99338200.45446752</v>
      </c>
      <c r="B5186">
        <v>186105167.01026738</v>
      </c>
    </row>
    <row r="5187" spans="1:2" x14ac:dyDescent="0.25">
      <c r="A5187">
        <f ca="1">29176.4944251449*((RANDBETWEEN(2979,3282)))</f>
        <v>91439133.528403968</v>
      </c>
      <c r="B5187">
        <v>177184513.67322057</v>
      </c>
    </row>
    <row r="5188" spans="1:2" x14ac:dyDescent="0.25">
      <c r="A5188">
        <f ca="1">31898.4438682811*((RANDBETWEEN(2979,3282)))</f>
        <v>98055816.451096177</v>
      </c>
      <c r="B5188">
        <v>165163151.40083101</v>
      </c>
    </row>
    <row r="5189" spans="1:2" x14ac:dyDescent="0.25">
      <c r="A5189">
        <f ca="1">34944.1677499545*((RANDBETWEEN(2979,3282)))</f>
        <v>108431752.52810891</v>
      </c>
      <c r="B5189">
        <v>167700610.00887245</v>
      </c>
    </row>
    <row r="5190" spans="1:2" x14ac:dyDescent="0.25">
      <c r="A5190">
        <f ca="1">31446.7198707063*((RANDBETWEEN(2979,3282)))</f>
        <v>101667245.34199338</v>
      </c>
      <c r="B5190">
        <v>160271470.29660207</v>
      </c>
    </row>
    <row r="5191" spans="1:2" x14ac:dyDescent="0.25">
      <c r="A5191">
        <f ca="1">29759.7355619382*((RANDBETWEEN(2979,3282)))</f>
        <v>93832446.226791114</v>
      </c>
      <c r="B5191">
        <v>194781015.42785752</v>
      </c>
    </row>
    <row r="5192" spans="1:2" x14ac:dyDescent="0.25">
      <c r="A5192">
        <f ca="1">40100.8692444641*((RANDBETWEEN(2979,3282)))</f>
        <v>127400461.58966254</v>
      </c>
      <c r="B5192">
        <v>145186467.0942373</v>
      </c>
    </row>
    <row r="5193" spans="1:2" x14ac:dyDescent="0.25">
      <c r="A5193">
        <f ca="1">34684.2034149174*((RANDBETWEEN(2979,3282)))</f>
        <v>103879189.22767757</v>
      </c>
      <c r="B5193">
        <v>191600260.90963814</v>
      </c>
    </row>
    <row r="5194" spans="1:2" x14ac:dyDescent="0.25">
      <c r="A5194">
        <f ca="1">37648.0830331599*((RANDBETWEEN(2979,3282)))</f>
        <v>113283081.8467782</v>
      </c>
      <c r="B5194">
        <v>188482477.19773048</v>
      </c>
    </row>
    <row r="5195" spans="1:2" x14ac:dyDescent="0.25">
      <c r="A5195">
        <f ca="1">36477.7588212683*((RANDBETWEEN(2979,3282)))</f>
        <v>118151460.82208808</v>
      </c>
      <c r="B5195">
        <v>162446777.90370071</v>
      </c>
    </row>
    <row r="5196" spans="1:2" x14ac:dyDescent="0.25">
      <c r="A5196">
        <f ca="1">31594.9870858308*((RANDBETWEEN(2979,3282)))</f>
        <v>98513169.73362042</v>
      </c>
      <c r="B5196">
        <v>156326003.12909806</v>
      </c>
    </row>
    <row r="5197" spans="1:2" x14ac:dyDescent="0.25">
      <c r="A5197">
        <f ca="1">32429.3896358234*((RANDBETWEEN(2979,3282)))</f>
        <v>104033481.95172152</v>
      </c>
      <c r="B5197">
        <v>192940788.13024369</v>
      </c>
    </row>
    <row r="5198" spans="1:2" x14ac:dyDescent="0.25">
      <c r="A5198">
        <f ca="1">35844.0643336406*((RANDBETWEEN(2979,3282)))</f>
        <v>108643358.99526463</v>
      </c>
      <c r="B5198">
        <v>177139886.39728615</v>
      </c>
    </row>
    <row r="5199" spans="1:2" x14ac:dyDescent="0.25">
      <c r="A5199">
        <f ca="1">30740.4744895503*((RANDBETWEEN(2979,3282)))</f>
        <v>95725837.560459569</v>
      </c>
      <c r="B5199">
        <v>144996528.69666833</v>
      </c>
    </row>
    <row r="5200" spans="1:2" x14ac:dyDescent="0.25">
      <c r="A5200">
        <f ca="1">30922.0676796251*((RANDBETWEEN(2979,3282)))</f>
        <v>92116839.617603034</v>
      </c>
      <c r="B5200">
        <v>155492453.08938739</v>
      </c>
    </row>
    <row r="5201" spans="1:2" x14ac:dyDescent="0.25">
      <c r="A5201">
        <f ca="1">29028.4136155608*((RANDBETWEEN(2979,3282)))</f>
        <v>91700758.611556455</v>
      </c>
      <c r="B5201">
        <v>150444235.42168427</v>
      </c>
    </row>
    <row r="5202" spans="1:2" x14ac:dyDescent="0.25">
      <c r="A5202">
        <f ca="1">32136.7962559256*((RANDBETWEEN(2979,3282)))</f>
        <v>99945436.355928481</v>
      </c>
      <c r="B5202">
        <v>166412074.92287421</v>
      </c>
    </row>
    <row r="5203" spans="1:2" x14ac:dyDescent="0.25">
      <c r="A5203">
        <f ca="1">37659.9335395829*((RANDBETWEEN(2979,3282)))</f>
        <v>120926046.59560059</v>
      </c>
      <c r="B5203">
        <v>192655142.81266659</v>
      </c>
    </row>
    <row r="5204" spans="1:2" x14ac:dyDescent="0.25">
      <c r="A5204">
        <f ca="1">37518.5077157185*((RANDBETWEEN(2979,3282)))</f>
        <v>113155819.27060711</v>
      </c>
      <c r="B5204">
        <v>144910514.4744139</v>
      </c>
    </row>
    <row r="5205" spans="1:2" x14ac:dyDescent="0.25">
      <c r="A5205">
        <f ca="1">36251.3355843831*((RANDBETWEEN(2979,3282)))</f>
        <v>117889343.32041396</v>
      </c>
      <c r="B5205">
        <v>198556683.6988883</v>
      </c>
    </row>
    <row r="5206" spans="1:2" x14ac:dyDescent="0.25">
      <c r="A5206">
        <f ca="1">36330.324501422*((RANDBETWEEN(2979,3282)))</f>
        <v>110444186.48432273</v>
      </c>
      <c r="B5206">
        <v>182428039.1030845</v>
      </c>
    </row>
    <row r="5207" spans="1:2" x14ac:dyDescent="0.25">
      <c r="A5207">
        <f ca="1">32841.0373786477*((RANDBETWEEN(2979,3282)))</f>
        <v>106536325.25633314</v>
      </c>
      <c r="B5207">
        <v>203613661.64132643</v>
      </c>
    </row>
    <row r="5208" spans="1:2" x14ac:dyDescent="0.25">
      <c r="A5208">
        <f ca="1">39502.373424679*((RANDBETWEEN(2979,3282)))</f>
        <v>122101836.25568292</v>
      </c>
      <c r="B5208">
        <v>198493886.36812225</v>
      </c>
    </row>
    <row r="5209" spans="1:2" x14ac:dyDescent="0.25">
      <c r="A5209">
        <f ca="1">32136.4503692234*((RANDBETWEEN(2979,3282)))</f>
        <v>95766622.100285694</v>
      </c>
      <c r="B5209">
        <v>163586678.78669709</v>
      </c>
    </row>
    <row r="5210" spans="1:2" x14ac:dyDescent="0.25">
      <c r="A5210">
        <f ca="1">31106.0929141069*((RANDBETWEEN(2979,3282)))</f>
        <v>99446179.046399653</v>
      </c>
      <c r="B5210">
        <v>150101330.66980416</v>
      </c>
    </row>
    <row r="5211" spans="1:2" x14ac:dyDescent="0.25">
      <c r="A5211">
        <f ca="1">32707.6910961231*((RANDBETWEEN(2979,3282)))</f>
        <v>107019565.26651487</v>
      </c>
      <c r="B5211">
        <v>175299447.97189295</v>
      </c>
    </row>
    <row r="5212" spans="1:2" x14ac:dyDescent="0.25">
      <c r="A5212">
        <f ca="1">39789.2583847605*((RANDBETWEEN(2979,3282)))</f>
        <v>130071085.65978195</v>
      </c>
      <c r="B5212">
        <v>188967624.14289737</v>
      </c>
    </row>
    <row r="5213" spans="1:2" x14ac:dyDescent="0.25">
      <c r="A5213">
        <f ca="1">37553.9942887885*((RANDBETWEEN(2979,3282)))</f>
        <v>121149185.57563157</v>
      </c>
      <c r="B5213">
        <v>202787866.44479978</v>
      </c>
    </row>
    <row r="5214" spans="1:2" x14ac:dyDescent="0.25">
      <c r="A5214">
        <f ca="1">30993.3806738672*((RANDBETWEEN(2979,3282)))</f>
        <v>97381202.077290878</v>
      </c>
      <c r="B5214">
        <v>176312760.46469548</v>
      </c>
    </row>
    <row r="5215" spans="1:2" x14ac:dyDescent="0.25">
      <c r="A5215">
        <f ca="1">34458.5912422455*((RANDBETWEEN(2979,3282)))</f>
        <v>105856792.29617827</v>
      </c>
      <c r="B5215">
        <v>145392510.9908821</v>
      </c>
    </row>
    <row r="5216" spans="1:2" x14ac:dyDescent="0.25">
      <c r="A5216">
        <f ca="1">31249.7385707815*((RANDBETWEEN(2979,3282)))</f>
        <v>101842898.00217691</v>
      </c>
      <c r="B5216">
        <v>154169105.60361952</v>
      </c>
    </row>
    <row r="5217" spans="1:2" x14ac:dyDescent="0.25">
      <c r="A5217">
        <f ca="1">30228.6399018594*((RANDBETWEEN(2979,3282)))</f>
        <v>99029024.318491504</v>
      </c>
      <c r="B5217">
        <v>146344963.32264975</v>
      </c>
    </row>
    <row r="5218" spans="1:2" x14ac:dyDescent="0.25">
      <c r="A5218">
        <f ca="1">30566.0961755619*((RANDBETWEEN(2979,3282)))</f>
        <v>97536412.896218032</v>
      </c>
      <c r="B5218">
        <v>183600323.10026315</v>
      </c>
    </row>
    <row r="5219" spans="1:2" x14ac:dyDescent="0.25">
      <c r="A5219">
        <f ca="1">35682.3720626661*((RANDBETWEEN(2979,3282)))</f>
        <v>107903493.11750242</v>
      </c>
      <c r="B5219">
        <v>203489981.29858053</v>
      </c>
    </row>
    <row r="5220" spans="1:2" x14ac:dyDescent="0.25">
      <c r="A5220">
        <f ca="1">41914.2291610524*((RANDBETWEEN(2979,3282)))</f>
        <v>127586913.56624359</v>
      </c>
      <c r="B5220">
        <v>143078395.11213195</v>
      </c>
    </row>
    <row r="5221" spans="1:2" x14ac:dyDescent="0.25">
      <c r="A5221">
        <f ca="1">36496.3055983782*((RANDBETWEEN(2979,3282)))</f>
        <v>109561909.40633145</v>
      </c>
      <c r="B5221">
        <v>173179140.63710165</v>
      </c>
    </row>
    <row r="5222" spans="1:2" x14ac:dyDescent="0.25">
      <c r="A5222">
        <f ca="1">36241.4944699124*((RANDBETWEEN(2979,3282)))</f>
        <v>107999653.520339</v>
      </c>
      <c r="B5222">
        <v>174149738.13456666</v>
      </c>
    </row>
    <row r="5223" spans="1:2" x14ac:dyDescent="0.25">
      <c r="A5223">
        <f ca="1">39171.8896942045*((RANDBETWEEN(2979,3282)))</f>
        <v>121667889.3901991</v>
      </c>
      <c r="B5223">
        <v>148606639.28721124</v>
      </c>
    </row>
    <row r="5224" spans="1:2" x14ac:dyDescent="0.25">
      <c r="A5224">
        <f ca="1">31650.3351197412*((RANDBETWEEN(2979,3282)))</f>
        <v>94476250.332427427</v>
      </c>
      <c r="B5224">
        <v>160368249.45198861</v>
      </c>
    </row>
    <row r="5225" spans="1:2" x14ac:dyDescent="0.25">
      <c r="A5225">
        <f ca="1">28775.4825285701*((RANDBETWEEN(2979,3282)))</f>
        <v>90642769.96499595</v>
      </c>
      <c r="B5225">
        <v>185494414.05964351</v>
      </c>
    </row>
    <row r="5226" spans="1:2" x14ac:dyDescent="0.25">
      <c r="A5226">
        <f ca="1">29006.0459298096*((RANDBETWEEN(2979,3282)))</f>
        <v>88439434.039989322</v>
      </c>
      <c r="B5226">
        <v>160076275.78466129</v>
      </c>
    </row>
    <row r="5227" spans="1:2" x14ac:dyDescent="0.25">
      <c r="A5227">
        <f ca="1">34934.6292395302*((RANDBETWEEN(2979,3282)))</f>
        <v>109065912.48581329</v>
      </c>
      <c r="B5227">
        <v>170273916.86364686</v>
      </c>
    </row>
    <row r="5228" spans="1:2" x14ac:dyDescent="0.25">
      <c r="A5228">
        <f ca="1">35402.6385529547*((RANDBETWEEN(2979,3282)))</f>
        <v>114279717.24893779</v>
      </c>
      <c r="B5228">
        <v>146072212.74340677</v>
      </c>
    </row>
    <row r="5229" spans="1:2" x14ac:dyDescent="0.25">
      <c r="A5229">
        <f ca="1">30719.9450383734*((RANDBETWEEN(2979,3282)))</f>
        <v>100423500.33044252</v>
      </c>
      <c r="B5229">
        <v>162489934.98471308</v>
      </c>
    </row>
    <row r="5230" spans="1:2" x14ac:dyDescent="0.25">
      <c r="A5230">
        <f ca="1">32115.6479711438*((RANDBETWEEN(2979,3282)))</f>
        <v>101067944.1651894</v>
      </c>
      <c r="B5230">
        <v>153129866.71832132</v>
      </c>
    </row>
    <row r="5231" spans="1:2" x14ac:dyDescent="0.25">
      <c r="A5231">
        <f ca="1">36804.8127461246*((RANDBETWEEN(2979,3282)))</f>
        <v>113690066.5727789</v>
      </c>
      <c r="B5231">
        <v>197808647.13032767</v>
      </c>
    </row>
    <row r="5232" spans="1:2" x14ac:dyDescent="0.25">
      <c r="A5232">
        <f ca="1">38559.8032867442*((RANDBETWEEN(2979,3282)))</f>
        <v>118879873.53303233</v>
      </c>
      <c r="B5232">
        <v>147569812.69788691</v>
      </c>
    </row>
    <row r="5233" spans="1:2" x14ac:dyDescent="0.25">
      <c r="A5233">
        <f ca="1">31887.768879483*((RANDBETWEEN(2979,3282)))</f>
        <v>99043410.139674246</v>
      </c>
      <c r="B5233">
        <v>184266926.45891321</v>
      </c>
    </row>
    <row r="5234" spans="1:2" x14ac:dyDescent="0.25">
      <c r="A5234">
        <f ca="1">32059.7038737428*((RANDBETWEEN(2979,3282)))</f>
        <v>101116306.01778483</v>
      </c>
      <c r="B5234">
        <v>180923019.57831618</v>
      </c>
    </row>
    <row r="5235" spans="1:2" x14ac:dyDescent="0.25">
      <c r="A5235">
        <f ca="1">30685.1528158152*((RANDBETWEEN(2979,3282)))</f>
        <v>93497660.629788995</v>
      </c>
      <c r="B5235">
        <v>159325099.91164935</v>
      </c>
    </row>
    <row r="5236" spans="1:2" x14ac:dyDescent="0.25">
      <c r="A5236">
        <f ca="1">37505.0910346286*((RANDBETWEEN(2979,3282)))</f>
        <v>113340385.10664773</v>
      </c>
      <c r="B5236">
        <v>160842922.86886808</v>
      </c>
    </row>
    <row r="5237" spans="1:2" x14ac:dyDescent="0.25">
      <c r="A5237">
        <f ca="1">31494.763638286*((RANDBETWEEN(2979,3282)))</f>
        <v>102987877.09719512</v>
      </c>
      <c r="B5237">
        <v>150726442.21431151</v>
      </c>
    </row>
    <row r="5238" spans="1:2" x14ac:dyDescent="0.25">
      <c r="A5238">
        <f ca="1">28800.1899587604*((RANDBETWEEN(2979,3282)))</f>
        <v>89683791.531580016</v>
      </c>
      <c r="B5238">
        <v>174247435.54415739</v>
      </c>
    </row>
    <row r="5239" spans="1:2" x14ac:dyDescent="0.25">
      <c r="A5239">
        <f ca="1">36734.0427432662*((RANDBETWEEN(2979,3282)))</f>
        <v>112112298.45244832</v>
      </c>
      <c r="B5239">
        <v>186683324.4857724</v>
      </c>
    </row>
    <row r="5240" spans="1:2" x14ac:dyDescent="0.25">
      <c r="A5240">
        <f ca="1">37711.2286623461*((RANDBETWEEN(2979,3282)))</f>
        <v>115848894.45072712</v>
      </c>
      <c r="B5240">
        <v>187951766.20682371</v>
      </c>
    </row>
    <row r="5241" spans="1:2" x14ac:dyDescent="0.25">
      <c r="A5241">
        <f ca="1">38938.4530615208*((RANDBETWEEN(2979,3282)))</f>
        <v>121410096.64582185</v>
      </c>
      <c r="B5241">
        <v>148930096.62544972</v>
      </c>
    </row>
    <row r="5242" spans="1:2" x14ac:dyDescent="0.25">
      <c r="A5242">
        <f ca="1">38698.1270931427*((RANDBETWEEN(2979,3282)))</f>
        <v>116133079.40652113</v>
      </c>
      <c r="B5242">
        <v>170399312.80910894</v>
      </c>
    </row>
    <row r="5243" spans="1:2" x14ac:dyDescent="0.25">
      <c r="A5243">
        <f ca="1">35923.3593308288*((RANDBETWEEN(2979,3282)))</f>
        <v>116032450.63857713</v>
      </c>
      <c r="B5243">
        <v>180757951.38241309</v>
      </c>
    </row>
    <row r="5244" spans="1:2" x14ac:dyDescent="0.25">
      <c r="A5244">
        <f ca="1">40806.3954557444*((RANDBETWEEN(2979,3282)))</f>
        <v>127560792.194657</v>
      </c>
      <c r="B5244">
        <v>183919629.31813753</v>
      </c>
    </row>
    <row r="5245" spans="1:2" x14ac:dyDescent="0.25">
      <c r="A5245">
        <f ca="1">30075.1364051417*((RANDBETWEEN(2979,3282)))</f>
        <v>93744200.174826711</v>
      </c>
      <c r="B5245">
        <v>167235087.91886199</v>
      </c>
    </row>
    <row r="5246" spans="1:2" x14ac:dyDescent="0.25">
      <c r="A5246">
        <f ca="1">37421.9294250484*((RANDBETWEEN(2979,3282)))</f>
        <v>115409230.34684937</v>
      </c>
      <c r="B5246">
        <v>170475644.71024567</v>
      </c>
    </row>
    <row r="5247" spans="1:2" x14ac:dyDescent="0.25">
      <c r="A5247">
        <f ca="1">30706.6813649578*((RANDBETWEEN(2979,3282)))</f>
        <v>95436365.682288975</v>
      </c>
      <c r="B5247">
        <v>187720527.25963181</v>
      </c>
    </row>
    <row r="5248" spans="1:2" x14ac:dyDescent="0.25">
      <c r="A5248">
        <f ca="1">34949.9723924293*((RANDBETWEEN(2979,3282)))</f>
        <v>114600959.47477588</v>
      </c>
      <c r="B5248">
        <v>174930503.75481635</v>
      </c>
    </row>
    <row r="5249" spans="1:2" x14ac:dyDescent="0.25">
      <c r="A5249">
        <f ca="1">34994.1997451176*((RANDBETWEEN(2979,3282)))</f>
        <v>104842622.43637227</v>
      </c>
      <c r="B5249">
        <v>162296596.11018017</v>
      </c>
    </row>
    <row r="5250" spans="1:2" x14ac:dyDescent="0.25">
      <c r="A5250">
        <f ca="1">33229.1262669743*((RANDBETWEEN(2979,3282)))</f>
        <v>106532578.8119197</v>
      </c>
      <c r="B5250">
        <v>156320086.41090029</v>
      </c>
    </row>
    <row r="5251" spans="1:2" x14ac:dyDescent="0.25">
      <c r="A5251">
        <f ca="1">37930.7529848433*((RANDBETWEEN(2979,3282)))</f>
        <v>115233627.56795397</v>
      </c>
      <c r="B5251">
        <v>182131786.635957</v>
      </c>
    </row>
    <row r="5252" spans="1:2" x14ac:dyDescent="0.25">
      <c r="A5252">
        <f ca="1">36253.0935500455*((RANDBETWEEN(2979,3282)))</f>
        <v>108831786.83723669</v>
      </c>
      <c r="B5252">
        <v>182931259.41348621</v>
      </c>
    </row>
    <row r="5253" spans="1:2" x14ac:dyDescent="0.25">
      <c r="A5253">
        <f ca="1">33921.6493511463*((RANDBETWEEN(2979,3282)))</f>
        <v>108786729.46912609</v>
      </c>
      <c r="B5253">
        <v>157356477.61097875</v>
      </c>
    </row>
    <row r="5254" spans="1:2" x14ac:dyDescent="0.25">
      <c r="A5254">
        <f ca="1">34703.9178935373*((RANDBETWEEN(2979,3282)))</f>
        <v>103487083.15852828</v>
      </c>
      <c r="B5254">
        <v>155784052.77909428</v>
      </c>
    </row>
    <row r="5255" spans="1:2" x14ac:dyDescent="0.25">
      <c r="A5255">
        <f ca="1">32138.9286811459*((RANDBETWEEN(2979,3282)))</f>
        <v>103808739.64010133</v>
      </c>
      <c r="B5255">
        <v>165284626.78430083</v>
      </c>
    </row>
    <row r="5256" spans="1:2" x14ac:dyDescent="0.25">
      <c r="A5256">
        <f ca="1">39652.8517860776*((RANDBETWEEN(2979,3282)))</f>
        <v>120782586.54039249</v>
      </c>
      <c r="B5256">
        <v>158238440.25677767</v>
      </c>
    </row>
    <row r="5257" spans="1:2" x14ac:dyDescent="0.25">
      <c r="A5257">
        <f ca="1">35458.8910196806*((RANDBETWEEN(2979,3282)))</f>
        <v>115986032.5253752</v>
      </c>
      <c r="B5257">
        <v>187044103.46501881</v>
      </c>
    </row>
    <row r="5258" spans="1:2" x14ac:dyDescent="0.25">
      <c r="A5258">
        <f ca="1">33153.8833631621*((RANDBETWEEN(2979,3282)))</f>
        <v>103274346.67624992</v>
      </c>
      <c r="B5258">
        <v>188444773.95449698</v>
      </c>
    </row>
    <row r="5259" spans="1:2" x14ac:dyDescent="0.25">
      <c r="A5259">
        <f ca="1">31577.3188693544*((RANDBETWEEN(2979,3282)))</f>
        <v>98868585.379948512</v>
      </c>
      <c r="B5259">
        <v>167384523.21674189</v>
      </c>
    </row>
    <row r="5260" spans="1:2" x14ac:dyDescent="0.25">
      <c r="A5260">
        <f ca="1">26394.0044345207*((RANDBETWEEN(2979,3282)))</f>
        <v>82877173.92439492</v>
      </c>
      <c r="B5260">
        <v>143002802.18255645</v>
      </c>
    </row>
    <row r="5261" spans="1:2" x14ac:dyDescent="0.25">
      <c r="A5261">
        <f ca="1">31219.0763504057*((RANDBETWEEN(2979,3282)))</f>
        <v>101305902.75706664</v>
      </c>
      <c r="B5261">
        <v>160381364.80614212</v>
      </c>
    </row>
    <row r="5262" spans="1:2" x14ac:dyDescent="0.25">
      <c r="A5262">
        <f ca="1">30024.9274699536*((RANDBETWEEN(2979,3282)))</f>
        <v>89684458.352751404</v>
      </c>
      <c r="B5262">
        <v>176774920.92052007</v>
      </c>
    </row>
    <row r="5263" spans="1:2" x14ac:dyDescent="0.25">
      <c r="A5263">
        <f ca="1">33380.5560791863*((RANDBETWEEN(2979,3282)))</f>
        <v>106951301.67771277</v>
      </c>
      <c r="B5263">
        <v>177972621.03041857</v>
      </c>
    </row>
    <row r="5264" spans="1:2" x14ac:dyDescent="0.25">
      <c r="A5264">
        <f ca="1">38736.0846764425*((RANDBETWEEN(2979,3282)))</f>
        <v>120391751.17438336</v>
      </c>
      <c r="B5264">
        <v>180429684.06706542</v>
      </c>
    </row>
    <row r="5265" spans="1:2" x14ac:dyDescent="0.25">
      <c r="A5265">
        <f ca="1">30177.7781292136*((RANDBETWEEN(2979,3282)))</f>
        <v>91076534.39396657</v>
      </c>
      <c r="B5265">
        <v>179468951.67261469</v>
      </c>
    </row>
    <row r="5266" spans="1:2" x14ac:dyDescent="0.25">
      <c r="A5266">
        <f ca="1">32890.2428537946*((RANDBETWEEN(2979,3282)))</f>
        <v>100315240.70407352</v>
      </c>
      <c r="B5266">
        <v>171912913.19520843</v>
      </c>
    </row>
    <row r="5267" spans="1:2" x14ac:dyDescent="0.25">
      <c r="A5267">
        <f ca="1">31142.5184904356*((RANDBETWEEN(2979,3282)))</f>
        <v>101680322.87127215</v>
      </c>
      <c r="B5267">
        <v>153269929.95645288</v>
      </c>
    </row>
    <row r="5268" spans="1:2" x14ac:dyDescent="0.25">
      <c r="A5268">
        <f ca="1">30406.8861537557*((RANDBETWEEN(2979,3282)))</f>
        <v>96572270.424328119</v>
      </c>
      <c r="B5268">
        <v>183908932.06519163</v>
      </c>
    </row>
    <row r="5269" spans="1:2" x14ac:dyDescent="0.25">
      <c r="A5269">
        <f ca="1">39078.9007311744*((RANDBETWEEN(2979,3282)))</f>
        <v>119854988.54251191</v>
      </c>
      <c r="B5269">
        <v>149667017.47280046</v>
      </c>
    </row>
    <row r="5270" spans="1:2" x14ac:dyDescent="0.25">
      <c r="A5270">
        <f ca="1">31106.4456237133*((RANDBETWEEN(2979,3282)))</f>
        <v>99229561.539645329</v>
      </c>
      <c r="B5270">
        <v>143657415.92642719</v>
      </c>
    </row>
    <row r="5271" spans="1:2" x14ac:dyDescent="0.25">
      <c r="A5271">
        <f ca="1">34071.4845956174*((RANDBETWEEN(2979,3282)))</f>
        <v>106575603.81509119</v>
      </c>
      <c r="B5271">
        <v>149269095.12608105</v>
      </c>
    </row>
    <row r="5272" spans="1:2" x14ac:dyDescent="0.25">
      <c r="A5272">
        <f ca="1">30667.1990756732*((RANDBETWEEN(2979,3282)))</f>
        <v>99331057.806105629</v>
      </c>
      <c r="B5272">
        <v>155563108.71661726</v>
      </c>
    </row>
    <row r="5273" spans="1:2" x14ac:dyDescent="0.25">
      <c r="A5273">
        <f ca="1">37214.9600950742*((RANDBETWEEN(2979,3282)))</f>
        <v>121209125.0296568</v>
      </c>
      <c r="B5273">
        <v>150055438.39319098</v>
      </c>
    </row>
    <row r="5274" spans="1:2" x14ac:dyDescent="0.25">
      <c r="A5274">
        <f ca="1">27763.0128154222*((RANDBETWEEN(2979,3282)))</f>
        <v>89230323.188766956</v>
      </c>
      <c r="B5274">
        <v>151595223.64075106</v>
      </c>
    </row>
    <row r="5275" spans="1:2" x14ac:dyDescent="0.25">
      <c r="A5275">
        <f ca="1">31316.3142480162*((RANDBETWEEN(2979,3282)))</f>
        <v>94418687.457768962</v>
      </c>
      <c r="B5275">
        <v>201764418.6522837</v>
      </c>
    </row>
    <row r="5276" spans="1:2" x14ac:dyDescent="0.25">
      <c r="A5276">
        <f ca="1">37701.4904891941*((RANDBETWEEN(2979,3282)))</f>
        <v>121097187.45129161</v>
      </c>
      <c r="B5276">
        <v>148179944.78611141</v>
      </c>
    </row>
    <row r="5277" spans="1:2" x14ac:dyDescent="0.25">
      <c r="A5277">
        <f ca="1">36450.5575467687*((RANDBETWEEN(2979,3282)))</f>
        <v>116131476.34400515</v>
      </c>
      <c r="B5277">
        <v>202870948.01741344</v>
      </c>
    </row>
    <row r="5278" spans="1:2" x14ac:dyDescent="0.25">
      <c r="A5278">
        <f ca="1">31812.2157566478*((RANDBETWEEN(2979,3282)))</f>
        <v>103389701.20910528</v>
      </c>
      <c r="B5278">
        <v>147943492.33199978</v>
      </c>
    </row>
    <row r="5279" spans="1:2" x14ac:dyDescent="0.25">
      <c r="A5279">
        <f ca="1">30983.2186835567*((RANDBETWEEN(2979,3282)))</f>
        <v>99982846.69183743</v>
      </c>
      <c r="B5279">
        <v>148546786.16744459</v>
      </c>
    </row>
    <row r="5280" spans="1:2" x14ac:dyDescent="0.25">
      <c r="A5280">
        <f ca="1">31969.7650411545*((RANDBETWEEN(2979,3282)))</f>
        <v>101472034.24062435</v>
      </c>
      <c r="B5280">
        <v>171038508.34231922</v>
      </c>
    </row>
    <row r="5281" spans="1:2" x14ac:dyDescent="0.25">
      <c r="A5281">
        <f ca="1">35426.9332112363*((RANDBETWEEN(2979,3282)))</f>
        <v>105713968.70232911</v>
      </c>
      <c r="B5281">
        <v>200042108.38489637</v>
      </c>
    </row>
    <row r="5282" spans="1:2" x14ac:dyDescent="0.25">
      <c r="A5282">
        <f ca="1">30705.1236626083*((RANDBETWEEN(2979,3282)))</f>
        <v>97243126.639480457</v>
      </c>
      <c r="B5282">
        <v>176970815.62468141</v>
      </c>
    </row>
    <row r="5283" spans="1:2" x14ac:dyDescent="0.25">
      <c r="A5283">
        <f ca="1">28977.1538666795*((RANDBETWEEN(2979,3282)))</f>
        <v>86467827.138171688</v>
      </c>
      <c r="B5283">
        <v>148333233.3169601</v>
      </c>
    </row>
    <row r="5284" spans="1:2" x14ac:dyDescent="0.25">
      <c r="A5284">
        <f ca="1">34734.4201335089*((RANDBETWEEN(2979,3282)))</f>
        <v>111393285.36816312</v>
      </c>
      <c r="B5284">
        <v>174312462.9663395</v>
      </c>
    </row>
    <row r="5285" spans="1:2" x14ac:dyDescent="0.25">
      <c r="A5285">
        <f ca="1">30991.7999877495*((RANDBETWEEN(2979,3282)))</f>
        <v>95640694.762194991</v>
      </c>
      <c r="B5285">
        <v>150314027.57540929</v>
      </c>
    </row>
    <row r="5286" spans="1:2" x14ac:dyDescent="0.25">
      <c r="A5286">
        <f ca="1">33556.6337847787*((RANDBETWEEN(2979,3282)))</f>
        <v>107146331.67479834</v>
      </c>
      <c r="B5286">
        <v>166929014.0895392</v>
      </c>
    </row>
    <row r="5287" spans="1:2" x14ac:dyDescent="0.25">
      <c r="A5287">
        <f ca="1">41231.8687206124*((RANDBETWEEN(2979,3282)))</f>
        <v>125509808.38554429</v>
      </c>
      <c r="B5287">
        <v>156467074.81905323</v>
      </c>
    </row>
    <row r="5288" spans="1:2" x14ac:dyDescent="0.25">
      <c r="A5288">
        <f ca="1">30893.1116293227*((RANDBETWEEN(2979,3282)))</f>
        <v>99074208.995237961</v>
      </c>
      <c r="B5288">
        <v>177860896.17676961</v>
      </c>
    </row>
    <row r="5289" spans="1:2" x14ac:dyDescent="0.25">
      <c r="A5289">
        <f ca="1">36322.2191146786*((RANDBETWEEN(2979,3282)))</f>
        <v>112344623.72170098</v>
      </c>
      <c r="B5289">
        <v>174701459.22959739</v>
      </c>
    </row>
    <row r="5290" spans="1:2" x14ac:dyDescent="0.25">
      <c r="A5290">
        <f ca="1">29190.7946938502*((RANDBETWEEN(2979,3282)))</f>
        <v>92826727.12644349</v>
      </c>
      <c r="B5290">
        <v>144410260.40644813</v>
      </c>
    </row>
    <row r="5291" spans="1:2" x14ac:dyDescent="0.25">
      <c r="A5291">
        <f ca="1">37294.4969218733*((RANDBETWEEN(2979,3282)))</f>
        <v>113263387.15172923</v>
      </c>
      <c r="B5291">
        <v>166460819.26089847</v>
      </c>
    </row>
    <row r="5292" spans="1:2" x14ac:dyDescent="0.25">
      <c r="A5292">
        <f ca="1">31139.9205863326*((RANDBETWEEN(2979,3282)))</f>
        <v>95101317.470659673</v>
      </c>
      <c r="B5292">
        <v>148605884.13846105</v>
      </c>
    </row>
    <row r="5293" spans="1:2" x14ac:dyDescent="0.25">
      <c r="A5293">
        <f ca="1">31105.9291995146*((RANDBETWEEN(2979,3282)))</f>
        <v>96335062.730896592</v>
      </c>
      <c r="B5293">
        <v>200560313.10867161</v>
      </c>
    </row>
    <row r="5294" spans="1:2" x14ac:dyDescent="0.25">
      <c r="A5294">
        <f ca="1">29892.2563035051*((RANDBETWEEN(2979,3282)))</f>
        <v>96402526.578803986</v>
      </c>
      <c r="B5294">
        <v>145129016.04133981</v>
      </c>
    </row>
    <row r="5295" spans="1:2" x14ac:dyDescent="0.25">
      <c r="A5295">
        <f ca="1">40901.7096859584*((RANDBETWEEN(2979,3282)))</f>
        <v>130271945.34977747</v>
      </c>
      <c r="B5295">
        <v>185465799.95323008</v>
      </c>
    </row>
    <row r="5296" spans="1:2" x14ac:dyDescent="0.25">
      <c r="A5296">
        <f ca="1">29467.9209161127*((RANDBETWEEN(2979,3282)))</f>
        <v>94297346.931560636</v>
      </c>
      <c r="B5296">
        <v>160947097.55413026</v>
      </c>
    </row>
    <row r="5297" spans="1:2" x14ac:dyDescent="0.25">
      <c r="A5297">
        <f ca="1">30117.0912381467*((RANDBETWEEN(2979,3282)))</f>
        <v>97428790.155404568</v>
      </c>
      <c r="B5297">
        <v>157324334.58791566</v>
      </c>
    </row>
    <row r="5298" spans="1:2" x14ac:dyDescent="0.25">
      <c r="A5298">
        <f ca="1">38860.4059326062*((RANDBETWEEN(2979,3282)))</f>
        <v>115765149.27323382</v>
      </c>
      <c r="B5298">
        <v>170535899.13224334</v>
      </c>
    </row>
    <row r="5299" spans="1:2" x14ac:dyDescent="0.25">
      <c r="A5299">
        <f ca="1">31183.8603815253*((RANDBETWEEN(2979,3282)))</f>
        <v>101846488.00606161</v>
      </c>
      <c r="B5299">
        <v>194197873.23864436</v>
      </c>
    </row>
    <row r="5300" spans="1:2" x14ac:dyDescent="0.25">
      <c r="A5300">
        <f ca="1">31777.8335734212*((RANDBETWEEN(2979,3282)))</f>
        <v>96890614.565361172</v>
      </c>
      <c r="B5300">
        <v>183865731.31174392</v>
      </c>
    </row>
    <row r="5301" spans="1:2" x14ac:dyDescent="0.25">
      <c r="A5301">
        <f ca="1">30071.3921878836*((RANDBETWEEN(2979,3282)))</f>
        <v>90996032.760535792</v>
      </c>
      <c r="B5301">
        <v>201641521.92755786</v>
      </c>
    </row>
    <row r="5302" spans="1:2" x14ac:dyDescent="0.25">
      <c r="A5302">
        <f ca="1">31875.3693433404*((RANDBETWEEN(2979,3282)))</f>
        <v>98590517.378951877</v>
      </c>
      <c r="B5302">
        <v>160660499.87127143</v>
      </c>
    </row>
    <row r="5303" spans="1:2" x14ac:dyDescent="0.25">
      <c r="A5303">
        <f ca="1">35393.2658668035*((RANDBETWEEN(2979,3282)))</f>
        <v>111665753.80976498</v>
      </c>
      <c r="B5303">
        <v>193404601.51018256</v>
      </c>
    </row>
    <row r="5304" spans="1:2" x14ac:dyDescent="0.25">
      <c r="A5304">
        <f ca="1">29411.7564901014*((RANDBETWEEN(2979,3282)))</f>
        <v>91029386.336863741</v>
      </c>
      <c r="B5304">
        <v>154084998.22598302</v>
      </c>
    </row>
    <row r="5305" spans="1:2" x14ac:dyDescent="0.25">
      <c r="A5305">
        <f ca="1">32327.3181718101*((RANDBETWEEN(2979,3282)))</f>
        <v>105871967.01267807</v>
      </c>
      <c r="B5305">
        <v>171132894.3903448</v>
      </c>
    </row>
    <row r="5306" spans="1:2" x14ac:dyDescent="0.25">
      <c r="A5306">
        <f ca="1">34816.4379781366*((RANDBETWEEN(2979,3282)))</f>
        <v>112352645.35544686</v>
      </c>
      <c r="B5306">
        <v>145951107.29069889</v>
      </c>
    </row>
    <row r="5307" spans="1:2" x14ac:dyDescent="0.25">
      <c r="A5307">
        <f ca="1">31012.687990073*((RANDBETWEEN(2979,3282)))</f>
        <v>93968444.609921068</v>
      </c>
      <c r="B5307">
        <v>201515332.45894986</v>
      </c>
    </row>
    <row r="5308" spans="1:2" x14ac:dyDescent="0.25">
      <c r="A5308">
        <f ca="1">28848.3359880299*((RANDBETWEEN(2979,3282)))</f>
        <v>88708633.16319181</v>
      </c>
      <c r="B5308">
        <v>186876937.86217013</v>
      </c>
    </row>
    <row r="5309" spans="1:2" x14ac:dyDescent="0.25">
      <c r="A5309">
        <f ca="1">30922.1610404241*((RANDBETWEEN(2979,3282)))</f>
        <v>92550027.993989468</v>
      </c>
      <c r="B5309">
        <v>146659236.70312333</v>
      </c>
    </row>
    <row r="5310" spans="1:2" x14ac:dyDescent="0.25">
      <c r="A5310">
        <f ca="1">31566.655004853*((RANDBETWEEN(2979,3282)))</f>
        <v>101423662.53059277</v>
      </c>
      <c r="B5310">
        <v>157650561.26395008</v>
      </c>
    </row>
    <row r="5311" spans="1:2" x14ac:dyDescent="0.25">
      <c r="A5311">
        <f ca="1">29845.5120922225*((RANDBETWEEN(2979,3282)))</f>
        <v>89954373.44595851</v>
      </c>
      <c r="B5311">
        <v>164614434.31528306</v>
      </c>
    </row>
    <row r="5312" spans="1:2" x14ac:dyDescent="0.25">
      <c r="A5312">
        <f ca="1">32182.0090810345*((RANDBETWEEN(2979,3282)))</f>
        <v>101341146.59617765</v>
      </c>
      <c r="B5312">
        <v>171275133.30761391</v>
      </c>
    </row>
    <row r="5313" spans="1:2" x14ac:dyDescent="0.25">
      <c r="A5313">
        <f ca="1">31579.9556524818*((RANDBETWEEN(2979,3282)))</f>
        <v>98118922.212260917</v>
      </c>
      <c r="B5313">
        <v>158333223.18327188</v>
      </c>
    </row>
    <row r="5314" spans="1:2" x14ac:dyDescent="0.25">
      <c r="A5314">
        <f ca="1">38388.7572502662*((RANDBETWEEN(2979,3282)))</f>
        <v>124571517.27711394</v>
      </c>
      <c r="B5314">
        <v>153680333.91248709</v>
      </c>
    </row>
    <row r="5315" spans="1:2" x14ac:dyDescent="0.25">
      <c r="A5315">
        <f ca="1">32655.026180053*((RANDBETWEEN(2979,3282)))</f>
        <v>99108004.456460789</v>
      </c>
      <c r="B5315">
        <v>165350774.92049485</v>
      </c>
    </row>
    <row r="5316" spans="1:2" x14ac:dyDescent="0.25">
      <c r="A5316">
        <f ca="1">31204.2228305816*((RANDBETWEEN(2979,3282)))</f>
        <v>93706281.160236686</v>
      </c>
      <c r="B5316">
        <v>153701355.823291</v>
      </c>
    </row>
    <row r="5317" spans="1:2" x14ac:dyDescent="0.25">
      <c r="A5317">
        <f ca="1">38977.4074043714*((RANDBETWEEN(2979,3282)))</f>
        <v>124182019.99032737</v>
      </c>
      <c r="B5317">
        <v>202946561.16166946</v>
      </c>
    </row>
    <row r="5318" spans="1:2" x14ac:dyDescent="0.25">
      <c r="A5318">
        <f ca="1">40836.2343358049*((RANDBETWEEN(2979,3282)))</f>
        <v>123080410.28811607</v>
      </c>
      <c r="B5318">
        <v>192697900.58923066</v>
      </c>
    </row>
    <row r="5319" spans="1:2" x14ac:dyDescent="0.25">
      <c r="A5319">
        <f ca="1">31081.7519737137*((RANDBETWEEN(2979,3282)))</f>
        <v>97565619.445487246</v>
      </c>
      <c r="B5319">
        <v>162120914.14267558</v>
      </c>
    </row>
    <row r="5320" spans="1:2" x14ac:dyDescent="0.25">
      <c r="A5320">
        <f ca="1">35723.3231371202*((RANDBETWEEN(2979,3282)))</f>
        <v>115493503.70230971</v>
      </c>
      <c r="B5320">
        <v>162338731.57783177</v>
      </c>
    </row>
    <row r="5321" spans="1:2" x14ac:dyDescent="0.25">
      <c r="A5321">
        <f ca="1">38320.620504634*((RANDBETWEEN(2979,3282)))</f>
        <v>123967207.33249106</v>
      </c>
      <c r="B5321">
        <v>194021995.16622496</v>
      </c>
    </row>
    <row r="5322" spans="1:2" x14ac:dyDescent="0.25">
      <c r="A5322">
        <f ca="1">31143.8736569676*((RANDBETWEEN(2979,3282)))</f>
        <v>93120182.234333128</v>
      </c>
      <c r="B5322">
        <v>143180848.17351174</v>
      </c>
    </row>
    <row r="5323" spans="1:2" x14ac:dyDescent="0.25">
      <c r="A5323">
        <f ca="1">31424.3500887438*((RANDBETWEEN(2979,3282)))</f>
        <v>96786998.273330763</v>
      </c>
      <c r="B5323">
        <v>183078928.6357967</v>
      </c>
    </row>
    <row r="5324" spans="1:2" x14ac:dyDescent="0.25">
      <c r="A5324">
        <f ca="1">30679.8857971826*((RANDBETWEEN(2979,3282)))</f>
        <v>98942631.695913985</v>
      </c>
      <c r="B5324">
        <v>185014403.19105074</v>
      </c>
    </row>
    <row r="5325" spans="1:2" x14ac:dyDescent="0.25">
      <c r="A5325">
        <f ca="1">39561.6921835176*((RANDBETWEEN(2979,3282)))</f>
        <v>125964427.91232</v>
      </c>
      <c r="B5325">
        <v>147945861.48519054</v>
      </c>
    </row>
    <row r="5326" spans="1:2" x14ac:dyDescent="0.25">
      <c r="A5326">
        <f ca="1">36800.108824245*((RANDBETWEEN(2979,3282)))</f>
        <v>112277132.02277155</v>
      </c>
      <c r="B5326">
        <v>195475836.61633444</v>
      </c>
    </row>
    <row r="5327" spans="1:2" x14ac:dyDescent="0.25">
      <c r="A5327">
        <f ca="1">32714.0596113519*((RANDBETWEEN(2979,3282)))</f>
        <v>104652276.69671464</v>
      </c>
      <c r="B5327">
        <v>149355653.9661921</v>
      </c>
    </row>
    <row r="5328" spans="1:2" x14ac:dyDescent="0.25">
      <c r="A5328">
        <f ca="1">33106.3576602946*((RANDBETWEEN(2979,3282)))</f>
        <v>99352179.338543996</v>
      </c>
      <c r="B5328">
        <v>175467169.08780712</v>
      </c>
    </row>
    <row r="5329" spans="1:2" x14ac:dyDescent="0.25">
      <c r="A5329">
        <f ca="1">33290.7688327*((RANDBETWEEN(2979,3282)))</f>
        <v>107895381.78678063</v>
      </c>
      <c r="B5329">
        <v>166021023.37193346</v>
      </c>
    </row>
    <row r="5330" spans="1:2" x14ac:dyDescent="0.25">
      <c r="A5330">
        <f ca="1">33285.3411136449*((RANDBETWEEN(2979,3282)))</f>
        <v>103750408.25123128</v>
      </c>
      <c r="B5330">
        <v>151021140.02585375</v>
      </c>
    </row>
    <row r="5331" spans="1:2" x14ac:dyDescent="0.25">
      <c r="A5331">
        <f ca="1">33083.2938314774*((RANDBETWEEN(2979,3282)))</f>
        <v>101962711.58861348</v>
      </c>
      <c r="B5331">
        <v>170723139.97709864</v>
      </c>
    </row>
    <row r="5332" spans="1:2" x14ac:dyDescent="0.25">
      <c r="A5332">
        <f ca="1">39464.5456365392*((RANDBETWEEN(2979,3282)))</f>
        <v>122971524.20345601</v>
      </c>
      <c r="B5332">
        <v>160791557.07204679</v>
      </c>
    </row>
    <row r="5333" spans="1:2" x14ac:dyDescent="0.25">
      <c r="A5333">
        <f ca="1">32648.9756150498*((RANDBETWEEN(2979,3282)))</f>
        <v>97261298.35723339</v>
      </c>
      <c r="B5333">
        <v>149925522.01670015</v>
      </c>
    </row>
    <row r="5334" spans="1:2" x14ac:dyDescent="0.25">
      <c r="A5334">
        <f ca="1">36131.7742372034*((RANDBETWEEN(2979,3282)))</f>
        <v>117175343.85125066</v>
      </c>
      <c r="B5334">
        <v>183381179.06370959</v>
      </c>
    </row>
    <row r="5335" spans="1:2" x14ac:dyDescent="0.25">
      <c r="A5335">
        <f ca="1">35236.1160913661*((RANDBETWEEN(2979,3282)))</f>
        <v>106730195.64074789</v>
      </c>
      <c r="B5335">
        <v>155737556.4159821</v>
      </c>
    </row>
    <row r="5336" spans="1:2" x14ac:dyDescent="0.25">
      <c r="A5336">
        <f ca="1">31771.632292585*((RANDBETWEEN(2979,3282)))</f>
        <v>96839935.227799028</v>
      </c>
      <c r="B5336">
        <v>157300903.00386691</v>
      </c>
    </row>
    <row r="5337" spans="1:2" x14ac:dyDescent="0.25">
      <c r="A5337">
        <f ca="1">33551.2977353821*((RANDBETWEEN(2979,3282)))</f>
        <v>102365009.39065064</v>
      </c>
      <c r="B5337">
        <v>152830485.91010618</v>
      </c>
    </row>
    <row r="5338" spans="1:2" x14ac:dyDescent="0.25">
      <c r="A5338">
        <f ca="1">29372.5949717981*((RANDBETWEEN(2979,3282)))</f>
        <v>92406183.781276733</v>
      </c>
      <c r="B5338">
        <v>143862783.4024078</v>
      </c>
    </row>
    <row r="5339" spans="1:2" x14ac:dyDescent="0.25">
      <c r="A5339">
        <f ca="1">32072.3257566903*((RANDBETWEEN(2979,3282)))</f>
        <v>104876505.22437714</v>
      </c>
      <c r="B5339">
        <v>202053355.40061486</v>
      </c>
    </row>
    <row r="5340" spans="1:2" x14ac:dyDescent="0.25">
      <c r="A5340">
        <f ca="1">36597.3017909279*((RANDBETWEEN(2979,3282)))</f>
        <v>109242945.84591976</v>
      </c>
      <c r="B5340">
        <v>193065974.20305407</v>
      </c>
    </row>
    <row r="5341" spans="1:2" x14ac:dyDescent="0.25">
      <c r="A5341">
        <f ca="1">39008.0234720895*((RANDBETWEEN(2979,3282)))</f>
        <v>122992298.00749804</v>
      </c>
      <c r="B5341">
        <v>165822214.00023624</v>
      </c>
    </row>
    <row r="5342" spans="1:2" x14ac:dyDescent="0.25">
      <c r="A5342">
        <f ca="1">39949.0330555489*((RANDBETWEEN(2979,3282)))</f>
        <v>120006895.29886891</v>
      </c>
      <c r="B5342">
        <v>191420938.88078335</v>
      </c>
    </row>
    <row r="5343" spans="1:2" x14ac:dyDescent="0.25">
      <c r="A5343">
        <f ca="1">31449.7259050373*((RANDBETWEEN(2979,3282)))</f>
        <v>97871547.016475976</v>
      </c>
      <c r="B5343">
        <v>190292358.39438185</v>
      </c>
    </row>
    <row r="5344" spans="1:2" x14ac:dyDescent="0.25">
      <c r="A5344">
        <f ca="1">28402.2891081961*((RANDBETWEEN(2979,3282)))</f>
        <v>85320476.481021047</v>
      </c>
      <c r="B5344">
        <v>178910654.56925279</v>
      </c>
    </row>
    <row r="5345" spans="1:2" x14ac:dyDescent="0.25">
      <c r="A5345">
        <f ca="1">32296.75422756*((RANDBETWEEN(2979,3282)))</f>
        <v>101637885.55413134</v>
      </c>
      <c r="B5345">
        <v>163177391.78250152</v>
      </c>
    </row>
    <row r="5346" spans="1:2" x14ac:dyDescent="0.25">
      <c r="A5346">
        <f ca="1">31655.8070973045*((RANDBETWEEN(2979,3282)))</f>
        <v>101805075.62493137</v>
      </c>
      <c r="B5346">
        <v>196820218.90750372</v>
      </c>
    </row>
    <row r="5347" spans="1:2" x14ac:dyDescent="0.25">
      <c r="A5347">
        <f ca="1">32172.5167774979*((RANDBETWEEN(2979,3282)))</f>
        <v>100346079.82901597</v>
      </c>
      <c r="B5347">
        <v>142951418.68038437</v>
      </c>
    </row>
    <row r="5348" spans="1:2" x14ac:dyDescent="0.25">
      <c r="A5348">
        <f ca="1">29190.1374058499*((RANDBETWEEN(2979,3282)))</f>
        <v>92007313.103239179</v>
      </c>
      <c r="B5348">
        <v>183824568.22525689</v>
      </c>
    </row>
    <row r="5349" spans="1:2" x14ac:dyDescent="0.25">
      <c r="A5349">
        <f ca="1">28497.5200463529*((RANDBETWEEN(2979,3282)))</f>
        <v>85635047.739290416</v>
      </c>
      <c r="B5349">
        <v>161802561.94394746</v>
      </c>
    </row>
    <row r="5350" spans="1:2" x14ac:dyDescent="0.25">
      <c r="A5350">
        <f ca="1">33790.975355387*((RANDBETWEEN(2979,3282)))</f>
        <v>103163847.75999659</v>
      </c>
      <c r="B5350">
        <v>167627315.44674394</v>
      </c>
    </row>
    <row r="5351" spans="1:2" x14ac:dyDescent="0.25">
      <c r="A5351">
        <f ca="1">28836.6589809006*((RANDBETWEEN(2979,3282)))</f>
        <v>94613078.11633493</v>
      </c>
      <c r="B5351">
        <v>201737562.06419018</v>
      </c>
    </row>
    <row r="5352" spans="1:2" x14ac:dyDescent="0.25">
      <c r="A5352">
        <f ca="1">33952.9236276133*((RANDBETWEEN(2979,3282)))</f>
        <v>106102886.33629157</v>
      </c>
      <c r="B5352">
        <v>175529685.51039207</v>
      </c>
    </row>
    <row r="5353" spans="1:2" x14ac:dyDescent="0.25">
      <c r="A5353">
        <f ca="1">30264.7514788446*((RANDBETWEEN(2979,3282)))</f>
        <v>97210381.750048727</v>
      </c>
      <c r="B5353">
        <v>202574725.62058872</v>
      </c>
    </row>
    <row r="5354" spans="1:2" x14ac:dyDescent="0.25">
      <c r="A5354">
        <f ca="1">27722.4633220551*((RANDBETWEEN(2979,3282)))</f>
        <v>83943618.939182743</v>
      </c>
      <c r="B5354">
        <v>192711512.40120038</v>
      </c>
    </row>
    <row r="5355" spans="1:2" x14ac:dyDescent="0.25">
      <c r="A5355">
        <f ca="1">32895.5270197294*((RANDBETWEEN(2979,3282)))</f>
        <v>105364373.04419325</v>
      </c>
      <c r="B5355">
        <v>173742432.6375294</v>
      </c>
    </row>
    <row r="5356" spans="1:2" x14ac:dyDescent="0.25">
      <c r="A5356">
        <f ca="1">30874.1093185727*((RANDBETWEEN(2979,3282)))</f>
        <v>98673653.382158324</v>
      </c>
      <c r="B5356">
        <v>149629005.92737687</v>
      </c>
    </row>
    <row r="5357" spans="1:2" x14ac:dyDescent="0.25">
      <c r="A5357">
        <f ca="1">31672.5208880443*((RANDBETWEEN(2979,3282)))</f>
        <v>103822523.47100933</v>
      </c>
      <c r="B5357">
        <v>171388239.97850278</v>
      </c>
    </row>
    <row r="5358" spans="1:2" x14ac:dyDescent="0.25">
      <c r="A5358">
        <f ca="1">38431.200378605*((RANDBETWEEN(2979,3282)))</f>
        <v>125170419.63311662</v>
      </c>
      <c r="B5358">
        <v>165303111.11938807</v>
      </c>
    </row>
    <row r="5359" spans="1:2" x14ac:dyDescent="0.25">
      <c r="A5359">
        <f ca="1">34153.9761207976*((RANDBETWEEN(2979,3282)))</f>
        <v>104408705.00127812</v>
      </c>
      <c r="B5359">
        <v>152574143.0622524</v>
      </c>
    </row>
    <row r="5360" spans="1:2" x14ac:dyDescent="0.25">
      <c r="A5360">
        <f ca="1">34846.9072896875*((RANDBETWEEN(2979,3282)))</f>
        <v>108234494.04176927</v>
      </c>
      <c r="B5360">
        <v>147364514.45189613</v>
      </c>
    </row>
    <row r="5361" spans="1:2" x14ac:dyDescent="0.25">
      <c r="A5361">
        <f ca="1">35407.1806971097*((RANDBETWEEN(2979,3282)))</f>
        <v>108558416.01733826</v>
      </c>
      <c r="B5361">
        <v>156464122.51479602</v>
      </c>
    </row>
    <row r="5362" spans="1:2" x14ac:dyDescent="0.25">
      <c r="A5362">
        <f ca="1">31050.9092129571*((RANDBETWEEN(2979,3282)))</f>
        <v>99642367.664379179</v>
      </c>
      <c r="B5362">
        <v>164557056.6680316</v>
      </c>
    </row>
    <row r="5363" spans="1:2" x14ac:dyDescent="0.25">
      <c r="A5363">
        <f ca="1">34969.9125836754*((RANDBETWEEN(2979,3282)))</f>
        <v>114211734.49828377</v>
      </c>
      <c r="B5363">
        <v>200366365.35619098</v>
      </c>
    </row>
    <row r="5364" spans="1:2" x14ac:dyDescent="0.25">
      <c r="A5364">
        <f ca="1">37230.3535414032*((RANDBETWEEN(2979,3282)))</f>
        <v>120477424.05998076</v>
      </c>
      <c r="B5364">
        <v>158068075.52890244</v>
      </c>
    </row>
    <row r="5365" spans="1:2" x14ac:dyDescent="0.25">
      <c r="A5365">
        <f ca="1">33019.4664556857*((RANDBETWEEN(2979,3282)))</f>
        <v>101303723.08604386</v>
      </c>
      <c r="B5365">
        <v>182380132.06467819</v>
      </c>
    </row>
    <row r="5366" spans="1:2" x14ac:dyDescent="0.25">
      <c r="A5366">
        <f ca="1">31606.577725699*((RANDBETWEEN(2979,3282)))</f>
        <v>96905767.306993008</v>
      </c>
      <c r="B5366">
        <v>144576645.43559465</v>
      </c>
    </row>
    <row r="5367" spans="1:2" x14ac:dyDescent="0.25">
      <c r="A5367">
        <f ca="1">30898.6598500543*((RANDBETWEEN(2979,3282)))</f>
        <v>98628522.24137345</v>
      </c>
      <c r="B5367">
        <v>150037383.80751467</v>
      </c>
    </row>
    <row r="5368" spans="1:2" x14ac:dyDescent="0.25">
      <c r="A5368">
        <f ca="1">35153.3909716638*((RANDBETWEEN(2979,3282)))</f>
        <v>112385390.9364094</v>
      </c>
      <c r="B5368">
        <v>150130524.55405077</v>
      </c>
    </row>
    <row r="5369" spans="1:2" x14ac:dyDescent="0.25">
      <c r="A5369">
        <f ca="1">40373.1176542757*((RANDBETWEEN(2979,3282)))</f>
        <v>126650470.08146277</v>
      </c>
      <c r="B5369">
        <v>180414413.79697922</v>
      </c>
    </row>
    <row r="5370" spans="1:2" x14ac:dyDescent="0.25">
      <c r="A5370">
        <f ca="1">37937.3218566116*((RANDBETWEEN(2979,3282)))</f>
        <v>114077526.82283109</v>
      </c>
      <c r="B5370">
        <v>178436527.97594279</v>
      </c>
    </row>
    <row r="5371" spans="1:2" x14ac:dyDescent="0.25">
      <c r="A5371">
        <f ca="1">30387.1106525103*((RANDBETWEEN(2979,3282)))</f>
        <v>94473527.01865451</v>
      </c>
      <c r="B5371">
        <v>144634054.90659624</v>
      </c>
    </row>
    <row r="5372" spans="1:2" x14ac:dyDescent="0.25">
      <c r="A5372">
        <f ca="1">31142.3647906578*((RANDBETWEEN(2979,3282)))</f>
        <v>100776692.46256851</v>
      </c>
      <c r="B5372">
        <v>148458874.33998048</v>
      </c>
    </row>
    <row r="5373" spans="1:2" x14ac:dyDescent="0.25">
      <c r="A5373">
        <f ca="1">34614.3490766431*((RANDBETWEEN(2979,3282)))</f>
        <v>109762100.92203513</v>
      </c>
      <c r="B5373">
        <v>162882745.71704528</v>
      </c>
    </row>
    <row r="5374" spans="1:2" x14ac:dyDescent="0.25">
      <c r="A5374">
        <f ca="1">40888.525559265*((RANDBETWEEN(2979,3282)))</f>
        <v>126018435.77365464</v>
      </c>
      <c r="B5374">
        <v>148447757.22087488</v>
      </c>
    </row>
    <row r="5375" spans="1:2" x14ac:dyDescent="0.25">
      <c r="A5375">
        <f ca="1">35698.0694151094*((RANDBETWEEN(2979,3282)))</f>
        <v>115733141.04378456</v>
      </c>
      <c r="B5375">
        <v>186937099.62097436</v>
      </c>
    </row>
    <row r="5376" spans="1:2" x14ac:dyDescent="0.25">
      <c r="A5376">
        <f ca="1">27550.2902954165*((RANDBETWEEN(2979,3282)))</f>
        <v>83615131.046589121</v>
      </c>
      <c r="B5376">
        <v>147262111.58491969</v>
      </c>
    </row>
    <row r="5377" spans="1:2" x14ac:dyDescent="0.25">
      <c r="A5377">
        <f ca="1">40858.6100266253*((RANDBETWEEN(2979,3282)))</f>
        <v>132872199.80658552</v>
      </c>
      <c r="B5377">
        <v>169813515.5567475</v>
      </c>
    </row>
    <row r="5378" spans="1:2" x14ac:dyDescent="0.25">
      <c r="A5378">
        <f ca="1">36474.1319800509*((RANDBETWEEN(2979,3282)))</f>
        <v>116060687.96052188</v>
      </c>
      <c r="B5378">
        <v>159779871.51440984</v>
      </c>
    </row>
    <row r="5379" spans="1:2" x14ac:dyDescent="0.25">
      <c r="A5379">
        <f ca="1">30120.0785984368*((RANDBETWEEN(2979,3282)))</f>
        <v>93492723.969547838</v>
      </c>
      <c r="B5379">
        <v>147603008.60835963</v>
      </c>
    </row>
    <row r="5380" spans="1:2" x14ac:dyDescent="0.25">
      <c r="A5380">
        <f ca="1">32375.7913542758*((RANDBETWEEN(2979,3282)))</f>
        <v>105706958.7717106</v>
      </c>
      <c r="B5380">
        <v>171405660.46377718</v>
      </c>
    </row>
    <row r="5381" spans="1:2" x14ac:dyDescent="0.25">
      <c r="A5381">
        <f ca="1">30803.431407934*((RANDBETWEEN(2979,3282)))</f>
        <v>93180380.009000391</v>
      </c>
      <c r="B5381">
        <v>156508814.99849835</v>
      </c>
    </row>
    <row r="5382" spans="1:2" x14ac:dyDescent="0.25">
      <c r="A5382">
        <f ca="1">35352.2817683119*((RANDBETWEEN(2979,3282)))</f>
        <v>107895163.95688801</v>
      </c>
      <c r="B5382">
        <v>143962880.54556215</v>
      </c>
    </row>
    <row r="5383" spans="1:2" x14ac:dyDescent="0.25">
      <c r="A5383">
        <f ca="1">42073.3593871549*((RANDBETWEEN(2979,3282)))</f>
        <v>134887190.19521844</v>
      </c>
      <c r="B5383">
        <v>144559320.1958499</v>
      </c>
    </row>
    <row r="5384" spans="1:2" x14ac:dyDescent="0.25">
      <c r="A5384">
        <f ca="1">38099.5013895471*((RANDBETWEEN(2979,3282)))</f>
        <v>115212892.20199051</v>
      </c>
      <c r="B5384">
        <v>175815979.53242946</v>
      </c>
    </row>
    <row r="5385" spans="1:2" x14ac:dyDescent="0.25">
      <c r="A5385">
        <f ca="1">30308.5352063391*((RANDBETWEEN(2979,3282)))</f>
        <v>97381323.617967546</v>
      </c>
      <c r="B5385">
        <v>142901153.48766965</v>
      </c>
    </row>
    <row r="5386" spans="1:2" x14ac:dyDescent="0.25">
      <c r="A5386">
        <f ca="1">31652.8277762477*((RANDBETWEEN(2979,3282)))</f>
        <v>102681773.30614755</v>
      </c>
      <c r="B5386">
        <v>154159239.44313258</v>
      </c>
    </row>
    <row r="5387" spans="1:2" x14ac:dyDescent="0.25">
      <c r="A5387">
        <f ca="1">36975.1653070636*((RANDBETWEEN(2979,3282)))</f>
        <v>112071726.04570964</v>
      </c>
      <c r="B5387">
        <v>146584464.86816776</v>
      </c>
    </row>
    <row r="5388" spans="1:2" x14ac:dyDescent="0.25">
      <c r="A5388">
        <f ca="1">30171.1481373159*((RANDBETWEEN(2979,3282)))</f>
        <v>96064935.669213787</v>
      </c>
      <c r="B5388">
        <v>202278049.90779409</v>
      </c>
    </row>
    <row r="5389" spans="1:2" x14ac:dyDescent="0.25">
      <c r="A5389">
        <f ca="1">29436.6343208247*((RANDBETWEEN(2979,3282)))</f>
        <v>93785116.946147561</v>
      </c>
      <c r="B5389">
        <v>184765365.95409697</v>
      </c>
    </row>
    <row r="5390" spans="1:2" x14ac:dyDescent="0.25">
      <c r="A5390">
        <f ca="1">33353.6587444634*((RANDBETWEEN(2979,3282)))</f>
        <v>108566159.21322852</v>
      </c>
      <c r="B5390">
        <v>162028738.87180912</v>
      </c>
    </row>
    <row r="5391" spans="1:2" x14ac:dyDescent="0.25">
      <c r="A5391">
        <f ca="1">39359.0476108146*((RANDBETWEEN(2979,3282)))</f>
        <v>118903682.83227079</v>
      </c>
      <c r="B5391">
        <v>166966540.75325525</v>
      </c>
    </row>
    <row r="5392" spans="1:2" x14ac:dyDescent="0.25">
      <c r="A5392">
        <f ca="1">31516.522793138*((RANDBETWEEN(2979,3282)))</f>
        <v>99592212.026316166</v>
      </c>
      <c r="B5392">
        <v>169173215.66491312</v>
      </c>
    </row>
    <row r="5393" spans="1:2" x14ac:dyDescent="0.25">
      <c r="A5393">
        <f ca="1">32706.7434304428*((RANDBETWEEN(2979,3282)))</f>
        <v>99036019.107380718</v>
      </c>
      <c r="B5393">
        <v>202902524.75331664</v>
      </c>
    </row>
    <row r="5394" spans="1:2" x14ac:dyDescent="0.25">
      <c r="A5394">
        <f ca="1">33030.8811854294*((RANDBETWEEN(2979,3282)))</f>
        <v>99290828.843400791</v>
      </c>
      <c r="B5394">
        <v>179145336.52950147</v>
      </c>
    </row>
    <row r="5395" spans="1:2" x14ac:dyDescent="0.25">
      <c r="A5395">
        <f ca="1">37680.6028925123*((RANDBETWEEN(2979,3282)))</f>
        <v>120050400.81554426</v>
      </c>
      <c r="B5395">
        <v>191866496.58440685</v>
      </c>
    </row>
    <row r="5396" spans="1:2" x14ac:dyDescent="0.25">
      <c r="A5396">
        <f ca="1">42463.6930095148*((RANDBETWEEN(2979,3282)))</f>
        <v>130236146.4601818</v>
      </c>
      <c r="B5396">
        <v>184186331.79498392</v>
      </c>
    </row>
    <row r="5397" spans="1:2" x14ac:dyDescent="0.25">
      <c r="A5397">
        <f ca="1">30095.342024011*((RANDBETWEEN(2979,3282)))</f>
        <v>97809861.578035742</v>
      </c>
      <c r="B5397">
        <v>175267316.7232756</v>
      </c>
    </row>
    <row r="5398" spans="1:2" x14ac:dyDescent="0.25">
      <c r="A5398">
        <f ca="1">32941.3982665075*((RANDBETWEEN(2979,3282)))</f>
        <v>103468931.95509996</v>
      </c>
      <c r="B5398">
        <v>185042556.76408911</v>
      </c>
    </row>
    <row r="5399" spans="1:2" x14ac:dyDescent="0.25">
      <c r="A5399">
        <f ca="1">36098.3494723849*((RANDBETWEEN(2979,3282)))</f>
        <v>110858031.22969411</v>
      </c>
      <c r="B5399">
        <v>188767618.17646194</v>
      </c>
    </row>
    <row r="5400" spans="1:2" x14ac:dyDescent="0.25">
      <c r="A5400">
        <f ca="1">38461.6128644233*((RANDBETWEEN(2979,3282)))</f>
        <v>122384852.13459481</v>
      </c>
      <c r="B5400">
        <v>191688467.26332992</v>
      </c>
    </row>
    <row r="5401" spans="1:2" x14ac:dyDescent="0.25">
      <c r="A5401">
        <f ca="1">38600.0363617466*((RANDBETWEEN(2979,3282)))</f>
        <v>115221108.53981368</v>
      </c>
      <c r="B5401">
        <v>174080994.48611727</v>
      </c>
    </row>
    <row r="5402" spans="1:2" x14ac:dyDescent="0.25">
      <c r="A5402">
        <f ca="1">28531.9686785588*((RANDBETWEEN(2979,3282)))</f>
        <v>85681501.941712111</v>
      </c>
      <c r="B5402">
        <v>156685629.79843062</v>
      </c>
    </row>
    <row r="5403" spans="1:2" x14ac:dyDescent="0.25">
      <c r="A5403">
        <f ca="1">30004.9574363348*((RANDBETWEEN(2979,3282)))</f>
        <v>92625303.605965465</v>
      </c>
      <c r="B5403">
        <v>164877766.41202962</v>
      </c>
    </row>
    <row r="5404" spans="1:2" x14ac:dyDescent="0.25">
      <c r="A5404">
        <f ca="1">27723.5085318599*((RANDBETWEEN(2979,3282)))</f>
        <v>86220111.53408435</v>
      </c>
      <c r="B5404">
        <v>165751470.85125062</v>
      </c>
    </row>
    <row r="5405" spans="1:2" x14ac:dyDescent="0.25">
      <c r="A5405">
        <f ca="1">32112.1400225885*((RANDBETWEEN(2979,3282)))</f>
        <v>95918962.247471988</v>
      </c>
      <c r="B5405">
        <v>145256618.79190269</v>
      </c>
    </row>
    <row r="5406" spans="1:2" x14ac:dyDescent="0.25">
      <c r="A5406">
        <f ca="1">31411.7377998871*((RANDBETWEEN(2979,3282)))</f>
        <v>96528270.259053171</v>
      </c>
      <c r="B5406">
        <v>144582290.21340522</v>
      </c>
    </row>
    <row r="5407" spans="1:2" x14ac:dyDescent="0.25">
      <c r="A5407">
        <f ca="1">31841.4369170267*((RANDBETWEEN(2979,3282)))</f>
        <v>95524310.751080215</v>
      </c>
      <c r="B5407">
        <v>153088668.15786231</v>
      </c>
    </row>
    <row r="5408" spans="1:2" x14ac:dyDescent="0.25">
      <c r="A5408">
        <f ca="1">31316.1312148564*((RANDBETWEEN(2979,3282)))</f>
        <v>98113439.096145093</v>
      </c>
      <c r="B5408">
        <v>182890094.94671682</v>
      </c>
    </row>
    <row r="5409" spans="1:2" x14ac:dyDescent="0.25">
      <c r="A5409">
        <f ca="1">32613.6563590261*((RANDBETWEEN(2979,3282)))</f>
        <v>105798701.22868073</v>
      </c>
      <c r="B5409">
        <v>181819220.14464712</v>
      </c>
    </row>
    <row r="5410" spans="1:2" x14ac:dyDescent="0.25">
      <c r="A5410">
        <f ca="1">35680.3377641878*((RANDBETWEEN(2979,3282)))</f>
        <v>110109522.34028356</v>
      </c>
      <c r="B5410">
        <v>155875740.55572641</v>
      </c>
    </row>
    <row r="5411" spans="1:2" x14ac:dyDescent="0.25">
      <c r="A5411">
        <f ca="1">28447.7935670595*((RANDBETWEEN(2979,3282)))</f>
        <v>91203626.175992951</v>
      </c>
      <c r="B5411">
        <v>188514911.2582944</v>
      </c>
    </row>
    <row r="5412" spans="1:2" x14ac:dyDescent="0.25">
      <c r="A5412">
        <f ca="1">30458.3826707565*((RANDBETWEEN(2979,3282)))</f>
        <v>92471649.788416803</v>
      </c>
      <c r="B5412">
        <v>167241358.25477794</v>
      </c>
    </row>
    <row r="5413" spans="1:2" x14ac:dyDescent="0.25">
      <c r="A5413">
        <f ca="1">32801.6355689821*((RANDBETWEEN(2979,3282)))</f>
        <v>105850877.98110519</v>
      </c>
      <c r="B5413">
        <v>194596880.31655902</v>
      </c>
    </row>
    <row r="5414" spans="1:2" x14ac:dyDescent="0.25">
      <c r="A5414">
        <f ca="1">32890.7261275463*((RANDBETWEEN(2979,3282)))</f>
        <v>103375552.21887815</v>
      </c>
      <c r="B5414">
        <v>172242691.74626565</v>
      </c>
    </row>
    <row r="5415" spans="1:2" x14ac:dyDescent="0.25">
      <c r="A5415">
        <f ca="1">37955.6446079396*((RANDBETWEEN(2979,3282)))</f>
        <v>117776365.21843648</v>
      </c>
      <c r="B5415">
        <v>190393253.70806298</v>
      </c>
    </row>
    <row r="5416" spans="1:2" x14ac:dyDescent="0.25">
      <c r="A5416">
        <f ca="1">41495.429102677*((RANDBETWEEN(2979,3282)))</f>
        <v>131416023.96817794</v>
      </c>
      <c r="B5416">
        <v>177208123.93107495</v>
      </c>
    </row>
    <row r="5417" spans="1:2" x14ac:dyDescent="0.25">
      <c r="A5417">
        <f ca="1">40862.7703465789*((RANDBETWEEN(2979,3282)))</f>
        <v>124345410.16463949</v>
      </c>
      <c r="B5417">
        <v>158032868.96860057</v>
      </c>
    </row>
    <row r="5418" spans="1:2" x14ac:dyDescent="0.25">
      <c r="A5418">
        <f ca="1">32799.7100714106*((RANDBETWEEN(2979,3282)))</f>
        <v>100399912.52858789</v>
      </c>
      <c r="B5418">
        <v>154760253.17773592</v>
      </c>
    </row>
    <row r="5419" spans="1:2" x14ac:dyDescent="0.25">
      <c r="A5419">
        <f ca="1">31667.0309257515*((RANDBETWEEN(2979,3282)))</f>
        <v>95349430.117437795</v>
      </c>
      <c r="B5419">
        <v>149648256.26450792</v>
      </c>
    </row>
    <row r="5420" spans="1:2" x14ac:dyDescent="0.25">
      <c r="A5420">
        <f ca="1">38233.8526132728*((RANDBETWEEN(2979,3282)))</f>
        <v>115351533.33424418</v>
      </c>
      <c r="B5420">
        <v>152426700.89644128</v>
      </c>
    </row>
    <row r="5421" spans="1:2" x14ac:dyDescent="0.25">
      <c r="A5421">
        <f ca="1">32468.2105302405*((RANDBETWEEN(2979,3282)))</f>
        <v>105229470.32850952</v>
      </c>
      <c r="B5421">
        <v>144681771.48479384</v>
      </c>
    </row>
    <row r="5422" spans="1:2" x14ac:dyDescent="0.25">
      <c r="A5422">
        <f ca="1">31258.6957180425*((RANDBETWEEN(2979,3282)))</f>
        <v>101090621.95214938</v>
      </c>
      <c r="B5422">
        <v>167853327.71274763</v>
      </c>
    </row>
    <row r="5423" spans="1:2" x14ac:dyDescent="0.25">
      <c r="A5423">
        <f ca="1">36030.5879960609*((RANDBETWEEN(2979,3282)))</f>
        <v>117495747.4551547</v>
      </c>
      <c r="B5423">
        <v>177168473.33906478</v>
      </c>
    </row>
    <row r="5424" spans="1:2" x14ac:dyDescent="0.25">
      <c r="A5424">
        <f ca="1">30933.0297869316*((RANDBETWEEN(2979,3282)))</f>
        <v>95273731.743749306</v>
      </c>
      <c r="B5424">
        <v>150326858.0362637</v>
      </c>
    </row>
    <row r="5425" spans="1:2" x14ac:dyDescent="0.25">
      <c r="A5425">
        <f ca="1">28042.6358822006*((RANDBETWEEN(2979,3282)))</f>
        <v>91447035.611856222</v>
      </c>
      <c r="B5425">
        <v>154024581.47736856</v>
      </c>
    </row>
    <row r="5426" spans="1:2" x14ac:dyDescent="0.25">
      <c r="A5426">
        <f ca="1">32924.0188474065*((RANDBETWEEN(2979,3282)))</f>
        <v>103150951.04892448</v>
      </c>
      <c r="B5426">
        <v>164934096.66898701</v>
      </c>
    </row>
    <row r="5427" spans="1:2" x14ac:dyDescent="0.25">
      <c r="A5427">
        <f ca="1">32562.3458542054*((RANDBETWEEN(2979,3282)))</f>
        <v>99836152.388993695</v>
      </c>
      <c r="B5427">
        <v>154019511.87232682</v>
      </c>
    </row>
    <row r="5428" spans="1:2" x14ac:dyDescent="0.25">
      <c r="A5428">
        <f ca="1">36918.0825676545*((RANDBETWEEN(2979,3282)))</f>
        <v>112858578.40931989</v>
      </c>
      <c r="B5428">
        <v>190506929.7893762</v>
      </c>
    </row>
    <row r="5429" spans="1:2" x14ac:dyDescent="0.25">
      <c r="A5429">
        <f ca="1">39991.5567491179*((RANDBETWEEN(2979,3282)))</f>
        <v>129292702.9698983</v>
      </c>
      <c r="B5429">
        <v>183850820.15102085</v>
      </c>
    </row>
    <row r="5430" spans="1:2" x14ac:dyDescent="0.25">
      <c r="A5430">
        <f ca="1">29948.9820876078*((RANDBETWEEN(2979,3282)))</f>
        <v>90835262.671714455</v>
      </c>
      <c r="B5430">
        <v>193701881.66331184</v>
      </c>
    </row>
    <row r="5431" spans="1:2" x14ac:dyDescent="0.25">
      <c r="A5431">
        <f ca="1">38881.9022580913*((RANDBETWEEN(2979,3282)))</f>
        <v>119717377.05266316</v>
      </c>
      <c r="B5431">
        <v>192792997.17127424</v>
      </c>
    </row>
    <row r="5432" spans="1:2" x14ac:dyDescent="0.25">
      <c r="A5432">
        <f ca="1">34644.1262145427*((RANDBETWEEN(2979,3282)))</f>
        <v>106599976.36214794</v>
      </c>
      <c r="B5432">
        <v>158099537.29172641</v>
      </c>
    </row>
    <row r="5433" spans="1:2" x14ac:dyDescent="0.25">
      <c r="A5433">
        <f ca="1">32252.0100751929*((RANDBETWEEN(2979,3282)))</f>
        <v>103367692.29099341</v>
      </c>
      <c r="B5433">
        <v>172422827.00061646</v>
      </c>
    </row>
    <row r="5434" spans="1:2" x14ac:dyDescent="0.25">
      <c r="A5434">
        <f ca="1">29464.5131873623*((RANDBETWEEN(2979,3282)))</f>
        <v>93697151.935812175</v>
      </c>
      <c r="B5434">
        <v>177114805.16571289</v>
      </c>
    </row>
    <row r="5435" spans="1:2" x14ac:dyDescent="0.25">
      <c r="A5435">
        <f ca="1">31697.8971569763*((RANDBETWEEN(2979,3282)))</f>
        <v>101021198.23928349</v>
      </c>
      <c r="B5435">
        <v>164298354.67051339</v>
      </c>
    </row>
    <row r="5436" spans="1:2" x14ac:dyDescent="0.25">
      <c r="A5436">
        <f ca="1">31459.0484994237*((RANDBETWEEN(2979,3282)))</f>
        <v>99756642.791672409</v>
      </c>
      <c r="B5436">
        <v>163127827.23305655</v>
      </c>
    </row>
    <row r="5437" spans="1:2" x14ac:dyDescent="0.25">
      <c r="A5437">
        <f ca="1">27992.6859534013*((RANDBETWEEN(2979,3282)))</f>
        <v>84397948.149505049</v>
      </c>
      <c r="B5437">
        <v>179536185.72336072</v>
      </c>
    </row>
    <row r="5438" spans="1:2" x14ac:dyDescent="0.25">
      <c r="A5438">
        <f ca="1">30333.6730963933*((RANDBETWEEN(2979,3282)))</f>
        <v>99433780.409977376</v>
      </c>
      <c r="B5438">
        <v>145501096.87061462</v>
      </c>
    </row>
    <row r="5439" spans="1:2" x14ac:dyDescent="0.25">
      <c r="A5439">
        <f ca="1">29833.7109657172*((RANDBETWEEN(2979,3282)))</f>
        <v>96094383.020575166</v>
      </c>
      <c r="B5439">
        <v>170423821.86527443</v>
      </c>
    </row>
    <row r="5440" spans="1:2" x14ac:dyDescent="0.25">
      <c r="A5440">
        <f ca="1">33647.4382621372*((RANDBETWEEN(2979,3282)))</f>
        <v>103263988.02649909</v>
      </c>
      <c r="B5440">
        <v>154364718.70891413</v>
      </c>
    </row>
    <row r="5441" spans="1:2" x14ac:dyDescent="0.25">
      <c r="A5441">
        <f ca="1">37023.9626024271*((RANDBETWEEN(2979,3282)))</f>
        <v>112923085.93740274</v>
      </c>
      <c r="B5441">
        <v>160651668.94978973</v>
      </c>
    </row>
    <row r="5442" spans="1:2" x14ac:dyDescent="0.25">
      <c r="A5442">
        <f ca="1">29679.4025738423*((RANDBETWEEN(2979,3282)))</f>
        <v>95716073.300641283</v>
      </c>
      <c r="B5442">
        <v>153041070.08913237</v>
      </c>
    </row>
    <row r="5443" spans="1:2" x14ac:dyDescent="0.25">
      <c r="A5443">
        <f ca="1">33024.299580716*((RANDBETWEEN(2979,3282)))</f>
        <v>99502214.636697501</v>
      </c>
      <c r="B5443">
        <v>195978079.03588361</v>
      </c>
    </row>
    <row r="5444" spans="1:2" x14ac:dyDescent="0.25">
      <c r="A5444">
        <f ca="1">32125.3040536235*((RANDBETWEEN(2979,3282)))</f>
        <v>98753184.660838619</v>
      </c>
      <c r="B5444">
        <v>191684190.12522933</v>
      </c>
    </row>
    <row r="5445" spans="1:2" x14ac:dyDescent="0.25">
      <c r="A5445">
        <f ca="1">29212.4290056466*((RANDBETWEEN(2979,3282)))</f>
        <v>95787554.709515214</v>
      </c>
      <c r="B5445">
        <v>148452620.52978945</v>
      </c>
    </row>
    <row r="5446" spans="1:2" x14ac:dyDescent="0.25">
      <c r="A5446">
        <f ca="1">31224.9023700374*((RANDBETWEEN(2979,3282)))</f>
        <v>97827619.125327274</v>
      </c>
      <c r="B5446">
        <v>173307119.10941342</v>
      </c>
    </row>
    <row r="5447" spans="1:2" x14ac:dyDescent="0.25">
      <c r="A5447">
        <f ca="1">29851.9946522391*((RANDBETWEEN(2979,3282)))</f>
        <v>95795050.839035138</v>
      </c>
      <c r="B5447">
        <v>149749711.93444383</v>
      </c>
    </row>
    <row r="5448" spans="1:2" x14ac:dyDescent="0.25">
      <c r="A5448">
        <f ca="1">36833.9942080368*((RANDBETWEEN(2979,3282)))</f>
        <v>112233180.35188824</v>
      </c>
      <c r="B5448">
        <v>169918627.14929026</v>
      </c>
    </row>
    <row r="5449" spans="1:2" x14ac:dyDescent="0.25">
      <c r="A5449">
        <f ca="1">38385.1144176068*((RANDBETWEEN(2979,3282)))</f>
        <v>121220191.33080243</v>
      </c>
      <c r="B5449">
        <v>165403840.6150468</v>
      </c>
    </row>
    <row r="5450" spans="1:2" x14ac:dyDescent="0.25">
      <c r="A5450">
        <f ca="1">42117.9154481711*((RANDBETWEEN(2979,3282)))</f>
        <v>133598027.80159867</v>
      </c>
      <c r="B5450">
        <v>200209230.4159475</v>
      </c>
    </row>
    <row r="5451" spans="1:2" x14ac:dyDescent="0.25">
      <c r="A5451">
        <f ca="1">30933.4083312045*((RANDBETWEEN(2979,3282)))</f>
        <v>100657310.70973946</v>
      </c>
      <c r="B5451">
        <v>158137592.559255</v>
      </c>
    </row>
    <row r="5452" spans="1:2" x14ac:dyDescent="0.25">
      <c r="A5452">
        <f ca="1">29969.9355697199*((RANDBETWEEN(2979,3282)))</f>
        <v>91977732.263470486</v>
      </c>
      <c r="B5452">
        <v>160134068.06859833</v>
      </c>
    </row>
    <row r="5453" spans="1:2" x14ac:dyDescent="0.25">
      <c r="A5453">
        <f ca="1">42365.4848810665*((RANDBETWEEN(2979,3282)))</f>
        <v>135569551.61941287</v>
      </c>
      <c r="B5453">
        <v>187926584.87119704</v>
      </c>
    </row>
    <row r="5454" spans="1:2" x14ac:dyDescent="0.25">
      <c r="A5454">
        <f ca="1">31602.4841309341*((RANDBETWEEN(2979,3282)))</f>
        <v>99516222.528311521</v>
      </c>
      <c r="B5454">
        <v>164709266.67317402</v>
      </c>
    </row>
    <row r="5455" spans="1:2" x14ac:dyDescent="0.25">
      <c r="A5455">
        <f ca="1">31603.1181047733*((RANDBETWEEN(2979,3282)))</f>
        <v>99296997.085197791</v>
      </c>
      <c r="B5455">
        <v>185156354.8062959</v>
      </c>
    </row>
    <row r="5456" spans="1:2" x14ac:dyDescent="0.25">
      <c r="A5456">
        <f ca="1">32383.965327715*((RANDBETWEEN(2979,3282)))</f>
        <v>102883857.84615049</v>
      </c>
      <c r="B5456">
        <v>145426589.94836706</v>
      </c>
    </row>
    <row r="5457" spans="1:2" x14ac:dyDescent="0.25">
      <c r="A5457">
        <f ca="1">34503.3131372935*((RANDBETWEEN(2979,3282)))</f>
        <v>103854972.54325339</v>
      </c>
      <c r="B5457">
        <v>167359208.96286634</v>
      </c>
    </row>
    <row r="5458" spans="1:2" x14ac:dyDescent="0.25">
      <c r="A5458">
        <f ca="1">31124.8121639302*((RANDBETWEEN(2979,3282)))</f>
        <v>100626517.72598636</v>
      </c>
      <c r="B5458">
        <v>176100181.50041342</v>
      </c>
    </row>
    <row r="5459" spans="1:2" x14ac:dyDescent="0.25">
      <c r="A5459">
        <f ca="1">35897.9432339699*((RANDBETWEEN(2979,3282)))</f>
        <v>114693928.63253377</v>
      </c>
      <c r="B5459">
        <v>162390298.44282752</v>
      </c>
    </row>
    <row r="5460" spans="1:2" x14ac:dyDescent="0.25">
      <c r="A5460">
        <f ca="1">27873.2597415758*((RANDBETWEEN(2979,3282)))</f>
        <v>86239865.640435383</v>
      </c>
      <c r="B5460">
        <v>189349313.93888324</v>
      </c>
    </row>
    <row r="5461" spans="1:2" x14ac:dyDescent="0.25">
      <c r="A5461">
        <f ca="1">29741.5330679367*((RANDBETWEEN(2979,3282)))</f>
        <v>92555650.907419056</v>
      </c>
      <c r="B5461">
        <v>143615540.45594031</v>
      </c>
    </row>
    <row r="5462" spans="1:2" x14ac:dyDescent="0.25">
      <c r="A5462">
        <f ca="1">29907.5310614786*((RANDBETWEEN(2979,3282)))</f>
        <v>90888986.895833433</v>
      </c>
      <c r="B5462">
        <v>166110907.31694901</v>
      </c>
    </row>
    <row r="5463" spans="1:2" x14ac:dyDescent="0.25">
      <c r="A5463">
        <f ca="1">32346.2149325668*((RANDBETWEEN(2979,3282)))</f>
        <v>106160277.40868431</v>
      </c>
      <c r="B5463">
        <v>179599688.2437017</v>
      </c>
    </row>
    <row r="5464" spans="1:2" x14ac:dyDescent="0.25">
      <c r="A5464">
        <f ca="1">30258.8607569191*((RANDBETWEEN(2979,3282)))</f>
        <v>96011365.181704313</v>
      </c>
      <c r="B5464">
        <v>176944415.33363792</v>
      </c>
    </row>
    <row r="5465" spans="1:2" x14ac:dyDescent="0.25">
      <c r="A5465">
        <f ca="1">40310.5044604152*((RANDBETWEEN(2979,3282)))</f>
        <v>125405979.37635157</v>
      </c>
      <c r="B5465">
        <v>186642521.3317489</v>
      </c>
    </row>
    <row r="5466" spans="1:2" x14ac:dyDescent="0.25">
      <c r="A5466">
        <f ca="1">29641.4136724068*((RANDBETWEEN(2979,3282)))</f>
        <v>94674675.269667342</v>
      </c>
      <c r="B5466">
        <v>149311527.03548649</v>
      </c>
    </row>
    <row r="5467" spans="1:2" x14ac:dyDescent="0.25">
      <c r="A5467">
        <f ca="1">33894.4423694072*((RANDBETWEEN(2979,3282)))</f>
        <v>106970860.11784907</v>
      </c>
      <c r="B5467">
        <v>148443953.79135191</v>
      </c>
    </row>
    <row r="5468" spans="1:2" x14ac:dyDescent="0.25">
      <c r="A5468">
        <f ca="1">33770.5866903057*((RANDBETWEEN(2979,3282)))</f>
        <v>105533083.40720516</v>
      </c>
      <c r="B5468">
        <v>186811204.33032507</v>
      </c>
    </row>
    <row r="5469" spans="1:2" x14ac:dyDescent="0.25">
      <c r="A5469">
        <f ca="1">39968.4800301226*((RANDBETWEEN(2979,3282)))</f>
        <v>124661689.21395263</v>
      </c>
      <c r="B5469">
        <v>196911301.57570642</v>
      </c>
    </row>
    <row r="5470" spans="1:2" x14ac:dyDescent="0.25">
      <c r="A5470">
        <f ca="1">30830.2674925682*((RANDBETWEEN(2979,3282)))</f>
        <v>99890066.675921038</v>
      </c>
      <c r="B5470">
        <v>168905309.34583843</v>
      </c>
    </row>
    <row r="5471" spans="1:2" x14ac:dyDescent="0.25">
      <c r="A5471">
        <f ca="1">28814.7868727888*((RANDBETWEEN(2979,3282)))</f>
        <v>86876582.4214582</v>
      </c>
      <c r="B5471">
        <v>164002399.22098601</v>
      </c>
    </row>
    <row r="5472" spans="1:2" x14ac:dyDescent="0.25">
      <c r="A5472">
        <f ca="1">31167.6332807061*((RANDBETWEEN(2979,3282)))</f>
        <v>98552056.433592558</v>
      </c>
      <c r="B5472">
        <v>175374714.22798824</v>
      </c>
    </row>
    <row r="5473" spans="1:2" x14ac:dyDescent="0.25">
      <c r="A5473">
        <f ca="1">30175.0135018286*((RANDBETWEEN(2979,3282)))</f>
        <v>91068190.74851869</v>
      </c>
      <c r="B5473">
        <v>198789867.06503439</v>
      </c>
    </row>
    <row r="5474" spans="1:2" x14ac:dyDescent="0.25">
      <c r="A5474">
        <f ca="1">31797.5966017041*((RANDBETWEEN(2979,3282)))</f>
        <v>97459633.584223002</v>
      </c>
      <c r="B5474">
        <v>197740078.12682885</v>
      </c>
    </row>
    <row r="5475" spans="1:2" x14ac:dyDescent="0.25">
      <c r="A5475">
        <f ca="1">32706.1337870776*((RANDBETWEEN(2979,3282)))</f>
        <v>101814194.47917254</v>
      </c>
      <c r="B5475">
        <v>182762800.7301532</v>
      </c>
    </row>
    <row r="5476" spans="1:2" x14ac:dyDescent="0.25">
      <c r="A5476">
        <f ca="1">30355.448311261*((RANDBETWEEN(2979,3282)))</f>
        <v>95650017.628783345</v>
      </c>
      <c r="B5476">
        <v>148997885.51204553</v>
      </c>
    </row>
    <row r="5477" spans="1:2" x14ac:dyDescent="0.25">
      <c r="A5477">
        <f ca="1">33410.814787624*((RANDBETWEEN(2979,3282)))</f>
        <v>99664460.511482507</v>
      </c>
      <c r="B5477">
        <v>152077647.77111521</v>
      </c>
    </row>
    <row r="5478" spans="1:2" x14ac:dyDescent="0.25">
      <c r="A5478">
        <f ca="1">39681.9373457128*((RANDBETWEEN(2979,3282)))</f>
        <v>120156906.28281823</v>
      </c>
      <c r="B5478">
        <v>160274019.20807964</v>
      </c>
    </row>
    <row r="5479" spans="1:2" x14ac:dyDescent="0.25">
      <c r="A5479">
        <f ca="1">36360.4692353132*((RANDBETWEEN(2979,3282)))</f>
        <v>116862548.12229654</v>
      </c>
      <c r="B5479">
        <v>199122152.70725146</v>
      </c>
    </row>
    <row r="5480" spans="1:2" x14ac:dyDescent="0.25">
      <c r="A5480">
        <f ca="1">33623.023008311*((RANDBETWEEN(2979,3282)))</f>
        <v>102886450.40543178</v>
      </c>
      <c r="B5480">
        <v>143980091.21190575</v>
      </c>
    </row>
    <row r="5481" spans="1:2" x14ac:dyDescent="0.25">
      <c r="A5481">
        <f ca="1">31856.544093977*((RANDBETWEEN(2979,3282)))</f>
        <v>101431236.39522271</v>
      </c>
      <c r="B5481">
        <v>146508596.23410666</v>
      </c>
    </row>
    <row r="5482" spans="1:2" x14ac:dyDescent="0.25">
      <c r="A5482">
        <f ca="1">31385.9979795687*((RANDBETWEEN(2979,3282)))</f>
        <v>100278263.5447219</v>
      </c>
      <c r="B5482">
        <v>162046142.47395843</v>
      </c>
    </row>
    <row r="5483" spans="1:2" x14ac:dyDescent="0.25">
      <c r="A5483">
        <f ca="1">29754.4654708842*((RANDBETWEEN(2979,3282)))</f>
        <v>96672258.314902917</v>
      </c>
      <c r="B5483">
        <v>155308484.81821394</v>
      </c>
    </row>
    <row r="5484" spans="1:2" x14ac:dyDescent="0.25">
      <c r="A5484">
        <f ca="1">33865.8811741642*((RANDBETWEEN(2979,3282)))</f>
        <v>109319064.4302022</v>
      </c>
      <c r="B5484">
        <v>166120629.07528725</v>
      </c>
    </row>
    <row r="5485" spans="1:2" x14ac:dyDescent="0.25">
      <c r="A5485">
        <f ca="1">33305.3346514778*((RANDBETWEEN(2979,3282)))</f>
        <v>101281522.67514397</v>
      </c>
      <c r="B5485">
        <v>184666528.77852145</v>
      </c>
    </row>
    <row r="5486" spans="1:2" x14ac:dyDescent="0.25">
      <c r="A5486">
        <f ca="1">38578.7181407904*((RANDBETWEEN(2979,3282)))</f>
        <v>116083362.88563842</v>
      </c>
      <c r="B5486">
        <v>183886400.00621879</v>
      </c>
    </row>
    <row r="5487" spans="1:2" x14ac:dyDescent="0.25">
      <c r="A5487">
        <f ca="1">37133.7416961472*((RANDBETWEEN(2979,3282)))</f>
        <v>116377146.47572517</v>
      </c>
      <c r="B5487">
        <v>152661587.26323915</v>
      </c>
    </row>
    <row r="5488" spans="1:2" x14ac:dyDescent="0.25">
      <c r="A5488">
        <f ca="1">28921.3261811296*((RANDBETWEEN(2979,3282)))</f>
        <v>87718382.307366118</v>
      </c>
      <c r="B5488">
        <v>197787814.61650053</v>
      </c>
    </row>
    <row r="5489" spans="1:2" x14ac:dyDescent="0.25">
      <c r="A5489">
        <f ca="1">35892.2087631734*((RANDBETWEEN(2979,3282)))</f>
        <v>110942817.2869691</v>
      </c>
      <c r="B5489">
        <v>153343129.58195618</v>
      </c>
    </row>
    <row r="5490" spans="1:2" x14ac:dyDescent="0.25">
      <c r="A5490">
        <f ca="1">42601.1990367934*((RANDBETWEEN(2979,3282)))</f>
        <v>138666902.86476254</v>
      </c>
      <c r="B5490">
        <v>199132888.33875358</v>
      </c>
    </row>
    <row r="5491" spans="1:2" x14ac:dyDescent="0.25">
      <c r="A5491">
        <f ca="1">30562.1288274744*((RANDBETWEEN(2979,3282)))</f>
        <v>98134995.665020213</v>
      </c>
      <c r="B5491">
        <v>160105299.45741439</v>
      </c>
    </row>
    <row r="5492" spans="1:2" x14ac:dyDescent="0.25">
      <c r="A5492">
        <f ca="1">35223.1489604499*((RANDBETWEEN(2979,3282)))</f>
        <v>114545680.4193832</v>
      </c>
      <c r="B5492">
        <v>156275592.88489068</v>
      </c>
    </row>
    <row r="5493" spans="1:2" x14ac:dyDescent="0.25">
      <c r="A5493">
        <f ca="1">29536.2821579498*((RANDBETWEEN(2979,3282)))</f>
        <v>89524471.220745698</v>
      </c>
      <c r="B5493">
        <v>163686514.94767147</v>
      </c>
    </row>
    <row r="5494" spans="1:2" x14ac:dyDescent="0.25">
      <c r="A5494">
        <f ca="1">31316.5477791705*((RANDBETWEEN(2979,3282)))</f>
        <v>94857823.223107412</v>
      </c>
      <c r="B5494">
        <v>146646938.51630554</v>
      </c>
    </row>
    <row r="5495" spans="1:2" x14ac:dyDescent="0.25">
      <c r="A5495">
        <f ca="1">30758.5353569045*((RANDBETWEEN(2979,3282)))</f>
        <v>95874354.707471251</v>
      </c>
      <c r="B5495">
        <v>195894419.22210056</v>
      </c>
    </row>
    <row r="5496" spans="1:2" x14ac:dyDescent="0.25">
      <c r="A5496">
        <f ca="1">33767.0786508613*((RANDBETWEEN(2979,3282)))</f>
        <v>106974105.16592869</v>
      </c>
      <c r="B5496">
        <v>174986159.08721587</v>
      </c>
    </row>
    <row r="5497" spans="1:2" x14ac:dyDescent="0.25">
      <c r="A5497">
        <f ca="1">30277.5968505924*((RANDBETWEEN(2979,3282)))</f>
        <v>93376108.687226877</v>
      </c>
      <c r="B5497">
        <v>201935144.05586198</v>
      </c>
    </row>
    <row r="5498" spans="1:2" x14ac:dyDescent="0.25">
      <c r="A5498">
        <f ca="1">30509.948615702*((RANDBETWEEN(2979,3282)))</f>
        <v>95221549.629605934</v>
      </c>
      <c r="B5498">
        <v>152177296.23560771</v>
      </c>
    </row>
    <row r="5499" spans="1:2" x14ac:dyDescent="0.25">
      <c r="A5499">
        <f ca="1">33335.0928095606*((RANDBETWEEN(2979,3282)))</f>
        <v>105005542.35011594</v>
      </c>
      <c r="B5499">
        <v>149991644.71503639</v>
      </c>
    </row>
    <row r="5500" spans="1:2" x14ac:dyDescent="0.25">
      <c r="A5500">
        <f ca="1">34460.8765119081*((RANDBETWEEN(2979,3282)))</f>
        <v>105036751.60829596</v>
      </c>
      <c r="B5500">
        <v>159990995.51825565</v>
      </c>
    </row>
    <row r="5501" spans="1:2" x14ac:dyDescent="0.25">
      <c r="A5501">
        <f ca="1">31352.153678826*((RANDBETWEEN(2979,3282)))</f>
        <v>96407872.562389895</v>
      </c>
      <c r="B5501">
        <v>166278648.40436408</v>
      </c>
    </row>
    <row r="5502" spans="1:2" x14ac:dyDescent="0.25">
      <c r="A5502">
        <f ca="1">39806.9763033792*((RANDBETWEEN(2979,3282)))</f>
        <v>129452286.93858925</v>
      </c>
      <c r="B5502">
        <v>180342979.79635802</v>
      </c>
    </row>
    <row r="5503" spans="1:2" x14ac:dyDescent="0.25">
      <c r="A5503">
        <f ca="1">35430.1322651003*((RANDBETWEEN(2979,3282)))</f>
        <v>107813892.48270012</v>
      </c>
      <c r="B5503">
        <v>202882618.0764659</v>
      </c>
    </row>
    <row r="5504" spans="1:2" x14ac:dyDescent="0.25">
      <c r="A5504">
        <f ca="1">33763.3990853185*((RANDBETWEEN(2979,3282)))</f>
        <v>106050836.52698526</v>
      </c>
      <c r="B5504">
        <v>154110453.54406402</v>
      </c>
    </row>
    <row r="5505" spans="1:2" x14ac:dyDescent="0.25">
      <c r="A5505">
        <f ca="1">35614.4112387699*((RANDBETWEEN(2979,3282)))</f>
        <v>107947280.46471164</v>
      </c>
      <c r="B5505">
        <v>193565594.90032619</v>
      </c>
    </row>
    <row r="5506" spans="1:2" x14ac:dyDescent="0.25">
      <c r="A5506">
        <f ca="1">30504.5748774253*((RANDBETWEEN(2979,3282)))</f>
        <v>99780464.424058199</v>
      </c>
      <c r="B5506">
        <v>146385657.80918998</v>
      </c>
    </row>
    <row r="5507" spans="1:2" x14ac:dyDescent="0.25">
      <c r="A5507">
        <f ca="1">30560.531233707*((RANDBETWEEN(2979,3282)))</f>
        <v>99168923.853379205</v>
      </c>
      <c r="B5507">
        <v>160787687.987086</v>
      </c>
    </row>
    <row r="5508" spans="1:2" x14ac:dyDescent="0.25">
      <c r="A5508">
        <f ca="1">33932.935572685*((RANDBETWEEN(2979,3282)))</f>
        <v>104784905.04845124</v>
      </c>
      <c r="B5508">
        <v>175666373.29257998</v>
      </c>
    </row>
    <row r="5509" spans="1:2" x14ac:dyDescent="0.25">
      <c r="A5509">
        <f ca="1">30558.7887023068*((RANDBETWEEN(2979,3282)))</f>
        <v>99071592.97287859</v>
      </c>
      <c r="B5509">
        <v>144572349.14827603</v>
      </c>
    </row>
    <row r="5510" spans="1:2" x14ac:dyDescent="0.25">
      <c r="A5510">
        <f ca="1">30010.2205979903*((RANDBETWEEN(2979,3282)))</f>
        <v>92131377.235830113</v>
      </c>
      <c r="B5510">
        <v>155227292.6156708</v>
      </c>
    </row>
    <row r="5511" spans="1:2" x14ac:dyDescent="0.25">
      <c r="A5511">
        <f ca="1">36306.8423971486*((RANDBETWEEN(2979,3282)))</f>
        <v>116072975.14368421</v>
      </c>
      <c r="B5511">
        <v>183685116.90787241</v>
      </c>
    </row>
    <row r="5512" spans="1:2" x14ac:dyDescent="0.25">
      <c r="A5512">
        <f ca="1">35145.6642744806*((RANDBETWEEN(2979,3282)))</f>
        <v>104734079.53795223</v>
      </c>
      <c r="B5512">
        <v>180409960.13570279</v>
      </c>
    </row>
    <row r="5513" spans="1:2" x14ac:dyDescent="0.25">
      <c r="A5513">
        <f ca="1">30541.1699797171*((RANDBETWEEN(2979,3282)))</f>
        <v>95044120.976879731</v>
      </c>
      <c r="B5513">
        <v>143861000.38530958</v>
      </c>
    </row>
    <row r="5514" spans="1:2" x14ac:dyDescent="0.25">
      <c r="A5514">
        <f ca="1">31891.885929077*((RANDBETWEEN(2979,3282)))</f>
        <v>103839980.58507478</v>
      </c>
      <c r="B5514">
        <v>169936774.58802438</v>
      </c>
    </row>
    <row r="5515" spans="1:2" x14ac:dyDescent="0.25">
      <c r="A5515">
        <f ca="1">29552.4303516585*((RANDBETWEEN(2979,3282)))</f>
        <v>93031050.74702096</v>
      </c>
      <c r="B5515">
        <v>151449857.92915666</v>
      </c>
    </row>
    <row r="5516" spans="1:2" x14ac:dyDescent="0.25">
      <c r="A5516">
        <f ca="1">29925.24439167*((RANDBETWEEN(2979,3282)))</f>
        <v>89745807.930618227</v>
      </c>
      <c r="B5516">
        <v>159870318.5566954</v>
      </c>
    </row>
    <row r="5517" spans="1:2" x14ac:dyDescent="0.25">
      <c r="A5517">
        <f ca="1">32330.6900384829*((RANDBETWEEN(2979,3282)))</f>
        <v>105624364.35572359</v>
      </c>
      <c r="B5517">
        <v>162696045.33097392</v>
      </c>
    </row>
    <row r="5518" spans="1:2" x14ac:dyDescent="0.25">
      <c r="A5518">
        <f ca="1">32572.9921504552*((RANDBETWEEN(2979,3282)))</f>
        <v>103875271.96780178</v>
      </c>
      <c r="B5518">
        <v>198866340.80088785</v>
      </c>
    </row>
    <row r="5519" spans="1:2" x14ac:dyDescent="0.25">
      <c r="A5519">
        <f ca="1">30984.8044691766*((RANDBETWEEN(2979,3282)))</f>
        <v>97044407.597461119</v>
      </c>
      <c r="B5519">
        <v>162478979.163486</v>
      </c>
    </row>
    <row r="5520" spans="1:2" x14ac:dyDescent="0.25">
      <c r="A5520">
        <f ca="1">27169.8117155026*((RANDBETWEEN(2979,3282)))</f>
        <v>84063397.447764948</v>
      </c>
      <c r="B5520">
        <v>175894859.87014142</v>
      </c>
    </row>
    <row r="5521" spans="1:2" x14ac:dyDescent="0.25">
      <c r="A5521">
        <f ca="1">29985.9532889675*((RANDBETWEEN(2979,3282)))</f>
        <v>95895078.618117988</v>
      </c>
      <c r="B5521">
        <v>145681723.19427383</v>
      </c>
    </row>
    <row r="5522" spans="1:2" x14ac:dyDescent="0.25">
      <c r="A5522">
        <f ca="1">29200.9851963156*((RANDBETWEEN(2979,3282)))</f>
        <v>88478985.144836247</v>
      </c>
      <c r="B5522">
        <v>161699935.18143696</v>
      </c>
    </row>
    <row r="5523" spans="1:2" x14ac:dyDescent="0.25">
      <c r="A5523">
        <f ca="1">30110.4528899255*((RANDBETWEEN(2979,3282)))</f>
        <v>97226652.3815694</v>
      </c>
      <c r="B5523">
        <v>172227606.67046171</v>
      </c>
    </row>
    <row r="5524" spans="1:2" x14ac:dyDescent="0.25">
      <c r="A5524">
        <f ca="1">41607.0998679443*((RANDBETWEEN(2979,3282)))</f>
        <v>125154156.40277633</v>
      </c>
      <c r="B5524">
        <v>156206391.37890315</v>
      </c>
    </row>
    <row r="5525" spans="1:2" x14ac:dyDescent="0.25">
      <c r="A5525">
        <f ca="1">35992.6338445566*((RANDBETWEEN(2979,3282)))</f>
        <v>109705547.95820852</v>
      </c>
      <c r="B5525">
        <v>194789853.9816469</v>
      </c>
    </row>
    <row r="5526" spans="1:2" x14ac:dyDescent="0.25">
      <c r="A5526">
        <f ca="1">29539.0505378584*((RANDBETWEEN(2979,3282)))</f>
        <v>96740390.511486217</v>
      </c>
      <c r="B5526">
        <v>172078499.07002622</v>
      </c>
    </row>
    <row r="5527" spans="1:2" x14ac:dyDescent="0.25">
      <c r="A5527">
        <f ca="1">38407.2764435416*((RANDBETWEEN(2979,3282)))</f>
        <v>121059735.35004322</v>
      </c>
      <c r="B5527">
        <v>162947635.37688911</v>
      </c>
    </row>
    <row r="5528" spans="1:2" x14ac:dyDescent="0.25">
      <c r="A5528">
        <f ca="1">37104.6519494993*((RANDBETWEEN(2979,3282)))</f>
        <v>115692304.77853881</v>
      </c>
      <c r="B5528">
        <v>172335700.83647227</v>
      </c>
    </row>
    <row r="5529" spans="1:2" x14ac:dyDescent="0.25">
      <c r="A5529">
        <f ca="1">30202.992127018*((RANDBETWEEN(2979,3282)))</f>
        <v>91575472.129118443</v>
      </c>
      <c r="B5529">
        <v>170327735.39485544</v>
      </c>
    </row>
    <row r="5530" spans="1:2" x14ac:dyDescent="0.25">
      <c r="A5530">
        <f ca="1">38323.214822684*((RANDBETWEEN(2979,3282)))</f>
        <v>125278589.2553539</v>
      </c>
      <c r="B5530">
        <v>164937984.67205942</v>
      </c>
    </row>
    <row r="5531" spans="1:2" x14ac:dyDescent="0.25">
      <c r="A5531">
        <f ca="1">33322.8594218179*((RANDBETWEEN(2979,3282)))</f>
        <v>103300864.20763542</v>
      </c>
      <c r="B5531">
        <v>199194162.55854583</v>
      </c>
    </row>
    <row r="5532" spans="1:2" x14ac:dyDescent="0.25">
      <c r="A5532">
        <f ca="1">31061.7893742636*((RANDBETWEEN(2979,3282)))</f>
        <v>93899789.278398991</v>
      </c>
      <c r="B5532">
        <v>199414278.09602192</v>
      </c>
    </row>
    <row r="5533" spans="1:2" x14ac:dyDescent="0.25">
      <c r="A5533">
        <f ca="1">37344.8972638289*((RANDBETWEEN(2979,3282)))</f>
        <v>114424765.21637183</v>
      </c>
      <c r="B5533">
        <v>191678794.26827824</v>
      </c>
    </row>
    <row r="5534" spans="1:2" x14ac:dyDescent="0.25">
      <c r="A5534">
        <f ca="1">27231.6542959518*((RANDBETWEEN(2979,3282)))</f>
        <v>86651123.96971865</v>
      </c>
      <c r="B5534">
        <v>152835817.24829668</v>
      </c>
    </row>
    <row r="5535" spans="1:2" x14ac:dyDescent="0.25">
      <c r="A5535">
        <f ca="1">32257.4677305352*((RANDBETWEEN(2979,3282)))</f>
        <v>98256246.707210153</v>
      </c>
      <c r="B5535">
        <v>183103268.76203936</v>
      </c>
    </row>
    <row r="5536" spans="1:2" x14ac:dyDescent="0.25">
      <c r="A5536">
        <f ca="1">38703.8762356225*((RANDBETWEEN(2979,3282)))</f>
        <v>120601278.35019982</v>
      </c>
      <c r="B5536">
        <v>198007861.19351372</v>
      </c>
    </row>
    <row r="5537" spans="1:2" x14ac:dyDescent="0.25">
      <c r="A5537">
        <f ca="1">34216.6300100658*((RANDBETWEEN(2979,3282)))</f>
        <v>102513023.51015705</v>
      </c>
      <c r="B5537">
        <v>162497119.44887549</v>
      </c>
    </row>
    <row r="5538" spans="1:2" x14ac:dyDescent="0.25">
      <c r="A5538">
        <f ca="1">30815.4629642017*((RANDBETWEEN(2979,3282)))</f>
        <v>101105533.98554589</v>
      </c>
      <c r="B5538">
        <v>190072431.00665426</v>
      </c>
    </row>
    <row r="5539" spans="1:2" x14ac:dyDescent="0.25">
      <c r="A5539">
        <f ca="1">29079.4240447491*((RANDBETWEEN(2979,3282)))</f>
        <v>92181774.221854582</v>
      </c>
      <c r="B5539">
        <v>148294892.71283367</v>
      </c>
    </row>
    <row r="5540" spans="1:2" x14ac:dyDescent="0.25">
      <c r="A5540">
        <f ca="1">30183.888748622*((RANDBETWEEN(2979,3282)))</f>
        <v>96256421.219355702</v>
      </c>
      <c r="B5540">
        <v>158743220.46436813</v>
      </c>
    </row>
    <row r="5541" spans="1:2" x14ac:dyDescent="0.25">
      <c r="A5541">
        <f ca="1">39339.6343128931*((RANDBETWEEN(2979,3282)))</f>
        <v>125100037.1150002</v>
      </c>
      <c r="B5541">
        <v>168356322.89488596</v>
      </c>
    </row>
    <row r="5542" spans="1:2" x14ac:dyDescent="0.25">
      <c r="A5542">
        <f ca="1">29814.3158699659*((RANDBETWEEN(2979,3282)))</f>
        <v>91798278.563625023</v>
      </c>
      <c r="B5542">
        <v>160754225.01326329</v>
      </c>
    </row>
    <row r="5543" spans="1:2" x14ac:dyDescent="0.25">
      <c r="A5543">
        <f ca="1">31615.0794563348*((RANDBETWEEN(2979,3282)))</f>
        <v>101990246.32613598</v>
      </c>
      <c r="B5543">
        <v>159458974.19660878</v>
      </c>
    </row>
    <row r="5544" spans="1:2" x14ac:dyDescent="0.25">
      <c r="A5544">
        <f ca="1">31845.4419770284*((RANDBETWEEN(2979,3282)))</f>
        <v>101905414.3264908</v>
      </c>
      <c r="B5544">
        <v>154336610.66657436</v>
      </c>
    </row>
    <row r="5545" spans="1:2" x14ac:dyDescent="0.25">
      <c r="A5545">
        <f ca="1">35708.2901616032*((RANDBETWEEN(2979,3282)))</f>
        <v>116873233.69892721</v>
      </c>
      <c r="B5545">
        <v>167401685.44663674</v>
      </c>
    </row>
    <row r="5546" spans="1:2" x14ac:dyDescent="0.25">
      <c r="A5546">
        <f ca="1">33823.760122941*((RANDBETWEEN(2979,3282)))</f>
        <v>110738990.64250891</v>
      </c>
      <c r="B5546">
        <v>203555020.49099115</v>
      </c>
    </row>
    <row r="5547" spans="1:2" x14ac:dyDescent="0.25">
      <c r="A5547">
        <f ca="1">29287.8239813614*((RANDBETWEEN(2979,3282)))</f>
        <v>95244003.587387338</v>
      </c>
      <c r="B5547">
        <v>149962791.81223032</v>
      </c>
    </row>
    <row r="5548" spans="1:2" x14ac:dyDescent="0.25">
      <c r="A5548">
        <f ca="1">29982.065893911*((RANDBETWEEN(2979,3282)))</f>
        <v>95073130.949591681</v>
      </c>
      <c r="B5548">
        <v>144437875.54943499</v>
      </c>
    </row>
    <row r="5549" spans="1:2" x14ac:dyDescent="0.25">
      <c r="A5549">
        <f ca="1">29254.9688904327*((RANDBETWEEN(2979,3282)))</f>
        <v>92591976.538219482</v>
      </c>
      <c r="B5549">
        <v>173589789.10551605</v>
      </c>
    </row>
    <row r="5550" spans="1:2" x14ac:dyDescent="0.25">
      <c r="A5550">
        <f ca="1">35505.2697084837*((RANDBETWEEN(2979,3282)))</f>
        <v>107225914.5196207</v>
      </c>
      <c r="B5550">
        <v>151324990.55467731</v>
      </c>
    </row>
    <row r="5551" spans="1:2" x14ac:dyDescent="0.25">
      <c r="A5551">
        <f ca="1">30013.0786560015*((RANDBETWEEN(2979,3282)))</f>
        <v>95741720.912644908</v>
      </c>
      <c r="B5551">
        <v>156583035.84229016</v>
      </c>
    </row>
    <row r="5552" spans="1:2" x14ac:dyDescent="0.25">
      <c r="A5552">
        <f ca="1">35599.3603768777*((RANDBETWEEN(2979,3282)))</f>
        <v>106406488.16648741</v>
      </c>
      <c r="B5552">
        <v>166353305.31503209</v>
      </c>
    </row>
    <row r="5553" spans="1:2" x14ac:dyDescent="0.25">
      <c r="A5553">
        <f ca="1">31270.2414365465*((RANDBETWEEN(2979,3282)))</f>
        <v>96781397.246111333</v>
      </c>
      <c r="B5553">
        <v>144927978.86843812</v>
      </c>
    </row>
    <row r="5554" spans="1:2" x14ac:dyDescent="0.25">
      <c r="A5554">
        <f ca="1">30312.5458052481*((RANDBETWEEN(2979,3282)))</f>
        <v>94423580.183347806</v>
      </c>
      <c r="B5554">
        <v>176517194.11331555</v>
      </c>
    </row>
    <row r="5555" spans="1:2" x14ac:dyDescent="0.25">
      <c r="A5555">
        <f ca="1">39551.4920518183*((RANDBETWEEN(2979,3282)))</f>
        <v>119841020.91700938</v>
      </c>
      <c r="B5555">
        <v>198453617.99245864</v>
      </c>
    </row>
    <row r="5556" spans="1:2" x14ac:dyDescent="0.25">
      <c r="A5556">
        <f ca="1">33416.7099540563*((RANDBETWEEN(2979,3282)))</f>
        <v>107167388.8226586</v>
      </c>
      <c r="B5556">
        <v>148410364.63837999</v>
      </c>
    </row>
    <row r="5557" spans="1:2" x14ac:dyDescent="0.25">
      <c r="A5557">
        <f ca="1">34356.2420792741*((RANDBETWEEN(2979,3282)))</f>
        <v>107191475.28733523</v>
      </c>
      <c r="B5557">
        <v>156480589.99453321</v>
      </c>
    </row>
    <row r="5558" spans="1:2" x14ac:dyDescent="0.25">
      <c r="A5558">
        <f ca="1">32577.9307437458*((RANDBETWEEN(2979,3282)))</f>
        <v>100242292.89850579</v>
      </c>
      <c r="B5558">
        <v>202263477.79498687</v>
      </c>
    </row>
    <row r="5559" spans="1:2" x14ac:dyDescent="0.25">
      <c r="A5559">
        <f ca="1">36200.5182772431*((RANDBETWEEN(2979,3282)))</f>
        <v>113561025.83571175</v>
      </c>
      <c r="B5559">
        <v>150974248.34943059</v>
      </c>
    </row>
    <row r="5560" spans="1:2" x14ac:dyDescent="0.25">
      <c r="A5560">
        <f ca="1">31238.764719118*((RANDBETWEEN(2979,3282)))</f>
        <v>93778771.686792165</v>
      </c>
      <c r="B5560">
        <v>171081103.3338483</v>
      </c>
    </row>
    <row r="5561" spans="1:2" x14ac:dyDescent="0.25">
      <c r="A5561">
        <f ca="1">38765.0841932324*((RANDBETWEEN(2979,3282)))</f>
        <v>118621157.63129115</v>
      </c>
      <c r="B5561">
        <v>156931453.83095026</v>
      </c>
    </row>
    <row r="5562" spans="1:2" x14ac:dyDescent="0.25">
      <c r="A5562">
        <f ca="1">29243.5313804615*((RANDBETWEEN(2979,3282)))</f>
        <v>91415279.095322654</v>
      </c>
      <c r="B5562">
        <v>144377000.42232966</v>
      </c>
    </row>
    <row r="5563" spans="1:2" x14ac:dyDescent="0.25">
      <c r="A5563">
        <f ca="1">31755.7683718605*((RANDBETWEEN(2979,3282)))</f>
        <v>103650827.96575272</v>
      </c>
      <c r="B5563">
        <v>170377269.6007539</v>
      </c>
    </row>
    <row r="5564" spans="1:2" x14ac:dyDescent="0.25">
      <c r="A5564">
        <f ca="1">30655.1705232404*((RANDBETWEEN(2979,3282)))</f>
        <v>100487648.97518206</v>
      </c>
      <c r="B5564">
        <v>154164883.92798632</v>
      </c>
    </row>
    <row r="5565" spans="1:2" x14ac:dyDescent="0.25">
      <c r="A5565">
        <f ca="1">34157.866311611*((RANDBETWEEN(2979,3282)))</f>
        <v>105103754.64082706</v>
      </c>
      <c r="B5565">
        <v>177887276.96261454</v>
      </c>
    </row>
    <row r="5566" spans="1:2" x14ac:dyDescent="0.25">
      <c r="A5566">
        <f ca="1">33380.5692265003*((RANDBETWEEN(2979,3282)))</f>
        <v>107719096.89391662</v>
      </c>
      <c r="B5566">
        <v>151734817.46807456</v>
      </c>
    </row>
    <row r="5567" spans="1:2" x14ac:dyDescent="0.25">
      <c r="A5567">
        <f ca="1">39912.1308046748*((RANDBETWEEN(2979,3282)))</f>
        <v>130592491.99289581</v>
      </c>
      <c r="B5567">
        <v>198343566.01408648</v>
      </c>
    </row>
    <row r="5568" spans="1:2" x14ac:dyDescent="0.25">
      <c r="A5568">
        <f ca="1">31342.9087534257*((RANDBETWEEN(2979,3282)))</f>
        <v>99168963.295838788</v>
      </c>
      <c r="B5568">
        <v>154652644.97189102</v>
      </c>
    </row>
    <row r="5569" spans="1:2" x14ac:dyDescent="0.25">
      <c r="A5569">
        <f ca="1">34216.4579362934*((RANDBETWEEN(2979,3282)))</f>
        <v>110245427.47073737</v>
      </c>
      <c r="B5569">
        <v>151794536.97266418</v>
      </c>
    </row>
    <row r="5570" spans="1:2" x14ac:dyDescent="0.25">
      <c r="A5570">
        <f ca="1">29679.0748909431*((RANDBETWEEN(2979,3282)))</f>
        <v>89363694.49662973</v>
      </c>
      <c r="B5570">
        <v>143436165.91560432</v>
      </c>
    </row>
    <row r="5571" spans="1:2" x14ac:dyDescent="0.25">
      <c r="A5571">
        <f ca="1">31975.0329062741*((RANDBETWEEN(2979,3282)))</f>
        <v>96692499.508572996</v>
      </c>
      <c r="B5571">
        <v>180210077.45334291</v>
      </c>
    </row>
    <row r="5572" spans="1:2" x14ac:dyDescent="0.25">
      <c r="A5572">
        <f ca="1">35514.4006951781*((RANDBETWEEN(2979,3282)))</f>
        <v>110130156.55574721</v>
      </c>
      <c r="B5572">
        <v>152415633.1076301</v>
      </c>
    </row>
    <row r="5573" spans="1:2" x14ac:dyDescent="0.25">
      <c r="A5573">
        <f ca="1">39009.1818698846*((RANDBETWEEN(2979,3282)))</f>
        <v>119875215.88615543</v>
      </c>
      <c r="B5573">
        <v>198845425.10773101</v>
      </c>
    </row>
    <row r="5574" spans="1:2" x14ac:dyDescent="0.25">
      <c r="A5574">
        <f ca="1">33820.359466825*((RANDBETWEEN(2979,3282)))</f>
        <v>102374228.1060793</v>
      </c>
      <c r="B5574">
        <v>148752836.75013471</v>
      </c>
    </row>
    <row r="5575" spans="1:2" x14ac:dyDescent="0.25">
      <c r="A5575">
        <f ca="1">34278.0965717672*((RANDBETWEEN(2979,3282)))</f>
        <v>107461832.75249018</v>
      </c>
      <c r="B5575">
        <v>174163178.05133811</v>
      </c>
    </row>
    <row r="5576" spans="1:2" x14ac:dyDescent="0.25">
      <c r="A5576">
        <f ca="1">34388.4859337603*((RANDBETWEEN(2979,3282)))</f>
        <v>111177975.02384712</v>
      </c>
      <c r="B5576">
        <v>147931421.38121706</v>
      </c>
    </row>
    <row r="5577" spans="1:2" x14ac:dyDescent="0.25">
      <c r="A5577">
        <f ca="1">32617.3362186379*((RANDBETWEEN(2979,3282)))</f>
        <v>103233869.13198887</v>
      </c>
      <c r="B5577">
        <v>157834122.68093115</v>
      </c>
    </row>
    <row r="5578" spans="1:2" x14ac:dyDescent="0.25">
      <c r="A5578">
        <f ca="1">30313.7771516341*((RANDBETWEEN(2979,3282)))</f>
        <v>92851099.415455192</v>
      </c>
      <c r="B5578">
        <v>157124440.53709531</v>
      </c>
    </row>
    <row r="5579" spans="1:2" x14ac:dyDescent="0.25">
      <c r="A5579">
        <f ca="1">36625.4115152435*((RANDBETWEEN(2979,3282)))</f>
        <v>110938371.47967254</v>
      </c>
      <c r="B5579">
        <v>203477679.70156702</v>
      </c>
    </row>
    <row r="5580" spans="1:2" x14ac:dyDescent="0.25">
      <c r="A5580">
        <f ca="1">31641.6096011005*((RANDBETWEEN(2979,3282)))</f>
        <v>102297323.84035778</v>
      </c>
      <c r="B5580">
        <v>177607959.48853144</v>
      </c>
    </row>
    <row r="5581" spans="1:2" x14ac:dyDescent="0.25">
      <c r="A5581">
        <f ca="1">29755.4591017339*((RANDBETWEEN(2979,3282)))</f>
        <v>88879556.336879045</v>
      </c>
      <c r="B5581">
        <v>167654479.02623188</v>
      </c>
    </row>
    <row r="5582" spans="1:2" x14ac:dyDescent="0.25">
      <c r="A5582">
        <f ca="1">31442.9519015637*((RANDBETWEEN(2979,3282)))</f>
        <v>99611271.624153867</v>
      </c>
      <c r="B5582">
        <v>202697232.17993262</v>
      </c>
    </row>
    <row r="5583" spans="1:2" x14ac:dyDescent="0.25">
      <c r="A5583">
        <f ca="1">35362.3216656377*((RANDBETWEEN(2979,3282)))</f>
        <v>110754791.45677717</v>
      </c>
      <c r="B5583">
        <v>158137475.79503176</v>
      </c>
    </row>
    <row r="5584" spans="1:2" x14ac:dyDescent="0.25">
      <c r="A5584">
        <f ca="1">30825.5564003019*((RANDBETWEEN(2979,3282)))</f>
        <v>96483991.532944933</v>
      </c>
      <c r="B5584">
        <v>145576782.05781955</v>
      </c>
    </row>
    <row r="5585" spans="1:2" x14ac:dyDescent="0.25">
      <c r="A5585">
        <f ca="1">36399.8939608011*((RANDBETWEEN(2979,3282)))</f>
        <v>116698060.03832823</v>
      </c>
      <c r="B5585">
        <v>173787909.19871807</v>
      </c>
    </row>
    <row r="5586" spans="1:2" x14ac:dyDescent="0.25">
      <c r="A5586">
        <f ca="1">33326.5918456694*((RANDBETWEEN(2979,3282)))</f>
        <v>105911908.88553728</v>
      </c>
      <c r="B5586">
        <v>152047890.08116007</v>
      </c>
    </row>
    <row r="5587" spans="1:2" x14ac:dyDescent="0.25">
      <c r="A5587">
        <f ca="1">30118.4442265898*((RANDBETWEEN(2979,3282)))</f>
        <v>94722507.092624828</v>
      </c>
      <c r="B5587">
        <v>186996439.04152387</v>
      </c>
    </row>
    <row r="5588" spans="1:2" x14ac:dyDescent="0.25">
      <c r="A5588">
        <f ca="1">41287.7870575722*((RANDBETWEEN(2979,3282)))</f>
        <v>133111825.47361274</v>
      </c>
      <c r="B5588">
        <v>177843089.03624529</v>
      </c>
    </row>
    <row r="5589" spans="1:2" x14ac:dyDescent="0.25">
      <c r="A5589">
        <f ca="1">29530.3362628777*((RANDBETWEEN(2979,3282)))</f>
        <v>95412516.465357929</v>
      </c>
      <c r="B5589">
        <v>144622412.91476643</v>
      </c>
    </row>
    <row r="5590" spans="1:2" x14ac:dyDescent="0.25">
      <c r="A5590">
        <f ca="1">32395.1319317439*((RANDBETWEEN(2979,3282)))</f>
        <v>99388264.766590208</v>
      </c>
      <c r="B5590">
        <v>153965791.92162406</v>
      </c>
    </row>
    <row r="5591" spans="1:2" x14ac:dyDescent="0.25">
      <c r="A5591">
        <f ca="1">31565.9221895653*((RANDBETWEEN(2979,3282)))</f>
        <v>96591721.900069952</v>
      </c>
      <c r="B5591">
        <v>181540413.12866616</v>
      </c>
    </row>
    <row r="5592" spans="1:2" x14ac:dyDescent="0.25">
      <c r="A5592">
        <f ca="1">31581.5322590141*((RANDBETWEEN(2979,3282)))</f>
        <v>99102848.22878629</v>
      </c>
      <c r="B5592">
        <v>190385093.34996042</v>
      </c>
    </row>
    <row r="5593" spans="1:2" x14ac:dyDescent="0.25">
      <c r="A5593">
        <f ca="1">31404.5820270501*((RANDBETWEEN(2979,3282)))</f>
        <v>94307959.827231586</v>
      </c>
      <c r="B5593">
        <v>173945688.99146563</v>
      </c>
    </row>
    <row r="5594" spans="1:2" x14ac:dyDescent="0.25">
      <c r="A5594">
        <f ca="1">30731.488292381*((RANDBETWEEN(2979,3282)))</f>
        <v>92993483.572744787</v>
      </c>
      <c r="B5594">
        <v>178946470.72197914</v>
      </c>
    </row>
    <row r="5595" spans="1:2" x14ac:dyDescent="0.25">
      <c r="A5595">
        <f ca="1">29502.0706799102*((RANDBETWEEN(2979,3282)))</f>
        <v>96383264.911266625</v>
      </c>
      <c r="B5595">
        <v>151148285.04641759</v>
      </c>
    </row>
    <row r="5596" spans="1:2" x14ac:dyDescent="0.25">
      <c r="A5596">
        <f ca="1">30110.1124510747*((RANDBETWEEN(2979,3282)))</f>
        <v>93070357.586272001</v>
      </c>
      <c r="B5596">
        <v>159246210.81661871</v>
      </c>
    </row>
    <row r="5597" spans="1:2" x14ac:dyDescent="0.25">
      <c r="A5597">
        <f ca="1">34940.1583930588*((RANDBETWEEN(2979,3282)))</f>
        <v>109886798.14616998</v>
      </c>
      <c r="B5597">
        <v>190530780.16871077</v>
      </c>
    </row>
    <row r="5598" spans="1:2" x14ac:dyDescent="0.25">
      <c r="A5598">
        <f ca="1">33971.1857051644*((RANDBETWEEN(2979,3282)))</f>
        <v>105684358.72876631</v>
      </c>
      <c r="B5598">
        <v>143856490.5839439</v>
      </c>
    </row>
    <row r="5599" spans="1:2" x14ac:dyDescent="0.25">
      <c r="A5599">
        <f ca="1">30944.2225862649*((RANDBETWEEN(2979,3282)))</f>
        <v>99423787.169669271</v>
      </c>
      <c r="B5599">
        <v>172705056.13933596</v>
      </c>
    </row>
    <row r="5600" spans="1:2" x14ac:dyDescent="0.25">
      <c r="A5600">
        <f ca="1">31374.0448565898*((RANDBETWEEN(2979,3282)))</f>
        <v>100679309.94479668</v>
      </c>
      <c r="B5600">
        <v>173000814.30500442</v>
      </c>
    </row>
    <row r="5601" spans="1:2" x14ac:dyDescent="0.25">
      <c r="A5601">
        <f ca="1">39428.5699922767*((RANDBETWEEN(2979,3282)))</f>
        <v>123293138.36584936</v>
      </c>
      <c r="B5601">
        <v>173816744.10290354</v>
      </c>
    </row>
    <row r="5602" spans="1:2" x14ac:dyDescent="0.25">
      <c r="A5602">
        <f ca="1">29083.624139486*((RANDBETWEEN(2979,3282)))</f>
        <v>89519395.10133791</v>
      </c>
      <c r="B5602">
        <v>201901579.92440563</v>
      </c>
    </row>
    <row r="5603" spans="1:2" x14ac:dyDescent="0.25">
      <c r="A5603">
        <f ca="1">31454.7695872045*((RANDBETWEEN(2979,3282)))</f>
        <v>102479639.31511241</v>
      </c>
      <c r="B5603">
        <v>151851375.43706456</v>
      </c>
    </row>
    <row r="5604" spans="1:2" x14ac:dyDescent="0.25">
      <c r="A5604">
        <f ca="1">31710.8881045713*((RANDBETWEEN(2979,3282)))</f>
        <v>97637824.473974988</v>
      </c>
      <c r="B5604">
        <v>153630484.44485235</v>
      </c>
    </row>
    <row r="5605" spans="1:2" x14ac:dyDescent="0.25">
      <c r="A5605">
        <f ca="1">35076.899250121*((RANDBETWEEN(2979,3282)))</f>
        <v>109931002.2498792</v>
      </c>
      <c r="B5605">
        <v>185514932.73366785</v>
      </c>
    </row>
    <row r="5606" spans="1:2" x14ac:dyDescent="0.25">
      <c r="A5606">
        <f ca="1">30036.1031113074*((RANDBETWEEN(2979,3282)))</f>
        <v>91219645.149040475</v>
      </c>
      <c r="B5606">
        <v>176192719.22557616</v>
      </c>
    </row>
    <row r="5607" spans="1:2" x14ac:dyDescent="0.25">
      <c r="A5607">
        <f ca="1">29145.325135105*((RANDBETWEEN(2979,3282)))</f>
        <v>94751452.014226243</v>
      </c>
      <c r="B5607">
        <v>202816128.51632297</v>
      </c>
    </row>
    <row r="5608" spans="1:2" x14ac:dyDescent="0.25">
      <c r="A5608">
        <f ca="1">32408.5463706089*((RANDBETWEEN(2979,3282)))</f>
        <v>101633201.41822955</v>
      </c>
      <c r="B5608">
        <v>148084844.1850926</v>
      </c>
    </row>
    <row r="5609" spans="1:2" x14ac:dyDescent="0.25">
      <c r="A5609">
        <f ca="1">37261.2531870373*((RANDBETWEEN(2979,3282)))</f>
        <v>118118172.60290836</v>
      </c>
      <c r="B5609">
        <v>175724507.56331879</v>
      </c>
    </row>
    <row r="5610" spans="1:2" x14ac:dyDescent="0.25">
      <c r="A5610">
        <f ca="1">32121.4275326096*((RANDBETWEEN(2979,3282)))</f>
        <v>104426760.90851378</v>
      </c>
      <c r="B5610">
        <v>149653859.79595691</v>
      </c>
    </row>
    <row r="5611" spans="1:2" x14ac:dyDescent="0.25">
      <c r="A5611">
        <f ca="1">35369.6863241371*((RANDBETWEEN(2979,3282)))</f>
        <v>112546341.88340424</v>
      </c>
      <c r="B5611">
        <v>202129316.46617734</v>
      </c>
    </row>
    <row r="5612" spans="1:2" x14ac:dyDescent="0.25">
      <c r="A5612">
        <f ca="1">31124.572167831*((RANDBETWEEN(2979,3282)))</f>
        <v>95770308.560415864</v>
      </c>
      <c r="B5612">
        <v>150679116.50872773</v>
      </c>
    </row>
    <row r="5613" spans="1:2" x14ac:dyDescent="0.25">
      <c r="A5613">
        <f ca="1">31914.8702468775*((RANDBETWEEN(2979,3282)))</f>
        <v>103819072.91309266</v>
      </c>
      <c r="B5613">
        <v>147080670.35660863</v>
      </c>
    </row>
    <row r="5614" spans="1:2" x14ac:dyDescent="0.25">
      <c r="A5614">
        <f ca="1">31025.8750352872*((RANDBETWEEN(2979,3282)))</f>
        <v>95932005.609107941</v>
      </c>
      <c r="B5614">
        <v>154848125.84451687</v>
      </c>
    </row>
    <row r="5615" spans="1:2" x14ac:dyDescent="0.25">
      <c r="A5615">
        <f ca="1">28648.109105591*((RANDBETWEEN(2979,3282)))</f>
        <v>87577269.535791725</v>
      </c>
      <c r="B5615">
        <v>147462811.2610186</v>
      </c>
    </row>
    <row r="5616" spans="1:2" x14ac:dyDescent="0.25">
      <c r="A5616">
        <f ca="1">33519.3136304967*((RANDBETWEEN(2979,3282)))</f>
        <v>104680816.46804126</v>
      </c>
      <c r="B5616">
        <v>158204395.5267753</v>
      </c>
    </row>
    <row r="5617" spans="1:2" x14ac:dyDescent="0.25">
      <c r="A5617">
        <f ca="1">39409.5967726036*((RANDBETWEEN(2979,3282)))</f>
        <v>122839713.14020552</v>
      </c>
      <c r="B5617">
        <v>160195193.72369337</v>
      </c>
    </row>
    <row r="5618" spans="1:2" x14ac:dyDescent="0.25">
      <c r="A5618">
        <f ca="1">34979.5999142406*((RANDBETWEEN(2979,3282)))</f>
        <v>110955290.92797127</v>
      </c>
      <c r="B5618">
        <v>144264716.79802936</v>
      </c>
    </row>
    <row r="5619" spans="1:2" x14ac:dyDescent="0.25">
      <c r="A5619">
        <f ca="1">32768.0191751022*((RANDBETWEEN(2979,3282)))</f>
        <v>102039611.71126811</v>
      </c>
      <c r="B5619">
        <v>164484761.18200144</v>
      </c>
    </row>
    <row r="5620" spans="1:2" x14ac:dyDescent="0.25">
      <c r="A5620">
        <f ca="1">37374.509746187*((RANDBETWEEN(2979,3282)))</f>
        <v>120121674.32424486</v>
      </c>
      <c r="B5620">
        <v>166767273.82384506</v>
      </c>
    </row>
    <row r="5621" spans="1:2" x14ac:dyDescent="0.25">
      <c r="A5621">
        <f ca="1">38146.5938284837*((RANDBETWEEN(2979,3282)))</f>
        <v>123900136.75491501</v>
      </c>
      <c r="B5621">
        <v>152622310.79232866</v>
      </c>
    </row>
    <row r="5622" spans="1:2" x14ac:dyDescent="0.25">
      <c r="A5622">
        <f ca="1">40071.666703397*((RANDBETWEEN(2979,3282)))</f>
        <v>124943456.78119171</v>
      </c>
      <c r="B5622">
        <v>145123312.46434736</v>
      </c>
    </row>
    <row r="5623" spans="1:2" x14ac:dyDescent="0.25">
      <c r="A5623">
        <f ca="1">38648.2881605359*((RANDBETWEEN(2979,3282)))</f>
        <v>123713170.40187547</v>
      </c>
      <c r="B5623">
        <v>145995540.55647686</v>
      </c>
    </row>
    <row r="5624" spans="1:2" x14ac:dyDescent="0.25">
      <c r="A5624">
        <f ca="1">31798.1105706489*((RANDBETWEEN(2979,3282)))</f>
        <v>96062092.033930287</v>
      </c>
      <c r="B5624">
        <v>151104083.82389602</v>
      </c>
    </row>
    <row r="5625" spans="1:2" x14ac:dyDescent="0.25">
      <c r="A5625">
        <f ca="1">38547.8452698389*((RANDBETWEEN(2979,3282)))</f>
        <v>123700035.47091308</v>
      </c>
      <c r="B5625">
        <v>145758490.84685338</v>
      </c>
    </row>
    <row r="5626" spans="1:2" x14ac:dyDescent="0.25">
      <c r="A5626">
        <f ca="1">27997.8761938494*((RANDBETWEEN(2979,3282)))</f>
        <v>88249305.763013273</v>
      </c>
      <c r="B5626">
        <v>175982127.82267785</v>
      </c>
    </row>
    <row r="5627" spans="1:2" x14ac:dyDescent="0.25">
      <c r="A5627">
        <f ca="1">29557.456985467*((RANDBETWEEN(2979,3282)))</f>
        <v>95441028.606072992</v>
      </c>
      <c r="B5627">
        <v>185534687.01351446</v>
      </c>
    </row>
    <row r="5628" spans="1:2" x14ac:dyDescent="0.25">
      <c r="A5628">
        <f ca="1">39499.9723461297*((RANDBETWEEN(2979,3282)))</f>
        <v>126636911.34169185</v>
      </c>
      <c r="B5628">
        <v>179067096.92278951</v>
      </c>
    </row>
    <row r="5629" spans="1:2" x14ac:dyDescent="0.25">
      <c r="A5629">
        <f ca="1">38585.4737663031*((RANDBETWEEN(2979,3282)))</f>
        <v>124785422.16022441</v>
      </c>
      <c r="B5629">
        <v>175825989.11873168</v>
      </c>
    </row>
    <row r="5630" spans="1:2" x14ac:dyDescent="0.25">
      <c r="A5630">
        <f ca="1">29768.8624407118*((RANDBETWEEN(2979,3282)))</f>
        <v>94784058.01122646</v>
      </c>
      <c r="B5630">
        <v>153775122.93031523</v>
      </c>
    </row>
    <row r="5631" spans="1:2" x14ac:dyDescent="0.25">
      <c r="A5631">
        <f ca="1">32200.2287806551*((RANDBETWEEN(2979,3282)))</f>
        <v>100464713.79564379</v>
      </c>
      <c r="B5631">
        <v>162125088.90938362</v>
      </c>
    </row>
    <row r="5632" spans="1:2" x14ac:dyDescent="0.25">
      <c r="A5632">
        <f ca="1">34461.7329713216*((RANDBETWEEN(2979,3282)))</f>
        <v>111001241.90062684</v>
      </c>
      <c r="B5632">
        <v>146931324.64734051</v>
      </c>
    </row>
    <row r="5633" spans="1:2" x14ac:dyDescent="0.25">
      <c r="A5633">
        <f ca="1">40338.5112082883*((RANDBETWEEN(2979,3282)))</f>
        <v>125614123.90260981</v>
      </c>
      <c r="B5633">
        <v>150731370.31810683</v>
      </c>
    </row>
    <row r="5634" spans="1:2" x14ac:dyDescent="0.25">
      <c r="A5634">
        <f ca="1">27573.8777879709*((RANDBETWEEN(2979,3282)))</f>
        <v>89670250.566481471</v>
      </c>
      <c r="B5634">
        <v>190883755.20286858</v>
      </c>
    </row>
    <row r="5635" spans="1:2" x14ac:dyDescent="0.25">
      <c r="A5635">
        <f ca="1">33936.7095925897*((RANDBETWEEN(2979,3282)))</f>
        <v>109988875.78958319</v>
      </c>
      <c r="B5635">
        <v>178047605.7302075</v>
      </c>
    </row>
    <row r="5636" spans="1:2" x14ac:dyDescent="0.25">
      <c r="A5636">
        <f ca="1">35306.2936960652*((RANDBETWEEN(2979,3282)))</f>
        <v>113545040.52654554</v>
      </c>
      <c r="B5636">
        <v>169737327.95874345</v>
      </c>
    </row>
    <row r="5637" spans="1:2" x14ac:dyDescent="0.25">
      <c r="A5637">
        <f ca="1">34185.9591931901*((RANDBETWEEN(2979,3282)))</f>
        <v>110625763.949163</v>
      </c>
      <c r="B5637">
        <v>160422472.65945488</v>
      </c>
    </row>
    <row r="5638" spans="1:2" x14ac:dyDescent="0.25">
      <c r="A5638">
        <f ca="1">39400.3321004821*((RANDBETWEEN(2979,3282)))</f>
        <v>123323039.47450885</v>
      </c>
      <c r="B5638">
        <v>198593592.82322988</v>
      </c>
    </row>
    <row r="5639" spans="1:2" x14ac:dyDescent="0.25">
      <c r="A5639">
        <f ca="1">37664.7301476443*((RANDBETWEEN(2979,3282)))</f>
        <v>115028085.87090582</v>
      </c>
      <c r="B5639">
        <v>192183245.69328833</v>
      </c>
    </row>
    <row r="5640" spans="1:2" x14ac:dyDescent="0.25">
      <c r="A5640">
        <f ca="1">39860.1055361022*((RANDBETWEEN(2979,3282)))</f>
        <v>123048145.78994749</v>
      </c>
      <c r="B5640">
        <v>166894879.72941464</v>
      </c>
    </row>
    <row r="5641" spans="1:2" x14ac:dyDescent="0.25">
      <c r="A5641">
        <f ca="1">33319.0011770185*((RANDBETWEEN(2979,3282)))</f>
        <v>102722480.62874806</v>
      </c>
      <c r="B5641">
        <v>158678285.63851973</v>
      </c>
    </row>
    <row r="5642" spans="1:2" x14ac:dyDescent="0.25">
      <c r="A5642">
        <f ca="1">34175.8587595185*((RANDBETWEEN(2979,3282)))</f>
        <v>111413299.55603044</v>
      </c>
      <c r="B5642">
        <v>150160009.52193749</v>
      </c>
    </row>
    <row r="5643" spans="1:2" x14ac:dyDescent="0.25">
      <c r="A5643">
        <f ca="1">30474.8345232157*((RANDBETWEEN(2979,3282)))</f>
        <v>95233857.885049179</v>
      </c>
      <c r="B5643">
        <v>174664320.90246421</v>
      </c>
    </row>
    <row r="5644" spans="1:2" x14ac:dyDescent="0.25">
      <c r="A5644">
        <f ca="1">30093.1881670264*((RANDBETWEEN(2979,3282)))</f>
        <v>95937083.876480028</v>
      </c>
      <c r="B5644">
        <v>159857406.40471125</v>
      </c>
    </row>
    <row r="5645" spans="1:2" x14ac:dyDescent="0.25">
      <c r="A5645">
        <f ca="1">30817.4072155628*((RANDBETWEEN(2979,3282)))</f>
        <v>95287423.110520229</v>
      </c>
      <c r="B5645">
        <v>151039910.80636835</v>
      </c>
    </row>
    <row r="5646" spans="1:2" x14ac:dyDescent="0.25">
      <c r="A5646">
        <f ca="1">40987.1075457333*((RANDBETWEEN(2979,3282)))</f>
        <v>129109388.76905999</v>
      </c>
      <c r="B5646">
        <v>182482798.48388404</v>
      </c>
    </row>
    <row r="5647" spans="1:2" x14ac:dyDescent="0.25">
      <c r="A5647">
        <f ca="1">39824.8547827306*((RANDBETWEEN(2979,3282)))</f>
        <v>118956841.23601624</v>
      </c>
      <c r="B5647">
        <v>171197228.46267247</v>
      </c>
    </row>
    <row r="5648" spans="1:2" x14ac:dyDescent="0.25">
      <c r="A5648">
        <f ca="1">37094.8179883607*((RANDBETWEEN(2979,3282)))</f>
        <v>111173169.51111694</v>
      </c>
      <c r="B5648">
        <v>201525151.54103714</v>
      </c>
    </row>
    <row r="5649" spans="1:2" x14ac:dyDescent="0.25">
      <c r="A5649">
        <f ca="1">30445.8979656075*((RANDBETWEEN(2979,3282)))</f>
        <v>90820113.63140732</v>
      </c>
      <c r="B5649">
        <v>202805642.15007532</v>
      </c>
    </row>
    <row r="5650" spans="1:2" x14ac:dyDescent="0.25">
      <c r="A5650">
        <f ca="1">36629.1743489241*((RANDBETWEEN(2979,3282)))</f>
        <v>109374714.60588744</v>
      </c>
      <c r="B5650">
        <v>167696211.00226554</v>
      </c>
    </row>
    <row r="5651" spans="1:2" x14ac:dyDescent="0.25">
      <c r="A5651">
        <f ca="1">37032.1825005153*((RANDBETWEEN(2979,3282)))</f>
        <v>120761947.13418025</v>
      </c>
      <c r="B5651">
        <v>192727026.96683747</v>
      </c>
    </row>
    <row r="5652" spans="1:2" x14ac:dyDescent="0.25">
      <c r="A5652">
        <f ca="1">31886.0639021511*((RANDBETWEEN(2979,3282)))</f>
        <v>97571355.540582299</v>
      </c>
      <c r="B5652">
        <v>195830697.5604856</v>
      </c>
    </row>
    <row r="5653" spans="1:2" x14ac:dyDescent="0.25">
      <c r="A5653">
        <f ca="1">38418.4483700161*((RANDBETWEEN(2979,3282)))</f>
        <v>122977453.23242168</v>
      </c>
      <c r="B5653">
        <v>148634338.46950048</v>
      </c>
    </row>
    <row r="5654" spans="1:2" x14ac:dyDescent="0.25">
      <c r="A5654">
        <f ca="1">29962.7216545287*((RANDBETWEEN(2979,3282)))</f>
        <v>93393803.397165909</v>
      </c>
      <c r="B5654">
        <v>198362750.62549168</v>
      </c>
    </row>
    <row r="5655" spans="1:2" x14ac:dyDescent="0.25">
      <c r="A5655">
        <f ca="1">29815.5266599428*((RANDBETWEEN(2979,3282)))</f>
        <v>90072706.039687127</v>
      </c>
      <c r="B5655">
        <v>164376301.3779017</v>
      </c>
    </row>
    <row r="5656" spans="1:2" x14ac:dyDescent="0.25">
      <c r="A5656">
        <f ca="1">38096.1078957114*((RANDBETWEEN(2979,3282)))</f>
        <v>119545586.57674244</v>
      </c>
      <c r="B5656">
        <v>162971804.57747024</v>
      </c>
    </row>
    <row r="5657" spans="1:2" x14ac:dyDescent="0.25">
      <c r="A5657">
        <f ca="1">34804.1212130734*((RANDBETWEEN(2979,3282)))</f>
        <v>111895249.70003107</v>
      </c>
      <c r="B5657">
        <v>154660839.18138185</v>
      </c>
    </row>
    <row r="5658" spans="1:2" x14ac:dyDescent="0.25">
      <c r="A5658">
        <f ca="1">31596.7515500029*((RANDBETWEEN(2979,3282)))</f>
        <v>94316303.376758769</v>
      </c>
      <c r="B5658">
        <v>150207430.7953788</v>
      </c>
    </row>
    <row r="5659" spans="1:2" x14ac:dyDescent="0.25">
      <c r="A5659">
        <f ca="1">31857.3219102122*((RANDBETWEEN(2979,3282)))</f>
        <v>100796566.52391145</v>
      </c>
      <c r="B5659">
        <v>171714562.03281564</v>
      </c>
    </row>
    <row r="5660" spans="1:2" x14ac:dyDescent="0.25">
      <c r="A5660">
        <f ca="1">32103.5722829042*((RANDBETWEEN(2979,3282)))</f>
        <v>98172724.041121036</v>
      </c>
      <c r="B5660">
        <v>187921823.4373382</v>
      </c>
    </row>
    <row r="5661" spans="1:2" x14ac:dyDescent="0.25">
      <c r="A5661">
        <f ca="1">32937.3533408484*((RANDBETWEEN(2979,3282)))</f>
        <v>107441646.59784752</v>
      </c>
      <c r="B5661">
        <v>149807119.3797105</v>
      </c>
    </row>
    <row r="5662" spans="1:2" x14ac:dyDescent="0.25">
      <c r="A5662">
        <f ca="1">34133.8670432449*((RANDBETWEEN(2979,3282)))</f>
        <v>101923726.9911292</v>
      </c>
      <c r="B5662">
        <v>179954406.1624102</v>
      </c>
    </row>
    <row r="5663" spans="1:2" x14ac:dyDescent="0.25">
      <c r="A5663">
        <f ca="1">30133.7462692597*((RANDBETWEEN(2979,3282)))</f>
        <v>94740498.270552412</v>
      </c>
      <c r="B5663">
        <v>180904880.60587832</v>
      </c>
    </row>
    <row r="5664" spans="1:2" x14ac:dyDescent="0.25">
      <c r="A5664">
        <f ca="1">38088.4832103257*((RANDBETWEEN(2979,3282)))</f>
        <v>117769590.08632693</v>
      </c>
      <c r="B5664">
        <v>190344624.6600261</v>
      </c>
    </row>
    <row r="5665" spans="1:2" x14ac:dyDescent="0.25">
      <c r="A5665">
        <f ca="1">31864.0426048667*((RANDBETWEEN(2979,3282)))</f>
        <v>95815176.112834051</v>
      </c>
      <c r="B5665">
        <v>182316467.74172071</v>
      </c>
    </row>
    <row r="5666" spans="1:2" x14ac:dyDescent="0.25">
      <c r="A5666">
        <f ca="1">32014.2516369687*((RANDBETWEEN(2979,3282)))</f>
        <v>99756408.100794464</v>
      </c>
      <c r="B5666">
        <v>171987744.65387097</v>
      </c>
    </row>
    <row r="5667" spans="1:2" x14ac:dyDescent="0.25">
      <c r="A5667">
        <f ca="1">30826.6301594807*((RANDBETWEEN(2979,3282)))</f>
        <v>98799349.661135644</v>
      </c>
      <c r="B5667">
        <v>183817598.68527144</v>
      </c>
    </row>
    <row r="5668" spans="1:2" x14ac:dyDescent="0.25">
      <c r="A5668">
        <f ca="1">31988.549548021*((RANDBETWEEN(2979,3282)))</f>
        <v>98460755.508808613</v>
      </c>
      <c r="B5668">
        <v>163896081.04527631</v>
      </c>
    </row>
    <row r="5669" spans="1:2" x14ac:dyDescent="0.25">
      <c r="A5669">
        <f ca="1">32178.0471130845*((RANDBETWEEN(2979,3282)))</f>
        <v>96662853.527705833</v>
      </c>
      <c r="B5669">
        <v>151705830.8248696</v>
      </c>
    </row>
    <row r="5670" spans="1:2" x14ac:dyDescent="0.25">
      <c r="A5670">
        <f ca="1">30545.8402008976*((RANDBETWEEN(2979,3282)))</f>
        <v>94753196.303184345</v>
      </c>
      <c r="B5670">
        <v>154077262.07970855</v>
      </c>
    </row>
    <row r="5671" spans="1:2" x14ac:dyDescent="0.25">
      <c r="A5671">
        <f ca="1">27669.1876182606*((RANDBETWEEN(2979,3282)))</f>
        <v>82952224.479545295</v>
      </c>
      <c r="B5671">
        <v>196082458.12283003</v>
      </c>
    </row>
    <row r="5672" spans="1:2" x14ac:dyDescent="0.25">
      <c r="A5672">
        <f ca="1">31316.3307279403*((RANDBETWEEN(2979,3282)))</f>
        <v>102404401.48036465</v>
      </c>
      <c r="B5672">
        <v>155892469.42581517</v>
      </c>
    </row>
    <row r="5673" spans="1:2" x14ac:dyDescent="0.25">
      <c r="A5673">
        <f ca="1">30830.8737381262*((RANDBETWEEN(2979,3282)))</f>
        <v>94743274.997261688</v>
      </c>
      <c r="B5673">
        <v>165186437.19863319</v>
      </c>
    </row>
    <row r="5674" spans="1:2" x14ac:dyDescent="0.25">
      <c r="A5674">
        <f ca="1">30886.3635904518*((RANDBETWEEN(2979,3282)))</f>
        <v>94944681.677048743</v>
      </c>
      <c r="B5674">
        <v>152169618.00126079</v>
      </c>
    </row>
    <row r="5675" spans="1:2" x14ac:dyDescent="0.25">
      <c r="A5675">
        <f ca="1">31119.349219178*((RANDBETWEEN(2979,3282)))</f>
        <v>98337143.5326024</v>
      </c>
      <c r="B5675">
        <v>162619080.8615492</v>
      </c>
    </row>
    <row r="5676" spans="1:2" x14ac:dyDescent="0.25">
      <c r="A5676">
        <f ca="1">30942.4423303741*((RANDBETWEEN(2979,3282)))</f>
        <v>92703557.221800789</v>
      </c>
      <c r="B5676">
        <v>156730097.60297632</v>
      </c>
    </row>
    <row r="5677" spans="1:2" x14ac:dyDescent="0.25">
      <c r="A5677">
        <f ca="1">37680.7665616111*((RANDBETWEEN(2979,3282)))</f>
        <v>120917579.89620991</v>
      </c>
      <c r="B5677">
        <v>181916015.22171417</v>
      </c>
    </row>
    <row r="5678" spans="1:2" x14ac:dyDescent="0.25">
      <c r="A5678">
        <f ca="1">39162.4096715904*((RANDBETWEEN(2979,3282)))</f>
        <v>124614787.57500057</v>
      </c>
      <c r="B5678">
        <v>157024094.03627387</v>
      </c>
    </row>
    <row r="5679" spans="1:2" x14ac:dyDescent="0.25">
      <c r="A5679">
        <f ca="1">35120.3487921485*((RANDBETWEEN(2979,3282)))</f>
        <v>105852731.25953558</v>
      </c>
      <c r="B5679">
        <v>181837648.81009436</v>
      </c>
    </row>
    <row r="5680" spans="1:2" x14ac:dyDescent="0.25">
      <c r="A5680">
        <f ca="1">29838.532397678*((RANDBETWEEN(2979,3282)))</f>
        <v>89903498.114203826</v>
      </c>
      <c r="B5680">
        <v>196793878.0850386</v>
      </c>
    </row>
    <row r="5681" spans="1:2" x14ac:dyDescent="0.25">
      <c r="A5681">
        <f ca="1">30924.7146556002*((RANDBETWEEN(2979,3282)))</f>
        <v>99701280.049655184</v>
      </c>
      <c r="B5681">
        <v>149987580.34599084</v>
      </c>
    </row>
    <row r="5682" spans="1:2" x14ac:dyDescent="0.25">
      <c r="A5682">
        <f ca="1">38416.3039348932*((RANDBETWEEN(2979,3282)))</f>
        <v>121894932.38541615</v>
      </c>
      <c r="B5682">
        <v>157800640.42992783</v>
      </c>
    </row>
    <row r="5683" spans="1:2" x14ac:dyDescent="0.25">
      <c r="A5683">
        <f ca="1">41253.6410499077*((RANDBETWEEN(2979,3282)))</f>
        <v>126153634.33061765</v>
      </c>
      <c r="B5683">
        <v>174944658.5421235</v>
      </c>
    </row>
    <row r="5684" spans="1:2" x14ac:dyDescent="0.25">
      <c r="A5684">
        <f ca="1">36902.1992404902*((RANDBETWEEN(2979,3282)))</f>
        <v>112293392.28881183</v>
      </c>
      <c r="B5684">
        <v>193436387.72228074</v>
      </c>
    </row>
    <row r="5685" spans="1:2" x14ac:dyDescent="0.25">
      <c r="A5685">
        <f ca="1">31429.9277129682*((RANDBETWEEN(2979,3282)))</f>
        <v>98752832.874146074</v>
      </c>
      <c r="B5685">
        <v>159067920.39039737</v>
      </c>
    </row>
    <row r="5686" spans="1:2" x14ac:dyDescent="0.25">
      <c r="A5686">
        <f ca="1">30476.8717165726*((RANDBETWEEN(2979,3282)))</f>
        <v>95148793.499139801</v>
      </c>
      <c r="B5686">
        <v>146218733.5791972</v>
      </c>
    </row>
    <row r="5687" spans="1:2" x14ac:dyDescent="0.25">
      <c r="A5687">
        <f ca="1">31266.4370781398*((RANDBETWEEN(2979,3282)))</f>
        <v>102272515.68259531</v>
      </c>
      <c r="B5687">
        <v>173154251.68383896</v>
      </c>
    </row>
    <row r="5688" spans="1:2" x14ac:dyDescent="0.25">
      <c r="A5688">
        <f ca="1">29369.497815102*((RANDBETWEEN(2979,3282)))</f>
        <v>89195164.864464626</v>
      </c>
      <c r="B5688">
        <v>157592588.4048894</v>
      </c>
    </row>
    <row r="5689" spans="1:2" x14ac:dyDescent="0.25">
      <c r="A5689">
        <f ca="1">31791.4755994247*((RANDBETWEEN(2979,3282)))</f>
        <v>97599830.090233967</v>
      </c>
      <c r="B5689">
        <v>201445353.13252071</v>
      </c>
    </row>
    <row r="5690" spans="1:2" x14ac:dyDescent="0.25">
      <c r="A5690">
        <f ca="1">35663.4675412502*((RANDBETWEEN(2979,3282)))</f>
        <v>109914806.96213324</v>
      </c>
      <c r="B5690">
        <v>168453459.17598769</v>
      </c>
    </row>
    <row r="5691" spans="1:2" x14ac:dyDescent="0.25">
      <c r="A5691">
        <f ca="1">33397.98429023*((RANDBETWEEN(2979,3282)))</f>
        <v>108844030.80185966</v>
      </c>
      <c r="B5691">
        <v>199484394.58571839</v>
      </c>
    </row>
    <row r="5692" spans="1:2" x14ac:dyDescent="0.25">
      <c r="A5692">
        <f ca="1">26988.8164148881*((RANDBETWEEN(2979,3282)))</f>
        <v>81425259.123717278</v>
      </c>
      <c r="B5692">
        <v>163924299.52492398</v>
      </c>
    </row>
    <row r="5693" spans="1:2" x14ac:dyDescent="0.25">
      <c r="A5693">
        <f ca="1">32231.0130455883*((RANDBETWEEN(2979,3282)))</f>
        <v>100657453.7413722</v>
      </c>
      <c r="B5693">
        <v>199029087.99626809</v>
      </c>
    </row>
    <row r="5694" spans="1:2" x14ac:dyDescent="0.25">
      <c r="A5694">
        <f ca="1">32501.2872557398*((RANDBETWEEN(2979,3282)))</f>
        <v>97406357.905452296</v>
      </c>
      <c r="B5694">
        <v>155075291.82620186</v>
      </c>
    </row>
    <row r="5695" spans="1:2" x14ac:dyDescent="0.25">
      <c r="A5695">
        <f ca="1">30858.8163189231*((RANDBETWEEN(2979,3282)))</f>
        <v>100322011.85281894</v>
      </c>
      <c r="B5695">
        <v>144954372.04805705</v>
      </c>
    </row>
    <row r="5696" spans="1:2" x14ac:dyDescent="0.25">
      <c r="A5696">
        <f ca="1">41130.9172308934*((RANDBETWEEN(2979,3282)))</f>
        <v>131824589.72501338</v>
      </c>
      <c r="B5696">
        <v>176778059.12885693</v>
      </c>
    </row>
    <row r="5697" spans="1:2" x14ac:dyDescent="0.25">
      <c r="A5697">
        <f ca="1">31528.0489713378*((RANDBETWEEN(2979,3282)))</f>
        <v>97642367.664233163</v>
      </c>
      <c r="B5697">
        <v>191812838.32791543</v>
      </c>
    </row>
    <row r="5698" spans="1:2" x14ac:dyDescent="0.25">
      <c r="A5698">
        <f ca="1">34750.1586388192*((RANDBETWEEN(2979,3282)))</f>
        <v>112868515.25888462</v>
      </c>
      <c r="B5698">
        <v>151549108.14748147</v>
      </c>
    </row>
    <row r="5699" spans="1:2" x14ac:dyDescent="0.25">
      <c r="A5699">
        <f ca="1">27597.7161506069*((RANDBETWEEN(2979,3282)))</f>
        <v>89085427.734158963</v>
      </c>
      <c r="B5699">
        <v>201021664.01309359</v>
      </c>
    </row>
    <row r="5700" spans="1:2" x14ac:dyDescent="0.25">
      <c r="A5700">
        <f ca="1">32338.0270778219*((RANDBETWEEN(2979,3282)))</f>
        <v>97563827.693788573</v>
      </c>
      <c r="B5700">
        <v>175450554.63033852</v>
      </c>
    </row>
    <row r="5701" spans="1:2" x14ac:dyDescent="0.25">
      <c r="A5701">
        <f ca="1">32739.2161507217*((RANDBETWEEN(2979,3282)))</f>
        <v>103652358.33318487</v>
      </c>
      <c r="B5701">
        <v>171336115.87700772</v>
      </c>
    </row>
    <row r="5702" spans="1:2" x14ac:dyDescent="0.25">
      <c r="A5702">
        <f ca="1">30001.8634466922*((RANDBETWEEN(2979,3282)))</f>
        <v>92915771.094405681</v>
      </c>
      <c r="B5702">
        <v>165646248.35937074</v>
      </c>
    </row>
    <row r="5703" spans="1:2" x14ac:dyDescent="0.25">
      <c r="A5703">
        <f ca="1">34694.4370534956*((RANDBETWEEN(2979,3282)))</f>
        <v>107413977.11762249</v>
      </c>
      <c r="B5703">
        <v>154623022.71275884</v>
      </c>
    </row>
    <row r="5704" spans="1:2" x14ac:dyDescent="0.25">
      <c r="A5704">
        <f ca="1">30132.6740633336*((RANDBETWEEN(2979,3282)))</f>
        <v>93230493.551954091</v>
      </c>
      <c r="B5704">
        <v>189484142.323129</v>
      </c>
    </row>
    <row r="5705" spans="1:2" x14ac:dyDescent="0.25">
      <c r="A5705">
        <f ca="1">31612.9300391322*((RANDBETWEEN(2979,3282)))</f>
        <v>102520732.1169056</v>
      </c>
      <c r="B5705">
        <v>145036934.82556495</v>
      </c>
    </row>
    <row r="5706" spans="1:2" x14ac:dyDescent="0.25">
      <c r="A5706">
        <f ca="1">32571.3038508627*((RANDBETWEEN(2979,3282)))</f>
        <v>103283604.51108576</v>
      </c>
      <c r="B5706">
        <v>197369555.04182509</v>
      </c>
    </row>
    <row r="5707" spans="1:2" x14ac:dyDescent="0.25">
      <c r="A5707">
        <f ca="1">31629.4949522051*((RANDBETWEEN(2979,3282)))</f>
        <v>101783714.75619593</v>
      </c>
      <c r="B5707">
        <v>155682368.76316756</v>
      </c>
    </row>
    <row r="5708" spans="1:2" x14ac:dyDescent="0.25">
      <c r="A5708">
        <f ca="1">32989.0217529428*((RANDBETWEEN(2979,3282)))</f>
        <v>101045373.62926368</v>
      </c>
      <c r="B5708">
        <v>192365609.2312547</v>
      </c>
    </row>
    <row r="5709" spans="1:2" x14ac:dyDescent="0.25">
      <c r="A5709">
        <f ca="1">29215.9231202398*((RANDBETWEEN(2979,3282)))</f>
        <v>88816406.285529107</v>
      </c>
      <c r="B5709">
        <v>197082958.9045282</v>
      </c>
    </row>
    <row r="5710" spans="1:2" x14ac:dyDescent="0.25">
      <c r="A5710">
        <f ca="1">40623.6349002569*((RANDBETWEEN(2979,3282)))</f>
        <v>129995631.68082237</v>
      </c>
      <c r="B5710">
        <v>156791144.47816503</v>
      </c>
    </row>
    <row r="5711" spans="1:2" x14ac:dyDescent="0.25">
      <c r="A5711">
        <f ca="1">29741.2274305539*((RANDBETWEEN(2979,3282)))</f>
        <v>89253423.519092113</v>
      </c>
      <c r="B5711">
        <v>193169129.09790152</v>
      </c>
    </row>
    <row r="5712" spans="1:2" x14ac:dyDescent="0.25">
      <c r="A5712">
        <f ca="1">37513.5967266756*((RANDBETWEEN(2979,3282)))</f>
        <v>114491497.20981401</v>
      </c>
      <c r="B5712">
        <v>158939518.69526225</v>
      </c>
    </row>
    <row r="5713" spans="1:2" x14ac:dyDescent="0.25">
      <c r="A5713">
        <f ca="1">37235.8405639412*((RANDBETWEEN(2979,3282)))</f>
        <v>119787699.09419894</v>
      </c>
      <c r="B5713">
        <v>149424241.2958748</v>
      </c>
    </row>
    <row r="5714" spans="1:2" x14ac:dyDescent="0.25">
      <c r="A5714">
        <f ca="1">29644.6306398505*((RANDBETWEEN(2979,3282)))</f>
        <v>97175099.237430066</v>
      </c>
      <c r="B5714">
        <v>164884460.90880489</v>
      </c>
    </row>
    <row r="5715" spans="1:2" x14ac:dyDescent="0.25">
      <c r="A5715">
        <f ca="1">31330.7852641265*((RANDBETWEEN(2979,3282)))</f>
        <v>93710378.725002259</v>
      </c>
      <c r="B5715">
        <v>156734611.83825898</v>
      </c>
    </row>
    <row r="5716" spans="1:2" x14ac:dyDescent="0.25">
      <c r="A5716">
        <f ca="1">40052.2509366814*((RANDBETWEEN(2979,3282)))</f>
        <v>119796282.55161406</v>
      </c>
      <c r="B5716">
        <v>144058193.0392707</v>
      </c>
    </row>
    <row r="5717" spans="1:2" x14ac:dyDescent="0.25">
      <c r="A5717">
        <f ca="1">29329.0224000653*((RANDBETWEEN(2979,3282)))</f>
        <v>93618239.501008376</v>
      </c>
      <c r="B5717">
        <v>194500175.52041414</v>
      </c>
    </row>
    <row r="5718" spans="1:2" x14ac:dyDescent="0.25">
      <c r="A5718">
        <f ca="1">38360.9618994089*((RANDBETWEEN(2979,3282)))</f>
        <v>125478706.37296666</v>
      </c>
      <c r="B5718">
        <v>150918896.68883678</v>
      </c>
    </row>
    <row r="5719" spans="1:2" x14ac:dyDescent="0.25">
      <c r="A5719">
        <f ca="1">28480.3401022395*((RANDBETWEEN(2979,3282)))</f>
        <v>89997874.723076969</v>
      </c>
      <c r="B5719">
        <v>156727930.50455448</v>
      </c>
    </row>
    <row r="5720" spans="1:2" x14ac:dyDescent="0.25">
      <c r="A5720">
        <f ca="1">38053.4836632381*((RANDBETWEEN(2979,3282)))</f>
        <v>119145457.34959839</v>
      </c>
      <c r="B5720">
        <v>193737108.13504815</v>
      </c>
    </row>
    <row r="5721" spans="1:2" x14ac:dyDescent="0.25">
      <c r="A5721">
        <f ca="1">42158.0454377756*((RANDBETWEEN(2979,3282)))</f>
        <v>137224437.8999595</v>
      </c>
      <c r="B5721">
        <v>167894922.31196427</v>
      </c>
    </row>
    <row r="5722" spans="1:2" x14ac:dyDescent="0.25">
      <c r="A5722">
        <f ca="1">31744.8284870881*((RANDBETWEEN(2979,3282)))</f>
        <v>97170919.998976693</v>
      </c>
      <c r="B5722">
        <v>181695051.57710916</v>
      </c>
    </row>
    <row r="5723" spans="1:2" x14ac:dyDescent="0.25">
      <c r="A5723">
        <f ca="1">31110.4386514787*((RANDBETWEEN(2979,3282)))</f>
        <v>101077815.17865418</v>
      </c>
      <c r="B5723">
        <v>162519240.07538795</v>
      </c>
    </row>
    <row r="5724" spans="1:2" x14ac:dyDescent="0.25">
      <c r="A5724">
        <f ca="1">33929.3225450821*((RANDBETWEEN(2979,3282)))</f>
        <v>102025472.893062</v>
      </c>
      <c r="B5724">
        <v>153785731.56634015</v>
      </c>
    </row>
    <row r="5725" spans="1:2" x14ac:dyDescent="0.25">
      <c r="A5725">
        <f ca="1">30533.1975920071*((RANDBETWEEN(2979,3282)))</f>
        <v>94591846.140037939</v>
      </c>
      <c r="B5725">
        <v>149612267.02071434</v>
      </c>
    </row>
    <row r="5726" spans="1:2" x14ac:dyDescent="0.25">
      <c r="A5726">
        <f ca="1">29792.6133548571*((RANDBETWEEN(2979,3282)))</f>
        <v>93787146.841090053</v>
      </c>
      <c r="B5726">
        <v>188907422.32075277</v>
      </c>
    </row>
    <row r="5727" spans="1:2" x14ac:dyDescent="0.25">
      <c r="A5727">
        <f ca="1">33003.5368201605*((RANDBETWEEN(2979,3282)))</f>
        <v>106700434.53957883</v>
      </c>
      <c r="B5727">
        <v>167360409.21288002</v>
      </c>
    </row>
    <row r="5728" spans="1:2" x14ac:dyDescent="0.25">
      <c r="A5728">
        <f ca="1">30152.6292817236*((RANDBETWEEN(2979,3282)))</f>
        <v>97483450.467812285</v>
      </c>
      <c r="B5728">
        <v>202455005.01796919</v>
      </c>
    </row>
    <row r="5729" spans="1:2" x14ac:dyDescent="0.25">
      <c r="A5729">
        <f ca="1">31735.4240922788*((RANDBETWEEN(2979,3282)))</f>
        <v>102156330.15304546</v>
      </c>
      <c r="B5729">
        <v>173134873.85360765</v>
      </c>
    </row>
    <row r="5730" spans="1:2" x14ac:dyDescent="0.25">
      <c r="A5730">
        <f ca="1">29015.7874514031*((RANDBETWEEN(2979,3282)))</f>
        <v>87917835.977751285</v>
      </c>
      <c r="B5730">
        <v>154316258.42313275</v>
      </c>
    </row>
    <row r="5731" spans="1:2" x14ac:dyDescent="0.25">
      <c r="A5731">
        <f ca="1">28261.3085034868*((RANDBETWEEN(2979,3282)))</f>
        <v>92047081.795856491</v>
      </c>
      <c r="B5731">
        <v>150039774.9767693</v>
      </c>
    </row>
    <row r="5732" spans="1:2" x14ac:dyDescent="0.25">
      <c r="A5732">
        <f ca="1">31689.1752155419*((RANDBETWEEN(2979,3282)))</f>
        <v>100486374.60848334</v>
      </c>
      <c r="B5732">
        <v>201999799.6844959</v>
      </c>
    </row>
    <row r="5733" spans="1:2" x14ac:dyDescent="0.25">
      <c r="A5733">
        <f ca="1">29767.0863056488*((RANDBETWEEN(2979,3282)))</f>
        <v>89092889.312806919</v>
      </c>
      <c r="B5733">
        <v>188712207.18146569</v>
      </c>
    </row>
    <row r="5734" spans="1:2" x14ac:dyDescent="0.25">
      <c r="A5734">
        <f ca="1">31564.6086239227*((RANDBETWEEN(2979,3282)))</f>
        <v>94883213.523511633</v>
      </c>
      <c r="B5734">
        <v>189430344.03580433</v>
      </c>
    </row>
    <row r="5735" spans="1:2" x14ac:dyDescent="0.25">
      <c r="A5735">
        <f ca="1">31912.0385641511*((RANDBETWEEN(2979,3282)))</f>
        <v>96884949.080762684</v>
      </c>
      <c r="B5735">
        <v>144282342.19080108</v>
      </c>
    </row>
    <row r="5736" spans="1:2" x14ac:dyDescent="0.25">
      <c r="A5736">
        <f ca="1">36809.5867347437*((RANDBETWEEN(2979,3282)))</f>
        <v>110023854.75014892</v>
      </c>
      <c r="B5736">
        <v>156088327.73463616</v>
      </c>
    </row>
    <row r="5737" spans="1:2" x14ac:dyDescent="0.25">
      <c r="A5737">
        <f ca="1">33880.8466330544*((RANDBETWEEN(2979,3282)))</f>
        <v>106216454.19462568</v>
      </c>
      <c r="B5737">
        <v>190588338.93873242</v>
      </c>
    </row>
    <row r="5738" spans="1:2" x14ac:dyDescent="0.25">
      <c r="A5738">
        <f ca="1">36053.8835478163*((RANDBETWEEN(2979,3282)))</f>
        <v>110144614.23857878</v>
      </c>
      <c r="B5738">
        <v>185802486.60177183</v>
      </c>
    </row>
    <row r="5739" spans="1:2" x14ac:dyDescent="0.25">
      <c r="A5739">
        <f ca="1">35242.6400049803*((RANDBETWEEN(2979,3282)))</f>
        <v>113516543.45604163</v>
      </c>
      <c r="B5739">
        <v>190937177.39771128</v>
      </c>
    </row>
    <row r="5740" spans="1:2" x14ac:dyDescent="0.25">
      <c r="A5740">
        <f ca="1">30726.9030324289*((RANDBETWEEN(2979,3282)))</f>
        <v>99032808.473518386</v>
      </c>
      <c r="B5740">
        <v>171433842.19002736</v>
      </c>
    </row>
    <row r="5741" spans="1:2" x14ac:dyDescent="0.25">
      <c r="A5741">
        <f ca="1">32532.276423731*((RANDBETWEEN(2979,3282)))</f>
        <v>102997187.15753233</v>
      </c>
      <c r="B5741">
        <v>164401448.55669996</v>
      </c>
    </row>
    <row r="5742" spans="1:2" x14ac:dyDescent="0.25">
      <c r="A5742">
        <f ca="1">32153.9518435025*((RANDBETWEEN(2979,3282)))</f>
        <v>102860491.94736457</v>
      </c>
      <c r="B5742">
        <v>172069318.3826251</v>
      </c>
    </row>
    <row r="5743" spans="1:2" x14ac:dyDescent="0.25">
      <c r="A5743">
        <f ca="1">37592.6523847008*((RANDBETWEEN(2979,3282)))</f>
        <v>117627409.31172885</v>
      </c>
      <c r="B5743">
        <v>201675890.80710393</v>
      </c>
    </row>
    <row r="5744" spans="1:2" x14ac:dyDescent="0.25">
      <c r="A5744">
        <f ca="1">30951.6601139535*((RANDBETWEEN(2979,3282)))</f>
        <v>95857291.372914061</v>
      </c>
      <c r="B5744">
        <v>201367623.73904926</v>
      </c>
    </row>
    <row r="5745" spans="1:2" x14ac:dyDescent="0.25">
      <c r="A5745">
        <f ca="1">31662.0813253679*((RANDBETWEEN(2979,3282)))</f>
        <v>100400459.88274162</v>
      </c>
      <c r="B5745">
        <v>148409273.74386844</v>
      </c>
    </row>
    <row r="5746" spans="1:2" x14ac:dyDescent="0.25">
      <c r="A5746">
        <f ca="1">33338.2988753908*((RANDBETWEEN(2979,3282)))</f>
        <v>103682109.50246543</v>
      </c>
      <c r="B5746">
        <v>192023013.00099355</v>
      </c>
    </row>
    <row r="5747" spans="1:2" x14ac:dyDescent="0.25">
      <c r="A5747">
        <f ca="1">31193.837162251*((RANDBETWEEN(2979,3282)))</f>
        <v>93643899.161077484</v>
      </c>
      <c r="B5747">
        <v>184343368.02125165</v>
      </c>
    </row>
    <row r="5748" spans="1:2" x14ac:dyDescent="0.25">
      <c r="A5748">
        <f ca="1">31773.6232091476*((RANDBETWEEN(2979,3282)))</f>
        <v>98244042.962684348</v>
      </c>
      <c r="B5748">
        <v>168566161.48650891</v>
      </c>
    </row>
    <row r="5749" spans="1:2" x14ac:dyDescent="0.25">
      <c r="A5749">
        <f ca="1">36142.9677035781*((RANDBETWEEN(2979,3282)))</f>
        <v>113886491.23397465</v>
      </c>
      <c r="B5749">
        <v>157519971.32963338</v>
      </c>
    </row>
    <row r="5750" spans="1:2" x14ac:dyDescent="0.25">
      <c r="A5750">
        <f ca="1">30971.9674701273*((RANDBETWEEN(2979,3282)))</f>
        <v>93752145.53207539</v>
      </c>
      <c r="B5750">
        <v>153133193.44209158</v>
      </c>
    </row>
    <row r="5751" spans="1:2" x14ac:dyDescent="0.25">
      <c r="A5751">
        <f ca="1">31933.5930788645*((RANDBETWEEN(2979,3282)))</f>
        <v>98419333.869060531</v>
      </c>
      <c r="B5751">
        <v>158821595.62779287</v>
      </c>
    </row>
    <row r="5752" spans="1:2" x14ac:dyDescent="0.25">
      <c r="A5752">
        <f ca="1">34094.3469389226*((RANDBETWEEN(2979,3282)))</f>
        <v>103169493.8371799</v>
      </c>
      <c r="B5752">
        <v>163663053.95137036</v>
      </c>
    </row>
    <row r="5753" spans="1:2" x14ac:dyDescent="0.25">
      <c r="A5753">
        <f ca="1">30169.6255191678*((RANDBETWEEN(2979,3282)))</f>
        <v>97568568.928988636</v>
      </c>
      <c r="B5753">
        <v>166379291.96331817</v>
      </c>
    </row>
    <row r="5754" spans="1:2" x14ac:dyDescent="0.25">
      <c r="A5754">
        <f ca="1">31248.4667386263*((RANDBETWEEN(2979,3282)))</f>
        <v>94932841.951946586</v>
      </c>
      <c r="B5754">
        <v>151417702.77014256</v>
      </c>
    </row>
    <row r="5755" spans="1:2" x14ac:dyDescent="0.25">
      <c r="A5755">
        <f ca="1">33298.189570375*((RANDBETWEEN(2979,3282)))</f>
        <v>102158845.6019104</v>
      </c>
      <c r="B5755">
        <v>187284392.22938547</v>
      </c>
    </row>
    <row r="5756" spans="1:2" x14ac:dyDescent="0.25">
      <c r="A5756">
        <f ca="1">30546.4404914335*((RANDBETWEEN(2979,3282)))</f>
        <v>97198773.643741265</v>
      </c>
      <c r="B5756">
        <v>203032172.20796543</v>
      </c>
    </row>
    <row r="5757" spans="1:2" x14ac:dyDescent="0.25">
      <c r="A5757">
        <f ca="1">33408.6253140126*((RANDBETWEEN(2979,3282)))</f>
        <v>106339654.37450208</v>
      </c>
      <c r="B5757">
        <v>185960418.30200997</v>
      </c>
    </row>
    <row r="5758" spans="1:2" x14ac:dyDescent="0.25">
      <c r="A5758">
        <f ca="1">31633.3026241779*((RANDBETWEEN(2979,3282)))</f>
        <v>99550003.358287737</v>
      </c>
      <c r="B5758">
        <v>163906526.83396465</v>
      </c>
    </row>
    <row r="5759" spans="1:2" x14ac:dyDescent="0.25">
      <c r="A5759">
        <f ca="1">35094.3782408963*((RANDBETWEEN(2979,3282)))</f>
        <v>112933709.17920458</v>
      </c>
      <c r="B5759">
        <v>181629089.23029268</v>
      </c>
    </row>
    <row r="5760" spans="1:2" x14ac:dyDescent="0.25">
      <c r="A5760">
        <f ca="1">37021.2154474961*((RANDBETWEEN(2979,3282)))</f>
        <v>115395128.54984546</v>
      </c>
      <c r="B5760">
        <v>185483681.88217473</v>
      </c>
    </row>
    <row r="5761" spans="1:2" x14ac:dyDescent="0.25">
      <c r="A5761">
        <f ca="1">35229.2440534796*((RANDBETWEEN(2979,3282)))</f>
        <v>110972118.76846066</v>
      </c>
      <c r="B5761">
        <v>167420018.63389844</v>
      </c>
    </row>
    <row r="5762" spans="1:2" x14ac:dyDescent="0.25">
      <c r="A5762">
        <f ca="1">33148.2832922673*((RANDBETWEEN(2979,3282)))</f>
        <v>104649130.35368775</v>
      </c>
      <c r="B5762">
        <v>179177533.76726282</v>
      </c>
    </row>
    <row r="5763" spans="1:2" x14ac:dyDescent="0.25">
      <c r="A5763">
        <f ca="1">32181.2895515096*((RANDBETWEEN(2979,3282)))</f>
        <v>102819220.1170733</v>
      </c>
      <c r="B5763">
        <v>200170670.05398449</v>
      </c>
    </row>
    <row r="5764" spans="1:2" x14ac:dyDescent="0.25">
      <c r="A5764">
        <f ca="1">32480.6018507863*((RANDBETWEEN(2979,3282)))</f>
        <v>106309009.85762362</v>
      </c>
      <c r="B5764">
        <v>152149298.56567943</v>
      </c>
    </row>
    <row r="5765" spans="1:2" x14ac:dyDescent="0.25">
      <c r="A5765">
        <f ca="1">30348.2966012793*((RANDBETWEEN(2979,3282)))</f>
        <v>98844402.030366674</v>
      </c>
      <c r="B5765">
        <v>143943246.56984341</v>
      </c>
    </row>
    <row r="5766" spans="1:2" x14ac:dyDescent="0.25">
      <c r="A5766">
        <f ca="1">30294.2434179144*((RANDBETWEEN(2979,3282)))</f>
        <v>97547463.805684283</v>
      </c>
      <c r="B5766">
        <v>167406455.87497678</v>
      </c>
    </row>
    <row r="5767" spans="1:2" x14ac:dyDescent="0.25">
      <c r="A5767">
        <f ca="1">39972.9403280327*((RANDBETWEEN(2979,3282)))</f>
        <v>119678983.34212998</v>
      </c>
      <c r="B5767">
        <v>145807002.6954256</v>
      </c>
    </row>
    <row r="5768" spans="1:2" x14ac:dyDescent="0.25">
      <c r="A5768">
        <f ca="1">31361.1323799833*((RANDBETWEEN(2979,3282)))</f>
        <v>97094065.848428249</v>
      </c>
      <c r="B5768">
        <v>149299020.41233671</v>
      </c>
    </row>
    <row r="5769" spans="1:2" x14ac:dyDescent="0.25">
      <c r="A5769">
        <f ca="1">32108.9119029334*((RANDBETWEEN(2979,3282)))</f>
        <v>99377082.339578956</v>
      </c>
      <c r="B5769">
        <v>189713862.31941876</v>
      </c>
    </row>
    <row r="5770" spans="1:2" x14ac:dyDescent="0.25">
      <c r="A5770">
        <f ca="1">34164.3393104254*((RANDBETWEEN(2979,3282)))</f>
        <v>108950078.06094663</v>
      </c>
      <c r="B5770">
        <v>146687738.50074366</v>
      </c>
    </row>
    <row r="5771" spans="1:2" x14ac:dyDescent="0.25">
      <c r="A5771">
        <f ca="1">38212.9692366087*((RANDBETWEEN(2979,3282)))</f>
        <v>125185687.2191302</v>
      </c>
      <c r="B5771">
        <v>203303759.20618597</v>
      </c>
    </row>
    <row r="5772" spans="1:2" x14ac:dyDescent="0.25">
      <c r="A5772">
        <f ca="1">28632.9417634653*((RANDBETWEEN(2979,3282)))</f>
        <v>91969008.944250643</v>
      </c>
      <c r="B5772">
        <v>142924549.82325229</v>
      </c>
    </row>
    <row r="5773" spans="1:2" x14ac:dyDescent="0.25">
      <c r="A5773">
        <f ca="1">40645.6159716439*((RANDBETWEEN(2979,3282)))</f>
        <v>129659514.94954409</v>
      </c>
      <c r="B5773">
        <v>152375069.93691874</v>
      </c>
    </row>
    <row r="5774" spans="1:2" x14ac:dyDescent="0.25">
      <c r="A5774">
        <f ca="1">40785.6890408472*((RANDBETWEEN(2979,3282)))</f>
        <v>130595776.30879289</v>
      </c>
      <c r="B5774">
        <v>162746254.73710877</v>
      </c>
    </row>
    <row r="5775" spans="1:2" x14ac:dyDescent="0.25">
      <c r="A5775">
        <f ca="1">29330.4387411666*((RANDBETWEEN(2979,3282)))</f>
        <v>90191099.129087299</v>
      </c>
      <c r="B5775">
        <v>172939007.34477004</v>
      </c>
    </row>
    <row r="5776" spans="1:2" x14ac:dyDescent="0.25">
      <c r="A5776">
        <f ca="1">30423.4686133758*((RANDBETWEEN(2979,3282)))</f>
        <v>99180507.679605186</v>
      </c>
      <c r="B5776">
        <v>152036420.06763223</v>
      </c>
    </row>
    <row r="5777" spans="1:2" x14ac:dyDescent="0.25">
      <c r="A5777">
        <f ca="1">30108.0142607691*((RANDBETWEEN(2979,3282)))</f>
        <v>95713377.334985018</v>
      </c>
      <c r="B5777">
        <v>144625964.82371923</v>
      </c>
    </row>
    <row r="5778" spans="1:2" x14ac:dyDescent="0.25">
      <c r="A5778">
        <f ca="1">36371.2639659331*((RANDBETWEEN(2979,3282)))</f>
        <v>111587037.8474828</v>
      </c>
      <c r="B5778">
        <v>176503573.95330602</v>
      </c>
    </row>
    <row r="5779" spans="1:2" x14ac:dyDescent="0.25">
      <c r="A5779">
        <f ca="1">35516.8773068917*((RANDBETWEEN(2979,3282)))</f>
        <v>110564039.05635393</v>
      </c>
      <c r="B5779">
        <v>153713693.7151556</v>
      </c>
    </row>
    <row r="5780" spans="1:2" x14ac:dyDescent="0.25">
      <c r="A5780">
        <f ca="1">32552.7567765865*((RANDBETWEEN(2979,3282)))</f>
        <v>105601142.98324667</v>
      </c>
      <c r="B5780">
        <v>177471396.19631034</v>
      </c>
    </row>
    <row r="5781" spans="1:2" x14ac:dyDescent="0.25">
      <c r="A5781">
        <f ca="1">29853.1197538189*((RANDBETWEEN(2979,3282)))</f>
        <v>91350546.44668591</v>
      </c>
      <c r="B5781">
        <v>176008179.16824535</v>
      </c>
    </row>
    <row r="5782" spans="1:2" x14ac:dyDescent="0.25">
      <c r="A5782">
        <f ca="1">30787.2697532296*((RANDBETWEEN(2979,3282)))</f>
        <v>100366499.39552845</v>
      </c>
      <c r="B5782">
        <v>144435727.91177523</v>
      </c>
    </row>
    <row r="5783" spans="1:2" x14ac:dyDescent="0.25">
      <c r="A5783">
        <f ca="1">38786.0910023994*((RANDBETWEEN(2979,3282)))</f>
        <v>126209940.12180756</v>
      </c>
      <c r="B5783">
        <v>145943762.27158511</v>
      </c>
    </row>
    <row r="5784" spans="1:2" x14ac:dyDescent="0.25">
      <c r="A5784">
        <f ca="1">33684.9693049638*((RANDBETWEEN(2979,3282)))</f>
        <v>103749705.45928851</v>
      </c>
      <c r="B5784">
        <v>155303885.62366933</v>
      </c>
    </row>
    <row r="5785" spans="1:2" x14ac:dyDescent="0.25">
      <c r="A5785">
        <f ca="1">31130.5536869709*((RANDBETWEEN(2979,3282)))</f>
        <v>98808377.402445674</v>
      </c>
      <c r="B5785">
        <v>164200528.87918171</v>
      </c>
    </row>
    <row r="5786" spans="1:2" x14ac:dyDescent="0.25">
      <c r="A5786">
        <f ca="1">30150.4265576979*((RANDBETWEEN(2979,3282)))</f>
        <v>91687447.161959469</v>
      </c>
      <c r="B5786">
        <v>199328929.68124214</v>
      </c>
    </row>
    <row r="5787" spans="1:2" x14ac:dyDescent="0.25">
      <c r="A5787">
        <f ca="1">33417.4106384198*((RANDBETWEEN(2979,3282)))</f>
        <v>101756015.39398815</v>
      </c>
      <c r="B5787">
        <v>189999313.01704764</v>
      </c>
    </row>
    <row r="5788" spans="1:2" x14ac:dyDescent="0.25">
      <c r="A5788">
        <f ca="1">39290.7746367742*((RANDBETWEEN(2979,3282)))</f>
        <v>125337571.09130977</v>
      </c>
      <c r="B5788">
        <v>163757838.05872267</v>
      </c>
    </row>
    <row r="5789" spans="1:2" x14ac:dyDescent="0.25">
      <c r="A5789">
        <f ca="1">32757.3193407219*((RANDBETWEEN(2979,3282)))</f>
        <v>101645961.91425991</v>
      </c>
      <c r="B5789">
        <v>191689005.43113235</v>
      </c>
    </row>
    <row r="5790" spans="1:2" x14ac:dyDescent="0.25">
      <c r="A5790">
        <f ca="1">31285.4996077653*((RANDBETWEEN(2979,3282)))</f>
        <v>93418501.828787282</v>
      </c>
      <c r="B5790">
        <v>147990024.1594319</v>
      </c>
    </row>
    <row r="5791" spans="1:2" x14ac:dyDescent="0.25">
      <c r="A5791">
        <f ca="1">35492.8557459523*((RANDBETWEEN(2979,3282)))</f>
        <v>113790095.52152316</v>
      </c>
      <c r="B5791">
        <v>195464769.71853811</v>
      </c>
    </row>
    <row r="5792" spans="1:2" x14ac:dyDescent="0.25">
      <c r="A5792">
        <f ca="1">30458.7746632734*((RANDBETWEEN(2979,3282)))</f>
        <v>96036516.513300911</v>
      </c>
      <c r="B5792">
        <v>168767077.28435394</v>
      </c>
    </row>
    <row r="5793" spans="1:2" x14ac:dyDescent="0.25">
      <c r="A5793">
        <f ca="1">31324.9070886985*((RANDBETWEEN(2979,3282)))</f>
        <v>102557745.80839884</v>
      </c>
      <c r="B5793">
        <v>176686262.7605134</v>
      </c>
    </row>
    <row r="5794" spans="1:2" x14ac:dyDescent="0.25">
      <c r="A5794">
        <f ca="1">31612.7309676594*((RANDBETWEEN(2979,3282)))</f>
        <v>99611715.279094651</v>
      </c>
      <c r="B5794">
        <v>160395745.33994123</v>
      </c>
    </row>
    <row r="5795" spans="1:2" x14ac:dyDescent="0.25">
      <c r="A5795">
        <f ca="1">36133.3070106736*((RANDBETWEEN(2979,3282)))</f>
        <v>110314986.30358645</v>
      </c>
      <c r="B5795">
        <v>195032783.29859218</v>
      </c>
    </row>
    <row r="5796" spans="1:2" x14ac:dyDescent="0.25">
      <c r="A5796">
        <f ca="1">31606.6131892487*((RANDBETWEEN(2979,3282)))</f>
        <v>95926071.029369831</v>
      </c>
      <c r="B5796">
        <v>156463301.65734166</v>
      </c>
    </row>
    <row r="5797" spans="1:2" x14ac:dyDescent="0.25">
      <c r="A5797">
        <f ca="1">30748.1600117695*((RANDBETWEEN(2979,3282)))</f>
        <v>91752509.475120232</v>
      </c>
      <c r="B5797">
        <v>179999943.60114765</v>
      </c>
    </row>
    <row r="5798" spans="1:2" x14ac:dyDescent="0.25">
      <c r="A5798">
        <f ca="1">32131.8497809657*((RANDBETWEEN(2979,3282)))</f>
        <v>96845395.239830628</v>
      </c>
      <c r="B5798">
        <v>185577469.45564556</v>
      </c>
    </row>
    <row r="5799" spans="1:2" x14ac:dyDescent="0.25">
      <c r="A5799">
        <f ca="1">32539.4538708949*((RANDBETWEEN(2979,3282)))</f>
        <v>104126252.38686378</v>
      </c>
      <c r="B5799">
        <v>158416391.41576198</v>
      </c>
    </row>
    <row r="5800" spans="1:2" x14ac:dyDescent="0.25">
      <c r="A5800">
        <f ca="1">31506.871036608*((RANDBETWEEN(2979,3282)))</f>
        <v>95245271.143666029</v>
      </c>
      <c r="B5800">
        <v>174676177.00147617</v>
      </c>
    </row>
    <row r="5801" spans="1:2" x14ac:dyDescent="0.25">
      <c r="A5801">
        <f ca="1">33455.5917268928*((RANDBETWEEN(2979,3282)))</f>
        <v>108964862.25449</v>
      </c>
      <c r="B5801">
        <v>152689333.53814548</v>
      </c>
    </row>
    <row r="5802" spans="1:2" x14ac:dyDescent="0.25">
      <c r="A5802">
        <f ca="1">32426.6995368212*((RANDBETWEEN(2979,3282)))</f>
        <v>101365862.75210291</v>
      </c>
      <c r="B5802">
        <v>170626029.11444119</v>
      </c>
    </row>
    <row r="5803" spans="1:2" x14ac:dyDescent="0.25">
      <c r="A5803">
        <f ca="1">39850.1303833308*((RANDBETWEEN(2979,3282)))</f>
        <v>129672324.26735839</v>
      </c>
      <c r="B5803">
        <v>192589732.69891065</v>
      </c>
    </row>
    <row r="5804" spans="1:2" x14ac:dyDescent="0.25">
      <c r="A5804">
        <f ca="1">29619.2079358493*((RANDBETWEEN(2979,3282)))</f>
        <v>91434494.897966683</v>
      </c>
      <c r="B5804">
        <v>152680385.63757402</v>
      </c>
    </row>
    <row r="5805" spans="1:2" x14ac:dyDescent="0.25">
      <c r="A5805">
        <f ca="1">36922.4001988102*((RANDBETWEEN(2979,3282)))</f>
        <v>114274828.61531772</v>
      </c>
      <c r="B5805">
        <v>196909116.11377138</v>
      </c>
    </row>
    <row r="5806" spans="1:2" x14ac:dyDescent="0.25">
      <c r="A5806">
        <f ca="1">38466.7847284695*((RANDBETWEEN(2979,3282)))</f>
        <v>119362433.01244104</v>
      </c>
      <c r="B5806">
        <v>187571542.01811215</v>
      </c>
    </row>
    <row r="5807" spans="1:2" x14ac:dyDescent="0.25">
      <c r="A5807">
        <f ca="1">31594.995026614*((RANDBETWEEN(2979,3282)))</f>
        <v>103252443.7469745</v>
      </c>
      <c r="B5807">
        <v>162918540.40821192</v>
      </c>
    </row>
    <row r="5808" spans="1:2" x14ac:dyDescent="0.25">
      <c r="A5808">
        <f ca="1">34658.2540078448*((RANDBETWEEN(2979,3282)))</f>
        <v>113748389.65374663</v>
      </c>
      <c r="B5808">
        <v>191218908.76969779</v>
      </c>
    </row>
    <row r="5809" spans="1:2" x14ac:dyDescent="0.25">
      <c r="A5809">
        <f ca="1">34253.2761229915*((RANDBETWEEN(2979,3282)))</f>
        <v>104609505.27961606</v>
      </c>
      <c r="B5809">
        <v>148891322.85358566</v>
      </c>
    </row>
    <row r="5810" spans="1:2" x14ac:dyDescent="0.25">
      <c r="A5810">
        <f ca="1">41179.2827632782*((RANDBETWEEN(2979,3282)))</f>
        <v>126255680.95221101</v>
      </c>
      <c r="B5810">
        <v>169153736.84020367</v>
      </c>
    </row>
    <row r="5811" spans="1:2" x14ac:dyDescent="0.25">
      <c r="A5811">
        <f ca="1">29155.6302832099*((RANDBETWEEN(2979,3282)))</f>
        <v>94726642.790149122</v>
      </c>
      <c r="B5811">
        <v>163386753.178518</v>
      </c>
    </row>
    <row r="5812" spans="1:2" x14ac:dyDescent="0.25">
      <c r="A5812">
        <f ca="1">29178.2424917269*((RANDBETWEEN(2979,3282)))</f>
        <v>95004357.553062916</v>
      </c>
      <c r="B5812">
        <v>153977325.88279551</v>
      </c>
    </row>
    <row r="5813" spans="1:2" x14ac:dyDescent="0.25">
      <c r="A5813">
        <f ca="1">39082.6711126339*((RANDBETWEEN(2979,3282)))</f>
        <v>125963448.99601917</v>
      </c>
      <c r="B5813">
        <v>194196647.13293788</v>
      </c>
    </row>
    <row r="5814" spans="1:2" x14ac:dyDescent="0.25">
      <c r="A5814">
        <f ca="1">34102.5929755156*((RANDBETWEEN(2979,3282)))</f>
        <v>109060092.33569895</v>
      </c>
      <c r="B5814">
        <v>156255217.48719338</v>
      </c>
    </row>
    <row r="5815" spans="1:2" x14ac:dyDescent="0.25">
      <c r="A5815">
        <f ca="1">31994.1942821839*((RANDBETWEEN(2979,3282)))</f>
        <v>97998217.086329386</v>
      </c>
      <c r="B5815">
        <v>147433481.98936352</v>
      </c>
    </row>
    <row r="5816" spans="1:2" x14ac:dyDescent="0.25">
      <c r="A5816">
        <f ca="1">32146.3531356608*((RANDBETWEEN(2979,3282)))</f>
        <v>98303547.888850644</v>
      </c>
      <c r="B5816">
        <v>148735723.2229197</v>
      </c>
    </row>
    <row r="5817" spans="1:2" x14ac:dyDescent="0.25">
      <c r="A5817">
        <f ca="1">38965.0287889009*((RANDBETWEEN(2979,3282)))</f>
        <v>120129183.75618145</v>
      </c>
      <c r="B5817">
        <v>170996279.71340242</v>
      </c>
    </row>
    <row r="5818" spans="1:2" x14ac:dyDescent="0.25">
      <c r="A5818">
        <f ca="1">28654.1479489998*((RANDBETWEEN(2979,3282)))</f>
        <v>92438281.283473387</v>
      </c>
      <c r="B5818">
        <v>153384860.88209084</v>
      </c>
    </row>
    <row r="5819" spans="1:2" x14ac:dyDescent="0.25">
      <c r="A5819">
        <f ca="1">31902.4151657258*((RANDBETWEEN(2979,3282)))</f>
        <v>103523337.21278033</v>
      </c>
      <c r="B5819">
        <v>165640076.03835845</v>
      </c>
    </row>
    <row r="5820" spans="1:2" x14ac:dyDescent="0.25">
      <c r="A5820">
        <f ca="1">35028.7702921981*((RANDBETWEEN(2979,3282)))</f>
        <v>113458186.97642952</v>
      </c>
      <c r="B5820">
        <v>163876668.47784179</v>
      </c>
    </row>
    <row r="5821" spans="1:2" x14ac:dyDescent="0.25">
      <c r="A5821">
        <f ca="1">37139.8797926758*((RANDBETWEEN(2979,3282)))</f>
        <v>117064901.10651401</v>
      </c>
      <c r="B5821">
        <v>161830688.45668492</v>
      </c>
    </row>
    <row r="5822" spans="1:2" x14ac:dyDescent="0.25">
      <c r="A5822">
        <f ca="1">32309.3002432147*((RANDBETWEEN(2979,3282)))</f>
        <v>98414128.540831864</v>
      </c>
      <c r="B5822">
        <v>158670754.01795354</v>
      </c>
    </row>
    <row r="5823" spans="1:2" x14ac:dyDescent="0.25">
      <c r="A5823">
        <f ca="1">30638.3129079936*((RANDBETWEEN(2979,3282)))</f>
        <v>96510685.660179824</v>
      </c>
      <c r="B5823">
        <v>182237788.01802713</v>
      </c>
    </row>
    <row r="5824" spans="1:2" x14ac:dyDescent="0.25">
      <c r="A5824">
        <f ca="1">32269.1135896394*((RANDBETWEEN(2979,3282)))</f>
        <v>98388527.334810451</v>
      </c>
      <c r="B5824">
        <v>143877027.22707599</v>
      </c>
    </row>
    <row r="5825" spans="1:2" x14ac:dyDescent="0.25">
      <c r="A5825">
        <f ca="1">31887.5407588741*((RANDBETWEEN(2979,3282)))</f>
        <v>102199568.13219145</v>
      </c>
      <c r="B5825">
        <v>166229364.46741441</v>
      </c>
    </row>
    <row r="5826" spans="1:2" x14ac:dyDescent="0.25">
      <c r="A5826">
        <f ca="1">31687.2354653325*((RANDBETWEEN(2979,3282)))</f>
        <v>95378578.750650764</v>
      </c>
      <c r="B5826">
        <v>152451313.00896958</v>
      </c>
    </row>
    <row r="5827" spans="1:2" x14ac:dyDescent="0.25">
      <c r="A5827">
        <f ca="1">29557.4609155546*((RANDBETWEEN(2979,3282)))</f>
        <v>89677336.417792708</v>
      </c>
      <c r="B5827">
        <v>183485576.9379451</v>
      </c>
    </row>
    <row r="5828" spans="1:2" x14ac:dyDescent="0.25">
      <c r="A5828">
        <f ca="1">39619.4320130972*((RANDBETWEEN(2979,3282)))</f>
        <v>124959688.56930843</v>
      </c>
      <c r="B5828">
        <v>155836485.44916064</v>
      </c>
    </row>
    <row r="5829" spans="1:2" x14ac:dyDescent="0.25">
      <c r="A5829">
        <f ca="1">30455.9983741094*((RANDBETWEEN(2979,3282)))</f>
        <v>93225811.023148879</v>
      </c>
      <c r="B5829">
        <v>160617408.26315525</v>
      </c>
    </row>
    <row r="5830" spans="1:2" x14ac:dyDescent="0.25">
      <c r="A5830">
        <f ca="1">31039.1495974387*((RANDBETWEEN(2979,3282)))</f>
        <v>97556047.184749931</v>
      </c>
      <c r="B5830">
        <v>155438440.96152818</v>
      </c>
    </row>
    <row r="5831" spans="1:2" x14ac:dyDescent="0.25">
      <c r="A5831">
        <f ca="1">32489.1531354197*((RANDBETWEEN(2979,3282)))</f>
        <v>101918473.38581161</v>
      </c>
      <c r="B5831">
        <v>149626631.59063214</v>
      </c>
    </row>
    <row r="5832" spans="1:2" x14ac:dyDescent="0.25">
      <c r="A5832">
        <f ca="1">30261.0723789404*((RANDBETWEEN(2979,3282)))</f>
        <v>92659403.624315411</v>
      </c>
      <c r="B5832">
        <v>195822203.03829944</v>
      </c>
    </row>
    <row r="5833" spans="1:2" x14ac:dyDescent="0.25">
      <c r="A5833">
        <f ca="1">33873.6730347565*((RANDBETWEEN(2979,3282)))</f>
        <v>108429627.38425559</v>
      </c>
      <c r="B5833">
        <v>151736341.80030361</v>
      </c>
    </row>
    <row r="5834" spans="1:2" x14ac:dyDescent="0.25">
      <c r="A5834">
        <f ca="1">36259.3615264206*((RANDBETWEEN(2979,3282)))</f>
        <v>112331502.00885087</v>
      </c>
      <c r="B5834">
        <v>160654135.07843587</v>
      </c>
    </row>
    <row r="5835" spans="1:2" x14ac:dyDescent="0.25">
      <c r="A5835">
        <f ca="1">38171.1149313215*((RANDBETWEEN(2979,3282)))</f>
        <v>122300252.23995401</v>
      </c>
      <c r="B5835">
        <v>155988841.18843099</v>
      </c>
    </row>
    <row r="5836" spans="1:2" x14ac:dyDescent="0.25">
      <c r="A5836">
        <f ca="1">29093.8624377874*((RANDBETWEEN(2979,3282)))</f>
        <v>89376345.408882752</v>
      </c>
      <c r="B5836">
        <v>183263846.70916963</v>
      </c>
    </row>
    <row r="5837" spans="1:2" x14ac:dyDescent="0.25">
      <c r="A5837">
        <f ca="1">28260.4230751071*((RANDBETWEEN(2979,3282)))</f>
        <v>91422468.647971421</v>
      </c>
      <c r="B5837">
        <v>148434228.96565309</v>
      </c>
    </row>
    <row r="5838" spans="1:2" x14ac:dyDescent="0.25">
      <c r="A5838">
        <f ca="1">31555.0811036729*((RANDBETWEEN(2979,3282)))</f>
        <v>98862069.09780708</v>
      </c>
      <c r="B5838">
        <v>147737303.89229017</v>
      </c>
    </row>
    <row r="5839" spans="1:2" x14ac:dyDescent="0.25">
      <c r="A5839">
        <f ca="1">30995.4298294519*((RANDBETWEEN(2979,3282)))</f>
        <v>100394197.21759464</v>
      </c>
      <c r="B5839">
        <v>191092542.17614153</v>
      </c>
    </row>
    <row r="5840" spans="1:2" x14ac:dyDescent="0.25">
      <c r="A5840">
        <f ca="1">33964.8207969089*((RANDBETWEEN(2979,3282)))</f>
        <v>111404612.21386129</v>
      </c>
      <c r="B5840">
        <v>178708596.25772855</v>
      </c>
    </row>
    <row r="5841" spans="1:2" x14ac:dyDescent="0.25">
      <c r="A5841">
        <f ca="1">32590.282389334*((RANDBETWEEN(2979,3282)))</f>
        <v>105885827.48294632</v>
      </c>
      <c r="B5841">
        <v>149485738.11200312</v>
      </c>
    </row>
    <row r="5842" spans="1:2" x14ac:dyDescent="0.25">
      <c r="A5842">
        <f ca="1">30366.5509269224*((RANDBETWEEN(2979,3282)))</f>
        <v>91403318.29003638</v>
      </c>
      <c r="B5842">
        <v>143909934.71640772</v>
      </c>
    </row>
    <row r="5843" spans="1:2" x14ac:dyDescent="0.25">
      <c r="A5843">
        <f ca="1">29652.9162460301*((RANDBETWEEN(2979,3282)))</f>
        <v>93584603.672471151</v>
      </c>
      <c r="B5843">
        <v>170258722.49009687</v>
      </c>
    </row>
    <row r="5844" spans="1:2" x14ac:dyDescent="0.25">
      <c r="A5844">
        <f ca="1">33370.4050361536*((RANDBETWEEN(2979,3282)))</f>
        <v>102714106.7012808</v>
      </c>
      <c r="B5844">
        <v>169148413.56707662</v>
      </c>
    </row>
    <row r="5845" spans="1:2" x14ac:dyDescent="0.25">
      <c r="A5845">
        <f ca="1">30151.0342660209*((RANDBETWEEN(2979,3282)))</f>
        <v>97086330.336587325</v>
      </c>
      <c r="B5845">
        <v>143242896.77275914</v>
      </c>
    </row>
    <row r="5846" spans="1:2" x14ac:dyDescent="0.25">
      <c r="A5846">
        <f ca="1">31182.7383980475*((RANDBETWEEN(2979,3282)))</f>
        <v>98974011.675402731</v>
      </c>
      <c r="B5846">
        <v>145283200.74867591</v>
      </c>
    </row>
    <row r="5847" spans="1:2" x14ac:dyDescent="0.25">
      <c r="A5847">
        <f ca="1">36755.316582597*((RANDBETWEEN(2979,3282)))</f>
        <v>114529566.4713722</v>
      </c>
      <c r="B5847">
        <v>153589180.91803035</v>
      </c>
    </row>
    <row r="5848" spans="1:2" x14ac:dyDescent="0.25">
      <c r="A5848">
        <f ca="1">32178.8751395869*((RANDBETWEEN(2979,3282)))</f>
        <v>101234741.18914051</v>
      </c>
      <c r="B5848">
        <v>151889213.70008308</v>
      </c>
    </row>
    <row r="5849" spans="1:2" x14ac:dyDescent="0.25">
      <c r="A5849">
        <f ca="1">28314.0174687436*((RANDBETWEEN(2979,3282)))</f>
        <v>87263801.838667691</v>
      </c>
      <c r="B5849">
        <v>148980568.0050222</v>
      </c>
    </row>
    <row r="5850" spans="1:2" x14ac:dyDescent="0.25">
      <c r="A5850">
        <f ca="1">31825.3501948065*((RANDBETWEEN(2979,3282)))</f>
        <v>95062321.03188704</v>
      </c>
      <c r="B5850">
        <v>167253233.00010246</v>
      </c>
    </row>
    <row r="5851" spans="1:2" x14ac:dyDescent="0.25">
      <c r="A5851">
        <f ca="1">32568.9620321246*((RANDBETWEEN(2979,3282)))</f>
        <v>100638092.67926498</v>
      </c>
      <c r="B5851">
        <v>162925299.70889279</v>
      </c>
    </row>
    <row r="5852" spans="1:2" x14ac:dyDescent="0.25">
      <c r="A5852">
        <f ca="1">40688.8004405412*((RANDBETWEEN(2979,3282)))</f>
        <v>122351222.9247075</v>
      </c>
      <c r="B5852">
        <v>203102953.65726516</v>
      </c>
    </row>
    <row r="5853" spans="1:2" x14ac:dyDescent="0.25">
      <c r="A5853">
        <f ca="1">36188.4048530143*((RANDBETWEEN(2979,3282)))</f>
        <v>110917460.87448885</v>
      </c>
      <c r="B5853">
        <v>179567754.19888204</v>
      </c>
    </row>
    <row r="5854" spans="1:2" x14ac:dyDescent="0.25">
      <c r="A5854">
        <f ca="1">34920.6032916289*((RANDBETWEEN(2979,3282)))</f>
        <v>109406250.11267343</v>
      </c>
      <c r="B5854">
        <v>177776639.23397416</v>
      </c>
    </row>
    <row r="5855" spans="1:2" x14ac:dyDescent="0.25">
      <c r="A5855">
        <f ca="1">29589.8293093917*((RANDBETWEEN(2979,3282)))</f>
        <v>89242925.197125301</v>
      </c>
      <c r="B5855">
        <v>148678294.07680929</v>
      </c>
    </row>
    <row r="5856" spans="1:2" x14ac:dyDescent="0.25">
      <c r="A5856">
        <f ca="1">30732.3258285966*((RANDBETWEEN(2979,3282)))</f>
        <v>99849326.617110461</v>
      </c>
      <c r="B5856">
        <v>183054680.65181082</v>
      </c>
    </row>
    <row r="5857" spans="1:2" x14ac:dyDescent="0.25">
      <c r="A5857">
        <f ca="1">31726.7174128413*((RANDBETWEEN(2979,3282)))</f>
        <v>99653619.393734634</v>
      </c>
      <c r="B5857">
        <v>165592659.18898755</v>
      </c>
    </row>
    <row r="5858" spans="1:2" x14ac:dyDescent="0.25">
      <c r="A5858">
        <f ca="1">34847.9791181033*((RANDBETWEEN(2979,3282)))</f>
        <v>114266523.52826074</v>
      </c>
      <c r="B5858">
        <v>149523922.00776049</v>
      </c>
    </row>
    <row r="5859" spans="1:2" x14ac:dyDescent="0.25">
      <c r="A5859">
        <f ca="1">28250.6901897097*((RANDBETWEEN(2979,3282)))</f>
        <v>89554687.901379794</v>
      </c>
      <c r="B5859">
        <v>151342571.76125363</v>
      </c>
    </row>
    <row r="5860" spans="1:2" x14ac:dyDescent="0.25">
      <c r="A5860">
        <f ca="1">33398.8069490396*((RANDBETWEEN(2979,3282)))</f>
        <v>106174807.29099716</v>
      </c>
      <c r="B5860">
        <v>150819824.77463192</v>
      </c>
    </row>
    <row r="5861" spans="1:2" x14ac:dyDescent="0.25">
      <c r="A5861">
        <f ca="1">37622.8140398503*((RANDBETWEEN(2979,3282)))</f>
        <v>121258329.65043746</v>
      </c>
      <c r="B5861">
        <v>178405744.15121338</v>
      </c>
    </row>
    <row r="5862" spans="1:2" x14ac:dyDescent="0.25">
      <c r="A5862">
        <f ca="1">34818.55767258*((RANDBETWEEN(2979,3282)))</f>
        <v>105500229.74791737</v>
      </c>
      <c r="B5862">
        <v>157925597.50837344</v>
      </c>
    </row>
    <row r="5863" spans="1:2" x14ac:dyDescent="0.25">
      <c r="A5863">
        <f ca="1">29912.4348451156*((RANDBETWEEN(2979,3282)))</f>
        <v>96856464.028484389</v>
      </c>
      <c r="B5863">
        <v>143286874.41851062</v>
      </c>
    </row>
    <row r="5864" spans="1:2" x14ac:dyDescent="0.25">
      <c r="A5864">
        <f ca="1">29207.919194368*((RANDBETWEEN(2979,3282)))</f>
        <v>91683658.351121217</v>
      </c>
      <c r="B5864">
        <v>190670612.21571872</v>
      </c>
    </row>
    <row r="5865" spans="1:2" x14ac:dyDescent="0.25">
      <c r="A5865">
        <f ca="1">32160.2952005782*((RANDBETWEEN(2979,3282)))</f>
        <v>97477854.752952635</v>
      </c>
      <c r="B5865">
        <v>158704749.44430262</v>
      </c>
    </row>
    <row r="5866" spans="1:2" x14ac:dyDescent="0.25">
      <c r="A5866">
        <f ca="1">31057.5168270665*((RANDBETWEEN(2979,3282)))</f>
        <v>95719266.861019105</v>
      </c>
      <c r="B5866">
        <v>144732462.90101627</v>
      </c>
    </row>
    <row r="5867" spans="1:2" x14ac:dyDescent="0.25">
      <c r="A5867">
        <f ca="1">33444.7384955084*((RANDBETWEEN(2979,3282)))</f>
        <v>104247249.89049955</v>
      </c>
      <c r="B5867">
        <v>144424622.05136913</v>
      </c>
    </row>
    <row r="5868" spans="1:2" x14ac:dyDescent="0.25">
      <c r="A5868">
        <f ca="1">28837.1060627301*((RANDBETWEEN(2979,3282)))</f>
        <v>94181988.400876433</v>
      </c>
      <c r="B5868">
        <v>177849563.42507255</v>
      </c>
    </row>
    <row r="5869" spans="1:2" x14ac:dyDescent="0.25">
      <c r="A5869">
        <f ca="1">36989.8747128941*((RANDBETWEEN(2979,3282)))</f>
        <v>120919900.43645094</v>
      </c>
      <c r="B5869">
        <v>154101235.1797381</v>
      </c>
    </row>
    <row r="5870" spans="1:2" x14ac:dyDescent="0.25">
      <c r="A5870">
        <f ca="1">41714.3095205272*((RANDBETWEEN(2979,3282)))</f>
        <v>131233217.75157867</v>
      </c>
      <c r="B5870">
        <v>178469560.95062715</v>
      </c>
    </row>
    <row r="5871" spans="1:2" x14ac:dyDescent="0.25">
      <c r="A5871">
        <f ca="1">33527.5141685809*((RANDBETWEEN(2979,3282)))</f>
        <v>106483384.99941324</v>
      </c>
      <c r="B5871">
        <v>165742547.92448851</v>
      </c>
    </row>
    <row r="5872" spans="1:2" x14ac:dyDescent="0.25">
      <c r="A5872">
        <f ca="1">31897.3281692339*((RANDBETWEEN(2979,3282)))</f>
        <v>104591339.06691803</v>
      </c>
      <c r="B5872">
        <v>161142294.24166617</v>
      </c>
    </row>
    <row r="5873" spans="1:2" x14ac:dyDescent="0.25">
      <c r="A5873">
        <f ca="1">33832.3669963416*((RANDBETWEEN(2979,3282)))</f>
        <v>102579736.73290774</v>
      </c>
      <c r="B5873">
        <v>198081970.5807125</v>
      </c>
    </row>
    <row r="5874" spans="1:2" x14ac:dyDescent="0.25">
      <c r="A5874">
        <f ca="1">29969.3220177086*((RANDBETWEEN(2979,3282)))</f>
        <v>90777076.391639411</v>
      </c>
      <c r="B5874">
        <v>163974847.87598816</v>
      </c>
    </row>
    <row r="5875" spans="1:2" x14ac:dyDescent="0.25">
      <c r="A5875">
        <f ca="1">31505.4550847194*((RANDBETWEEN(2979,3282)))</f>
        <v>101888641.74398248</v>
      </c>
      <c r="B5875">
        <v>164994503.68593284</v>
      </c>
    </row>
    <row r="5876" spans="1:2" x14ac:dyDescent="0.25">
      <c r="A5876">
        <f ca="1">29564.1183255731*((RANDBETWEEN(2979,3282)))</f>
        <v>90909663.851137415</v>
      </c>
      <c r="B5876">
        <v>154702750.86394131</v>
      </c>
    </row>
    <row r="5877" spans="1:2" x14ac:dyDescent="0.25">
      <c r="A5877">
        <f ca="1">35438.3179365504*((RANDBETWEEN(2979,3282)))</f>
        <v>106137762.2199683</v>
      </c>
      <c r="B5877">
        <v>195915490.5075379</v>
      </c>
    </row>
    <row r="5878" spans="1:2" x14ac:dyDescent="0.25">
      <c r="A5878">
        <f ca="1">31504.3126641122*((RANDBETWEEN(2979,3282)))</f>
        <v>97001778.692801356</v>
      </c>
      <c r="B5878">
        <v>192829686.10947949</v>
      </c>
    </row>
    <row r="5879" spans="1:2" x14ac:dyDescent="0.25">
      <c r="A5879">
        <f ca="1">30402.2306950104*((RANDBETWEEN(2979,3282)))</f>
        <v>92787608.081171677</v>
      </c>
      <c r="B5879">
        <v>158167950.10360307</v>
      </c>
    </row>
    <row r="5880" spans="1:2" x14ac:dyDescent="0.25">
      <c r="A5880">
        <f ca="1">33274.735548277*((RANDBETWEEN(2979,3282)))</f>
        <v>102153438.13321032</v>
      </c>
      <c r="B5880">
        <v>196789242.89785179</v>
      </c>
    </row>
    <row r="5881" spans="1:2" x14ac:dyDescent="0.25">
      <c r="A5881">
        <f ca="1">34372.1871115005*((RANDBETWEEN(2979,3282)))</f>
        <v>111709608.11237676</v>
      </c>
      <c r="B5881">
        <v>159184618.07963857</v>
      </c>
    </row>
    <row r="5882" spans="1:2" x14ac:dyDescent="0.25">
      <c r="A5882">
        <f ca="1">33772.1153527834*((RANDBETWEEN(2979,3282)))</f>
        <v>106551023.93803152</v>
      </c>
      <c r="B5882">
        <v>145387470.33166197</v>
      </c>
    </row>
    <row r="5883" spans="1:2" x14ac:dyDescent="0.25">
      <c r="A5883">
        <f ca="1">31182.4361010348*((RANDBETWEEN(2979,3282)))</f>
        <v>100906363.22294851</v>
      </c>
      <c r="B5883">
        <v>158033557.37156457</v>
      </c>
    </row>
    <row r="5884" spans="1:2" x14ac:dyDescent="0.25">
      <c r="A5884">
        <f ca="1">39811.0606281704*((RANDBETWEEN(2979,3282)))</f>
        <v>120985813.24900983</v>
      </c>
      <c r="B5884">
        <v>167112524.79769981</v>
      </c>
    </row>
    <row r="5885" spans="1:2" x14ac:dyDescent="0.25">
      <c r="A5885">
        <f ca="1">31640.9847183484*((RANDBETWEEN(2979,3282)))</f>
        <v>101757406.85420835</v>
      </c>
      <c r="B5885">
        <v>197578658.39057472</v>
      </c>
    </row>
    <row r="5886" spans="1:2" x14ac:dyDescent="0.25">
      <c r="A5886">
        <f ca="1">33658.2045234312*((RANDBETWEEN(2979,3282)))</f>
        <v>109927695.97352614</v>
      </c>
      <c r="B5886">
        <v>184159093.76080227</v>
      </c>
    </row>
    <row r="5887" spans="1:2" x14ac:dyDescent="0.25">
      <c r="A5887">
        <f ca="1">39192.1235858301*((RANDBETWEEN(2979,3282)))</f>
        <v>120711740.64435685</v>
      </c>
      <c r="B5887">
        <v>191004503.05504519</v>
      </c>
    </row>
    <row r="5888" spans="1:2" x14ac:dyDescent="0.25">
      <c r="A5888">
        <f ca="1">30478.7783752461*((RANDBETWEEN(2979,3282)))</f>
        <v>93539370.833630219</v>
      </c>
      <c r="B5888">
        <v>161967361.83985466</v>
      </c>
    </row>
    <row r="5889" spans="1:2" x14ac:dyDescent="0.25">
      <c r="A5889">
        <f ca="1">31253.5152826068*((RANDBETWEEN(2979,3282)))</f>
        <v>98886122.354167774</v>
      </c>
      <c r="B5889">
        <v>197958023.20940721</v>
      </c>
    </row>
    <row r="5890" spans="1:2" x14ac:dyDescent="0.25">
      <c r="A5890">
        <f ca="1">32153.5375713517*((RANDBETWEEN(2979,3282)))</f>
        <v>103791619.28032324</v>
      </c>
      <c r="B5890">
        <v>158036297.34730968</v>
      </c>
    </row>
    <row r="5891" spans="1:2" x14ac:dyDescent="0.25">
      <c r="A5891">
        <f ca="1">35101.8983839964*((RANDBETWEEN(2979,3282)))</f>
        <v>107692624.24210095</v>
      </c>
      <c r="B5891">
        <v>172883193.20053592</v>
      </c>
    </row>
    <row r="5892" spans="1:2" x14ac:dyDescent="0.25">
      <c r="A5892">
        <f ca="1">32214.0779047898*((RANDBETWEEN(2979,3282)))</f>
        <v>103278333.762756</v>
      </c>
      <c r="B5892">
        <v>152128611.04341221</v>
      </c>
    </row>
    <row r="5893" spans="1:2" x14ac:dyDescent="0.25">
      <c r="A5893">
        <f ca="1">33230.3688348662*((RANDBETWEEN(2979,3282)))</f>
        <v>105473190.68186526</v>
      </c>
      <c r="B5893">
        <v>195789518.72793236</v>
      </c>
    </row>
    <row r="5894" spans="1:2" x14ac:dyDescent="0.25">
      <c r="A5894">
        <f ca="1">28889.2434674642*((RANDBETWEEN(2979,3282)))</f>
        <v>89412208.531801566</v>
      </c>
      <c r="B5894">
        <v>157227445.08175099</v>
      </c>
    </row>
    <row r="5895" spans="1:2" x14ac:dyDescent="0.25">
      <c r="A5895">
        <f ca="1">36950.5126840172*((RANDBETWEEN(2979,3282)))</f>
        <v>114731341.88387331</v>
      </c>
      <c r="B5895">
        <v>180442811.04855019</v>
      </c>
    </row>
    <row r="5896" spans="1:2" x14ac:dyDescent="0.25">
      <c r="A5896">
        <f ca="1">32668.4451092082*((RANDBETWEEN(2979,3282)))</f>
        <v>104408350.56902951</v>
      </c>
      <c r="B5896">
        <v>148997569.35547742</v>
      </c>
    </row>
    <row r="5897" spans="1:2" x14ac:dyDescent="0.25">
      <c r="A5897">
        <f ca="1">32132.5625109233*((RANDBETWEEN(2979,3282)))</f>
        <v>102406476.72231247</v>
      </c>
      <c r="B5897">
        <v>203571803.93949997</v>
      </c>
    </row>
    <row r="5898" spans="1:2" x14ac:dyDescent="0.25">
      <c r="A5898">
        <f ca="1">30761.5607324647*((RANDBETWEEN(2979,3282)))</f>
        <v>99021463.997803941</v>
      </c>
      <c r="B5898">
        <v>166005549.91164303</v>
      </c>
    </row>
    <row r="5899" spans="1:2" x14ac:dyDescent="0.25">
      <c r="A5899">
        <f ca="1">30769.1569403619*((RANDBETWEEN(2979,3282)))</f>
        <v>95015156.631837443</v>
      </c>
      <c r="B5899">
        <v>143631985.4261395</v>
      </c>
    </row>
    <row r="5900" spans="1:2" x14ac:dyDescent="0.25">
      <c r="A5900">
        <f ca="1">34266.0309432008*((RANDBETWEEN(2979,3282)))</f>
        <v>109685565.04918565</v>
      </c>
      <c r="B5900">
        <v>189342642.17168817</v>
      </c>
    </row>
    <row r="5901" spans="1:2" x14ac:dyDescent="0.25">
      <c r="A5901">
        <f ca="1">30116.7051282583*((RANDBETWEEN(2979,3282)))</f>
        <v>93331669.192472517</v>
      </c>
      <c r="B5901">
        <v>194207887.77593157</v>
      </c>
    </row>
    <row r="5902" spans="1:2" x14ac:dyDescent="0.25">
      <c r="A5902">
        <f ca="1">32278.3734283566*((RANDBETWEEN(2979,3282)))</f>
        <v>99546503.653051898</v>
      </c>
      <c r="B5902">
        <v>165893913.12871653</v>
      </c>
    </row>
    <row r="5903" spans="1:2" x14ac:dyDescent="0.25">
      <c r="A5903">
        <f ca="1">33496.5311274879*((RANDBETWEEN(2979,3282)))</f>
        <v>108662746.97757091</v>
      </c>
      <c r="B5903">
        <v>149877170.13626665</v>
      </c>
    </row>
    <row r="5904" spans="1:2" x14ac:dyDescent="0.25">
      <c r="A5904">
        <f ca="1">32427.0118663273*((RANDBETWEEN(2979,3282)))</f>
        <v>105420215.57743011</v>
      </c>
      <c r="B5904">
        <v>155681353.08972567</v>
      </c>
    </row>
    <row r="5905" spans="1:2" x14ac:dyDescent="0.25">
      <c r="A5905">
        <f ca="1">31355.6321426036*((RANDBETWEEN(2979,3282)))</f>
        <v>102031226.99203224</v>
      </c>
      <c r="B5905">
        <v>182014423.86550489</v>
      </c>
    </row>
    <row r="5906" spans="1:2" x14ac:dyDescent="0.25">
      <c r="A5906">
        <f ca="1">32336.0147138395*((RANDBETWEEN(2979,3282)))</f>
        <v>102699182.7311542</v>
      </c>
      <c r="B5906">
        <v>188455347.99231791</v>
      </c>
    </row>
    <row r="5907" spans="1:2" x14ac:dyDescent="0.25">
      <c r="A5907">
        <f ca="1">39083.7612853453*((RANDBETWEEN(2979,3282)))</f>
        <v>119283639.44287395</v>
      </c>
      <c r="B5907">
        <v>189698640.90272129</v>
      </c>
    </row>
    <row r="5908" spans="1:2" x14ac:dyDescent="0.25">
      <c r="A5908">
        <f ca="1">34381.3004484063*((RANDBETWEEN(2979,3282)))</f>
        <v>106547650.08961125</v>
      </c>
      <c r="B5908">
        <v>198349431.61200917</v>
      </c>
    </row>
    <row r="5909" spans="1:2" x14ac:dyDescent="0.25">
      <c r="A5909">
        <f ca="1">31843.7080999902*((RANDBETWEEN(2979,3282)))</f>
        <v>95053468.678470761</v>
      </c>
      <c r="B5909">
        <v>172652966.23338455</v>
      </c>
    </row>
    <row r="5910" spans="1:2" x14ac:dyDescent="0.25">
      <c r="A5910">
        <f ca="1">31251.4763421362*((RANDBETWEEN(2979,3282)))</f>
        <v>98004629.808939219</v>
      </c>
      <c r="B5910">
        <v>152495531.34768251</v>
      </c>
    </row>
    <row r="5911" spans="1:2" x14ac:dyDescent="0.25">
      <c r="A5911">
        <f ca="1">30985.7503164539*((RANDBETWEEN(2979,3282)))</f>
        <v>96551597.986070484</v>
      </c>
      <c r="B5911">
        <v>146100498.79356721</v>
      </c>
    </row>
    <row r="5912" spans="1:2" x14ac:dyDescent="0.25">
      <c r="A5912">
        <f ca="1">34979.4264664667*((RANDBETWEEN(2979,3282)))</f>
        <v>106337456.45805874</v>
      </c>
      <c r="B5912">
        <v>165408620.81688243</v>
      </c>
    </row>
    <row r="5913" spans="1:2" x14ac:dyDescent="0.25">
      <c r="A5913">
        <f ca="1">41238.8050525482*((RANDBETWEEN(2979,3282)))</f>
        <v>125201012.13953622</v>
      </c>
      <c r="B5913">
        <v>183639752.46054733</v>
      </c>
    </row>
    <row r="5914" spans="1:2" x14ac:dyDescent="0.25">
      <c r="A5914">
        <f ca="1">42452.8670862263*((RANDBETWEEN(2979,3282)))</f>
        <v>129948226.15093882</v>
      </c>
      <c r="B5914">
        <v>197480460.83086044</v>
      </c>
    </row>
    <row r="5915" spans="1:2" x14ac:dyDescent="0.25">
      <c r="A5915">
        <f ca="1">33703.1095913127*((RANDBETWEEN(2979,3282)))</f>
        <v>105490733.02080874</v>
      </c>
      <c r="B5915">
        <v>177211061.79087096</v>
      </c>
    </row>
    <row r="5916" spans="1:2" x14ac:dyDescent="0.25">
      <c r="A5916">
        <f ca="1">31666.299124889*((RANDBETWEEN(2979,3282)))</f>
        <v>101237158.30227013</v>
      </c>
      <c r="B5916">
        <v>149851863.83994335</v>
      </c>
    </row>
    <row r="5917" spans="1:2" x14ac:dyDescent="0.25">
      <c r="A5917">
        <f ca="1">38757.108963231*((RANDBETWEEN(2979,3282)))</f>
        <v>118325453.66474426</v>
      </c>
      <c r="B5917">
        <v>159006613.10409397</v>
      </c>
    </row>
    <row r="5918" spans="1:2" x14ac:dyDescent="0.25">
      <c r="A5918">
        <f ca="1">34330.8577133602*((RANDBETWEEN(2979,3282)))</f>
        <v>107661569.78909768</v>
      </c>
      <c r="B5918">
        <v>170107568.02008361</v>
      </c>
    </row>
    <row r="5919" spans="1:2" x14ac:dyDescent="0.25">
      <c r="A5919">
        <f ca="1">32852.9596194376*((RANDBETWEEN(2979,3282)))</f>
        <v>101811321.8606371</v>
      </c>
      <c r="B5919">
        <v>143247251.7495175</v>
      </c>
    </row>
    <row r="5920" spans="1:2" x14ac:dyDescent="0.25">
      <c r="A5920">
        <f ca="1">33974.6921637273*((RANDBETWEEN(2979,3282)))</f>
        <v>105899115.47433814</v>
      </c>
      <c r="B5920">
        <v>164234398.51819223</v>
      </c>
    </row>
    <row r="5921" spans="1:2" x14ac:dyDescent="0.25">
      <c r="A5921">
        <f ca="1">39565.7194487063*((RANDBETWEEN(2979,3282)))</f>
        <v>129300771.15837231</v>
      </c>
      <c r="B5921">
        <v>149828746.54132369</v>
      </c>
    </row>
    <row r="5922" spans="1:2" x14ac:dyDescent="0.25">
      <c r="A5922">
        <f ca="1">32814.4249161883*((RANDBETWEEN(2979,3282)))</f>
        <v>103266995.21124457</v>
      </c>
      <c r="B5922">
        <v>158123524.16464704</v>
      </c>
    </row>
    <row r="5923" spans="1:2" x14ac:dyDescent="0.25">
      <c r="A5923">
        <f ca="1">30481.0146284084*((RANDBETWEEN(2979,3282)))</f>
        <v>99886284.937294394</v>
      </c>
      <c r="B5923">
        <v>170799113.28569728</v>
      </c>
    </row>
    <row r="5924" spans="1:2" x14ac:dyDescent="0.25">
      <c r="A5924">
        <f ca="1">35523.0737094915*((RANDBETWEEN(2979,3282)))</f>
        <v>107990144.0768543</v>
      </c>
      <c r="B5924">
        <v>155416476.66393912</v>
      </c>
    </row>
    <row r="5925" spans="1:2" x14ac:dyDescent="0.25">
      <c r="A5925">
        <f ca="1">38857.2628921558*((RANDBETWEEN(2979,3282)))</f>
        <v>124537527.56935942</v>
      </c>
      <c r="B5925">
        <v>173096734.91552669</v>
      </c>
    </row>
    <row r="5926" spans="1:2" x14ac:dyDescent="0.25">
      <c r="A5926">
        <f ca="1">34467.9560232586*((RANDBETWEEN(2979,3282)))</f>
        <v>111710645.47138105</v>
      </c>
      <c r="B5926">
        <v>149942603.23251593</v>
      </c>
    </row>
    <row r="5927" spans="1:2" x14ac:dyDescent="0.25">
      <c r="A5927">
        <f ca="1">28553.3384820327*((RANDBETWEEN(2979,3282)))</f>
        <v>85146055.35342136</v>
      </c>
      <c r="B5927">
        <v>171379428.9740051</v>
      </c>
    </row>
    <row r="5928" spans="1:2" x14ac:dyDescent="0.25">
      <c r="A5928">
        <f ca="1">37233.4428726976*((RANDBETWEEN(2979,3282)))</f>
        <v>111439694.51798402</v>
      </c>
      <c r="B5928">
        <v>152427841.28956082</v>
      </c>
    </row>
    <row r="5929" spans="1:2" x14ac:dyDescent="0.25">
      <c r="A5929">
        <f ca="1">31406.3887163652*((RANDBETWEEN(2979,3282)))</f>
        <v>96794490.023837611</v>
      </c>
      <c r="B5929">
        <v>146093682.48734322</v>
      </c>
    </row>
    <row r="5930" spans="1:2" x14ac:dyDescent="0.25">
      <c r="A5930">
        <f ca="1">37100.3869023205*((RANDBETWEEN(2979,3282)))</f>
        <v>121652168.65270908</v>
      </c>
      <c r="B5930">
        <v>185743420.92150125</v>
      </c>
    </row>
    <row r="5931" spans="1:2" x14ac:dyDescent="0.25">
      <c r="A5931">
        <f ca="1">34753.7620466464*((RANDBETWEEN(2979,3282)))</f>
        <v>107111094.62776408</v>
      </c>
      <c r="B5931">
        <v>151367816.23102587</v>
      </c>
    </row>
    <row r="5932" spans="1:2" x14ac:dyDescent="0.25">
      <c r="A5932">
        <f ca="1">32301.7327174159*((RANDBETWEEN(2979,3282)))</f>
        <v>99392431.571488664</v>
      </c>
      <c r="B5932">
        <v>145965084.27902514</v>
      </c>
    </row>
    <row r="5933" spans="1:2" x14ac:dyDescent="0.25">
      <c r="A5933">
        <f ca="1">30696.3460993102*((RANDBETWEEN(2979,3282)))</f>
        <v>95926081.560344458</v>
      </c>
      <c r="B5933">
        <v>171214886.82717025</v>
      </c>
    </row>
    <row r="5934" spans="1:2" x14ac:dyDescent="0.25">
      <c r="A5934">
        <f ca="1">31873.9283323157*((RANDBETWEEN(2979,3282)))</f>
        <v>104132123.86167553</v>
      </c>
      <c r="B5934">
        <v>145457472.65693209</v>
      </c>
    </row>
    <row r="5935" spans="1:2" x14ac:dyDescent="0.25">
      <c r="A5935">
        <f ca="1">38663.4685143451*((RANDBETWEEN(2979,3282)))</f>
        <v>117343626.94103733</v>
      </c>
      <c r="B5935">
        <v>150839265.84818363</v>
      </c>
    </row>
    <row r="5936" spans="1:2" x14ac:dyDescent="0.25">
      <c r="A5936">
        <f ca="1">42120.4879707978*((RANDBETWEEN(2979,3282)))</f>
        <v>128930813.67861205</v>
      </c>
      <c r="B5936">
        <v>155072290.48246077</v>
      </c>
    </row>
    <row r="5937" spans="1:2" x14ac:dyDescent="0.25">
      <c r="A5937">
        <f ca="1">31121.8883767409*((RANDBETWEEN(2979,3282)))</f>
        <v>101861940.65707283</v>
      </c>
      <c r="B5937">
        <v>174484917.59029567</v>
      </c>
    </row>
    <row r="5938" spans="1:2" x14ac:dyDescent="0.25">
      <c r="A5938">
        <f ca="1">30845.8350945523*((RANDBETWEEN(2979,3282)))</f>
        <v>96269851.33009775</v>
      </c>
      <c r="B5938">
        <v>146213421.21563369</v>
      </c>
    </row>
    <row r="5939" spans="1:2" x14ac:dyDescent="0.25">
      <c r="A5939">
        <f ca="1">31077.1991933206*((RANDBETWEEN(2979,3282)))</f>
        <v>96059622.706554011</v>
      </c>
      <c r="B5939">
        <v>163919620.84474641</v>
      </c>
    </row>
    <row r="5940" spans="1:2" x14ac:dyDescent="0.25">
      <c r="A5940">
        <f ca="1">38653.2812663561*((RANDBETWEEN(2979,3282)))</f>
        <v>125120671.4591946</v>
      </c>
      <c r="B5940">
        <v>166569404.74467149</v>
      </c>
    </row>
    <row r="5941" spans="1:2" x14ac:dyDescent="0.25">
      <c r="A5941">
        <f ca="1">32150.8110888597*((RANDBETWEEN(2979,3282)))</f>
        <v>99603212.7532873</v>
      </c>
      <c r="B5941">
        <v>203312633.45527321</v>
      </c>
    </row>
    <row r="5942" spans="1:2" x14ac:dyDescent="0.25">
      <c r="A5942">
        <f ca="1">29375.0872565933*((RANDBETWEEN(2979,3282)))</f>
        <v>92384649.421986088</v>
      </c>
      <c r="B5942">
        <v>192269546.16529226</v>
      </c>
    </row>
    <row r="5943" spans="1:2" x14ac:dyDescent="0.25">
      <c r="A5943">
        <f ca="1">28910.8409882544*((RANDBETWEEN(2979,3282)))</f>
        <v>91849741.819684386</v>
      </c>
      <c r="B5943">
        <v>202246412.21397117</v>
      </c>
    </row>
    <row r="5944" spans="1:2" x14ac:dyDescent="0.25">
      <c r="A5944">
        <f ca="1">34523.947247693*((RANDBETWEEN(2979,3282)))</f>
        <v>112099256.71325944</v>
      </c>
      <c r="B5944">
        <v>184180528.44933206</v>
      </c>
    </row>
    <row r="5945" spans="1:2" x14ac:dyDescent="0.25">
      <c r="A5945">
        <f ca="1">34618.542935164*((RANDBETWEEN(2979,3282)))</f>
        <v>108909936.07402587</v>
      </c>
      <c r="B5945">
        <v>175283033.9189136</v>
      </c>
    </row>
    <row r="5946" spans="1:2" x14ac:dyDescent="0.25">
      <c r="A5946">
        <f ca="1">35846.2074088544*((RANDBETWEEN(2979,3282)))</f>
        <v>108076315.33769609</v>
      </c>
      <c r="B5946">
        <v>167692149.28298774</v>
      </c>
    </row>
    <row r="5947" spans="1:2" x14ac:dyDescent="0.25">
      <c r="A5947">
        <f ca="1">30499.0992908387*((RANDBETWEEN(2979,3282)))</f>
        <v>99549060.08529748</v>
      </c>
      <c r="B5947">
        <v>186603907.01687294</v>
      </c>
    </row>
    <row r="5948" spans="1:2" x14ac:dyDescent="0.25">
      <c r="A5948">
        <f ca="1">33033.7153362933*((RANDBETWEEN(2979,3282)))</f>
        <v>107425642.27362582</v>
      </c>
      <c r="B5948">
        <v>160014233.52737632</v>
      </c>
    </row>
    <row r="5949" spans="1:2" x14ac:dyDescent="0.25">
      <c r="A5949">
        <f ca="1">30524.6788439343*((RANDBETWEEN(2979,3282)))</f>
        <v>92184530.108681723</v>
      </c>
      <c r="B5949">
        <v>168282956.55341181</v>
      </c>
    </row>
    <row r="5950" spans="1:2" x14ac:dyDescent="0.25">
      <c r="A5950">
        <f ca="1">31322.8418901663*((RANDBETWEEN(2979,3282)))</f>
        <v>95315407.871776104</v>
      </c>
      <c r="B5950">
        <v>154847986.70123237</v>
      </c>
    </row>
    <row r="5951" spans="1:2" x14ac:dyDescent="0.25">
      <c r="A5951">
        <f ca="1">29996.8689586672*((RANDBETWEEN(2979,3282)))</f>
        <v>89810625.662249506</v>
      </c>
      <c r="B5951">
        <v>149673916.12691474</v>
      </c>
    </row>
    <row r="5952" spans="1:2" x14ac:dyDescent="0.25">
      <c r="A5952">
        <f ca="1">37867.3809472111*((RANDBETWEEN(2979,3282)))</f>
        <v>122235905.69759728</v>
      </c>
      <c r="B5952">
        <v>200689262.31164521</v>
      </c>
    </row>
    <row r="5953" spans="1:2" x14ac:dyDescent="0.25">
      <c r="A5953">
        <f ca="1">38359.7768273724*((RANDBETWEEN(2979,3282)))</f>
        <v>116537002.00155741</v>
      </c>
      <c r="B5953">
        <v>179939227.69243675</v>
      </c>
    </row>
    <row r="5954" spans="1:2" x14ac:dyDescent="0.25">
      <c r="A5954">
        <f ca="1">29212.7320234639*((RANDBETWEEN(2979,3282)))</f>
        <v>90997660.25308992</v>
      </c>
      <c r="B5954">
        <v>162958318.48779878</v>
      </c>
    </row>
    <row r="5955" spans="1:2" x14ac:dyDescent="0.25">
      <c r="A5955">
        <f ca="1">34456.3906224435*((RANDBETWEEN(2979,3282)))</f>
        <v>103989386.89853448</v>
      </c>
      <c r="B5955">
        <v>165846007.7026763</v>
      </c>
    </row>
    <row r="5956" spans="1:2" x14ac:dyDescent="0.25">
      <c r="A5956">
        <f ca="1">41019.7243186177*((RANDBETWEEN(2979,3282)))</f>
        <v>127038086.21475916</v>
      </c>
      <c r="B5956">
        <v>154438714.11070201</v>
      </c>
    </row>
    <row r="5957" spans="1:2" x14ac:dyDescent="0.25">
      <c r="A5957">
        <f ca="1">28638.0479825079*((RANDBETWEEN(2979,3282)))</f>
        <v>85341382.987873524</v>
      </c>
      <c r="B5957">
        <v>201310406.50847048</v>
      </c>
    </row>
    <row r="5958" spans="1:2" x14ac:dyDescent="0.25">
      <c r="A5958">
        <f ca="1">35234.4844858336*((RANDBETWEEN(2979,3282)))</f>
        <v>111693315.82009251</v>
      </c>
      <c r="B5958">
        <v>162799007.95494869</v>
      </c>
    </row>
    <row r="5959" spans="1:2" x14ac:dyDescent="0.25">
      <c r="A5959">
        <f ca="1">30446.7782582438*((RANDBETWEEN(2979,3282)))</f>
        <v>97216562.978572324</v>
      </c>
      <c r="B5959">
        <v>170445243.23756546</v>
      </c>
    </row>
    <row r="5960" spans="1:2" x14ac:dyDescent="0.25">
      <c r="A5960">
        <f ca="1">36310.7098119778*((RANDBETWEEN(2979,3282)))</f>
        <v>109549411.50273713</v>
      </c>
      <c r="B5960">
        <v>175437962.73044193</v>
      </c>
    </row>
    <row r="5961" spans="1:2" x14ac:dyDescent="0.25">
      <c r="A5961">
        <f ca="1">33421.6540507764*((RANDBETWEEN(2979,3282)))</f>
        <v>108453267.39476933</v>
      </c>
      <c r="B5961">
        <v>172819729.47591391</v>
      </c>
    </row>
    <row r="5962" spans="1:2" x14ac:dyDescent="0.25">
      <c r="A5962">
        <f ca="1">29297.299490623*((RANDBETWEEN(2979,3282)))</f>
        <v>90089195.933665723</v>
      </c>
      <c r="B5962">
        <v>164274204.82661736</v>
      </c>
    </row>
    <row r="5963" spans="1:2" x14ac:dyDescent="0.25">
      <c r="A5963">
        <f ca="1">30436.5476815454*((RANDBETWEEN(2979,3282)))</f>
        <v>92587978.047261164</v>
      </c>
      <c r="B5963">
        <v>160838364.93568408</v>
      </c>
    </row>
    <row r="5964" spans="1:2" x14ac:dyDescent="0.25">
      <c r="A5964">
        <f ca="1">31024.3504420217*((RANDBETWEEN(2979,3282)))</f>
        <v>93290221.779159382</v>
      </c>
      <c r="B5964">
        <v>185715957.15813115</v>
      </c>
    </row>
    <row r="5965" spans="1:2" x14ac:dyDescent="0.25">
      <c r="A5965">
        <f ca="1">31268.2675427208*((RANDBETWEEN(2979,3282)))</f>
        <v>96024849.623695686</v>
      </c>
      <c r="B5965">
        <v>167438287.07284963</v>
      </c>
    </row>
    <row r="5966" spans="1:2" x14ac:dyDescent="0.25">
      <c r="A5966">
        <f ca="1">36995.5613224649*((RANDBETWEEN(2979,3282)))</f>
        <v>111800586.31648895</v>
      </c>
      <c r="B5966">
        <v>178104713.998979</v>
      </c>
    </row>
    <row r="5967" spans="1:2" x14ac:dyDescent="0.25">
      <c r="A5967">
        <f ca="1">31137.9419423705*((RANDBETWEEN(2979,3282)))</f>
        <v>95282102.343653783</v>
      </c>
      <c r="B5967">
        <v>142932626.80855155</v>
      </c>
    </row>
    <row r="5968" spans="1:2" x14ac:dyDescent="0.25">
      <c r="A5968">
        <f ca="1">30146.9668366711*((RANDBETWEEN(2979,3282)))</f>
        <v>90290165.675830007</v>
      </c>
      <c r="B5968">
        <v>145517325.58947641</v>
      </c>
    </row>
    <row r="5969" spans="1:2" x14ac:dyDescent="0.25">
      <c r="A5969">
        <f ca="1">29809.0182418101*((RANDBETWEEN(2979,3282)))</f>
        <v>91006932.692246214</v>
      </c>
      <c r="B5969">
        <v>146425251.2636224</v>
      </c>
    </row>
    <row r="5970" spans="1:2" x14ac:dyDescent="0.25">
      <c r="A5970">
        <f ca="1">31845.0933314094*((RANDBETWEEN(2979,3282)))</f>
        <v>99261155.914003238</v>
      </c>
      <c r="B5970">
        <v>203158238.61444515</v>
      </c>
    </row>
    <row r="5971" spans="1:2" x14ac:dyDescent="0.25">
      <c r="A5971">
        <f ca="1">38031.7918223018*((RANDBETWEEN(2979,3282)))</f>
        <v>122234178.91687807</v>
      </c>
      <c r="B5971">
        <v>180239667.04570788</v>
      </c>
    </row>
    <row r="5972" spans="1:2" x14ac:dyDescent="0.25">
      <c r="A5972">
        <f ca="1">32655.7271430355*((RANDBETWEEN(2979,3282)))</f>
        <v>100612295.32769226</v>
      </c>
      <c r="B5972">
        <v>203574837.00597873</v>
      </c>
    </row>
    <row r="5973" spans="1:2" x14ac:dyDescent="0.25">
      <c r="A5973">
        <f ca="1">28401.2740969717*((RANDBETWEEN(2979,3282)))</f>
        <v>85459433.757787868</v>
      </c>
      <c r="B5973">
        <v>187164894.78350365</v>
      </c>
    </row>
    <row r="5974" spans="1:2" x14ac:dyDescent="0.25">
      <c r="A5974">
        <f ca="1">31840.2694099203*((RANDBETWEEN(2979,3282)))</f>
        <v>97717786.819045439</v>
      </c>
      <c r="B5974">
        <v>157038802.09988585</v>
      </c>
    </row>
    <row r="5975" spans="1:2" x14ac:dyDescent="0.25">
      <c r="A5975">
        <f ca="1">31972.3534068304*((RANDBETWEEN(2979,3282)))</f>
        <v>103238729.15065525</v>
      </c>
      <c r="B5975">
        <v>196435484.3391706</v>
      </c>
    </row>
    <row r="5976" spans="1:2" x14ac:dyDescent="0.25">
      <c r="A5976">
        <f ca="1">28067.9538463323*((RANDBETWEEN(2979,3282)))</f>
        <v>84231929.49284336</v>
      </c>
      <c r="B5976">
        <v>152322193.52498716</v>
      </c>
    </row>
    <row r="5977" spans="1:2" x14ac:dyDescent="0.25">
      <c r="A5977">
        <f ca="1">30734.2052065432*((RANDBETWEEN(2979,3282)))</f>
        <v>99240748.611927837</v>
      </c>
      <c r="B5977">
        <v>158080395.32127801</v>
      </c>
    </row>
    <row r="5978" spans="1:2" x14ac:dyDescent="0.25">
      <c r="A5978">
        <f ca="1">33719.1626367233*((RANDBETWEEN(2979,3282)))</f>
        <v>108946614.47925308</v>
      </c>
      <c r="B5978">
        <v>163221726.67977741</v>
      </c>
    </row>
    <row r="5979" spans="1:2" x14ac:dyDescent="0.25">
      <c r="A5979">
        <f ca="1">36403.9114975776*((RANDBETWEEN(2979,3282)))</f>
        <v>117730249.78316592</v>
      </c>
      <c r="B5979">
        <v>198481546.81490937</v>
      </c>
    </row>
    <row r="5980" spans="1:2" x14ac:dyDescent="0.25">
      <c r="A5980">
        <f ca="1">33891.8473837705*((RANDBETWEEN(2979,3282)))</f>
        <v>102183919.86206794</v>
      </c>
      <c r="B5980">
        <v>188913353.89787751</v>
      </c>
    </row>
    <row r="5981" spans="1:2" x14ac:dyDescent="0.25">
      <c r="A5981">
        <f ca="1">37242.104829412*((RANDBETWEEN(2979,3282)))</f>
        <v>113737388.14902428</v>
      </c>
      <c r="B5981">
        <v>155368391.3684037</v>
      </c>
    </row>
    <row r="5982" spans="1:2" x14ac:dyDescent="0.25">
      <c r="A5982">
        <f ca="1">35541.406329983*((RANDBETWEEN(2979,3282)))</f>
        <v>112879506.5040261</v>
      </c>
      <c r="B5982">
        <v>198515427.80915052</v>
      </c>
    </row>
    <row r="5983" spans="1:2" x14ac:dyDescent="0.25">
      <c r="A5983">
        <f ca="1">37568.9461640084*((RANDBETWEEN(2979,3282)))</f>
        <v>122963160.79479946</v>
      </c>
      <c r="B5983">
        <v>160512867.40639636</v>
      </c>
    </row>
    <row r="5984" spans="1:2" x14ac:dyDescent="0.25">
      <c r="A5984">
        <f ca="1">30748.2005574149*((RANDBETWEEN(2979,3282)))</f>
        <v>92828817.482835591</v>
      </c>
      <c r="B5984">
        <v>147098309.27620187</v>
      </c>
    </row>
    <row r="5985" spans="1:2" x14ac:dyDescent="0.25">
      <c r="A5985">
        <f ca="1">36520.3458607564*((RANDBETWEEN(2979,3282)))</f>
        <v>114454763.9276107</v>
      </c>
      <c r="B5985">
        <v>152468171.51282457</v>
      </c>
    </row>
    <row r="5986" spans="1:2" x14ac:dyDescent="0.25">
      <c r="A5986">
        <f ca="1">35776.5034759691*((RANDBETWEEN(2979,3282)))</f>
        <v>111121819.79636018</v>
      </c>
      <c r="B5986">
        <v>146616195.84948766</v>
      </c>
    </row>
    <row r="5987" spans="1:2" x14ac:dyDescent="0.25">
      <c r="A5987">
        <f ca="1">31360.0262724974*((RANDBETWEEN(2979,3282)))</f>
        <v>98533202.548186854</v>
      </c>
      <c r="B5987">
        <v>175066781.39895517</v>
      </c>
    </row>
    <row r="5988" spans="1:2" x14ac:dyDescent="0.25">
      <c r="A5988">
        <f ca="1">37313.7585113716*((RANDBETWEEN(2979,3282)))</f>
        <v>115299513.80013826</v>
      </c>
      <c r="B5988">
        <v>147965349.02935973</v>
      </c>
    </row>
    <row r="5989" spans="1:2" x14ac:dyDescent="0.25">
      <c r="A5989">
        <f ca="1">32174.3211369693*((RANDBETWEEN(2979,3282)))</f>
        <v>98807340.211632639</v>
      </c>
      <c r="B5989">
        <v>157842687.37540913</v>
      </c>
    </row>
    <row r="5990" spans="1:2" x14ac:dyDescent="0.25">
      <c r="A5990">
        <f ca="1">41073.0691413961*((RANDBETWEEN(2979,3282)))</f>
        <v>125272860.88125813</v>
      </c>
      <c r="B5990">
        <v>148964378.524436</v>
      </c>
    </row>
    <row r="5991" spans="1:2" x14ac:dyDescent="0.25">
      <c r="A5991">
        <f ca="1">27509.643433627*((RANDBETWEEN(2979,3282)))</f>
        <v>86765415.389659554</v>
      </c>
      <c r="B5991">
        <v>200853200.79334131</v>
      </c>
    </row>
    <row r="5992" spans="1:2" x14ac:dyDescent="0.25">
      <c r="A5992">
        <f ca="1">38722.744125001*((RANDBETWEEN(2979,3282)))</f>
        <v>123602999.24700324</v>
      </c>
      <c r="B5992">
        <v>200574479.54998937</v>
      </c>
    </row>
    <row r="5993" spans="1:2" x14ac:dyDescent="0.25">
      <c r="A5993">
        <f ca="1">30756.0055142276*((RANDBETWEEN(2979,3282)))</f>
        <v>100110797.94881083</v>
      </c>
      <c r="B5993">
        <v>191418495.18049714</v>
      </c>
    </row>
    <row r="5994" spans="1:2" x14ac:dyDescent="0.25">
      <c r="A5994">
        <f ca="1">33528.9436362772*((RANDBETWEEN(2979,3282)))</f>
        <v>109270827.31062733</v>
      </c>
      <c r="B5994">
        <v>151251543.36226135</v>
      </c>
    </row>
    <row r="5995" spans="1:2" x14ac:dyDescent="0.25">
      <c r="A5995">
        <f ca="1">39285.7698836405*((RANDBETWEEN(2979,3282)))</f>
        <v>126696607.8747406</v>
      </c>
      <c r="B5995">
        <v>166670159.58028123</v>
      </c>
    </row>
    <row r="5996" spans="1:2" x14ac:dyDescent="0.25">
      <c r="A5996">
        <f ca="1">32664.841360005*((RANDBETWEEN(2979,3282)))</f>
        <v>103188233.85625583</v>
      </c>
      <c r="B5996">
        <v>153572607.85382226</v>
      </c>
    </row>
    <row r="5997" spans="1:2" x14ac:dyDescent="0.25">
      <c r="A5997">
        <f ca="1">31136.4903722914*((RANDBETWEEN(2979,3282)))</f>
        <v>94219019.866553649</v>
      </c>
      <c r="B5997">
        <v>146894788.98921376</v>
      </c>
    </row>
    <row r="5998" spans="1:2" x14ac:dyDescent="0.25">
      <c r="A5998">
        <f ca="1">32987.5852903586*((RANDBETWEEN(2979,3282)))</f>
        <v>104306744.68811384</v>
      </c>
      <c r="B5998">
        <v>161837014.33566958</v>
      </c>
    </row>
    <row r="5999" spans="1:2" x14ac:dyDescent="0.25">
      <c r="A5999">
        <f ca="1">32624.560042009*((RANDBETWEEN(2979,3282)))</f>
        <v>98232550.286489218</v>
      </c>
      <c r="B5999">
        <v>168098654.6138202</v>
      </c>
    </row>
    <row r="6000" spans="1:2" x14ac:dyDescent="0.25">
      <c r="A6000">
        <f ca="1">29812.1681189776*((RANDBETWEEN(2979,3282)))</f>
        <v>94862318.954586759</v>
      </c>
      <c r="B6000">
        <v>168706359.12957373</v>
      </c>
    </row>
    <row r="6001" spans="1:2" x14ac:dyDescent="0.25">
      <c r="A6001">
        <f ca="1">29697.3485694438*((RANDBETWEEN(2979,3282)))</f>
        <v>89181137.75403969</v>
      </c>
      <c r="B6001">
        <v>200153694.0860644</v>
      </c>
    </row>
    <row r="6002" spans="1:2" x14ac:dyDescent="0.25">
      <c r="A6002">
        <f ca="1">30279.132983678*((RANDBETWEEN(2979,3282)))</f>
        <v>97407970.808492199</v>
      </c>
      <c r="B6002">
        <v>147467256.23257518</v>
      </c>
    </row>
    <row r="6003" spans="1:2" x14ac:dyDescent="0.25">
      <c r="A6003">
        <f ca="1">30264.5700260168*((RANDBETWEEN(2979,3282)))</f>
        <v>90218683.247556165</v>
      </c>
      <c r="B6003">
        <v>202873989.41330683</v>
      </c>
    </row>
    <row r="6004" spans="1:2" x14ac:dyDescent="0.25">
      <c r="A6004">
        <f ca="1">30995.2412967078*((RANDBETWEEN(2979,3282)))</f>
        <v>101168467.5924543</v>
      </c>
      <c r="B6004">
        <v>150619385.94081736</v>
      </c>
    </row>
    <row r="6005" spans="1:2" x14ac:dyDescent="0.25">
      <c r="A6005">
        <f ca="1">31279.0064258925*((RANDBETWEEN(2979,3282)))</f>
        <v>101562933.86487289</v>
      </c>
      <c r="B6005">
        <v>195794696.03348047</v>
      </c>
    </row>
    <row r="6006" spans="1:2" x14ac:dyDescent="0.25">
      <c r="A6006">
        <f ca="1">32242.3385664084*((RANDBETWEEN(2979,3282)))</f>
        <v>97468589.486252725</v>
      </c>
      <c r="B6006">
        <v>146145734.35218135</v>
      </c>
    </row>
    <row r="6007" spans="1:2" x14ac:dyDescent="0.25">
      <c r="A6007">
        <f ca="1">37469.4593826346*((RANDBETWEEN(2979,3282)))</f>
        <v>117916388.67715111</v>
      </c>
      <c r="B6007">
        <v>162269382.27843514</v>
      </c>
    </row>
    <row r="6008" spans="1:2" x14ac:dyDescent="0.25">
      <c r="A6008">
        <f ca="1">38764.7030662398*((RANDBETWEEN(2979,3282)))</f>
        <v>125558873.23155072</v>
      </c>
      <c r="B6008">
        <v>182106562.9053815</v>
      </c>
    </row>
    <row r="6009" spans="1:2" x14ac:dyDescent="0.25">
      <c r="A6009">
        <f ca="1">39259.3752937515*((RANDBETWEEN(2979,3282)))</f>
        <v>121389988.40827964</v>
      </c>
      <c r="B6009">
        <v>190003883.66739959</v>
      </c>
    </row>
    <row r="6010" spans="1:2" x14ac:dyDescent="0.25">
      <c r="A6010">
        <f ca="1">38258.6623946544*((RANDBETWEEN(2979,3282)))</f>
        <v>119596578.6456897</v>
      </c>
      <c r="B6010">
        <v>170655906.45269063</v>
      </c>
    </row>
    <row r="6011" spans="1:2" x14ac:dyDescent="0.25">
      <c r="A6011">
        <f ca="1">29394.4840913988*((RANDBETWEEN(2979,3282)))</f>
        <v>89770754.415131837</v>
      </c>
      <c r="B6011">
        <v>167979747.89776215</v>
      </c>
    </row>
    <row r="6012" spans="1:2" x14ac:dyDescent="0.25">
      <c r="A6012">
        <f ca="1">33465.731771844*((RANDBETWEEN(2979,3282)))</f>
        <v>105684780.93548325</v>
      </c>
      <c r="B6012">
        <v>166651946.72778189</v>
      </c>
    </row>
    <row r="6013" spans="1:2" x14ac:dyDescent="0.25">
      <c r="A6013">
        <f ca="1">33368.7138939131*((RANDBETWEEN(2979,3282)))</f>
        <v>109416012.8581409</v>
      </c>
      <c r="B6013">
        <v>143441353.58977771</v>
      </c>
    </row>
    <row r="6014" spans="1:2" x14ac:dyDescent="0.25">
      <c r="A6014">
        <f ca="1">32423.2768082237*((RANDBETWEEN(2979,3282)))</f>
        <v>97626486.469561562</v>
      </c>
      <c r="B6014">
        <v>149888336.83034953</v>
      </c>
    </row>
    <row r="6015" spans="1:2" x14ac:dyDescent="0.25">
      <c r="A6015">
        <f ca="1">32310.548793246*((RANDBETWEEN(2979,3282)))</f>
        <v>99613421.929577485</v>
      </c>
      <c r="B6015">
        <v>166634117.29257423</v>
      </c>
    </row>
    <row r="6016" spans="1:2" x14ac:dyDescent="0.25">
      <c r="A6016">
        <f ca="1">27378.4196218504*((RANDBETWEEN(2979,3282)))</f>
        <v>83257774.070047185</v>
      </c>
      <c r="B6016">
        <v>154175741.43528709</v>
      </c>
    </row>
    <row r="6017" spans="1:2" x14ac:dyDescent="0.25">
      <c r="A6017">
        <f ca="1">32589.78587288*((RANDBETWEEN(2979,3282)))</f>
        <v>105688675.58574986</v>
      </c>
      <c r="B6017">
        <v>165909876.79907799</v>
      </c>
    </row>
    <row r="6018" spans="1:2" x14ac:dyDescent="0.25">
      <c r="A6018">
        <f ca="1">32598.6588676864*((RANDBETWEEN(2979,3282)))</f>
        <v>100175678.70040037</v>
      </c>
      <c r="B6018">
        <v>189404245.06039807</v>
      </c>
    </row>
    <row r="6019" spans="1:2" x14ac:dyDescent="0.25">
      <c r="A6019">
        <f ca="1">31208.3960497224*((RANDBETWEEN(2979,3282)))</f>
        <v>95091982.763504013</v>
      </c>
      <c r="B6019">
        <v>200583826.12301931</v>
      </c>
    </row>
    <row r="6020" spans="1:2" x14ac:dyDescent="0.25">
      <c r="A6020">
        <f ca="1">33016.4643019939*((RANDBETWEEN(2979,3282)))</f>
        <v>100138936.22794744</v>
      </c>
      <c r="B6020">
        <v>158351390.4303087</v>
      </c>
    </row>
    <row r="6021" spans="1:2" x14ac:dyDescent="0.25">
      <c r="A6021">
        <f ca="1">33337.5649788318*((RANDBETWEEN(2979,3282)))</f>
        <v>109280538.00061068</v>
      </c>
      <c r="B6021">
        <v>174730275.78911525</v>
      </c>
    </row>
    <row r="6022" spans="1:2" x14ac:dyDescent="0.25">
      <c r="A6022">
        <f ca="1">32277.2210204775*((RANDBETWEEN(2979,3282)))</f>
        <v>103222552.82348719</v>
      </c>
      <c r="B6022">
        <v>162331579.43170744</v>
      </c>
    </row>
    <row r="6023" spans="1:2" x14ac:dyDescent="0.25">
      <c r="A6023">
        <f ca="1">39373.52504839*((RANDBETWEEN(2979,3282)))</f>
        <v>120443613.12302506</v>
      </c>
      <c r="B6023">
        <v>159012680.27998519</v>
      </c>
    </row>
    <row r="6024" spans="1:2" x14ac:dyDescent="0.25">
      <c r="A6024">
        <f ca="1">26760.903115987*((RANDBETWEEN(2979,3282)))</f>
        <v>80416513.863540813</v>
      </c>
      <c r="B6024">
        <v>145228984.10601676</v>
      </c>
    </row>
    <row r="6025" spans="1:2" x14ac:dyDescent="0.25">
      <c r="A6025">
        <f ca="1">31563.8936875447*((RANDBETWEEN(2979,3282)))</f>
        <v>100404745.82007979</v>
      </c>
      <c r="B6025">
        <v>177824796.90620813</v>
      </c>
    </row>
    <row r="6026" spans="1:2" x14ac:dyDescent="0.25">
      <c r="A6026">
        <f ca="1">32579.2286458274*((RANDBETWEEN(2979,3282)))</f>
        <v>102526832.54841873</v>
      </c>
      <c r="B6026">
        <v>156713617.23853043</v>
      </c>
    </row>
    <row r="6027" spans="1:2" x14ac:dyDescent="0.25">
      <c r="A6027">
        <f ca="1">36672.4532670817*((RANDBETWEEN(2979,3282)))</f>
        <v>115518227.79130742</v>
      </c>
      <c r="B6027">
        <v>160023789.36415964</v>
      </c>
    </row>
    <row r="6028" spans="1:2" x14ac:dyDescent="0.25">
      <c r="A6028">
        <f ca="1">32416.0313479886*((RANDBETWEEN(2979,3282)))</f>
        <v>105579014.10039896</v>
      </c>
      <c r="B6028">
        <v>201222908.94655415</v>
      </c>
    </row>
    <row r="6029" spans="1:2" x14ac:dyDescent="0.25">
      <c r="A6029">
        <f ca="1">31355.5494588249*((RANDBETWEEN(2979,3282)))</f>
        <v>96543736.783721954</v>
      </c>
      <c r="B6029">
        <v>166840718.31621078</v>
      </c>
    </row>
    <row r="6030" spans="1:2" x14ac:dyDescent="0.25">
      <c r="A6030">
        <f ca="1">32774.7295378627*((RANDBETWEEN(2979,3282)))</f>
        <v>99372979.95879972</v>
      </c>
      <c r="B6030">
        <v>201756470.09743854</v>
      </c>
    </row>
    <row r="6031" spans="1:2" x14ac:dyDescent="0.25">
      <c r="A6031">
        <f ca="1">31948.5745425678*((RANDBETWEEN(2979,3282)))</f>
        <v>104024558.71060061</v>
      </c>
      <c r="B6031">
        <v>165771397.88114437</v>
      </c>
    </row>
    <row r="6032" spans="1:2" x14ac:dyDescent="0.25">
      <c r="A6032">
        <f ca="1">38838.7863637177*((RANDBETWEEN(2979,3282)))</f>
        <v>118108749.33206546</v>
      </c>
      <c r="B6032">
        <v>202713782.83099091</v>
      </c>
    </row>
    <row r="6033" spans="1:2" x14ac:dyDescent="0.25">
      <c r="A6033">
        <f ca="1">31201.9674622169*((RANDBETWEEN(2979,3282)))</f>
        <v>100127113.58625397</v>
      </c>
      <c r="B6033">
        <v>157415334.48570657</v>
      </c>
    </row>
    <row r="6034" spans="1:2" x14ac:dyDescent="0.25">
      <c r="A6034">
        <f ca="1">29170.2875341035*((RANDBETWEEN(2979,3282)))</f>
        <v>95736883.686927706</v>
      </c>
      <c r="B6034">
        <v>144632558.84687898</v>
      </c>
    </row>
    <row r="6035" spans="1:2" x14ac:dyDescent="0.25">
      <c r="A6035">
        <f ca="1">44025.0641423411*((RANDBETWEEN(2979,3282)))</f>
        <v>138238701.40695119</v>
      </c>
      <c r="B6035">
        <v>177454918.00313398</v>
      </c>
    </row>
    <row r="6036" spans="1:2" x14ac:dyDescent="0.25">
      <c r="A6036">
        <f ca="1">31487.3413425682*((RANDBETWEEN(2979,3282)))</f>
        <v>99783384.714598671</v>
      </c>
      <c r="B6036">
        <v>190371401.63025948</v>
      </c>
    </row>
    <row r="6037" spans="1:2" x14ac:dyDescent="0.25">
      <c r="A6037">
        <f ca="1">31199.9043508364*((RANDBETWEEN(2979,3282)))</f>
        <v>98810097.079098761</v>
      </c>
      <c r="B6037">
        <v>143921620.9886952</v>
      </c>
    </row>
    <row r="6038" spans="1:2" x14ac:dyDescent="0.25">
      <c r="A6038">
        <f ca="1">29503.9322910839*((RANDBETWEEN(2979,3282)))</f>
        <v>89957489.555514887</v>
      </c>
      <c r="B6038">
        <v>154564792.59893352</v>
      </c>
    </row>
    <row r="6039" spans="1:2" x14ac:dyDescent="0.25">
      <c r="A6039">
        <f ca="1">30329.4246175778*((RANDBETWEEN(2979,3282)))</f>
        <v>96720535.105455652</v>
      </c>
      <c r="B6039">
        <v>167325175.89080507</v>
      </c>
    </row>
    <row r="6040" spans="1:2" x14ac:dyDescent="0.25">
      <c r="A6040">
        <f ca="1">41790.2522661152*((RANDBETWEEN(2979,3282)))</f>
        <v>126164771.5914017</v>
      </c>
      <c r="B6040">
        <v>148396394.98869652</v>
      </c>
    </row>
    <row r="6041" spans="1:2" x14ac:dyDescent="0.25">
      <c r="A6041">
        <f ca="1">30679.95976449*((RANDBETWEEN(2979,3282)))</f>
        <v>93880676.879339367</v>
      </c>
      <c r="B6041">
        <v>146015984.95081666</v>
      </c>
    </row>
    <row r="6042" spans="1:2" x14ac:dyDescent="0.25">
      <c r="A6042">
        <f ca="1">37591.9076930142*((RANDBETWEEN(2979,3282)))</f>
        <v>118677652.58684576</v>
      </c>
      <c r="B6042">
        <v>171267398.6148454</v>
      </c>
    </row>
    <row r="6043" spans="1:2" x14ac:dyDescent="0.25">
      <c r="A6043">
        <f ca="1">41159.1189237135*((RANDBETWEEN(2979,3282)))</f>
        <v>127469791.30674075</v>
      </c>
      <c r="B6043">
        <v>175158365.46133736</v>
      </c>
    </row>
    <row r="6044" spans="1:2" x14ac:dyDescent="0.25">
      <c r="A6044">
        <f ca="1">37318.3930598433*((RANDBETWEEN(2979,3282)))</f>
        <v>112552273.4684874</v>
      </c>
      <c r="B6044">
        <v>195138245.59128615</v>
      </c>
    </row>
    <row r="6045" spans="1:2" x14ac:dyDescent="0.25">
      <c r="A6045">
        <f ca="1">38201.8907673312*((RANDBETWEEN(2979,3282)))</f>
        <v>124117943.10305923</v>
      </c>
      <c r="B6045">
        <v>200418553.68446684</v>
      </c>
    </row>
    <row r="6046" spans="1:2" x14ac:dyDescent="0.25">
      <c r="A6046">
        <f ca="1">32265.6969196591*((RANDBETWEEN(2979,3282)))</f>
        <v>102024133.65996212</v>
      </c>
      <c r="B6046">
        <v>164866834.15953261</v>
      </c>
    </row>
    <row r="6047" spans="1:2" x14ac:dyDescent="0.25">
      <c r="A6047">
        <f ca="1">34544.6604989614*((RANDBETWEEN(2979,3282)))</f>
        <v>104601231.99085502</v>
      </c>
      <c r="B6047">
        <v>163125599.62568405</v>
      </c>
    </row>
    <row r="6048" spans="1:2" x14ac:dyDescent="0.25">
      <c r="A6048">
        <f ca="1">31092.7831379522*((RANDBETWEEN(2979,3282)))</f>
        <v>93495998.895822257</v>
      </c>
      <c r="B6048">
        <v>152126935.02309459</v>
      </c>
    </row>
    <row r="6049" spans="1:2" x14ac:dyDescent="0.25">
      <c r="A6049">
        <f ca="1">34758.0875591827*((RANDBETWEEN(2979,3282)))</f>
        <v>108271442.74685413</v>
      </c>
      <c r="B6049">
        <v>146322823.61662573</v>
      </c>
    </row>
    <row r="6050" spans="1:2" x14ac:dyDescent="0.25">
      <c r="A6050">
        <f ca="1">36062.5041335888*((RANDBETWEEN(2979,3282)))</f>
        <v>110315200.14464799</v>
      </c>
      <c r="B6050">
        <v>172089103.92125285</v>
      </c>
    </row>
    <row r="6051" spans="1:2" x14ac:dyDescent="0.25">
      <c r="A6051">
        <f ca="1">31183.4430598077*((RANDBETWEEN(2979,3282)))</f>
        <v>95140684.775473148</v>
      </c>
      <c r="B6051">
        <v>159016670.67082584</v>
      </c>
    </row>
    <row r="6052" spans="1:2" x14ac:dyDescent="0.25">
      <c r="A6052">
        <f ca="1">30177.4847639638*((RANDBETWEEN(2979,3282)))</f>
        <v>98016470.513354272</v>
      </c>
      <c r="B6052">
        <v>171261146.59409282</v>
      </c>
    </row>
    <row r="6053" spans="1:2" x14ac:dyDescent="0.25">
      <c r="A6053">
        <f ca="1">36557.6830677213*((RANDBETWEEN(2979,3282)))</f>
        <v>110769779.69519563</v>
      </c>
      <c r="B6053">
        <v>158655240.51545978</v>
      </c>
    </row>
    <row r="6054" spans="1:2" x14ac:dyDescent="0.25">
      <c r="A6054">
        <f ca="1">32644.3397516237*((RANDBETWEEN(2979,3282)))</f>
        <v>100675143.79400738</v>
      </c>
      <c r="B6054">
        <v>185673671.79692519</v>
      </c>
    </row>
    <row r="6055" spans="1:2" x14ac:dyDescent="0.25">
      <c r="A6055">
        <f ca="1">33270.6379747314*((RANDBETWEEN(2979,3282)))</f>
        <v>109127692.55711909</v>
      </c>
      <c r="B6055">
        <v>150292836.83183137</v>
      </c>
    </row>
    <row r="6056" spans="1:2" x14ac:dyDescent="0.25">
      <c r="A6056">
        <f ca="1">40339.677792477*((RANDBETWEEN(2979,3282)))</f>
        <v>126908626.33513257</v>
      </c>
      <c r="B6056">
        <v>159893226.79451662</v>
      </c>
    </row>
    <row r="6057" spans="1:2" x14ac:dyDescent="0.25">
      <c r="A6057">
        <f ca="1">32377.524641656*((RANDBETWEEN(2979,3282)))</f>
        <v>97585859.269951209</v>
      </c>
      <c r="B6057">
        <v>159299345.69307736</v>
      </c>
    </row>
    <row r="6058" spans="1:2" x14ac:dyDescent="0.25">
      <c r="A6058">
        <f ca="1">31837.4786399277*((RANDBETWEEN(2979,3282)))</f>
        <v>97741059.424578056</v>
      </c>
      <c r="B6058">
        <v>150132704.7819843</v>
      </c>
    </row>
    <row r="6059" spans="1:2" x14ac:dyDescent="0.25">
      <c r="A6059">
        <f ca="1">36175.6720102094*((RANDBETWEEN(2979,3282)))</f>
        <v>111095488.74335319</v>
      </c>
      <c r="B6059">
        <v>147649776.25586367</v>
      </c>
    </row>
    <row r="6060" spans="1:2" x14ac:dyDescent="0.25">
      <c r="A6060">
        <f ca="1">39066.4810823726*((RANDBETWEEN(2979,3282)))</f>
        <v>127864592.58260541</v>
      </c>
      <c r="B6060">
        <v>143675335.29372925</v>
      </c>
    </row>
    <row r="6061" spans="1:2" x14ac:dyDescent="0.25">
      <c r="A6061">
        <f ca="1">33037.1305109967*((RANDBETWEEN(2979,3282)))</f>
        <v>102183844.6705128</v>
      </c>
      <c r="B6061">
        <v>148712908.20507467</v>
      </c>
    </row>
    <row r="6062" spans="1:2" x14ac:dyDescent="0.25">
      <c r="A6062">
        <f ca="1">27971.7837222482*((RANDBETWEEN(2979,3282)))</f>
        <v>87271965.213414237</v>
      </c>
      <c r="B6062">
        <v>147717708.56935573</v>
      </c>
    </row>
    <row r="6063" spans="1:2" x14ac:dyDescent="0.25">
      <c r="A6063">
        <f ca="1">34706.7086137367*((RANDBETWEEN(2979,3282)))</f>
        <v>106341355.19248925</v>
      </c>
      <c r="B6063">
        <v>151497291.52217856</v>
      </c>
    </row>
    <row r="6064" spans="1:2" x14ac:dyDescent="0.25">
      <c r="A6064">
        <f ca="1">39402.4978174763*((RANDBETWEEN(2979,3282)))</f>
        <v>125418150.55302711</v>
      </c>
      <c r="B6064">
        <v>147112384.51394707</v>
      </c>
    </row>
    <row r="6065" spans="1:2" x14ac:dyDescent="0.25">
      <c r="A6065">
        <f ca="1">33002.7742737641*((RANDBETWEEN(2979,3282)))</f>
        <v>102869647.41132259</v>
      </c>
      <c r="B6065">
        <v>155707987.35282913</v>
      </c>
    </row>
    <row r="6066" spans="1:2" x14ac:dyDescent="0.25">
      <c r="A6066">
        <f ca="1">35765.6897468122*((RANDBETWEEN(2979,3282)))</f>
        <v>107082475.10195567</v>
      </c>
      <c r="B6066">
        <v>167577535.15748397</v>
      </c>
    </row>
    <row r="6067" spans="1:2" x14ac:dyDescent="0.25">
      <c r="A6067">
        <f ca="1">29364.9016613044*((RANDBETWEEN(2979,3282)))</f>
        <v>89151841.443720073</v>
      </c>
      <c r="B6067">
        <v>157091258.68695191</v>
      </c>
    </row>
    <row r="6068" spans="1:2" x14ac:dyDescent="0.25">
      <c r="A6068">
        <f ca="1">39178.151788522*((RANDBETWEEN(2979,3282)))</f>
        <v>125487620.17863606</v>
      </c>
      <c r="B6068">
        <v>182266360.52191612</v>
      </c>
    </row>
    <row r="6069" spans="1:2" x14ac:dyDescent="0.25">
      <c r="A6069">
        <f ca="1">39887.0511801408*((RANDBETWEEN(2979,3282)))</f>
        <v>128875062.36303499</v>
      </c>
      <c r="B6069">
        <v>168766579.31207019</v>
      </c>
    </row>
    <row r="6070" spans="1:2" x14ac:dyDescent="0.25">
      <c r="A6070">
        <f ca="1">32806.7707707086*((RANDBETWEEN(2979,3282)))</f>
        <v>106556391.46326163</v>
      </c>
      <c r="B6070">
        <v>173848259.85327303</v>
      </c>
    </row>
    <row r="6071" spans="1:2" x14ac:dyDescent="0.25">
      <c r="A6071">
        <f ca="1">29112.6433560114*((RANDBETWEEN(2979,3282)))</f>
        <v>94557865.620325029</v>
      </c>
      <c r="B6071">
        <v>145591105.85761583</v>
      </c>
    </row>
    <row r="6072" spans="1:2" x14ac:dyDescent="0.25">
      <c r="A6072">
        <f ca="1">31965.5172751834*((RANDBETWEEN(2979,3282)))</f>
        <v>104175620.79982267</v>
      </c>
      <c r="B6072">
        <v>177584658.8805449</v>
      </c>
    </row>
    <row r="6073" spans="1:2" x14ac:dyDescent="0.25">
      <c r="A6073">
        <f ca="1">31327.250157507*((RANDBETWEEN(2979,3282)))</f>
        <v>101343654.25953512</v>
      </c>
      <c r="B6073">
        <v>163238031.0978713</v>
      </c>
    </row>
    <row r="6074" spans="1:2" x14ac:dyDescent="0.25">
      <c r="A6074">
        <f ca="1">30071.7844954494*((RANDBETWEEN(2979,3282)))</f>
        <v>95748561.833511025</v>
      </c>
      <c r="B6074">
        <v>166739493.88955623</v>
      </c>
    </row>
    <row r="6075" spans="1:2" x14ac:dyDescent="0.25">
      <c r="A6075">
        <f ca="1">30273.7543860793*((RANDBETWEEN(2979,3282)))</f>
        <v>91608380.772275835</v>
      </c>
      <c r="B6075">
        <v>185090099.62743816</v>
      </c>
    </row>
    <row r="6076" spans="1:2" x14ac:dyDescent="0.25">
      <c r="A6076">
        <f ca="1">37362.707619626*((RANDBETWEEN(2979,3282)))</f>
        <v>118626596.69231254</v>
      </c>
      <c r="B6076">
        <v>168335591.0769366</v>
      </c>
    </row>
    <row r="6077" spans="1:2" x14ac:dyDescent="0.25">
      <c r="A6077">
        <f ca="1">31257.3433274736*((RANDBETWEEN(2979,3282)))</f>
        <v>93240655.145853683</v>
      </c>
      <c r="B6077">
        <v>187874250.04829296</v>
      </c>
    </row>
    <row r="6078" spans="1:2" x14ac:dyDescent="0.25">
      <c r="A6078">
        <f ca="1">35259.8114489379*((RANDBETWEEN(2979,3282)))</f>
        <v>114171269.47166118</v>
      </c>
      <c r="B6078">
        <v>173701299.48552066</v>
      </c>
    </row>
    <row r="6079" spans="1:2" x14ac:dyDescent="0.25">
      <c r="A6079">
        <f ca="1">31555.0697444364*((RANDBETWEEN(2979,3282)))</f>
        <v>103437518.62226252</v>
      </c>
      <c r="B6079">
        <v>175608065.06098872</v>
      </c>
    </row>
    <row r="6080" spans="1:2" x14ac:dyDescent="0.25">
      <c r="A6080">
        <f ca="1">40939.6571316496*((RANDBETWEEN(2979,3282)))</f>
        <v>125684747.39416441</v>
      </c>
      <c r="B6080">
        <v>150671572.37832361</v>
      </c>
    </row>
    <row r="6081" spans="1:2" x14ac:dyDescent="0.25">
      <c r="A6081">
        <f ca="1">32665.5667665092*((RANDBETWEEN(2979,3282)))</f>
        <v>101883902.74474235</v>
      </c>
      <c r="B6081">
        <v>166121376.23667747</v>
      </c>
    </row>
    <row r="6082" spans="1:2" x14ac:dyDescent="0.25">
      <c r="A6082">
        <f ca="1">29709.3226347747*((RANDBETWEEN(2979,3282)))</f>
        <v>90583724.713428035</v>
      </c>
      <c r="B6082">
        <v>171717829.30093667</v>
      </c>
    </row>
    <row r="6083" spans="1:2" x14ac:dyDescent="0.25">
      <c r="A6083">
        <f ca="1">30333.9837131253*((RANDBETWEEN(2979,3282)))</f>
        <v>93125329.999294668</v>
      </c>
      <c r="B6083">
        <v>156263822.51227057</v>
      </c>
    </row>
    <row r="6084" spans="1:2" x14ac:dyDescent="0.25">
      <c r="A6084">
        <f ca="1">34398.1960803675*((RANDBETWEEN(2979,3282)))</f>
        <v>102609818.90773615</v>
      </c>
      <c r="B6084">
        <v>154102732.53199854</v>
      </c>
    </row>
    <row r="6085" spans="1:2" x14ac:dyDescent="0.25">
      <c r="A6085">
        <f ca="1">34654.0539412644*((RANDBETWEEN(2979,3282)))</f>
        <v>108085994.24280366</v>
      </c>
      <c r="B6085">
        <v>181797199.69751519</v>
      </c>
    </row>
    <row r="6086" spans="1:2" x14ac:dyDescent="0.25">
      <c r="A6086">
        <f ca="1">31846.7203937695*((RANDBETWEEN(2979,3282)))</f>
        <v>95476467.74052088</v>
      </c>
      <c r="B6086">
        <v>178135036.15782386</v>
      </c>
    </row>
    <row r="6087" spans="1:2" x14ac:dyDescent="0.25">
      <c r="A6087">
        <f ca="1">31513.973010339*((RANDBETWEEN(2979,3282)))</f>
        <v>97819372.224092305</v>
      </c>
      <c r="B6087">
        <v>144161593.85798621</v>
      </c>
    </row>
    <row r="6088" spans="1:2" x14ac:dyDescent="0.25">
      <c r="A6088">
        <f ca="1">30047.3462410942*((RANDBETWEEN(2979,3282)))</f>
        <v>90322322.800729096</v>
      </c>
      <c r="B6088">
        <v>187809955.0317294</v>
      </c>
    </row>
    <row r="6089" spans="1:2" x14ac:dyDescent="0.25">
      <c r="A6089">
        <f ca="1">31002.7421653476*((RANDBETWEEN(2979,3282)))</f>
        <v>92574188.105727986</v>
      </c>
      <c r="B6089">
        <v>187653686.84468508</v>
      </c>
    </row>
    <row r="6090" spans="1:2" x14ac:dyDescent="0.25">
      <c r="A6090">
        <f ca="1">31607.8475532667*((RANDBETWEEN(2979,3282)))</f>
        <v>98837739.299064875</v>
      </c>
      <c r="B6090">
        <v>143315146.80924726</v>
      </c>
    </row>
    <row r="6091" spans="1:2" x14ac:dyDescent="0.25">
      <c r="A6091">
        <f ca="1">27914.313073082*((RANDBETWEEN(2979,3282)))</f>
        <v>88376715.189377502</v>
      </c>
      <c r="B6091">
        <v>179890929.40568665</v>
      </c>
    </row>
    <row r="6092" spans="1:2" x14ac:dyDescent="0.25">
      <c r="A6092">
        <f ca="1">33366.0448739585*((RANDBETWEEN(2979,3282)))</f>
        <v>101499508.5065818</v>
      </c>
      <c r="B6092">
        <v>148825434.69474089</v>
      </c>
    </row>
    <row r="6093" spans="1:2" x14ac:dyDescent="0.25">
      <c r="A6093">
        <f ca="1">31590.3975190474*((RANDBETWEEN(2979,3282)))</f>
        <v>96950929.98595643</v>
      </c>
      <c r="B6093">
        <v>145561541.79744783</v>
      </c>
    </row>
    <row r="6094" spans="1:2" x14ac:dyDescent="0.25">
      <c r="A6094">
        <f ca="1">33627.6050385566*((RANDBETWEEN(2979,3282)))</f>
        <v>104144692.80440994</v>
      </c>
      <c r="B6094">
        <v>173543423.45483935</v>
      </c>
    </row>
    <row r="6095" spans="1:2" x14ac:dyDescent="0.25">
      <c r="A6095">
        <f ca="1">33202.8027653173*((RANDBETWEEN(2979,3282)))</f>
        <v>101301751.23698318</v>
      </c>
      <c r="B6095">
        <v>159908067.864793</v>
      </c>
    </row>
    <row r="6096" spans="1:2" x14ac:dyDescent="0.25">
      <c r="A6096">
        <f ca="1">35110.4024845353*((RANDBETWEEN(2979,3282)))</f>
        <v>107016506.77286372</v>
      </c>
      <c r="B6096">
        <v>152006810.84297466</v>
      </c>
    </row>
    <row r="6097" spans="1:2" x14ac:dyDescent="0.25">
      <c r="A6097">
        <f ca="1">31550.9086570767*((RANDBETWEEN(2979,3282)))</f>
        <v>100994458.61130273</v>
      </c>
      <c r="B6097">
        <v>152608688.72831649</v>
      </c>
    </row>
    <row r="6098" spans="1:2" x14ac:dyDescent="0.25">
      <c r="A6098">
        <f ca="1">32365.2362246724*((RANDBETWEEN(2979,3282)))</f>
        <v>98843431.43014957</v>
      </c>
      <c r="B6098">
        <v>195266169.93779907</v>
      </c>
    </row>
    <row r="6099" spans="1:2" x14ac:dyDescent="0.25">
      <c r="A6099">
        <f ca="1">34963.2938815269*((RANDBETWEEN(2979,3282)))</f>
        <v>108630954.08990395</v>
      </c>
      <c r="B6099">
        <v>195662252.46234334</v>
      </c>
    </row>
    <row r="6100" spans="1:2" x14ac:dyDescent="0.25">
      <c r="A6100">
        <f ca="1">33540.0689071926*((RANDBETWEEN(2979,3282)))</f>
        <v>107495920.84755222</v>
      </c>
      <c r="B6100">
        <v>191958518.05035728</v>
      </c>
    </row>
    <row r="6101" spans="1:2" x14ac:dyDescent="0.25">
      <c r="A6101">
        <f ca="1">33852.6718457341*((RANDBETWEEN(2979,3282)))</f>
        <v>106432800.28298812</v>
      </c>
      <c r="B6101">
        <v>167816403.31581256</v>
      </c>
    </row>
    <row r="6102" spans="1:2" x14ac:dyDescent="0.25">
      <c r="A6102">
        <f ca="1">36124.9384842715*((RANDBETWEEN(2979,3282)))</f>
        <v>117803424.39720923</v>
      </c>
      <c r="B6102">
        <v>147568179.8149133</v>
      </c>
    </row>
    <row r="6103" spans="1:2" x14ac:dyDescent="0.25">
      <c r="A6103">
        <f ca="1">32686.9339510937*((RANDBETWEEN(2979,3282)))</f>
        <v>103421459.02126043</v>
      </c>
      <c r="B6103">
        <v>180241815.91058609</v>
      </c>
    </row>
    <row r="6104" spans="1:2" x14ac:dyDescent="0.25">
      <c r="A6104">
        <f ca="1">30748.356004285*((RANDBETWEEN(2979,3282)))</f>
        <v>96672831.277472034</v>
      </c>
      <c r="B6104">
        <v>162145704.19888186</v>
      </c>
    </row>
    <row r="6105" spans="1:2" x14ac:dyDescent="0.25">
      <c r="A6105">
        <f ca="1">37664.2228225969*((RANDBETWEEN(2979,3282)))</f>
        <v>117738360.54343775</v>
      </c>
      <c r="B6105">
        <v>162325591.70579931</v>
      </c>
    </row>
    <row r="6106" spans="1:2" x14ac:dyDescent="0.25">
      <c r="A6106">
        <f ca="1">31852.7247998859*((RANDBETWEEN(2979,3282)))</f>
        <v>101132401.23963758</v>
      </c>
      <c r="B6106">
        <v>199438160.21966499</v>
      </c>
    </row>
    <row r="6107" spans="1:2" x14ac:dyDescent="0.25">
      <c r="A6107">
        <f ca="1">31823.0445000669*((RANDBETWEEN(2979,3282)))</f>
        <v>95564602.633700758</v>
      </c>
      <c r="B6107">
        <v>157757746.85007825</v>
      </c>
    </row>
    <row r="6108" spans="1:2" x14ac:dyDescent="0.25">
      <c r="A6108">
        <f ca="1">26427.0270634824*((RANDBETWEEN(2979,3282)))</f>
        <v>86257816.335206568</v>
      </c>
      <c r="B6108">
        <v>159321845.29436922</v>
      </c>
    </row>
    <row r="6109" spans="1:2" x14ac:dyDescent="0.25">
      <c r="A6109">
        <f ca="1">30164.3201267361*((RANDBETWEEN(2979,3282)))</f>
        <v>90704110.621095583</v>
      </c>
      <c r="B6109">
        <v>146670775.1928575</v>
      </c>
    </row>
    <row r="6110" spans="1:2" x14ac:dyDescent="0.25">
      <c r="A6110">
        <f ca="1">31575.4958865775*((RANDBETWEEN(2979,3282)))</f>
        <v>95863205.511649162</v>
      </c>
      <c r="B6110">
        <v>149803179.61648548</v>
      </c>
    </row>
    <row r="6111" spans="1:2" x14ac:dyDescent="0.25">
      <c r="A6111">
        <f ca="1">34310.5338044967*((RANDBETWEEN(2979,3282)))</f>
        <v>105710754.65165448</v>
      </c>
      <c r="B6111">
        <v>150847112.85399267</v>
      </c>
    </row>
    <row r="6112" spans="1:2" x14ac:dyDescent="0.25">
      <c r="A6112">
        <f ca="1">31661.9750718183*((RANDBETWEEN(2979,3282)))</f>
        <v>94922601.265311137</v>
      </c>
      <c r="B6112">
        <v>151762117.04642972</v>
      </c>
    </row>
    <row r="6113" spans="1:2" x14ac:dyDescent="0.25">
      <c r="A6113">
        <f ca="1">31712.9361151324*((RANDBETWEEN(2979,3282)))</f>
        <v>103162181.18252572</v>
      </c>
      <c r="B6113">
        <v>171877175.3992523</v>
      </c>
    </row>
    <row r="6114" spans="1:2" x14ac:dyDescent="0.25">
      <c r="A6114">
        <f ca="1">28995.085597901*((RANDBETWEEN(2979,3282)))</f>
        <v>86608320.680930376</v>
      </c>
      <c r="B6114">
        <v>150959241.88600087</v>
      </c>
    </row>
    <row r="6115" spans="1:2" x14ac:dyDescent="0.25">
      <c r="A6115">
        <f ca="1">30702.653435031*((RANDBETWEEN(2979,3282)))</f>
        <v>96958979.547827944</v>
      </c>
      <c r="B6115">
        <v>170110472.82142317</v>
      </c>
    </row>
    <row r="6116" spans="1:2" x14ac:dyDescent="0.25">
      <c r="A6116">
        <f ca="1">30193.2264521091*((RANDBETWEEN(2979,3282)))</f>
        <v>96648517.873201221</v>
      </c>
      <c r="B6116">
        <v>181698811.03047115</v>
      </c>
    </row>
    <row r="6117" spans="1:2" x14ac:dyDescent="0.25">
      <c r="A6117">
        <f ca="1">32912.3528034091*((RANDBETWEEN(2979,3282)))</f>
        <v>105319528.970909</v>
      </c>
      <c r="B6117">
        <v>156668222.11341846</v>
      </c>
    </row>
    <row r="6118" spans="1:2" x14ac:dyDescent="0.25">
      <c r="A6118">
        <f ca="1">28664.6225498553*((RANDBETWEEN(2979,3282)))</f>
        <v>90981511.973240599</v>
      </c>
      <c r="B6118">
        <v>203207372.9075357</v>
      </c>
    </row>
    <row r="6119" spans="1:2" x14ac:dyDescent="0.25">
      <c r="A6119">
        <f ca="1">29488.6239762608*((RANDBETWEEN(2979,3282)))</f>
        <v>95277744.06729871</v>
      </c>
      <c r="B6119">
        <v>187221078.27645549</v>
      </c>
    </row>
    <row r="6120" spans="1:2" x14ac:dyDescent="0.25">
      <c r="A6120">
        <f ca="1">31162.0769606062*((RANDBETWEEN(2979,3282)))</f>
        <v>99843294.581782103</v>
      </c>
      <c r="B6120">
        <v>151402748.05452749</v>
      </c>
    </row>
    <row r="6121" spans="1:2" x14ac:dyDescent="0.25">
      <c r="A6121">
        <f ca="1">38824.4151491004*((RANDBETWEEN(2979,3282)))</f>
        <v>117443855.82602863</v>
      </c>
      <c r="B6121">
        <v>162547414.77150422</v>
      </c>
    </row>
    <row r="6122" spans="1:2" x14ac:dyDescent="0.25">
      <c r="A6122">
        <f ca="1">35881.7469672922*((RANDBETWEEN(2979,3282)))</f>
        <v>109511091.74417593</v>
      </c>
      <c r="B6122">
        <v>144834945.47202736</v>
      </c>
    </row>
    <row r="6123" spans="1:2" x14ac:dyDescent="0.25">
      <c r="A6123">
        <f ca="1">32883.507176998*((RANDBETWEEN(2979,3282)))</f>
        <v>107298883.91854444</v>
      </c>
      <c r="B6123">
        <v>171134407.37649688</v>
      </c>
    </row>
    <row r="6124" spans="1:2" x14ac:dyDescent="0.25">
      <c r="A6124">
        <f ca="1">30647.2374007296*((RANDBETWEEN(2979,3282)))</f>
        <v>99664816.027172804</v>
      </c>
      <c r="B6124">
        <v>143177841.96952409</v>
      </c>
    </row>
    <row r="6125" spans="1:2" x14ac:dyDescent="0.25">
      <c r="A6125">
        <f ca="1">39228.8908292921*((RANDBETWEEN(2979,3282)))</f>
        <v>122080308.26075707</v>
      </c>
      <c r="B6125">
        <v>185757912.08769238</v>
      </c>
    </row>
    <row r="6126" spans="1:2" x14ac:dyDescent="0.25">
      <c r="A6126">
        <f ca="1">30751.8907800683*((RANDBETWEEN(2979,3282)))</f>
        <v>93670259.31608811</v>
      </c>
      <c r="B6126">
        <v>147022405.32157969</v>
      </c>
    </row>
    <row r="6127" spans="1:2" x14ac:dyDescent="0.25">
      <c r="A6127">
        <f ca="1">32995.3212720533*((RANDBETWEEN(2979,3282)))</f>
        <v>104298210.54096048</v>
      </c>
      <c r="B6127">
        <v>146994084.4012976</v>
      </c>
    </row>
    <row r="6128" spans="1:2" x14ac:dyDescent="0.25">
      <c r="A6128">
        <f ca="1">29856.0616633943*((RANDBETWEEN(2979,3282)))</f>
        <v>94345154.856325909</v>
      </c>
      <c r="B6128">
        <v>143909940.91343886</v>
      </c>
    </row>
    <row r="6129" spans="1:2" x14ac:dyDescent="0.25">
      <c r="A6129">
        <f ca="1">41495.8661480803*((RANDBETWEEN(2979,3282)))</f>
        <v>127931755.33453144</v>
      </c>
      <c r="B6129">
        <v>168948471.43894544</v>
      </c>
    </row>
    <row r="6130" spans="1:2" x14ac:dyDescent="0.25">
      <c r="A6130">
        <f ca="1">31976.7860095065*((RANDBETWEEN(2979,3282)))</f>
        <v>97081522.324861795</v>
      </c>
      <c r="B6130">
        <v>143629481.97763166</v>
      </c>
    </row>
    <row r="6131" spans="1:2" x14ac:dyDescent="0.25">
      <c r="A6131">
        <f ca="1">31930.1140939334*((RANDBETWEEN(2979,3282)))</f>
        <v>98312821.295220792</v>
      </c>
      <c r="B6131">
        <v>152770572.50572741</v>
      </c>
    </row>
    <row r="6132" spans="1:2" x14ac:dyDescent="0.25">
      <c r="A6132">
        <f ca="1">32494.5456995876*((RANDBETWEEN(2979,3282)))</f>
        <v>101870400.76820709</v>
      </c>
      <c r="B6132">
        <v>153235297.24370104</v>
      </c>
    </row>
    <row r="6133" spans="1:2" x14ac:dyDescent="0.25">
      <c r="A6133">
        <f ca="1">30051.344946868*((RANDBETWEEN(2979,3282)))</f>
        <v>89522956.596719891</v>
      </c>
      <c r="B6133">
        <v>145903992.9878557</v>
      </c>
    </row>
    <row r="6134" spans="1:2" x14ac:dyDescent="0.25">
      <c r="A6134">
        <f ca="1">41215.8463414381*((RANDBETWEEN(2979,3282)))</f>
        <v>124719151.02919157</v>
      </c>
      <c r="B6134">
        <v>173390364.19835734</v>
      </c>
    </row>
    <row r="6135" spans="1:2" x14ac:dyDescent="0.25">
      <c r="A6135">
        <f ca="1">33428.10771566*((RANDBETWEEN(2979,3282)))</f>
        <v>99582332.884951234</v>
      </c>
      <c r="B6135">
        <v>181397626.43084231</v>
      </c>
    </row>
    <row r="6136" spans="1:2" x14ac:dyDescent="0.25">
      <c r="A6136">
        <f ca="1">32955.8600277581*((RANDBETWEEN(2979,3282)))</f>
        <v>103349577.04704954</v>
      </c>
      <c r="B6136">
        <v>165073530.75175413</v>
      </c>
    </row>
    <row r="6137" spans="1:2" x14ac:dyDescent="0.25">
      <c r="A6137">
        <f ca="1">30838.6477798079*((RANDBETWEEN(2979,3282)))</f>
        <v>98097738.587568954</v>
      </c>
      <c r="B6137">
        <v>197708716.56012937</v>
      </c>
    </row>
    <row r="6138" spans="1:2" x14ac:dyDescent="0.25">
      <c r="A6138">
        <f ca="1">33519.6154818829*((RANDBETWEEN(2979,3282)))</f>
        <v>105955504.53823179</v>
      </c>
      <c r="B6138">
        <v>156163916.23511899</v>
      </c>
    </row>
    <row r="6139" spans="1:2" x14ac:dyDescent="0.25">
      <c r="A6139">
        <f ca="1">31340.3314162275*((RANDBETWEEN(2979,3282)))</f>
        <v>102733606.3823936</v>
      </c>
      <c r="B6139">
        <v>143242553.34456995</v>
      </c>
    </row>
    <row r="6140" spans="1:2" x14ac:dyDescent="0.25">
      <c r="A6140">
        <f ca="1">30713.8179608631*((RANDBETWEEN(2979,3282)))</f>
        <v>93185723.693258673</v>
      </c>
      <c r="B6140">
        <v>144083797.56952196</v>
      </c>
    </row>
    <row r="6141" spans="1:2" x14ac:dyDescent="0.25">
      <c r="A6141">
        <f ca="1">37755.89197734*((RANDBETWEEN(2979,3282)))</f>
        <v>120592318.97562398</v>
      </c>
      <c r="B6141">
        <v>149901201.08307678</v>
      </c>
    </row>
    <row r="6142" spans="1:2" x14ac:dyDescent="0.25">
      <c r="A6142">
        <f ca="1">30032.5023187261*((RANDBETWEEN(2979,3282)))</f>
        <v>97515535.028903574</v>
      </c>
      <c r="B6142">
        <v>192007123.93911695</v>
      </c>
    </row>
    <row r="6143" spans="1:2" x14ac:dyDescent="0.25">
      <c r="A6143">
        <f ca="1">30793.6449952518*((RANDBETWEEN(2979,3282)))</f>
        <v>100756806.42446399</v>
      </c>
      <c r="B6143">
        <v>183555177.92781523</v>
      </c>
    </row>
    <row r="6144" spans="1:2" x14ac:dyDescent="0.25">
      <c r="A6144">
        <f ca="1">33220.4361513448*((RANDBETWEEN(2979,3282)))</f>
        <v>102784029.45226093</v>
      </c>
      <c r="B6144">
        <v>148600512.8405481</v>
      </c>
    </row>
    <row r="6145" spans="1:2" x14ac:dyDescent="0.25">
      <c r="A6145">
        <f ca="1">31731.2169959897*((RANDBETWEEN(2979,3282)))</f>
        <v>94749413.950025335</v>
      </c>
      <c r="B6145">
        <v>143885689.52422431</v>
      </c>
    </row>
    <row r="6146" spans="1:2" x14ac:dyDescent="0.25">
      <c r="A6146">
        <f ca="1">33564.6272160056*((RANDBETWEEN(2979,3282)))</f>
        <v>100291106.12142475</v>
      </c>
      <c r="B6146">
        <v>181048690.84739468</v>
      </c>
    </row>
    <row r="6147" spans="1:2" x14ac:dyDescent="0.25">
      <c r="A6147">
        <f ca="1">39241.4890409959*((RANDBETWEEN(2979,3282)))</f>
        <v>118940953.28325845</v>
      </c>
      <c r="B6147">
        <v>153109869.57103425</v>
      </c>
    </row>
    <row r="6148" spans="1:2" x14ac:dyDescent="0.25">
      <c r="A6148">
        <f ca="1">32671.7209877171*((RANDBETWEEN(2979,3282)))</f>
        <v>102164471.52859136</v>
      </c>
      <c r="B6148">
        <v>199658814.03036532</v>
      </c>
    </row>
    <row r="6149" spans="1:2" x14ac:dyDescent="0.25">
      <c r="A6149">
        <f ca="1">34245.7565155697*((RANDBETWEEN(2979,3282)))</f>
        <v>103045481.35534918</v>
      </c>
      <c r="B6149">
        <v>203496041.85195208</v>
      </c>
    </row>
    <row r="6150" spans="1:2" x14ac:dyDescent="0.25">
      <c r="A6150">
        <f ca="1">28295.5112016265*((RANDBETWEEN(2979,3282)))</f>
        <v>92837572.25253658</v>
      </c>
      <c r="B6150">
        <v>163873359.24844211</v>
      </c>
    </row>
    <row r="6151" spans="1:2" x14ac:dyDescent="0.25">
      <c r="A6151">
        <f ca="1">33202.875826057*((RANDBETWEEN(2979,3282)))</f>
        <v>104124218.59051472</v>
      </c>
      <c r="B6151">
        <v>167415717.6090135</v>
      </c>
    </row>
    <row r="6152" spans="1:2" x14ac:dyDescent="0.25">
      <c r="A6152">
        <f ca="1">38220.5669526077*((RANDBETWEEN(2979,3282)))</f>
        <v>114738141.99172826</v>
      </c>
      <c r="B6152">
        <v>148020802.2832464</v>
      </c>
    </row>
    <row r="6153" spans="1:2" x14ac:dyDescent="0.25">
      <c r="A6153">
        <f ca="1">30391.1739086209*((RANDBETWEEN(2979,3282)))</f>
        <v>99287965.159464583</v>
      </c>
      <c r="B6153">
        <v>164145967.64473355</v>
      </c>
    </row>
    <row r="6154" spans="1:2" x14ac:dyDescent="0.25">
      <c r="A6154">
        <f ca="1">37913.9424896156*((RANDBETWEEN(2979,3282)))</f>
        <v>121362529.90925941</v>
      </c>
      <c r="B6154">
        <v>193521971.76751447</v>
      </c>
    </row>
    <row r="6155" spans="1:2" x14ac:dyDescent="0.25">
      <c r="A6155">
        <f ca="1">30904.484827702*((RANDBETWEEN(2979,3282)))</f>
        <v>96267470.238291591</v>
      </c>
      <c r="B6155">
        <v>143009552.49769285</v>
      </c>
    </row>
    <row r="6156" spans="1:2" x14ac:dyDescent="0.25">
      <c r="A6156">
        <f ca="1">32967.7097566693*((RANDBETWEEN(2979,3282)))</f>
        <v>100617450.17735472</v>
      </c>
      <c r="B6156">
        <v>160790699.11407015</v>
      </c>
    </row>
    <row r="6157" spans="1:2" x14ac:dyDescent="0.25">
      <c r="A6157">
        <f ca="1">34769.8390559576*((RANDBETWEEN(2979,3282)))</f>
        <v>110811477.07133687</v>
      </c>
      <c r="B6157">
        <v>143376424.26303464</v>
      </c>
    </row>
    <row r="6158" spans="1:2" x14ac:dyDescent="0.25">
      <c r="A6158">
        <f ca="1">41072.4731465728*((RANDBETWEEN(2979,3282)))</f>
        <v>128721130.84135917</v>
      </c>
      <c r="B6158">
        <v>149880431.42254949</v>
      </c>
    </row>
    <row r="6159" spans="1:2" x14ac:dyDescent="0.25">
      <c r="A6159">
        <f ca="1">28707.8506585842*((RANDBETWEEN(2979,3282)))</f>
        <v>86123551.975752696</v>
      </c>
      <c r="B6159">
        <v>146677442.58004096</v>
      </c>
    </row>
    <row r="6160" spans="1:2" x14ac:dyDescent="0.25">
      <c r="A6160">
        <f ca="1">33017.0839513203*((RANDBETWEEN(2979,3282)))</f>
        <v>101593567.31821242</v>
      </c>
      <c r="B6160">
        <v>143636636.75308517</v>
      </c>
    </row>
    <row r="6161" spans="1:2" x14ac:dyDescent="0.25">
      <c r="A6161">
        <f ca="1">38326.0665186996*((RANDBETWEEN(2979,3282)))</f>
        <v>122260152.19465165</v>
      </c>
      <c r="B6161">
        <v>145691074.82914639</v>
      </c>
    </row>
    <row r="6162" spans="1:2" x14ac:dyDescent="0.25">
      <c r="A6162">
        <f ca="1">40695.6432920495*((RANDBETWEEN(2979,3282)))</f>
        <v>123511277.39137034</v>
      </c>
      <c r="B6162">
        <v>196582443.26172903</v>
      </c>
    </row>
    <row r="6163" spans="1:2" x14ac:dyDescent="0.25">
      <c r="A6163">
        <f ca="1">40664.8167647937*((RANDBETWEEN(2979,3282)))</f>
        <v>126101596.78762522</v>
      </c>
      <c r="B6163">
        <v>146784435.58284217</v>
      </c>
    </row>
    <row r="6164" spans="1:2" x14ac:dyDescent="0.25">
      <c r="A6164">
        <f ca="1">30521.4579281659*((RANDBETWEEN(2979,3282)))</f>
        <v>96814064.548142254</v>
      </c>
      <c r="B6164">
        <v>149275258.19090733</v>
      </c>
    </row>
    <row r="6165" spans="1:2" x14ac:dyDescent="0.25">
      <c r="A6165">
        <f ca="1">31932.2848507394*((RANDBETWEEN(2979,3282)))</f>
        <v>95828786.837069064</v>
      </c>
      <c r="B6165">
        <v>202667035.89628506</v>
      </c>
    </row>
    <row r="6166" spans="1:2" x14ac:dyDescent="0.25">
      <c r="A6166">
        <f ca="1">36422.3405897876*((RANDBETWEEN(2979,3282)))</f>
        <v>109995468.58115853</v>
      </c>
      <c r="B6166">
        <v>197184481.05639628</v>
      </c>
    </row>
    <row r="6167" spans="1:2" x14ac:dyDescent="0.25">
      <c r="A6167">
        <f ca="1">31668.8729424404*((RANDBETWEEN(2979,3282)))</f>
        <v>99756949.768687323</v>
      </c>
      <c r="B6167">
        <v>202193155.87972188</v>
      </c>
    </row>
    <row r="6168" spans="1:2" x14ac:dyDescent="0.25">
      <c r="A6168">
        <f ca="1">40738.7158599944*((RANDBETWEEN(2979,3282)))</f>
        <v>129956503.59338218</v>
      </c>
      <c r="B6168">
        <v>150977913.57267493</v>
      </c>
    </row>
    <row r="6169" spans="1:2" x14ac:dyDescent="0.25">
      <c r="A6169">
        <f ca="1">31395.1392591434*((RANDBETWEEN(2979,3282)))</f>
        <v>100998162.99666438</v>
      </c>
      <c r="B6169">
        <v>161942931.47167978</v>
      </c>
    </row>
    <row r="6170" spans="1:2" x14ac:dyDescent="0.25">
      <c r="A6170">
        <f ca="1">32842.8336136791*((RANDBETWEEN(2979,3282)))</f>
        <v>106016666.90495619</v>
      </c>
      <c r="B6170">
        <v>168386168.42712381</v>
      </c>
    </row>
    <row r="6171" spans="1:2" x14ac:dyDescent="0.25">
      <c r="A6171">
        <f ca="1">30113.3949642773*((RANDBETWEEN(2979,3282)))</f>
        <v>93773111.918759584</v>
      </c>
      <c r="B6171">
        <v>199223383.98577094</v>
      </c>
    </row>
    <row r="6172" spans="1:2" x14ac:dyDescent="0.25">
      <c r="A6172">
        <f ca="1">40295.2792936625*((RANDBETWEEN(2979,3282)))</f>
        <v>124109460.22448041</v>
      </c>
      <c r="B6172">
        <v>175863825.36268321</v>
      </c>
    </row>
    <row r="6173" spans="1:2" x14ac:dyDescent="0.25">
      <c r="A6173">
        <f ca="1">36213.7575909706*((RANDBETWEEN(2979,3282)))</f>
        <v>117296360.83715391</v>
      </c>
      <c r="B6173">
        <v>185330872.75162783</v>
      </c>
    </row>
    <row r="6174" spans="1:2" x14ac:dyDescent="0.25">
      <c r="A6174">
        <f ca="1">36502.0579867285*((RANDBETWEEN(2979,3282)))</f>
        <v>117244610.25337182</v>
      </c>
      <c r="B6174">
        <v>166912305.83010876</v>
      </c>
    </row>
    <row r="6175" spans="1:2" x14ac:dyDescent="0.25">
      <c r="A6175">
        <f ca="1">31419.3763362725*((RANDBETWEEN(2979,3282)))</f>
        <v>98436906.061541632</v>
      </c>
      <c r="B6175">
        <v>178188140.60145295</v>
      </c>
    </row>
    <row r="6176" spans="1:2" x14ac:dyDescent="0.25">
      <c r="A6176">
        <f ca="1">30980.0309719642*((RANDBETWEEN(2979,3282)))</f>
        <v>99198059.172229469</v>
      </c>
      <c r="B6176">
        <v>171712469.62201342</v>
      </c>
    </row>
    <row r="6177" spans="1:2" x14ac:dyDescent="0.25">
      <c r="A6177">
        <f ca="1">34191.3832854841*((RANDBETWEEN(2979,3282)))</f>
        <v>107087412.45013607</v>
      </c>
      <c r="B6177">
        <v>193281854.57201082</v>
      </c>
    </row>
    <row r="6178" spans="1:2" x14ac:dyDescent="0.25">
      <c r="A6178">
        <f ca="1">32725.0670805066*((RANDBETWEEN(2979,3282)))</f>
        <v>105276540.79798961</v>
      </c>
      <c r="B6178">
        <v>179599396.12698403</v>
      </c>
    </row>
    <row r="6179" spans="1:2" x14ac:dyDescent="0.25">
      <c r="A6179">
        <f ca="1">31948.7611558398*((RANDBETWEEN(2979,3282)))</f>
        <v>96708900.018726945</v>
      </c>
      <c r="B6179">
        <v>201100554.13633427</v>
      </c>
    </row>
    <row r="6180" spans="1:2" x14ac:dyDescent="0.25">
      <c r="A6180">
        <f ca="1">33191.2932776763*((RANDBETWEEN(2979,3282)))</f>
        <v>106378094.95495258</v>
      </c>
      <c r="B6180">
        <v>167013156.60215062</v>
      </c>
    </row>
    <row r="6181" spans="1:2" x14ac:dyDescent="0.25">
      <c r="A6181">
        <f ca="1">36440.1722002527*((RANDBETWEEN(2979,3282)))</f>
        <v>117993277.58441837</v>
      </c>
      <c r="B6181">
        <v>153283915.59448582</v>
      </c>
    </row>
    <row r="6182" spans="1:2" x14ac:dyDescent="0.25">
      <c r="A6182">
        <f ca="1">38392.0064092081*((RANDBETWEEN(2979,3282)))</f>
        <v>115252803.2404426</v>
      </c>
      <c r="B6182">
        <v>183388115.95776713</v>
      </c>
    </row>
    <row r="6183" spans="1:2" x14ac:dyDescent="0.25">
      <c r="A6183">
        <f ca="1">35878.7315233814*((RANDBETWEEN(2979,3282)))</f>
        <v>112766853.17798774</v>
      </c>
      <c r="B6183">
        <v>198944847.15665007</v>
      </c>
    </row>
    <row r="6184" spans="1:2" x14ac:dyDescent="0.25">
      <c r="A6184">
        <f ca="1">31546.8485629623*((RANDBETWEEN(2979,3282)))</f>
        <v>95997060.177094325</v>
      </c>
      <c r="B6184">
        <v>203266841.95055833</v>
      </c>
    </row>
    <row r="6185" spans="1:2" x14ac:dyDescent="0.25">
      <c r="A6185">
        <f ca="1">30056.4506624772*((RANDBETWEEN(2979,3282)))</f>
        <v>93806182.517591476</v>
      </c>
      <c r="B6185">
        <v>189451705.05807924</v>
      </c>
    </row>
    <row r="6186" spans="1:2" x14ac:dyDescent="0.25">
      <c r="A6186">
        <f ca="1">29377.3396224418*((RANDBETWEEN(2979,3282)))</f>
        <v>95388221.754068658</v>
      </c>
      <c r="B6186">
        <v>197775918.21291775</v>
      </c>
    </row>
    <row r="6187" spans="1:2" x14ac:dyDescent="0.25">
      <c r="A6187">
        <f ca="1">32181.2017863393*((RANDBETWEEN(2979,3282)))</f>
        <v>99150282.703711495</v>
      </c>
      <c r="B6187">
        <v>200092313.91114065</v>
      </c>
    </row>
    <row r="6188" spans="1:2" x14ac:dyDescent="0.25">
      <c r="A6188">
        <f ca="1">30970.0640487231*((RANDBETWEEN(2979,3282)))</f>
        <v>98763534.251377821</v>
      </c>
      <c r="B6188">
        <v>160272696.08353984</v>
      </c>
    </row>
    <row r="6189" spans="1:2" x14ac:dyDescent="0.25">
      <c r="A6189">
        <f ca="1">36778.2784074487*((RANDBETWEEN(2979,3282)))</f>
        <v>118940952.36968921</v>
      </c>
      <c r="B6189">
        <v>191011392.85572934</v>
      </c>
    </row>
    <row r="6190" spans="1:2" x14ac:dyDescent="0.25">
      <c r="A6190">
        <f ca="1">32005.4607556505*((RANDBETWEEN(2979,3282)))</f>
        <v>95952371.345440298</v>
      </c>
      <c r="B6190">
        <v>153915557.49363899</v>
      </c>
    </row>
    <row r="6191" spans="1:2" x14ac:dyDescent="0.25">
      <c r="A6191">
        <f ca="1">27413.0162124384*((RANDBETWEEN(2979,3282)))</f>
        <v>82430939.750802353</v>
      </c>
      <c r="B6191">
        <v>152437895.43943352</v>
      </c>
    </row>
    <row r="6192" spans="1:2" x14ac:dyDescent="0.25">
      <c r="A6192">
        <f ca="1">36726.3841332746*((RANDBETWEEN(2979,3282)))</f>
        <v>114402686.57515022</v>
      </c>
      <c r="B6192">
        <v>179971266.28438795</v>
      </c>
    </row>
    <row r="6193" spans="1:2" x14ac:dyDescent="0.25">
      <c r="A6193">
        <f ca="1">32865.0323735742*((RANDBETWEEN(2979,3282)))</f>
        <v>102473170.94080435</v>
      </c>
      <c r="B6193">
        <v>192644365.75941563</v>
      </c>
    </row>
    <row r="6194" spans="1:2" x14ac:dyDescent="0.25">
      <c r="A6194">
        <f ca="1">32967.245292818*((RANDBETWEEN(2979,3282)))</f>
        <v>107572121.39046516</v>
      </c>
      <c r="B6194">
        <v>187104208.19480753</v>
      </c>
    </row>
    <row r="6195" spans="1:2" x14ac:dyDescent="0.25">
      <c r="A6195">
        <f ca="1">40462.2784661225*((RANDBETWEEN(2979,3282)))</f>
        <v>121427297.67683351</v>
      </c>
      <c r="B6195">
        <v>149871383.89630121</v>
      </c>
    </row>
    <row r="6196" spans="1:2" x14ac:dyDescent="0.25">
      <c r="A6196">
        <f ca="1">34286.2983350952*((RANDBETWEEN(2979,3282)))</f>
        <v>109681868.37396958</v>
      </c>
      <c r="B6196">
        <v>145878229.95332313</v>
      </c>
    </row>
    <row r="6197" spans="1:2" x14ac:dyDescent="0.25">
      <c r="A6197">
        <f ca="1">32990.2139463939*((RANDBETWEEN(2979,3282)))</f>
        <v>100620152.5365015</v>
      </c>
      <c r="B6197">
        <v>144057436.47723266</v>
      </c>
    </row>
    <row r="6198" spans="1:2" x14ac:dyDescent="0.25">
      <c r="A6198">
        <f ca="1">31526.9946487103*((RANDBETWEEN(2979,3282)))</f>
        <v>102620367.581552</v>
      </c>
      <c r="B6198">
        <v>170560708.01226661</v>
      </c>
    </row>
    <row r="6199" spans="1:2" x14ac:dyDescent="0.25">
      <c r="A6199">
        <f ca="1">37740.4382855349*((RANDBETWEEN(2979,3282)))</f>
        <v>123448973.63198479</v>
      </c>
      <c r="B6199">
        <v>155440410.88051298</v>
      </c>
    </row>
    <row r="6200" spans="1:2" x14ac:dyDescent="0.25">
      <c r="A6200">
        <f ca="1">33014.6644397191*((RANDBETWEEN(2979,3282)))</f>
        <v>100562667.88338435</v>
      </c>
      <c r="B6200">
        <v>150162272.70281217</v>
      </c>
    </row>
    <row r="6201" spans="1:2" x14ac:dyDescent="0.25">
      <c r="A6201">
        <f ca="1">28014.6458143126*((RANDBETWEEN(2979,3282)))</f>
        <v>87069519.190883562</v>
      </c>
      <c r="B6201">
        <v>159760435.29072857</v>
      </c>
    </row>
    <row r="6202" spans="1:2" x14ac:dyDescent="0.25">
      <c r="A6202">
        <f ca="1">32797.6725623295*((RANDBETWEEN(2979,3282)))</f>
        <v>102820703.48290284</v>
      </c>
      <c r="B6202">
        <v>170235354.66823965</v>
      </c>
    </row>
    <row r="6203" spans="1:2" x14ac:dyDescent="0.25">
      <c r="A6203">
        <f ca="1">33302.8591652664*((RANDBETWEEN(2979,3282)))</f>
        <v>101873446.18654998</v>
      </c>
      <c r="B6203">
        <v>175489633.66581643</v>
      </c>
    </row>
    <row r="6204" spans="1:2" x14ac:dyDescent="0.25">
      <c r="A6204">
        <f ca="1">33711.083257149*((RANDBETWEEN(2979,3282)))</f>
        <v>104335802.6808763</v>
      </c>
      <c r="B6204">
        <v>187927215.03645253</v>
      </c>
    </row>
    <row r="6205" spans="1:2" x14ac:dyDescent="0.25">
      <c r="A6205">
        <f ca="1">34420.6444546851*((RANDBETWEEN(2979,3282)))</f>
        <v>106084426.20933956</v>
      </c>
      <c r="B6205">
        <v>191084879.42863756</v>
      </c>
    </row>
    <row r="6206" spans="1:2" x14ac:dyDescent="0.25">
      <c r="A6206">
        <f ca="1">29079.0362359155*((RANDBETWEEN(2979,3282)))</f>
        <v>90261328.476281673</v>
      </c>
      <c r="B6206">
        <v>180131044.52705142</v>
      </c>
    </row>
    <row r="6207" spans="1:2" x14ac:dyDescent="0.25">
      <c r="A6207">
        <f ca="1">33499.1170969242*((RANDBETWEEN(2979,3282)))</f>
        <v>106426695.01692824</v>
      </c>
      <c r="B6207">
        <v>149311411.9950732</v>
      </c>
    </row>
    <row r="6208" spans="1:2" x14ac:dyDescent="0.25">
      <c r="A6208">
        <f ca="1">32093.7245999995*((RANDBETWEEN(2979,3282)))</f>
        <v>98527734.521998435</v>
      </c>
      <c r="B6208">
        <v>153293041.48364481</v>
      </c>
    </row>
    <row r="6209" spans="1:2" x14ac:dyDescent="0.25">
      <c r="A6209">
        <f ca="1">31658.4819179662*((RANDBETWEEN(2979,3282)))</f>
        <v>102636798.37804635</v>
      </c>
      <c r="B6209">
        <v>180264325.15144488</v>
      </c>
    </row>
    <row r="6210" spans="1:2" x14ac:dyDescent="0.25">
      <c r="A6210">
        <f ca="1">39801.7452458754*((RANDBETWEEN(2979,3282)))</f>
        <v>128161619.69171885</v>
      </c>
      <c r="B6210">
        <v>189273339.91256621</v>
      </c>
    </row>
    <row r="6211" spans="1:2" x14ac:dyDescent="0.25">
      <c r="A6211">
        <f ca="1">34933.8755455424*((RANDBETWEEN(2979,3282)))</f>
        <v>111019856.48373368</v>
      </c>
      <c r="B6211">
        <v>151877452.66667867</v>
      </c>
    </row>
    <row r="6212" spans="1:2" x14ac:dyDescent="0.25">
      <c r="A6212">
        <f ca="1">35238.9200142786*((RANDBETWEEN(2979,3282)))</f>
        <v>114596967.88643391</v>
      </c>
      <c r="B6212">
        <v>152480107.49056852</v>
      </c>
    </row>
    <row r="6213" spans="1:2" x14ac:dyDescent="0.25">
      <c r="A6213">
        <f ca="1">32604.3548195062*((RANDBETWEEN(2979,3282)))</f>
        <v>102736322.03626406</v>
      </c>
      <c r="B6213">
        <v>147799855.46318039</v>
      </c>
    </row>
    <row r="6214" spans="1:2" x14ac:dyDescent="0.25">
      <c r="A6214">
        <f ca="1">31023.45960486*((RANDBETWEEN(2979,3282)))</f>
        <v>95738396.340597868</v>
      </c>
      <c r="B6214">
        <v>177820195.94418344</v>
      </c>
    </row>
    <row r="6215" spans="1:2" x14ac:dyDescent="0.25">
      <c r="A6215">
        <f ca="1">43301.8850151053*((RANDBETWEEN(2979,3282)))</f>
        <v>139691881.05872968</v>
      </c>
      <c r="B6215">
        <v>161755019.94019049</v>
      </c>
    </row>
    <row r="6216" spans="1:2" x14ac:dyDescent="0.25">
      <c r="A6216">
        <f ca="1">34894.8788074507*((RANDBETWEEN(2979,3282)))</f>
        <v>105242954.48327139</v>
      </c>
      <c r="B6216">
        <v>185548242.38107893</v>
      </c>
    </row>
    <row r="6217" spans="1:2" x14ac:dyDescent="0.25">
      <c r="A6217">
        <f ca="1">31332.7014530847*((RANDBETWEEN(2979,3282)))</f>
        <v>102551931.8559463</v>
      </c>
      <c r="B6217">
        <v>150166576.84317297</v>
      </c>
    </row>
    <row r="6218" spans="1:2" x14ac:dyDescent="0.25">
      <c r="A6218">
        <f ca="1">31159.2641874496*((RANDBETWEEN(2979,3282)))</f>
        <v>100800219.64639957</v>
      </c>
      <c r="B6218">
        <v>178619757.78569877</v>
      </c>
    </row>
    <row r="6219" spans="1:2" x14ac:dyDescent="0.25">
      <c r="A6219">
        <f ca="1">32471.699825631*((RANDBETWEEN(2979,3282)))</f>
        <v>106572118.82772109</v>
      </c>
      <c r="B6219">
        <v>149424315.39447123</v>
      </c>
    </row>
    <row r="6220" spans="1:2" x14ac:dyDescent="0.25">
      <c r="A6220">
        <f ca="1">30344.0810943395*((RANDBETWEEN(2979,3282)))</f>
        <v>98041726.015811026</v>
      </c>
      <c r="B6220">
        <v>171776435.16707033</v>
      </c>
    </row>
    <row r="6221" spans="1:2" x14ac:dyDescent="0.25">
      <c r="A6221">
        <f ca="1">38385.6130293376*((RANDBETWEEN(2979,3282)))</f>
        <v>114657826.1186315</v>
      </c>
      <c r="B6221">
        <v>192547998.43127432</v>
      </c>
    </row>
    <row r="6222" spans="1:2" x14ac:dyDescent="0.25">
      <c r="A6222">
        <f ca="1">33239.1664805458*((RANDBETWEEN(2979,3282)))</f>
        <v>107794616.8964103</v>
      </c>
      <c r="B6222">
        <v>143485263.5419206</v>
      </c>
    </row>
    <row r="6223" spans="1:2" x14ac:dyDescent="0.25">
      <c r="A6223">
        <f ca="1">39126.5081082649*((RANDBETWEEN(2979,3282)))</f>
        <v>122583349.90319388</v>
      </c>
      <c r="B6223">
        <v>182148838.13839132</v>
      </c>
    </row>
    <row r="6224" spans="1:2" x14ac:dyDescent="0.25">
      <c r="A6224">
        <f ca="1">30881.9426252989*((RANDBETWEEN(2979,3282)))</f>
        <v>95425202.712173641</v>
      </c>
      <c r="B6224">
        <v>170262255.76887402</v>
      </c>
    </row>
    <row r="6225" spans="1:2" x14ac:dyDescent="0.25">
      <c r="A6225">
        <f ca="1">38680.882921062*((RANDBETWEEN(2979,3282)))</f>
        <v>119678651.75776587</v>
      </c>
      <c r="B6225">
        <v>201601789.28407514</v>
      </c>
    </row>
    <row r="6226" spans="1:2" x14ac:dyDescent="0.25">
      <c r="A6226">
        <f ca="1">34675.0577733797*((RANDBETWEEN(2979,3282)))</f>
        <v>113179388.57231124</v>
      </c>
      <c r="B6226">
        <v>144193737.15400925</v>
      </c>
    </row>
    <row r="6227" spans="1:2" x14ac:dyDescent="0.25">
      <c r="A6227">
        <f ca="1">34685.7908352969*((RANDBETWEEN(2979,3282)))</f>
        <v>112520705.46970327</v>
      </c>
      <c r="B6227">
        <v>150483685.2813873</v>
      </c>
    </row>
    <row r="6228" spans="1:2" x14ac:dyDescent="0.25">
      <c r="A6228">
        <f ca="1">31849.3372904524*((RANDBETWEEN(2979,3282)))</f>
        <v>96949382.712137058</v>
      </c>
      <c r="B6228">
        <v>175930414.55167904</v>
      </c>
    </row>
    <row r="6229" spans="1:2" x14ac:dyDescent="0.25">
      <c r="A6229">
        <f ca="1">35532.7733906935*((RANDBETWEEN(2979,3282)))</f>
        <v>115836841.25366096</v>
      </c>
      <c r="B6229">
        <v>163712920.20686334</v>
      </c>
    </row>
    <row r="6230" spans="1:2" x14ac:dyDescent="0.25">
      <c r="A6230">
        <f ca="1">31566.230306524*((RANDBETWEEN(2979,3282)))</f>
        <v>96150737.513671994</v>
      </c>
      <c r="B6230">
        <v>168497249.69859383</v>
      </c>
    </row>
    <row r="6231" spans="1:2" x14ac:dyDescent="0.25">
      <c r="A6231">
        <f ca="1">32083.6048016294*((RANDBETWEEN(2979,3282)))</f>
        <v>97694576.620961487</v>
      </c>
      <c r="B6231">
        <v>176443287.56787896</v>
      </c>
    </row>
    <row r="6232" spans="1:2" x14ac:dyDescent="0.25">
      <c r="A6232">
        <f ca="1">32407.0113543481*((RANDBETWEEN(2979,3282)))</f>
        <v>103637622.31120521</v>
      </c>
      <c r="B6232">
        <v>151735773.58208495</v>
      </c>
    </row>
    <row r="6233" spans="1:2" x14ac:dyDescent="0.25">
      <c r="A6233">
        <f ca="1">33054.175806272*((RANDBETWEEN(2979,3282)))</f>
        <v>102765432.58169974</v>
      </c>
      <c r="B6233">
        <v>161433581.73865896</v>
      </c>
    </row>
    <row r="6234" spans="1:2" x14ac:dyDescent="0.25">
      <c r="A6234">
        <f ca="1">30416.1426408791*((RANDBETWEEN(2979,3282)))</f>
        <v>98517886.013807476</v>
      </c>
      <c r="B6234">
        <v>157421767.15586555</v>
      </c>
    </row>
    <row r="6235" spans="1:2" x14ac:dyDescent="0.25">
      <c r="A6235">
        <f ca="1">32136.8833550655*((RANDBETWEEN(2979,3282)))</f>
        <v>101327593.21852154</v>
      </c>
      <c r="B6235">
        <v>188375837.57132307</v>
      </c>
    </row>
    <row r="6236" spans="1:2" x14ac:dyDescent="0.25">
      <c r="A6236">
        <f ca="1">31551.6486737363*((RANDBETWEEN(2979,3282)))</f>
        <v>100428897.72850263</v>
      </c>
      <c r="B6236">
        <v>162229584.12900999</v>
      </c>
    </row>
    <row r="6237" spans="1:2" x14ac:dyDescent="0.25">
      <c r="A6237">
        <f ca="1">31843.575618995*((RANDBETWEEN(2979,3282)))</f>
        <v>96613408.428030834</v>
      </c>
      <c r="B6237">
        <v>160274864.32752746</v>
      </c>
    </row>
    <row r="6238" spans="1:2" x14ac:dyDescent="0.25">
      <c r="A6238">
        <f ca="1">30055.2244185095*((RANDBETWEEN(2979,3282)))</f>
        <v>97078374.871785685</v>
      </c>
      <c r="B6238">
        <v>194122552.34630707</v>
      </c>
    </row>
    <row r="6239" spans="1:2" x14ac:dyDescent="0.25">
      <c r="A6239">
        <f ca="1">32539.0849385682*((RANDBETWEEN(2979,3282)))</f>
        <v>103929837.29378679</v>
      </c>
      <c r="B6239">
        <v>147430803.13434896</v>
      </c>
    </row>
    <row r="6240" spans="1:2" x14ac:dyDescent="0.25">
      <c r="A6240">
        <f ca="1">32739.6077962053*((RANDBETWEEN(2979,3282)))</f>
        <v>107189475.92477614</v>
      </c>
      <c r="B6240">
        <v>146266924.07819951</v>
      </c>
    </row>
    <row r="6241" spans="1:2" x14ac:dyDescent="0.25">
      <c r="A6241">
        <f ca="1">31737.7943243645*((RANDBETWEEN(2979,3282)))</f>
        <v>101370515.07202016</v>
      </c>
      <c r="B6241">
        <v>183759989.89156777</v>
      </c>
    </row>
    <row r="6242" spans="1:2" x14ac:dyDescent="0.25">
      <c r="A6242">
        <f ca="1">40037.242231112*((RANDBETWEEN(2979,3282)))</f>
        <v>124235562.64314063</v>
      </c>
      <c r="B6242">
        <v>173435926.27993619</v>
      </c>
    </row>
    <row r="6243" spans="1:2" x14ac:dyDescent="0.25">
      <c r="A6243">
        <f ca="1">31647.7340555899*((RANDBETWEEN(2979,3282)))</f>
        <v>98709282.519384891</v>
      </c>
      <c r="B6243">
        <v>144375316.4205685</v>
      </c>
    </row>
    <row r="6244" spans="1:2" x14ac:dyDescent="0.25">
      <c r="A6244">
        <f ca="1">38399.4300737827*((RANDBETWEEN(2979,3282)))</f>
        <v>119729422.97005442</v>
      </c>
      <c r="B6244">
        <v>153505421.27190089</v>
      </c>
    </row>
    <row r="6245" spans="1:2" x14ac:dyDescent="0.25">
      <c r="A6245">
        <f ca="1">33422.4759216749*((RANDBETWEEN(2979,3282)))</f>
        <v>102306198.79624683</v>
      </c>
      <c r="B6245">
        <v>144009410.03555289</v>
      </c>
    </row>
    <row r="6246" spans="1:2" x14ac:dyDescent="0.25">
      <c r="A6246">
        <f ca="1">32359.3054200731*((RANDBETWEEN(2979,3282)))</f>
        <v>96657245.289758205</v>
      </c>
      <c r="B6246">
        <v>153777804.40850812</v>
      </c>
    </row>
    <row r="6247" spans="1:2" x14ac:dyDescent="0.25">
      <c r="A6247">
        <f ca="1">30657.4414867823*((RANDBETWEEN(2979,3282)))</f>
        <v>96908172.539719</v>
      </c>
      <c r="B6247">
        <v>146211300.918652</v>
      </c>
    </row>
    <row r="6248" spans="1:2" x14ac:dyDescent="0.25">
      <c r="A6248">
        <f ca="1">35080.6368295352*((RANDBETWEEN(2979,3282)))</f>
        <v>104961265.39396921</v>
      </c>
      <c r="B6248">
        <v>143292072.49863681</v>
      </c>
    </row>
    <row r="6249" spans="1:2" x14ac:dyDescent="0.25">
      <c r="A6249">
        <f ca="1">31717.9987874605*((RANDBETWEEN(2979,3282)))</f>
        <v>94995406.3684441</v>
      </c>
      <c r="B6249">
        <v>159800323.23693681</v>
      </c>
    </row>
    <row r="6250" spans="1:2" x14ac:dyDescent="0.25">
      <c r="A6250">
        <f ca="1">30541.2443729145*((RANDBETWEEN(2979,3282)))</f>
        <v>95135976.221628711</v>
      </c>
      <c r="B6250">
        <v>175453398.32974082</v>
      </c>
    </row>
    <row r="6251" spans="1:2" x14ac:dyDescent="0.25">
      <c r="A6251">
        <f ca="1">30743.6870644667*((RANDBETWEEN(2979,3282)))</f>
        <v>97396000.620230615</v>
      </c>
      <c r="B6251">
        <v>150277565.41529658</v>
      </c>
    </row>
    <row r="6252" spans="1:2" x14ac:dyDescent="0.25">
      <c r="A6252">
        <f ca="1">32269.9743039003*((RANDBETWEEN(2979,3282)))</f>
        <v>101973118.80032504</v>
      </c>
      <c r="B6252">
        <v>143533161.30807409</v>
      </c>
    </row>
    <row r="6253" spans="1:2" x14ac:dyDescent="0.25">
      <c r="A6253">
        <f ca="1">29970.2769449235*((RANDBETWEEN(2979,3282)))</f>
        <v>91259493.297292069</v>
      </c>
      <c r="B6253">
        <v>203095132.06770527</v>
      </c>
    </row>
    <row r="6254" spans="1:2" x14ac:dyDescent="0.25">
      <c r="A6254">
        <f ca="1">32152.9584858956*((RANDBETWEEN(2979,3282)))</f>
        <v>97680687.880150765</v>
      </c>
      <c r="B6254">
        <v>164878563.69428462</v>
      </c>
    </row>
    <row r="6255" spans="1:2" x14ac:dyDescent="0.25">
      <c r="A6255">
        <f ca="1">31081.9509028646*((RANDBETWEEN(2979,3282)))</f>
        <v>101824471.15778428</v>
      </c>
      <c r="B6255">
        <v>192212652.69746569</v>
      </c>
    </row>
    <row r="6256" spans="1:2" x14ac:dyDescent="0.25">
      <c r="A6256">
        <f ca="1">34330.6804853938*((RANDBETWEEN(2979,3282)))</f>
        <v>105463850.45112982</v>
      </c>
      <c r="B6256">
        <v>166234351.89498335</v>
      </c>
    </row>
    <row r="6257" spans="1:2" x14ac:dyDescent="0.25">
      <c r="A6257">
        <f ca="1">32267.2485517463*((RANDBETWEEN(2979,3282)))</f>
        <v>98027901.100205272</v>
      </c>
      <c r="B6257">
        <v>182964186.85143054</v>
      </c>
    </row>
    <row r="6258" spans="1:2" x14ac:dyDescent="0.25">
      <c r="A6258">
        <f ca="1">35025.6347840053*((RANDBETWEEN(2979,3282)))</f>
        <v>110575929.01310489</v>
      </c>
      <c r="B6258">
        <v>166798805.56711155</v>
      </c>
    </row>
    <row r="6259" spans="1:2" x14ac:dyDescent="0.25">
      <c r="A6259">
        <f ca="1">32026.2194423064*((RANDBETWEEN(2979,3282)))</f>
        <v>101138800.99880356</v>
      </c>
      <c r="B6259">
        <v>185326707.77553445</v>
      </c>
    </row>
    <row r="6260" spans="1:2" x14ac:dyDescent="0.25">
      <c r="A6260">
        <f ca="1">32864.3124011209*((RANDBETWEEN(2979,3282)))</f>
        <v>99381680.700989649</v>
      </c>
      <c r="B6260">
        <v>150665827.36524314</v>
      </c>
    </row>
    <row r="6261" spans="1:2" x14ac:dyDescent="0.25">
      <c r="A6261">
        <f ca="1">37642.4621888972*((RANDBETWEEN(2979,3282)))</f>
        <v>116390493.08807026</v>
      </c>
      <c r="B6261">
        <v>176936261.93878824</v>
      </c>
    </row>
    <row r="6262" spans="1:2" x14ac:dyDescent="0.25">
      <c r="A6262">
        <f ca="1">28685.8782066652*((RANDBETWEEN(2979,3282)))</f>
        <v>91995611.408775255</v>
      </c>
      <c r="B6262">
        <v>146804511.90169302</v>
      </c>
    </row>
    <row r="6263" spans="1:2" x14ac:dyDescent="0.25">
      <c r="A6263">
        <f ca="1">33045.5123211666*((RANDBETWEEN(2979,3282)))</f>
        <v>104423818.9348865</v>
      </c>
      <c r="B6263">
        <v>150513633.73493358</v>
      </c>
    </row>
    <row r="6264" spans="1:2" x14ac:dyDescent="0.25">
      <c r="A6264">
        <f ca="1">33321.160735302*((RANDBETWEEN(2979,3282)))</f>
        <v>101729503.72487707</v>
      </c>
      <c r="B6264">
        <v>169777540.97051996</v>
      </c>
    </row>
    <row r="6265" spans="1:2" x14ac:dyDescent="0.25">
      <c r="A6265">
        <f ca="1">41527.9032304267*((RANDBETWEEN(2979,3282)))</f>
        <v>131394285.82107022</v>
      </c>
      <c r="B6265">
        <v>165854260.44973952</v>
      </c>
    </row>
    <row r="6266" spans="1:2" x14ac:dyDescent="0.25">
      <c r="A6266">
        <f ca="1">27643.0797462657*((RANDBETWEEN(2979,3282)))</f>
        <v>83592673.152707413</v>
      </c>
      <c r="B6266">
        <v>178496631.41413116</v>
      </c>
    </row>
    <row r="6267" spans="1:2" x14ac:dyDescent="0.25">
      <c r="A6267">
        <f ca="1">38604.6667178337*((RANDBETWEEN(2979,3282)))</f>
        <v>125542376.1663952</v>
      </c>
      <c r="B6267">
        <v>193284628.70041695</v>
      </c>
    </row>
    <row r="6268" spans="1:2" x14ac:dyDescent="0.25">
      <c r="A6268">
        <f ca="1">34465.7141794967*((RANDBETWEEN(2979,3282)))</f>
        <v>106016536.81613196</v>
      </c>
      <c r="B6268">
        <v>174814325.38959676</v>
      </c>
    </row>
    <row r="6269" spans="1:2" x14ac:dyDescent="0.25">
      <c r="A6269">
        <f ca="1">31089.4670958941*((RANDBETWEEN(2979,3282)))</f>
        <v>98211626.555929556</v>
      </c>
      <c r="B6269">
        <v>177515925.34994873</v>
      </c>
    </row>
    <row r="6270" spans="1:2" x14ac:dyDescent="0.25">
      <c r="A6270">
        <f ca="1">36561.294157635*((RANDBETWEEN(2979,3282)))</f>
        <v>110707598.70931873</v>
      </c>
      <c r="B6270">
        <v>160647517.39916837</v>
      </c>
    </row>
    <row r="6271" spans="1:2" x14ac:dyDescent="0.25">
      <c r="A6271">
        <f ca="1">33565.6747014925*((RANDBETWEEN(2979,3282)))</f>
        <v>106571017.17723873</v>
      </c>
      <c r="B6271">
        <v>149928386.22307977</v>
      </c>
    </row>
    <row r="6272" spans="1:2" x14ac:dyDescent="0.25">
      <c r="A6272">
        <f ca="1">38128.360564964*((RANDBETWEEN(2979,3282)))</f>
        <v>115338290.70901617</v>
      </c>
      <c r="B6272">
        <v>173080914.27222297</v>
      </c>
    </row>
    <row r="6273" spans="1:2" x14ac:dyDescent="0.25">
      <c r="A6273">
        <f ca="1">34041.2611405457*((RANDBETWEEN(2979,3282)))</f>
        <v>109646902.13369767</v>
      </c>
      <c r="B6273">
        <v>195892569.76180649</v>
      </c>
    </row>
    <row r="6274" spans="1:2" x14ac:dyDescent="0.25">
      <c r="A6274">
        <f ca="1">34586.9015327105*((RANDBETWEEN(2979,3282)))</f>
        <v>108602870.81271085</v>
      </c>
      <c r="B6274">
        <v>152095316.55499992</v>
      </c>
    </row>
    <row r="6275" spans="1:2" x14ac:dyDescent="0.25">
      <c r="A6275">
        <f ca="1">33818.4188233146*((RANDBETWEEN(2979,3282)))</f>
        <v>108658579.67930983</v>
      </c>
      <c r="B6275">
        <v>200628100.58979434</v>
      </c>
    </row>
    <row r="6276" spans="1:2" x14ac:dyDescent="0.25">
      <c r="A6276">
        <f ca="1">33791.6980758358*((RANDBETWEEN(2979,3282)))</f>
        <v>102287470.07555495</v>
      </c>
      <c r="B6276">
        <v>152661635.64427117</v>
      </c>
    </row>
    <row r="6277" spans="1:2" x14ac:dyDescent="0.25">
      <c r="A6277">
        <f ca="1">36462.9162597251*((RANDBETWEEN(2979,3282)))</f>
        <v>112816262.90758958</v>
      </c>
      <c r="B6277">
        <v>170123131.75581983</v>
      </c>
    </row>
    <row r="6278" spans="1:2" x14ac:dyDescent="0.25">
      <c r="A6278">
        <f ca="1">33116.0357533826*((RANDBETWEEN(2979,3282)))</f>
        <v>103785656.05110101</v>
      </c>
      <c r="B6278">
        <v>176814899.33470958</v>
      </c>
    </row>
    <row r="6279" spans="1:2" x14ac:dyDescent="0.25">
      <c r="A6279">
        <f ca="1">31249.7507499198*((RANDBETWEEN(2979,3282)))</f>
        <v>93999250.255758688</v>
      </c>
      <c r="B6279">
        <v>150670500.55598029</v>
      </c>
    </row>
    <row r="6280" spans="1:2" x14ac:dyDescent="0.25">
      <c r="A6280">
        <f ca="1">38967.5028382481*((RANDBETWEEN(2979,3282)))</f>
        <v>126176774.19024752</v>
      </c>
      <c r="B6280">
        <v>186630571.22538841</v>
      </c>
    </row>
    <row r="6281" spans="1:2" x14ac:dyDescent="0.25">
      <c r="A6281">
        <f ca="1">37668.6692700074*((RANDBETWEEN(2979,3282)))</f>
        <v>121669801.74212392</v>
      </c>
      <c r="B6281">
        <v>156769540.18436289</v>
      </c>
    </row>
    <row r="6282" spans="1:2" x14ac:dyDescent="0.25">
      <c r="A6282">
        <f ca="1">30806.5326875399*((RANDBETWEEN(2979,3282)))</f>
        <v>99474294.048066303</v>
      </c>
      <c r="B6282">
        <v>156012226.30768433</v>
      </c>
    </row>
    <row r="6283" spans="1:2" x14ac:dyDescent="0.25">
      <c r="A6283">
        <f ca="1">31187.1618981625*((RANDBETWEEN(2979,3282)))</f>
        <v>101077591.71194471</v>
      </c>
      <c r="B6283">
        <v>201128236.50228435</v>
      </c>
    </row>
    <row r="6284" spans="1:2" x14ac:dyDescent="0.25">
      <c r="A6284">
        <f ca="1">37874.3668861798*((RANDBETWEEN(2979,3282)))</f>
        <v>116918170.57763711</v>
      </c>
      <c r="B6284">
        <v>170324272.17308906</v>
      </c>
    </row>
    <row r="6285" spans="1:2" x14ac:dyDescent="0.25">
      <c r="A6285">
        <f ca="1">35316.6779978341*((RANDBETWEEN(2979,3282)))</f>
        <v>112872102.88107786</v>
      </c>
      <c r="B6285">
        <v>201842961.05338556</v>
      </c>
    </row>
    <row r="6286" spans="1:2" x14ac:dyDescent="0.25">
      <c r="A6286">
        <f ca="1">32303.3434318023*((RANDBETWEEN(2979,3282)))</f>
        <v>97879130.598361045</v>
      </c>
      <c r="B6286">
        <v>156712005.36260539</v>
      </c>
    </row>
    <row r="6287" spans="1:2" x14ac:dyDescent="0.25">
      <c r="A6287">
        <f ca="1">32214.1383279945*((RANDBETWEEN(2979,3282)))</f>
        <v>98317550.17703934</v>
      </c>
      <c r="B6287">
        <v>160278693.12567821</v>
      </c>
    </row>
    <row r="6288" spans="1:2" x14ac:dyDescent="0.25">
      <c r="A6288">
        <f ca="1">33875.7904071848*((RANDBETWEEN(2979,3282)))</f>
        <v>104845571.31023701</v>
      </c>
      <c r="B6288">
        <v>156527199.15478322</v>
      </c>
    </row>
    <row r="6289" spans="1:2" x14ac:dyDescent="0.25">
      <c r="A6289">
        <f ca="1">28302.9435009695*((RANDBETWEEN(2979,3282)))</f>
        <v>86890036.547976494</v>
      </c>
      <c r="B6289">
        <v>146509375.64113444</v>
      </c>
    </row>
    <row r="6290" spans="1:2" x14ac:dyDescent="0.25">
      <c r="A6290">
        <f ca="1">31105.1702869097*((RANDBETWEEN(2979,3282)))</f>
        <v>94777453.864213899</v>
      </c>
      <c r="B6290">
        <v>161438860.50073999</v>
      </c>
    </row>
    <row r="6291" spans="1:2" x14ac:dyDescent="0.25">
      <c r="A6291">
        <f ca="1">33531.3688644582*((RANDBETWEEN(2979,3282)))</f>
        <v>100962951.65088376</v>
      </c>
      <c r="B6291">
        <v>169053173.62551355</v>
      </c>
    </row>
    <row r="6292" spans="1:2" x14ac:dyDescent="0.25">
      <c r="A6292">
        <f ca="1">29227.4656741976*((RANDBETWEEN(2979,3282)))</f>
        <v>92037289.408048302</v>
      </c>
      <c r="B6292">
        <v>174051780.74355713</v>
      </c>
    </row>
    <row r="6293" spans="1:2" x14ac:dyDescent="0.25">
      <c r="A6293">
        <f ca="1">34408.6152634036*((RANDBETWEEN(2979,3282)))</f>
        <v>104533373.17022026</v>
      </c>
      <c r="B6293">
        <v>177147711.82633457</v>
      </c>
    </row>
    <row r="6294" spans="1:2" x14ac:dyDescent="0.25">
      <c r="A6294">
        <f ca="1">36200.4372666398*((RANDBETWEEN(2979,3282)))</f>
        <v>111461146.3439838</v>
      </c>
      <c r="B6294">
        <v>157037492.08688217</v>
      </c>
    </row>
    <row r="6295" spans="1:2" x14ac:dyDescent="0.25">
      <c r="A6295">
        <f ca="1">31153.5902147687*((RANDBETWEEN(2979,3282)))</f>
        <v>101280321.78821309</v>
      </c>
      <c r="B6295">
        <v>187601828.36190969</v>
      </c>
    </row>
    <row r="6296" spans="1:2" x14ac:dyDescent="0.25">
      <c r="A6296">
        <f ca="1">31139.0414167169*((RANDBETWEEN(2979,3282)))</f>
        <v>97620894.841407582</v>
      </c>
      <c r="B6296">
        <v>174066251.75628319</v>
      </c>
    </row>
    <row r="6297" spans="1:2" x14ac:dyDescent="0.25">
      <c r="A6297">
        <f ca="1">30730.948160698*((RANDBETWEEN(2979,3282)))</f>
        <v>98707805.492162019</v>
      </c>
      <c r="B6297">
        <v>203272732.37775585</v>
      </c>
    </row>
    <row r="6298" spans="1:2" x14ac:dyDescent="0.25">
      <c r="A6298">
        <f ca="1">35424.9956226506*((RANDBETWEEN(2979,3282)))</f>
        <v>112899461.04938747</v>
      </c>
      <c r="B6298">
        <v>146594174.30117124</v>
      </c>
    </row>
    <row r="6299" spans="1:2" x14ac:dyDescent="0.25">
      <c r="A6299">
        <f ca="1">29571.2361744136*((RANDBETWEEN(2979,3282)))</f>
        <v>89038992.12115936</v>
      </c>
      <c r="B6299">
        <v>163020653.63088784</v>
      </c>
    </row>
    <row r="6300" spans="1:2" x14ac:dyDescent="0.25">
      <c r="A6300">
        <f ca="1">35180.0732538531*((RANDBETWEEN(2979,3282)))</f>
        <v>105082878.8092593</v>
      </c>
      <c r="B6300">
        <v>203165975.46748438</v>
      </c>
    </row>
    <row r="6301" spans="1:2" x14ac:dyDescent="0.25">
      <c r="A6301">
        <f ca="1">33915.4762164236*((RANDBETWEEN(2979,3282)))</f>
        <v>106087609.60497293</v>
      </c>
      <c r="B6301">
        <v>172715455.24015141</v>
      </c>
    </row>
    <row r="6302" spans="1:2" x14ac:dyDescent="0.25">
      <c r="A6302">
        <f ca="1">34212.8335055108*((RANDBETWEEN(2979,3282)))</f>
        <v>105375527.19697332</v>
      </c>
      <c r="B6302">
        <v>167612434.53582373</v>
      </c>
    </row>
    <row r="6303" spans="1:2" x14ac:dyDescent="0.25">
      <c r="A6303">
        <f ca="1">32528.6707451188*((RANDBETWEEN(2979,3282)))</f>
        <v>97423368.881630898</v>
      </c>
      <c r="B6303">
        <v>190415623.19090977</v>
      </c>
    </row>
    <row r="6304" spans="1:2" x14ac:dyDescent="0.25">
      <c r="A6304">
        <f ca="1">42061.8199791861*((RANDBETWEEN(2979,3282)))</f>
        <v>127783809.09676747</v>
      </c>
      <c r="B6304">
        <v>146339953.16795728</v>
      </c>
    </row>
    <row r="6305" spans="1:2" x14ac:dyDescent="0.25">
      <c r="A6305">
        <f ca="1">39760.1704845112*((RANDBETWEEN(2979,3282)))</f>
        <v>124727654.80991153</v>
      </c>
      <c r="B6305">
        <v>167886374.34501687</v>
      </c>
    </row>
    <row r="6306" spans="1:2" x14ac:dyDescent="0.25">
      <c r="A6306">
        <f ca="1">30131.7927586269*((RANDBETWEEN(2979,3282)))</f>
        <v>94583697.469329968</v>
      </c>
      <c r="B6306">
        <v>145765178.71335733</v>
      </c>
    </row>
    <row r="6307" spans="1:2" x14ac:dyDescent="0.25">
      <c r="A6307">
        <f ca="1">31336.020853326*((RANDBETWEEN(2979,3282)))</f>
        <v>94697455.018751174</v>
      </c>
      <c r="B6307">
        <v>199650548.34050152</v>
      </c>
    </row>
    <row r="6308" spans="1:2" x14ac:dyDescent="0.25">
      <c r="A6308">
        <f ca="1">31639.6009414091*((RANDBETWEEN(2979,3282)))</f>
        <v>100519012.19085668</v>
      </c>
      <c r="B6308">
        <v>157558027.18219292</v>
      </c>
    </row>
    <row r="6309" spans="1:2" x14ac:dyDescent="0.25">
      <c r="A6309">
        <f ca="1">34141.4954267431*((RANDBETWEEN(2979,3282)))</f>
        <v>109799049.29240584</v>
      </c>
      <c r="B6309">
        <v>151605110.91046995</v>
      </c>
    </row>
    <row r="6310" spans="1:2" x14ac:dyDescent="0.25">
      <c r="A6310">
        <f ca="1">36409.3982396306*((RANDBETWEEN(2979,3282)))</f>
        <v>114325510.47243993</v>
      </c>
      <c r="B6310">
        <v>163153040.32818925</v>
      </c>
    </row>
    <row r="6311" spans="1:2" x14ac:dyDescent="0.25">
      <c r="A6311">
        <f ca="1">38030.4827235547*((RANDBETWEEN(2979,3282)))</f>
        <v>121089056.99179825</v>
      </c>
      <c r="B6311">
        <v>174824652.5121302</v>
      </c>
    </row>
    <row r="6312" spans="1:2" x14ac:dyDescent="0.25">
      <c r="A6312">
        <f ca="1">32472.0213933555*((RANDBETWEEN(2979,3282)))</f>
        <v>101799787.06816961</v>
      </c>
      <c r="B6312">
        <v>170379589.89018196</v>
      </c>
    </row>
    <row r="6313" spans="1:2" x14ac:dyDescent="0.25">
      <c r="A6313">
        <f ca="1">31228.8921054*((RANDBETWEEN(2979,3282)))</f>
        <v>98308552.347799242</v>
      </c>
      <c r="B6313">
        <v>159948069.55459216</v>
      </c>
    </row>
    <row r="6314" spans="1:2" x14ac:dyDescent="0.25">
      <c r="A6314">
        <f ca="1">31400.0764959144*((RANDBETWEEN(2979,3282)))</f>
        <v>97497237.519814283</v>
      </c>
      <c r="B6314">
        <v>179040759.29845583</v>
      </c>
    </row>
    <row r="6315" spans="1:2" x14ac:dyDescent="0.25">
      <c r="A6315">
        <f ca="1">33663.8497854661*((RANDBETWEEN(2979,3282)))</f>
        <v>106142118.37357463</v>
      </c>
      <c r="B6315">
        <v>156561303.16427147</v>
      </c>
    </row>
    <row r="6316" spans="1:2" x14ac:dyDescent="0.25">
      <c r="A6316">
        <f ca="1">30021.1692752992*((RANDBETWEEN(2979,3282)))</f>
        <v>95887614.665305629</v>
      </c>
      <c r="B6316">
        <v>190607495.0864765</v>
      </c>
    </row>
    <row r="6317" spans="1:2" x14ac:dyDescent="0.25">
      <c r="A6317">
        <f ca="1">35264.5094948434*((RANDBETWEEN(2979,3282)))</f>
        <v>111083204.90875678</v>
      </c>
      <c r="B6317">
        <v>174249528.4109118</v>
      </c>
    </row>
    <row r="6318" spans="1:2" x14ac:dyDescent="0.25">
      <c r="A6318">
        <f ca="1">38708.2608192789*((RANDBETWEEN(2979,3282)))</f>
        <v>121776188.53745152</v>
      </c>
      <c r="B6318">
        <v>170603871.77514392</v>
      </c>
    </row>
    <row r="6319" spans="1:2" x14ac:dyDescent="0.25">
      <c r="A6319">
        <f ca="1">30873.2298600129*((RANDBETWEEN(2979,3282)))</f>
        <v>93422393.556399167</v>
      </c>
      <c r="B6319">
        <v>187632352.22065434</v>
      </c>
    </row>
    <row r="6320" spans="1:2" x14ac:dyDescent="0.25">
      <c r="A6320">
        <f ca="1">34291.4351435721*((RANDBETWEEN(2979,3282)))</f>
        <v>103217219.78215203</v>
      </c>
      <c r="B6320">
        <v>157191720.83630854</v>
      </c>
    </row>
    <row r="6321" spans="1:2" x14ac:dyDescent="0.25">
      <c r="A6321">
        <f ca="1">27769.8809443662*((RANDBETWEEN(2979,3282)))</f>
        <v>87947212.95080781</v>
      </c>
      <c r="B6321">
        <v>178882669.50430182</v>
      </c>
    </row>
    <row r="6322" spans="1:2" x14ac:dyDescent="0.25">
      <c r="A6322">
        <f ca="1">37584.9077203492*((RANDBETWEEN(2979,3282)))</f>
        <v>121699931.19849056</v>
      </c>
      <c r="B6322">
        <v>168750742.82061544</v>
      </c>
    </row>
    <row r="6323" spans="1:2" x14ac:dyDescent="0.25">
      <c r="A6323">
        <f ca="1">33883.4230569701*((RANDBETWEEN(2979,3282)))</f>
        <v>107308800.82142438</v>
      </c>
      <c r="B6323">
        <v>160806414.7174592</v>
      </c>
    </row>
    <row r="6324" spans="1:2" x14ac:dyDescent="0.25">
      <c r="A6324">
        <f ca="1">32530.4207977771*((RANDBETWEEN(2979,3282)))</f>
        <v>100681652.36912026</v>
      </c>
      <c r="B6324">
        <v>164735614.3913219</v>
      </c>
    </row>
    <row r="6325" spans="1:2" x14ac:dyDescent="0.25">
      <c r="A6325">
        <f ca="1">39826.8425873197*((RANDBETWEEN(2979,3282)))</f>
        <v>124578363.61313604</v>
      </c>
      <c r="B6325">
        <v>199764871.01881257</v>
      </c>
    </row>
    <row r="6326" spans="1:2" x14ac:dyDescent="0.25">
      <c r="A6326">
        <f ca="1">38025.6905576963*((RANDBETWEEN(2979,3282)))</f>
        <v>115484022.22372369</v>
      </c>
      <c r="B6326">
        <v>153485237.23368037</v>
      </c>
    </row>
    <row r="6327" spans="1:2" x14ac:dyDescent="0.25">
      <c r="A6327">
        <f ca="1">30351.5028457137*((RANDBETWEEN(2979,3282)))</f>
        <v>90720642.005838379</v>
      </c>
      <c r="B6327">
        <v>188211638.80815482</v>
      </c>
    </row>
    <row r="6328" spans="1:2" x14ac:dyDescent="0.25">
      <c r="A6328">
        <f ca="1">32351.5453765756*((RANDBETWEEN(2979,3282)))</f>
        <v>105498389.47301304</v>
      </c>
      <c r="B6328">
        <v>158442007.88727438</v>
      </c>
    </row>
    <row r="6329" spans="1:2" x14ac:dyDescent="0.25">
      <c r="A6329">
        <f ca="1">37698.9320613302*((RANDBETWEEN(2979,3282)))</f>
        <v>116791291.52600084</v>
      </c>
      <c r="B6329">
        <v>147442332.32601976</v>
      </c>
    </row>
    <row r="6330" spans="1:2" x14ac:dyDescent="0.25">
      <c r="A6330">
        <f ca="1">33423.2052640946*((RANDBETWEEN(2979,3282)))</f>
        <v>101740236.82390389</v>
      </c>
      <c r="B6330">
        <v>150574109.52867937</v>
      </c>
    </row>
    <row r="6331" spans="1:2" x14ac:dyDescent="0.25">
      <c r="A6331">
        <f ca="1">30371.6131280829*((RANDBETWEEN(2979,3282)))</f>
        <v>95366865.222180232</v>
      </c>
      <c r="B6331">
        <v>147012327.33859861</v>
      </c>
    </row>
    <row r="6332" spans="1:2" x14ac:dyDescent="0.25">
      <c r="A6332">
        <f ca="1">31727.9187226902*((RANDBETWEEN(2979,3282)))</f>
        <v>95691402.867633536</v>
      </c>
      <c r="B6332">
        <v>203640893.64422694</v>
      </c>
    </row>
    <row r="6333" spans="1:2" x14ac:dyDescent="0.25">
      <c r="A6333">
        <f ca="1">31829.9813344619*((RANDBETWEEN(2979,3282)))</f>
        <v>94980664.302034378</v>
      </c>
      <c r="B6333">
        <v>148405350.14990693</v>
      </c>
    </row>
    <row r="6334" spans="1:2" x14ac:dyDescent="0.25">
      <c r="A6334">
        <f ca="1">38393.6324818878*((RANDBETWEEN(2979,3282)))</f>
        <v>124241794.71138905</v>
      </c>
      <c r="B6334">
        <v>176871761.25098825</v>
      </c>
    </row>
    <row r="6335" spans="1:2" x14ac:dyDescent="0.25">
      <c r="A6335">
        <f ca="1">29686.5458639247*((RANDBETWEEN(2979,3282)))</f>
        <v>95353185.314926296</v>
      </c>
      <c r="B6335">
        <v>179012941.39796054</v>
      </c>
    </row>
    <row r="6336" spans="1:2" x14ac:dyDescent="0.25">
      <c r="A6336">
        <f ca="1">33597.1166113029*((RANDBETWEEN(2979,3282)))</f>
        <v>109963362.66879442</v>
      </c>
      <c r="B6336">
        <v>163240694.80975741</v>
      </c>
    </row>
    <row r="6337" spans="1:2" x14ac:dyDescent="0.25">
      <c r="A6337">
        <f ca="1">33789.9148312409*((RANDBETWEEN(2979,3282)))</f>
        <v>104478416.6581969</v>
      </c>
      <c r="B6337">
        <v>144719340.95211524</v>
      </c>
    </row>
    <row r="6338" spans="1:2" x14ac:dyDescent="0.25">
      <c r="A6338">
        <f ca="1">30847.0964816061*((RANDBETWEEN(2979,3282)))</f>
        <v>92942301.699079216</v>
      </c>
      <c r="B6338">
        <v>149125937.77807736</v>
      </c>
    </row>
    <row r="6339" spans="1:2" x14ac:dyDescent="0.25">
      <c r="A6339">
        <f ca="1">34430.2116387229*((RANDBETWEEN(2979,3282)))</f>
        <v>104220250.63041419</v>
      </c>
      <c r="B6339">
        <v>162363722.23321542</v>
      </c>
    </row>
    <row r="6340" spans="1:2" x14ac:dyDescent="0.25">
      <c r="A6340">
        <f ca="1">32480.8540228688*((RANDBETWEEN(2979,3282)))</f>
        <v>102314690.17203678</v>
      </c>
      <c r="B6340">
        <v>145014635.44321102</v>
      </c>
    </row>
    <row r="6341" spans="1:2" x14ac:dyDescent="0.25">
      <c r="A6341">
        <f ca="1">30623.9329925642*((RANDBETWEEN(2979,3282)))</f>
        <v>94321713.617097825</v>
      </c>
      <c r="B6341">
        <v>149091047.30605364</v>
      </c>
    </row>
    <row r="6342" spans="1:2" x14ac:dyDescent="0.25">
      <c r="A6342">
        <f ca="1">29312.9867661136*((RANDBETWEEN(2979,3282)))</f>
        <v>93332549.863305554</v>
      </c>
      <c r="B6342">
        <v>144900304.32928658</v>
      </c>
    </row>
    <row r="6343" spans="1:2" x14ac:dyDescent="0.25">
      <c r="A6343">
        <f ca="1">40543.0618059958*((RANDBETWEEN(2979,3282)))</f>
        <v>120777781.1200614</v>
      </c>
      <c r="B6343">
        <v>154078787.59638953</v>
      </c>
    </row>
    <row r="6344" spans="1:2" x14ac:dyDescent="0.25">
      <c r="A6344">
        <f ca="1">30643.9640784196*((RANDBETWEEN(2979,3282)))</f>
        <v>99500951.362628296</v>
      </c>
      <c r="B6344">
        <v>146655763.11144549</v>
      </c>
    </row>
    <row r="6345" spans="1:2" x14ac:dyDescent="0.25">
      <c r="A6345">
        <f ca="1">34044.4893198561*((RANDBETWEEN(2979,3282)))</f>
        <v>102576046.32072631</v>
      </c>
      <c r="B6345">
        <v>184804315.68072557</v>
      </c>
    </row>
    <row r="6346" spans="1:2" x14ac:dyDescent="0.25">
      <c r="A6346">
        <f ca="1">32756.4806439108*((RANDBETWEEN(2979,3282)))</f>
        <v>103772530.67990932</v>
      </c>
      <c r="B6346">
        <v>171185226.89601791</v>
      </c>
    </row>
    <row r="6347" spans="1:2" x14ac:dyDescent="0.25">
      <c r="A6347">
        <f ca="1">32173.8724547306*((RANDBETWEEN(2979,3282)))</f>
        <v>98387701.966566145</v>
      </c>
      <c r="B6347">
        <v>152019683.52706003</v>
      </c>
    </row>
    <row r="6348" spans="1:2" x14ac:dyDescent="0.25">
      <c r="A6348">
        <f ca="1">41945.6766811307*((RANDBETWEEN(2979,3282)))</f>
        <v>128941010.11779569</v>
      </c>
      <c r="B6348">
        <v>184003998.04915357</v>
      </c>
    </row>
    <row r="6349" spans="1:2" x14ac:dyDescent="0.25">
      <c r="A6349">
        <f ca="1">39920.8125436469*((RANDBETWEEN(2979,3282)))</f>
        <v>130221690.51737626</v>
      </c>
      <c r="B6349">
        <v>190576060.87862235</v>
      </c>
    </row>
    <row r="6350" spans="1:2" x14ac:dyDescent="0.25">
      <c r="A6350">
        <f ca="1">30388.9009258418*((RANDBETWEEN(2979,3282)))</f>
        <v>91896036.399745554</v>
      </c>
      <c r="B6350">
        <v>145190718.17219287</v>
      </c>
    </row>
    <row r="6351" spans="1:2" x14ac:dyDescent="0.25">
      <c r="A6351">
        <f ca="1">34779.1073331102*((RANDBETWEEN(2979,3282)))</f>
        <v>107502220.76664366</v>
      </c>
      <c r="B6351">
        <v>146222499.72730973</v>
      </c>
    </row>
    <row r="6352" spans="1:2" x14ac:dyDescent="0.25">
      <c r="A6352">
        <f ca="1">29167.8859935436*((RANDBETWEEN(2979,3282)))</f>
        <v>94124768.10116522</v>
      </c>
      <c r="B6352">
        <v>158442539.61072081</v>
      </c>
    </row>
    <row r="6353" spans="1:2" x14ac:dyDescent="0.25">
      <c r="A6353">
        <f ca="1">41471.9376003997*((RANDBETWEEN(2979,3282)))</f>
        <v>131839289.63167056</v>
      </c>
      <c r="B6353">
        <v>150503451.28681582</v>
      </c>
    </row>
    <row r="6354" spans="1:2" x14ac:dyDescent="0.25">
      <c r="A6354">
        <f ca="1">31550.6986844852*((RANDBETWEEN(2979,3282)))</f>
        <v>99794859.939026728</v>
      </c>
      <c r="B6354">
        <v>160786537.08107811</v>
      </c>
    </row>
    <row r="6355" spans="1:2" x14ac:dyDescent="0.25">
      <c r="A6355">
        <f ca="1">29501.8124556801*((RANDBETWEEN(2979,3282)))</f>
        <v>87915401.117926806</v>
      </c>
      <c r="B6355">
        <v>158889318.32424861</v>
      </c>
    </row>
    <row r="6356" spans="1:2" x14ac:dyDescent="0.25">
      <c r="A6356">
        <f ca="1">29530.5778898637*((RANDBETWEEN(2979,3282)))</f>
        <v>90747465.855551004</v>
      </c>
      <c r="B6356">
        <v>146217599.99978632</v>
      </c>
    </row>
    <row r="6357" spans="1:2" x14ac:dyDescent="0.25">
      <c r="A6357">
        <f ca="1">30610.0392004502*((RANDBETWEEN(2979,3282)))</f>
        <v>91217916.817341551</v>
      </c>
      <c r="B6357">
        <v>153996187.32156819</v>
      </c>
    </row>
    <row r="6358" spans="1:2" x14ac:dyDescent="0.25">
      <c r="A6358">
        <f ca="1">29049.8211642581*((RANDBETWEEN(2979,3282)))</f>
        <v>89444399.364750713</v>
      </c>
      <c r="B6358">
        <v>164503826.73384494</v>
      </c>
    </row>
    <row r="6359" spans="1:2" x14ac:dyDescent="0.25">
      <c r="A6359">
        <f ca="1">29660.8059740231*((RANDBETWEEN(2979,3282)))</f>
        <v>92274767.385186121</v>
      </c>
      <c r="B6359">
        <v>199246022.48249555</v>
      </c>
    </row>
    <row r="6360" spans="1:2" x14ac:dyDescent="0.25">
      <c r="A6360">
        <f ca="1">31133.8504811231*((RANDBETWEEN(2979,3282)))</f>
        <v>97480085.856396317</v>
      </c>
      <c r="B6360">
        <v>181861192.06846464</v>
      </c>
    </row>
    <row r="6361" spans="1:2" x14ac:dyDescent="0.25">
      <c r="A6361">
        <f ca="1">36750.6994371104*((RANDBETWEEN(2979,3282)))</f>
        <v>111391369.99388167</v>
      </c>
      <c r="B6361">
        <v>200448496.90755427</v>
      </c>
    </row>
    <row r="6362" spans="1:2" x14ac:dyDescent="0.25">
      <c r="A6362">
        <f ca="1">38305.1919022321*((RANDBETWEEN(2979,3282)))</f>
        <v>117022361.26131904</v>
      </c>
      <c r="B6362">
        <v>163221146.58595318</v>
      </c>
    </row>
    <row r="6363" spans="1:2" x14ac:dyDescent="0.25">
      <c r="A6363">
        <f ca="1">32172.7789794648*((RANDBETWEEN(2979,3282)))</f>
        <v>96067918.032681912</v>
      </c>
      <c r="B6363">
        <v>187730636.67306048</v>
      </c>
    </row>
    <row r="6364" spans="1:2" x14ac:dyDescent="0.25">
      <c r="A6364">
        <f ca="1">39071.9730463319*((RANDBETWEEN(2979,3282)))</f>
        <v>117020559.27376416</v>
      </c>
      <c r="B6364">
        <v>171043897.91066134</v>
      </c>
    </row>
    <row r="6365" spans="1:2" x14ac:dyDescent="0.25">
      <c r="A6365">
        <f ca="1">29193.4807044088*((RANDBETWEEN(2979,3282)))</f>
        <v>91842690.296069965</v>
      </c>
      <c r="B6365">
        <v>168220236.43968958</v>
      </c>
    </row>
    <row r="6366" spans="1:2" x14ac:dyDescent="0.25">
      <c r="A6366">
        <f ca="1">32853.6964785199*((RANDBETWEEN(2979,3282)))</f>
        <v>106281708.10801172</v>
      </c>
      <c r="B6366">
        <v>157541875.20355827</v>
      </c>
    </row>
    <row r="6367" spans="1:2" x14ac:dyDescent="0.25">
      <c r="A6367">
        <f ca="1">42183.0380965677*((RANDBETWEEN(2979,3282)))</f>
        <v>130134672.52791123</v>
      </c>
      <c r="B6367">
        <v>168535615.55638763</v>
      </c>
    </row>
    <row r="6368" spans="1:2" x14ac:dyDescent="0.25">
      <c r="A6368">
        <f ca="1">28377.0971095851*((RANDBETWEEN(2979,3282)))</f>
        <v>90068906.225822985</v>
      </c>
      <c r="B6368">
        <v>163399776.25049645</v>
      </c>
    </row>
    <row r="6369" spans="1:2" x14ac:dyDescent="0.25">
      <c r="A6369">
        <f ca="1">33645.5585624554*((RANDBETWEEN(2979,3282)))</f>
        <v>110323786.52629116</v>
      </c>
      <c r="B6369">
        <v>195580348.09382048</v>
      </c>
    </row>
    <row r="6370" spans="1:2" x14ac:dyDescent="0.25">
      <c r="A6370">
        <f ca="1">33736.0039264301*((RANDBETWEEN(2979,3282)))</f>
        <v>105087652.23082976</v>
      </c>
      <c r="B6370">
        <v>195354406.65114552</v>
      </c>
    </row>
    <row r="6371" spans="1:2" x14ac:dyDescent="0.25">
      <c r="A6371">
        <f ca="1">31262.6025789191*((RANDBETWEEN(2979,3282)))</f>
        <v>100134116.06027786</v>
      </c>
      <c r="B6371">
        <v>146505438.6645073</v>
      </c>
    </row>
    <row r="6372" spans="1:2" x14ac:dyDescent="0.25">
      <c r="A6372">
        <f ca="1">31037.8576179195*((RANDBETWEEN(2979,3282)))</f>
        <v>100748885.82776667</v>
      </c>
      <c r="B6372">
        <v>182820246.75812021</v>
      </c>
    </row>
    <row r="6373" spans="1:2" x14ac:dyDescent="0.25">
      <c r="A6373">
        <f ca="1">40613.389886607*((RANDBETWEEN(2979,3282)))</f>
        <v>123870839.15415147</v>
      </c>
      <c r="B6373">
        <v>144063732.14305362</v>
      </c>
    </row>
    <row r="6374" spans="1:2" x14ac:dyDescent="0.25">
      <c r="A6374">
        <f ca="1">32828.8675897278*((RANDBETWEEN(2979,3282)))</f>
        <v>100686136.89769517</v>
      </c>
      <c r="B6374">
        <v>156687423.11764997</v>
      </c>
    </row>
    <row r="6375" spans="1:2" x14ac:dyDescent="0.25">
      <c r="A6375">
        <f ca="1">30342.9512864276*((RANDBETWEEN(2979,3282)))</f>
        <v>97643617.23972404</v>
      </c>
      <c r="B6375">
        <v>144430646.85961965</v>
      </c>
    </row>
    <row r="6376" spans="1:2" x14ac:dyDescent="0.25">
      <c r="A6376">
        <f ca="1">32691.4493837439*((RANDBETWEEN(2979,3282)))</f>
        <v>99708920.620418921</v>
      </c>
      <c r="B6376">
        <v>146766447.36226764</v>
      </c>
    </row>
    <row r="6377" spans="1:2" x14ac:dyDescent="0.25">
      <c r="A6377">
        <f ca="1">28190.5242403106*((RANDBETWEEN(2979,3282)))</f>
        <v>84740715.866373643</v>
      </c>
      <c r="B6377">
        <v>144298575.95973897</v>
      </c>
    </row>
    <row r="6378" spans="1:2" x14ac:dyDescent="0.25">
      <c r="A6378">
        <f ca="1">31294.4409911843*((RANDBETWEEN(2979,3282)))</f>
        <v>99704088.997913137</v>
      </c>
      <c r="B6378">
        <v>158055702.44526944</v>
      </c>
    </row>
    <row r="6379" spans="1:2" x14ac:dyDescent="0.25">
      <c r="A6379">
        <f ca="1">36254.1443252538*((RANDBETWEEN(2979,3282)))</f>
        <v>108037350.08925633</v>
      </c>
      <c r="B6379">
        <v>179233555.26841712</v>
      </c>
    </row>
    <row r="6380" spans="1:2" x14ac:dyDescent="0.25">
      <c r="A6380">
        <f ca="1">32447.7486870702*((RANDBETWEEN(2979,3282)))</f>
        <v>103638109.30650215</v>
      </c>
      <c r="B6380">
        <v>150096476.39063671</v>
      </c>
    </row>
    <row r="6381" spans="1:2" x14ac:dyDescent="0.25">
      <c r="A6381">
        <f ca="1">38518.9359590859*((RANDBETWEEN(2979,3282)))</f>
        <v>118561284.88206646</v>
      </c>
      <c r="B6381">
        <v>174385785.52096441</v>
      </c>
    </row>
    <row r="6382" spans="1:2" x14ac:dyDescent="0.25">
      <c r="A6382">
        <f ca="1">29503.7488523561*((RANDBETWEEN(2979,3282)))</f>
        <v>94559515.071801394</v>
      </c>
      <c r="B6382">
        <v>165342408.29504788</v>
      </c>
    </row>
    <row r="6383" spans="1:2" x14ac:dyDescent="0.25">
      <c r="A6383">
        <f ca="1">32366.081255084*((RANDBETWEEN(2979,3282)))</f>
        <v>97033511.602741733</v>
      </c>
      <c r="B6383">
        <v>150663113.50757146</v>
      </c>
    </row>
    <row r="6384" spans="1:2" x14ac:dyDescent="0.25">
      <c r="A6384">
        <f ca="1">30579.0893768065*((RANDBETWEEN(2979,3282)))</f>
        <v>97333241.486375138</v>
      </c>
      <c r="B6384">
        <v>146358144.13597959</v>
      </c>
    </row>
    <row r="6385" spans="1:2" x14ac:dyDescent="0.25">
      <c r="A6385">
        <f ca="1">29190.3708803153*((RANDBETWEEN(2979,3282)))</f>
        <v>89731200.086089134</v>
      </c>
      <c r="B6385">
        <v>166655705.7436308</v>
      </c>
    </row>
    <row r="6386" spans="1:2" x14ac:dyDescent="0.25">
      <c r="A6386">
        <f ca="1">37324.6894071075*((RANDBETWEEN(2979,3282)))</f>
        <v>120148175.20147914</v>
      </c>
      <c r="B6386">
        <v>187668590.59954089</v>
      </c>
    </row>
    <row r="6387" spans="1:2" x14ac:dyDescent="0.25">
      <c r="A6387">
        <f ca="1">31820.5859573302*((RANDBETWEEN(2979,3282)))</f>
        <v>101412207.44601141</v>
      </c>
      <c r="B6387">
        <v>143504652.19303617</v>
      </c>
    </row>
    <row r="6388" spans="1:2" x14ac:dyDescent="0.25">
      <c r="A6388">
        <f ca="1">28807.131639235*((RANDBETWEEN(2979,3282)))</f>
        <v>89129265.291793168</v>
      </c>
      <c r="B6388">
        <v>154809011.54489535</v>
      </c>
    </row>
    <row r="6389" spans="1:2" x14ac:dyDescent="0.25">
      <c r="A6389">
        <f ca="1">40571.4244148213*((RANDBETWEEN(2979,3282)))</f>
        <v>131491986.52843571</v>
      </c>
      <c r="B6389">
        <v>162083491.37442568</v>
      </c>
    </row>
    <row r="6390" spans="1:2" x14ac:dyDescent="0.25">
      <c r="A6390">
        <f ca="1">31519.4999994754*((RANDBETWEEN(2979,3282)))</f>
        <v>96355111.498396337</v>
      </c>
      <c r="B6390">
        <v>150543549.32428458</v>
      </c>
    </row>
    <row r="6391" spans="1:2" x14ac:dyDescent="0.25">
      <c r="A6391">
        <f ca="1">31301.5208356748*((RANDBETWEEN(2979,3282)))</f>
        <v>98537187.590704381</v>
      </c>
      <c r="B6391">
        <v>197829894.15264279</v>
      </c>
    </row>
    <row r="6392" spans="1:2" x14ac:dyDescent="0.25">
      <c r="A6392">
        <f ca="1">38783.753603476*((RANDBETWEEN(2979,3282)))</f>
        <v>117088152.12889391</v>
      </c>
      <c r="B6392">
        <v>191594565.44976032</v>
      </c>
    </row>
    <row r="6393" spans="1:2" x14ac:dyDescent="0.25">
      <c r="A6393">
        <f ca="1">33491.6448884701*((RANDBETWEEN(2979,3282)))</f>
        <v>109383712.20574325</v>
      </c>
      <c r="B6393">
        <v>196217110.52373296</v>
      </c>
    </row>
    <row r="6394" spans="1:2" x14ac:dyDescent="0.25">
      <c r="A6394">
        <f ca="1">32471.4360966384*((RANDBETWEEN(2979,3282)))</f>
        <v>99622365.944486499</v>
      </c>
      <c r="B6394">
        <v>160155408.09367639</v>
      </c>
    </row>
    <row r="6395" spans="1:2" x14ac:dyDescent="0.25">
      <c r="A6395">
        <f ca="1">29411.4920751102*((RANDBETWEEN(2979,3282)))</f>
        <v>89881519.781536743</v>
      </c>
      <c r="B6395">
        <v>165365940.58459187</v>
      </c>
    </row>
    <row r="6396" spans="1:2" x14ac:dyDescent="0.25">
      <c r="A6396">
        <f ca="1">31470.6134388004*((RANDBETWEEN(2979,3282)))</f>
        <v>97527431.046842396</v>
      </c>
      <c r="B6396">
        <v>174038833.91171572</v>
      </c>
    </row>
    <row r="6397" spans="1:2" x14ac:dyDescent="0.25">
      <c r="A6397">
        <f ca="1">29535.9734937105*((RANDBETWEEN(2979,3282)))</f>
        <v>90970798.360628217</v>
      </c>
      <c r="B6397">
        <v>201140842.48580357</v>
      </c>
    </row>
    <row r="6398" spans="1:2" x14ac:dyDescent="0.25">
      <c r="A6398">
        <f ca="1">40351.6150233776*((RANDBETWEEN(2979,3282)))</f>
        <v>131546264.97621104</v>
      </c>
      <c r="B6398">
        <v>161533565.82519096</v>
      </c>
    </row>
    <row r="6399" spans="1:2" x14ac:dyDescent="0.25">
      <c r="A6399">
        <f ca="1">33770.3821076828*((RANDBETWEEN(2979,3282)))</f>
        <v>104114088.03798601</v>
      </c>
      <c r="B6399">
        <v>203589017.5849995</v>
      </c>
    </row>
    <row r="6400" spans="1:2" x14ac:dyDescent="0.25">
      <c r="A6400">
        <f ca="1">34769.2546255622*((RANDBETWEEN(2979,3282)))</f>
        <v>104724994.93219335</v>
      </c>
      <c r="B6400">
        <v>155451619.96541265</v>
      </c>
    </row>
    <row r="6401" spans="1:2" x14ac:dyDescent="0.25">
      <c r="A6401">
        <f ca="1">32215.4679193868*((RANDBETWEEN(2979,3282)))</f>
        <v>102992850.93827946</v>
      </c>
      <c r="B6401">
        <v>150788395.29833379</v>
      </c>
    </row>
    <row r="6402" spans="1:2" x14ac:dyDescent="0.25">
      <c r="A6402">
        <f ca="1">30274.1438767864*((RANDBETWEEN(2979,3282)))</f>
        <v>95817665.370028824</v>
      </c>
      <c r="B6402">
        <v>147885135.57503045</v>
      </c>
    </row>
    <row r="6403" spans="1:2" x14ac:dyDescent="0.25">
      <c r="A6403">
        <f ca="1">29782.6416157022*((RANDBETWEEN(2979,3282)))</f>
        <v>91581622.968284264</v>
      </c>
      <c r="B6403">
        <v>149287031.91886476</v>
      </c>
    </row>
    <row r="6404" spans="1:2" x14ac:dyDescent="0.25">
      <c r="A6404">
        <f ca="1">27014.6495978507*((RANDBETWEEN(2979,3282)))</f>
        <v>83718399.103739426</v>
      </c>
      <c r="B6404">
        <v>191938884.53385216</v>
      </c>
    </row>
    <row r="6405" spans="1:2" x14ac:dyDescent="0.25">
      <c r="A6405">
        <f ca="1">34357.190983655*((RANDBETWEEN(2979,3282)))</f>
        <v>103586930.81571975</v>
      </c>
      <c r="B6405">
        <v>159430126.03878519</v>
      </c>
    </row>
    <row r="6406" spans="1:2" x14ac:dyDescent="0.25">
      <c r="A6406">
        <f ca="1">35893.5031681574*((RANDBETWEEN(2979,3282)))</f>
        <v>117120500.83769758</v>
      </c>
      <c r="B6406">
        <v>152098047.77174342</v>
      </c>
    </row>
    <row r="6407" spans="1:2" x14ac:dyDescent="0.25">
      <c r="A6407">
        <f ca="1">33673.121112028*((RANDBETWEEN(2979,3282)))</f>
        <v>103847905.5094945</v>
      </c>
      <c r="B6407">
        <v>167466323.93353587</v>
      </c>
    </row>
    <row r="6408" spans="1:2" x14ac:dyDescent="0.25">
      <c r="A6408">
        <f ca="1">30555.3440149032*((RANDBETWEEN(2979,3282)))</f>
        <v>95668782.110662058</v>
      </c>
      <c r="B6408">
        <v>145457928.84325835</v>
      </c>
    </row>
    <row r="6409" spans="1:2" x14ac:dyDescent="0.25">
      <c r="A6409">
        <f ca="1">30085.3554604763*((RANDBETWEEN(2979,3282)))</f>
        <v>95942198.56345883</v>
      </c>
      <c r="B6409">
        <v>148034976.71507323</v>
      </c>
    </row>
    <row r="6410" spans="1:2" x14ac:dyDescent="0.25">
      <c r="A6410">
        <f ca="1">37570.5243947969*((RANDBETWEEN(2979,3282)))</f>
        <v>119812402.29500745</v>
      </c>
      <c r="B6410">
        <v>170566164.48826221</v>
      </c>
    </row>
    <row r="6411" spans="1:2" x14ac:dyDescent="0.25">
      <c r="A6411">
        <f ca="1">38630.8478076167*((RANDBETWEEN(2979,3282)))</f>
        <v>126477395.72213712</v>
      </c>
      <c r="B6411">
        <v>166498224.66076922</v>
      </c>
    </row>
    <row r="6412" spans="1:2" x14ac:dyDescent="0.25">
      <c r="A6412">
        <f ca="1">33380.9879095195*((RANDBETWEEN(2979,3282)))</f>
        <v>102012299.05149166</v>
      </c>
      <c r="B6412">
        <v>174243402.81522095</v>
      </c>
    </row>
    <row r="6413" spans="1:2" x14ac:dyDescent="0.25">
      <c r="A6413">
        <f ca="1">32218.7892050205*((RANDBETWEEN(2979,3282)))</f>
        <v>105419878.27882695</v>
      </c>
      <c r="B6413">
        <v>197316017.65040129</v>
      </c>
    </row>
    <row r="6414" spans="1:2" x14ac:dyDescent="0.25">
      <c r="A6414">
        <f ca="1">39067.7664696558*((RANDBETWEEN(2979,3282)))</f>
        <v>121422618.18769029</v>
      </c>
      <c r="B6414">
        <v>163152545.57492149</v>
      </c>
    </row>
    <row r="6415" spans="1:2" x14ac:dyDescent="0.25">
      <c r="A6415">
        <f ca="1">37711.5789350057*((RANDBETWEEN(2979,3282)))</f>
        <v>120488494.69734322</v>
      </c>
      <c r="B6415">
        <v>153701894.34721926</v>
      </c>
    </row>
    <row r="6416" spans="1:2" x14ac:dyDescent="0.25">
      <c r="A6416">
        <f ca="1">33959.7755167739*((RANDBETWEEN(2979,3282)))</f>
        <v>110165511.77641456</v>
      </c>
      <c r="B6416">
        <v>182755428.73654005</v>
      </c>
    </row>
    <row r="6417" spans="1:2" x14ac:dyDescent="0.25">
      <c r="A6417">
        <f ca="1">31678.019974045*((RANDBETWEEN(2979,3282)))</f>
        <v>102795174.81577595</v>
      </c>
      <c r="B6417">
        <v>185873370.94743302</v>
      </c>
    </row>
    <row r="6418" spans="1:2" x14ac:dyDescent="0.25">
      <c r="A6418">
        <f ca="1">30189.2710355882*((RANDBETWEEN(2979,3282)))</f>
        <v>95488664.2855656</v>
      </c>
      <c r="B6418">
        <v>177293351.42765278</v>
      </c>
    </row>
    <row r="6419" spans="1:2" x14ac:dyDescent="0.25">
      <c r="A6419">
        <f ca="1">34699.1091687141*((RANDBETWEEN(2979,3282)))</f>
        <v>112633308.36164607</v>
      </c>
      <c r="B6419">
        <v>189198894.97759306</v>
      </c>
    </row>
    <row r="6420" spans="1:2" x14ac:dyDescent="0.25">
      <c r="A6420">
        <f ca="1">29887.2871953234*((RANDBETWEEN(2979,3282)))</f>
        <v>95400220.727472395</v>
      </c>
      <c r="B6420">
        <v>157700333.88549477</v>
      </c>
    </row>
    <row r="6421" spans="1:2" x14ac:dyDescent="0.25">
      <c r="A6421">
        <f ca="1">30748.4433481521*((RANDBETWEEN(2979,3282)))</f>
        <v>94674457.068960443</v>
      </c>
      <c r="B6421">
        <v>152708056.8914094</v>
      </c>
    </row>
    <row r="6422" spans="1:2" x14ac:dyDescent="0.25">
      <c r="A6422">
        <f ca="1">30283.6992326447*((RANDBETWEEN(2979,3282)))</f>
        <v>93485779.531174183</v>
      </c>
      <c r="B6422">
        <v>145583741.82167655</v>
      </c>
    </row>
    <row r="6423" spans="1:2" x14ac:dyDescent="0.25">
      <c r="A6423">
        <f ca="1">32361.8490671723*((RANDBETWEEN(2979,3282)))</f>
        <v>102263443.05226436</v>
      </c>
      <c r="B6423">
        <v>162308476.68093157</v>
      </c>
    </row>
    <row r="6424" spans="1:2" x14ac:dyDescent="0.25">
      <c r="A6424">
        <f ca="1">28651.5096827472*((RANDBETWEEN(2979,3282)))</f>
        <v>92830891.3721008</v>
      </c>
      <c r="B6424">
        <v>195855956.48237988</v>
      </c>
    </row>
    <row r="6425" spans="1:2" x14ac:dyDescent="0.25">
      <c r="A6425">
        <f ca="1">36056.8182772484*((RANDBETWEEN(2979,3282)))</f>
        <v>117076488.94622555</v>
      </c>
      <c r="B6425">
        <v>156332026.6507875</v>
      </c>
    </row>
    <row r="6426" spans="1:2" x14ac:dyDescent="0.25">
      <c r="A6426">
        <f ca="1">30690.271773177*((RANDBETWEEN(2979,3282)))</f>
        <v>96183311.737136692</v>
      </c>
      <c r="B6426">
        <v>164069673.03230643</v>
      </c>
    </row>
    <row r="6427" spans="1:2" x14ac:dyDescent="0.25">
      <c r="A6427">
        <f ca="1">38407.6088398409*((RANDBETWEEN(2979,3282)))</f>
        <v>126015364.60351789</v>
      </c>
      <c r="B6427">
        <v>166744470.97248805</v>
      </c>
    </row>
    <row r="6428" spans="1:2" x14ac:dyDescent="0.25">
      <c r="A6428">
        <f ca="1">33519.0764922393*((RANDBETWEEN(2979,3282)))</f>
        <v>100624267.62970233</v>
      </c>
      <c r="B6428">
        <v>175461339.38513967</v>
      </c>
    </row>
    <row r="6429" spans="1:2" x14ac:dyDescent="0.25">
      <c r="A6429">
        <f ca="1">41252.2773478148*((RANDBETWEEN(2979,3282)))</f>
        <v>130274691.86439924</v>
      </c>
      <c r="B6429">
        <v>157104145.12977928</v>
      </c>
    </row>
    <row r="6430" spans="1:2" x14ac:dyDescent="0.25">
      <c r="A6430">
        <f ca="1">31781.522829804*((RANDBETWEEN(2979,3282)))</f>
        <v>95598820.672050476</v>
      </c>
      <c r="B6430">
        <v>158504641.56948027</v>
      </c>
    </row>
    <row r="6431" spans="1:2" x14ac:dyDescent="0.25">
      <c r="A6431">
        <f ca="1">32853.971539696*((RANDBETWEEN(2979,3282)))</f>
        <v>98923308.306024775</v>
      </c>
      <c r="B6431">
        <v>147804631.64340401</v>
      </c>
    </row>
    <row r="6432" spans="1:2" x14ac:dyDescent="0.25">
      <c r="A6432">
        <f ca="1">33533.1925326685*((RANDBETWEEN(2979,3282)))</f>
        <v>106937350.98667994</v>
      </c>
      <c r="B6432">
        <v>153200116.33941692</v>
      </c>
    </row>
    <row r="6433" spans="1:2" x14ac:dyDescent="0.25">
      <c r="A6433">
        <f ca="1">34959.4670096506*((RANDBETWEEN(2979,3282)))</f>
        <v>109283293.87216783</v>
      </c>
      <c r="B6433">
        <v>178378063.36086369</v>
      </c>
    </row>
    <row r="6434" spans="1:2" x14ac:dyDescent="0.25">
      <c r="A6434">
        <f ca="1">31456.9498997314*((RANDBETWEEN(2979,3282)))</f>
        <v>98460253.186159223</v>
      </c>
      <c r="B6434">
        <v>152431028.68318588</v>
      </c>
    </row>
    <row r="6435" spans="1:2" x14ac:dyDescent="0.25">
      <c r="A6435">
        <f ca="1">30390.6204757604*((RANDBETWEEN(2979,3282)))</f>
        <v>99043032.130503178</v>
      </c>
      <c r="B6435">
        <v>160014440.74836805</v>
      </c>
    </row>
    <row r="6436" spans="1:2" x14ac:dyDescent="0.25">
      <c r="A6436">
        <f ca="1">36230.8946102214*((RANDBETWEEN(2979,3282)))</f>
        <v>111410000.92643093</v>
      </c>
      <c r="B6436">
        <v>191586409.158344</v>
      </c>
    </row>
    <row r="6437" spans="1:2" x14ac:dyDescent="0.25">
      <c r="A6437">
        <f ca="1">28932.5473328626*((RANDBETWEEN(2979,3282)))</f>
        <v>87810281.155237854</v>
      </c>
      <c r="B6437">
        <v>155395942.0937919</v>
      </c>
    </row>
    <row r="6438" spans="1:2" x14ac:dyDescent="0.25">
      <c r="A6438">
        <f ca="1">30632.7649646341*((RANDBETWEEN(2979,3282)))</f>
        <v>92909176.137735233</v>
      </c>
      <c r="B6438">
        <v>150294036.50353563</v>
      </c>
    </row>
    <row r="6439" spans="1:2" x14ac:dyDescent="0.25">
      <c r="A6439">
        <f ca="1">32217.3723747364*((RANDBETWEEN(2979,3282)))</f>
        <v>104513155.98364495</v>
      </c>
      <c r="B6439">
        <v>178088986.82096815</v>
      </c>
    </row>
    <row r="6440" spans="1:2" x14ac:dyDescent="0.25">
      <c r="A6440">
        <f ca="1">40809.6266146724*((RANDBETWEEN(2979,3282)))</f>
        <v>132100761.35169461</v>
      </c>
      <c r="B6440">
        <v>170641264.4884558</v>
      </c>
    </row>
    <row r="6441" spans="1:2" x14ac:dyDescent="0.25">
      <c r="A6441">
        <f ca="1">30131.5168519499*((RANDBETWEEN(2979,3282)))</f>
        <v>89761788.701958656</v>
      </c>
      <c r="B6441">
        <v>153199182.21015507</v>
      </c>
    </row>
    <row r="6442" spans="1:2" x14ac:dyDescent="0.25">
      <c r="A6442">
        <f ca="1">33717.3224219635*((RANDBETWEEN(2979,3282)))</f>
        <v>106647890.82067052</v>
      </c>
      <c r="B6442">
        <v>165465099.19521713</v>
      </c>
    </row>
    <row r="6443" spans="1:2" x14ac:dyDescent="0.25">
      <c r="A6443">
        <f ca="1">35609.5369914491*((RANDBETWEEN(2979,3282)))</f>
        <v>112205651.06005609</v>
      </c>
      <c r="B6443">
        <v>170927192.57951382</v>
      </c>
    </row>
    <row r="6444" spans="1:2" x14ac:dyDescent="0.25">
      <c r="A6444">
        <f ca="1">32166.8037299838*((RANDBETWEEN(2979,3282)))</f>
        <v>98494753.021210268</v>
      </c>
      <c r="B6444">
        <v>146263985.76099244</v>
      </c>
    </row>
    <row r="6445" spans="1:2" x14ac:dyDescent="0.25">
      <c r="A6445">
        <f ca="1">35486.205527936*((RANDBETWEEN(2979,3282)))</f>
        <v>106423130.37828013</v>
      </c>
      <c r="B6445">
        <v>146834055.49408025</v>
      </c>
    </row>
    <row r="6446" spans="1:2" x14ac:dyDescent="0.25">
      <c r="A6446">
        <f ca="1">30438.7223897891*((RANDBETWEEN(2979,3282)))</f>
        <v>97556105.259273902</v>
      </c>
      <c r="B6446">
        <v>144728002.28874451</v>
      </c>
    </row>
    <row r="6447" spans="1:2" x14ac:dyDescent="0.25">
      <c r="A6447">
        <f ca="1">32677.6930601605*((RANDBETWEEN(2979,3282)))</f>
        <v>99764996.912670031</v>
      </c>
      <c r="B6447">
        <v>154035563.8068763</v>
      </c>
    </row>
    <row r="6448" spans="1:2" x14ac:dyDescent="0.25">
      <c r="A6448">
        <f ca="1">29858.1798896549*((RANDBETWEEN(2979,3282)))</f>
        <v>91754186.800909594</v>
      </c>
      <c r="B6448">
        <v>188648998.62016425</v>
      </c>
    </row>
    <row r="6449" spans="1:2" x14ac:dyDescent="0.25">
      <c r="A6449">
        <f ca="1">31700.9058552798*((RANDBETWEEN(2979,3282)))</f>
        <v>100428469.74952643</v>
      </c>
      <c r="B6449">
        <v>144052250.76817653</v>
      </c>
    </row>
    <row r="6450" spans="1:2" x14ac:dyDescent="0.25">
      <c r="A6450">
        <f ca="1">29071.6901502968*((RANDBETWEEN(2979,3282)))</f>
        <v>93727129.044556841</v>
      </c>
      <c r="B6450">
        <v>178358908.49287966</v>
      </c>
    </row>
    <row r="6451" spans="1:2" x14ac:dyDescent="0.25">
      <c r="A6451">
        <f ca="1">34656.5674231283*((RANDBETWEEN(2979,3282)))</f>
        <v>104489550.78073184</v>
      </c>
      <c r="B6451">
        <v>145559540.21381724</v>
      </c>
    </row>
    <row r="6452" spans="1:2" x14ac:dyDescent="0.25">
      <c r="A6452">
        <f ca="1">33128.6969234326*((RANDBETWEEN(2979,3282)))</f>
        <v>103361534.40110974</v>
      </c>
      <c r="B6452">
        <v>187282137.30913395</v>
      </c>
    </row>
    <row r="6453" spans="1:2" x14ac:dyDescent="0.25">
      <c r="A6453">
        <f ca="1">33613.2055647039*((RANDBETWEEN(2979,3282)))</f>
        <v>105814371.117688</v>
      </c>
      <c r="B6453">
        <v>155629338.25067952</v>
      </c>
    </row>
    <row r="6454" spans="1:2" x14ac:dyDescent="0.25">
      <c r="A6454">
        <f ca="1">34890.2389777779*((RANDBETWEEN(2979,3282)))</f>
        <v>111892996.40173376</v>
      </c>
      <c r="B6454">
        <v>144876407.39096081</v>
      </c>
    </row>
    <row r="6455" spans="1:2" x14ac:dyDescent="0.25">
      <c r="A6455">
        <f ca="1">32329.5201068726*((RANDBETWEEN(2979,3282)))</f>
        <v>104359690.90498485</v>
      </c>
      <c r="B6455">
        <v>168825539.37788498</v>
      </c>
    </row>
    <row r="6456" spans="1:2" x14ac:dyDescent="0.25">
      <c r="A6456">
        <f ca="1">31067.5267429756*((RANDBETWEEN(2979,3282)))</f>
        <v>95656914.841621906</v>
      </c>
      <c r="B6456">
        <v>170605218.18753773</v>
      </c>
    </row>
    <row r="6457" spans="1:2" x14ac:dyDescent="0.25">
      <c r="A6457">
        <f ca="1">30199.811165115*((RANDBETWEEN(2979,3282)))</f>
        <v>93226817.0667101</v>
      </c>
      <c r="B6457">
        <v>152455360.58880836</v>
      </c>
    </row>
    <row r="6458" spans="1:2" x14ac:dyDescent="0.25">
      <c r="A6458">
        <f ca="1">39651.1065757551*((RANDBETWEEN(2979,3282)))</f>
        <v>125812961.16487083</v>
      </c>
      <c r="B6458">
        <v>189904990.87194818</v>
      </c>
    </row>
    <row r="6459" spans="1:2" x14ac:dyDescent="0.25">
      <c r="A6459">
        <f ca="1">30051.6177196714*((RANDBETWEEN(2979,3282)))</f>
        <v>95744454.054873243</v>
      </c>
      <c r="B6459">
        <v>157739021.01079071</v>
      </c>
    </row>
    <row r="6460" spans="1:2" x14ac:dyDescent="0.25">
      <c r="A6460">
        <f ca="1">30733.3996102308*((RANDBETWEEN(2979,3282)))</f>
        <v>100467483.32584465</v>
      </c>
      <c r="B6460">
        <v>171446611.64864862</v>
      </c>
    </row>
    <row r="6461" spans="1:2" x14ac:dyDescent="0.25">
      <c r="A6461">
        <f ca="1">36103.5775963471*((RANDBETWEEN(2979,3282)))</f>
        <v>112570954.94541039</v>
      </c>
      <c r="B6461">
        <v>143302204.36202672</v>
      </c>
    </row>
    <row r="6462" spans="1:2" x14ac:dyDescent="0.25">
      <c r="A6462">
        <f ca="1">31065.817508646*((RANDBETWEEN(2979,3282)))</f>
        <v>93508110.701024443</v>
      </c>
      <c r="B6462">
        <v>202889294.64606178</v>
      </c>
    </row>
    <row r="6463" spans="1:2" x14ac:dyDescent="0.25">
      <c r="A6463">
        <f ca="1">35100.779302152*((RANDBETWEEN(2979,3282)))</f>
        <v>106495764.40272924</v>
      </c>
      <c r="B6463">
        <v>152981575.01458678</v>
      </c>
    </row>
    <row r="6464" spans="1:2" x14ac:dyDescent="0.25">
      <c r="A6464">
        <f ca="1">31630.3607682462*((RANDBETWEEN(2979,3282)))</f>
        <v>98243900.546172768</v>
      </c>
      <c r="B6464">
        <v>153532937.82439712</v>
      </c>
    </row>
    <row r="6465" spans="1:2" x14ac:dyDescent="0.25">
      <c r="A6465">
        <f ca="1">31678.2562306726*((RANDBETWEEN(2979,3282)))</f>
        <v>100863567.8384617</v>
      </c>
      <c r="B6465">
        <v>151869671.37033886</v>
      </c>
    </row>
    <row r="6466" spans="1:2" x14ac:dyDescent="0.25">
      <c r="A6466">
        <f ca="1">33192.88062456*((RANDBETWEEN(2979,3282)))</f>
        <v>108507526.76168659</v>
      </c>
      <c r="B6466">
        <v>150569005.46516407</v>
      </c>
    </row>
    <row r="6467" spans="1:2" x14ac:dyDescent="0.25">
      <c r="A6467">
        <f ca="1">36653.3085989091*((RANDBETWEEN(2979,3282)))</f>
        <v>120186198.89582303</v>
      </c>
      <c r="B6467">
        <v>147509575.89956349</v>
      </c>
    </row>
    <row r="6468" spans="1:2" x14ac:dyDescent="0.25">
      <c r="A6468">
        <f ca="1">31233.8023542762*((RANDBETWEEN(2979,3282)))</f>
        <v>96699852.088839188</v>
      </c>
      <c r="B6468">
        <v>187354665.8989853</v>
      </c>
    </row>
    <row r="6469" spans="1:2" x14ac:dyDescent="0.25">
      <c r="A6469">
        <f ca="1">38219.6537832565*((RANDBETWEEN(2979,3282)))</f>
        <v>114353204.11950345</v>
      </c>
      <c r="B6469">
        <v>157657603.33023325</v>
      </c>
    </row>
    <row r="6470" spans="1:2" x14ac:dyDescent="0.25">
      <c r="A6470">
        <f ca="1">29270.8561981381*((RANDBETWEEN(2979,3282)))</f>
        <v>88076006.300197691</v>
      </c>
      <c r="B6470">
        <v>153373561.0927386</v>
      </c>
    </row>
    <row r="6471" spans="1:2" x14ac:dyDescent="0.25">
      <c r="A6471">
        <f ca="1">33929.2111454772*((RANDBETWEEN(2979,3282)))</f>
        <v>105553775.8735797</v>
      </c>
      <c r="B6471">
        <v>193918035.43676484</v>
      </c>
    </row>
    <row r="6472" spans="1:2" x14ac:dyDescent="0.25">
      <c r="A6472">
        <f ca="1">33907.7666202899*((RANDBETWEEN(2979,3282)))</f>
        <v>105181892.05613939</v>
      </c>
      <c r="B6472">
        <v>154055719.32351699</v>
      </c>
    </row>
    <row r="6473" spans="1:2" x14ac:dyDescent="0.25">
      <c r="A6473">
        <f ca="1">31508.3555349409*((RANDBETWEEN(2979,3282)))</f>
        <v>102591205.62176776</v>
      </c>
      <c r="B6473">
        <v>160391214.90640426</v>
      </c>
    </row>
    <row r="6474" spans="1:2" x14ac:dyDescent="0.25">
      <c r="A6474">
        <f ca="1">38524.8056410579*((RANDBETWEEN(2979,3282)))</f>
        <v>121199038.54676802</v>
      </c>
      <c r="B6474">
        <v>148563423.00482732</v>
      </c>
    </row>
    <row r="6475" spans="1:2" x14ac:dyDescent="0.25">
      <c r="A6475">
        <f ca="1">28985.2850004539*((RANDBETWEEN(2979,3282)))</f>
        <v>92086250.446441889</v>
      </c>
      <c r="B6475">
        <v>169251261.539992</v>
      </c>
    </row>
    <row r="6476" spans="1:2" x14ac:dyDescent="0.25">
      <c r="A6476">
        <f ca="1">29946.79197888*((RANDBETWEEN(2979,3282)))</f>
        <v>92655374.382654577</v>
      </c>
      <c r="B6476">
        <v>148547033.00517279</v>
      </c>
    </row>
    <row r="6477" spans="1:2" x14ac:dyDescent="0.25">
      <c r="A6477">
        <f ca="1">31163.6777547984*((RANDBETWEEN(2979,3282)))</f>
        <v>100876824.89228252</v>
      </c>
      <c r="B6477">
        <v>164839086.3823255</v>
      </c>
    </row>
    <row r="6478" spans="1:2" x14ac:dyDescent="0.25">
      <c r="A6478">
        <f ca="1">30512.5983426305*((RANDBETWEEN(2979,3282)))</f>
        <v>98220054.064927503</v>
      </c>
      <c r="B6478">
        <v>152244216.22292292</v>
      </c>
    </row>
    <row r="6479" spans="1:2" x14ac:dyDescent="0.25">
      <c r="A6479">
        <f ca="1">30517.0998974785*((RANDBETWEEN(2979,3282)))</f>
        <v>94236804.483413547</v>
      </c>
      <c r="B6479">
        <v>170330480.06110412</v>
      </c>
    </row>
    <row r="6480" spans="1:2" x14ac:dyDescent="0.25">
      <c r="A6480">
        <f ca="1">32035.9321883862*((RANDBETWEEN(2979,3282)))</f>
        <v>101105401.98654673</v>
      </c>
      <c r="B6480">
        <v>146482937.78949034</v>
      </c>
    </row>
    <row r="6481" spans="1:2" x14ac:dyDescent="0.25">
      <c r="A6481">
        <f ca="1">34608.9089687983*((RANDBETWEEN(2979,3282)))</f>
        <v>109052672.16068348</v>
      </c>
      <c r="B6481">
        <v>167760914.58722055</v>
      </c>
    </row>
    <row r="6482" spans="1:2" x14ac:dyDescent="0.25">
      <c r="A6482">
        <f ca="1">32442.0674975935*((RANDBETWEEN(2979,3282)))</f>
        <v>100278430.63506161</v>
      </c>
      <c r="B6482">
        <v>151546002.99741033</v>
      </c>
    </row>
    <row r="6483" spans="1:2" x14ac:dyDescent="0.25">
      <c r="A6483">
        <f ca="1">28606.3952445471*((RANDBETWEEN(2979,3282)))</f>
        <v>90453421.763257861</v>
      </c>
      <c r="B6483">
        <v>164012488.7769081</v>
      </c>
    </row>
    <row r="6484" spans="1:2" x14ac:dyDescent="0.25">
      <c r="A6484">
        <f ca="1">31471.180198416*((RANDBETWEEN(2979,3282)))</f>
        <v>98725092.282430843</v>
      </c>
      <c r="B6484">
        <v>171163956.52351159</v>
      </c>
    </row>
    <row r="6485" spans="1:2" x14ac:dyDescent="0.25">
      <c r="A6485">
        <f ca="1">31478.5091217071*((RANDBETWEEN(2979,3282)))</f>
        <v>101203406.82628834</v>
      </c>
      <c r="B6485">
        <v>194495804.59263167</v>
      </c>
    </row>
    <row r="6486" spans="1:2" x14ac:dyDescent="0.25">
      <c r="A6486">
        <f ca="1">35281.7706421847*((RANDBETWEEN(2979,3282)))</f>
        <v>112266594.1834317</v>
      </c>
      <c r="B6486">
        <v>171386619.8701857</v>
      </c>
    </row>
    <row r="6487" spans="1:2" x14ac:dyDescent="0.25">
      <c r="A6487">
        <f ca="1">41186.2601793969*((RANDBETWEEN(2979,3282)))</f>
        <v>126853681.35254237</v>
      </c>
      <c r="B6487">
        <v>169584264.9426803</v>
      </c>
    </row>
    <row r="6488" spans="1:2" x14ac:dyDescent="0.25">
      <c r="A6488">
        <f ca="1">29603.6069360068*((RANDBETWEEN(2979,3282)))</f>
        <v>95738064.831045866</v>
      </c>
      <c r="B6488">
        <v>158557604.30719817</v>
      </c>
    </row>
    <row r="6489" spans="1:2" x14ac:dyDescent="0.25">
      <c r="A6489">
        <f ca="1">31607.797150231*((RANDBETWEEN(2979,3282)))</f>
        <v>101682283.43229324</v>
      </c>
      <c r="B6489">
        <v>170368775.51056355</v>
      </c>
    </row>
    <row r="6490" spans="1:2" x14ac:dyDescent="0.25">
      <c r="A6490">
        <f ca="1">41396.9343855881*((RANDBETWEEN(2979,3282)))</f>
        <v>134705624.49070355</v>
      </c>
      <c r="B6490">
        <v>176278595.59131017</v>
      </c>
    </row>
    <row r="6491" spans="1:2" x14ac:dyDescent="0.25">
      <c r="A6491">
        <f ca="1">31432.0781945705*((RANDBETWEEN(2979,3282)))</f>
        <v>102531439.07068904</v>
      </c>
      <c r="B6491">
        <v>162405032.10676077</v>
      </c>
    </row>
    <row r="6492" spans="1:2" x14ac:dyDescent="0.25">
      <c r="A6492">
        <f ca="1">29761.1284938365*((RANDBETWEEN(2979,3282)))</f>
        <v>93211854.442696065</v>
      </c>
      <c r="B6492">
        <v>144212080.52582923</v>
      </c>
    </row>
    <row r="6493" spans="1:2" x14ac:dyDescent="0.25">
      <c r="A6493">
        <f ca="1">30855.8741630026*((RANDBETWEEN(2979,3282)))</f>
        <v>96918300.745991215</v>
      </c>
      <c r="B6493">
        <v>155647935.89794755</v>
      </c>
    </row>
    <row r="6494" spans="1:2" x14ac:dyDescent="0.25">
      <c r="A6494">
        <f ca="1">30343.8984277406*((RANDBETWEEN(2979,3282)))</f>
        <v>97616321.242041379</v>
      </c>
      <c r="B6494">
        <v>194101332.84040186</v>
      </c>
    </row>
    <row r="6495" spans="1:2" x14ac:dyDescent="0.25">
      <c r="A6495">
        <f ca="1">30283.9692263847*((RANDBETWEEN(2979,3282)))</f>
        <v>93850020.632566169</v>
      </c>
      <c r="B6495">
        <v>170958649.53102309</v>
      </c>
    </row>
    <row r="6496" spans="1:2" x14ac:dyDescent="0.25">
      <c r="A6496">
        <f ca="1">33904.1746072773*((RANDBETWEEN(2979,3282)))</f>
        <v>105408078.85402516</v>
      </c>
      <c r="B6496">
        <v>153962501.88421708</v>
      </c>
    </row>
    <row r="6497" spans="1:2" x14ac:dyDescent="0.25">
      <c r="A6497">
        <f ca="1">30850.3802623321*((RANDBETWEEN(2979,3282)))</f>
        <v>93723455.236964941</v>
      </c>
      <c r="B6497">
        <v>148455354.13019872</v>
      </c>
    </row>
    <row r="6498" spans="1:2" x14ac:dyDescent="0.25">
      <c r="A6498">
        <f ca="1">33391.9688760472*((RANDBETWEEN(2979,3282)))</f>
        <v>105718973.46156529</v>
      </c>
      <c r="B6498">
        <v>183197191.07010987</v>
      </c>
    </row>
    <row r="6499" spans="1:2" x14ac:dyDescent="0.25">
      <c r="A6499">
        <f ca="1">31569.2489122994*((RANDBETWEEN(2979,3282)))</f>
        <v>97612117.636829615</v>
      </c>
      <c r="B6499">
        <v>192555164.57847223</v>
      </c>
    </row>
    <row r="6500" spans="1:2" x14ac:dyDescent="0.25">
      <c r="A6500">
        <f ca="1">41492.1540057684*((RANDBETWEEN(2979,3282)))</f>
        <v>129662981.2680264</v>
      </c>
      <c r="B6500">
        <v>166189957.19562238</v>
      </c>
    </row>
    <row r="6501" spans="1:2" x14ac:dyDescent="0.25">
      <c r="A6501">
        <f ca="1">31754.7735420078*((RANDBETWEEN(2979,3282)))</f>
        <v>96947323.623749718</v>
      </c>
      <c r="B6501">
        <v>183386865.34427121</v>
      </c>
    </row>
    <row r="6502" spans="1:2" x14ac:dyDescent="0.25">
      <c r="A6502">
        <f ca="1">40272.1161413975*((RANDBETWEEN(2979,3282)))</f>
        <v>131528731.31780414</v>
      </c>
      <c r="B6502">
        <v>151065216.08161807</v>
      </c>
    </row>
    <row r="6503" spans="1:2" x14ac:dyDescent="0.25">
      <c r="A6503">
        <f ca="1">40096.2751978133*((RANDBETWEEN(2979,3282)))</f>
        <v>127185384.9274639</v>
      </c>
      <c r="B6503">
        <v>157589630.62768245</v>
      </c>
    </row>
    <row r="6504" spans="1:2" x14ac:dyDescent="0.25">
      <c r="A6504">
        <f ca="1">34252.3381320427*((RANDBETWEEN(2979,3282)))</f>
        <v>104401126.62646616</v>
      </c>
      <c r="B6504">
        <v>148561720.4032124</v>
      </c>
    </row>
    <row r="6505" spans="1:2" x14ac:dyDescent="0.25">
      <c r="A6505">
        <f ca="1">29078.8002430598*((RANDBETWEEN(2979,3282)))</f>
        <v>90347832.355186656</v>
      </c>
      <c r="B6505">
        <v>180130332.93651506</v>
      </c>
    </row>
    <row r="6506" spans="1:2" x14ac:dyDescent="0.25">
      <c r="A6506">
        <f ca="1">32569.4147092521*((RANDBETWEEN(2979,3282)))</f>
        <v>98717895.983743206</v>
      </c>
      <c r="B6506">
        <v>200322198.56755152</v>
      </c>
    </row>
    <row r="6507" spans="1:2" x14ac:dyDescent="0.25">
      <c r="A6507">
        <f ca="1">30280.6737285649*((RANDBETWEEN(2979,3282)))</f>
        <v>90751179.164508864</v>
      </c>
      <c r="B6507">
        <v>184881098.54016408</v>
      </c>
    </row>
    <row r="6508" spans="1:2" x14ac:dyDescent="0.25">
      <c r="A6508">
        <f ca="1">38146.3632194025*((RANDBETWEEN(2979,3282)))</f>
        <v>122068362.30208807</v>
      </c>
      <c r="B6508">
        <v>203026014.25969321</v>
      </c>
    </row>
    <row r="6509" spans="1:2" x14ac:dyDescent="0.25">
      <c r="A6509">
        <f ca="1">31823.6431904314*((RANDBETWEEN(2979,3282)))</f>
        <v>97221229.946767926</v>
      </c>
      <c r="B6509">
        <v>156876440.3233653</v>
      </c>
    </row>
    <row r="6510" spans="1:2" x14ac:dyDescent="0.25">
      <c r="A6510">
        <f ca="1">31098.3880008844*((RANDBETWEEN(2979,3282)))</f>
        <v>97928823.814784825</v>
      </c>
      <c r="B6510">
        <v>196207524.15781069</v>
      </c>
    </row>
    <row r="6511" spans="1:2" x14ac:dyDescent="0.25">
      <c r="A6511">
        <f ca="1">30247.1576093388*((RANDBETWEEN(2979,3282)))</f>
        <v>93312481.224810258</v>
      </c>
      <c r="B6511">
        <v>196443772.78694797</v>
      </c>
    </row>
    <row r="6512" spans="1:2" x14ac:dyDescent="0.25">
      <c r="A6512">
        <f ca="1">27499.8764348624*((RANDBETWEEN(2979,3282)))</f>
        <v>85607115.341726795</v>
      </c>
      <c r="B6512">
        <v>143049378.92969379</v>
      </c>
    </row>
    <row r="6513" spans="1:2" x14ac:dyDescent="0.25">
      <c r="A6513">
        <f ca="1">33354.0163569761*((RANDBETWEEN(2979,3282)))</f>
        <v>100395589.23449801</v>
      </c>
      <c r="B6513">
        <v>188284068.06036162</v>
      </c>
    </row>
    <row r="6514" spans="1:2" x14ac:dyDescent="0.25">
      <c r="A6514">
        <f ca="1">31355.7268452523*((RANDBETWEEN(2979,3282)))</f>
        <v>95697678.3317101</v>
      </c>
      <c r="B6514">
        <v>146317914.35951608</v>
      </c>
    </row>
    <row r="6515" spans="1:2" x14ac:dyDescent="0.25">
      <c r="A6515">
        <f ca="1">36840.7753059592*((RANDBETWEEN(2979,3282)))</f>
        <v>110153918.16481794</v>
      </c>
      <c r="B6515">
        <v>166357383.02356285</v>
      </c>
    </row>
    <row r="6516" spans="1:2" x14ac:dyDescent="0.25">
      <c r="A6516">
        <f ca="1">32225.9929137293*((RANDBETWEEN(2979,3282)))</f>
        <v>105572352.78537706</v>
      </c>
      <c r="B6516">
        <v>144284748.31685966</v>
      </c>
    </row>
    <row r="6517" spans="1:2" x14ac:dyDescent="0.25">
      <c r="A6517">
        <f ca="1">30258.5327711988*((RANDBETWEEN(2979,3282)))</f>
        <v>95374895.29481858</v>
      </c>
      <c r="B6517">
        <v>146839008.96294755</v>
      </c>
    </row>
    <row r="6518" spans="1:2" x14ac:dyDescent="0.25">
      <c r="A6518">
        <f ca="1">30431.9028794337*((RANDBETWEEN(2979,3282)))</f>
        <v>92117370.016045883</v>
      </c>
      <c r="B6518">
        <v>198094527.54270416</v>
      </c>
    </row>
    <row r="6519" spans="1:2" x14ac:dyDescent="0.25">
      <c r="A6519">
        <f ca="1">40962.8070019257*((RANDBETWEEN(2979,3282)))</f>
        <v>131613498.89718717</v>
      </c>
      <c r="B6519">
        <v>173563788.8421509</v>
      </c>
    </row>
    <row r="6520" spans="1:2" x14ac:dyDescent="0.25">
      <c r="A6520">
        <f ca="1">32755.2017442649*((RANDBETWEEN(2979,3282)))</f>
        <v>101246328.59152271</v>
      </c>
      <c r="B6520">
        <v>181060115.84832129</v>
      </c>
    </row>
    <row r="6521" spans="1:2" x14ac:dyDescent="0.25">
      <c r="A6521">
        <f ca="1">27730.751597789*((RANDBETWEEN(2979,3282)))</f>
        <v>85882137.698352501</v>
      </c>
      <c r="B6521">
        <v>146844900.51820439</v>
      </c>
    </row>
    <row r="6522" spans="1:2" x14ac:dyDescent="0.25">
      <c r="A6522">
        <f ca="1">33301.6939777073*((RANDBETWEEN(2979,3282)))</f>
        <v>107864186.79379401</v>
      </c>
      <c r="B6522">
        <v>160701715.79693577</v>
      </c>
    </row>
    <row r="6523" spans="1:2" x14ac:dyDescent="0.25">
      <c r="A6523">
        <f ca="1">29911.7841400869*((RANDBETWEEN(2979,3282)))</f>
        <v>91440324.116245627</v>
      </c>
      <c r="B6523">
        <v>152663625.56821716</v>
      </c>
    </row>
    <row r="6524" spans="1:2" x14ac:dyDescent="0.25">
      <c r="A6524">
        <f ca="1">29172.8327288672*((RANDBETWEEN(2979,3282)))</f>
        <v>93703138.725121528</v>
      </c>
      <c r="B6524">
        <v>190342693.16727859</v>
      </c>
    </row>
    <row r="6525" spans="1:2" x14ac:dyDescent="0.25">
      <c r="A6525">
        <f ca="1">37539.4319826609*((RANDBETWEEN(2979,3282)))</f>
        <v>119563090.86477487</v>
      </c>
      <c r="B6525">
        <v>145586221.52864122</v>
      </c>
    </row>
    <row r="6526" spans="1:2" x14ac:dyDescent="0.25">
      <c r="A6526">
        <f ca="1">32024.6374055719*((RANDBETWEEN(2979,3282)))</f>
        <v>104432342.57957004</v>
      </c>
      <c r="B6526">
        <v>193746830.74394247</v>
      </c>
    </row>
    <row r="6527" spans="1:2" x14ac:dyDescent="0.25">
      <c r="A6527">
        <f ca="1">31165.8857887795*((RANDBETWEEN(2979,3282)))</f>
        <v>99419175.666206613</v>
      </c>
      <c r="B6527">
        <v>177899074.87762105</v>
      </c>
    </row>
    <row r="6528" spans="1:2" x14ac:dyDescent="0.25">
      <c r="A6528">
        <f ca="1">39616.2245506456*((RANDBETWEEN(2979,3282)))</f>
        <v>124117631.51717278</v>
      </c>
      <c r="B6528">
        <v>172409567.50162199</v>
      </c>
    </row>
    <row r="6529" spans="1:2" x14ac:dyDescent="0.25">
      <c r="A6529">
        <f ca="1">34648.5332462264*((RANDBETWEEN(2979,3282)))</f>
        <v>111325737.32012549</v>
      </c>
      <c r="B6529">
        <v>191102279.29233456</v>
      </c>
    </row>
    <row r="6530" spans="1:2" x14ac:dyDescent="0.25">
      <c r="A6530">
        <f ca="1">32705.2618898674*((RANDBETWEEN(2979,3282)))</f>
        <v>100176217.16866386</v>
      </c>
      <c r="B6530">
        <v>193148110.58254385</v>
      </c>
    </row>
    <row r="6531" spans="1:2" x14ac:dyDescent="0.25">
      <c r="A6531">
        <f ca="1">35726.7725552558*((RANDBETWEEN(2979,3282)))</f>
        <v>115040207.62792374</v>
      </c>
      <c r="B6531">
        <v>156073394.82648933</v>
      </c>
    </row>
    <row r="6532" spans="1:2" x14ac:dyDescent="0.25">
      <c r="A6532">
        <f ca="1">35062.6851856861*((RANDBETWEEN(2979,3282)))</f>
        <v>108063195.74228443</v>
      </c>
      <c r="B6532">
        <v>171768045.71030822</v>
      </c>
    </row>
    <row r="6533" spans="1:2" x14ac:dyDescent="0.25">
      <c r="A6533">
        <f ca="1">29857.6279548196*((RANDBETWEEN(2979,3282)))</f>
        <v>97306009.504757166</v>
      </c>
      <c r="B6533">
        <v>147179105.65214729</v>
      </c>
    </row>
    <row r="6534" spans="1:2" x14ac:dyDescent="0.25">
      <c r="A6534">
        <f ca="1">31825.7787549493*((RANDBETWEEN(2979,3282)))</f>
        <v>97705140.777694449</v>
      </c>
      <c r="B6534">
        <v>156632951.16784543</v>
      </c>
    </row>
    <row r="6535" spans="1:2" x14ac:dyDescent="0.25">
      <c r="A6535">
        <f ca="1">30706.2859088387*((RANDBETWEEN(2979,3282)))</f>
        <v>93623465.736049071</v>
      </c>
      <c r="B6535">
        <v>176996939.46937978</v>
      </c>
    </row>
    <row r="6536" spans="1:2" x14ac:dyDescent="0.25">
      <c r="A6536">
        <f ca="1">32283.3663267267*((RANDBETWEEN(2979,3282)))</f>
        <v>101724887.29551597</v>
      </c>
      <c r="B6536">
        <v>143931000.11031747</v>
      </c>
    </row>
    <row r="6537" spans="1:2" x14ac:dyDescent="0.25">
      <c r="A6537">
        <f ca="1">30361.3939282292*((RANDBETWEEN(2979,3282)))</f>
        <v>97247544.752118185</v>
      </c>
      <c r="B6537">
        <v>167800831.07084715</v>
      </c>
    </row>
    <row r="6538" spans="1:2" x14ac:dyDescent="0.25">
      <c r="A6538">
        <f ca="1">34014.2062997945*((RANDBETWEEN(2979,3282)))</f>
        <v>104695726.99076737</v>
      </c>
      <c r="B6538">
        <v>156546750.65732995</v>
      </c>
    </row>
    <row r="6539" spans="1:2" x14ac:dyDescent="0.25">
      <c r="A6539">
        <f ca="1">39641.0589939516*((RANDBETWEEN(2979,3282)))</f>
        <v>123362975.58917743</v>
      </c>
      <c r="B6539">
        <v>168426777.78974402</v>
      </c>
    </row>
    <row r="6540" spans="1:2" x14ac:dyDescent="0.25">
      <c r="A6540">
        <f ca="1">31405.4002007781*((RANDBETWEEN(2979,3282)))</f>
        <v>95283984.209160864</v>
      </c>
      <c r="B6540">
        <v>183720319.55384445</v>
      </c>
    </row>
    <row r="6541" spans="1:2" x14ac:dyDescent="0.25">
      <c r="A6541">
        <f ca="1">40754.0120289534*((RANDBETWEEN(2979,3282)))</f>
        <v>126785731.42207387</v>
      </c>
      <c r="B6541">
        <v>196075448.83641461</v>
      </c>
    </row>
    <row r="6542" spans="1:2" x14ac:dyDescent="0.25">
      <c r="A6542">
        <f ca="1">31117.3840396984*((RANDBETWEEN(2979,3282)))</f>
        <v>98144229.261208802</v>
      </c>
      <c r="B6542">
        <v>167078638.0168792</v>
      </c>
    </row>
    <row r="6543" spans="1:2" x14ac:dyDescent="0.25">
      <c r="A6543">
        <f ca="1">33809.6014946728*((RANDBETWEEN(2979,3282)))</f>
        <v>110523587.28608528</v>
      </c>
      <c r="B6543">
        <v>180923790.93019974</v>
      </c>
    </row>
    <row r="6544" spans="1:2" x14ac:dyDescent="0.25">
      <c r="A6544">
        <f ca="1">33718.7219215293*((RANDBETWEEN(2979,3282)))</f>
        <v>110428814.29300839</v>
      </c>
      <c r="B6544">
        <v>156569716.78101</v>
      </c>
    </row>
    <row r="6545" spans="1:2" x14ac:dyDescent="0.25">
      <c r="A6545">
        <f ca="1">42407.2334296629*((RANDBETWEEN(2979,3282)))</f>
        <v>135745554.20835093</v>
      </c>
      <c r="B6545">
        <v>157226982.89214104</v>
      </c>
    </row>
    <row r="6546" spans="1:2" x14ac:dyDescent="0.25">
      <c r="A6546">
        <f ca="1">35990.8369040265*((RANDBETWEEN(2979,3282)))</f>
        <v>109412144.18824044</v>
      </c>
      <c r="B6546">
        <v>171973132.10824615</v>
      </c>
    </row>
    <row r="6547" spans="1:2" x14ac:dyDescent="0.25">
      <c r="A6547">
        <f ca="1">32426.8616432303*((RANDBETWEEN(2979,3282)))</f>
        <v>97183304.344761282</v>
      </c>
      <c r="B6547">
        <v>156222953.83878431</v>
      </c>
    </row>
    <row r="6548" spans="1:2" x14ac:dyDescent="0.25">
      <c r="A6548">
        <f ca="1">31802.2453996101*((RANDBETWEEN(2979,3282)))</f>
        <v>97760102.358401343</v>
      </c>
      <c r="B6548">
        <v>143414516.39666486</v>
      </c>
    </row>
    <row r="6549" spans="1:2" x14ac:dyDescent="0.25">
      <c r="A6549">
        <f ca="1">29952.4886261337*((RANDBETWEEN(2979,3282)))</f>
        <v>91564757.730090871</v>
      </c>
      <c r="B6549">
        <v>180839029.57675317</v>
      </c>
    </row>
    <row r="6550" spans="1:2" x14ac:dyDescent="0.25">
      <c r="A6550">
        <f ca="1">28874.8003587519*((RANDBETWEEN(2979,3282)))</f>
        <v>86393402.673385724</v>
      </c>
      <c r="B6550">
        <v>176898638.55322155</v>
      </c>
    </row>
    <row r="6551" spans="1:2" x14ac:dyDescent="0.25">
      <c r="A6551">
        <f ca="1">37736.3246432248*((RANDBETWEEN(2979,3282)))</f>
        <v>117661860.23757505</v>
      </c>
      <c r="B6551">
        <v>170545513.6386615</v>
      </c>
    </row>
    <row r="6552" spans="1:2" x14ac:dyDescent="0.25">
      <c r="A6552">
        <f ca="1">34240.6006995946*((RANDBETWEEN(2979,3282)))</f>
        <v>104365350.93236439</v>
      </c>
      <c r="B6552">
        <v>153145246.61189443</v>
      </c>
    </row>
    <row r="6553" spans="1:2" x14ac:dyDescent="0.25">
      <c r="A6553">
        <f ca="1">32761.775774542*((RANDBETWEEN(2979,3282)))</f>
        <v>101004554.71291311</v>
      </c>
      <c r="B6553">
        <v>161919166.67356086</v>
      </c>
    </row>
    <row r="6554" spans="1:2" x14ac:dyDescent="0.25">
      <c r="A6554">
        <f ca="1">37532.069211126*((RANDBETWEEN(2979,3282)))</f>
        <v>115936561.7931681</v>
      </c>
      <c r="B6554">
        <v>154303796.24372548</v>
      </c>
    </row>
    <row r="6555" spans="1:2" x14ac:dyDescent="0.25">
      <c r="A6555">
        <f ca="1">32096.8132684451*((RANDBETWEEN(2979,3282)))</f>
        <v>103030770.59170884</v>
      </c>
      <c r="B6555">
        <v>195806847.04486835</v>
      </c>
    </row>
    <row r="6556" spans="1:2" x14ac:dyDescent="0.25">
      <c r="A6556">
        <f ca="1">39857.8482706793*((RANDBETWEEN(2979,3282)))</f>
        <v>121925157.86000787</v>
      </c>
      <c r="B6556">
        <v>187357335.47935432</v>
      </c>
    </row>
    <row r="6557" spans="1:2" x14ac:dyDescent="0.25">
      <c r="A6557">
        <f ca="1">32949.3884465785*((RANDBETWEEN(2979,3282)))</f>
        <v>99968444.546919048</v>
      </c>
      <c r="B6557">
        <v>185278695.17518383</v>
      </c>
    </row>
    <row r="6558" spans="1:2" x14ac:dyDescent="0.25">
      <c r="A6558">
        <f ca="1">33475.9349724228*((RANDBETWEEN(2979,3282)))</f>
        <v>102503312.88555863</v>
      </c>
      <c r="B6558">
        <v>182783257.26010025</v>
      </c>
    </row>
    <row r="6559" spans="1:2" x14ac:dyDescent="0.25">
      <c r="A6559">
        <f ca="1">32939.0514469061*((RANDBETWEEN(2979,3282)))</f>
        <v>103494499.64617908</v>
      </c>
      <c r="B6559">
        <v>160474557.47078949</v>
      </c>
    </row>
    <row r="6560" spans="1:2" x14ac:dyDescent="0.25">
      <c r="A6560">
        <f ca="1">38496.6412399365*((RANDBETWEEN(2979,3282)))</f>
        <v>114873977.45997065</v>
      </c>
      <c r="B6560">
        <v>180973905.98740342</v>
      </c>
    </row>
    <row r="6561" spans="1:2" x14ac:dyDescent="0.25">
      <c r="A6561">
        <f ca="1">32311.7119687717*((RANDBETWEEN(2979,3282)))</f>
        <v>105239245.88228941</v>
      </c>
      <c r="B6561">
        <v>165756825.37330985</v>
      </c>
    </row>
    <row r="6562" spans="1:2" x14ac:dyDescent="0.25">
      <c r="A6562">
        <f ca="1">30679.3071087022*((RANDBETWEEN(2979,3282)))</f>
        <v>99308917.11086911</v>
      </c>
      <c r="B6562">
        <v>171145418.45140666</v>
      </c>
    </row>
    <row r="6563" spans="1:2" x14ac:dyDescent="0.25">
      <c r="A6563">
        <f ca="1">37128.7335390223*((RANDBETWEEN(2979,3282)))</f>
        <v>110643625.9462864</v>
      </c>
      <c r="B6563">
        <v>153191470.47636956</v>
      </c>
    </row>
    <row r="6564" spans="1:2" x14ac:dyDescent="0.25">
      <c r="A6564">
        <f ca="1">31400.9046907308*((RANDBETWEEN(2979,3282)))</f>
        <v>94328317.690955177</v>
      </c>
      <c r="B6564">
        <v>147311469.74427193</v>
      </c>
    </row>
    <row r="6565" spans="1:2" x14ac:dyDescent="0.25">
      <c r="A6565">
        <f ca="1">32340.2259005375*((RANDBETWEEN(2979,3282)))</f>
        <v>98540668.318937808</v>
      </c>
      <c r="B6565">
        <v>192764318.69534791</v>
      </c>
    </row>
    <row r="6566" spans="1:2" x14ac:dyDescent="0.25">
      <c r="A6566">
        <f ca="1">32312.4391314465*((RANDBETWEEN(2979,3282)))</f>
        <v>103593679.85541737</v>
      </c>
      <c r="B6566">
        <v>177987314.16178834</v>
      </c>
    </row>
    <row r="6567" spans="1:2" x14ac:dyDescent="0.25">
      <c r="A6567">
        <f ca="1">32290.3828428374*((RANDBETWEEN(2979,3282)))</f>
        <v>100003315.66426729</v>
      </c>
      <c r="B6567">
        <v>190083793.96984723</v>
      </c>
    </row>
    <row r="6568" spans="1:2" x14ac:dyDescent="0.25">
      <c r="A6568">
        <f ca="1">32915.5024624649*((RANDBETWEEN(2979,3282)))</f>
        <v>99832718.968656048</v>
      </c>
      <c r="B6568">
        <v>181338004.38992336</v>
      </c>
    </row>
    <row r="6569" spans="1:2" x14ac:dyDescent="0.25">
      <c r="A6569">
        <f ca="1">37024.8445876828*((RANDBETWEEN(2979,3282)))</f>
        <v>119553223.17362773</v>
      </c>
      <c r="B6569">
        <v>150419542.6006532</v>
      </c>
    </row>
    <row r="6570" spans="1:2" x14ac:dyDescent="0.25">
      <c r="A6570">
        <f ca="1">29656.1011809396*((RANDBETWEEN(2979,3282)))</f>
        <v>95285053.094359025</v>
      </c>
      <c r="B6570">
        <v>177293536.85822654</v>
      </c>
    </row>
    <row r="6571" spans="1:2" x14ac:dyDescent="0.25">
      <c r="A6571">
        <f ca="1">32233.170249144*((RANDBETWEEN(2979,3282)))</f>
        <v>102598180.90302561</v>
      </c>
      <c r="B6571">
        <v>167288862.37494963</v>
      </c>
    </row>
    <row r="6572" spans="1:2" x14ac:dyDescent="0.25">
      <c r="A6572">
        <f ca="1">31843.4067216173*((RANDBETWEEN(2979,3282)))</f>
        <v>97345294.347984061</v>
      </c>
      <c r="B6572">
        <v>156471226.23137912</v>
      </c>
    </row>
    <row r="6573" spans="1:2" x14ac:dyDescent="0.25">
      <c r="A6573">
        <f ca="1">30572.0217140762*((RANDBETWEEN(2979,3282)))</f>
        <v>97983329.593614101</v>
      </c>
      <c r="B6573">
        <v>156096777.76911426</v>
      </c>
    </row>
    <row r="6574" spans="1:2" x14ac:dyDescent="0.25">
      <c r="A6574">
        <f ca="1">32156.9365977221*((RANDBETWEEN(2979,3282)))</f>
        <v>95924141.871004969</v>
      </c>
      <c r="B6574">
        <v>189074395.31263167</v>
      </c>
    </row>
    <row r="6575" spans="1:2" x14ac:dyDescent="0.25">
      <c r="A6575">
        <f ca="1">34829.4702249404*((RANDBETWEEN(2979,3282)))</f>
        <v>108946582.86361344</v>
      </c>
      <c r="B6575">
        <v>152555099.26668182</v>
      </c>
    </row>
    <row r="6576" spans="1:2" x14ac:dyDescent="0.25">
      <c r="A6576">
        <f ca="1">31320.7846755022*((RANDBETWEEN(2979,3282)))</f>
        <v>101886512.54940861</v>
      </c>
      <c r="B6576">
        <v>168057477.83590978</v>
      </c>
    </row>
    <row r="6577" spans="1:2" x14ac:dyDescent="0.25">
      <c r="A6577">
        <f ca="1">38142.9175789441*((RANDBETWEEN(2979,3282)))</f>
        <v>114390609.8192534</v>
      </c>
      <c r="B6577">
        <v>147638329.34386998</v>
      </c>
    </row>
    <row r="6578" spans="1:2" x14ac:dyDescent="0.25">
      <c r="A6578">
        <f ca="1">33954.0667801547*((RANDBETWEEN(2979,3282)))</f>
        <v>107702299.82665069</v>
      </c>
      <c r="B6578">
        <v>173354095.86285067</v>
      </c>
    </row>
    <row r="6579" spans="1:2" x14ac:dyDescent="0.25">
      <c r="A6579">
        <f ca="1">32145.2570383614*((RANDBETWEEN(2979,3282)))</f>
        <v>103797034.976869</v>
      </c>
      <c r="B6579">
        <v>174332394.33964422</v>
      </c>
    </row>
    <row r="6580" spans="1:2" x14ac:dyDescent="0.25">
      <c r="A6580">
        <f ca="1">29877.4944950917*((RANDBETWEEN(2979,3282)))</f>
        <v>91455010.649475604</v>
      </c>
      <c r="B6580">
        <v>161563195.01831976</v>
      </c>
    </row>
    <row r="6581" spans="1:2" x14ac:dyDescent="0.25">
      <c r="A6581">
        <f ca="1">32263.4260720652*((RANDBETWEEN(2979,3282)))</f>
        <v>104017285.65633827</v>
      </c>
      <c r="B6581">
        <v>183577107.64319596</v>
      </c>
    </row>
    <row r="6582" spans="1:2" x14ac:dyDescent="0.25">
      <c r="A6582">
        <f ca="1">34041.1581915829*((RANDBETWEEN(2979,3282)))</f>
        <v>109782735.16785474</v>
      </c>
      <c r="B6582">
        <v>148010250.56504676</v>
      </c>
    </row>
    <row r="6583" spans="1:2" x14ac:dyDescent="0.25">
      <c r="A6583">
        <f ca="1">37023.4478940207*((RANDBETWEEN(2979,3282)))</f>
        <v>113847102.27411376</v>
      </c>
      <c r="B6583">
        <v>185508690.09647372</v>
      </c>
    </row>
    <row r="6584" spans="1:2" x14ac:dyDescent="0.25">
      <c r="A6584">
        <f ca="1">31401.8060728952*((RANDBETWEEN(2979,3282)))</f>
        <v>99512323.44500491</v>
      </c>
      <c r="B6584">
        <v>150796570.50829792</v>
      </c>
    </row>
    <row r="6585" spans="1:2" x14ac:dyDescent="0.25">
      <c r="A6585">
        <f ca="1">37373.3349365601*((RANDBETWEEN(2979,3282)))</f>
        <v>115259364.9443512</v>
      </c>
      <c r="B6585">
        <v>180279641.13254282</v>
      </c>
    </row>
    <row r="6586" spans="1:2" x14ac:dyDescent="0.25">
      <c r="A6586">
        <f ca="1">35655.6163662625*((RANDBETWEEN(2979,3282)))</f>
        <v>116843454.83224222</v>
      </c>
      <c r="B6586">
        <v>195911583.05010572</v>
      </c>
    </row>
    <row r="6587" spans="1:2" x14ac:dyDescent="0.25">
      <c r="A6587">
        <f ca="1">30601.5933412418*((RANDBETWEEN(2979,3282)))</f>
        <v>93977493.150953472</v>
      </c>
      <c r="B6587">
        <v>179884723.20805538</v>
      </c>
    </row>
    <row r="6588" spans="1:2" x14ac:dyDescent="0.25">
      <c r="A6588">
        <f ca="1">30004.3694726462*((RANDBETWEEN(2979,3282)))</f>
        <v>92173423.019968972</v>
      </c>
      <c r="B6588">
        <v>164797412.68690965</v>
      </c>
    </row>
    <row r="6589" spans="1:2" x14ac:dyDescent="0.25">
      <c r="A6589">
        <f ca="1">38698.0199605056*((RANDBETWEEN(2979,3282)))</f>
        <v>118067658.89950272</v>
      </c>
      <c r="B6589">
        <v>144068553.83616954</v>
      </c>
    </row>
    <row r="6590" spans="1:2" x14ac:dyDescent="0.25">
      <c r="A6590">
        <f ca="1">35298.170863508*((RANDBETWEEN(2979,3282)))</f>
        <v>108082999.18406147</v>
      </c>
      <c r="B6590">
        <v>166522761.46168223</v>
      </c>
    </row>
    <row r="6591" spans="1:2" x14ac:dyDescent="0.25">
      <c r="A6591">
        <f ca="1">29083.3288678314*((RANDBETWEEN(2979,3282)))</f>
        <v>93939152.243095353</v>
      </c>
      <c r="B6591">
        <v>174810195.41382551</v>
      </c>
    </row>
    <row r="6592" spans="1:2" x14ac:dyDescent="0.25">
      <c r="A6592">
        <f ca="1">30776.5253583917*((RANDBETWEEN(2979,3282)))</f>
        <v>92668117.854117543</v>
      </c>
      <c r="B6592">
        <v>144890472.95635337</v>
      </c>
    </row>
    <row r="6593" spans="1:2" x14ac:dyDescent="0.25">
      <c r="A6593">
        <f ca="1">32121.5002391743*((RANDBETWEEN(2979,3282)))</f>
        <v>102628193.26416178</v>
      </c>
      <c r="B6593">
        <v>196388988.28485522</v>
      </c>
    </row>
    <row r="6594" spans="1:2" x14ac:dyDescent="0.25">
      <c r="A6594">
        <f ca="1">28441.9641939283*((RANDBETWEEN(2979,3282)))</f>
        <v>85325892.581784785</v>
      </c>
      <c r="B6594">
        <v>167732492.77510393</v>
      </c>
    </row>
    <row r="6595" spans="1:2" x14ac:dyDescent="0.25">
      <c r="A6595">
        <f ca="1">32966.3983246034*((RANDBETWEEN(2979,3282)))</f>
        <v>106910029.76668867</v>
      </c>
      <c r="B6595">
        <v>201092877.65563017</v>
      </c>
    </row>
    <row r="6596" spans="1:2" x14ac:dyDescent="0.25">
      <c r="A6596">
        <f ca="1">38151.270879593*((RANDBETWEEN(2979,3282)))</f>
        <v>116208771.09924026</v>
      </c>
      <c r="B6596">
        <v>197282954.55397484</v>
      </c>
    </row>
    <row r="6597" spans="1:2" x14ac:dyDescent="0.25">
      <c r="A6597">
        <f ca="1">37331.076438918*((RANDBETWEEN(2979,3282)))</f>
        <v>114419749.28528352</v>
      </c>
      <c r="B6597">
        <v>185865982.69566041</v>
      </c>
    </row>
    <row r="6598" spans="1:2" x14ac:dyDescent="0.25">
      <c r="A6598">
        <f ca="1">30215.0359590972*((RANDBETWEEN(2979,3282)))</f>
        <v>95388868.52286981</v>
      </c>
      <c r="B6598">
        <v>162870863.92995521</v>
      </c>
    </row>
    <row r="6599" spans="1:2" x14ac:dyDescent="0.25">
      <c r="A6599">
        <f ca="1">39703.3738591077*((RANDBETWEEN(2979,3282)))</f>
        <v>122008467.86903794</v>
      </c>
      <c r="B6599">
        <v>150236300.43510067</v>
      </c>
    </row>
    <row r="6600" spans="1:2" x14ac:dyDescent="0.25">
      <c r="A6600">
        <f ca="1">32561.8526924397*((RANDBETWEEN(2979,3282)))</f>
        <v>106868000.53658701</v>
      </c>
      <c r="B6600">
        <v>196033377.30723089</v>
      </c>
    </row>
    <row r="6601" spans="1:2" x14ac:dyDescent="0.25">
      <c r="A6601">
        <f ca="1">33489.0091154833*((RANDBETWEEN(2979,3282)))</f>
        <v>107030873.13308463</v>
      </c>
      <c r="B6601">
        <v>193313786.98353091</v>
      </c>
    </row>
    <row r="6602" spans="1:2" x14ac:dyDescent="0.25">
      <c r="A6602">
        <f ca="1">28646.0587183419*((RANDBETWEEN(2979,3282)))</f>
        <v>90865298.254580542</v>
      </c>
      <c r="B6602">
        <v>192103937.50476903</v>
      </c>
    </row>
    <row r="6603" spans="1:2" x14ac:dyDescent="0.25">
      <c r="A6603">
        <f ca="1">32789.4033149277*((RANDBETWEEN(2979,3282)))</f>
        <v>106860665.40334934</v>
      </c>
      <c r="B6603">
        <v>190712361.72306281</v>
      </c>
    </row>
    <row r="6604" spans="1:2" x14ac:dyDescent="0.25">
      <c r="A6604">
        <f ca="1">32819.6277669139*((RANDBETWEEN(2979,3282)))</f>
        <v>106138676.19819951</v>
      </c>
      <c r="B6604">
        <v>144734568.08334905</v>
      </c>
    </row>
    <row r="6605" spans="1:2" x14ac:dyDescent="0.25">
      <c r="A6605">
        <f ca="1">38854.1399882672*((RANDBETWEEN(2979,3282)))</f>
        <v>116445857.54483688</v>
      </c>
      <c r="B6605">
        <v>194712072.78484201</v>
      </c>
    </row>
    <row r="6606" spans="1:2" x14ac:dyDescent="0.25">
      <c r="A6606">
        <f ca="1">31045.9193168709*((RANDBETWEEN(2979,3282)))</f>
        <v>94007043.691484943</v>
      </c>
      <c r="B6606">
        <v>154624138.32393867</v>
      </c>
    </row>
    <row r="6607" spans="1:2" x14ac:dyDescent="0.25">
      <c r="A6607">
        <f ca="1">30907.5917221505*((RANDBETWEEN(2979,3282)))</f>
        <v>99182461.836380839</v>
      </c>
      <c r="B6607">
        <v>175815340.66027671</v>
      </c>
    </row>
    <row r="6608" spans="1:2" x14ac:dyDescent="0.25">
      <c r="A6608">
        <f ca="1">38428.3921082554*((RANDBETWEEN(2979,3282)))</f>
        <v>125699270.58610328</v>
      </c>
      <c r="B6608">
        <v>150394462.15312988</v>
      </c>
    </row>
    <row r="6609" spans="1:2" x14ac:dyDescent="0.25">
      <c r="A6609">
        <f ca="1">33321.0052936951*((RANDBETWEEN(2979,3282)))</f>
        <v>108193304.1886279</v>
      </c>
      <c r="B6609">
        <v>147102217.72815189</v>
      </c>
    </row>
    <row r="6610" spans="1:2" x14ac:dyDescent="0.25">
      <c r="A6610">
        <f ca="1">30971.9310133567*((RANDBETWEEN(2979,3282)))</f>
        <v>99698645.931995198</v>
      </c>
      <c r="B6610">
        <v>145977105.37646365</v>
      </c>
    </row>
    <row r="6611" spans="1:2" x14ac:dyDescent="0.25">
      <c r="A6611">
        <f ca="1">35713.4078839293*((RANDBETWEEN(2979,3282)))</f>
        <v>112354381.20284159</v>
      </c>
      <c r="B6611">
        <v>143435982.02917728</v>
      </c>
    </row>
    <row r="6612" spans="1:2" x14ac:dyDescent="0.25">
      <c r="A6612">
        <f ca="1">34150.033588852*((RANDBETWEEN(2979,3282)))</f>
        <v>102791601.10244466</v>
      </c>
      <c r="B6612">
        <v>151244624.01162964</v>
      </c>
    </row>
    <row r="6613" spans="1:2" x14ac:dyDescent="0.25">
      <c r="A6613">
        <f ca="1">34388.7198605202*((RANDBETWEEN(2979,3282)))</f>
        <v>110525345.63171196</v>
      </c>
      <c r="B6613">
        <v>144598537.31536567</v>
      </c>
    </row>
    <row r="6614" spans="1:2" x14ac:dyDescent="0.25">
      <c r="A6614">
        <f ca="1">31948.7619873497*((RANDBETWEEN(2979,3282)))</f>
        <v>100031573.78239179</v>
      </c>
      <c r="B6614">
        <v>157303180.0065347</v>
      </c>
    </row>
    <row r="6615" spans="1:2" x14ac:dyDescent="0.25">
      <c r="A6615">
        <f ca="1">33471.9580147109*((RANDBETWEEN(2979,3282)))</f>
        <v>106039162.99060418</v>
      </c>
      <c r="B6615">
        <v>152308402.22377074</v>
      </c>
    </row>
    <row r="6616" spans="1:2" x14ac:dyDescent="0.25">
      <c r="A6616">
        <f ca="1">33367.7757158393*((RANDBETWEEN(2979,3282)))</f>
        <v>105775849.01921044</v>
      </c>
      <c r="B6616">
        <v>155873673.94738919</v>
      </c>
    </row>
    <row r="6617" spans="1:2" x14ac:dyDescent="0.25">
      <c r="A6617">
        <f ca="1">35263.1891738024*((RANDBETWEEN(2979,3282)))</f>
        <v>113476942.76129612</v>
      </c>
      <c r="B6617">
        <v>157862502.77838647</v>
      </c>
    </row>
    <row r="6618" spans="1:2" x14ac:dyDescent="0.25">
      <c r="A6618">
        <f ca="1">31541.9083263145*((RANDBETWEEN(2979,3282)))</f>
        <v>99483178.861195922</v>
      </c>
      <c r="B6618">
        <v>143717274.12278226</v>
      </c>
    </row>
    <row r="6619" spans="1:2" x14ac:dyDescent="0.25">
      <c r="A6619">
        <f ca="1">36142.0340786239*((RANDBETWEEN(2979,3282)))</f>
        <v>115365372.77896763</v>
      </c>
      <c r="B6619">
        <v>150770196.84288028</v>
      </c>
    </row>
    <row r="6620" spans="1:2" x14ac:dyDescent="0.25">
      <c r="A6620">
        <f ca="1">30167.5379099824*((RANDBETWEEN(2979,3282)))</f>
        <v>96324948.546573877</v>
      </c>
      <c r="B6620">
        <v>148291647.95243776</v>
      </c>
    </row>
    <row r="6621" spans="1:2" x14ac:dyDescent="0.25">
      <c r="A6621">
        <f ca="1">30177.9276510146*((RANDBETWEEN(2979,3282)))</f>
        <v>99013780.62297897</v>
      </c>
      <c r="B6621">
        <v>150871127.69690728</v>
      </c>
    </row>
    <row r="6622" spans="1:2" x14ac:dyDescent="0.25">
      <c r="A6622">
        <f ca="1">39964.8655143695*((RANDBETWEEN(2979,3282)))</f>
        <v>122891961.45668612</v>
      </c>
      <c r="B6622">
        <v>181398722.57415563</v>
      </c>
    </row>
    <row r="6623" spans="1:2" x14ac:dyDescent="0.25">
      <c r="A6623">
        <f ca="1">30331.9381097562*((RANDBETWEEN(2979,3282)))</f>
        <v>98336143.351829574</v>
      </c>
      <c r="B6623">
        <v>145217782.07088023</v>
      </c>
    </row>
    <row r="6624" spans="1:2" x14ac:dyDescent="0.25">
      <c r="A6624">
        <f ca="1">28971.7279901517*((RANDBETWEEN(2979,3282)))</f>
        <v>92535699.200544596</v>
      </c>
      <c r="B6624">
        <v>174270146.34909809</v>
      </c>
    </row>
    <row r="6625" spans="1:2" x14ac:dyDescent="0.25">
      <c r="A6625">
        <f ca="1">30781.7519611712*((RANDBETWEEN(2979,3282)))</f>
        <v>95361867.575708434</v>
      </c>
      <c r="B6625">
        <v>184266608.91850123</v>
      </c>
    </row>
    <row r="6626" spans="1:2" x14ac:dyDescent="0.25">
      <c r="A6626">
        <f ca="1">35095.2013467509*((RANDBETWEEN(2979,3282)))</f>
        <v>112690691.52441706</v>
      </c>
      <c r="B6626">
        <v>201898428.55415967</v>
      </c>
    </row>
    <row r="6627" spans="1:2" x14ac:dyDescent="0.25">
      <c r="A6627">
        <f ca="1">29759.2757318274*((RANDBETWEEN(2979,3282)))</f>
        <v>95884386.407947987</v>
      </c>
      <c r="B6627">
        <v>163770530.74475875</v>
      </c>
    </row>
    <row r="6628" spans="1:2" x14ac:dyDescent="0.25">
      <c r="A6628">
        <f ca="1">32201.0043689527*((RANDBETWEEN(2979,3282)))</f>
        <v>97633445.246664584</v>
      </c>
      <c r="B6628">
        <v>143079609.83249179</v>
      </c>
    </row>
    <row r="6629" spans="1:2" x14ac:dyDescent="0.25">
      <c r="A6629">
        <f ca="1">29354.2730474287*((RANDBETWEEN(2979,3282)))</f>
        <v>90411160.986080512</v>
      </c>
      <c r="B6629">
        <v>167767153.14985162</v>
      </c>
    </row>
    <row r="6630" spans="1:2" x14ac:dyDescent="0.25">
      <c r="A6630">
        <f ca="1">29625.2609133122*((RANDBETWEEN(2979,3282)))</f>
        <v>89112784.82724297</v>
      </c>
      <c r="B6630">
        <v>165626496.79467559</v>
      </c>
    </row>
    <row r="6631" spans="1:2" x14ac:dyDescent="0.25">
      <c r="A6631">
        <f ca="1">35738.1572163848*((RANDBETWEEN(2979,3282)))</f>
        <v>106857090.07699059</v>
      </c>
      <c r="B6631">
        <v>157094245.40367967</v>
      </c>
    </row>
    <row r="6632" spans="1:2" x14ac:dyDescent="0.25">
      <c r="A6632">
        <f ca="1">37821.2035399791*((RANDBETWEEN(2979,3282)))</f>
        <v>115127743.57569648</v>
      </c>
      <c r="B6632">
        <v>149988476.90270048</v>
      </c>
    </row>
    <row r="6633" spans="1:2" x14ac:dyDescent="0.25">
      <c r="A6633">
        <f ca="1">40915.2004424058*((RANDBETWEEN(2979,3282)))</f>
        <v>127696340.58074865</v>
      </c>
      <c r="B6633">
        <v>165270403.35798943</v>
      </c>
    </row>
    <row r="6634" spans="1:2" x14ac:dyDescent="0.25">
      <c r="A6634">
        <f ca="1">30603.9349665875*((RANDBETWEEN(2979,3282)))</f>
        <v>96708434.494416624</v>
      </c>
      <c r="B6634">
        <v>147046166.56523079</v>
      </c>
    </row>
    <row r="6635" spans="1:2" x14ac:dyDescent="0.25">
      <c r="A6635">
        <f ca="1">30929.3264625852*((RANDBETWEEN(2979,3282)))</f>
        <v>94922102.913673982</v>
      </c>
      <c r="B6635">
        <v>202377595.99661016</v>
      </c>
    </row>
    <row r="6636" spans="1:2" x14ac:dyDescent="0.25">
      <c r="A6636">
        <f ca="1">31551.0237761396*((RANDBETWEEN(2979,3282)))</f>
        <v>96987847.087853208</v>
      </c>
      <c r="B6636">
        <v>163096362.26268536</v>
      </c>
    </row>
    <row r="6637" spans="1:2" x14ac:dyDescent="0.25">
      <c r="A6637">
        <f ca="1">33541.4413180595*((RANDBETWEEN(2979,3282)))</f>
        <v>104313882.49916507</v>
      </c>
      <c r="B6637">
        <v>179541995.9422732</v>
      </c>
    </row>
    <row r="6638" spans="1:2" x14ac:dyDescent="0.25">
      <c r="A6638">
        <f ca="1">30843.3325248295*((RANDBETWEEN(2979,3282)))</f>
        <v>94565657.521127179</v>
      </c>
      <c r="B6638">
        <v>179282159.01269627</v>
      </c>
    </row>
    <row r="6639" spans="1:2" x14ac:dyDescent="0.25">
      <c r="A6639">
        <f ca="1">33172.7031238799*((RANDBETWEEN(2979,3282)))</f>
        <v>102271443.73092172</v>
      </c>
      <c r="B6639">
        <v>197491216.61332253</v>
      </c>
    </row>
    <row r="6640" spans="1:2" x14ac:dyDescent="0.25">
      <c r="A6640">
        <f ca="1">30639.9476515876*((RANDBETWEEN(2979,3282)))</f>
        <v>98538071.647505701</v>
      </c>
      <c r="B6640">
        <v>188810448.86450163</v>
      </c>
    </row>
    <row r="6641" spans="1:2" x14ac:dyDescent="0.25">
      <c r="A6641">
        <f ca="1">29194.2685257866*((RANDBETWEEN(2979,3282)))</f>
        <v>92837773.912001342</v>
      </c>
      <c r="B6641">
        <v>154761160.70768732</v>
      </c>
    </row>
    <row r="6642" spans="1:2" x14ac:dyDescent="0.25">
      <c r="A6642">
        <f ca="1">31139.8770820814*((RANDBETWEEN(2979,3282)))</f>
        <v>95070044.731594473</v>
      </c>
      <c r="B6642">
        <v>194124438.42904425</v>
      </c>
    </row>
    <row r="6643" spans="1:2" x14ac:dyDescent="0.25">
      <c r="A6643">
        <f ca="1">30301.4907644624*((RANDBETWEEN(2979,3282)))</f>
        <v>95873916.778758943</v>
      </c>
      <c r="B6643">
        <v>180912791.99106938</v>
      </c>
    </row>
    <row r="6644" spans="1:2" x14ac:dyDescent="0.25">
      <c r="A6644">
        <f ca="1">30573.6800646363*((RANDBETWEEN(2979,3282)))</f>
        <v>94839555.560501799</v>
      </c>
      <c r="B6644">
        <v>144953027.18770275</v>
      </c>
    </row>
    <row r="6645" spans="1:2" x14ac:dyDescent="0.25">
      <c r="A6645">
        <f ca="1">31837.472291998*((RANDBETWEEN(2979,3282)))</f>
        <v>95607929.292870089</v>
      </c>
      <c r="B6645">
        <v>145207511.89362141</v>
      </c>
    </row>
    <row r="6646" spans="1:2" x14ac:dyDescent="0.25">
      <c r="A6646">
        <f ca="1">35368.1148072075*((RANDBETWEEN(2979,3282)))</f>
        <v>105821399.50316489</v>
      </c>
      <c r="B6646">
        <v>158440789.52707526</v>
      </c>
    </row>
    <row r="6647" spans="1:2" x14ac:dyDescent="0.25">
      <c r="A6647">
        <f ca="1">29268.4333004059*((RANDBETWEEN(2979,3282)))</f>
        <v>90497995.764855161</v>
      </c>
      <c r="B6647">
        <v>147754837.41719633</v>
      </c>
    </row>
    <row r="6648" spans="1:2" x14ac:dyDescent="0.25">
      <c r="A6648">
        <f ca="1">35393.1890628669*((RANDBETWEEN(2979,3282)))</f>
        <v>105507096.59640622</v>
      </c>
      <c r="B6648">
        <v>157897052.96776545</v>
      </c>
    </row>
    <row r="6649" spans="1:2" x14ac:dyDescent="0.25">
      <c r="A6649">
        <f ca="1">30723.7557628202*((RANDBETWEEN(2979,3282)))</f>
        <v>99852206.229165778</v>
      </c>
      <c r="B6649">
        <v>155131315.16910714</v>
      </c>
    </row>
    <row r="6650" spans="1:2" x14ac:dyDescent="0.25">
      <c r="A6650">
        <f ca="1">34028.6886685572*((RANDBETWEEN(2979,3282)))</f>
        <v>109946693.08810823</v>
      </c>
      <c r="B6650">
        <v>197330529.25720555</v>
      </c>
    </row>
    <row r="6651" spans="1:2" x14ac:dyDescent="0.25">
      <c r="A6651">
        <f ca="1">31991.5225384596*((RANDBETWEEN(2979,3282)))</f>
        <v>102244906.03291686</v>
      </c>
      <c r="B6651">
        <v>154353829.96095341</v>
      </c>
    </row>
    <row r="6652" spans="1:2" x14ac:dyDescent="0.25">
      <c r="A6652">
        <f ca="1">32940.2828168052*((RANDBETWEEN(2979,3282)))</f>
        <v>100138459.76308782</v>
      </c>
      <c r="B6652">
        <v>176869820.63156348</v>
      </c>
    </row>
    <row r="6653" spans="1:2" x14ac:dyDescent="0.25">
      <c r="A6653">
        <f ca="1">32005.1693663371*((RANDBETWEEN(2979,3282)))</f>
        <v>98287875.124021381</v>
      </c>
      <c r="B6653">
        <v>145243600.09719843</v>
      </c>
    </row>
    <row r="6654" spans="1:2" x14ac:dyDescent="0.25">
      <c r="A6654">
        <f ca="1">30421.4441272211*((RANDBETWEEN(2979,3282)))</f>
        <v>93120040.473423779</v>
      </c>
      <c r="B6654">
        <v>160058618.89543203</v>
      </c>
    </row>
    <row r="6655" spans="1:2" x14ac:dyDescent="0.25">
      <c r="A6655">
        <f ca="1">29237.5870312264*((RANDBETWEEN(2979,3282)))</f>
        <v>92186111.909456894</v>
      </c>
      <c r="B6655">
        <v>159870508.38975191</v>
      </c>
    </row>
    <row r="6656" spans="1:2" x14ac:dyDescent="0.25">
      <c r="A6656">
        <f ca="1">39601.7667387853*((RANDBETWEEN(2979,3282)))</f>
        <v>119716140.85134794</v>
      </c>
      <c r="B6656">
        <v>163499710.78378987</v>
      </c>
    </row>
    <row r="6657" spans="1:2" x14ac:dyDescent="0.25">
      <c r="A6657">
        <f ca="1">37553.3776006716*((RANDBETWEEN(2979,3282)))</f>
        <v>121147196.13976656</v>
      </c>
      <c r="B6657">
        <v>177923590.62899488</v>
      </c>
    </row>
    <row r="6658" spans="1:2" x14ac:dyDescent="0.25">
      <c r="A6658">
        <f ca="1">31956.6340940308*((RANDBETWEEN(2979,3282)))</f>
        <v>99736655.007470265</v>
      </c>
      <c r="B6658">
        <v>193005475.83633992</v>
      </c>
    </row>
    <row r="6659" spans="1:2" x14ac:dyDescent="0.25">
      <c r="A6659">
        <f ca="1">39779.4469445184*((RANDBETWEEN(2979,3282)))</f>
        <v>126975994.64690283</v>
      </c>
      <c r="B6659">
        <v>144659485.49375719</v>
      </c>
    </row>
    <row r="6660" spans="1:2" x14ac:dyDescent="0.25">
      <c r="A6660">
        <f ca="1">30996.9511336633*((RANDBETWEEN(2979,3282)))</f>
        <v>93486804.6191286</v>
      </c>
      <c r="B6660">
        <v>154921731.51974738</v>
      </c>
    </row>
    <row r="6661" spans="1:2" x14ac:dyDescent="0.25">
      <c r="A6661">
        <f ca="1">31187.6617142416*((RANDBETWEEN(2979,3282)))</f>
        <v>94186738.377009764</v>
      </c>
      <c r="B6661">
        <v>174621469.46502727</v>
      </c>
    </row>
    <row r="6662" spans="1:2" x14ac:dyDescent="0.25">
      <c r="A6662">
        <f ca="1">43567.7766256644*((RANDBETWEEN(2979,3282)))</f>
        <v>139808995.19175708</v>
      </c>
      <c r="B6662">
        <v>165559664.78500617</v>
      </c>
    </row>
    <row r="6663" spans="1:2" x14ac:dyDescent="0.25">
      <c r="A6663">
        <f ca="1">36912.1483755007*((RANDBETWEEN(2979,3282)))</f>
        <v>110256587.19762062</v>
      </c>
      <c r="B6663">
        <v>155016564.15835184</v>
      </c>
    </row>
    <row r="6664" spans="1:2" x14ac:dyDescent="0.25">
      <c r="A6664">
        <f ca="1">39445.0399829641*((RANDBETWEEN(2979,3282)))</f>
        <v>126776358.50524662</v>
      </c>
      <c r="B6664">
        <v>155043101.48720777</v>
      </c>
    </row>
    <row r="6665" spans="1:2" x14ac:dyDescent="0.25">
      <c r="A6665">
        <f ca="1">41163.1675128519*((RANDBETWEEN(2979,3282)))</f>
        <v>128676061.64517519</v>
      </c>
      <c r="B6665">
        <v>144480072.80664584</v>
      </c>
    </row>
    <row r="6666" spans="1:2" x14ac:dyDescent="0.25">
      <c r="A6666">
        <f ca="1">31552.1841866998*((RANDBETWEEN(2979,3282)))</f>
        <v>99263171.451357692</v>
      </c>
      <c r="B6666">
        <v>149519432.76437488</v>
      </c>
    </row>
    <row r="6667" spans="1:2" x14ac:dyDescent="0.25">
      <c r="A6667">
        <f ca="1">30597.7394796384*((RANDBETWEEN(2979,3282)))</f>
        <v>97423202.503168732</v>
      </c>
      <c r="B6667">
        <v>163028799.6927312</v>
      </c>
    </row>
    <row r="6668" spans="1:2" x14ac:dyDescent="0.25">
      <c r="A6668">
        <f ca="1">37992.1574670725*((RANDBETWEEN(2979,3282)))</f>
        <v>118649507.76966771</v>
      </c>
      <c r="B6668">
        <v>187615784.30303064</v>
      </c>
    </row>
    <row r="6669" spans="1:2" x14ac:dyDescent="0.25">
      <c r="A6669">
        <f ca="1">31919.719062536*((RANDBETWEEN(2979,3282)))</f>
        <v>96461391.006983832</v>
      </c>
      <c r="B6669">
        <v>147812780.55334216</v>
      </c>
    </row>
    <row r="6670" spans="1:2" x14ac:dyDescent="0.25">
      <c r="A6670">
        <f ca="1">31771.5557162759*((RANDBETWEEN(2979,3282)))</f>
        <v>98205878.719008863</v>
      </c>
      <c r="B6670">
        <v>153889853.67489016</v>
      </c>
    </row>
    <row r="6671" spans="1:2" x14ac:dyDescent="0.25">
      <c r="A6671">
        <f ca="1">31536.3815743078*((RANDBETWEEN(2979,3282)))</f>
        <v>95618308.933301136</v>
      </c>
      <c r="B6671">
        <v>179101372.99241346</v>
      </c>
    </row>
    <row r="6672" spans="1:2" x14ac:dyDescent="0.25">
      <c r="A6672">
        <f ca="1">31796.4235263122*((RANDBETWEEN(2979,3282)))</f>
        <v>99586398.484409899</v>
      </c>
      <c r="B6672">
        <v>184493389.56928733</v>
      </c>
    </row>
    <row r="6673" spans="1:2" x14ac:dyDescent="0.25">
      <c r="A6673">
        <f ca="1">31830.557662123*((RANDBETWEEN(2979,3282)))</f>
        <v>97210523.100123629</v>
      </c>
      <c r="B6673">
        <v>165937714.00881073</v>
      </c>
    </row>
    <row r="6674" spans="1:2" x14ac:dyDescent="0.25">
      <c r="A6674">
        <f ca="1">37057.6012556137*((RANDBETWEEN(2979,3282)))</f>
        <v>111951013.39320898</v>
      </c>
      <c r="B6674">
        <v>199940379.73712331</v>
      </c>
    </row>
    <row r="6675" spans="1:2" x14ac:dyDescent="0.25">
      <c r="A6675">
        <f ca="1">30337.2842010044*((RANDBETWEEN(2979,3282)))</f>
        <v>94106255.591515541</v>
      </c>
      <c r="B6675">
        <v>162548618.9976635</v>
      </c>
    </row>
    <row r="6676" spans="1:2" x14ac:dyDescent="0.25">
      <c r="A6676">
        <f ca="1">32612.0299419987*((RANDBETWEEN(2979,3282)))</f>
        <v>98847062.75419797</v>
      </c>
      <c r="B6676">
        <v>167519711.18265584</v>
      </c>
    </row>
    <row r="6677" spans="1:2" x14ac:dyDescent="0.25">
      <c r="A6677">
        <f ca="1">33864.2610632299*((RANDBETWEEN(2979,3282)))</f>
        <v>110566812.37144558</v>
      </c>
      <c r="B6677">
        <v>189243217.64076549</v>
      </c>
    </row>
    <row r="6678" spans="1:2" x14ac:dyDescent="0.25">
      <c r="A6678">
        <f ca="1">30874.1273423646*((RANDBETWEEN(2979,3282)))</f>
        <v>99044200.514305636</v>
      </c>
      <c r="B6678">
        <v>197978662.25560394</v>
      </c>
    </row>
    <row r="6679" spans="1:2" x14ac:dyDescent="0.25">
      <c r="A6679">
        <f ca="1">31857.7098933907*((RANDBETWEEN(2979,3282)))</f>
        <v>100893367.23236838</v>
      </c>
      <c r="B6679">
        <v>153609113.26749533</v>
      </c>
    </row>
    <row r="6680" spans="1:2" x14ac:dyDescent="0.25">
      <c r="A6680">
        <f ca="1">30575.8337900574*((RANDBETWEEN(2979,3282)))</f>
        <v>95580056.427719325</v>
      </c>
      <c r="B6680">
        <v>192816357.7218551</v>
      </c>
    </row>
    <row r="6681" spans="1:2" x14ac:dyDescent="0.25">
      <c r="A6681">
        <f ca="1">33954.2111914893*((RANDBETWEEN(2979,3282)))</f>
        <v>102983122.54378694</v>
      </c>
      <c r="B6681">
        <v>158361160.0992853</v>
      </c>
    </row>
    <row r="6682" spans="1:2" x14ac:dyDescent="0.25">
      <c r="A6682">
        <f ca="1">32564.0984888379*((RANDBETWEEN(2979,3282)))</f>
        <v>103814345.98241536</v>
      </c>
      <c r="B6682">
        <v>163277177.31755149</v>
      </c>
    </row>
    <row r="6683" spans="1:2" x14ac:dyDescent="0.25">
      <c r="A6683">
        <f ca="1">39194.40882731*((RANDBETWEEN(2979,3282)))</f>
        <v>122129777.905898</v>
      </c>
      <c r="B6683">
        <v>162720967.08661035</v>
      </c>
    </row>
    <row r="6684" spans="1:2" x14ac:dyDescent="0.25">
      <c r="A6684">
        <f ca="1">31711.1058622853*((RANDBETWEEN(2979,3282)))</f>
        <v>99192339.13722831</v>
      </c>
      <c r="B6684">
        <v>146179986.78717527</v>
      </c>
    </row>
    <row r="6685" spans="1:2" x14ac:dyDescent="0.25">
      <c r="A6685">
        <f ca="1">30601.331300152*((RANDBETWEEN(2979,3282)))</f>
        <v>95965774.957276717</v>
      </c>
      <c r="B6685">
        <v>194890614.59146982</v>
      </c>
    </row>
    <row r="6686" spans="1:2" x14ac:dyDescent="0.25">
      <c r="A6686">
        <f ca="1">29801.4076693802*((RANDBETWEEN(2979,3282)))</f>
        <v>97689014.340228423</v>
      </c>
      <c r="B6686">
        <v>151554074.65610045</v>
      </c>
    </row>
    <row r="6687" spans="1:2" x14ac:dyDescent="0.25">
      <c r="A6687">
        <f ca="1">30071.5344635834*((RANDBETWEEN(2979,3282)))</f>
        <v>91237035.562512025</v>
      </c>
      <c r="B6687">
        <v>177234374.31056282</v>
      </c>
    </row>
    <row r="6688" spans="1:2" x14ac:dyDescent="0.25">
      <c r="A6688">
        <f ca="1">32716.7427966936*((RANDBETWEEN(2979,3282)))</f>
        <v>98182945.132877514</v>
      </c>
      <c r="B6688">
        <v>162227247.71528015</v>
      </c>
    </row>
    <row r="6689" spans="1:2" x14ac:dyDescent="0.25">
      <c r="A6689">
        <f ca="1">33138.7924131197*((RANDBETWEEN(2979,3282)))</f>
        <v>103625003.87582518</v>
      </c>
      <c r="B6689">
        <v>182620700.14168119</v>
      </c>
    </row>
    <row r="6690" spans="1:2" x14ac:dyDescent="0.25">
      <c r="A6690">
        <f ca="1">32440.3166408124*((RANDBETWEEN(2979,3282)))</f>
        <v>102673602.16817133</v>
      </c>
      <c r="B6690">
        <v>173298337.77025497</v>
      </c>
    </row>
    <row r="6691" spans="1:2" x14ac:dyDescent="0.25">
      <c r="A6691">
        <f ca="1">31441.3663479203*((RANDBETWEEN(2979,3282)))</f>
        <v>97845532.074728042</v>
      </c>
      <c r="B6691">
        <v>167162871.19996548</v>
      </c>
    </row>
    <row r="6692" spans="1:2" x14ac:dyDescent="0.25">
      <c r="A6692">
        <f ca="1">39972.9200148949*((RANDBETWEEN(2979,3282)))</f>
        <v>125035293.80659117</v>
      </c>
      <c r="B6692">
        <v>162188304.7571784</v>
      </c>
    </row>
    <row r="6693" spans="1:2" x14ac:dyDescent="0.25">
      <c r="A6693">
        <f ca="1">31429.7797058425*((RANDBETWEEN(2979,3282)))</f>
        <v>97683755.325758368</v>
      </c>
      <c r="B6693">
        <v>170267739.71368861</v>
      </c>
    </row>
    <row r="6694" spans="1:2" x14ac:dyDescent="0.25">
      <c r="A6694">
        <f ca="1">31112.0372220395*((RANDBETWEEN(2979,3282)))</f>
        <v>99278510.775528103</v>
      </c>
      <c r="B6694">
        <v>188474015.57469174</v>
      </c>
    </row>
    <row r="6695" spans="1:2" x14ac:dyDescent="0.25">
      <c r="A6695">
        <f ca="1">30659.0747380483*((RANDBETWEEN(2979,3282)))</f>
        <v>93326223.502618998</v>
      </c>
      <c r="B6695">
        <v>147986607.36779538</v>
      </c>
    </row>
    <row r="6696" spans="1:2" x14ac:dyDescent="0.25">
      <c r="A6696">
        <f ca="1">31916.4837076692*((RANDBETWEEN(2979,3282)))</f>
        <v>100951837.96735764</v>
      </c>
      <c r="B6696">
        <v>176979404.03186354</v>
      </c>
    </row>
    <row r="6697" spans="1:2" x14ac:dyDescent="0.25">
      <c r="A6697">
        <f ca="1">38743.7531854228*((RANDBETWEEN(2979,3282)))</f>
        <v>123476341.40194266</v>
      </c>
      <c r="B6697">
        <v>164167654.2859554</v>
      </c>
    </row>
    <row r="6698" spans="1:2" x14ac:dyDescent="0.25">
      <c r="A6698">
        <f ca="1">37872.7784701578*((RANDBETWEEN(2979,3282)))</f>
        <v>119905216.63651964</v>
      </c>
      <c r="B6698">
        <v>155655078.91675013</v>
      </c>
    </row>
    <row r="6699" spans="1:2" x14ac:dyDescent="0.25">
      <c r="A6699">
        <f ca="1">43226.003203009*((RANDBETWEEN(2979,3282)))</f>
        <v>134259965.94854608</v>
      </c>
      <c r="B6699">
        <v>155234524.06775823</v>
      </c>
    </row>
    <row r="6700" spans="1:2" x14ac:dyDescent="0.25">
      <c r="A6700">
        <f ca="1">33227.7166317088*((RANDBETWEEN(2979,3282)))</f>
        <v>105365089.43914859</v>
      </c>
      <c r="B6700">
        <v>191755478.68162063</v>
      </c>
    </row>
    <row r="6701" spans="1:2" x14ac:dyDescent="0.25">
      <c r="A6701">
        <f ca="1">32267.0132932664*((RANDBETWEEN(2979,3282)))</f>
        <v>99576003.023020208</v>
      </c>
      <c r="B6701">
        <v>172213841.90174571</v>
      </c>
    </row>
    <row r="6702" spans="1:2" x14ac:dyDescent="0.25">
      <c r="A6702">
        <f ca="1">40741.8453411106*((RANDBETWEEN(2979,3282)))</f>
        <v>132573964.73997387</v>
      </c>
      <c r="B6702">
        <v>160757891.61671308</v>
      </c>
    </row>
    <row r="6703" spans="1:2" x14ac:dyDescent="0.25">
      <c r="A6703">
        <f ca="1">35071.1503330339*((RANDBETWEEN(2979,3282)))</f>
        <v>111526258.05904788</v>
      </c>
      <c r="B6703">
        <v>181656179.34532905</v>
      </c>
    </row>
    <row r="6704" spans="1:2" x14ac:dyDescent="0.25">
      <c r="A6704">
        <f ca="1">27683.9740037246*((RANDBETWEEN(2979,3282)))</f>
        <v>84270016.867337704</v>
      </c>
      <c r="B6704">
        <v>183033973.95542488</v>
      </c>
    </row>
    <row r="6705" spans="1:2" x14ac:dyDescent="0.25">
      <c r="A6705">
        <f ca="1">31974.5764992701*((RANDBETWEEN(2979,3282)))</f>
        <v>98161949.852759227</v>
      </c>
      <c r="B6705">
        <v>145904232.10586333</v>
      </c>
    </row>
    <row r="6706" spans="1:2" x14ac:dyDescent="0.25">
      <c r="A6706">
        <f ca="1">39773.6760074654*((RANDBETWEEN(2979,3282)))</f>
        <v>121150617.11873963</v>
      </c>
      <c r="B6706">
        <v>147200669.62696782</v>
      </c>
    </row>
    <row r="6707" spans="1:2" x14ac:dyDescent="0.25">
      <c r="A6707">
        <f ca="1">32993.1187724211*((RANDBETWEEN(2979,3282)))</f>
        <v>104456214.03348531</v>
      </c>
      <c r="B6707">
        <v>161282319.17315829</v>
      </c>
    </row>
    <row r="6708" spans="1:2" x14ac:dyDescent="0.25">
      <c r="A6708">
        <f ca="1">27897.1895859671*((RANDBETWEEN(2979,3282)))</f>
        <v>86286007.38939625</v>
      </c>
      <c r="B6708">
        <v>164243834.20175532</v>
      </c>
    </row>
    <row r="6709" spans="1:2" x14ac:dyDescent="0.25">
      <c r="A6709">
        <f ca="1">40620.987918365*((RANDBETWEEN(2979,3282)))</f>
        <v>126331272.4261151</v>
      </c>
      <c r="B6709">
        <v>171308488.51517951</v>
      </c>
    </row>
    <row r="6710" spans="1:2" x14ac:dyDescent="0.25">
      <c r="A6710">
        <f ca="1">29291.9231148815*((RANDBETWEEN(2979,3282)))</f>
        <v>88403023.960712239</v>
      </c>
      <c r="B6710">
        <v>150833760.97283751</v>
      </c>
    </row>
    <row r="6711" spans="1:2" x14ac:dyDescent="0.25">
      <c r="A6711">
        <f ca="1">28275.6843114703*((RANDBETWEEN(2979,3282)))</f>
        <v>85647047.779443443</v>
      </c>
      <c r="B6711">
        <v>151624299.15080765</v>
      </c>
    </row>
    <row r="6712" spans="1:2" x14ac:dyDescent="0.25">
      <c r="A6712">
        <f ca="1">31913.4555661714*((RANDBETWEEN(2979,3282)))</f>
        <v>102186884.7228808</v>
      </c>
      <c r="B6712">
        <v>166625727.36042207</v>
      </c>
    </row>
    <row r="6713" spans="1:2" x14ac:dyDescent="0.25">
      <c r="A6713">
        <f ca="1">32303.7953432875*((RANDBETWEEN(2979,3282)))</f>
        <v>97654373.322758213</v>
      </c>
      <c r="B6713">
        <v>165271201.71691337</v>
      </c>
    </row>
    <row r="6714" spans="1:2" x14ac:dyDescent="0.25">
      <c r="A6714">
        <f ca="1">36107.145806467*((RANDBETWEEN(2979,3282)))</f>
        <v>118467545.3910183</v>
      </c>
      <c r="B6714">
        <v>148048826.95589131</v>
      </c>
    </row>
    <row r="6715" spans="1:2" x14ac:dyDescent="0.25">
      <c r="A6715">
        <f ca="1">30896.7645686195*((RANDBETWEEN(2979,3282)))</f>
        <v>96552389.276936084</v>
      </c>
      <c r="B6715">
        <v>159483930.15438169</v>
      </c>
    </row>
    <row r="6716" spans="1:2" x14ac:dyDescent="0.25">
      <c r="A6716">
        <f ca="1">30445.3909548405*((RANDBETWEEN(2979,3282)))</f>
        <v>98277722.002225265</v>
      </c>
      <c r="B6716">
        <v>169871807.72353935</v>
      </c>
    </row>
    <row r="6717" spans="1:2" x14ac:dyDescent="0.25">
      <c r="A6717">
        <f ca="1">39637.4439560842*((RANDBETWEEN(2979,3282)))</f>
        <v>129257704.74079061</v>
      </c>
      <c r="B6717">
        <v>145487896.6684145</v>
      </c>
    </row>
    <row r="6718" spans="1:2" x14ac:dyDescent="0.25">
      <c r="A6718">
        <f ca="1">30227.4584472358*((RANDBETWEEN(2979,3282)))</f>
        <v>92344885.556305408</v>
      </c>
      <c r="B6718">
        <v>177353488.41739357</v>
      </c>
    </row>
    <row r="6719" spans="1:2" x14ac:dyDescent="0.25">
      <c r="A6719">
        <f ca="1">36858.9394161608*((RANDBETWEEN(2979,3282)))</f>
        <v>111055984.4608926</v>
      </c>
      <c r="B6719">
        <v>162869288.83122563</v>
      </c>
    </row>
    <row r="6720" spans="1:2" x14ac:dyDescent="0.25">
      <c r="A6720">
        <f ca="1">27441.9480908012*((RANDBETWEEN(2979,3282)))</f>
        <v>86140275.057025</v>
      </c>
      <c r="B6720">
        <v>201298701.51915061</v>
      </c>
    </row>
    <row r="6721" spans="1:2" x14ac:dyDescent="0.25">
      <c r="A6721">
        <f ca="1">32447.2051780482*((RANDBETWEEN(2979,3282)))</f>
        <v>100878360.89855196</v>
      </c>
      <c r="B6721">
        <v>176597679.67718723</v>
      </c>
    </row>
    <row r="6722" spans="1:2" x14ac:dyDescent="0.25">
      <c r="A6722">
        <f ca="1">32926.9035513237*((RANDBETWEEN(2979,3282)))</f>
        <v>101184374.61321762</v>
      </c>
      <c r="B6722">
        <v>163322806.55832219</v>
      </c>
    </row>
    <row r="6723" spans="1:2" x14ac:dyDescent="0.25">
      <c r="A6723">
        <f ca="1">32175.5529628689*((RANDBETWEEN(2979,3282)))</f>
        <v>101964327.33933155</v>
      </c>
      <c r="B6723">
        <v>172731858.01020563</v>
      </c>
    </row>
    <row r="6724" spans="1:2" x14ac:dyDescent="0.25">
      <c r="A6724">
        <f ca="1">30482.6852190845*((RANDBETWEEN(2979,3282)))</f>
        <v>91051780.749405369</v>
      </c>
      <c r="B6724">
        <v>193426969.47321039</v>
      </c>
    </row>
    <row r="6725" spans="1:2" x14ac:dyDescent="0.25">
      <c r="A6725">
        <f ca="1">34035.834875969*((RANDBETWEEN(2979,3282)))</f>
        <v>105068622.26211634</v>
      </c>
      <c r="B6725">
        <v>157149555.09123063</v>
      </c>
    </row>
    <row r="6726" spans="1:2" x14ac:dyDescent="0.25">
      <c r="A6726">
        <f ca="1">32277.2894782703*((RANDBETWEEN(2979,3282)))</f>
        <v>96218599.934723914</v>
      </c>
      <c r="B6726">
        <v>165759459.09780967</v>
      </c>
    </row>
    <row r="6727" spans="1:2" x14ac:dyDescent="0.25">
      <c r="A6727">
        <f ca="1">31372.4699601371*((RANDBETWEEN(2979,3282)))</f>
        <v>97505636.636106223</v>
      </c>
      <c r="B6727">
        <v>161777997.44437712</v>
      </c>
    </row>
    <row r="6728" spans="1:2" x14ac:dyDescent="0.25">
      <c r="A6728">
        <f ca="1">41963.567179948*((RANDBETWEEN(2979,3282)))</f>
        <v>128114770.60038128</v>
      </c>
      <c r="B6728">
        <v>160825108.26005927</v>
      </c>
    </row>
    <row r="6729" spans="1:2" x14ac:dyDescent="0.25">
      <c r="A6729">
        <f ca="1">33135.334241124*((RANDBETWEEN(2979,3282)))</f>
        <v>98776431.372790575</v>
      </c>
      <c r="B6729">
        <v>153762003.75035065</v>
      </c>
    </row>
    <row r="6730" spans="1:2" x14ac:dyDescent="0.25">
      <c r="A6730">
        <f ca="1">33148.8069471969*((RANDBETWEEN(2979,3282)))</f>
        <v>99280676.806854844</v>
      </c>
      <c r="B6730">
        <v>202315056.15242487</v>
      </c>
    </row>
    <row r="6731" spans="1:2" x14ac:dyDescent="0.25">
      <c r="A6731">
        <f ca="1">31758.4379625889*((RANDBETWEEN(2979,3282)))</f>
        <v>103754816.82377782</v>
      </c>
      <c r="B6731">
        <v>176691616.61095291</v>
      </c>
    </row>
    <row r="6732" spans="1:2" x14ac:dyDescent="0.25">
      <c r="A6732">
        <f ca="1">38457.5949030278*((RANDBETWEEN(2979,3282)))</f>
        <v>119026256.22487099</v>
      </c>
      <c r="B6732">
        <v>170769195.38945889</v>
      </c>
    </row>
    <row r="6733" spans="1:2" x14ac:dyDescent="0.25">
      <c r="A6733">
        <f ca="1">29954.6374486523*((RANDBETWEEN(2979,3282)))</f>
        <v>95495384.186303601</v>
      </c>
      <c r="B6733">
        <v>159100800.75281277</v>
      </c>
    </row>
    <row r="6734" spans="1:2" x14ac:dyDescent="0.25">
      <c r="A6734">
        <f ca="1">28987.3512783236*((RANDBETWEEN(2979,3282)))</f>
        <v>88237497.291216984</v>
      </c>
      <c r="B6734">
        <v>165003054.51209152</v>
      </c>
    </row>
    <row r="6735" spans="1:2" x14ac:dyDescent="0.25">
      <c r="A6735">
        <f ca="1">32820.0209339678*((RANDBETWEEN(2979,3282)))</f>
        <v>99543123.492724344</v>
      </c>
      <c r="B6735">
        <v>150718724.17382365</v>
      </c>
    </row>
    <row r="6736" spans="1:2" x14ac:dyDescent="0.25">
      <c r="A6736">
        <f ca="1">34176.3360613656*((RANDBETWEEN(2979,3282)))</f>
        <v>110662976.16670166</v>
      </c>
      <c r="B6736">
        <v>172009641.93551442</v>
      </c>
    </row>
    <row r="6737" spans="1:2" x14ac:dyDescent="0.25">
      <c r="A6737">
        <f ca="1">33199.7643686795*((RANDBETWEEN(2979,3282)))</f>
        <v>101624478.73252799</v>
      </c>
      <c r="B6737">
        <v>199335084.70989567</v>
      </c>
    </row>
    <row r="6738" spans="1:2" x14ac:dyDescent="0.25">
      <c r="A6738">
        <f ca="1">36721.8460250192*((RANDBETWEEN(2979,3282)))</f>
        <v>114388550.36793494</v>
      </c>
      <c r="B6738">
        <v>169560193.54221612</v>
      </c>
    </row>
    <row r="6739" spans="1:2" x14ac:dyDescent="0.25">
      <c r="A6739">
        <f ca="1">29433.2588507706*((RANDBETWEEN(2979,3282)))</f>
        <v>93332863.815793678</v>
      </c>
      <c r="B6739">
        <v>164499463.23316285</v>
      </c>
    </row>
    <row r="6740" spans="1:2" x14ac:dyDescent="0.25">
      <c r="A6740">
        <f ca="1">30190.4455935112*((RANDBETWEEN(2979,3282)))</f>
        <v>95522569.857869342</v>
      </c>
      <c r="B6740">
        <v>166043337.49119186</v>
      </c>
    </row>
    <row r="6741" spans="1:2" x14ac:dyDescent="0.25">
      <c r="A6741">
        <f ca="1">39158.3716119154*((RANDBETWEEN(2979,3282)))</f>
        <v>125659214.50263655</v>
      </c>
      <c r="B6741">
        <v>152647686.84667498</v>
      </c>
    </row>
    <row r="6742" spans="1:2" x14ac:dyDescent="0.25">
      <c r="A6742">
        <f ca="1">31163.4404902411*((RANDBETWEEN(2979,3282)))</f>
        <v>100502095.58102767</v>
      </c>
      <c r="B6742">
        <v>168029171.32560566</v>
      </c>
    </row>
    <row r="6743" spans="1:2" x14ac:dyDescent="0.25">
      <c r="A6743">
        <f ca="1">28798.9474788632*((RANDBETWEEN(2979,3282)))</f>
        <v>90054308.76640512</v>
      </c>
      <c r="B6743">
        <v>159345263.43912166</v>
      </c>
    </row>
    <row r="6744" spans="1:2" x14ac:dyDescent="0.25">
      <c r="A6744">
        <f ca="1">31001.0402855283*((RANDBETWEEN(2979,3282)))</f>
        <v>97467270.657700956</v>
      </c>
      <c r="B6744">
        <v>192834780.66364998</v>
      </c>
    </row>
    <row r="6745" spans="1:2" x14ac:dyDescent="0.25">
      <c r="A6745">
        <f ca="1">31144.9687345081*((RANDBETWEEN(2979,3282)))</f>
        <v>97639476.982682958</v>
      </c>
      <c r="B6745">
        <v>148372391.33100992</v>
      </c>
    </row>
    <row r="6746" spans="1:2" x14ac:dyDescent="0.25">
      <c r="A6746">
        <f ca="1">36598.1621370886*((RANDBETWEEN(2979,3282)))</f>
        <v>119566195.7018685</v>
      </c>
      <c r="B6746">
        <v>201596272.90452024</v>
      </c>
    </row>
    <row r="6747" spans="1:2" x14ac:dyDescent="0.25">
      <c r="A6747">
        <f ca="1">32451.7652184822*((RANDBETWEEN(2979,3282)))</f>
        <v>104040359.290454</v>
      </c>
      <c r="B6747">
        <v>167130647.82578033</v>
      </c>
    </row>
    <row r="6748" spans="1:2" x14ac:dyDescent="0.25">
      <c r="A6748">
        <f ca="1">29564.9100015227*((RANDBETWEEN(2979,3282)))</f>
        <v>90084280.774639696</v>
      </c>
      <c r="B6748">
        <v>158333398.48370823</v>
      </c>
    </row>
    <row r="6749" spans="1:2" x14ac:dyDescent="0.25">
      <c r="A6749">
        <f ca="1">30838.1080283799*((RANDBETWEEN(2979,3282)))</f>
        <v>101210670.54914288</v>
      </c>
      <c r="B6749">
        <v>197277577.32281646</v>
      </c>
    </row>
    <row r="6750" spans="1:2" x14ac:dyDescent="0.25">
      <c r="A6750">
        <f ca="1">31939.8288542712*((RANDBETWEEN(2979,3282)))</f>
        <v>97863635.609486818</v>
      </c>
      <c r="B6750">
        <v>184104121.89487588</v>
      </c>
    </row>
    <row r="6751" spans="1:2" x14ac:dyDescent="0.25">
      <c r="A6751">
        <f ca="1">36447.8189212006*((RANDBETWEEN(2979,3282)))</f>
        <v>118746994.04527168</v>
      </c>
      <c r="B6751">
        <v>147449440.13319242</v>
      </c>
    </row>
    <row r="6752" spans="1:2" x14ac:dyDescent="0.25">
      <c r="A6752">
        <f ca="1">32237.2415917399*((RANDBETWEEN(2979,3282)))</f>
        <v>102030869.63785668</v>
      </c>
      <c r="B6752">
        <v>175128030.06965986</v>
      </c>
    </row>
    <row r="6753" spans="1:2" x14ac:dyDescent="0.25">
      <c r="A6753">
        <f ca="1">31416.191145481*((RANDBETWEEN(2979,3282)))</f>
        <v>101160135.48844875</v>
      </c>
      <c r="B6753">
        <v>148062787.94347814</v>
      </c>
    </row>
    <row r="6754" spans="1:2" x14ac:dyDescent="0.25">
      <c r="A6754">
        <f ca="1">32970.4988874433*((RANDBETWEEN(2979,3282)))</f>
        <v>98548821.174568072</v>
      </c>
      <c r="B6754">
        <v>171046201.64467853</v>
      </c>
    </row>
    <row r="6755" spans="1:2" x14ac:dyDescent="0.25">
      <c r="A6755">
        <f ca="1">30366.3798872134*((RANDBETWEEN(2979,3282)))</f>
        <v>97020583.739646763</v>
      </c>
      <c r="B6755">
        <v>195812445.45476231</v>
      </c>
    </row>
    <row r="6756" spans="1:2" x14ac:dyDescent="0.25">
      <c r="A6756">
        <f ca="1">31253.3334316965*((RANDBETWEEN(2979,3282)))</f>
        <v>100635733.65006268</v>
      </c>
      <c r="B6756">
        <v>154968745.06196707</v>
      </c>
    </row>
    <row r="6757" spans="1:2" x14ac:dyDescent="0.25">
      <c r="A6757">
        <f ca="1">37567.9012552528*((RANDBETWEEN(2979,3282)))</f>
        <v>115183185.2486051</v>
      </c>
      <c r="B6757">
        <v>156293757.13400233</v>
      </c>
    </row>
    <row r="6758" spans="1:2" x14ac:dyDescent="0.25">
      <c r="A6758">
        <f ca="1">29467.2832434344*((RANDBETWEEN(2979,3282)))</f>
        <v>88490251.580033407</v>
      </c>
      <c r="B6758">
        <v>162103461.20438078</v>
      </c>
    </row>
    <row r="6759" spans="1:2" x14ac:dyDescent="0.25">
      <c r="A6759">
        <f ca="1">31270.4105654064*((RANDBETWEEN(2979,3282)))</f>
        <v>97720033.0168951</v>
      </c>
      <c r="B6759">
        <v>143703457.02828503</v>
      </c>
    </row>
    <row r="6760" spans="1:2" x14ac:dyDescent="0.25">
      <c r="A6760">
        <f ca="1">36143.3803850461*((RANDBETWEEN(2979,3282)))</f>
        <v>112478199.75826333</v>
      </c>
      <c r="B6760">
        <v>143082872.67851642</v>
      </c>
    </row>
    <row r="6761" spans="1:2" x14ac:dyDescent="0.25">
      <c r="A6761">
        <f ca="1">31860.6691233326*((RANDBETWEEN(2979,3282)))</f>
        <v>95645728.708244488</v>
      </c>
      <c r="B6761">
        <v>197059569.00431156</v>
      </c>
    </row>
    <row r="6762" spans="1:2" x14ac:dyDescent="0.25">
      <c r="A6762">
        <f ca="1">32014.5174620432*((RANDBETWEEN(2979,3282)))</f>
        <v>102670557.50077263</v>
      </c>
      <c r="B6762">
        <v>185595554.76227742</v>
      </c>
    </row>
    <row r="6763" spans="1:2" x14ac:dyDescent="0.25">
      <c r="A6763">
        <f ca="1">39086.7720912906*((RANDBETWEEN(2979,3282)))</f>
        <v>127540137.33388127</v>
      </c>
      <c r="B6763">
        <v>158742575.78266901</v>
      </c>
    </row>
    <row r="6764" spans="1:2" x14ac:dyDescent="0.25">
      <c r="A6764">
        <f ca="1">32785.9955618276*((RANDBETWEEN(2979,3282)))</f>
        <v>100816936.35261998</v>
      </c>
      <c r="B6764">
        <v>200068680.44104493</v>
      </c>
    </row>
    <row r="6765" spans="1:2" x14ac:dyDescent="0.25">
      <c r="A6765">
        <f ca="1">42196.8068309942*((RANDBETWEEN(2979,3282)))</f>
        <v>128362686.37988441</v>
      </c>
      <c r="B6765">
        <v>147832612.97562009</v>
      </c>
    </row>
    <row r="6766" spans="1:2" x14ac:dyDescent="0.25">
      <c r="A6766">
        <f ca="1">28443.5216151386*((RANDBETWEEN(2979,3282)))</f>
        <v>86155426.972254783</v>
      </c>
      <c r="B6766">
        <v>172535279.93889418</v>
      </c>
    </row>
    <row r="6767" spans="1:2" x14ac:dyDescent="0.25">
      <c r="A6767">
        <f ca="1">37937.8823026321*((RANDBETWEEN(2979,3282)))</f>
        <v>124094813.01190962</v>
      </c>
      <c r="B6767">
        <v>194838434.69532084</v>
      </c>
    </row>
    <row r="6768" spans="1:2" x14ac:dyDescent="0.25">
      <c r="A6768">
        <f ca="1">32022.6705570329*((RANDBETWEEN(2979,3282)))</f>
        <v>99366346.738473222</v>
      </c>
      <c r="B6768">
        <v>198350549.27559781</v>
      </c>
    </row>
    <row r="6769" spans="1:2" x14ac:dyDescent="0.25">
      <c r="A6769">
        <f ca="1">33024.1817508765*((RANDBETWEEN(2979,3282)))</f>
        <v>103761979.0612538</v>
      </c>
      <c r="B6769">
        <v>173355398.804809</v>
      </c>
    </row>
    <row r="6770" spans="1:2" x14ac:dyDescent="0.25">
      <c r="A6770">
        <f ca="1">39938.5312806889*((RANDBETWEEN(2979,3282)))</f>
        <v>130439243.16272996</v>
      </c>
      <c r="B6770">
        <v>197335816.26880229</v>
      </c>
    </row>
    <row r="6771" spans="1:2" x14ac:dyDescent="0.25">
      <c r="A6771">
        <f ca="1">31627.285905863*((RANDBETWEEN(2979,3282)))</f>
        <v>98772013.884010196</v>
      </c>
      <c r="B6771">
        <v>153689224.11143795</v>
      </c>
    </row>
    <row r="6772" spans="1:2" x14ac:dyDescent="0.25">
      <c r="A6772">
        <f ca="1">31982.1962458313*((RANDBETWEEN(2979,3282)))</f>
        <v>101639419.66925192</v>
      </c>
      <c r="B6772">
        <v>166747519.08161592</v>
      </c>
    </row>
    <row r="6773" spans="1:2" x14ac:dyDescent="0.25">
      <c r="A6773">
        <f ca="1">34647.756899501*((RANDBETWEEN(2979,3282)))</f>
        <v>109175081.99032772</v>
      </c>
      <c r="B6773">
        <v>146148426.8410852</v>
      </c>
    </row>
    <row r="6774" spans="1:2" x14ac:dyDescent="0.25">
      <c r="A6774">
        <f ca="1">30794.649009531*((RANDBETWEEN(2979,3282)))</f>
        <v>92199179.134535939</v>
      </c>
      <c r="B6774">
        <v>149921950.43938512</v>
      </c>
    </row>
    <row r="6775" spans="1:2" x14ac:dyDescent="0.25">
      <c r="A6775">
        <f ca="1">33456.3070124536*((RANDBETWEEN(2979,3282)))</f>
        <v>104049114.80873068</v>
      </c>
      <c r="B6775">
        <v>166623474.62362608</v>
      </c>
    </row>
    <row r="6776" spans="1:2" x14ac:dyDescent="0.25">
      <c r="A6776">
        <f ca="1">33902.7320805838*((RANDBETWEEN(2979,3282)))</f>
        <v>106556286.92927493</v>
      </c>
      <c r="B6776">
        <v>151003062.71269545</v>
      </c>
    </row>
    <row r="6777" spans="1:2" x14ac:dyDescent="0.25">
      <c r="A6777">
        <f ca="1">32005.6257840156*((RANDBETWEEN(2979,3282)))</f>
        <v>104210317.55275491</v>
      </c>
      <c r="B6777">
        <v>146097447.96403542</v>
      </c>
    </row>
    <row r="6778" spans="1:2" x14ac:dyDescent="0.25">
      <c r="A6778">
        <f ca="1">39823.745786003*((RANDBETWEEN(2979,3282)))</f>
        <v>123931496.88604128</v>
      </c>
      <c r="B6778">
        <v>177150933.1867938</v>
      </c>
    </row>
    <row r="6779" spans="1:2" x14ac:dyDescent="0.25">
      <c r="A6779">
        <f ca="1">29339.2384334728*((RANDBETWEEN(2979,3282)))</f>
        <v>93709527.556512251</v>
      </c>
      <c r="B6779">
        <v>201851840.05942193</v>
      </c>
    </row>
    <row r="6780" spans="1:2" x14ac:dyDescent="0.25">
      <c r="A6780">
        <f ca="1">29372.4109243543*((RANDBETWEEN(2979,3282)))</f>
        <v>90966356.632725358</v>
      </c>
      <c r="B6780">
        <v>166490249.9833982</v>
      </c>
    </row>
    <row r="6781" spans="1:2" x14ac:dyDescent="0.25">
      <c r="A6781">
        <f ca="1">29456.7015137125*((RANDBETWEEN(2979,3282)))</f>
        <v>94379271.649934873</v>
      </c>
      <c r="B6781">
        <v>190206882.00935572</v>
      </c>
    </row>
    <row r="6782" spans="1:2" x14ac:dyDescent="0.25">
      <c r="A6782">
        <f ca="1">30589.519565574*((RANDBETWEEN(2979,3282)))</f>
        <v>93206266.116303846</v>
      </c>
      <c r="B6782">
        <v>155523226.70146942</v>
      </c>
    </row>
    <row r="6783" spans="1:2" x14ac:dyDescent="0.25">
      <c r="A6783">
        <f ca="1">32217.2748626165*((RANDBETWEEN(2979,3282)))</f>
        <v>97457256.459414914</v>
      </c>
      <c r="B6783">
        <v>172589558.35956225</v>
      </c>
    </row>
    <row r="6784" spans="1:2" x14ac:dyDescent="0.25">
      <c r="A6784">
        <f ca="1">35710.6930034078*((RANDBETWEEN(2979,3282)))</f>
        <v>116916808.89315704</v>
      </c>
      <c r="B6784">
        <v>152247894.75801772</v>
      </c>
    </row>
    <row r="6785" spans="1:2" x14ac:dyDescent="0.25">
      <c r="A6785">
        <f ca="1">33106.0282755118*((RANDBETWEEN(2979,3282)))</f>
        <v>104648155.37889269</v>
      </c>
      <c r="B6785">
        <v>186031760.66328782</v>
      </c>
    </row>
    <row r="6786" spans="1:2" x14ac:dyDescent="0.25">
      <c r="A6786">
        <f ca="1">33114.5957781395*((RANDBETWEEN(2979,3282)))</f>
        <v>103118851.25312635</v>
      </c>
      <c r="B6786">
        <v>168316944.11183554</v>
      </c>
    </row>
    <row r="6787" spans="1:2" x14ac:dyDescent="0.25">
      <c r="A6787">
        <f ca="1">30991.0638626888*((RANDBETWEEN(2979,3282)))</f>
        <v>101030868.19236551</v>
      </c>
      <c r="B6787">
        <v>196556022.99277058</v>
      </c>
    </row>
    <row r="6788" spans="1:2" x14ac:dyDescent="0.25">
      <c r="A6788">
        <f ca="1">30038.1472707432*((RANDBETWEEN(2979,3282)))</f>
        <v>91105700.672164068</v>
      </c>
      <c r="B6788">
        <v>187130883.36539072</v>
      </c>
    </row>
    <row r="6789" spans="1:2" x14ac:dyDescent="0.25">
      <c r="A6789">
        <f ca="1">30694.7547839425*((RANDBETWEEN(2979,3282)))</f>
        <v>94724013.263246566</v>
      </c>
      <c r="B6789">
        <v>187266729.31568363</v>
      </c>
    </row>
    <row r="6790" spans="1:2" x14ac:dyDescent="0.25">
      <c r="A6790">
        <f ca="1">28480.228982538*((RANDBETWEEN(2979,3282)))</f>
        <v>86266613.588107705</v>
      </c>
      <c r="B6790">
        <v>144065329.27966803</v>
      </c>
    </row>
    <row r="6791" spans="1:2" x14ac:dyDescent="0.25">
      <c r="A6791">
        <f ca="1">30658.3765950956*((RANDBETWEEN(2979,3282)))</f>
        <v>97953513.221330419</v>
      </c>
      <c r="B6791">
        <v>159951331.01250726</v>
      </c>
    </row>
    <row r="6792" spans="1:2" x14ac:dyDescent="0.25">
      <c r="A6792">
        <f ca="1">37000.7386534621*((RANDBETWEEN(2979,3282)))</f>
        <v>118439364.42973226</v>
      </c>
      <c r="B6792">
        <v>143323925.30556071</v>
      </c>
    </row>
    <row r="6793" spans="1:2" x14ac:dyDescent="0.25">
      <c r="A6793">
        <f ca="1">36855.1727797883*((RANDBETWEEN(2979,3282)))</f>
        <v>120774401.19936635</v>
      </c>
      <c r="B6793">
        <v>185574775.10101658</v>
      </c>
    </row>
    <row r="6794" spans="1:2" x14ac:dyDescent="0.25">
      <c r="A6794">
        <f ca="1">36552.4000576741*((RANDBETWEEN(2979,3282)))</f>
        <v>118173909.38646032</v>
      </c>
      <c r="B6794">
        <v>156929664.33098227</v>
      </c>
    </row>
    <row r="6795" spans="1:2" x14ac:dyDescent="0.25">
      <c r="A6795">
        <f ca="1">32541.1808901314*((RANDBETWEEN(2979,3282)))</f>
        <v>98664860.458878532</v>
      </c>
      <c r="B6795">
        <v>197279441.99881962</v>
      </c>
    </row>
    <row r="6796" spans="1:2" x14ac:dyDescent="0.25">
      <c r="A6796">
        <f ca="1">31325.0819932726*((RANDBETWEEN(2979,3282)))</f>
        <v>100772788.77235796</v>
      </c>
      <c r="B6796">
        <v>154863587.74501792</v>
      </c>
    </row>
    <row r="6797" spans="1:2" x14ac:dyDescent="0.25">
      <c r="A6797">
        <f ca="1">30083.0007436996*((RANDBETWEEN(2979,3282)))</f>
        <v>91813318.269771084</v>
      </c>
      <c r="B6797">
        <v>154958030.39387929</v>
      </c>
    </row>
    <row r="6798" spans="1:2" x14ac:dyDescent="0.25">
      <c r="A6798">
        <f ca="1">32710.1202935382*((RANDBETWEEN(2979,3282)))</f>
        <v>106340601.07429279</v>
      </c>
      <c r="B6798">
        <v>152914738.61533061</v>
      </c>
    </row>
    <row r="6799" spans="1:2" x14ac:dyDescent="0.25">
      <c r="A6799">
        <f ca="1">36212.159921027*((RANDBETWEEN(2979,3282)))</f>
        <v>116856640.06515422</v>
      </c>
      <c r="B6799">
        <v>144657812.99011567</v>
      </c>
    </row>
    <row r="6800" spans="1:2" x14ac:dyDescent="0.25">
      <c r="A6800">
        <f ca="1">31743.1669055115*((RANDBETWEEN(2979,3282)))</f>
        <v>100149691.58688892</v>
      </c>
      <c r="B6800">
        <v>198948145.3025274</v>
      </c>
    </row>
    <row r="6801" spans="1:2" x14ac:dyDescent="0.25">
      <c r="A6801">
        <f ca="1">32736.6647808016*((RANDBETWEEN(2979,3282)))</f>
        <v>98766517.643678427</v>
      </c>
      <c r="B6801">
        <v>186298192.25186652</v>
      </c>
    </row>
    <row r="6802" spans="1:2" x14ac:dyDescent="0.25">
      <c r="A6802">
        <f ca="1">28019.074388432*((RANDBETWEEN(2979,3282)))</f>
        <v>91286144.357511461</v>
      </c>
      <c r="B6802">
        <v>191888419.8147406</v>
      </c>
    </row>
    <row r="6803" spans="1:2" x14ac:dyDescent="0.25">
      <c r="A6803">
        <f ca="1">37794.1405956428*((RANDBETWEEN(2979,3282)))</f>
        <v>113835951.47407605</v>
      </c>
      <c r="B6803">
        <v>187401675.90923297</v>
      </c>
    </row>
    <row r="6804" spans="1:2" x14ac:dyDescent="0.25">
      <c r="A6804">
        <f ca="1">34140.1978603286*((RANDBETWEEN(2979,3282)))</f>
        <v>108087866.42580041</v>
      </c>
      <c r="B6804">
        <v>146355297.4078114</v>
      </c>
    </row>
    <row r="6805" spans="1:2" x14ac:dyDescent="0.25">
      <c r="A6805">
        <f ca="1">38349.3537376524*((RANDBETWEEN(2979,3282)))</f>
        <v>115968445.70266093</v>
      </c>
      <c r="B6805">
        <v>194655034.76701772</v>
      </c>
    </row>
    <row r="6806" spans="1:2" x14ac:dyDescent="0.25">
      <c r="A6806">
        <f ca="1">33246.1593459365*((RANDBETWEEN(2979,3282)))</f>
        <v>107152371.5719533</v>
      </c>
      <c r="B6806">
        <v>199320403.49578348</v>
      </c>
    </row>
    <row r="6807" spans="1:2" x14ac:dyDescent="0.25">
      <c r="A6807">
        <f ca="1">29980.8884195936*((RANDBETWEEN(2979,3282)))</f>
        <v>95399186.95114696</v>
      </c>
      <c r="B6807">
        <v>163225741.84946337</v>
      </c>
    </row>
    <row r="6808" spans="1:2" x14ac:dyDescent="0.25">
      <c r="A6808">
        <f ca="1">38751.2909435481*((RANDBETWEEN(2979,3282)))</f>
        <v>117028898.64951532</v>
      </c>
      <c r="B6808">
        <v>168188294.53643262</v>
      </c>
    </row>
    <row r="6809" spans="1:2" x14ac:dyDescent="0.25">
      <c r="A6809">
        <f ca="1">31697.4572290885*((RANDBETWEEN(2979,3282)))</f>
        <v>103904264.79695204</v>
      </c>
      <c r="B6809">
        <v>146700268.16317815</v>
      </c>
    </row>
    <row r="6810" spans="1:2" x14ac:dyDescent="0.25">
      <c r="A6810">
        <f ca="1">28083.5728418566*((RANDBETWEEN(2979,3282)))</f>
        <v>87199493.673964888</v>
      </c>
      <c r="B6810">
        <v>151441160.932017</v>
      </c>
    </row>
    <row r="6811" spans="1:2" x14ac:dyDescent="0.25">
      <c r="A6811">
        <f ca="1">29550.1820171599*((RANDBETWEEN(2979,3282)))</f>
        <v>89182449.327788576</v>
      </c>
      <c r="B6811">
        <v>168802463.02492082</v>
      </c>
    </row>
    <row r="6812" spans="1:2" x14ac:dyDescent="0.25">
      <c r="A6812">
        <f ca="1">32972.3825340645*((RANDBETWEEN(2979,3282)))</f>
        <v>104555425.01551843</v>
      </c>
      <c r="B6812">
        <v>166353621.41464588</v>
      </c>
    </row>
    <row r="6813" spans="1:2" x14ac:dyDescent="0.25">
      <c r="A6813">
        <f ca="1">31067.0351236967*((RANDBETWEEN(2979,3282)))</f>
        <v>93760312.003316641</v>
      </c>
      <c r="B6813">
        <v>147207046.40155268</v>
      </c>
    </row>
    <row r="6814" spans="1:2" x14ac:dyDescent="0.25">
      <c r="A6814">
        <f ca="1">41903.4036108642*((RANDBETWEEN(2979,3282)))</f>
        <v>131786204.35616776</v>
      </c>
      <c r="B6814">
        <v>154589157.05242789</v>
      </c>
    </row>
    <row r="6815" spans="1:2" x14ac:dyDescent="0.25">
      <c r="A6815">
        <f ca="1">41756.5818492466*((RANDBETWEEN(2979,3282)))</f>
        <v>135124298.86416185</v>
      </c>
      <c r="B6815">
        <v>201606141.63754606</v>
      </c>
    </row>
    <row r="6816" spans="1:2" x14ac:dyDescent="0.25">
      <c r="A6816">
        <f ca="1">30979.1685265841*((RANDBETWEEN(2979,3282)))</f>
        <v>98451797.577484414</v>
      </c>
      <c r="B6816">
        <v>155427518.12370458</v>
      </c>
    </row>
    <row r="6817" spans="1:2" x14ac:dyDescent="0.25">
      <c r="A6817">
        <f ca="1">35254.7909628104*((RANDBETWEEN(2979,3282)))</f>
        <v>105270805.81495193</v>
      </c>
      <c r="B6817">
        <v>202211312.80566064</v>
      </c>
    </row>
    <row r="6818" spans="1:2" x14ac:dyDescent="0.25">
      <c r="A6818">
        <f ca="1">34175.2893947497*((RANDBETWEEN(2979,3282)))</f>
        <v>109087523.74804093</v>
      </c>
      <c r="B6818">
        <v>171758538.01842624</v>
      </c>
    </row>
    <row r="6819" spans="1:2" x14ac:dyDescent="0.25">
      <c r="A6819">
        <f ca="1">38234.1791775434*((RANDBETWEEN(2979,3282)))</f>
        <v>114090790.66578962</v>
      </c>
      <c r="B6819">
        <v>171315766.58014297</v>
      </c>
    </row>
    <row r="6820" spans="1:2" x14ac:dyDescent="0.25">
      <c r="A6820">
        <f ca="1">31815.9591320002*((RANDBETWEEN(2979,3282)))</f>
        <v>102129228.81372055</v>
      </c>
      <c r="B6820">
        <v>150025255.77960429</v>
      </c>
    </row>
    <row r="6821" spans="1:2" x14ac:dyDescent="0.25">
      <c r="A6821">
        <f ca="1">33990.1512447375*((RANDBETWEEN(2979,3282)))</f>
        <v>105913311.27860202</v>
      </c>
      <c r="B6821">
        <v>155269531.43424815</v>
      </c>
    </row>
    <row r="6822" spans="1:2" x14ac:dyDescent="0.25">
      <c r="A6822">
        <f ca="1">28562.0850383014*((RANDBETWEEN(2979,3282)))</f>
        <v>93712201.010666817</v>
      </c>
      <c r="B6822">
        <v>148333414.70090359</v>
      </c>
    </row>
    <row r="6823" spans="1:2" x14ac:dyDescent="0.25">
      <c r="A6823">
        <f ca="1">30342.7908668438*((RANDBETWEEN(2979,3282)))</f>
        <v>94699850.295419514</v>
      </c>
      <c r="B6823">
        <v>199930978.4750973</v>
      </c>
    </row>
    <row r="6824" spans="1:2" x14ac:dyDescent="0.25">
      <c r="A6824">
        <f ca="1">31072.5184012941*((RANDBETWEEN(2979,3282)))</f>
        <v>97288055.114451915</v>
      </c>
      <c r="B6824">
        <v>146763263.83100846</v>
      </c>
    </row>
    <row r="6825" spans="1:2" x14ac:dyDescent="0.25">
      <c r="A6825">
        <f ca="1">37769.3573063956*((RANDBETWEEN(2979,3282)))</f>
        <v>117311623.79366472</v>
      </c>
      <c r="B6825">
        <v>183083369.2319662</v>
      </c>
    </row>
    <row r="6826" spans="1:2" x14ac:dyDescent="0.25">
      <c r="A6826">
        <f ca="1">29439.831422248*((RANDBETWEEN(2979,3282)))</f>
        <v>89585407.017900616</v>
      </c>
      <c r="B6826">
        <v>144621406.09535712</v>
      </c>
    </row>
    <row r="6827" spans="1:2" x14ac:dyDescent="0.25">
      <c r="A6827">
        <f ca="1">39199.918629828*((RANDBETWEEN(2979,3282)))</f>
        <v>117599755.88948409</v>
      </c>
      <c r="B6827">
        <v>151015903.28840286</v>
      </c>
    </row>
    <row r="6828" spans="1:2" x14ac:dyDescent="0.25">
      <c r="A6828">
        <f ca="1">30340.836336361*((RANDBETWEEN(2979,3282)))</f>
        <v>97940219.693773225</v>
      </c>
      <c r="B6828">
        <v>174974980.62757641</v>
      </c>
    </row>
    <row r="6829" spans="1:2" x14ac:dyDescent="0.25">
      <c r="A6829">
        <f ca="1">38546.2806306876*((RANDBETWEEN(2979,3282)))</f>
        <v>123772107.10513777</v>
      </c>
      <c r="B6829">
        <v>194640931.77430132</v>
      </c>
    </row>
    <row r="6830" spans="1:2" x14ac:dyDescent="0.25">
      <c r="A6830">
        <f ca="1">31167.6706632881*((RANDBETWEEN(2979,3282)))</f>
        <v>94438042.109762833</v>
      </c>
      <c r="B6830">
        <v>172326207.39372706</v>
      </c>
    </row>
    <row r="6831" spans="1:2" x14ac:dyDescent="0.25">
      <c r="A6831">
        <f ca="1">31116.2632307321*((RANDBETWEEN(2979,3282)))</f>
        <v>96335950.962346733</v>
      </c>
      <c r="B6831">
        <v>151183567.25989538</v>
      </c>
    </row>
    <row r="6832" spans="1:2" x14ac:dyDescent="0.25">
      <c r="A6832">
        <f ca="1">27822.9348674044*((RANDBETWEEN(2979,3282)))</f>
        <v>90647121.79800339</v>
      </c>
      <c r="B6832">
        <v>148204519.9215619</v>
      </c>
    </row>
    <row r="6833" spans="1:2" x14ac:dyDescent="0.25">
      <c r="A6833">
        <f ca="1">32122.4195335734*((RANDBETWEEN(2979,3282)))</f>
        <v>99033419.422006696</v>
      </c>
      <c r="B6833">
        <v>184182711.69224757</v>
      </c>
    </row>
    <row r="6834" spans="1:2" x14ac:dyDescent="0.25">
      <c r="A6834">
        <f ca="1">31276.3069027029*((RANDBETWEEN(2979,3282)))</f>
        <v>102054589.42351961</v>
      </c>
      <c r="B6834">
        <v>198031985.90121478</v>
      </c>
    </row>
    <row r="6835" spans="1:2" x14ac:dyDescent="0.25">
      <c r="A6835">
        <f ca="1">39871.1877899312*((RANDBETWEEN(2979,3282)))</f>
        <v>121527380.38371035</v>
      </c>
      <c r="B6835">
        <v>163028730.33938009</v>
      </c>
    </row>
    <row r="6836" spans="1:2" x14ac:dyDescent="0.25">
      <c r="A6836">
        <f ca="1">31625.7827522173*((RANDBETWEEN(2979,3282)))</f>
        <v>101392259.50360864</v>
      </c>
      <c r="B6836">
        <v>146561308.37315193</v>
      </c>
    </row>
    <row r="6837" spans="1:2" x14ac:dyDescent="0.25">
      <c r="A6837">
        <f ca="1">34663.9019809781*((RANDBETWEEN(2979,3282)))</f>
        <v>111652428.28073035</v>
      </c>
      <c r="B6837">
        <v>181925976.33690479</v>
      </c>
    </row>
    <row r="6838" spans="1:2" x14ac:dyDescent="0.25">
      <c r="A6838">
        <f ca="1">34354.4537387548*((RANDBETWEEN(2979,3282)))</f>
        <v>109453289.61167279</v>
      </c>
      <c r="B6838">
        <v>160883727.74996567</v>
      </c>
    </row>
    <row r="6839" spans="1:2" x14ac:dyDescent="0.25">
      <c r="A6839">
        <f ca="1">37648.5635816256*((RANDBETWEEN(2979,3282)))</f>
        <v>123336694.29340547</v>
      </c>
      <c r="B6839">
        <v>191761643.6437602</v>
      </c>
    </row>
    <row r="6840" spans="1:2" x14ac:dyDescent="0.25">
      <c r="A6840">
        <f ca="1">33009.5406020796*((RANDBETWEEN(2979,3282)))</f>
        <v>103980052.8965507</v>
      </c>
      <c r="B6840">
        <v>157352663.55022869</v>
      </c>
    </row>
    <row r="6841" spans="1:2" x14ac:dyDescent="0.25">
      <c r="A6841">
        <f ca="1">28617.0164337652*((RANDBETWEEN(2979,3282)))</f>
        <v>90057750.717058957</v>
      </c>
      <c r="B6841">
        <v>158195567.48657191</v>
      </c>
    </row>
    <row r="6842" spans="1:2" x14ac:dyDescent="0.25">
      <c r="A6842">
        <f ca="1">32557.2323011924*((RANDBETWEEN(2979,3282)))</f>
        <v>105908676.675779</v>
      </c>
      <c r="B6842">
        <v>177765284.77680305</v>
      </c>
    </row>
    <row r="6843" spans="1:2" x14ac:dyDescent="0.25">
      <c r="A6843">
        <f ca="1">39554.852306107*((RANDBETWEEN(2979,3282)))</f>
        <v>125032888.13960432</v>
      </c>
      <c r="B6843">
        <v>154215815.93481347</v>
      </c>
    </row>
    <row r="6844" spans="1:2" x14ac:dyDescent="0.25">
      <c r="A6844">
        <f ca="1">32411.7227286404*((RANDBETWEEN(2979,3282)))</f>
        <v>100152223.23149881</v>
      </c>
      <c r="B6844">
        <v>183489032.26398891</v>
      </c>
    </row>
    <row r="6845" spans="1:2" x14ac:dyDescent="0.25">
      <c r="A6845">
        <f ca="1">39214.6803470388*((RANDBETWEEN(2979,3282)))</f>
        <v>124349751.38046002</v>
      </c>
      <c r="B6845">
        <v>160477141.4747389</v>
      </c>
    </row>
    <row r="6846" spans="1:2" x14ac:dyDescent="0.25">
      <c r="A6846">
        <f ca="1">30509.4185448035*((RANDBETWEEN(2979,3282)))</f>
        <v>92413028.772209868</v>
      </c>
      <c r="B6846">
        <v>165994389.10701907</v>
      </c>
    </row>
    <row r="6847" spans="1:2" x14ac:dyDescent="0.25">
      <c r="A6847">
        <f ca="1">31501.070515058*((RANDBETWEEN(2979,3282)))</f>
        <v>99354376.404493034</v>
      </c>
      <c r="B6847">
        <v>150802448.73966819</v>
      </c>
    </row>
    <row r="6848" spans="1:2" x14ac:dyDescent="0.25">
      <c r="A6848">
        <f ca="1">30480.8041929579*((RANDBETWEEN(2979,3282)))</f>
        <v>96959438.137799084</v>
      </c>
      <c r="B6848">
        <v>153115220.1998266</v>
      </c>
    </row>
    <row r="6849" spans="1:2" x14ac:dyDescent="0.25">
      <c r="A6849">
        <f ca="1">33304.784912642*((RANDBETWEEN(2979,3282)))</f>
        <v>102312299.25163618</v>
      </c>
      <c r="B6849">
        <v>162232944.13826728</v>
      </c>
    </row>
    <row r="6850" spans="1:2" x14ac:dyDescent="0.25">
      <c r="A6850">
        <f ca="1">29575.1612563658*((RANDBETWEEN(2979,3282)))</f>
        <v>90056366.025633901</v>
      </c>
      <c r="B6850">
        <v>166721659.16344714</v>
      </c>
    </row>
    <row r="6851" spans="1:2" x14ac:dyDescent="0.25">
      <c r="A6851">
        <f ca="1">37046.9444605124*((RANDBETWEEN(2979,3282)))</f>
        <v>112659758.10441819</v>
      </c>
      <c r="B6851">
        <v>172005465.58419609</v>
      </c>
    </row>
    <row r="6852" spans="1:2" x14ac:dyDescent="0.25">
      <c r="A6852">
        <f ca="1">34404.2486540631*((RANDBETWEEN(2979,3282)))</f>
        <v>112398680.35282403</v>
      </c>
      <c r="B6852">
        <v>155535469.45210856</v>
      </c>
    </row>
    <row r="6853" spans="1:2" x14ac:dyDescent="0.25">
      <c r="A6853">
        <f ca="1">35445.7126764726*((RANDBETWEEN(2979,3282)))</f>
        <v>108534772.21535896</v>
      </c>
      <c r="B6853">
        <v>177391309.31109744</v>
      </c>
    </row>
    <row r="6854" spans="1:2" x14ac:dyDescent="0.25">
      <c r="A6854">
        <f ca="1">28898.9793798023*((RANDBETWEEN(2979,3282)))</f>
        <v>92129946.262809709</v>
      </c>
      <c r="B6854">
        <v>152804031.20214599</v>
      </c>
    </row>
    <row r="6855" spans="1:2" x14ac:dyDescent="0.25">
      <c r="A6855">
        <f ca="1">33010.2569556573*((RANDBETWEEN(2979,3282)))</f>
        <v>100450211.91606528</v>
      </c>
      <c r="B6855">
        <v>151675142.81566346</v>
      </c>
    </row>
    <row r="6856" spans="1:2" x14ac:dyDescent="0.25">
      <c r="A6856">
        <f ca="1">30407.8069595481*((RANDBETWEEN(2979,3282)))</f>
        <v>95936630.957374156</v>
      </c>
      <c r="B6856">
        <v>193713521.51042679</v>
      </c>
    </row>
    <row r="6857" spans="1:2" x14ac:dyDescent="0.25">
      <c r="A6857">
        <f ca="1">32801.8175041877*((RANDBETWEEN(2979,3282)))</f>
        <v>101456021.54045261</v>
      </c>
      <c r="B6857">
        <v>185148482.47721475</v>
      </c>
    </row>
    <row r="6858" spans="1:2" x14ac:dyDescent="0.25">
      <c r="A6858">
        <f ca="1">31055.3273072273*((RANDBETWEEN(2979,3282)))</f>
        <v>96923676.525856435</v>
      </c>
      <c r="B6858">
        <v>162866256.0805583</v>
      </c>
    </row>
    <row r="6859" spans="1:2" x14ac:dyDescent="0.25">
      <c r="A6859">
        <f ca="1">32485.5119226676*((RANDBETWEEN(2979,3282)))</f>
        <v>97586477.815693513</v>
      </c>
      <c r="B6859">
        <v>151014592.21948388</v>
      </c>
    </row>
    <row r="6860" spans="1:2" x14ac:dyDescent="0.25">
      <c r="A6860">
        <f ca="1">35690.7075411978*((RANDBETWEEN(2979,3282)))</f>
        <v>111426388.94361959</v>
      </c>
      <c r="B6860">
        <v>171726110.39064667</v>
      </c>
    </row>
    <row r="6861" spans="1:2" x14ac:dyDescent="0.25">
      <c r="A6861">
        <f ca="1">35469.9230748571*((RANDBETWEEN(2979,3282)))</f>
        <v>106303359.45534666</v>
      </c>
      <c r="B6861">
        <v>162733906.72802329</v>
      </c>
    </row>
    <row r="6862" spans="1:2" x14ac:dyDescent="0.25">
      <c r="A6862">
        <f ca="1">38666.7780418105*((RANDBETWEEN(2979,3282)))</f>
        <v>116735002.90822576</v>
      </c>
      <c r="B6862">
        <v>151493488.2797536</v>
      </c>
    </row>
    <row r="6863" spans="1:2" x14ac:dyDescent="0.25">
      <c r="A6863">
        <f ca="1">36593.6843115845*((RANDBETWEEN(2979,3282)))</f>
        <v>110183583.46218099</v>
      </c>
      <c r="B6863">
        <v>157837726.60987774</v>
      </c>
    </row>
    <row r="6864" spans="1:2" x14ac:dyDescent="0.25">
      <c r="A6864">
        <f ca="1">30130.3046591539*((RANDBETWEEN(2979,3282)))</f>
        <v>93644986.880650267</v>
      </c>
      <c r="B6864">
        <v>181464696.94553441</v>
      </c>
    </row>
    <row r="6865" spans="1:2" x14ac:dyDescent="0.25">
      <c r="A6865">
        <f ca="1">30915.66080113*((RANDBETWEEN(2979,3282)))</f>
        <v>96456861.699525729</v>
      </c>
      <c r="B6865">
        <v>153691657.83585733</v>
      </c>
    </row>
    <row r="6866" spans="1:2" x14ac:dyDescent="0.25">
      <c r="A6866">
        <f ca="1">30125.824367448*((RANDBETWEEN(2979,3282)))</f>
        <v>90708857.170385823</v>
      </c>
      <c r="B6866">
        <v>175377188.36267066</v>
      </c>
    </row>
    <row r="6867" spans="1:2" x14ac:dyDescent="0.25">
      <c r="A6867">
        <f ca="1">31176.6944929795*((RANDBETWEEN(2979,3282)))</f>
        <v>95400685.148517415</v>
      </c>
      <c r="B6867">
        <v>165889067.00572008</v>
      </c>
    </row>
    <row r="6868" spans="1:2" x14ac:dyDescent="0.25">
      <c r="A6868">
        <f ca="1">33759.1505837912*((RANDBETWEEN(2979,3282)))</f>
        <v>105261031.520261</v>
      </c>
      <c r="B6868">
        <v>162051812.68159783</v>
      </c>
    </row>
    <row r="6869" spans="1:2" x14ac:dyDescent="0.25">
      <c r="A6869">
        <f ca="1">32249.3497018973*((RANDBETWEEN(2979,3282)))</f>
        <v>103520412.5430903</v>
      </c>
      <c r="B6869">
        <v>200210574.08401284</v>
      </c>
    </row>
    <row r="6870" spans="1:2" x14ac:dyDescent="0.25">
      <c r="A6870">
        <f ca="1">29944.373923039*((RANDBETWEEN(2979,3282)))</f>
        <v>95851940.927647948</v>
      </c>
      <c r="B6870">
        <v>179955390.71677369</v>
      </c>
    </row>
    <row r="6871" spans="1:2" x14ac:dyDescent="0.25">
      <c r="A6871">
        <f ca="1">31752.9420114457*((RANDBETWEEN(2979,3282)))</f>
        <v>101799932.08869492</v>
      </c>
      <c r="B6871">
        <v>163592345.23319769</v>
      </c>
    </row>
    <row r="6872" spans="1:2" x14ac:dyDescent="0.25">
      <c r="A6872">
        <f ca="1">37976.0921111355*((RANDBETWEEN(2979,3282)))</f>
        <v>124333725.57185756</v>
      </c>
      <c r="B6872">
        <v>200182620.54544574</v>
      </c>
    </row>
    <row r="6873" spans="1:2" x14ac:dyDescent="0.25">
      <c r="A6873">
        <f ca="1">30748.3520204834*((RANDBETWEEN(2979,3282)))</f>
        <v>98640713.281710789</v>
      </c>
      <c r="B6873">
        <v>153989726.49058625</v>
      </c>
    </row>
    <row r="6874" spans="1:2" x14ac:dyDescent="0.25">
      <c r="A6874">
        <f ca="1">29672.6258276676*((RANDBETWEEN(2979,3282)))</f>
        <v>91688413.807492986</v>
      </c>
      <c r="B6874">
        <v>155247316.16041681</v>
      </c>
    </row>
    <row r="6875" spans="1:2" x14ac:dyDescent="0.25">
      <c r="A6875">
        <f ca="1">30315.4604775774*((RANDBETWEEN(2979,3282)))</f>
        <v>98009883.724007681</v>
      </c>
      <c r="B6875">
        <v>186323152.34345311</v>
      </c>
    </row>
    <row r="6876" spans="1:2" x14ac:dyDescent="0.25">
      <c r="A6876">
        <f ca="1">30861.8454483728*((RANDBETWEEN(2979,3282)))</f>
        <v>95517411.662713841</v>
      </c>
      <c r="B6876">
        <v>198678412.81461856</v>
      </c>
    </row>
    <row r="6877" spans="1:2" x14ac:dyDescent="0.25">
      <c r="A6877">
        <f ca="1">28046.6980077076*((RANDBETWEEN(2979,3282)))</f>
        <v>85065635.057377279</v>
      </c>
      <c r="B6877">
        <v>167051081.57950172</v>
      </c>
    </row>
    <row r="6878" spans="1:2" x14ac:dyDescent="0.25">
      <c r="A6878">
        <f ca="1">32813.2998886275*((RANDBETWEEN(2979,3282)))</f>
        <v>106085398.53993283</v>
      </c>
      <c r="B6878">
        <v>181286809.2976748</v>
      </c>
    </row>
    <row r="6879" spans="1:2" x14ac:dyDescent="0.25">
      <c r="A6879">
        <f ca="1">30051.6823994247*((RANDBETWEEN(2979,3282)))</f>
        <v>91988199.824639022</v>
      </c>
      <c r="B6879">
        <v>179323832.56846967</v>
      </c>
    </row>
    <row r="6880" spans="1:2" x14ac:dyDescent="0.25">
      <c r="A6880">
        <f ca="1">32402.7097891621*((RANDBETWEEN(2979,3282)))</f>
        <v>97143323.947908118</v>
      </c>
      <c r="B6880">
        <v>199611574.65903062</v>
      </c>
    </row>
    <row r="6881" spans="1:2" x14ac:dyDescent="0.25">
      <c r="A6881">
        <f ca="1">34225.8650774334*((RANDBETWEEN(2979,3282)))</f>
        <v>109967704.49379347</v>
      </c>
      <c r="B6881">
        <v>203363705.96739271</v>
      </c>
    </row>
    <row r="6882" spans="1:2" x14ac:dyDescent="0.25">
      <c r="A6882">
        <f ca="1">32654.346205934*((RANDBETWEEN(2979,3282)))</f>
        <v>101783597.12389643</v>
      </c>
      <c r="B6882">
        <v>200031525.97781202</v>
      </c>
    </row>
    <row r="6883" spans="1:2" x14ac:dyDescent="0.25">
      <c r="A6883">
        <f ca="1">27438.4595279951*((RANDBETWEEN(2979,3282)))</f>
        <v>88845731.951648176</v>
      </c>
      <c r="B6883">
        <v>170548373.9937433</v>
      </c>
    </row>
    <row r="6884" spans="1:2" x14ac:dyDescent="0.25">
      <c r="A6884">
        <f ca="1">34244.1412350566*((RANDBETWEEN(2979,3282)))</f>
        <v>109341542.9635358</v>
      </c>
      <c r="B6884">
        <v>181279771.52962312</v>
      </c>
    </row>
    <row r="6885" spans="1:2" x14ac:dyDescent="0.25">
      <c r="A6885">
        <f ca="1">33572.6848982867*((RANDBETWEEN(2979,3282)))</f>
        <v>106929001.40104321</v>
      </c>
      <c r="B6885">
        <v>172166886.13215289</v>
      </c>
    </row>
    <row r="6886" spans="1:2" x14ac:dyDescent="0.25">
      <c r="A6886">
        <f ca="1">28555.866122419*((RANDBETWEEN(2979,3282)))</f>
        <v>86724165.413786516</v>
      </c>
      <c r="B6886">
        <v>147331019.68116888</v>
      </c>
    </row>
    <row r="6887" spans="1:2" x14ac:dyDescent="0.25">
      <c r="A6887">
        <f ca="1">38904.1307087691*((RANDBETWEEN(2979,3282)))</f>
        <v>126671849.58775227</v>
      </c>
      <c r="B6887">
        <v>196337794.39485204</v>
      </c>
    </row>
    <row r="6888" spans="1:2" x14ac:dyDescent="0.25">
      <c r="A6888">
        <f ca="1">30549.055843522*((RANDBETWEEN(2979,3282)))</f>
        <v>99345529.60313347</v>
      </c>
      <c r="B6888">
        <v>159103639.65107635</v>
      </c>
    </row>
    <row r="6889" spans="1:2" x14ac:dyDescent="0.25">
      <c r="A6889">
        <f ca="1">31087.2882978142*((RANDBETWEEN(2979,3282)))</f>
        <v>97924958.13811481</v>
      </c>
      <c r="B6889">
        <v>150312858.61644718</v>
      </c>
    </row>
    <row r="6890" spans="1:2" x14ac:dyDescent="0.25">
      <c r="A6890">
        <f ca="1">32362.877575368*((RANDBETWEEN(2979,3282)))</f>
        <v>104402643.05813709</v>
      </c>
      <c r="B6890">
        <v>152660491.18845537</v>
      </c>
    </row>
    <row r="6891" spans="1:2" x14ac:dyDescent="0.25">
      <c r="A6891">
        <f ca="1">34919.4168261646*((RANDBETWEEN(2979,3282)))</f>
        <v>113383346.43455654</v>
      </c>
      <c r="B6891">
        <v>166752761.32996237</v>
      </c>
    </row>
    <row r="6892" spans="1:2" x14ac:dyDescent="0.25">
      <c r="A6892">
        <f ca="1">29973.4467752918*((RANDBETWEEN(2979,3282)))</f>
        <v>90759596.835583538</v>
      </c>
      <c r="B6892">
        <v>146625668.49257183</v>
      </c>
    </row>
    <row r="6893" spans="1:2" x14ac:dyDescent="0.25">
      <c r="A6893">
        <f ca="1">41413.6461933874*((RANDBETWEEN(2979,3282)))</f>
        <v>133062045.21935369</v>
      </c>
      <c r="B6893">
        <v>197219891.22264957</v>
      </c>
    </row>
    <row r="6894" spans="1:2" x14ac:dyDescent="0.25">
      <c r="A6894">
        <f ca="1">31392.7610787273*((RANDBETWEEN(2979,3282)))</f>
        <v>95716528.529039517</v>
      </c>
      <c r="B6894">
        <v>159428075.94265857</v>
      </c>
    </row>
    <row r="6895" spans="1:2" x14ac:dyDescent="0.25">
      <c r="A6895">
        <f ca="1">27732.5101546613*((RANDBETWEEN(2979,3282)))</f>
        <v>87995254.720740393</v>
      </c>
      <c r="B6895">
        <v>160300070.08859995</v>
      </c>
    </row>
    <row r="6896" spans="1:2" x14ac:dyDescent="0.25">
      <c r="A6896">
        <f ca="1">31908.4969133671*((RANDBETWEEN(2979,3282)))</f>
        <v>103383529.99930938</v>
      </c>
      <c r="B6896">
        <v>147114671.18785167</v>
      </c>
    </row>
    <row r="6897" spans="1:2" x14ac:dyDescent="0.25">
      <c r="A6897">
        <f ca="1">39394.6766134168*((RANDBETWEEN(2979,3282)))</f>
        <v>121808340.08868472</v>
      </c>
      <c r="B6897">
        <v>155003986.23429772</v>
      </c>
    </row>
    <row r="6898" spans="1:2" x14ac:dyDescent="0.25">
      <c r="A6898">
        <f ca="1">27908.5161203441*((RANDBETWEEN(2979,3282)))</f>
        <v>89977055.971989438</v>
      </c>
      <c r="B6898">
        <v>151184216.6196115</v>
      </c>
    </row>
    <row r="6899" spans="1:2" x14ac:dyDescent="0.25">
      <c r="A6899">
        <f ca="1">28744.9398186164*((RANDBETWEEN(2979,3282)))</f>
        <v>93334819.591047496</v>
      </c>
      <c r="B6899">
        <v>153410691.7520293</v>
      </c>
    </row>
    <row r="6900" spans="1:2" x14ac:dyDescent="0.25">
      <c r="A6900">
        <f ca="1">42253.2599800749*((RANDBETWEEN(2979,3282)))</f>
        <v>134745646.07645872</v>
      </c>
      <c r="B6900">
        <v>186839477.58063239</v>
      </c>
    </row>
    <row r="6901" spans="1:2" x14ac:dyDescent="0.25">
      <c r="A6901">
        <f ca="1">30823.9426773347*((RANDBETWEEN(2979,3282)))</f>
        <v>95061039.216900155</v>
      </c>
      <c r="B6901">
        <v>149517432.78090969</v>
      </c>
    </row>
    <row r="6902" spans="1:2" x14ac:dyDescent="0.25">
      <c r="A6902">
        <f ca="1">31955.295713866*((RANDBETWEEN(2979,3282)))</f>
        <v>104142308.73148933</v>
      </c>
      <c r="B6902">
        <v>154802411.09537646</v>
      </c>
    </row>
    <row r="6903" spans="1:2" x14ac:dyDescent="0.25">
      <c r="A6903">
        <f ca="1">38756.2269276348*((RANDBETWEEN(2979,3282)))</f>
        <v>120144303.47566788</v>
      </c>
      <c r="B6903">
        <v>154226394.27833244</v>
      </c>
    </row>
    <row r="6904" spans="1:2" x14ac:dyDescent="0.25">
      <c r="A6904">
        <f ca="1">30917.0337320498*((RANDBETWEEN(2979,3282)))</f>
        <v>95533634.232033893</v>
      </c>
      <c r="B6904">
        <v>154854263.13740864</v>
      </c>
    </row>
    <row r="6905" spans="1:2" x14ac:dyDescent="0.25">
      <c r="A6905">
        <f ca="1">33632.2673016295*((RANDBETWEEN(2979,3282)))</f>
        <v>109876617.27442342</v>
      </c>
      <c r="B6905">
        <v>201167317.1418381</v>
      </c>
    </row>
    <row r="6906" spans="1:2" x14ac:dyDescent="0.25">
      <c r="A6906">
        <f ca="1">31062.9410966889*((RANDBETWEEN(2979,3282)))</f>
        <v>97289131.514829755</v>
      </c>
      <c r="B6906">
        <v>172843998.67771682</v>
      </c>
    </row>
    <row r="6907" spans="1:2" x14ac:dyDescent="0.25">
      <c r="A6907">
        <f ca="1">30856.282463293*((RANDBETWEEN(2979,3282)))</f>
        <v>95068206.269405603</v>
      </c>
      <c r="B6907">
        <v>146631332.70520574</v>
      </c>
    </row>
    <row r="6908" spans="1:2" x14ac:dyDescent="0.25">
      <c r="A6908">
        <f ca="1">30482.5922192952*((RANDBETWEEN(2979,3282)))</f>
        <v>97879603.616156772</v>
      </c>
      <c r="B6908">
        <v>145872393.50561827</v>
      </c>
    </row>
    <row r="6909" spans="1:2" x14ac:dyDescent="0.25">
      <c r="A6909">
        <f ca="1">32447.4593964844*((RANDBETWEEN(2979,3282)))</f>
        <v>104870188.7694377</v>
      </c>
      <c r="B6909">
        <v>158256600.25603086</v>
      </c>
    </row>
    <row r="6910" spans="1:2" x14ac:dyDescent="0.25">
      <c r="A6910">
        <f ca="1">29484.977770677*((RANDBETWEEN(2979,3282)))</f>
        <v>91373946.111328036</v>
      </c>
      <c r="B6910">
        <v>193262528.86806971</v>
      </c>
    </row>
    <row r="6911" spans="1:2" x14ac:dyDescent="0.25">
      <c r="A6911">
        <f ca="1">37090.0380622428*((RANDBETWEEN(2979,3282)))</f>
        <v>113829326.8130233</v>
      </c>
      <c r="B6911">
        <v>166354128.94523692</v>
      </c>
    </row>
    <row r="6912" spans="1:2" x14ac:dyDescent="0.25">
      <c r="A6912">
        <f ca="1">30467.0624470582*((RANDBETWEEN(2979,3282)))</f>
        <v>99779629.514115483</v>
      </c>
      <c r="B6912">
        <v>179786936.92563516</v>
      </c>
    </row>
    <row r="6913" spans="1:2" x14ac:dyDescent="0.25">
      <c r="A6913">
        <f ca="1">39258.7119715413*((RANDBETWEEN(2979,3282)))</f>
        <v>118011688.18645325</v>
      </c>
      <c r="B6913">
        <v>184196106.90299594</v>
      </c>
    </row>
    <row r="6914" spans="1:2" x14ac:dyDescent="0.25">
      <c r="A6914">
        <f ca="1">37265.5709932104*((RANDBETWEEN(2979,3282)))</f>
        <v>119883341.8851579</v>
      </c>
      <c r="B6914">
        <v>144278254.79902995</v>
      </c>
    </row>
    <row r="6915" spans="1:2" x14ac:dyDescent="0.25">
      <c r="A6915">
        <f ca="1">30962.7532477869*((RANDBETWEEN(2979,3282)))</f>
        <v>96727641.146086156</v>
      </c>
      <c r="B6915">
        <v>148216680.00404093</v>
      </c>
    </row>
    <row r="6916" spans="1:2" x14ac:dyDescent="0.25">
      <c r="A6916">
        <f ca="1">30401.4448223636*((RANDBETWEEN(2979,3282)))</f>
        <v>94274880.394149408</v>
      </c>
      <c r="B6916">
        <v>155389797.98104972</v>
      </c>
    </row>
    <row r="6917" spans="1:2" x14ac:dyDescent="0.25">
      <c r="A6917">
        <f ca="1">37296.4717801847*((RANDBETWEEN(2979,3282)))</f>
        <v>119870860.30151354</v>
      </c>
      <c r="B6917">
        <v>159046926.35181713</v>
      </c>
    </row>
    <row r="6918" spans="1:2" x14ac:dyDescent="0.25">
      <c r="A6918">
        <f ca="1">36952.1098183144*((RANDBETWEEN(2979,3282)))</f>
        <v>119281410.49351883</v>
      </c>
      <c r="B6918">
        <v>143719543.17945337</v>
      </c>
    </row>
    <row r="6919" spans="1:2" x14ac:dyDescent="0.25">
      <c r="A6919">
        <f ca="1">32480.0905365925*((RANDBETWEEN(2979,3282)))</f>
        <v>99096756.227143675</v>
      </c>
      <c r="B6919">
        <v>188660758.654827</v>
      </c>
    </row>
    <row r="6920" spans="1:2" x14ac:dyDescent="0.25">
      <c r="A6920">
        <f ca="1">30352.8525688048*((RANDBETWEEN(2979,3282)))</f>
        <v>97614773.861276358</v>
      </c>
      <c r="B6920">
        <v>144564759.62771112</v>
      </c>
    </row>
    <row r="6921" spans="1:2" x14ac:dyDescent="0.25">
      <c r="A6921">
        <f ca="1">34451.5701083666*((RANDBETWEEN(2979,3282)))</f>
        <v>108522445.8413547</v>
      </c>
      <c r="B6921">
        <v>150910996.64441362</v>
      </c>
    </row>
    <row r="6922" spans="1:2" x14ac:dyDescent="0.25">
      <c r="A6922">
        <f ca="1">29655.528870394*((RANDBETWEEN(2979,3282)))</f>
        <v>89055553.19779329</v>
      </c>
      <c r="B6922">
        <v>154148233.07114089</v>
      </c>
    </row>
    <row r="6923" spans="1:2" x14ac:dyDescent="0.25">
      <c r="A6923">
        <f ca="1">31881.7281276325*((RANDBETWEEN(2979,3282)))</f>
        <v>96378464.129833058</v>
      </c>
      <c r="B6923">
        <v>148843797.48625946</v>
      </c>
    </row>
    <row r="6924" spans="1:2" x14ac:dyDescent="0.25">
      <c r="A6924">
        <f ca="1">34781.2955630053*((RANDBETWEEN(2979,3282)))</f>
        <v>107474203.2896865</v>
      </c>
      <c r="B6924">
        <v>152983748.09464031</v>
      </c>
    </row>
    <row r="6925" spans="1:2" x14ac:dyDescent="0.25">
      <c r="A6925">
        <f ca="1">30180.6455806488*((RANDBETWEEN(2979,3282)))</f>
        <v>96306440.047850415</v>
      </c>
      <c r="B6925">
        <v>153978028.5068956</v>
      </c>
    </row>
    <row r="6926" spans="1:2" x14ac:dyDescent="0.25">
      <c r="A6926">
        <f ca="1">38949.4105360723*((RANDBETWEEN(2979,3282)))</f>
        <v>125105506.64186427</v>
      </c>
      <c r="B6926">
        <v>149801310.89472574</v>
      </c>
    </row>
    <row r="6927" spans="1:2" x14ac:dyDescent="0.25">
      <c r="A6927">
        <f ca="1">35207.3176166576*((RANDBETWEEN(2979,3282)))</f>
        <v>105199465.0385728</v>
      </c>
      <c r="B6927">
        <v>200618208.49293545</v>
      </c>
    </row>
    <row r="6928" spans="1:2" x14ac:dyDescent="0.25">
      <c r="A6928">
        <f ca="1">39916.3660464209*((RANDBETWEEN(2979,3282)))</f>
        <v>123940316.57413702</v>
      </c>
      <c r="B6928">
        <v>199530765.08437476</v>
      </c>
    </row>
    <row r="6929" spans="1:2" x14ac:dyDescent="0.25">
      <c r="A6929">
        <f ca="1">37147.727035609*((RANDBETWEEN(2979,3282)))</f>
        <v>119578533.32762522</v>
      </c>
      <c r="B6929">
        <v>176962841.13640016</v>
      </c>
    </row>
    <row r="6930" spans="1:2" x14ac:dyDescent="0.25">
      <c r="A6930">
        <f ca="1">31311.3479111899*((RANDBETWEEN(2979,3282)))</f>
        <v>102231550.93003505</v>
      </c>
      <c r="B6930">
        <v>143986408.00677097</v>
      </c>
    </row>
    <row r="6931" spans="1:2" x14ac:dyDescent="0.25">
      <c r="A6931">
        <f ca="1">35892.2379270908*((RANDBETWEEN(2979,3282)))</f>
        <v>116470312.07340974</v>
      </c>
      <c r="B6931">
        <v>179041290.56089529</v>
      </c>
    </row>
    <row r="6932" spans="1:2" x14ac:dyDescent="0.25">
      <c r="A6932">
        <f ca="1">32676.4828473551*((RANDBETWEEN(2979,3282)))</f>
        <v>105708422.0111936</v>
      </c>
      <c r="B6932">
        <v>169654061.76113701</v>
      </c>
    </row>
    <row r="6933" spans="1:2" x14ac:dyDescent="0.25">
      <c r="A6933">
        <f ca="1">34747.8885009779*((RANDBETWEEN(2979,3282)))</f>
        <v>109212613.55857348</v>
      </c>
      <c r="B6933">
        <v>148962024.31327766</v>
      </c>
    </row>
    <row r="6934" spans="1:2" x14ac:dyDescent="0.25">
      <c r="A6934">
        <f ca="1">36934.6876646056*((RANDBETWEEN(2979,3282)))</f>
        <v>110250042.67884773</v>
      </c>
      <c r="B6934">
        <v>145177280.05597466</v>
      </c>
    </row>
    <row r="6935" spans="1:2" x14ac:dyDescent="0.25">
      <c r="A6935">
        <f ca="1">34328.7195033095*((RANDBETWEEN(2979,3282)))</f>
        <v>112426556.37333877</v>
      </c>
      <c r="B6935">
        <v>142967546.46677494</v>
      </c>
    </row>
    <row r="6936" spans="1:2" x14ac:dyDescent="0.25">
      <c r="A6936">
        <f ca="1">32664.5934927965*((RANDBETWEEN(2979,3282)))</f>
        <v>103742748.93312161</v>
      </c>
      <c r="B6936">
        <v>148761090.4042154</v>
      </c>
    </row>
    <row r="6937" spans="1:2" x14ac:dyDescent="0.25">
      <c r="A6937">
        <f ca="1">31455.9006092485*((RANDBETWEEN(2979,3282)))</f>
        <v>98614248.40999411</v>
      </c>
      <c r="B6937">
        <v>160011557.26841098</v>
      </c>
    </row>
    <row r="6938" spans="1:2" x14ac:dyDescent="0.25">
      <c r="A6938">
        <f ca="1">30326.5090763455*((RANDBETWEEN(2979,3282)))</f>
        <v>93981851.627594814</v>
      </c>
      <c r="B6938">
        <v>145969265.6796357</v>
      </c>
    </row>
    <row r="6939" spans="1:2" x14ac:dyDescent="0.25">
      <c r="A6939">
        <f ca="1">37393.1549929594*((RANDBETWEEN(2979,3282)))</f>
        <v>115395276.30827263</v>
      </c>
      <c r="B6939">
        <v>190040228.68420693</v>
      </c>
    </row>
    <row r="6940" spans="1:2" x14ac:dyDescent="0.25">
      <c r="A6940">
        <f ca="1">31102.0215868766*((RANDBETWEEN(2979,3282)))</f>
        <v>97442633.631684497</v>
      </c>
      <c r="B6940">
        <v>173240161.6511808</v>
      </c>
    </row>
    <row r="6941" spans="1:2" x14ac:dyDescent="0.25">
      <c r="A6941">
        <f ca="1">31960.6812558655*((RANDBETWEEN(2979,3282)))</f>
        <v>101379280.94360524</v>
      </c>
      <c r="B6941">
        <v>199387808.94343245</v>
      </c>
    </row>
    <row r="6942" spans="1:2" x14ac:dyDescent="0.25">
      <c r="A6942">
        <f ca="1">31996.1409218364*((RANDBETWEEN(2979,3282)))</f>
        <v>98068171.92542851</v>
      </c>
      <c r="B6942">
        <v>143225411.54765597</v>
      </c>
    </row>
    <row r="6943" spans="1:2" x14ac:dyDescent="0.25">
      <c r="A6943">
        <f ca="1">31633.5217436582*((RANDBETWEEN(2979,3282)))</f>
        <v>103378349.05827487</v>
      </c>
      <c r="B6943">
        <v>180654383.92364562</v>
      </c>
    </row>
    <row r="6944" spans="1:2" x14ac:dyDescent="0.25">
      <c r="A6944">
        <f ca="1">36759.1053400699*((RANDBETWEEN(2979,3282)))</f>
        <v>111159534.54837149</v>
      </c>
      <c r="B6944">
        <v>182287870.82947958</v>
      </c>
    </row>
    <row r="6945" spans="1:2" x14ac:dyDescent="0.25">
      <c r="A6945">
        <f ca="1">33675.7580240771*((RANDBETWEEN(2979,3282)))</f>
        <v>105842907.46967435</v>
      </c>
      <c r="B6945">
        <v>186259408.36765802</v>
      </c>
    </row>
    <row r="6946" spans="1:2" x14ac:dyDescent="0.25">
      <c r="A6946">
        <f ca="1">31273.2132050474*((RANDBETWEEN(2979,3282)))</f>
        <v>97916430.545003325</v>
      </c>
      <c r="B6946">
        <v>174915888.60398582</v>
      </c>
    </row>
    <row r="6947" spans="1:2" x14ac:dyDescent="0.25">
      <c r="A6947">
        <f ca="1">32169.5202063664*((RANDBETWEEN(2979,3282)))</f>
        <v>99146461.276021332</v>
      </c>
      <c r="B6947">
        <v>143267323.32845917</v>
      </c>
    </row>
    <row r="6948" spans="1:2" x14ac:dyDescent="0.25">
      <c r="A6948">
        <f ca="1">29834.2037608149*((RANDBETWEEN(2979,3282)))</f>
        <v>95290446.812042907</v>
      </c>
      <c r="B6948">
        <v>190445062.1693095</v>
      </c>
    </row>
    <row r="6949" spans="1:2" x14ac:dyDescent="0.25">
      <c r="A6949">
        <f ca="1">30425.2455982134*((RANDBETWEEN(2979,3282)))</f>
        <v>94318261.354461536</v>
      </c>
      <c r="B6949">
        <v>167715361.8826853</v>
      </c>
    </row>
    <row r="6950" spans="1:2" x14ac:dyDescent="0.25">
      <c r="A6950">
        <f ca="1">33292.7256197603*((RANDBETWEEN(2979,3282)))</f>
        <v>104505865.72042766</v>
      </c>
      <c r="B6950">
        <v>181415031.19538498</v>
      </c>
    </row>
    <row r="6951" spans="1:2" x14ac:dyDescent="0.25">
      <c r="A6951">
        <f ca="1">36875.8618973036*((RANDBETWEEN(2979,3282)))</f>
        <v>114942061.53389527</v>
      </c>
      <c r="B6951">
        <v>161973163.12915689</v>
      </c>
    </row>
    <row r="6952" spans="1:2" x14ac:dyDescent="0.25">
      <c r="A6952">
        <f ca="1">39392.1431772698*((RANDBETWEEN(2979,3282)))</f>
        <v>128378994.61472242</v>
      </c>
      <c r="B6952">
        <v>197709158.92775023</v>
      </c>
    </row>
    <row r="6953" spans="1:2" x14ac:dyDescent="0.25">
      <c r="A6953">
        <f ca="1">30233.1942572085*((RANDBETWEEN(2979,3282)))</f>
        <v>93813601.780117929</v>
      </c>
      <c r="B6953">
        <v>143833872.08612445</v>
      </c>
    </row>
    <row r="6954" spans="1:2" x14ac:dyDescent="0.25">
      <c r="A6954">
        <f ca="1">30722.5911638167*((RANDBETWEEN(2979,3282)))</f>
        <v>93611735.276149422</v>
      </c>
      <c r="B6954">
        <v>172164191.17692152</v>
      </c>
    </row>
    <row r="6955" spans="1:2" x14ac:dyDescent="0.25">
      <c r="A6955">
        <f ca="1">33035.7873531003*((RANDBETWEEN(2979,3282)))</f>
        <v>108027024.64463788</v>
      </c>
      <c r="B6955">
        <v>156782865.74505958</v>
      </c>
    </row>
    <row r="6956" spans="1:2" x14ac:dyDescent="0.25">
      <c r="A6956">
        <f ca="1">26937.5826421709*((RANDBETWEEN(2979,3282)))</f>
        <v>82671441.128822595</v>
      </c>
      <c r="B6956">
        <v>182298771.70905373</v>
      </c>
    </row>
    <row r="6957" spans="1:2" x14ac:dyDescent="0.25">
      <c r="A6957">
        <f ca="1">40168.059393428*((RANDBETWEEN(2979,3282)))</f>
        <v>126449050.97051142</v>
      </c>
      <c r="B6957">
        <v>158546061.6956681</v>
      </c>
    </row>
    <row r="6958" spans="1:2" x14ac:dyDescent="0.25">
      <c r="A6958">
        <f ca="1">30794.9073202331*((RANDBETWEEN(2979,3282)))</f>
        <v>96911573.336773485</v>
      </c>
      <c r="B6958">
        <v>154213128.98222059</v>
      </c>
    </row>
    <row r="6959" spans="1:2" x14ac:dyDescent="0.25">
      <c r="A6959">
        <f ca="1">36379.1530710499*((RANDBETWEEN(2979,3282)))</f>
        <v>112047791.45883356</v>
      </c>
      <c r="B6959">
        <v>163684646.758055</v>
      </c>
    </row>
    <row r="6960" spans="1:2" x14ac:dyDescent="0.25">
      <c r="A6960">
        <f ca="1">33718.4379364597*((RANDBETWEEN(2979,3282)))</f>
        <v>105606147.61699182</v>
      </c>
      <c r="B6960">
        <v>164443461.24123204</v>
      </c>
    </row>
    <row r="6961" spans="1:2" x14ac:dyDescent="0.25">
      <c r="A6961">
        <f ca="1">33570.2886775202*((RANDBETWEEN(2979,3282)))</f>
        <v>104202176.05502276</v>
      </c>
      <c r="B6961">
        <v>165551940.25562137</v>
      </c>
    </row>
    <row r="6962" spans="1:2" x14ac:dyDescent="0.25">
      <c r="A6962">
        <f ca="1">32942.6025202412*((RANDBETWEEN(2979,3282)))</f>
        <v>100771421.10941793</v>
      </c>
      <c r="B6962">
        <v>161821661.15342861</v>
      </c>
    </row>
    <row r="6963" spans="1:2" x14ac:dyDescent="0.25">
      <c r="A6963">
        <f ca="1">34587.1300106505*((RANDBETWEEN(2979,3282)))</f>
        <v>103207995.95178118</v>
      </c>
      <c r="B6963">
        <v>148241825.81862697</v>
      </c>
    </row>
    <row r="6964" spans="1:2" x14ac:dyDescent="0.25">
      <c r="A6964">
        <f ca="1">41180.3404474071*((RANDBETWEEN(2979,3282)))</f>
        <v>131488827.04857087</v>
      </c>
      <c r="B6964">
        <v>158261528.4067128</v>
      </c>
    </row>
    <row r="6965" spans="1:2" x14ac:dyDescent="0.25">
      <c r="A6965">
        <f ca="1">34406.1064929976*((RANDBETWEEN(2979,3282)))</f>
        <v>105420310.29454453</v>
      </c>
      <c r="B6965">
        <v>163547297.05468893</v>
      </c>
    </row>
    <row r="6966" spans="1:2" x14ac:dyDescent="0.25">
      <c r="A6966">
        <f ca="1">32359.6842815283*((RANDBETWEEN(2979,3282)))</f>
        <v>99959064.74564077</v>
      </c>
      <c r="B6966">
        <v>165156873.31729624</v>
      </c>
    </row>
    <row r="6967" spans="1:2" x14ac:dyDescent="0.25">
      <c r="A6967">
        <f ca="1">41246.9776866494*((RANDBETWEEN(2979,3282)))</f>
        <v>126751962.43107374</v>
      </c>
      <c r="B6967">
        <v>177587442.60601953</v>
      </c>
    </row>
    <row r="6968" spans="1:2" x14ac:dyDescent="0.25">
      <c r="A6968">
        <f ca="1">34425.6230325259*((RANDBETWEEN(2979,3282)))</f>
        <v>111676721.117514</v>
      </c>
      <c r="B6968">
        <v>181464593.89925498</v>
      </c>
    </row>
    <row r="6969" spans="1:2" x14ac:dyDescent="0.25">
      <c r="A6969">
        <f ca="1">33362.0409749328*((RANDBETWEEN(2979,3282)))</f>
        <v>107425771.93928353</v>
      </c>
      <c r="B6969">
        <v>151289351.79554942</v>
      </c>
    </row>
    <row r="6970" spans="1:2" x14ac:dyDescent="0.25">
      <c r="A6970">
        <f ca="1">37243.7983666365*((RANDBETWEEN(2979,3282)))</f>
        <v>120632662.90953556</v>
      </c>
      <c r="B6970">
        <v>163762999.32009533</v>
      </c>
    </row>
    <row r="6971" spans="1:2" x14ac:dyDescent="0.25">
      <c r="A6971">
        <f ca="1">32199.8262474023*((RANDBETWEEN(2979,3282)))</f>
        <v>101558251.98430695</v>
      </c>
      <c r="B6971">
        <v>159713706.18857965</v>
      </c>
    </row>
    <row r="6972" spans="1:2" x14ac:dyDescent="0.25">
      <c r="A6972">
        <f ca="1">34960.7193660712*((RANDBETWEEN(2979,3282)))</f>
        <v>110196187.44185637</v>
      </c>
      <c r="B6972">
        <v>150439247.14023593</v>
      </c>
    </row>
    <row r="6973" spans="1:2" x14ac:dyDescent="0.25">
      <c r="A6973">
        <f ca="1">31822.7664631004*((RANDBETWEEN(2979,3282)))</f>
        <v>96932146.646603912</v>
      </c>
      <c r="B6973">
        <v>170089949.91255233</v>
      </c>
    </row>
    <row r="6974" spans="1:2" x14ac:dyDescent="0.25">
      <c r="A6974">
        <f ca="1">32781.6911717308*((RANDBETWEEN(2979,3282)))</f>
        <v>104966975.13188194</v>
      </c>
      <c r="B6974">
        <v>152969553.18866062</v>
      </c>
    </row>
    <row r="6975" spans="1:2" x14ac:dyDescent="0.25">
      <c r="A6975">
        <f ca="1">34794.165035066*((RANDBETWEEN(2979,3282)))</f>
        <v>111828446.42270212</v>
      </c>
      <c r="B6975">
        <v>184103539.97919628</v>
      </c>
    </row>
    <row r="6976" spans="1:2" x14ac:dyDescent="0.25">
      <c r="A6976">
        <f ca="1">39446.7512073653*((RANDBETWEEN(2979,3282)))</f>
        <v>119760336.66556109</v>
      </c>
      <c r="B6976">
        <v>175215522.56734529</v>
      </c>
    </row>
    <row r="6977" spans="1:2" x14ac:dyDescent="0.25">
      <c r="A6977">
        <f ca="1">32467.540489007*((RANDBETWEEN(2979,3282)))</f>
        <v>97792231.952889204</v>
      </c>
      <c r="B6977">
        <v>176947643.17816442</v>
      </c>
    </row>
    <row r="6978" spans="1:2" x14ac:dyDescent="0.25">
      <c r="A6978">
        <f ca="1">29503.0086400075*((RANDBETWEEN(2979,3282)))</f>
        <v>88302504.859542444</v>
      </c>
      <c r="B6978">
        <v>166115987.35544658</v>
      </c>
    </row>
    <row r="6979" spans="1:2" x14ac:dyDescent="0.25">
      <c r="A6979">
        <f ca="1">37443.0122109967*((RANDBETWEEN(2979,3282)))</f>
        <v>121203030.52699645</v>
      </c>
      <c r="B6979">
        <v>180703796.61927298</v>
      </c>
    </row>
    <row r="6980" spans="1:2" x14ac:dyDescent="0.25">
      <c r="A6980">
        <f ca="1">37731.9198061685*((RANDBETWEEN(2979,3282)))</f>
        <v>123722965.04442635</v>
      </c>
      <c r="B6980">
        <v>195576197.15106577</v>
      </c>
    </row>
    <row r="6981" spans="1:2" x14ac:dyDescent="0.25">
      <c r="A6981">
        <f ca="1">37261.1165130103*((RANDBETWEEN(2979,3282)))</f>
        <v>112677616.33534329</v>
      </c>
      <c r="B6981">
        <v>198981254.04162252</v>
      </c>
    </row>
    <row r="6982" spans="1:2" x14ac:dyDescent="0.25">
      <c r="A6982">
        <f ca="1">32834.0627702715*((RANDBETWEEN(2979,3282)))</f>
        <v>99224537.691760451</v>
      </c>
      <c r="B6982">
        <v>161332244.69416878</v>
      </c>
    </row>
    <row r="6983" spans="1:2" x14ac:dyDescent="0.25">
      <c r="A6983">
        <f ca="1">30239.7686461856*((RANDBETWEEN(2979,3282)))</f>
        <v>95104072.392253578</v>
      </c>
      <c r="B6983">
        <v>160797402.53716141</v>
      </c>
    </row>
    <row r="6984" spans="1:2" x14ac:dyDescent="0.25">
      <c r="A6984">
        <f ca="1">36367.0925072766*((RANDBETWEEN(2979,3282)))</f>
        <v>114992746.50800873</v>
      </c>
      <c r="B6984">
        <v>174743366.89309067</v>
      </c>
    </row>
    <row r="6985" spans="1:2" x14ac:dyDescent="0.25">
      <c r="A6985">
        <f ca="1">32218.6928821415*((RANDBETWEEN(2979,3282)))</f>
        <v>96656078.646424592</v>
      </c>
      <c r="B6985">
        <v>156085713.93746853</v>
      </c>
    </row>
    <row r="6986" spans="1:2" x14ac:dyDescent="0.25">
      <c r="A6986">
        <f ca="1">31611.4366673873*((RANDBETWEEN(2979,3282)))</f>
        <v>94486584.198820502</v>
      </c>
      <c r="B6986">
        <v>148415775.95429182</v>
      </c>
    </row>
    <row r="6987" spans="1:2" x14ac:dyDescent="0.25">
      <c r="A6987">
        <f ca="1">30135.1264034166*((RANDBETWEEN(2979,3282)))</f>
        <v>97155647.524615198</v>
      </c>
      <c r="B6987">
        <v>179620128.61230218</v>
      </c>
    </row>
    <row r="6988" spans="1:2" x14ac:dyDescent="0.25">
      <c r="A6988">
        <f ca="1">31808.7690143426*((RANDBETWEEN(2979,3282)))</f>
        <v>100165813.62616476</v>
      </c>
      <c r="B6988">
        <v>146813843.34471434</v>
      </c>
    </row>
    <row r="6989" spans="1:2" x14ac:dyDescent="0.25">
      <c r="A6989">
        <f ca="1">34028.8027933351*((RANDBETWEEN(2979,3282)))</f>
        <v>106918498.37665878</v>
      </c>
      <c r="B6989">
        <v>153008833.42175937</v>
      </c>
    </row>
    <row r="6990" spans="1:2" x14ac:dyDescent="0.25">
      <c r="A6990">
        <f ca="1">39612.0337459302*((RANDBETWEEN(2979,3282)))</f>
        <v>118796489.20404452</v>
      </c>
      <c r="B6990">
        <v>154527186.89012921</v>
      </c>
    </row>
    <row r="6991" spans="1:2" x14ac:dyDescent="0.25">
      <c r="A6991">
        <f ca="1">33695.2823005162*((RANDBETWEEN(2979,3282)))</f>
        <v>102635829.88737226</v>
      </c>
      <c r="B6991">
        <v>173780108.99284914</v>
      </c>
    </row>
    <row r="6992" spans="1:2" x14ac:dyDescent="0.25">
      <c r="A6992">
        <f ca="1">35596.249061787*((RANDBETWEEN(2979,3282)))</f>
        <v>107180305.92504059</v>
      </c>
      <c r="B6992">
        <v>162977947.44344756</v>
      </c>
    </row>
    <row r="6993" spans="1:2" x14ac:dyDescent="0.25">
      <c r="A6993">
        <f ca="1">32560.0506211195*((RANDBETWEEN(2979,3282)))</f>
        <v>102954880.06397995</v>
      </c>
      <c r="B6993">
        <v>182477608.42446721</v>
      </c>
    </row>
    <row r="6994" spans="1:2" x14ac:dyDescent="0.25">
      <c r="A6994">
        <f ca="1">31121.922076049*((RANDBETWEEN(2979,3282)))</f>
        <v>92867815.474930093</v>
      </c>
      <c r="B6994">
        <v>143476446.3262302</v>
      </c>
    </row>
    <row r="6995" spans="1:2" x14ac:dyDescent="0.25">
      <c r="A6995">
        <f ca="1">36140.4338308492*((RANDBETWEEN(2979,3282)))</f>
        <v>117673252.55324493</v>
      </c>
      <c r="B6995">
        <v>151510572.6621691</v>
      </c>
    </row>
    <row r="6996" spans="1:2" x14ac:dyDescent="0.25">
      <c r="A6996">
        <f ca="1">31635.929964022*((RANDBETWEEN(2979,3282)))</f>
        <v>103481126.91231613</v>
      </c>
      <c r="B6996">
        <v>196222489.95911145</v>
      </c>
    </row>
    <row r="6997" spans="1:2" x14ac:dyDescent="0.25">
      <c r="A6997">
        <f ca="1">29731.6269269068*((RANDBETWEEN(2979,3282)))</f>
        <v>92732944.385022372</v>
      </c>
      <c r="B6997">
        <v>195604555.3943941</v>
      </c>
    </row>
    <row r="6998" spans="1:2" x14ac:dyDescent="0.25">
      <c r="A6998">
        <f ca="1">32058.5581289009*((RANDBETWEEN(2979,3282)))</f>
        <v>101048575.22229564</v>
      </c>
      <c r="B6998">
        <v>183600808.64687085</v>
      </c>
    </row>
    <row r="6999" spans="1:2" x14ac:dyDescent="0.25">
      <c r="A6999">
        <f ca="1">37967.5439439217*((RANDBETWEEN(2979,3282)))</f>
        <v>113598891.48021373</v>
      </c>
      <c r="B6999">
        <v>149409470.90858638</v>
      </c>
    </row>
    <row r="7000" spans="1:2" x14ac:dyDescent="0.25">
      <c r="A7000">
        <f ca="1">28664.2339262112*((RANDBETWEEN(2979,3282)))</f>
        <v>89919701.826524451</v>
      </c>
      <c r="B7000">
        <v>181580877.7893824</v>
      </c>
    </row>
    <row r="7001" spans="1:2" x14ac:dyDescent="0.25">
      <c r="A7001">
        <f ca="1">28842.5642293259*((RANDBETWEEN(2979,3282)))</f>
        <v>94142129.644519746</v>
      </c>
      <c r="B7001">
        <v>150671924.33628854</v>
      </c>
    </row>
    <row r="7002" spans="1:2" x14ac:dyDescent="0.25">
      <c r="A7002">
        <f ca="1">31523.5178565584*((RANDBETWEEN(2979,3282)))</f>
        <v>96272823.533929437</v>
      </c>
      <c r="B7002">
        <v>161535698.48003018</v>
      </c>
    </row>
    <row r="7003" spans="1:2" x14ac:dyDescent="0.25">
      <c r="A7003">
        <f ca="1">39120.1558340866*((RANDBETWEEN(2979,3282)))</f>
        <v>125732180.85075434</v>
      </c>
      <c r="B7003">
        <v>150442515.8952378</v>
      </c>
    </row>
    <row r="7004" spans="1:2" x14ac:dyDescent="0.25">
      <c r="A7004">
        <f ca="1">33823.5483317358*((RANDBETWEEN(2979,3282)))</f>
        <v>103601528.54010665</v>
      </c>
      <c r="B7004">
        <v>180600381.99731529</v>
      </c>
    </row>
    <row r="7005" spans="1:2" x14ac:dyDescent="0.25">
      <c r="A7005">
        <f ca="1">38091.4800126969*((RANDBETWEEN(2979,3282)))</f>
        <v>118083588.03936026</v>
      </c>
      <c r="B7005">
        <v>150724516.6000624</v>
      </c>
    </row>
    <row r="7006" spans="1:2" x14ac:dyDescent="0.25">
      <c r="A7006">
        <f ca="1">40989.8573640876*((RANDBETWEEN(2979,3282)))</f>
        <v>131085563.85035226</v>
      </c>
      <c r="B7006">
        <v>145740101.92705536</v>
      </c>
    </row>
    <row r="7007" spans="1:2" x14ac:dyDescent="0.25">
      <c r="A7007">
        <f ca="1">36001.9337378749*((RANDBETWEEN(2979,3282)))</f>
        <v>109085859.225761</v>
      </c>
      <c r="B7007">
        <v>189603020.95797449</v>
      </c>
    </row>
    <row r="7008" spans="1:2" x14ac:dyDescent="0.25">
      <c r="A7008">
        <f ca="1">38046.4886623239*((RANDBETWEEN(2979,3282)))</f>
        <v>115128674.69219221</v>
      </c>
      <c r="B7008">
        <v>152001604.36509994</v>
      </c>
    </row>
    <row r="7009" spans="1:2" x14ac:dyDescent="0.25">
      <c r="A7009">
        <f ca="1">31867.1926595968*((RANDBETWEEN(2979,3282)))</f>
        <v>102261821.24464625</v>
      </c>
      <c r="B7009">
        <v>188055988.9482522</v>
      </c>
    </row>
    <row r="7010" spans="1:2" x14ac:dyDescent="0.25">
      <c r="A7010">
        <f ca="1">40878.1421823313*((RANDBETWEEN(2979,3282)))</f>
        <v>122593548.40481164</v>
      </c>
      <c r="B7010">
        <v>158520103.89640874</v>
      </c>
    </row>
    <row r="7011" spans="1:2" x14ac:dyDescent="0.25">
      <c r="A7011">
        <f ca="1">31335.7033871716*((RANDBETWEEN(2979,3282)))</f>
        <v>98331437.2289446</v>
      </c>
      <c r="B7011">
        <v>150052075.94296584</v>
      </c>
    </row>
    <row r="7012" spans="1:2" x14ac:dyDescent="0.25">
      <c r="A7012">
        <f ca="1">30612.345512355*((RANDBETWEEN(2979,3282)))</f>
        <v>95081945.161374778</v>
      </c>
      <c r="B7012">
        <v>174485257.7454322</v>
      </c>
    </row>
    <row r="7013" spans="1:2" x14ac:dyDescent="0.25">
      <c r="A7013">
        <f ca="1">32572.2516369511*((RANDBETWEEN(2979,3282)))</f>
        <v>97391032.394483656</v>
      </c>
      <c r="B7013">
        <v>145798904.52739269</v>
      </c>
    </row>
    <row r="7014" spans="1:2" x14ac:dyDescent="0.25">
      <c r="A7014">
        <f ca="1">39588.5599827073*((RANDBETWEEN(2979,3282)))</f>
        <v>128108580.10404095</v>
      </c>
      <c r="B7014">
        <v>168324464.8693921</v>
      </c>
    </row>
    <row r="7015" spans="1:2" x14ac:dyDescent="0.25">
      <c r="A7015">
        <f ca="1">30181.0001207353*((RANDBETWEEN(2979,3282)))</f>
        <v>92625489.370536789</v>
      </c>
      <c r="B7015">
        <v>143058541.72959489</v>
      </c>
    </row>
    <row r="7016" spans="1:2" x14ac:dyDescent="0.25">
      <c r="A7016">
        <f ca="1">30230.7664636142*((RANDBETWEEN(2979,3282)))</f>
        <v>99217375.533581942</v>
      </c>
      <c r="B7016">
        <v>177287112.80410898</v>
      </c>
    </row>
    <row r="7017" spans="1:2" x14ac:dyDescent="0.25">
      <c r="A7017">
        <f ca="1">28987.9910758181*((RANDBETWEEN(2979,3282)))</f>
        <v>89109084.567064762</v>
      </c>
      <c r="B7017">
        <v>144521233.92427999</v>
      </c>
    </row>
    <row r="7018" spans="1:2" x14ac:dyDescent="0.25">
      <c r="A7018">
        <f ca="1">37884.558266732*((RANDBETWEEN(2979,3282)))</f>
        <v>120397126.17167418</v>
      </c>
      <c r="B7018">
        <v>152870390.57535103</v>
      </c>
    </row>
    <row r="7019" spans="1:2" x14ac:dyDescent="0.25">
      <c r="A7019">
        <f ca="1">40939.6073609266*((RANDBETWEEN(2979,3282)))</f>
        <v>123883251.87416403</v>
      </c>
      <c r="B7019">
        <v>202170630.37352723</v>
      </c>
    </row>
    <row r="7020" spans="1:2" x14ac:dyDescent="0.25">
      <c r="A7020">
        <f ca="1">38579.3465849557*((RANDBETWEEN(2979,3282)))</f>
        <v>125035662.28184146</v>
      </c>
      <c r="B7020">
        <v>156673266.79495513</v>
      </c>
    </row>
    <row r="7021" spans="1:2" x14ac:dyDescent="0.25">
      <c r="A7021">
        <f ca="1">36356.3023659755*((RANDBETWEEN(2979,3282)))</f>
        <v>113068100.3581838</v>
      </c>
      <c r="B7021">
        <v>160262616.52808529</v>
      </c>
    </row>
    <row r="7022" spans="1:2" x14ac:dyDescent="0.25">
      <c r="A7022">
        <f ca="1">34088.0783686071*((RANDBETWEEN(2979,3282)))</f>
        <v>101889266.24376662</v>
      </c>
      <c r="B7022">
        <v>165238804.36808348</v>
      </c>
    </row>
    <row r="7023" spans="1:2" x14ac:dyDescent="0.25">
      <c r="A7023">
        <f ca="1">30733.2753272239*((RANDBETWEEN(2979,3282)))</f>
        <v>99022613.104315415</v>
      </c>
      <c r="B7023">
        <v>146136488.97974059</v>
      </c>
    </row>
    <row r="7024" spans="1:2" x14ac:dyDescent="0.25">
      <c r="A7024">
        <f ca="1">30954.4478336075*((RANDBETWEEN(2979,3282)))</f>
        <v>96546922.793021768</v>
      </c>
      <c r="B7024">
        <v>196156276.2888231</v>
      </c>
    </row>
    <row r="7025" spans="1:2" x14ac:dyDescent="0.25">
      <c r="A7025">
        <f ca="1">33162.9811202324*((RANDBETWEEN(2979,3282)))</f>
        <v>107414895.84843285</v>
      </c>
      <c r="B7025">
        <v>202057925.04467049</v>
      </c>
    </row>
    <row r="7026" spans="1:2" x14ac:dyDescent="0.25">
      <c r="A7026">
        <f ca="1">37991.7013921584*((RANDBETWEEN(2979,3282)))</f>
        <v>116368581.36418131</v>
      </c>
      <c r="B7026">
        <v>178149413.16570055</v>
      </c>
    </row>
    <row r="7027" spans="1:2" x14ac:dyDescent="0.25">
      <c r="A7027">
        <f ca="1">32197.2271585708*((RANDBETWEEN(2979,3282)))</f>
        <v>104769777.1739893</v>
      </c>
      <c r="B7027">
        <v>148628420.79644862</v>
      </c>
    </row>
    <row r="7028" spans="1:2" x14ac:dyDescent="0.25">
      <c r="A7028">
        <f ca="1">39501.997032954*((RANDBETWEEN(2979,3282)))</f>
        <v>121982166.83776185</v>
      </c>
      <c r="B7028">
        <v>197937178.86566567</v>
      </c>
    </row>
    <row r="7029" spans="1:2" x14ac:dyDescent="0.25">
      <c r="A7029">
        <f ca="1">33818.4457188168*((RANDBETWEEN(2979,3282)))</f>
        <v>104904818.61976965</v>
      </c>
      <c r="B7029">
        <v>201361098.65530017</v>
      </c>
    </row>
    <row r="7030" spans="1:2" x14ac:dyDescent="0.25">
      <c r="A7030">
        <f ca="1">32176.6888771707*((RANDBETWEEN(2979,3282)))</f>
        <v>100262562.54126385</v>
      </c>
      <c r="B7030">
        <v>143485826.21941295</v>
      </c>
    </row>
    <row r="7031" spans="1:2" x14ac:dyDescent="0.25">
      <c r="A7031">
        <f ca="1">31976.649129648*((RANDBETWEEN(2979,3282)))</f>
        <v>103188646.74137406</v>
      </c>
      <c r="B7031">
        <v>181700296.13999632</v>
      </c>
    </row>
    <row r="7032" spans="1:2" x14ac:dyDescent="0.25">
      <c r="A7032">
        <f ca="1">32588.8915654617*((RANDBETWEEN(2979,3282)))</f>
        <v>98027385.828908786</v>
      </c>
      <c r="B7032">
        <v>185566335.00535354</v>
      </c>
    </row>
    <row r="7033" spans="1:2" x14ac:dyDescent="0.25">
      <c r="A7033">
        <f ca="1">34962.3480464781*((RANDBETWEEN(2979,3282)))</f>
        <v>110655831.56710306</v>
      </c>
      <c r="B7033">
        <v>161566091.70473725</v>
      </c>
    </row>
    <row r="7034" spans="1:2" x14ac:dyDescent="0.25">
      <c r="A7034">
        <f ca="1">34813.4920874064*((RANDBETWEEN(2979,3282)))</f>
        <v>110915785.7904769</v>
      </c>
      <c r="B7034">
        <v>156024449.0885691</v>
      </c>
    </row>
    <row r="7035" spans="1:2" x14ac:dyDescent="0.25">
      <c r="A7035">
        <f ca="1">33844.1914768278*((RANDBETWEEN(2979,3282)))</f>
        <v>101938704.72820547</v>
      </c>
      <c r="B7035">
        <v>153515939.65065023</v>
      </c>
    </row>
    <row r="7036" spans="1:2" x14ac:dyDescent="0.25">
      <c r="A7036">
        <f ca="1">31505.5421388073*((RANDBETWEEN(2979,3282)))</f>
        <v>96501475.57116662</v>
      </c>
      <c r="B7036">
        <v>171585626.81348959</v>
      </c>
    </row>
    <row r="7037" spans="1:2" x14ac:dyDescent="0.25">
      <c r="A7037">
        <f ca="1">30021.6362404976*((RANDBETWEEN(2979,3282)))</f>
        <v>91716098.714720458</v>
      </c>
      <c r="B7037">
        <v>145688203.32544053</v>
      </c>
    </row>
    <row r="7038" spans="1:2" x14ac:dyDescent="0.25">
      <c r="A7038">
        <f ca="1">39071.1242724406*((RANDBETWEEN(2979,3282)))</f>
        <v>126824869.38834211</v>
      </c>
      <c r="B7038">
        <v>159793739.7023882</v>
      </c>
    </row>
    <row r="7039" spans="1:2" x14ac:dyDescent="0.25">
      <c r="A7039">
        <f ca="1">31072.8901715358*((RANDBETWEEN(2979,3282)))</f>
        <v>100334362.36388896</v>
      </c>
      <c r="B7039">
        <v>200295518.73954678</v>
      </c>
    </row>
    <row r="7040" spans="1:2" x14ac:dyDescent="0.25">
      <c r="A7040">
        <f ca="1">30411.0572912217*((RANDBETWEEN(2979,3282)))</f>
        <v>94091811.259039998</v>
      </c>
      <c r="B7040">
        <v>153504578.94529715</v>
      </c>
    </row>
    <row r="7041" spans="1:2" x14ac:dyDescent="0.25">
      <c r="A7041">
        <f ca="1">38576.9228640694*((RANDBETWEEN(2979,3282)))</f>
        <v>124912076.23385686</v>
      </c>
      <c r="B7041">
        <v>144737138.92838576</v>
      </c>
    </row>
    <row r="7042" spans="1:2" x14ac:dyDescent="0.25">
      <c r="A7042">
        <f ca="1">30166.3923917227*((RANDBETWEEN(2979,3282)))</f>
        <v>92278994.326279655</v>
      </c>
      <c r="B7042">
        <v>194870586.77979749</v>
      </c>
    </row>
    <row r="7043" spans="1:2" x14ac:dyDescent="0.25">
      <c r="A7043">
        <f ca="1">29761.790866416*((RANDBETWEEN(2979,3282)))</f>
        <v>94672256.746069327</v>
      </c>
      <c r="B7043">
        <v>144441897.24801594</v>
      </c>
    </row>
    <row r="7044" spans="1:2" x14ac:dyDescent="0.25">
      <c r="A7044">
        <f ca="1">30903.1740291044*((RANDBETWEEN(2979,3282)))</f>
        <v>94131068.092651919</v>
      </c>
      <c r="B7044">
        <v>181177640.85691565</v>
      </c>
    </row>
    <row r="7045" spans="1:2" x14ac:dyDescent="0.25">
      <c r="A7045">
        <f ca="1">31452.2999482234*((RANDBETWEEN(2979,3282)))</f>
        <v>94671422.844152465</v>
      </c>
      <c r="B7045">
        <v>153044472.1213848</v>
      </c>
    </row>
    <row r="7046" spans="1:2" x14ac:dyDescent="0.25">
      <c r="A7046">
        <f ca="1">32502.6306430147*((RANDBETWEEN(2979,3282)))</f>
        <v>102123265.48035216</v>
      </c>
      <c r="B7046">
        <v>169454883.72453031</v>
      </c>
    </row>
    <row r="7047" spans="1:2" x14ac:dyDescent="0.25">
      <c r="A7047">
        <f ca="1">29436.9046278563*((RANDBETWEEN(2979,3282)))</f>
        <v>92019763.866678908</v>
      </c>
      <c r="B7047">
        <v>196114887.31382492</v>
      </c>
    </row>
    <row r="7048" spans="1:2" x14ac:dyDescent="0.25">
      <c r="A7048">
        <f ca="1">31231.2435364799*((RANDBETWEEN(2979,3282)))</f>
        <v>102126166.36428924</v>
      </c>
      <c r="B7048">
        <v>188829704.69284251</v>
      </c>
    </row>
    <row r="7049" spans="1:2" x14ac:dyDescent="0.25">
      <c r="A7049">
        <f ca="1">42605.3407462852*((RANDBETWEEN(2979,3282)))</f>
        <v>132502609.72094706</v>
      </c>
      <c r="B7049">
        <v>201171946.10520187</v>
      </c>
    </row>
    <row r="7050" spans="1:2" x14ac:dyDescent="0.25">
      <c r="A7050">
        <f ca="1">34681.9470719089*((RANDBETWEEN(2979,3282)))</f>
        <v>105571846.88689058</v>
      </c>
      <c r="B7050">
        <v>188804052.01201063</v>
      </c>
    </row>
    <row r="7051" spans="1:2" x14ac:dyDescent="0.25">
      <c r="A7051">
        <f ca="1">35216.0329594986*((RANDBETWEEN(2979,3282)))</f>
        <v>110895287.78946099</v>
      </c>
      <c r="B7051">
        <v>148844478.39171112</v>
      </c>
    </row>
    <row r="7052" spans="1:2" x14ac:dyDescent="0.25">
      <c r="A7052">
        <f ca="1">30843.4450628805*((RANDBETWEEN(2979,3282)))</f>
        <v>97465286.398702294</v>
      </c>
      <c r="B7052">
        <v>145574343.52604452</v>
      </c>
    </row>
    <row r="7053" spans="1:2" x14ac:dyDescent="0.25">
      <c r="A7053">
        <f ca="1">38574.4412814959*((RANDBETWEEN(2979,3282)))</f>
        <v>123168191.01181643</v>
      </c>
      <c r="B7053">
        <v>171085656.07190078</v>
      </c>
    </row>
    <row r="7054" spans="1:2" x14ac:dyDescent="0.25">
      <c r="A7054">
        <f ca="1">38478.4459868778*((RANDBETWEEN(2979,3282)))</f>
        <v>117821001.6118198</v>
      </c>
      <c r="B7054">
        <v>145489526.38130912</v>
      </c>
    </row>
    <row r="7055" spans="1:2" x14ac:dyDescent="0.25">
      <c r="A7055">
        <f ca="1">40490.2339599847*((RANDBETWEEN(2979,3282)))</f>
        <v>131350318.96619022</v>
      </c>
      <c r="B7055">
        <v>169146604.81953412</v>
      </c>
    </row>
    <row r="7056" spans="1:2" x14ac:dyDescent="0.25">
      <c r="A7056">
        <f ca="1">39389.074519099*((RANDBETWEEN(2979,3282)))</f>
        <v>117615776.51402956</v>
      </c>
      <c r="B7056">
        <v>167989317.67214733</v>
      </c>
    </row>
    <row r="7057" spans="1:2" x14ac:dyDescent="0.25">
      <c r="A7057">
        <f ca="1">31642.1727635029*((RANDBETWEEN(2979,3282)))</f>
        <v>101254952.84320922</v>
      </c>
      <c r="B7057">
        <v>166641877.66565615</v>
      </c>
    </row>
    <row r="7058" spans="1:2" x14ac:dyDescent="0.25">
      <c r="A7058">
        <f ca="1">42523.2682191303*((RANDBETWEEN(2979,3282)))</f>
        <v>132757643.38012473</v>
      </c>
      <c r="B7058">
        <v>147973773.29457223</v>
      </c>
    </row>
    <row r="7059" spans="1:2" x14ac:dyDescent="0.25">
      <c r="A7059">
        <f ca="1">37629.0752967153*((RANDBETWEEN(2979,3282)))</f>
        <v>117327456.77515841</v>
      </c>
      <c r="B7059">
        <v>173710762.19583014</v>
      </c>
    </row>
    <row r="7060" spans="1:2" x14ac:dyDescent="0.25">
      <c r="A7060">
        <f ca="1">39880.5245467549*((RANDBETWEEN(2979,3282)))</f>
        <v>123709387.14403367</v>
      </c>
      <c r="B7060">
        <v>152616799.28017727</v>
      </c>
    </row>
    <row r="7061" spans="1:2" x14ac:dyDescent="0.25">
      <c r="A7061">
        <f ca="1">28899.1056960204*((RANDBETWEEN(2979,3282)))</f>
        <v>86321628.714012802</v>
      </c>
      <c r="B7061">
        <v>176603334.63044292</v>
      </c>
    </row>
    <row r="7062" spans="1:2" x14ac:dyDescent="0.25">
      <c r="A7062">
        <f ca="1">29882.0200053388*((RANDBETWEEN(2979,3282)))</f>
        <v>92783672.11657697</v>
      </c>
      <c r="B7062">
        <v>171769057.66936463</v>
      </c>
    </row>
    <row r="7063" spans="1:2" x14ac:dyDescent="0.25">
      <c r="A7063">
        <f ca="1">34286.2371231929*((RANDBETWEEN(2979,3282)))</f>
        <v>104607309.46286164</v>
      </c>
      <c r="B7063">
        <v>156515864.56640247</v>
      </c>
    </row>
    <row r="7064" spans="1:2" x14ac:dyDescent="0.25">
      <c r="A7064">
        <f ca="1">30478.0515200232*((RANDBETWEEN(2979,3282)))</f>
        <v>93628574.269511148</v>
      </c>
      <c r="B7064">
        <v>170046408.87083298</v>
      </c>
    </row>
    <row r="7065" spans="1:2" x14ac:dyDescent="0.25">
      <c r="A7065">
        <f ca="1">31436.9812604342*((RANDBETWEEN(2979,3282)))</f>
        <v>98083381.532554612</v>
      </c>
      <c r="B7065">
        <v>148836988.97852367</v>
      </c>
    </row>
    <row r="7066" spans="1:2" x14ac:dyDescent="0.25">
      <c r="A7066">
        <f ca="1">28027.8588737766*((RANDBETWEEN(2979,3282)))</f>
        <v>89773231.972706392</v>
      </c>
      <c r="B7066">
        <v>145883915.53187796</v>
      </c>
    </row>
    <row r="7067" spans="1:2" x14ac:dyDescent="0.25">
      <c r="A7067">
        <f ca="1">30286.3729604512*((RANDBETWEEN(2979,3282)))</f>
        <v>95068924.722856224</v>
      </c>
      <c r="B7067">
        <v>203604481.45410591</v>
      </c>
    </row>
    <row r="7068" spans="1:2" x14ac:dyDescent="0.25">
      <c r="A7068">
        <f ca="1">32035.7866235683*((RANDBETWEEN(2979,3282)))</f>
        <v>101297157.30372293</v>
      </c>
      <c r="B7068">
        <v>161179179.34070098</v>
      </c>
    </row>
    <row r="7069" spans="1:2" x14ac:dyDescent="0.25">
      <c r="A7069">
        <f ca="1">39652.9912435022*((RANDBETWEEN(2979,3282)))</f>
        <v>125462064.29444104</v>
      </c>
      <c r="B7069">
        <v>183103638.58134425</v>
      </c>
    </row>
    <row r="7070" spans="1:2" x14ac:dyDescent="0.25">
      <c r="A7070">
        <f ca="1">30634.8996740349*((RANDBETWEEN(2979,3282)))</f>
        <v>98858821.248110518</v>
      </c>
      <c r="B7070">
        <v>167592181.7026827</v>
      </c>
    </row>
    <row r="7071" spans="1:2" x14ac:dyDescent="0.25">
      <c r="A7071">
        <f ca="1">38385.1547585182*((RANDBETWEEN(2979,3282)))</f>
        <v>115270619.73983008</v>
      </c>
      <c r="B7071">
        <v>187481595.13101095</v>
      </c>
    </row>
    <row r="7072" spans="1:2" x14ac:dyDescent="0.25">
      <c r="A7072">
        <f ca="1">26321.6036871129*((RANDBETWEEN(2979,3282)))</f>
        <v>80175604.830945954</v>
      </c>
      <c r="B7072">
        <v>182886973.40843701</v>
      </c>
    </row>
    <row r="7073" spans="1:2" x14ac:dyDescent="0.25">
      <c r="A7073">
        <f ca="1">29423.1444802763*((RANDBETWEEN(2979,3282)))</f>
        <v>96507913.895306394</v>
      </c>
      <c r="B7073">
        <v>199453035.72822684</v>
      </c>
    </row>
    <row r="7074" spans="1:2" x14ac:dyDescent="0.25">
      <c r="A7074">
        <f ca="1">29925.8998674322*((RANDBETWEEN(2979,3282)))</f>
        <v>97648211.26743114</v>
      </c>
      <c r="B7074">
        <v>161852641.84032941</v>
      </c>
    </row>
    <row r="7075" spans="1:2" x14ac:dyDescent="0.25">
      <c r="A7075">
        <f ca="1">29201.066961417*((RANDBETWEEN(2979,3282)))</f>
        <v>94874266.557643771</v>
      </c>
      <c r="B7075">
        <v>154387143.98573539</v>
      </c>
    </row>
    <row r="7076" spans="1:2" x14ac:dyDescent="0.25">
      <c r="A7076">
        <f ca="1">31553.0497848046*((RANDBETWEEN(2979,3282)))</f>
        <v>97562029.93461585</v>
      </c>
      <c r="B7076">
        <v>169157630.2740261</v>
      </c>
    </row>
    <row r="7077" spans="1:2" x14ac:dyDescent="0.25">
      <c r="A7077">
        <f ca="1">33248.108690294*((RANDBETWEEN(2979,3282)))</f>
        <v>101672716.37491916</v>
      </c>
      <c r="B7077">
        <v>153985656.2861861</v>
      </c>
    </row>
    <row r="7078" spans="1:2" x14ac:dyDescent="0.25">
      <c r="A7078">
        <f ca="1">33861.4232410071*((RANDBETWEEN(2979,3282)))</f>
        <v>102938726.65266147</v>
      </c>
      <c r="B7078">
        <v>158707459.40082985</v>
      </c>
    </row>
    <row r="7079" spans="1:2" x14ac:dyDescent="0.25">
      <c r="A7079">
        <f ca="1">28994.9363850287*((RANDBETWEEN(2979,3282)))</f>
        <v>92957766.050401986</v>
      </c>
      <c r="B7079">
        <v>197293936.25868767</v>
      </c>
    </row>
    <row r="7080" spans="1:2" x14ac:dyDescent="0.25">
      <c r="A7080">
        <f ca="1">35103.6565655468*((RANDBETWEEN(2979,3282)))</f>
        <v>114402816.74711716</v>
      </c>
      <c r="B7080">
        <v>153096304.41838062</v>
      </c>
    </row>
    <row r="7081" spans="1:2" x14ac:dyDescent="0.25">
      <c r="A7081">
        <f ca="1">31351.8646898775*((RANDBETWEEN(2979,3282)))</f>
        <v>96908613.756411269</v>
      </c>
      <c r="B7081">
        <v>155453600.46148315</v>
      </c>
    </row>
    <row r="7082" spans="1:2" x14ac:dyDescent="0.25">
      <c r="A7082">
        <f ca="1">41908.6063433416*((RANDBETWEEN(2979,3282)))</f>
        <v>136622056.67929357</v>
      </c>
      <c r="B7082">
        <v>188573442.6286087</v>
      </c>
    </row>
    <row r="7083" spans="1:2" x14ac:dyDescent="0.25">
      <c r="A7083">
        <f ca="1">29585.1823661286*((RANDBETWEEN(2979,3282)))</f>
        <v>94998020.577638775</v>
      </c>
      <c r="B7083">
        <v>147180724.34565803</v>
      </c>
    </row>
    <row r="7084" spans="1:2" x14ac:dyDescent="0.25">
      <c r="A7084">
        <f ca="1">33679.887868765*((RANDBETWEEN(2979,3282)))</f>
        <v>110503712.09741797</v>
      </c>
      <c r="B7084">
        <v>151186011.46052921</v>
      </c>
    </row>
    <row r="7085" spans="1:2" x14ac:dyDescent="0.25">
      <c r="A7085">
        <f ca="1">33748.5578167685*((RANDBETWEEN(2979,3282)))</f>
        <v>103574323.93966253</v>
      </c>
      <c r="B7085">
        <v>169808617.16842109</v>
      </c>
    </row>
    <row r="7086" spans="1:2" x14ac:dyDescent="0.25">
      <c r="A7086">
        <f ca="1">39790.582483034*((RANDBETWEEN(2979,3282)))</f>
        <v>124902638.41424364</v>
      </c>
      <c r="B7086">
        <v>158092343.67481667</v>
      </c>
    </row>
    <row r="7087" spans="1:2" x14ac:dyDescent="0.25">
      <c r="A7087">
        <f ca="1">31581.5609858378*((RANDBETWEEN(2979,3282)))</f>
        <v>102545328.52101527</v>
      </c>
      <c r="B7087">
        <v>160218520.05850351</v>
      </c>
    </row>
    <row r="7088" spans="1:2" x14ac:dyDescent="0.25">
      <c r="A7088">
        <f ca="1">37662.8399146248*((RANDBETWEEN(2979,3282)))</f>
        <v>113515799.50267912</v>
      </c>
      <c r="B7088">
        <v>178491479.51467657</v>
      </c>
    </row>
    <row r="7089" spans="1:2" x14ac:dyDescent="0.25">
      <c r="A7089">
        <f ca="1">30250.7033001103*((RANDBETWEEN(2979,3282)))</f>
        <v>91417625.372933432</v>
      </c>
      <c r="B7089">
        <v>154878856.37568384</v>
      </c>
    </row>
    <row r="7090" spans="1:2" x14ac:dyDescent="0.25">
      <c r="A7090">
        <f ca="1">39507.6973364766*((RANDBETWEEN(2979,3282)))</f>
        <v>118483584.31209324</v>
      </c>
      <c r="B7090">
        <v>186594753.02283511</v>
      </c>
    </row>
    <row r="7091" spans="1:2" x14ac:dyDescent="0.25">
      <c r="A7091">
        <f ca="1">28382.2264313435*((RANDBETWEEN(2979,3282)))</f>
        <v>92980173.78908135</v>
      </c>
      <c r="B7091">
        <v>169116918.24610782</v>
      </c>
    </row>
    <row r="7092" spans="1:2" x14ac:dyDescent="0.25">
      <c r="A7092">
        <f ca="1">35846.7236136266*((RANDBETWEEN(2979,3282)))</f>
        <v>109870207.87576559</v>
      </c>
      <c r="B7092">
        <v>189560306.21698353</v>
      </c>
    </row>
    <row r="7093" spans="1:2" x14ac:dyDescent="0.25">
      <c r="A7093">
        <f ca="1">30895.2459084068*((RANDBETWEEN(2979,3282)))</f>
        <v>100007911.00551292</v>
      </c>
      <c r="B7093">
        <v>158699063.21531215</v>
      </c>
    </row>
    <row r="7094" spans="1:2" x14ac:dyDescent="0.25">
      <c r="A7094">
        <f ca="1">36510.3037431448*((RANDBETWEEN(2979,3282)))</f>
        <v>119023590.20265196</v>
      </c>
      <c r="B7094">
        <v>155412245.59786025</v>
      </c>
    </row>
    <row r="7095" spans="1:2" x14ac:dyDescent="0.25">
      <c r="A7095">
        <f ca="1">32896.0580049914*((RANDBETWEEN(2979,3282)))</f>
        <v>105201593.49996242</v>
      </c>
      <c r="B7095">
        <v>196183334.51417539</v>
      </c>
    </row>
    <row r="7096" spans="1:2" x14ac:dyDescent="0.25">
      <c r="A7096">
        <f ca="1">30290.984739286*((RANDBETWEEN(2979,3282)))</f>
        <v>91902847.698993772</v>
      </c>
      <c r="B7096">
        <v>171002799.31108826</v>
      </c>
    </row>
    <row r="7097" spans="1:2" x14ac:dyDescent="0.25">
      <c r="A7097">
        <f ca="1">31910.199952254*((RANDBETWEEN(2979,3282)))</f>
        <v>97709032.253801763</v>
      </c>
      <c r="B7097">
        <v>148061000.89588344</v>
      </c>
    </row>
    <row r="7098" spans="1:2" x14ac:dyDescent="0.25">
      <c r="A7098">
        <f ca="1">30624.4366176146*((RANDBETWEEN(2979,3282)))</f>
        <v>92761418.514754698</v>
      </c>
      <c r="B7098">
        <v>202097193.39590546</v>
      </c>
    </row>
    <row r="7099" spans="1:2" x14ac:dyDescent="0.25">
      <c r="A7099">
        <f ca="1">31411.6906210464*((RANDBETWEEN(2979,3282)))</f>
        <v>97124947.400275499</v>
      </c>
      <c r="B7099">
        <v>182053608.30834696</v>
      </c>
    </row>
    <row r="7100" spans="1:2" x14ac:dyDescent="0.25">
      <c r="A7100">
        <f ca="1">39179.2969806958*((RANDBETWEEN(2979,3282)))</f>
        <v>127175997.99933849</v>
      </c>
      <c r="B7100">
        <v>170567204.92688358</v>
      </c>
    </row>
    <row r="7101" spans="1:2" x14ac:dyDescent="0.25">
      <c r="A7101">
        <f ca="1">29832.3271885688*((RANDBETWEEN(2979,3282)))</f>
        <v>94478980.206197411</v>
      </c>
      <c r="B7101">
        <v>145312581.43555379</v>
      </c>
    </row>
    <row r="7102" spans="1:2" x14ac:dyDescent="0.25">
      <c r="A7102">
        <f ca="1">32392.3183617466*((RANDBETWEEN(2979,3282)))</f>
        <v>102716041.52509855</v>
      </c>
      <c r="B7102">
        <v>168415904.91928026</v>
      </c>
    </row>
    <row r="7103" spans="1:2" x14ac:dyDescent="0.25">
      <c r="A7103">
        <f ca="1">29159.2184580137*((RANDBETWEEN(2979,3282)))</f>
        <v>93484454.376392066</v>
      </c>
      <c r="B7103">
        <v>146612909.85411924</v>
      </c>
    </row>
    <row r="7104" spans="1:2" x14ac:dyDescent="0.25">
      <c r="A7104">
        <f ca="1">30335.2893467371*((RANDBETWEEN(2979,3282)))</f>
        <v>93250679.451869726</v>
      </c>
      <c r="B7104">
        <v>150850360.97524124</v>
      </c>
    </row>
    <row r="7105" spans="1:2" x14ac:dyDescent="0.25">
      <c r="A7105">
        <f ca="1">30993.3957468025*((RANDBETWEEN(2979,3282)))</f>
        <v>94529857.027747676</v>
      </c>
      <c r="B7105">
        <v>152589911.81887487</v>
      </c>
    </row>
    <row r="7106" spans="1:2" x14ac:dyDescent="0.25">
      <c r="A7106">
        <f ca="1">33133.9509146479*((RANDBETWEEN(2979,3282)))</f>
        <v>105896107.1232146</v>
      </c>
      <c r="B7106">
        <v>162806567.65005553</v>
      </c>
    </row>
    <row r="7107" spans="1:2" x14ac:dyDescent="0.25">
      <c r="A7107">
        <f ca="1">29207.7158932476*((RANDBETWEEN(2979,3282)))</f>
        <v>88148886.565821111</v>
      </c>
      <c r="B7107">
        <v>185379726.53357828</v>
      </c>
    </row>
    <row r="7108" spans="1:2" x14ac:dyDescent="0.25">
      <c r="A7108">
        <f ca="1">34013.4929529189*((RANDBETWEEN(2979,3282)))</f>
        <v>106394205.95673028</v>
      </c>
      <c r="B7108">
        <v>181710706.2361111</v>
      </c>
    </row>
    <row r="7109" spans="1:2" x14ac:dyDescent="0.25">
      <c r="A7109">
        <f ca="1">34168.0509048277*((RANDBETWEEN(2979,3282)))</f>
        <v>106877663.23030102</v>
      </c>
      <c r="B7109">
        <v>179098310.6102612</v>
      </c>
    </row>
    <row r="7110" spans="1:2" x14ac:dyDescent="0.25">
      <c r="A7110">
        <f ca="1">36421.0655213515*((RANDBETWEEN(2979,3282)))</f>
        <v>112322566.06784795</v>
      </c>
      <c r="B7110">
        <v>157603814.68734235</v>
      </c>
    </row>
    <row r="7111" spans="1:2" x14ac:dyDescent="0.25">
      <c r="A7111">
        <f ca="1">30921.6348840423*((RANDBETWEEN(2979,3282)))</f>
        <v>95114948.903314218</v>
      </c>
      <c r="B7111">
        <v>203361145.79695982</v>
      </c>
    </row>
    <row r="7112" spans="1:2" x14ac:dyDescent="0.25">
      <c r="A7112">
        <f ca="1">29250.8618507455*((RANDBETWEEN(2979,3282)))</f>
        <v>95357809.633430198</v>
      </c>
      <c r="B7112">
        <v>189612924.06922209</v>
      </c>
    </row>
    <row r="7113" spans="1:2" x14ac:dyDescent="0.25">
      <c r="A7113">
        <f ca="1">30479.903132816*((RANDBETWEEN(2979,3282)))</f>
        <v>96316493.89969866</v>
      </c>
      <c r="B7113">
        <v>192394366.50395468</v>
      </c>
    </row>
    <row r="7114" spans="1:2" x14ac:dyDescent="0.25">
      <c r="A7114">
        <f ca="1">35311.7564874078*((RANDBETWEEN(2979,3282)))</f>
        <v>115681314.25274782</v>
      </c>
      <c r="B7114">
        <v>170435481.09425211</v>
      </c>
    </row>
    <row r="7115" spans="1:2" x14ac:dyDescent="0.25">
      <c r="A7115">
        <f ca="1">32228.0431456393*((RANDBETWEEN(2979,3282)))</f>
        <v>96716357.480063483</v>
      </c>
      <c r="B7115">
        <v>169093663.34431028</v>
      </c>
    </row>
    <row r="7116" spans="1:2" x14ac:dyDescent="0.25">
      <c r="A7116">
        <f ca="1">30794.3504358881*((RANDBETWEEN(2979,3282)))</f>
        <v>94723421.940791741</v>
      </c>
      <c r="B7116">
        <v>176411018.20679778</v>
      </c>
    </row>
    <row r="7117" spans="1:2" x14ac:dyDescent="0.25">
      <c r="A7117">
        <f ca="1">34702.2964618267*((RANDBETWEEN(2979,3282)))</f>
        <v>111220860.16015451</v>
      </c>
      <c r="B7117">
        <v>143689229.51754037</v>
      </c>
    </row>
    <row r="7118" spans="1:2" x14ac:dyDescent="0.25">
      <c r="A7118">
        <f ca="1">31345.6989147324*((RANDBETWEEN(2979,3282)))</f>
        <v>101434681.68807414</v>
      </c>
      <c r="B7118">
        <v>165374391.64229235</v>
      </c>
    </row>
    <row r="7119" spans="1:2" x14ac:dyDescent="0.25">
      <c r="A7119">
        <f ca="1">33794.7322551872*((RANDBETWEEN(2979,3282)))</f>
        <v>102904959.71704499</v>
      </c>
      <c r="B7119">
        <v>170206560.44494152</v>
      </c>
    </row>
    <row r="7120" spans="1:2" x14ac:dyDescent="0.25">
      <c r="A7120">
        <f ca="1">32845.9508124512*((RANDBETWEEN(2979,3282)))</f>
        <v>107439105.10752781</v>
      </c>
      <c r="B7120">
        <v>144619939.73199522</v>
      </c>
    </row>
    <row r="7121" spans="1:2" x14ac:dyDescent="0.25">
      <c r="A7121">
        <f ca="1">31470.985250261*((RANDBETWEEN(2979,3282)))</f>
        <v>98252415.951314703</v>
      </c>
      <c r="B7121">
        <v>163358921.78404251</v>
      </c>
    </row>
    <row r="7122" spans="1:2" x14ac:dyDescent="0.25">
      <c r="A7122">
        <f ca="1">36435.6029880806*((RANDBETWEEN(2979,3282)))</f>
        <v>118561452.1232142</v>
      </c>
      <c r="B7122">
        <v>151038184.10703832</v>
      </c>
    </row>
    <row r="7123" spans="1:2" x14ac:dyDescent="0.25">
      <c r="A7123">
        <f ca="1">36806.7447234781*((RANDBETWEEN(2979,3282)))</f>
        <v>110088973.46792302</v>
      </c>
      <c r="B7123">
        <v>183988498.59678343</v>
      </c>
    </row>
    <row r="7124" spans="1:2" x14ac:dyDescent="0.25">
      <c r="A7124">
        <f ca="1">28539.2814460756*((RANDBETWEEN(2979,3282)))</f>
        <v>91125925.657319337</v>
      </c>
      <c r="B7124">
        <v>178955131.62114662</v>
      </c>
    </row>
    <row r="7125" spans="1:2" x14ac:dyDescent="0.25">
      <c r="A7125">
        <f ca="1">31612.5565068358*((RANDBETWEEN(2979,3282)))</f>
        <v>96797648.023931071</v>
      </c>
      <c r="B7125">
        <v>187304160.21255448</v>
      </c>
    </row>
    <row r="7126" spans="1:2" x14ac:dyDescent="0.25">
      <c r="A7126">
        <f ca="1">33249.6751305336*((RANDBETWEEN(2979,3282)))</f>
        <v>101478008.49838859</v>
      </c>
      <c r="B7126">
        <v>167263049.05416709</v>
      </c>
    </row>
    <row r="7127" spans="1:2" x14ac:dyDescent="0.25">
      <c r="A7127">
        <f ca="1">31834.5280423743*((RANDBETWEEN(2979,3282)))</f>
        <v>95758260.351462036</v>
      </c>
      <c r="B7127">
        <v>148504565.51127601</v>
      </c>
    </row>
    <row r="7128" spans="1:2" x14ac:dyDescent="0.25">
      <c r="A7128">
        <f ca="1">29916.603245563*((RANDBETWEEN(2979,3282)))</f>
        <v>96122046.227994069</v>
      </c>
      <c r="B7128">
        <v>154169249.67758933</v>
      </c>
    </row>
    <row r="7129" spans="1:2" x14ac:dyDescent="0.25">
      <c r="A7129">
        <f ca="1">32004.4307603566*((RANDBETWEEN(2979,3282)))</f>
        <v>102766227.17150517</v>
      </c>
      <c r="B7129">
        <v>147877770.2277309</v>
      </c>
    </row>
    <row r="7130" spans="1:2" x14ac:dyDescent="0.25">
      <c r="A7130">
        <f ca="1">30503.5073379318*((RANDBETWEEN(2979,3282)))</f>
        <v>99410930.414319649</v>
      </c>
      <c r="B7130">
        <v>165162014.45462364</v>
      </c>
    </row>
    <row r="7131" spans="1:2" x14ac:dyDescent="0.25">
      <c r="A7131">
        <f ca="1">39975.703794132*((RANDBETWEEN(2979,3282)))</f>
        <v>124044608.87319154</v>
      </c>
      <c r="B7131">
        <v>148476642.29039824</v>
      </c>
    </row>
    <row r="7132" spans="1:2" x14ac:dyDescent="0.25">
      <c r="A7132">
        <f ca="1">33267.471740097*((RANDBETWEEN(2979,3282)))</f>
        <v>104193721.48998393</v>
      </c>
      <c r="B7132">
        <v>171555107.04370159</v>
      </c>
    </row>
    <row r="7133" spans="1:2" x14ac:dyDescent="0.25">
      <c r="A7133">
        <f ca="1">36781.240893846*((RANDBETWEEN(2979,3282)))</f>
        <v>119686157.86857486</v>
      </c>
      <c r="B7133">
        <v>157247109.80720887</v>
      </c>
    </row>
    <row r="7134" spans="1:2" x14ac:dyDescent="0.25">
      <c r="A7134">
        <f ca="1">28717.1611369238*((RANDBETWEEN(2979,3282)))</f>
        <v>88592442.10740979</v>
      </c>
      <c r="B7134">
        <v>161224744.82883134</v>
      </c>
    </row>
    <row r="7135" spans="1:2" x14ac:dyDescent="0.25">
      <c r="A7135">
        <f ca="1">28802.9759671931*((RANDBETWEEN(2979,3282)))</f>
        <v>94502564.148360461</v>
      </c>
      <c r="B7135">
        <v>172556504.82841757</v>
      </c>
    </row>
    <row r="7136" spans="1:2" x14ac:dyDescent="0.25">
      <c r="A7136">
        <f ca="1">35634.813203725*((RANDBETWEEN(2979,3282)))</f>
        <v>109398876.53543581</v>
      </c>
      <c r="B7136">
        <v>158581164.9013305</v>
      </c>
    </row>
    <row r="7137" spans="1:2" x14ac:dyDescent="0.25">
      <c r="A7137">
        <f ca="1">33523.9321421648*((RANDBETWEEN(2979,3282)))</f>
        <v>102884947.74430372</v>
      </c>
      <c r="B7137">
        <v>170318635.41164485</v>
      </c>
    </row>
    <row r="7138" spans="1:2" x14ac:dyDescent="0.25">
      <c r="A7138">
        <f ca="1">34090.9743501215*((RANDBETWEEN(2979,3282)))</f>
        <v>104932019.04967406</v>
      </c>
      <c r="B7138">
        <v>147038777.92929226</v>
      </c>
    </row>
    <row r="7139" spans="1:2" x14ac:dyDescent="0.25">
      <c r="A7139">
        <f ca="1">30719.0976320044*((RANDBETWEEN(2979,3282)))</f>
        <v>99837067.30401434</v>
      </c>
      <c r="B7139">
        <v>189992316.96072018</v>
      </c>
    </row>
    <row r="7140" spans="1:2" x14ac:dyDescent="0.25">
      <c r="A7140">
        <f ca="1">34738.8164012205*((RANDBETWEEN(2979,3282)))</f>
        <v>109635704.56225179</v>
      </c>
      <c r="B7140">
        <v>156509788.70257795</v>
      </c>
    </row>
    <row r="7141" spans="1:2" x14ac:dyDescent="0.25">
      <c r="A7141">
        <f ca="1">32102.8572628765*((RANDBETWEEN(2979,3282)))</f>
        <v>102022880.38142164</v>
      </c>
      <c r="B7141">
        <v>158383162.51499128</v>
      </c>
    </row>
    <row r="7142" spans="1:2" x14ac:dyDescent="0.25">
      <c r="A7142">
        <f ca="1">32276.7002947419*((RANDBETWEEN(2979,3282)))</f>
        <v>105544809.96380596</v>
      </c>
      <c r="B7142">
        <v>187777484.38396215</v>
      </c>
    </row>
    <row r="7143" spans="1:2" x14ac:dyDescent="0.25">
      <c r="A7143">
        <f ca="1">32551.3337027253*((RANDBETWEEN(2979,3282)))</f>
        <v>101136993.81436743</v>
      </c>
      <c r="B7143">
        <v>190483763.06163147</v>
      </c>
    </row>
    <row r="7144" spans="1:2" x14ac:dyDescent="0.25">
      <c r="A7144">
        <f ca="1">33604.7962117536*((RANDBETWEEN(2979,3282)))</f>
        <v>109988498.00106944</v>
      </c>
      <c r="B7144">
        <v>187482867.53840086</v>
      </c>
    </row>
    <row r="7145" spans="1:2" x14ac:dyDescent="0.25">
      <c r="A7145">
        <f ca="1">32562.6090859175*((RANDBETWEEN(2979,3282)))</f>
        <v>102376842.96612446</v>
      </c>
      <c r="B7145">
        <v>166850315.4785212</v>
      </c>
    </row>
    <row r="7146" spans="1:2" x14ac:dyDescent="0.25">
      <c r="A7146">
        <f ca="1">32074.6485201228*((RANDBETWEEN(2979,3282)))</f>
        <v>101837009.05138989</v>
      </c>
      <c r="B7146">
        <v>154598787.3769111</v>
      </c>
    </row>
    <row r="7147" spans="1:2" x14ac:dyDescent="0.25">
      <c r="A7147">
        <f ca="1">32014.9174437927*((RANDBETWEEN(2979,3282)))</f>
        <v>104048481.69232641</v>
      </c>
      <c r="B7147">
        <v>152951984.56210035</v>
      </c>
    </row>
    <row r="7148" spans="1:2" x14ac:dyDescent="0.25">
      <c r="A7148">
        <f ca="1">30664.0598441831*((RANDBETWEEN(2979,3282)))</f>
        <v>94690616.798837513</v>
      </c>
      <c r="B7148">
        <v>186840854.31173268</v>
      </c>
    </row>
    <row r="7149" spans="1:2" x14ac:dyDescent="0.25">
      <c r="A7149">
        <f ca="1">33979.8768797959*((RANDBETWEEN(2979,3282)))</f>
        <v>103502704.97585824</v>
      </c>
      <c r="B7149">
        <v>166245798.80066803</v>
      </c>
    </row>
    <row r="7150" spans="1:2" x14ac:dyDescent="0.25">
      <c r="A7150">
        <f ca="1">33185.1176556393*((RANDBETWEEN(2979,3282)))</f>
        <v>99887204.143474415</v>
      </c>
      <c r="B7150">
        <v>158074599.57349467</v>
      </c>
    </row>
    <row r="7151" spans="1:2" x14ac:dyDescent="0.25">
      <c r="A7151">
        <f ca="1">33637.9073320066*((RANDBETWEEN(2979,3282)))</f>
        <v>110298698.14164948</v>
      </c>
      <c r="B7151">
        <v>146658967.4050563</v>
      </c>
    </row>
    <row r="7152" spans="1:2" x14ac:dyDescent="0.25">
      <c r="A7152">
        <f ca="1">39723.9301448914*((RANDBETWEEN(2979,3282)))</f>
        <v>126878232.88278317</v>
      </c>
      <c r="B7152">
        <v>166570912.62159622</v>
      </c>
    </row>
    <row r="7153" spans="1:2" x14ac:dyDescent="0.25">
      <c r="A7153">
        <f ca="1">34867.8644308383*((RANDBETWEEN(2979,3282)))</f>
        <v>107602229.63356693</v>
      </c>
      <c r="B7153">
        <v>144772892.72234845</v>
      </c>
    </row>
    <row r="7154" spans="1:2" x14ac:dyDescent="0.25">
      <c r="A7154">
        <f ca="1">32151.3371248154*((RANDBETWEEN(2979,3282)))</f>
        <v>98093729.567811832</v>
      </c>
      <c r="B7154">
        <v>172882052.6329034</v>
      </c>
    </row>
    <row r="7155" spans="1:2" x14ac:dyDescent="0.25">
      <c r="A7155">
        <f ca="1">41990.1439461402*((RANDBETWEEN(2979,3282)))</f>
        <v>129959495.51330404</v>
      </c>
      <c r="B7155">
        <v>191586919.84012753</v>
      </c>
    </row>
    <row r="7156" spans="1:2" x14ac:dyDescent="0.25">
      <c r="A7156">
        <f ca="1">36904.8968750395*((RANDBETWEEN(2979,3282)))</f>
        <v>116582569.22824988</v>
      </c>
      <c r="B7156">
        <v>177413286.02356336</v>
      </c>
    </row>
    <row r="7157" spans="1:2" x14ac:dyDescent="0.25">
      <c r="A7157">
        <f ca="1">31178.4231790055*((RANDBETWEEN(2979,3282)))</f>
        <v>96996074.509886041</v>
      </c>
      <c r="B7157">
        <v>183318935.18837842</v>
      </c>
    </row>
    <row r="7158" spans="1:2" x14ac:dyDescent="0.25">
      <c r="A7158">
        <f ca="1">32689.0956789694*((RANDBETWEEN(2979,3282)))</f>
        <v>104735862.55541809</v>
      </c>
      <c r="B7158">
        <v>192247477.85180965</v>
      </c>
    </row>
    <row r="7159" spans="1:2" x14ac:dyDescent="0.25">
      <c r="A7159">
        <f ca="1">29030.2611888155*((RANDBETWEEN(2979,3282)))</f>
        <v>92606533.192321464</v>
      </c>
      <c r="B7159">
        <v>146824656.13004693</v>
      </c>
    </row>
    <row r="7160" spans="1:2" x14ac:dyDescent="0.25">
      <c r="A7160">
        <f ca="1">32954.3294249502*((RANDBETWEEN(2979,3282)))</f>
        <v>101301608.65229696</v>
      </c>
      <c r="B7160">
        <v>180792784.96865633</v>
      </c>
    </row>
    <row r="7161" spans="1:2" x14ac:dyDescent="0.25">
      <c r="A7161">
        <f ca="1">36675.8029978618*((RANDBETWEEN(2979,3282)))</f>
        <v>109587299.35761116</v>
      </c>
      <c r="B7161">
        <v>187961446.12243751</v>
      </c>
    </row>
    <row r="7162" spans="1:2" x14ac:dyDescent="0.25">
      <c r="A7162">
        <f ca="1">38806.648418309*((RANDBETWEEN(2979,3282)))</f>
        <v>115605005.63814262</v>
      </c>
      <c r="B7162">
        <v>155982469.35909432</v>
      </c>
    </row>
    <row r="7163" spans="1:2" x14ac:dyDescent="0.25">
      <c r="A7163">
        <f ca="1">35582.3975990801*((RANDBETWEEN(2979,3282)))</f>
        <v>116176528.16099659</v>
      </c>
      <c r="B7163">
        <v>156852020.34214842</v>
      </c>
    </row>
    <row r="7164" spans="1:2" x14ac:dyDescent="0.25">
      <c r="A7164">
        <f ca="1">35868.5672297653*((RANDBETWEEN(2979,3282)))</f>
        <v>113093592.47545008</v>
      </c>
      <c r="B7164">
        <v>149644059.10882771</v>
      </c>
    </row>
    <row r="7165" spans="1:2" x14ac:dyDescent="0.25">
      <c r="A7165">
        <f ca="1">31846.5799969051*((RANDBETWEEN(2979,3282)))</f>
        <v>99329483.010346949</v>
      </c>
      <c r="B7165">
        <v>163912553.14456457</v>
      </c>
    </row>
    <row r="7166" spans="1:2" x14ac:dyDescent="0.25">
      <c r="A7166">
        <f ca="1">31639.7294463753*((RANDBETWEEN(2979,3282)))</f>
        <v>99127272.355493709</v>
      </c>
      <c r="B7166">
        <v>179747098.68062773</v>
      </c>
    </row>
    <row r="7167" spans="1:2" x14ac:dyDescent="0.25">
      <c r="A7167">
        <f ca="1">36135.0189089638*((RANDBETWEEN(2979,3282)))</f>
        <v>108549596.80252713</v>
      </c>
      <c r="B7167">
        <v>179119091.84350967</v>
      </c>
    </row>
    <row r="7168" spans="1:2" x14ac:dyDescent="0.25">
      <c r="A7168">
        <f ca="1">39505.5184056334*((RANDBETWEEN(2979,3282)))</f>
        <v>120057270.43471988</v>
      </c>
      <c r="B7168">
        <v>151968243.76161724</v>
      </c>
    </row>
    <row r="7169" spans="1:2" x14ac:dyDescent="0.25">
      <c r="A7169">
        <f ca="1">30302.1601012272*((RANDBETWEEN(2979,3282)))</f>
        <v>93148840.151172459</v>
      </c>
      <c r="B7169">
        <v>172049777.93852195</v>
      </c>
    </row>
    <row r="7170" spans="1:2" x14ac:dyDescent="0.25">
      <c r="A7170">
        <f ca="1">30665.3327316742*((RANDBETWEEN(2979,3282)))</f>
        <v>91934667.529559106</v>
      </c>
      <c r="B7170">
        <v>165637505.83236149</v>
      </c>
    </row>
    <row r="7171" spans="1:2" x14ac:dyDescent="0.25">
      <c r="A7171">
        <f ca="1">35949.0873564637*((RANDBETWEEN(2979,3282)))</f>
        <v>116762635.73379405</v>
      </c>
      <c r="B7171">
        <v>154942215.04633796</v>
      </c>
    </row>
    <row r="7172" spans="1:2" x14ac:dyDescent="0.25">
      <c r="A7172">
        <f ca="1">32556.2686439497*((RANDBETWEEN(2979,3282)))</f>
        <v>104440509.80979076</v>
      </c>
      <c r="B7172">
        <v>160166381.22062999</v>
      </c>
    </row>
    <row r="7173" spans="1:2" x14ac:dyDescent="0.25">
      <c r="A7173">
        <f ca="1">30675.8073057511*((RANDBETWEEN(2979,3282)))</f>
        <v>92886344.521814197</v>
      </c>
      <c r="B7173">
        <v>150515980.70506394</v>
      </c>
    </row>
    <row r="7174" spans="1:2" x14ac:dyDescent="0.25">
      <c r="A7174">
        <f ca="1">32277.7295098281*((RANDBETWEEN(2979,3282)))</f>
        <v>96962299.447523683</v>
      </c>
      <c r="B7174">
        <v>143032626.43705401</v>
      </c>
    </row>
    <row r="7175" spans="1:2" x14ac:dyDescent="0.25">
      <c r="A7175">
        <f ca="1">31471.7035636181*((RANDBETWEEN(2979,3282)))</f>
        <v>96429299.718925878</v>
      </c>
      <c r="B7175">
        <v>162060926.72355771</v>
      </c>
    </row>
    <row r="7176" spans="1:2" x14ac:dyDescent="0.25">
      <c r="A7176">
        <f ca="1">34294.9393294604*((RANDBETWEEN(2979,3282)))</f>
        <v>106177132.16400969</v>
      </c>
      <c r="B7176">
        <v>147170733.4311735</v>
      </c>
    </row>
    <row r="7177" spans="1:2" x14ac:dyDescent="0.25">
      <c r="A7177">
        <f ca="1">31528.2639461937*((RANDBETWEEN(2979,3282)))</f>
        <v>102183103.44961363</v>
      </c>
      <c r="B7177">
        <v>176322525.67998368</v>
      </c>
    </row>
    <row r="7178" spans="1:2" x14ac:dyDescent="0.25">
      <c r="A7178">
        <f ca="1">28525.716932684*((RANDBETWEEN(2979,3282)))</f>
        <v>87887733.869599536</v>
      </c>
      <c r="B7178">
        <v>191863105.75582331</v>
      </c>
    </row>
    <row r="7179" spans="1:2" x14ac:dyDescent="0.25">
      <c r="A7179">
        <f ca="1">32080.9876546344*((RANDBETWEEN(2979,3282)))</f>
        <v>98071579.260217279</v>
      </c>
      <c r="B7179">
        <v>177208244.50047019</v>
      </c>
    </row>
    <row r="7180" spans="1:2" x14ac:dyDescent="0.25">
      <c r="A7180">
        <f ca="1">35109.6939094359*((RANDBETWEEN(2979,3282)))</f>
        <v>104661997.54402843</v>
      </c>
      <c r="B7180">
        <v>195263655.0742698</v>
      </c>
    </row>
    <row r="7181" spans="1:2" x14ac:dyDescent="0.25">
      <c r="A7181">
        <f ca="1">30536.7112797557*((RANDBETWEEN(2979,3282)))</f>
        <v>96709764.622986406</v>
      </c>
      <c r="B7181">
        <v>155741750.02652553</v>
      </c>
    </row>
    <row r="7182" spans="1:2" x14ac:dyDescent="0.25">
      <c r="A7182">
        <f ca="1">31312.4429836256*((RANDBETWEEN(2979,3282)))</f>
        <v>101514940.15291424</v>
      </c>
      <c r="B7182">
        <v>203082330.99941987</v>
      </c>
    </row>
    <row r="7183" spans="1:2" x14ac:dyDescent="0.25">
      <c r="A7183">
        <f ca="1">34479.8075292175*((RANDBETWEEN(2979,3282)))</f>
        <v>112473132.16030756</v>
      </c>
      <c r="B7183">
        <v>147208167.71811149</v>
      </c>
    </row>
    <row r="7184" spans="1:2" x14ac:dyDescent="0.25">
      <c r="A7184">
        <f ca="1">35468.3242950705*((RANDBETWEEN(2979,3282)))</f>
        <v>116407040.33642146</v>
      </c>
      <c r="B7184">
        <v>165257006.6449284</v>
      </c>
    </row>
    <row r="7185" spans="1:2" x14ac:dyDescent="0.25">
      <c r="A7185">
        <f ca="1">31036.807548476*((RANDBETWEEN(2979,3282)))</f>
        <v>93296643.490718991</v>
      </c>
      <c r="B7185">
        <v>167547794.36514133</v>
      </c>
    </row>
    <row r="7186" spans="1:2" x14ac:dyDescent="0.25">
      <c r="A7186">
        <f ca="1">31917.1316922242*((RANDBETWEEN(2979,3282)))</f>
        <v>95400306.62805815</v>
      </c>
      <c r="B7186">
        <v>169565033.27251419</v>
      </c>
    </row>
    <row r="7187" spans="1:2" x14ac:dyDescent="0.25">
      <c r="A7187">
        <f ca="1">34884.5583434318*((RANDBETWEEN(2979,3282)))</f>
        <v>111700355.81566869</v>
      </c>
      <c r="B7187">
        <v>166145217.09969801</v>
      </c>
    </row>
    <row r="7188" spans="1:2" x14ac:dyDescent="0.25">
      <c r="A7188">
        <f ca="1">39450.0083991094*((RANDBETWEEN(2979,3282)))</f>
        <v>128528127.36429852</v>
      </c>
      <c r="B7188">
        <v>189566279.67689845</v>
      </c>
    </row>
    <row r="7189" spans="1:2" x14ac:dyDescent="0.25">
      <c r="A7189">
        <f ca="1">29473.1844959352*((RANDBETWEEN(2979,3282)))</f>
        <v>92074228.365301549</v>
      </c>
      <c r="B7189">
        <v>163616207.16662645</v>
      </c>
    </row>
    <row r="7190" spans="1:2" x14ac:dyDescent="0.25">
      <c r="A7190">
        <f ca="1">30388.5116358463*((RANDBETWEEN(2979,3282)))</f>
        <v>97972561.513968393</v>
      </c>
      <c r="B7190">
        <v>195231541.28064695</v>
      </c>
    </row>
    <row r="7191" spans="1:2" x14ac:dyDescent="0.25">
      <c r="A7191">
        <f ca="1">33161.6090564417*((RANDBETWEEN(2979,3282)))</f>
        <v>102502533.59346123</v>
      </c>
      <c r="B7191">
        <v>178594447.06786612</v>
      </c>
    </row>
    <row r="7192" spans="1:2" x14ac:dyDescent="0.25">
      <c r="A7192">
        <f ca="1">40177.9651742503*((RANDBETWEEN(2979,3282)))</f>
        <v>130779276.64218484</v>
      </c>
      <c r="B7192">
        <v>176970324.71921235</v>
      </c>
    </row>
    <row r="7193" spans="1:2" x14ac:dyDescent="0.25">
      <c r="A7193">
        <f ca="1">30664.2163625634*((RANDBETWEEN(2979,3282)))</f>
        <v>95365712.887572274</v>
      </c>
      <c r="B7193">
        <v>189212291.01587516</v>
      </c>
    </row>
    <row r="7194" spans="1:2" x14ac:dyDescent="0.25">
      <c r="A7194">
        <f ca="1">30018.3541973511*((RANDBETWEEN(2979,3282)))</f>
        <v>96809192.286457255</v>
      </c>
      <c r="B7194">
        <v>192833905.04867703</v>
      </c>
    </row>
    <row r="7195" spans="1:2" x14ac:dyDescent="0.25">
      <c r="A7195">
        <f ca="1">38582.852753743*((RANDBETWEEN(2979,3282)))</f>
        <v>126397425.62126222</v>
      </c>
      <c r="B7195">
        <v>169302045.68891537</v>
      </c>
    </row>
    <row r="7196" spans="1:2" x14ac:dyDescent="0.25">
      <c r="A7196">
        <f ca="1">31284.0116121771*((RANDBETWEEN(2979,3282)))</f>
        <v>100233973.20541555</v>
      </c>
      <c r="B7196">
        <v>157499048.93328363</v>
      </c>
    </row>
    <row r="7197" spans="1:2" x14ac:dyDescent="0.25">
      <c r="A7197">
        <f ca="1">32144.9491002004*((RANDBETWEEN(2979,3282)))</f>
        <v>103442446.20444493</v>
      </c>
      <c r="B7197">
        <v>195503006.48069641</v>
      </c>
    </row>
    <row r="7198" spans="1:2" x14ac:dyDescent="0.25">
      <c r="A7198">
        <f ca="1">38676.4936767269*((RANDBETWEEN(2979,3282)))</f>
        <v>118079335.19504736</v>
      </c>
      <c r="B7198">
        <v>152739894.88098693</v>
      </c>
    </row>
    <row r="7199" spans="1:2" x14ac:dyDescent="0.25">
      <c r="A7199">
        <f ca="1">31748.9268721861*((RANDBETWEEN(2979,3282)))</f>
        <v>100136115.35487509</v>
      </c>
      <c r="B7199">
        <v>154696267.97279453</v>
      </c>
    </row>
    <row r="7200" spans="1:2" x14ac:dyDescent="0.25">
      <c r="A7200">
        <f ca="1">30452.2295784124*((RANDBETWEEN(2979,3282)))</f>
        <v>96838090.059351489</v>
      </c>
      <c r="B7200">
        <v>150582009.23132849</v>
      </c>
    </row>
    <row r="7201" spans="1:2" x14ac:dyDescent="0.25">
      <c r="A7201">
        <f ca="1">29594.5741329223*((RANDBETWEEN(2979,3282)))</f>
        <v>95205744.985611141</v>
      </c>
      <c r="B7201">
        <v>161863961.19102696</v>
      </c>
    </row>
    <row r="7202" spans="1:2" x14ac:dyDescent="0.25">
      <c r="A7202">
        <f ca="1">35678.5318021492*((RANDBETWEEN(2979,3282)))</f>
        <v>107071273.93824987</v>
      </c>
      <c r="B7202">
        <v>164557633.29313594</v>
      </c>
    </row>
    <row r="7203" spans="1:2" x14ac:dyDescent="0.25">
      <c r="A7203">
        <f ca="1">41720.3514308829*((RANDBETWEEN(2979,3282)))</f>
        <v>126245783.42985152</v>
      </c>
      <c r="B7203">
        <v>167342174.60443816</v>
      </c>
    </row>
    <row r="7204" spans="1:2" x14ac:dyDescent="0.25">
      <c r="A7204">
        <f ca="1">29604.5767268613*((RANDBETWEEN(2979,3282)))</f>
        <v>94142553.991418988</v>
      </c>
      <c r="B7204">
        <v>161761871.4608984</v>
      </c>
    </row>
    <row r="7205" spans="1:2" x14ac:dyDescent="0.25">
      <c r="A7205">
        <f ca="1">39181.9418538206*((RANDBETWEEN(2979,3282)))</f>
        <v>121542383.6305514</v>
      </c>
      <c r="B7205">
        <v>144234161.61140311</v>
      </c>
    </row>
    <row r="7206" spans="1:2" x14ac:dyDescent="0.25">
      <c r="A7206">
        <f ca="1">30094.286114125*((RANDBETWEEN(2979,3282)))</f>
        <v>97385109.865308389</v>
      </c>
      <c r="B7206">
        <v>145254481.66330376</v>
      </c>
    </row>
    <row r="7207" spans="1:2" x14ac:dyDescent="0.25">
      <c r="A7207">
        <f ca="1">36562.6928524062*((RANDBETWEEN(2979,3282)))</f>
        <v>116854366.35629006</v>
      </c>
      <c r="B7207">
        <v>197573206.67673194</v>
      </c>
    </row>
    <row r="7208" spans="1:2" x14ac:dyDescent="0.25">
      <c r="A7208">
        <f ca="1">41191.6327795043*((RANDBETWEEN(2979,3282)))</f>
        <v>124687072.42355962</v>
      </c>
      <c r="B7208">
        <v>158887733.12746781</v>
      </c>
    </row>
    <row r="7209" spans="1:2" x14ac:dyDescent="0.25">
      <c r="A7209">
        <f ca="1">31011.8407796861*((RANDBETWEEN(2979,3282)))</f>
        <v>100943541.73787829</v>
      </c>
      <c r="B7209">
        <v>149449906.91489881</v>
      </c>
    </row>
    <row r="7210" spans="1:2" x14ac:dyDescent="0.25">
      <c r="A7210">
        <f ca="1">33903.9761075068*((RANDBETWEEN(2979,3282)))</f>
        <v>109170803.06617174</v>
      </c>
      <c r="B7210">
        <v>157882688.65931472</v>
      </c>
    </row>
    <row r="7211" spans="1:2" x14ac:dyDescent="0.25">
      <c r="A7211">
        <f ca="1">34010.1316519501*((RANDBETWEEN(2979,3282)))</f>
        <v>106757803.25547133</v>
      </c>
      <c r="B7211">
        <v>186594940.93995586</v>
      </c>
    </row>
    <row r="7212" spans="1:2" x14ac:dyDescent="0.25">
      <c r="A7212">
        <f ca="1">34240.6103648798*((RANDBETWEEN(2979,3282)))</f>
        <v>108268809.97375</v>
      </c>
      <c r="B7212">
        <v>151772725.41661426</v>
      </c>
    </row>
    <row r="7213" spans="1:2" x14ac:dyDescent="0.25">
      <c r="A7213">
        <f ca="1">38396.4405005146*((RANDBETWEEN(2979,3282)))</f>
        <v>125210792.47217818</v>
      </c>
      <c r="B7213">
        <v>144715398.05706155</v>
      </c>
    </row>
    <row r="7214" spans="1:2" x14ac:dyDescent="0.25">
      <c r="A7214">
        <f ca="1">32057.6175302564*((RANDBETWEEN(2979,3282)))</f>
        <v>101013552.83783798</v>
      </c>
      <c r="B7214">
        <v>169358106.63067266</v>
      </c>
    </row>
    <row r="7215" spans="1:2" x14ac:dyDescent="0.25">
      <c r="A7215">
        <f ca="1">32295.7409765596*((RANDBETWEEN(2979,3282)))</f>
        <v>102894230.75131872</v>
      </c>
      <c r="B7215">
        <v>173535491.54174769</v>
      </c>
    </row>
    <row r="7216" spans="1:2" x14ac:dyDescent="0.25">
      <c r="A7216">
        <f ca="1">30372.3833157123*((RANDBETWEEN(2979,3282)))</f>
        <v>92149810.97987105</v>
      </c>
      <c r="B7216">
        <v>152783241.94114751</v>
      </c>
    </row>
    <row r="7217" spans="1:2" x14ac:dyDescent="0.25">
      <c r="A7217">
        <f ca="1">42231.585569897*((RANDBETWEEN(2979,3282)))</f>
        <v>130917915.26668078</v>
      </c>
      <c r="B7217">
        <v>174498238.74623248</v>
      </c>
    </row>
    <row r="7218" spans="1:2" x14ac:dyDescent="0.25">
      <c r="A7218">
        <f ca="1">32274.5910578264*((RANDBETWEEN(2979,3282)))</f>
        <v>99728486.368683666</v>
      </c>
      <c r="B7218">
        <v>201971419.52076983</v>
      </c>
    </row>
    <row r="7219" spans="1:2" x14ac:dyDescent="0.25">
      <c r="A7219">
        <f ca="1">30368.1981277567*((RANDBETWEEN(2979,3282)))</f>
        <v>92440795.100891322</v>
      </c>
      <c r="B7219">
        <v>166353984.96902615</v>
      </c>
    </row>
    <row r="7220" spans="1:2" x14ac:dyDescent="0.25">
      <c r="A7220">
        <f ca="1">39822.0024311687*((RANDBETWEEN(2979,3282)))</f>
        <v>127032187.75542827</v>
      </c>
      <c r="B7220">
        <v>174955144.99068633</v>
      </c>
    </row>
    <row r="7221" spans="1:2" x14ac:dyDescent="0.25">
      <c r="A7221">
        <f ca="1">27102.4568493262*((RANDBETWEEN(2979,3282)))</f>
        <v>87540935.623323515</v>
      </c>
      <c r="B7221">
        <v>144174958.43386051</v>
      </c>
    </row>
    <row r="7222" spans="1:2" x14ac:dyDescent="0.25">
      <c r="A7222">
        <f ca="1">34364.5044424449*((RANDBETWEEN(2979,3282)))</f>
        <v>110997349.34909707</v>
      </c>
      <c r="B7222">
        <v>144568096.63661909</v>
      </c>
    </row>
    <row r="7223" spans="1:2" x14ac:dyDescent="0.25">
      <c r="A7223">
        <f ca="1">27524.3278236495*((RANDBETWEEN(2979,3282)))</f>
        <v>82022496.91447562</v>
      </c>
      <c r="B7223">
        <v>202924272.76660648</v>
      </c>
    </row>
    <row r="7224" spans="1:2" x14ac:dyDescent="0.25">
      <c r="A7224">
        <f ca="1">35429.2620024561*((RANDBETWEEN(2979,3282)))</f>
        <v>111212453.42570968</v>
      </c>
      <c r="B7224">
        <v>186649568.75140342</v>
      </c>
    </row>
    <row r="7225" spans="1:2" x14ac:dyDescent="0.25">
      <c r="A7225">
        <f ca="1">32126.3277522876*((RANDBETWEEN(2979,3282)))</f>
        <v>100651784.84791714</v>
      </c>
      <c r="B7225">
        <v>174295411.38729835</v>
      </c>
    </row>
    <row r="7226" spans="1:2" x14ac:dyDescent="0.25">
      <c r="A7226">
        <f ca="1">31450.3660983178*((RANDBETWEEN(2979,3282)))</f>
        <v>94476899.759346604</v>
      </c>
      <c r="B7226">
        <v>157753591.22490096</v>
      </c>
    </row>
    <row r="7227" spans="1:2" x14ac:dyDescent="0.25">
      <c r="A7227">
        <f ca="1">29877.4763383485*((RANDBETWEEN(2979,3282)))</f>
        <v>91186057.784639537</v>
      </c>
      <c r="B7227">
        <v>143655721.35884678</v>
      </c>
    </row>
    <row r="7228" spans="1:2" x14ac:dyDescent="0.25">
      <c r="A7228">
        <f ca="1">32576.462010672*((RANDBETWEEN(2979,3282)))</f>
        <v>102420396.56155291</v>
      </c>
      <c r="B7228">
        <v>170958613.17378002</v>
      </c>
    </row>
    <row r="7229" spans="1:2" x14ac:dyDescent="0.25">
      <c r="A7229">
        <f ca="1">30174.8222148162*((RANDBETWEEN(2979,3282)))</f>
        <v>91369361.666463554</v>
      </c>
      <c r="B7229">
        <v>148415004.78792506</v>
      </c>
    </row>
    <row r="7230" spans="1:2" x14ac:dyDescent="0.25">
      <c r="A7230">
        <f ca="1">34381.1269614322*((RANDBETWEEN(2979,3282)))</f>
        <v>110122749.65746748</v>
      </c>
      <c r="B7230">
        <v>180013535.69470757</v>
      </c>
    </row>
    <row r="7231" spans="1:2" x14ac:dyDescent="0.25">
      <c r="A7231">
        <f ca="1">35055.1850218478*((RANDBETWEEN(2979,3282)))</f>
        <v>106672928.0214829</v>
      </c>
      <c r="B7231">
        <v>198991190.4588871</v>
      </c>
    </row>
    <row r="7232" spans="1:2" x14ac:dyDescent="0.25">
      <c r="A7232">
        <f ca="1">36304.999189543*((RANDBETWEEN(2979,3282)))</f>
        <v>110294587.53783154</v>
      </c>
      <c r="B7232">
        <v>147424900.72771448</v>
      </c>
    </row>
    <row r="7233" spans="1:2" x14ac:dyDescent="0.25">
      <c r="A7233">
        <f ca="1">39140.19481449*((RANDBETWEEN(2979,3282)))</f>
        <v>124818081.26340857</v>
      </c>
      <c r="B7233">
        <v>154402499.86501595</v>
      </c>
    </row>
    <row r="7234" spans="1:2" x14ac:dyDescent="0.25">
      <c r="A7234">
        <f ca="1">37413.9011868216*((RANDBETWEEN(2979,3282)))</f>
        <v>111792736.74622303</v>
      </c>
      <c r="B7234">
        <v>169565849.97629577</v>
      </c>
    </row>
    <row r="7235" spans="1:2" x14ac:dyDescent="0.25">
      <c r="A7235">
        <f ca="1">36803.8458030454*((RANDBETWEEN(2979,3282)))</f>
        <v>119244460.40186702</v>
      </c>
      <c r="B7235">
        <v>198549138.23616213</v>
      </c>
    </row>
    <row r="7236" spans="1:2" x14ac:dyDescent="0.25">
      <c r="A7236">
        <f ca="1">36522.0084024024*((RANDBETWEEN(2979,3282)))</f>
        <v>116687816.84567572</v>
      </c>
      <c r="B7236">
        <v>146597972.38063926</v>
      </c>
    </row>
    <row r="7237" spans="1:2" x14ac:dyDescent="0.25">
      <c r="A7237">
        <f ca="1">31363.1293988537*((RANDBETWEEN(2979,3282)))</f>
        <v>99358393.935568616</v>
      </c>
      <c r="B7237">
        <v>194852058.89674768</v>
      </c>
    </row>
    <row r="7238" spans="1:2" x14ac:dyDescent="0.25">
      <c r="A7238">
        <f ca="1">32248.7425982025*((RANDBETWEEN(2979,3282)))</f>
        <v>102551001.46228406</v>
      </c>
      <c r="B7238">
        <v>147083539.31044924</v>
      </c>
    </row>
    <row r="7239" spans="1:2" x14ac:dyDescent="0.25">
      <c r="A7239">
        <f ca="1">30210.3222985957*((RANDBETWEEN(2979,3282)))</f>
        <v>93803050.737139657</v>
      </c>
      <c r="B7239">
        <v>143862435.21158013</v>
      </c>
    </row>
    <row r="7240" spans="1:2" x14ac:dyDescent="0.25">
      <c r="A7240">
        <f ca="1">31898.1277150213*((RANDBETWEEN(2979,3282)))</f>
        <v>95853873.783639118</v>
      </c>
      <c r="B7240">
        <v>167386445.38934612</v>
      </c>
    </row>
    <row r="7241" spans="1:2" x14ac:dyDescent="0.25">
      <c r="A7241">
        <f ca="1">41728.3586951174*((RANDBETWEEN(2979,3282)))</f>
        <v>129399640.31355892</v>
      </c>
      <c r="B7241">
        <v>170306156.41268098</v>
      </c>
    </row>
    <row r="7242" spans="1:2" x14ac:dyDescent="0.25">
      <c r="A7242">
        <f ca="1">39676.1698082129*((RANDBETWEEN(2979,3282)))</f>
        <v>124107059.16009001</v>
      </c>
      <c r="B7242">
        <v>192984570.0417743</v>
      </c>
    </row>
    <row r="7243" spans="1:2" x14ac:dyDescent="0.25">
      <c r="A7243">
        <f ca="1">33771.5728348118*((RANDBETWEEN(2979,3282)))</f>
        <v>100909459.63041754</v>
      </c>
      <c r="B7243">
        <v>158210923.95941561</v>
      </c>
    </row>
    <row r="7244" spans="1:2" x14ac:dyDescent="0.25">
      <c r="A7244">
        <f ca="1">35489.3872759026*((RANDBETWEEN(2979,3282)))</f>
        <v>114488763.35206166</v>
      </c>
      <c r="B7244">
        <v>184862750.62563211</v>
      </c>
    </row>
    <row r="7245" spans="1:2" x14ac:dyDescent="0.25">
      <c r="A7245">
        <f ca="1">30074.01311538*((RANDBETWEEN(2979,3282)))</f>
        <v>93650476.841293335</v>
      </c>
      <c r="B7245">
        <v>149434576.8632583</v>
      </c>
    </row>
    <row r="7246" spans="1:2" x14ac:dyDescent="0.25">
      <c r="A7246">
        <f ca="1">40639.0035486081*((RANDBETWEEN(2979,3282)))</f>
        <v>131101425.44780965</v>
      </c>
      <c r="B7246">
        <v>179018404.64880013</v>
      </c>
    </row>
    <row r="7247" spans="1:2" x14ac:dyDescent="0.25">
      <c r="A7247">
        <f ca="1">37149.8717411816*((RANDBETWEEN(2979,3282)))</f>
        <v>121442930.72192276</v>
      </c>
      <c r="B7247">
        <v>193267611.124841</v>
      </c>
    </row>
    <row r="7248" spans="1:2" x14ac:dyDescent="0.25">
      <c r="A7248">
        <f ca="1">33602.0817141207*((RANDBETWEEN(2979,3282)))</f>
        <v>103628820.00634818</v>
      </c>
      <c r="B7248">
        <v>147295002.58270875</v>
      </c>
    </row>
    <row r="7249" spans="1:2" x14ac:dyDescent="0.25">
      <c r="A7249">
        <f ca="1">32495.4878668328*((RANDBETWEEN(2979,3282)))</f>
        <v>103465633.36799574</v>
      </c>
      <c r="B7249">
        <v>147895218.03131688</v>
      </c>
    </row>
    <row r="7250" spans="1:2" x14ac:dyDescent="0.25">
      <c r="A7250">
        <f ca="1">29976.5869420188*((RANDBETWEEN(2979,3282)))</f>
        <v>89869807.652172253</v>
      </c>
      <c r="B7250">
        <v>166026647.74714804</v>
      </c>
    </row>
    <row r="7251" spans="1:2" x14ac:dyDescent="0.25">
      <c r="A7251">
        <f ca="1">31667.3042377543*((RANDBETWEEN(2979,3282)))</f>
        <v>102665400.33879958</v>
      </c>
      <c r="B7251">
        <v>156116752.75514746</v>
      </c>
    </row>
    <row r="7252" spans="1:2" x14ac:dyDescent="0.25">
      <c r="A7252">
        <f ca="1">38609.9712969699*((RANDBETWEEN(2979,3282)))</f>
        <v>117258482.82889761</v>
      </c>
      <c r="B7252">
        <v>155611561.15535286</v>
      </c>
    </row>
    <row r="7253" spans="1:2" x14ac:dyDescent="0.25">
      <c r="A7253">
        <f ca="1">31816.4259375309*((RANDBETWEEN(2979,3282)))</f>
        <v>98662736.832283169</v>
      </c>
      <c r="B7253">
        <v>160766274.06310806</v>
      </c>
    </row>
    <row r="7254" spans="1:2" x14ac:dyDescent="0.25">
      <c r="A7254">
        <f ca="1">31085.1978983491*((RANDBETWEEN(2979,3282)))</f>
        <v>100529530.00326107</v>
      </c>
      <c r="B7254">
        <v>155003025.99231818</v>
      </c>
    </row>
    <row r="7255" spans="1:2" x14ac:dyDescent="0.25">
      <c r="A7255">
        <f ca="1">30370.2735415523*((RANDBETWEEN(2979,3282)))</f>
        <v>97488578.068382874</v>
      </c>
      <c r="B7255">
        <v>192191146.13842219</v>
      </c>
    </row>
    <row r="7256" spans="1:2" x14ac:dyDescent="0.25">
      <c r="A7256">
        <f ca="1">38322.7029729629*((RANDBETWEEN(2979,3282)))</f>
        <v>119068638.13699573</v>
      </c>
      <c r="B7256">
        <v>147145798.54745993</v>
      </c>
    </row>
    <row r="7257" spans="1:2" x14ac:dyDescent="0.25">
      <c r="A7257">
        <f ca="1">39164.9210627681*((RANDBETWEEN(2979,3282)))</f>
        <v>127873467.26993786</v>
      </c>
      <c r="B7257">
        <v>187662493.03758416</v>
      </c>
    </row>
    <row r="7258" spans="1:2" x14ac:dyDescent="0.25">
      <c r="A7258">
        <f ca="1">37624.4064836847*((RANDBETWEEN(2979,3282)))</f>
        <v>116071294.00216728</v>
      </c>
      <c r="B7258">
        <v>142988349.28985059</v>
      </c>
    </row>
    <row r="7259" spans="1:2" x14ac:dyDescent="0.25">
      <c r="A7259">
        <f ca="1">30907.5682801647*((RANDBETWEEN(2979,3282)))</f>
        <v>100233243.93257405</v>
      </c>
      <c r="B7259">
        <v>170091599.47902977</v>
      </c>
    </row>
    <row r="7260" spans="1:2" x14ac:dyDescent="0.25">
      <c r="A7260">
        <f ca="1">39219.6878406099*((RANDBETWEEN(2979,3282)))</f>
        <v>126601152.34948878</v>
      </c>
      <c r="B7260">
        <v>156042090.75842464</v>
      </c>
    </row>
    <row r="7261" spans="1:2" x14ac:dyDescent="0.25">
      <c r="A7261">
        <f ca="1">41247.2505079035*((RANDBETWEEN(2979,3282)))</f>
        <v>131661223.62122807</v>
      </c>
      <c r="B7261">
        <v>153645170.60751367</v>
      </c>
    </row>
    <row r="7262" spans="1:2" x14ac:dyDescent="0.25">
      <c r="A7262">
        <f ca="1">33027.437863589*((RANDBETWEEN(2979,3282)))</f>
        <v>104267621.33535032</v>
      </c>
      <c r="B7262">
        <v>201293676.68651384</v>
      </c>
    </row>
    <row r="7263" spans="1:2" x14ac:dyDescent="0.25">
      <c r="A7263">
        <f ca="1">36784.4564131272*((RANDBETWEEN(2979,3282)))</f>
        <v>115208917.48591447</v>
      </c>
      <c r="B7263">
        <v>164867224.67525613</v>
      </c>
    </row>
    <row r="7264" spans="1:2" x14ac:dyDescent="0.25">
      <c r="A7264">
        <f ca="1">32361.9397633517*((RANDBETWEEN(2979,3282)))</f>
        <v>102619710.98958822</v>
      </c>
      <c r="B7264">
        <v>176275577.65839934</v>
      </c>
    </row>
    <row r="7265" spans="1:2" x14ac:dyDescent="0.25">
      <c r="A7265">
        <f ca="1">41222.6150048947*((RANDBETWEEN(2979,3282)))</f>
        <v>131170360.94557507</v>
      </c>
      <c r="B7265">
        <v>143883801.62508234</v>
      </c>
    </row>
    <row r="7266" spans="1:2" x14ac:dyDescent="0.25">
      <c r="A7266">
        <f ca="1">39283.2407705879*((RANDBETWEEN(2979,3282)))</f>
        <v>118478254.16409302</v>
      </c>
      <c r="B7266">
        <v>162445903.62614402</v>
      </c>
    </row>
    <row r="7267" spans="1:2" x14ac:dyDescent="0.25">
      <c r="A7267">
        <f ca="1">30993.0757679905*((RANDBETWEEN(2979,3282)))</f>
        <v>97969112.502617851</v>
      </c>
      <c r="B7267">
        <v>194274614.90395775</v>
      </c>
    </row>
    <row r="7268" spans="1:2" x14ac:dyDescent="0.25">
      <c r="A7268">
        <f ca="1">30442.9092214442*((RANDBETWEEN(2979,3282)))</f>
        <v>91572270.938104212</v>
      </c>
      <c r="B7268">
        <v>147390698.1473037</v>
      </c>
    </row>
    <row r="7269" spans="1:2" x14ac:dyDescent="0.25">
      <c r="A7269">
        <f ca="1">38782.9257445926*((RANDBETWEEN(2979,3282)))</f>
        <v>121972301.46674389</v>
      </c>
      <c r="B7269">
        <v>196024747.75938535</v>
      </c>
    </row>
    <row r="7270" spans="1:2" x14ac:dyDescent="0.25">
      <c r="A7270">
        <f ca="1">32958.9114187198*((RANDBETWEEN(2979,3282)))</f>
        <v>105831064.56550914</v>
      </c>
      <c r="B7270">
        <v>155233827.99362561</v>
      </c>
    </row>
    <row r="7271" spans="1:2" x14ac:dyDescent="0.25">
      <c r="A7271">
        <f ca="1">32606.3184891971*((RANDBETWEEN(2979,3282)))</f>
        <v>100883949.40557574</v>
      </c>
      <c r="B7271">
        <v>167637967.11490476</v>
      </c>
    </row>
    <row r="7272" spans="1:2" x14ac:dyDescent="0.25">
      <c r="A7272">
        <f ca="1">32241.9147810595*((RANDBETWEEN(2979,3282)))</f>
        <v>103367578.78807686</v>
      </c>
      <c r="B7272">
        <v>143504662.9694269</v>
      </c>
    </row>
    <row r="7273" spans="1:2" x14ac:dyDescent="0.25">
      <c r="A7273">
        <f ca="1">30836.6284041012*((RANDBETWEEN(2979,3282)))</f>
        <v>100650755.11098617</v>
      </c>
      <c r="B7273">
        <v>164454917.20765767</v>
      </c>
    </row>
    <row r="7274" spans="1:2" x14ac:dyDescent="0.25">
      <c r="A7274">
        <f ca="1">40761.6868048351*((RANDBETWEEN(2979,3282)))</f>
        <v>133127669.10459156</v>
      </c>
      <c r="B7274">
        <v>178218364.13328892</v>
      </c>
    </row>
    <row r="7275" spans="1:2" x14ac:dyDescent="0.25">
      <c r="A7275">
        <f ca="1">32123.3391659808*((RANDBETWEEN(2979,3282)))</f>
        <v>105075442.41192313</v>
      </c>
      <c r="B7275">
        <v>143891521.55486631</v>
      </c>
    </row>
    <row r="7276" spans="1:2" x14ac:dyDescent="0.25">
      <c r="A7276">
        <f ca="1">29370.2790344776*((RANDBETWEEN(2979,3282)))</f>
        <v>89961164.68260476</v>
      </c>
      <c r="B7276">
        <v>200331406.38178623</v>
      </c>
    </row>
    <row r="7277" spans="1:2" x14ac:dyDescent="0.25">
      <c r="A7277">
        <f ca="1">33532.7066665952*((RANDBETWEEN(2979,3282)))</f>
        <v>109014829.37310095</v>
      </c>
      <c r="B7277">
        <v>163727426.78811532</v>
      </c>
    </row>
    <row r="7278" spans="1:2" x14ac:dyDescent="0.25">
      <c r="A7278">
        <f ca="1">41002.3066207289*((RANDBETWEEN(2979,3282)))</f>
        <v>130018314.29433128</v>
      </c>
      <c r="B7278">
        <v>189696342.09091264</v>
      </c>
    </row>
    <row r="7279" spans="1:2" x14ac:dyDescent="0.25">
      <c r="A7279">
        <f ca="1">29725.5902646159*((RANDBETWEEN(2979,3282)))</f>
        <v>96518991.589207888</v>
      </c>
      <c r="B7279">
        <v>143347845.60476291</v>
      </c>
    </row>
    <row r="7280" spans="1:2" x14ac:dyDescent="0.25">
      <c r="A7280">
        <f ca="1">29797.3343093974*((RANDBETWEEN(2979,3282)))</f>
        <v>90226328.28885524</v>
      </c>
      <c r="B7280">
        <v>162562751.21800718</v>
      </c>
    </row>
    <row r="7281" spans="1:2" x14ac:dyDescent="0.25">
      <c r="A7281">
        <f ca="1">37503.3333962196*((RANDBETWEEN(2979,3282)))</f>
        <v>117572950.19714853</v>
      </c>
      <c r="B7281">
        <v>169266506.08715975</v>
      </c>
    </row>
    <row r="7282" spans="1:2" x14ac:dyDescent="0.25">
      <c r="A7282">
        <f ca="1">30670.5410964471*((RANDBETWEEN(2979,3282)))</f>
        <v>99832611.268935204</v>
      </c>
      <c r="B7282">
        <v>148433750.88384482</v>
      </c>
    </row>
    <row r="7283" spans="1:2" x14ac:dyDescent="0.25">
      <c r="A7283">
        <f ca="1">36888.3879609916*((RANDBETWEEN(2979,3282)))</f>
        <v>110997159.37462385</v>
      </c>
      <c r="B7283">
        <v>157539084.71436417</v>
      </c>
    </row>
    <row r="7284" spans="1:2" x14ac:dyDescent="0.25">
      <c r="A7284">
        <f ca="1">30800.7899821771*((RANDBETWEEN(2979,3282)))</f>
        <v>93018385.746174872</v>
      </c>
      <c r="B7284">
        <v>144876640.03909341</v>
      </c>
    </row>
    <row r="7285" spans="1:2" x14ac:dyDescent="0.25">
      <c r="A7285">
        <f ca="1">27914.9411211569*((RANDBETWEEN(2979,3282)))</f>
        <v>90332749.468063876</v>
      </c>
      <c r="B7285">
        <v>144687584.94996592</v>
      </c>
    </row>
    <row r="7286" spans="1:2" x14ac:dyDescent="0.25">
      <c r="A7286">
        <f ca="1">30177.1079439462*((RANDBETWEEN(2979,3282)))</f>
        <v>92945492.467354357</v>
      </c>
      <c r="B7286">
        <v>146306073.61500913</v>
      </c>
    </row>
    <row r="7287" spans="1:2" x14ac:dyDescent="0.25">
      <c r="A7287">
        <f ca="1">34684.4102993325*((RANDBETWEEN(2979,3282)))</f>
        <v>107382934.28673339</v>
      </c>
      <c r="B7287">
        <v>152252168.8157323</v>
      </c>
    </row>
    <row r="7288" spans="1:2" x14ac:dyDescent="0.25">
      <c r="A7288">
        <f ca="1">27263.1921054431*((RANDBETWEEN(2979,3282)))</f>
        <v>83697999.763710171</v>
      </c>
      <c r="B7288">
        <v>152616344.55646774</v>
      </c>
    </row>
    <row r="7289" spans="1:2" x14ac:dyDescent="0.25">
      <c r="A7289">
        <f ca="1">38785.0906532186*((RANDBETWEEN(2979,3282)))</f>
        <v>121823969.74175964</v>
      </c>
      <c r="B7289">
        <v>146301433.90834427</v>
      </c>
    </row>
    <row r="7290" spans="1:2" x14ac:dyDescent="0.25">
      <c r="A7290">
        <f ca="1">34536.4607153252*((RANDBETWEEN(2979,3282)))</f>
        <v>109446044.00686543</v>
      </c>
      <c r="B7290">
        <v>152077358.46392584</v>
      </c>
    </row>
    <row r="7291" spans="1:2" x14ac:dyDescent="0.25">
      <c r="A7291">
        <f ca="1">33265.0029347017*((RANDBETWEEN(2979,3282)))</f>
        <v>101125608.92149316</v>
      </c>
      <c r="B7291">
        <v>152831081.8378357</v>
      </c>
    </row>
    <row r="7292" spans="1:2" x14ac:dyDescent="0.25">
      <c r="A7292">
        <f ca="1">32790.6491636283*((RANDBETWEEN(2979,3282)))</f>
        <v>99749154.755757168</v>
      </c>
      <c r="B7292">
        <v>186476021.27382421</v>
      </c>
    </row>
    <row r="7293" spans="1:2" x14ac:dyDescent="0.25">
      <c r="A7293">
        <f ca="1">36276.9142472125*((RANDBETWEEN(2979,3282)))</f>
        <v>114526218.2784498</v>
      </c>
      <c r="B7293">
        <v>194229783.05229887</v>
      </c>
    </row>
    <row r="7294" spans="1:2" x14ac:dyDescent="0.25">
      <c r="A7294">
        <f ca="1">30427.0412171741*((RANDBETWEEN(2979,3282)))</f>
        <v>99831122.233548343</v>
      </c>
      <c r="B7294">
        <v>167085044.54611829</v>
      </c>
    </row>
    <row r="7295" spans="1:2" x14ac:dyDescent="0.25">
      <c r="A7295">
        <f ca="1">31692.722678764*((RANDBETWEEN(2979,3282)))</f>
        <v>99673612.824712649</v>
      </c>
      <c r="B7295">
        <v>161046480.76764345</v>
      </c>
    </row>
    <row r="7296" spans="1:2" x14ac:dyDescent="0.25">
      <c r="A7296">
        <f ca="1">28505.7659794193*((RANDBETWEEN(2979,3282)))</f>
        <v>89451093.643417746</v>
      </c>
      <c r="B7296">
        <v>156805609.17067176</v>
      </c>
    </row>
    <row r="7297" spans="1:2" x14ac:dyDescent="0.25">
      <c r="A7297">
        <f ca="1">30760.3956844498*((RANDBETWEEN(2979,3282)))</f>
        <v>100586493.88815099</v>
      </c>
      <c r="B7297">
        <v>177350757.01810431</v>
      </c>
    </row>
    <row r="7298" spans="1:2" x14ac:dyDescent="0.25">
      <c r="A7298">
        <f ca="1">36053.1960260896*((RANDBETWEEN(2979,3282)))</f>
        <v>116848408.32055649</v>
      </c>
      <c r="B7298">
        <v>197118390.03929645</v>
      </c>
    </row>
    <row r="7299" spans="1:2" x14ac:dyDescent="0.25">
      <c r="A7299">
        <f ca="1">38561.2858421805*((RANDBETWEEN(2979,3282)))</f>
        <v>120812508.54355153</v>
      </c>
      <c r="B7299">
        <v>147813400.00411043</v>
      </c>
    </row>
    <row r="7300" spans="1:2" x14ac:dyDescent="0.25">
      <c r="A7300">
        <f ca="1">31883.338685612*((RANDBETWEEN(2979,3282)))</f>
        <v>97881849.76482898</v>
      </c>
      <c r="B7300">
        <v>201955540.36859304</v>
      </c>
    </row>
    <row r="7301" spans="1:2" x14ac:dyDescent="0.25">
      <c r="A7301">
        <f ca="1">37934.3140772021*((RANDBETWEEN(2979,3282)))</f>
        <v>119075811.88833742</v>
      </c>
      <c r="B7301">
        <v>165204684.24664339</v>
      </c>
    </row>
    <row r="7302" spans="1:2" x14ac:dyDescent="0.25">
      <c r="A7302">
        <f ca="1">30458.4578259661*((RANDBETWEEN(2979,3282)))</f>
        <v>93050588.658326313</v>
      </c>
      <c r="B7302">
        <v>167930171.13867474</v>
      </c>
    </row>
    <row r="7303" spans="1:2" x14ac:dyDescent="0.25">
      <c r="A7303">
        <f ca="1">29139.6479750242*((RANDBETWEEN(2979,3282)))</f>
        <v>95344928.174279094</v>
      </c>
      <c r="B7303">
        <v>170430420.74399659</v>
      </c>
    </row>
    <row r="7304" spans="1:2" x14ac:dyDescent="0.25">
      <c r="A7304">
        <f ca="1">35088.2120767589*((RANDBETWEEN(2979,3282)))</f>
        <v>110598044.46594426</v>
      </c>
      <c r="B7304">
        <v>159825954.51126823</v>
      </c>
    </row>
    <row r="7305" spans="1:2" x14ac:dyDescent="0.25">
      <c r="A7305">
        <f ca="1">31223.2416341628*((RANDBETWEEN(2979,3282)))</f>
        <v>100788623.99507761</v>
      </c>
      <c r="B7305">
        <v>143423741.26327291</v>
      </c>
    </row>
    <row r="7306" spans="1:2" x14ac:dyDescent="0.25">
      <c r="A7306">
        <f ca="1">35503.4402961392*((RANDBETWEEN(2979,3282)))</f>
        <v>106048776.16456775</v>
      </c>
      <c r="B7306">
        <v>173102705.78384486</v>
      </c>
    </row>
    <row r="7307" spans="1:2" x14ac:dyDescent="0.25">
      <c r="A7307">
        <f ca="1">30451.4387621938*((RANDBETWEEN(2979,3282)))</f>
        <v>96226546.488532513</v>
      </c>
      <c r="B7307">
        <v>155722355.81451449</v>
      </c>
    </row>
    <row r="7308" spans="1:2" x14ac:dyDescent="0.25">
      <c r="A7308">
        <f ca="1">30399.4036990091*((RANDBETWEEN(2979,3282)))</f>
        <v>97430088.85532403</v>
      </c>
      <c r="B7308">
        <v>171154535.77667204</v>
      </c>
    </row>
    <row r="7309" spans="1:2" x14ac:dyDescent="0.25">
      <c r="A7309">
        <f ca="1">36818.1918555669*((RANDBETWEEN(2979,3282)))</f>
        <v>118885941.5016256</v>
      </c>
      <c r="B7309">
        <v>192953567.31574017</v>
      </c>
    </row>
    <row r="7310" spans="1:2" x14ac:dyDescent="0.25">
      <c r="A7310">
        <f ca="1">31400.6810675065*((RANDBETWEEN(2979,3282)))</f>
        <v>95426669.764152259</v>
      </c>
      <c r="B7310">
        <v>177873634.14280936</v>
      </c>
    </row>
    <row r="7311" spans="1:2" x14ac:dyDescent="0.25">
      <c r="A7311">
        <f ca="1">30973.3976344987*((RANDBETWEEN(2979,3282)))</f>
        <v>98774165.056416512</v>
      </c>
      <c r="B7311">
        <v>175952414.50219741</v>
      </c>
    </row>
    <row r="7312" spans="1:2" x14ac:dyDescent="0.25">
      <c r="A7312">
        <f ca="1">31920.5007912895*((RANDBETWEEN(2979,3282)))</f>
        <v>99240836.960118964</v>
      </c>
      <c r="B7312">
        <v>151388922.33327457</v>
      </c>
    </row>
    <row r="7313" spans="1:2" x14ac:dyDescent="0.25">
      <c r="A7313">
        <f ca="1">29555.51121924*((RANDBETWEEN(2979,3282)))</f>
        <v>93956970.165963918</v>
      </c>
      <c r="B7313">
        <v>194983818.34427357</v>
      </c>
    </row>
    <row r="7314" spans="1:2" x14ac:dyDescent="0.25">
      <c r="A7314">
        <f ca="1">31391.572924278*((RANDBETWEEN(2979,3282)))</f>
        <v>97721966.513277441</v>
      </c>
      <c r="B7314">
        <v>146179123.23843738</v>
      </c>
    </row>
    <row r="7315" spans="1:2" x14ac:dyDescent="0.25">
      <c r="A7315">
        <f ca="1">41354.6891143577*((RANDBETWEEN(2979,3282)))</f>
        <v>125346062.70561819</v>
      </c>
      <c r="B7315">
        <v>173240571.6179305</v>
      </c>
    </row>
    <row r="7316" spans="1:2" x14ac:dyDescent="0.25">
      <c r="A7316">
        <f ca="1">33327.5527541047*((RANDBETWEEN(2979,3282)))</f>
        <v>104081947.25106892</v>
      </c>
      <c r="B7316">
        <v>195408713.10541973</v>
      </c>
    </row>
    <row r="7317" spans="1:2" x14ac:dyDescent="0.25">
      <c r="A7317">
        <f ca="1">28239.5918145308*((RANDBETWEEN(2979,3282)))</f>
        <v>88644078.705812261</v>
      </c>
      <c r="B7317">
        <v>164996267.16246855</v>
      </c>
    </row>
    <row r="7318" spans="1:2" x14ac:dyDescent="0.25">
      <c r="A7318">
        <f ca="1">27548.0957665451*((RANDBETWEEN(2979,3282)))</f>
        <v>83525826.364164889</v>
      </c>
      <c r="B7318">
        <v>199347917.47013605</v>
      </c>
    </row>
    <row r="7319" spans="1:2" x14ac:dyDescent="0.25">
      <c r="A7319">
        <f ca="1">29603.5055175917*((RANDBETWEEN(2979,3282)))</f>
        <v>95293684.26112774</v>
      </c>
      <c r="B7319">
        <v>177817608.10772684</v>
      </c>
    </row>
    <row r="7320" spans="1:2" x14ac:dyDescent="0.25">
      <c r="A7320">
        <f ca="1">32595.3209404179*((RANDBETWEEN(2979,3282)))</f>
        <v>100849922.98965302</v>
      </c>
      <c r="B7320">
        <v>161216504.1860466</v>
      </c>
    </row>
    <row r="7321" spans="1:2" x14ac:dyDescent="0.25">
      <c r="A7321">
        <f ca="1">30447.345996039*((RANDBETWEEN(2979,3282)))</f>
        <v>93990957.089772508</v>
      </c>
      <c r="B7321">
        <v>168498546.75755459</v>
      </c>
    </row>
    <row r="7322" spans="1:2" x14ac:dyDescent="0.25">
      <c r="A7322">
        <f ca="1">40179.2182971728*((RANDBETWEEN(2979,3282)))</f>
        <v>129859233.53646241</v>
      </c>
      <c r="B7322">
        <v>154308864.82728317</v>
      </c>
    </row>
    <row r="7323" spans="1:2" x14ac:dyDescent="0.25">
      <c r="A7323">
        <f ca="1">30565.2666614278*((RANDBETWEEN(2979,3282)))</f>
        <v>98511854.449781775</v>
      </c>
      <c r="B7323">
        <v>144964339.21317095</v>
      </c>
    </row>
    <row r="7324" spans="1:2" x14ac:dyDescent="0.25">
      <c r="A7324">
        <f ca="1">33705.6472556198*((RANDBETWEEN(2979,3282)))</f>
        <v>109408530.99174178</v>
      </c>
      <c r="B7324">
        <v>161867775.47842658</v>
      </c>
    </row>
    <row r="7325" spans="1:2" x14ac:dyDescent="0.25">
      <c r="A7325">
        <f ca="1">27082.5159781217*((RANDBETWEEN(2979,3282)))</f>
        <v>86393225.970208272</v>
      </c>
      <c r="B7325">
        <v>194890419.66683659</v>
      </c>
    </row>
    <row r="7326" spans="1:2" x14ac:dyDescent="0.25">
      <c r="A7326">
        <f ca="1">30461.1205242433*((RANDBETWEEN(2979,3282)))</f>
        <v>93454717.768378541</v>
      </c>
      <c r="B7326">
        <v>160599278.52366513</v>
      </c>
    </row>
    <row r="7327" spans="1:2" x14ac:dyDescent="0.25">
      <c r="A7327">
        <f ca="1">30558.6543974814*((RANDBETWEEN(2979,3282)))</f>
        <v>91462052.611661702</v>
      </c>
      <c r="B7327">
        <v>149135618.50959009</v>
      </c>
    </row>
    <row r="7328" spans="1:2" x14ac:dyDescent="0.25">
      <c r="A7328">
        <f ca="1">35127.6176974457*((RANDBETWEEN(2979,3282)))</f>
        <v>107912041.56655326</v>
      </c>
      <c r="B7328">
        <v>177294704.00698125</v>
      </c>
    </row>
    <row r="7329" spans="1:2" x14ac:dyDescent="0.25">
      <c r="A7329">
        <f ca="1">32378.7910199232*((RANDBETWEEN(2979,3282)))</f>
        <v>102381737.20499708</v>
      </c>
      <c r="B7329">
        <v>183522303.06756127</v>
      </c>
    </row>
    <row r="7330" spans="1:2" x14ac:dyDescent="0.25">
      <c r="A7330">
        <f ca="1">31133.7122328362*((RANDBETWEEN(2979,3282)))</f>
        <v>98071193.533434317</v>
      </c>
      <c r="B7330">
        <v>146109132.93516204</v>
      </c>
    </row>
    <row r="7331" spans="1:2" x14ac:dyDescent="0.25">
      <c r="A7331">
        <f ca="1">37204.5592930321*((RANDBETWEEN(2979,3282)))</f>
        <v>115743383.96062295</v>
      </c>
      <c r="B7331">
        <v>148491039.19706595</v>
      </c>
    </row>
    <row r="7332" spans="1:2" x14ac:dyDescent="0.25">
      <c r="A7332">
        <f ca="1">40704.5657514491*((RANDBETWEEN(2979,3282)))</f>
        <v>133429566.53325006</v>
      </c>
      <c r="B7332">
        <v>151678245.70945689</v>
      </c>
    </row>
    <row r="7333" spans="1:2" x14ac:dyDescent="0.25">
      <c r="A7333">
        <f ca="1">37140.7252258081*((RANDBETWEEN(2979,3282)))</f>
        <v>115879062.70452118</v>
      </c>
      <c r="B7333">
        <v>151573465.76866996</v>
      </c>
    </row>
    <row r="7334" spans="1:2" x14ac:dyDescent="0.25">
      <c r="A7334">
        <f ca="1">29790.1433419645*((RANDBETWEEN(2979,3282)))</f>
        <v>94673075.540763095</v>
      </c>
      <c r="B7334">
        <v>156161104.38550228</v>
      </c>
    </row>
    <row r="7335" spans="1:2" x14ac:dyDescent="0.25">
      <c r="A7335">
        <f ca="1">37304.8141773025*((RANDBETWEEN(2979,3282)))</f>
        <v>118778528.34053132</v>
      </c>
      <c r="B7335">
        <v>146595159.29061687</v>
      </c>
    </row>
    <row r="7336" spans="1:2" x14ac:dyDescent="0.25">
      <c r="A7336">
        <f ca="1">37591.8021123548*((RANDBETWEEN(2979,3282)))</f>
        <v>112098753.89904214</v>
      </c>
      <c r="B7336">
        <v>198494388.23390901</v>
      </c>
    </row>
    <row r="7337" spans="1:2" x14ac:dyDescent="0.25">
      <c r="A7337">
        <f ca="1">39376.061918923*((RANDBETWEEN(2979,3282)))</f>
        <v>123050193.49663439</v>
      </c>
      <c r="B7337">
        <v>145861215.67222273</v>
      </c>
    </row>
    <row r="7338" spans="1:2" x14ac:dyDescent="0.25">
      <c r="A7338">
        <f ca="1">41913.9524641853*((RANDBETWEEN(2979,3282)))</f>
        <v>130855359.59318645</v>
      </c>
      <c r="B7338">
        <v>168085006.22194284</v>
      </c>
    </row>
    <row r="7339" spans="1:2" x14ac:dyDescent="0.25">
      <c r="A7339">
        <f ca="1">29739.9505501573*((RANDBETWEEN(2979,3282)))</f>
        <v>90409449.672478244</v>
      </c>
      <c r="B7339">
        <v>180378407.94604725</v>
      </c>
    </row>
    <row r="7340" spans="1:2" x14ac:dyDescent="0.25">
      <c r="A7340">
        <f ca="1">40207.0973761886*((RANDBETWEEN(2979,3282)))</f>
        <v>121224398.5892085</v>
      </c>
      <c r="B7340">
        <v>160744959.61364186</v>
      </c>
    </row>
    <row r="7341" spans="1:2" x14ac:dyDescent="0.25">
      <c r="A7341">
        <f ca="1">34783.0729917665*((RANDBETWEEN(2979,3282)))</f>
        <v>109044933.82918796</v>
      </c>
      <c r="B7341">
        <v>202752105.92929173</v>
      </c>
    </row>
    <row r="7342" spans="1:2" x14ac:dyDescent="0.25">
      <c r="A7342">
        <f ca="1">38812.8549526465*((RANDBETWEEN(2979,3282)))</f>
        <v>123968258.71875289</v>
      </c>
      <c r="B7342">
        <v>175502071.93470532</v>
      </c>
    </row>
    <row r="7343" spans="1:2" x14ac:dyDescent="0.25">
      <c r="A7343">
        <f ca="1">30473.2983754945*((RANDBETWEEN(2979,3282)))</f>
        <v>92516933.868001372</v>
      </c>
      <c r="B7343">
        <v>173417233.40961319</v>
      </c>
    </row>
    <row r="7344" spans="1:2" x14ac:dyDescent="0.25">
      <c r="A7344">
        <f ca="1">32091.3952254764*((RANDBETWEEN(2979,3282)))</f>
        <v>95824906.143272415</v>
      </c>
      <c r="B7344">
        <v>156560170.56615871</v>
      </c>
    </row>
    <row r="7345" spans="1:2" x14ac:dyDescent="0.25">
      <c r="A7345">
        <f ca="1">29842.5204743998*((RANDBETWEEN(2979,3282)))</f>
        <v>97823782.115082636</v>
      </c>
      <c r="B7345">
        <v>163339926.19517988</v>
      </c>
    </row>
    <row r="7346" spans="1:2" x14ac:dyDescent="0.25">
      <c r="A7346">
        <f ca="1">33770.2008385142*((RANDBETWEEN(2979,3282)))</f>
        <v>100939130.3063188</v>
      </c>
      <c r="B7346">
        <v>201554353.51543546</v>
      </c>
    </row>
    <row r="7347" spans="1:2" x14ac:dyDescent="0.25">
      <c r="A7347">
        <f ca="1">32026.0720643722*((RANDBETWEEN(2979,3282)))</f>
        <v>100978205.21896555</v>
      </c>
      <c r="B7347">
        <v>150647877.204974</v>
      </c>
    </row>
    <row r="7348" spans="1:2" x14ac:dyDescent="0.25">
      <c r="A7348">
        <f ca="1">31239.386019219*((RANDBETWEEN(2979,3282)))</f>
        <v>97810517.626174748</v>
      </c>
      <c r="B7348">
        <v>165177334.46442845</v>
      </c>
    </row>
    <row r="7349" spans="1:2" x14ac:dyDescent="0.25">
      <c r="A7349">
        <f ca="1">30813.0487589473*((RANDBETWEEN(2979,3282)))</f>
        <v>99310456.150087312</v>
      </c>
      <c r="B7349">
        <v>150198771.81475228</v>
      </c>
    </row>
    <row r="7350" spans="1:2" x14ac:dyDescent="0.25">
      <c r="A7350">
        <f ca="1">32987.5177332942*((RANDBETWEEN(2979,3282)))</f>
        <v>107869182.98787214</v>
      </c>
      <c r="B7350">
        <v>200083672.98429295</v>
      </c>
    </row>
    <row r="7351" spans="1:2" x14ac:dyDescent="0.25">
      <c r="A7351">
        <f ca="1">41757.3679799658*((RANDBETWEEN(2979,3282)))</f>
        <v>134918055.94326961</v>
      </c>
      <c r="B7351">
        <v>173505391.10308179</v>
      </c>
    </row>
    <row r="7352" spans="1:2" x14ac:dyDescent="0.25">
      <c r="A7352">
        <f ca="1">33040.3956740982*((RANDBETWEEN(2979,3282)))</f>
        <v>101367933.92813313</v>
      </c>
      <c r="B7352">
        <v>163056928.31882745</v>
      </c>
    </row>
    <row r="7353" spans="1:2" x14ac:dyDescent="0.25">
      <c r="A7353">
        <f ca="1">30862.4685806978*((RANDBETWEEN(2979,3282)))</f>
        <v>95581065.194420949</v>
      </c>
      <c r="B7353">
        <v>171507692.95388222</v>
      </c>
    </row>
    <row r="7354" spans="1:2" x14ac:dyDescent="0.25">
      <c r="A7354">
        <f ca="1">35738.9581407461*((RANDBETWEEN(2979,3282)))</f>
        <v>114579099.7992321</v>
      </c>
      <c r="B7354">
        <v>148877940.36273652</v>
      </c>
    </row>
    <row r="7355" spans="1:2" x14ac:dyDescent="0.25">
      <c r="A7355">
        <f ca="1">33553.0945180804*((RANDBETWEEN(2979,3282)))</f>
        <v>102739575.41436209</v>
      </c>
      <c r="B7355">
        <v>161967298.44083688</v>
      </c>
    </row>
    <row r="7356" spans="1:2" x14ac:dyDescent="0.25">
      <c r="A7356">
        <f ca="1">29798.5838847916*((RANDBETWEEN(2979,3282)))</f>
        <v>91988228.452351674</v>
      </c>
      <c r="B7356">
        <v>176191435.01251391</v>
      </c>
    </row>
    <row r="7357" spans="1:2" x14ac:dyDescent="0.25">
      <c r="A7357">
        <f ca="1">32645.8594896075*((RANDBETWEEN(2979,3282)))</f>
        <v>105380834.43245299</v>
      </c>
      <c r="B7357">
        <v>166121685.67899045</v>
      </c>
    </row>
    <row r="7358" spans="1:2" x14ac:dyDescent="0.25">
      <c r="A7358">
        <f ca="1">34230.893013597*((RANDBETWEEN(2979,3282)))</f>
        <v>111900789.26144867</v>
      </c>
      <c r="B7358">
        <v>161086455.80280983</v>
      </c>
    </row>
    <row r="7359" spans="1:2" x14ac:dyDescent="0.25">
      <c r="A7359">
        <f ca="1">41340.8116323103*((RANDBETWEEN(2979,3282)))</f>
        <v>126792269.27629565</v>
      </c>
      <c r="B7359">
        <v>187497550.65152875</v>
      </c>
    </row>
    <row r="7360" spans="1:2" x14ac:dyDescent="0.25">
      <c r="A7360">
        <f ca="1">31624.8705730116*((RANDBETWEEN(2979,3282)))</f>
        <v>98859345.411234334</v>
      </c>
      <c r="B7360">
        <v>195827970.56556311</v>
      </c>
    </row>
    <row r="7361" spans="1:2" x14ac:dyDescent="0.25">
      <c r="A7361">
        <f ca="1">33575.6503612421*((RANDBETWEEN(2979,3282)))</f>
        <v>109120863.67403692</v>
      </c>
      <c r="B7361">
        <v>152883276.55619639</v>
      </c>
    </row>
    <row r="7362" spans="1:2" x14ac:dyDescent="0.25">
      <c r="A7362">
        <f ca="1">30079.813419541*((RANDBETWEEN(2979,3282)))</f>
        <v>98030111.934284121</v>
      </c>
      <c r="B7362">
        <v>173003580.6983268</v>
      </c>
    </row>
    <row r="7363" spans="1:2" x14ac:dyDescent="0.25">
      <c r="A7363">
        <f ca="1">38788.4705134724*((RANDBETWEEN(2979,3282)))</f>
        <v>124239471.05465212</v>
      </c>
      <c r="B7363">
        <v>173615056.3647055</v>
      </c>
    </row>
    <row r="7364" spans="1:2" x14ac:dyDescent="0.25">
      <c r="A7364">
        <f ca="1">31794.5755001521*((RANDBETWEEN(2979,3282)))</f>
        <v>99707788.768477052</v>
      </c>
      <c r="B7364">
        <v>160250352.6826731</v>
      </c>
    </row>
    <row r="7365" spans="1:2" x14ac:dyDescent="0.25">
      <c r="A7365">
        <f ca="1">32988.2897510651*((RANDBETWEEN(2979,3282)))</f>
        <v>99855553.07647419</v>
      </c>
      <c r="B7365">
        <v>203382501.6315743</v>
      </c>
    </row>
    <row r="7366" spans="1:2" x14ac:dyDescent="0.25">
      <c r="A7366">
        <f ca="1">27391.4424331529*((RANDBETWEEN(2979,3282)))</f>
        <v>84666948.560875699</v>
      </c>
      <c r="B7366">
        <v>202344890.3392188</v>
      </c>
    </row>
    <row r="7367" spans="1:2" x14ac:dyDescent="0.25">
      <c r="A7367">
        <f ca="1">33797.7156349336*((RANDBETWEEN(2979,3282)))</f>
        <v>108625858.05067658</v>
      </c>
      <c r="B7367">
        <v>163307372.98068458</v>
      </c>
    </row>
    <row r="7368" spans="1:2" x14ac:dyDescent="0.25">
      <c r="A7368">
        <f ca="1">36172.8793569239*((RANDBETWEEN(2979,3282)))</f>
        <v>110074071.8831194</v>
      </c>
      <c r="B7368">
        <v>171438487.27482671</v>
      </c>
    </row>
    <row r="7369" spans="1:2" x14ac:dyDescent="0.25">
      <c r="A7369">
        <f ca="1">31460.4105105685*((RANDBETWEEN(2979,3282)))</f>
        <v>96017172.878255084</v>
      </c>
      <c r="B7369">
        <v>160607562.35294232</v>
      </c>
    </row>
    <row r="7370" spans="1:2" x14ac:dyDescent="0.25">
      <c r="A7370">
        <f ca="1">33828.6924003355*((RANDBETWEEN(2979,3282)))</f>
        <v>105004261.21064124</v>
      </c>
      <c r="B7370">
        <v>157338674.19159815</v>
      </c>
    </row>
    <row r="7371" spans="1:2" x14ac:dyDescent="0.25">
      <c r="A7371">
        <f ca="1">37442.6366851057*((RANDBETWEEN(2979,3282)))</f>
        <v>118206404.01487878</v>
      </c>
      <c r="B7371">
        <v>147023232.50747561</v>
      </c>
    </row>
    <row r="7372" spans="1:2" x14ac:dyDescent="0.25">
      <c r="A7372">
        <f ca="1">30940.5855803016*((RANDBETWEEN(2979,3282)))</f>
        <v>100278437.86575761</v>
      </c>
      <c r="B7372">
        <v>145740494.51596507</v>
      </c>
    </row>
    <row r="7373" spans="1:2" x14ac:dyDescent="0.25">
      <c r="A7373">
        <f ca="1">33348.6103812519*((RANDBETWEEN(2979,3282)))</f>
        <v>106115278.23314343</v>
      </c>
      <c r="B7373">
        <v>150149825.09716344</v>
      </c>
    </row>
    <row r="7374" spans="1:2" x14ac:dyDescent="0.25">
      <c r="A7374">
        <f ca="1">31287.856416502*((RANDBETWEEN(2979,3282)))</f>
        <v>97837127.014401749</v>
      </c>
      <c r="B7374">
        <v>154547755.65502417</v>
      </c>
    </row>
    <row r="7375" spans="1:2" x14ac:dyDescent="0.25">
      <c r="A7375">
        <f ca="1">29079.6779691231*((RANDBETWEEN(2979,3282)))</f>
        <v>88053264.890504792</v>
      </c>
      <c r="B7375">
        <v>158599361.57628095</v>
      </c>
    </row>
    <row r="7376" spans="1:2" x14ac:dyDescent="0.25">
      <c r="A7376">
        <f ca="1">28992.2064920021*((RANDBETWEEN(2979,3282)))</f>
        <v>90600645.287506595</v>
      </c>
      <c r="B7376">
        <v>164175838.69601744</v>
      </c>
    </row>
    <row r="7377" spans="1:2" x14ac:dyDescent="0.25">
      <c r="A7377">
        <f ca="1">33968.8308055246*((RANDBETWEEN(2979,3282)))</f>
        <v>103095401.49476701</v>
      </c>
      <c r="B7377">
        <v>145788302.93426108</v>
      </c>
    </row>
    <row r="7378" spans="1:2" x14ac:dyDescent="0.25">
      <c r="A7378">
        <f ca="1">29098.3341720757*((RANDBETWEEN(2979,3282)))</f>
        <v>91310572.631973684</v>
      </c>
      <c r="B7378">
        <v>145878292.12052357</v>
      </c>
    </row>
    <row r="7379" spans="1:2" x14ac:dyDescent="0.25">
      <c r="A7379">
        <f ca="1">41016.2424560262*((RANDBETWEEN(2979,3282)))</f>
        <v>125878848.09754451</v>
      </c>
      <c r="B7379">
        <v>203456704.58285415</v>
      </c>
    </row>
    <row r="7380" spans="1:2" x14ac:dyDescent="0.25">
      <c r="A7380">
        <f ca="1">36485.3752266139*((RANDBETWEEN(2979,3282)))</f>
        <v>116607259.22425814</v>
      </c>
      <c r="B7380">
        <v>197487236.36052364</v>
      </c>
    </row>
    <row r="7381" spans="1:2" x14ac:dyDescent="0.25">
      <c r="A7381">
        <f ca="1">30364.0885258881*((RANDBETWEEN(2979,3282)))</f>
        <v>90818988.780931368</v>
      </c>
      <c r="B7381">
        <v>152868478.0108259</v>
      </c>
    </row>
    <row r="7382" spans="1:2" x14ac:dyDescent="0.25">
      <c r="A7382">
        <f ca="1">29680.687605725*((RANDBETWEEN(2979,3282)))</f>
        <v>90971307.511547208</v>
      </c>
      <c r="B7382">
        <v>154315887.67635882</v>
      </c>
    </row>
    <row r="7383" spans="1:2" x14ac:dyDescent="0.25">
      <c r="A7383">
        <f ca="1">30204.349882448*((RANDBETWEEN(2979,3282)))</f>
        <v>90129780.049224943</v>
      </c>
      <c r="B7383">
        <v>144843391.9119527</v>
      </c>
    </row>
    <row r="7384" spans="1:2" x14ac:dyDescent="0.25">
      <c r="A7384">
        <f ca="1">32916.6470115496*((RANDBETWEEN(2979,3282)))</f>
        <v>99177857.445798919</v>
      </c>
      <c r="B7384">
        <v>201504145.66772616</v>
      </c>
    </row>
    <row r="7385" spans="1:2" x14ac:dyDescent="0.25">
      <c r="A7385">
        <f ca="1">32023.7038863601*((RANDBETWEEN(2979,3282)))</f>
        <v>103436563.55294299</v>
      </c>
      <c r="B7385">
        <v>160958382.1382519</v>
      </c>
    </row>
    <row r="7386" spans="1:2" x14ac:dyDescent="0.25">
      <c r="A7386">
        <f ca="1">32095.8001421639*((RANDBETWEEN(2979,3282)))</f>
        <v>97892190.433600008</v>
      </c>
      <c r="B7386">
        <v>165390272.89303547</v>
      </c>
    </row>
    <row r="7387" spans="1:2" x14ac:dyDescent="0.25">
      <c r="A7387">
        <f ca="1">39706.6371740761*((RANDBETWEEN(2979,3282)))</f>
        <v>123447934.97420281</v>
      </c>
      <c r="B7387">
        <v>155754853.40292948</v>
      </c>
    </row>
    <row r="7388" spans="1:2" x14ac:dyDescent="0.25">
      <c r="A7388">
        <f ca="1">30803.4462151953*((RANDBETWEEN(2979,3282)))</f>
        <v>93242031.69339624</v>
      </c>
      <c r="B7388">
        <v>161201275.92311448</v>
      </c>
    </row>
    <row r="7389" spans="1:2" x14ac:dyDescent="0.25">
      <c r="A7389">
        <f ca="1">38856.0216142294*((RANDBETWEEN(2979,3282)))</f>
        <v>119598834.52859794</v>
      </c>
      <c r="B7389">
        <v>169650660.10351449</v>
      </c>
    </row>
    <row r="7390" spans="1:2" x14ac:dyDescent="0.25">
      <c r="A7390">
        <f ca="1">31469.6158955434*((RANDBETWEEN(2979,3282)))</f>
        <v>100702770.86573899</v>
      </c>
      <c r="B7390">
        <v>181844286.99175364</v>
      </c>
    </row>
    <row r="7391" spans="1:2" x14ac:dyDescent="0.25">
      <c r="A7391">
        <f ca="1">28212.3338589892*((RANDBETWEEN(2979,3282)))</f>
        <v>87712145.967597544</v>
      </c>
      <c r="B7391">
        <v>147447430.01905569</v>
      </c>
    </row>
    <row r="7392" spans="1:2" x14ac:dyDescent="0.25">
      <c r="A7392">
        <f ca="1">29056.1741952284*((RANDBETWEEN(2979,3282)))</f>
        <v>94868408.747420728</v>
      </c>
      <c r="B7392">
        <v>166573028.92796326</v>
      </c>
    </row>
    <row r="7393" spans="1:2" x14ac:dyDescent="0.25">
      <c r="A7393">
        <f ca="1">37442.9358492865*((RANDBETWEEN(2979,3282)))</f>
        <v>116035658.19693877</v>
      </c>
      <c r="B7393">
        <v>163423419.21666971</v>
      </c>
    </row>
    <row r="7394" spans="1:2" x14ac:dyDescent="0.25">
      <c r="A7394">
        <f ca="1">30288.1040653303*((RANDBETWEEN(2979,3282)))</f>
        <v>97497406.986298174</v>
      </c>
      <c r="B7394">
        <v>163243641.79106927</v>
      </c>
    </row>
    <row r="7395" spans="1:2" x14ac:dyDescent="0.25">
      <c r="A7395">
        <f ca="1">30893.6975376763*((RANDBETWEEN(2979,3282)))</f>
        <v>94843651.440666199</v>
      </c>
      <c r="B7395">
        <v>173172156.47249344</v>
      </c>
    </row>
    <row r="7396" spans="1:2" x14ac:dyDescent="0.25">
      <c r="A7396">
        <f ca="1">28111.6433969322*((RANDBETWEEN(2979,3282)))</f>
        <v>90716273.241900176</v>
      </c>
      <c r="B7396">
        <v>190667035.20475385</v>
      </c>
    </row>
    <row r="7397" spans="1:2" x14ac:dyDescent="0.25">
      <c r="A7397">
        <f ca="1">35793.7461609551*((RANDBETWEEN(2979,3282)))</f>
        <v>116830787.46935731</v>
      </c>
      <c r="B7397">
        <v>145514283.16144037</v>
      </c>
    </row>
    <row r="7398" spans="1:2" x14ac:dyDescent="0.25">
      <c r="A7398">
        <f ca="1">32167.8306927209*((RANDBETWEEN(2979,3282)))</f>
        <v>104545449.75134304</v>
      </c>
      <c r="B7398">
        <v>147034978.4784236</v>
      </c>
    </row>
    <row r="7399" spans="1:2" x14ac:dyDescent="0.25">
      <c r="A7399">
        <f ca="1">38020.1191099786*((RANDBETWEEN(2979,3282)))</f>
        <v>116417604.71475457</v>
      </c>
      <c r="B7399">
        <v>166998436.14301574</v>
      </c>
    </row>
    <row r="7400" spans="1:2" x14ac:dyDescent="0.25">
      <c r="A7400">
        <f ca="1">32382.3681490085*((RANDBETWEEN(2979,3282)))</f>
        <v>103170224.92274119</v>
      </c>
      <c r="B7400">
        <v>166550040.25715917</v>
      </c>
    </row>
    <row r="7401" spans="1:2" x14ac:dyDescent="0.25">
      <c r="A7401">
        <f ca="1">41300.273654215*((RANDBETWEEN(2979,3282)))</f>
        <v>132573878.43003024</v>
      </c>
      <c r="B7401">
        <v>169267627.05944595</v>
      </c>
    </row>
    <row r="7402" spans="1:2" x14ac:dyDescent="0.25">
      <c r="A7402">
        <f ca="1">31183.6748403625*((RANDBETWEEN(2979,3282)))</f>
        <v>98103841.047780424</v>
      </c>
      <c r="B7402">
        <v>147305115.03416261</v>
      </c>
    </row>
    <row r="7403" spans="1:2" x14ac:dyDescent="0.25">
      <c r="A7403">
        <f ca="1">30562.9324855812*((RANDBETWEEN(2979,3282)))</f>
        <v>95845356.274782702</v>
      </c>
      <c r="B7403">
        <v>175917338.78405184</v>
      </c>
    </row>
    <row r="7404" spans="1:2" x14ac:dyDescent="0.25">
      <c r="A7404">
        <f ca="1">29837.2240329766*((RANDBETWEEN(2979,3282)))</f>
        <v>96881466.435074881</v>
      </c>
      <c r="B7404">
        <v>151582965.79372135</v>
      </c>
    </row>
    <row r="7405" spans="1:2" x14ac:dyDescent="0.25">
      <c r="A7405">
        <f ca="1">30548.9234826579*((RANDBETWEEN(2979,3282)))</f>
        <v>99100707.777742192</v>
      </c>
      <c r="B7405">
        <v>181767957.71977937</v>
      </c>
    </row>
    <row r="7406" spans="1:2" x14ac:dyDescent="0.25">
      <c r="A7406">
        <f ca="1">37334.7518527295*((RANDBETWEEN(2979,3282)))</f>
        <v>112340268.32486308</v>
      </c>
      <c r="B7406">
        <v>150229311.78696856</v>
      </c>
    </row>
    <row r="7407" spans="1:2" x14ac:dyDescent="0.25">
      <c r="A7407">
        <f ca="1">30131.8662967793*((RANDBETWEEN(2979,3282)))</f>
        <v>90094280.227369994</v>
      </c>
      <c r="B7407">
        <v>154492767.94962645</v>
      </c>
    </row>
    <row r="7408" spans="1:2" x14ac:dyDescent="0.25">
      <c r="A7408">
        <f ca="1">29286.3708018038*((RANDBETWEEN(2979,3282)))</f>
        <v>88122689.742627531</v>
      </c>
      <c r="B7408">
        <v>193083537.70516479</v>
      </c>
    </row>
    <row r="7409" spans="1:2" x14ac:dyDescent="0.25">
      <c r="A7409">
        <f ca="1">36494.3396143115*((RANDBETWEEN(2979,3282)))</f>
        <v>116197977.33196768</v>
      </c>
      <c r="B7409">
        <v>189876331.63265792</v>
      </c>
    </row>
    <row r="7410" spans="1:2" x14ac:dyDescent="0.25">
      <c r="A7410">
        <f ca="1">30507.9521458048*((RANDBETWEEN(2979,3282)))</f>
        <v>99272876.282448754</v>
      </c>
      <c r="B7410">
        <v>158945499.77789941</v>
      </c>
    </row>
    <row r="7411" spans="1:2" x14ac:dyDescent="0.25">
      <c r="A7411">
        <f ca="1">31128.2481690452*((RANDBETWEEN(2979,3282)))</f>
        <v>99205726.914747208</v>
      </c>
      <c r="B7411">
        <v>156977236.872778</v>
      </c>
    </row>
    <row r="7412" spans="1:2" x14ac:dyDescent="0.25">
      <c r="A7412">
        <f ca="1">28372.2679499454*((RANDBETWEEN(2979,3282)))</f>
        <v>92777316.196321309</v>
      </c>
      <c r="B7412">
        <v>143575182.01677021</v>
      </c>
    </row>
    <row r="7413" spans="1:2" x14ac:dyDescent="0.25">
      <c r="A7413">
        <f ca="1">35870.8898859233*((RANDBETWEEN(2979,3282)))</f>
        <v>107935507.66674319</v>
      </c>
      <c r="B7413">
        <v>181429511.47383192</v>
      </c>
    </row>
    <row r="7414" spans="1:2" x14ac:dyDescent="0.25">
      <c r="A7414">
        <f ca="1">32307.4239124492*((RANDBETWEEN(2979,3282)))</f>
        <v>99054561.715569198</v>
      </c>
      <c r="B7414">
        <v>169382065.66828656</v>
      </c>
    </row>
    <row r="7415" spans="1:2" x14ac:dyDescent="0.25">
      <c r="A7415">
        <f ca="1">32243.9223028014*((RANDBETWEEN(2979,3282)))</f>
        <v>105373138.08555491</v>
      </c>
      <c r="B7415">
        <v>185026463.76651496</v>
      </c>
    </row>
    <row r="7416" spans="1:2" x14ac:dyDescent="0.25">
      <c r="A7416">
        <f ca="1">40978.433602035*((RANDBETWEEN(2979,3282)))</f>
        <v>130926095.35850184</v>
      </c>
      <c r="B7416">
        <v>160264583.20930225</v>
      </c>
    </row>
    <row r="7417" spans="1:2" x14ac:dyDescent="0.25">
      <c r="A7417">
        <f ca="1">29966.9869757654*((RANDBETWEEN(2979,3282)))</f>
        <v>93706768.273218438</v>
      </c>
      <c r="B7417">
        <v>176885840.88312918</v>
      </c>
    </row>
    <row r="7418" spans="1:2" x14ac:dyDescent="0.25">
      <c r="A7418">
        <f ca="1">34126.5026828264*((RANDBETWEEN(2979,3282)))</f>
        <v>109580200.11455543</v>
      </c>
      <c r="B7418">
        <v>148610046.74742663</v>
      </c>
    </row>
    <row r="7419" spans="1:2" x14ac:dyDescent="0.25">
      <c r="A7419">
        <f ca="1">32937.8441346364*((RANDBETWEEN(2979,3282)))</f>
        <v>99768729.883813754</v>
      </c>
      <c r="B7419">
        <v>151553849.19357926</v>
      </c>
    </row>
    <row r="7420" spans="1:2" x14ac:dyDescent="0.25">
      <c r="A7420">
        <f ca="1">30916.8810407755*((RANDBETWEEN(2979,3282)))</f>
        <v>93338063.862101272</v>
      </c>
      <c r="B7420">
        <v>157136343.44918829</v>
      </c>
    </row>
    <row r="7421" spans="1:2" x14ac:dyDescent="0.25">
      <c r="A7421">
        <f ca="1">33412.9913649424*((RANDBETWEEN(2979,3282)))</f>
        <v>107589832.19511448</v>
      </c>
      <c r="B7421">
        <v>181336786.61417514</v>
      </c>
    </row>
    <row r="7422" spans="1:2" x14ac:dyDescent="0.25">
      <c r="A7422">
        <f ca="1">36224.1911125441*((RANDBETWEEN(2979,3282)))</f>
        <v>110266437.74658439</v>
      </c>
      <c r="B7422">
        <v>180678782.73988888</v>
      </c>
    </row>
    <row r="7423" spans="1:2" x14ac:dyDescent="0.25">
      <c r="A7423">
        <f ca="1">36295.5836737674*((RANDBETWEEN(2979,3282)))</f>
        <v>118069533.69076544</v>
      </c>
      <c r="B7423">
        <v>147550933.92116386</v>
      </c>
    </row>
    <row r="7424" spans="1:2" x14ac:dyDescent="0.25">
      <c r="A7424">
        <f ca="1">28637.4937718323*((RANDBETWEEN(2979,3282)))</f>
        <v>87688005.929350615</v>
      </c>
      <c r="B7424">
        <v>188026213.76785266</v>
      </c>
    </row>
    <row r="7425" spans="1:2" x14ac:dyDescent="0.25">
      <c r="A7425">
        <f ca="1">42629.0768126151*((RANDBETWEEN(2979,3282)))</f>
        <v>127077277.97840554</v>
      </c>
      <c r="B7425">
        <v>159539723.03200355</v>
      </c>
    </row>
    <row r="7426" spans="1:2" x14ac:dyDescent="0.25">
      <c r="A7426">
        <f ca="1">37188.5000886251*((RANDBETWEEN(2979,3282)))</f>
        <v>117775979.78067575</v>
      </c>
      <c r="B7426">
        <v>199146068.52077556</v>
      </c>
    </row>
    <row r="7427" spans="1:2" x14ac:dyDescent="0.25">
      <c r="A7427">
        <f ca="1">30052.8163963012*((RANDBETWEEN(2979,3282)))</f>
        <v>96259170.917352855</v>
      </c>
      <c r="B7427">
        <v>200090864.35201469</v>
      </c>
    </row>
    <row r="7428" spans="1:2" x14ac:dyDescent="0.25">
      <c r="A7428">
        <f ca="1">38599.5608367516*((RANDBETWEEN(2979,3282)))</f>
        <v>115374087.34105048</v>
      </c>
      <c r="B7428">
        <v>146191667.76138669</v>
      </c>
    </row>
    <row r="7429" spans="1:2" x14ac:dyDescent="0.25">
      <c r="A7429">
        <f ca="1">34801.0815852514*((RANDBETWEEN(2979,3282)))</f>
        <v>112129084.86768007</v>
      </c>
      <c r="B7429">
        <v>171129599.62634584</v>
      </c>
    </row>
    <row r="7430" spans="1:2" x14ac:dyDescent="0.25">
      <c r="A7430">
        <f ca="1">34732.6750879485*((RANDBETWEEN(2979,3282)))</f>
        <v>109789985.95300536</v>
      </c>
      <c r="B7430">
        <v>203500986.4537051</v>
      </c>
    </row>
    <row r="7431" spans="1:2" x14ac:dyDescent="0.25">
      <c r="A7431">
        <f ca="1">39849.2049565647*((RANDBETWEEN(2979,3282)))</f>
        <v>126600924.14700603</v>
      </c>
      <c r="B7431">
        <v>172118701.53479889</v>
      </c>
    </row>
    <row r="7432" spans="1:2" x14ac:dyDescent="0.25">
      <c r="A7432">
        <f ca="1">34459.226442046*((RANDBETWEEN(2979,3282)))</f>
        <v>103136464.74104357</v>
      </c>
      <c r="B7432">
        <v>152143328.01516253</v>
      </c>
    </row>
    <row r="7433" spans="1:2" x14ac:dyDescent="0.25">
      <c r="A7433">
        <f ca="1">32036.3584747096*((RANDBETWEEN(2979,3282)))</f>
        <v>96077039.065654218</v>
      </c>
      <c r="B7433">
        <v>144977693.52597991</v>
      </c>
    </row>
    <row r="7434" spans="1:2" x14ac:dyDescent="0.25">
      <c r="A7434">
        <f ca="1">30294.1535877327*((RANDBETWEEN(2979,3282)))</f>
        <v>98789234.849596292</v>
      </c>
      <c r="B7434">
        <v>173289266.43894517</v>
      </c>
    </row>
    <row r="7435" spans="1:2" x14ac:dyDescent="0.25">
      <c r="A7435">
        <f ca="1">35351.6006256397*((RANDBETWEEN(2979,3282)))</f>
        <v>112382738.38890848</v>
      </c>
      <c r="B7435">
        <v>200202303.06186187</v>
      </c>
    </row>
    <row r="7436" spans="1:2" x14ac:dyDescent="0.25">
      <c r="A7436">
        <f ca="1">33035.6285178631*((RANDBETWEEN(2979,3282)))</f>
        <v>106209545.68493001</v>
      </c>
      <c r="B7436">
        <v>182735950.81216729</v>
      </c>
    </row>
    <row r="7437" spans="1:2" x14ac:dyDescent="0.25">
      <c r="A7437">
        <f ca="1">29521.083512243*((RANDBETWEEN(2979,3282)))</f>
        <v>88120434.284045503</v>
      </c>
      <c r="B7437">
        <v>176299340.61002409</v>
      </c>
    </row>
    <row r="7438" spans="1:2" x14ac:dyDescent="0.25">
      <c r="A7438">
        <f ca="1">36214.9261208207*((RANDBETWEEN(2979,3282)))</f>
        <v>117119071.07473399</v>
      </c>
      <c r="B7438">
        <v>149691250.02635676</v>
      </c>
    </row>
    <row r="7439" spans="1:2" x14ac:dyDescent="0.25">
      <c r="A7439">
        <f ca="1">34512.7598220717*((RANDBETWEEN(2979,3282)))</f>
        <v>112891237.37799662</v>
      </c>
      <c r="B7439">
        <v>145161674.7090379</v>
      </c>
    </row>
    <row r="7440" spans="1:2" x14ac:dyDescent="0.25">
      <c r="A7440">
        <f ca="1">31909.8061507138*((RANDBETWEEN(2979,3282)))</f>
        <v>96878171.473567009</v>
      </c>
      <c r="B7440">
        <v>185838086.5296973</v>
      </c>
    </row>
    <row r="7441" spans="1:2" x14ac:dyDescent="0.25">
      <c r="A7441">
        <f ca="1">38139.7590283733*((RANDBETWEEN(2979,3282)))</f>
        <v>114762534.91637526</v>
      </c>
      <c r="B7441">
        <v>147190592.41763324</v>
      </c>
    </row>
    <row r="7442" spans="1:2" x14ac:dyDescent="0.25">
      <c r="A7442">
        <f ca="1">32510.6878433276*((RANDBETWEEN(2979,3282)))</f>
        <v>101400835.38333884</v>
      </c>
      <c r="B7442">
        <v>146471347.7905938</v>
      </c>
    </row>
    <row r="7443" spans="1:2" x14ac:dyDescent="0.25">
      <c r="A7443">
        <f ca="1">36110.3037373655*((RANDBETWEEN(2979,3282)))</f>
        <v>108367021.51583394</v>
      </c>
      <c r="B7443">
        <v>154799460.21606663</v>
      </c>
    </row>
    <row r="7444" spans="1:2" x14ac:dyDescent="0.25">
      <c r="A7444">
        <f ca="1">32166.4644555837*((RANDBETWEEN(2979,3282)))</f>
        <v>100295036.17251007</v>
      </c>
      <c r="B7444">
        <v>145369338.46585634</v>
      </c>
    </row>
    <row r="7445" spans="1:2" x14ac:dyDescent="0.25">
      <c r="A7445">
        <f ca="1">39268.7337149441*((RANDBETWEEN(2979,3282)))</f>
        <v>117649126.20997259</v>
      </c>
      <c r="B7445">
        <v>143868543.58535957</v>
      </c>
    </row>
    <row r="7446" spans="1:2" x14ac:dyDescent="0.25">
      <c r="A7446">
        <f ca="1">30121.2673079422*((RANDBETWEEN(2979,3282)))</f>
        <v>98677271.700818792</v>
      </c>
      <c r="B7446">
        <v>165543246.59254557</v>
      </c>
    </row>
    <row r="7447" spans="1:2" x14ac:dyDescent="0.25">
      <c r="A7447">
        <f ca="1">40867.1346812589*((RANDBETWEEN(2979,3282)))</f>
        <v>123050942.52527064</v>
      </c>
      <c r="B7447">
        <v>178375019.21812212</v>
      </c>
    </row>
    <row r="7448" spans="1:2" x14ac:dyDescent="0.25">
      <c r="A7448">
        <f ca="1">34730.8381877053*((RANDBETWEEN(2979,3282)))</f>
        <v>106588942.39806746</v>
      </c>
      <c r="B7448">
        <v>153991770.11191499</v>
      </c>
    </row>
    <row r="7449" spans="1:2" x14ac:dyDescent="0.25">
      <c r="A7449">
        <f ca="1">30513.4580417964*((RANDBETWEEN(2979,3282)))</f>
        <v>94805314.135861486</v>
      </c>
      <c r="B7449">
        <v>151755549.9622193</v>
      </c>
    </row>
    <row r="7450" spans="1:2" x14ac:dyDescent="0.25">
      <c r="A7450">
        <f ca="1">37810.9234382707*((RANDBETWEEN(2979,3282)))</f>
        <v>120276547.45713905</v>
      </c>
      <c r="B7450">
        <v>160809574.24776882</v>
      </c>
    </row>
    <row r="7451" spans="1:2" x14ac:dyDescent="0.25">
      <c r="A7451">
        <f ca="1">35567.7651595602*((RANDBETWEEN(2979,3282)))</f>
        <v>112429705.66936977</v>
      </c>
      <c r="B7451">
        <v>178430781.70627853</v>
      </c>
    </row>
    <row r="7452" spans="1:2" x14ac:dyDescent="0.25">
      <c r="A7452">
        <f ca="1">33133.8237080326*((RANDBETWEEN(2979,3282)))</f>
        <v>107452990.28514968</v>
      </c>
      <c r="B7452">
        <v>154963041.50205761</v>
      </c>
    </row>
    <row r="7453" spans="1:2" x14ac:dyDescent="0.25">
      <c r="A7453">
        <f ca="1">38740.6805279328*((RANDBETWEEN(2979,3282)))</f>
        <v>117306780.6385804</v>
      </c>
      <c r="B7453">
        <v>146400281.23956394</v>
      </c>
    </row>
    <row r="7454" spans="1:2" x14ac:dyDescent="0.25">
      <c r="A7454">
        <f ca="1">42291.3756833334*((RANDBETWEEN(2979,3282)))</f>
        <v>130172854.35330026</v>
      </c>
      <c r="B7454">
        <v>174929009.06814963</v>
      </c>
    </row>
    <row r="7455" spans="1:2" x14ac:dyDescent="0.25">
      <c r="A7455">
        <f ca="1">32975.2072463273*((RANDBETWEEN(2979,3282)))</f>
        <v>98299092.801301762</v>
      </c>
      <c r="B7455">
        <v>149711245.6503416</v>
      </c>
    </row>
    <row r="7456" spans="1:2" x14ac:dyDescent="0.25">
      <c r="A7456">
        <f ca="1">33017.9429079069*((RANDBETWEEN(2979,3282)))</f>
        <v>99945313.182234317</v>
      </c>
      <c r="B7456">
        <v>196612381.4337737</v>
      </c>
    </row>
    <row r="7457" spans="1:2" x14ac:dyDescent="0.25">
      <c r="A7457">
        <f ca="1">29073.1851801153*((RANDBETWEEN(2979,3282)))</f>
        <v>94953022.798256546</v>
      </c>
      <c r="B7457">
        <v>159883702.54556763</v>
      </c>
    </row>
    <row r="7458" spans="1:2" x14ac:dyDescent="0.25">
      <c r="A7458">
        <f ca="1">29658.8709057445*((RANDBETWEEN(2979,3282)))</f>
        <v>92061135.291431084</v>
      </c>
      <c r="B7458">
        <v>182870496.7250787</v>
      </c>
    </row>
    <row r="7459" spans="1:2" x14ac:dyDescent="0.25">
      <c r="A7459">
        <f ca="1">39204.6960442531*((RANDBETWEEN(2979,3282)))</f>
        <v>117418064.65253794</v>
      </c>
      <c r="B7459">
        <v>189566917.87536645</v>
      </c>
    </row>
    <row r="7460" spans="1:2" x14ac:dyDescent="0.25">
      <c r="A7460">
        <f ca="1">33470.7613563504*((RANDBETWEEN(2979,3282)))</f>
        <v>105700664.36335452</v>
      </c>
      <c r="B7460">
        <v>154976466.84636259</v>
      </c>
    </row>
    <row r="7461" spans="1:2" x14ac:dyDescent="0.25">
      <c r="A7461">
        <f ca="1">29751.3947333882*((RANDBETWEEN(2979,3282)))</f>
        <v>95204463.146842241</v>
      </c>
      <c r="B7461">
        <v>163364861.60584736</v>
      </c>
    </row>
    <row r="7462" spans="1:2" x14ac:dyDescent="0.25">
      <c r="A7462">
        <f ca="1">36269.5530995086*((RANDBETWEEN(2979,3282)))</f>
        <v>117295734.7238107</v>
      </c>
      <c r="B7462">
        <v>163718728.93178943</v>
      </c>
    </row>
    <row r="7463" spans="1:2" x14ac:dyDescent="0.25">
      <c r="A7463">
        <f ca="1">33711.9833566274*((RANDBETWEEN(2979,3282)))</f>
        <v>108384026.491557</v>
      </c>
      <c r="B7463">
        <v>203238834.16427281</v>
      </c>
    </row>
    <row r="7464" spans="1:2" x14ac:dyDescent="0.25">
      <c r="A7464">
        <f ca="1">36088.8844749086*((RANDBETWEEN(2979,3282)))</f>
        <v>110035008.76399641</v>
      </c>
      <c r="B7464">
        <v>158228874.52961573</v>
      </c>
    </row>
    <row r="7465" spans="1:2" x14ac:dyDescent="0.25">
      <c r="A7465">
        <f ca="1">35212.4685261365*((RANDBETWEEN(2979,3282)))</f>
        <v>109053015.02544466</v>
      </c>
      <c r="B7465">
        <v>196985546.79830167</v>
      </c>
    </row>
    <row r="7466" spans="1:2" x14ac:dyDescent="0.25">
      <c r="A7466">
        <f ca="1">30137.6489765752*((RANDBETWEEN(2979,3282)))</f>
        <v>94843181.329282209</v>
      </c>
      <c r="B7466">
        <v>169951940.31597793</v>
      </c>
    </row>
    <row r="7467" spans="1:2" x14ac:dyDescent="0.25">
      <c r="A7467">
        <f ca="1">39391.4493984232*((RANDBETWEEN(2979,3282)))</f>
        <v>117977390.94827744</v>
      </c>
      <c r="B7467">
        <v>153093853.07754329</v>
      </c>
    </row>
    <row r="7468" spans="1:2" x14ac:dyDescent="0.25">
      <c r="A7468">
        <f ca="1">39251.826967359*((RANDBETWEEN(2979,3282)))</f>
        <v>117127451.6705993</v>
      </c>
      <c r="B7468">
        <v>156611674.93342856</v>
      </c>
    </row>
    <row r="7469" spans="1:2" x14ac:dyDescent="0.25">
      <c r="A7469">
        <f ca="1">32716.3346586339*((RANDBETWEEN(2979,3282)))</f>
        <v>101158906.76449615</v>
      </c>
      <c r="B7469">
        <v>167651690.52343792</v>
      </c>
    </row>
    <row r="7470" spans="1:2" x14ac:dyDescent="0.25">
      <c r="A7470">
        <f ca="1">40030.5217778242*((RANDBETWEEN(2979,3282)))</f>
        <v>126136174.12192394</v>
      </c>
      <c r="B7470">
        <v>188968739.18692017</v>
      </c>
    </row>
    <row r="7471" spans="1:2" x14ac:dyDescent="0.25">
      <c r="A7471">
        <f ca="1">40604.4682963064*((RANDBETWEEN(2979,3282)))</f>
        <v>126929567.89425389</v>
      </c>
      <c r="B7471">
        <v>164781565.79006818</v>
      </c>
    </row>
    <row r="7472" spans="1:2" x14ac:dyDescent="0.25">
      <c r="A7472">
        <f ca="1">30726.88572755*((RANDBETWEEN(2979,3282)))</f>
        <v>91873388.325374439</v>
      </c>
      <c r="B7472">
        <v>184746968.90299848</v>
      </c>
    </row>
    <row r="7473" spans="1:2" x14ac:dyDescent="0.25">
      <c r="A7473">
        <f ca="1">29443.318417453*((RANDBETWEEN(2979,3282)))</f>
        <v>92746453.014976874</v>
      </c>
      <c r="B7473">
        <v>194012637.62711686</v>
      </c>
    </row>
    <row r="7474" spans="1:2" x14ac:dyDescent="0.25">
      <c r="A7474">
        <f ca="1">29657.5819318651*((RANDBETWEEN(2979,3282)))</f>
        <v>94192480.215603501</v>
      </c>
      <c r="B7474">
        <v>180148734.05511698</v>
      </c>
    </row>
    <row r="7475" spans="1:2" x14ac:dyDescent="0.25">
      <c r="A7475">
        <f ca="1">36598.9405013076*((RANDBETWEEN(2979,3282)))</f>
        <v>118214577.81922339</v>
      </c>
      <c r="B7475">
        <v>164650892.48808241</v>
      </c>
    </row>
    <row r="7476" spans="1:2" x14ac:dyDescent="0.25">
      <c r="A7476">
        <f ca="1">41140.9529639312*((RANDBETWEEN(2979,3282)))</f>
        <v>129223733.25970788</v>
      </c>
      <c r="B7476">
        <v>147714925.02655894</v>
      </c>
    </row>
    <row r="7477" spans="1:2" x14ac:dyDescent="0.25">
      <c r="A7477">
        <f ca="1">31984.3817820361*((RANDBETWEEN(2979,3282)))</f>
        <v>102957724.95637426</v>
      </c>
      <c r="B7477">
        <v>189350470.88007453</v>
      </c>
    </row>
    <row r="7478" spans="1:2" x14ac:dyDescent="0.25">
      <c r="A7478">
        <f ca="1">28903.9408421527*((RANDBETWEEN(2979,3282)))</f>
        <v>92752746.162467957</v>
      </c>
      <c r="B7478">
        <v>145695911.79369122</v>
      </c>
    </row>
    <row r="7479" spans="1:2" x14ac:dyDescent="0.25">
      <c r="A7479">
        <f ca="1">38578.9939380052*((RANDBETWEEN(2979,3282)))</f>
        <v>124262939.47431464</v>
      </c>
      <c r="B7479">
        <v>155169421.70951414</v>
      </c>
    </row>
    <row r="7480" spans="1:2" x14ac:dyDescent="0.25">
      <c r="A7480">
        <f ca="1">35929.6500393131*((RANDBETWEEN(2979,3282)))</f>
        <v>116555784.7275316</v>
      </c>
      <c r="B7480">
        <v>197080591.22217202</v>
      </c>
    </row>
    <row r="7481" spans="1:2" x14ac:dyDescent="0.25">
      <c r="A7481">
        <f ca="1">29432.1066259742*((RANDBETWEEN(2979,3282)))</f>
        <v>94830247.548888773</v>
      </c>
      <c r="B7481">
        <v>164087890.12701368</v>
      </c>
    </row>
    <row r="7482" spans="1:2" x14ac:dyDescent="0.25">
      <c r="A7482">
        <f ca="1">33913.9508878587*((RANDBETWEEN(2979,3282)))</f>
        <v>109474233.46600786</v>
      </c>
      <c r="B7482">
        <v>148491514.99314994</v>
      </c>
    </row>
    <row r="7483" spans="1:2" x14ac:dyDescent="0.25">
      <c r="A7483">
        <f ca="1">36066.5629199288*((RANDBETWEEN(2979,3282)))</f>
        <v>110544015.34958191</v>
      </c>
      <c r="B7483">
        <v>167106280.18161488</v>
      </c>
    </row>
    <row r="7484" spans="1:2" x14ac:dyDescent="0.25">
      <c r="A7484">
        <f ca="1">28694.3404658159*((RANDBETWEEN(2979,3282)))</f>
        <v>93600938.599491417</v>
      </c>
      <c r="B7484">
        <v>179279706.68000966</v>
      </c>
    </row>
    <row r="7485" spans="1:2" x14ac:dyDescent="0.25">
      <c r="A7485">
        <f ca="1">31643.9723133263*((RANDBETWEEN(2979,3282)))</f>
        <v>98697549.645264611</v>
      </c>
      <c r="B7485">
        <v>155793473.92154801</v>
      </c>
    </row>
    <row r="7486" spans="1:2" x14ac:dyDescent="0.25">
      <c r="A7486">
        <f ca="1">29945.1946061116*((RANDBETWEEN(2979,3282)))</f>
        <v>94626814.95531261</v>
      </c>
      <c r="B7486">
        <v>156752017.78455833</v>
      </c>
    </row>
    <row r="7487" spans="1:2" x14ac:dyDescent="0.25">
      <c r="A7487">
        <f ca="1">31108.6783232094*((RANDBETWEEN(2979,3282)))</f>
        <v>95037012.27740483</v>
      </c>
      <c r="B7487">
        <v>195474659.99560151</v>
      </c>
    </row>
    <row r="7488" spans="1:2" x14ac:dyDescent="0.25">
      <c r="A7488">
        <f ca="1">32106.6733492479*((RANDBETWEEN(2979,3282)))</f>
        <v>98471167.162143335</v>
      </c>
      <c r="B7488">
        <v>168103581.85911947</v>
      </c>
    </row>
    <row r="7489" spans="1:2" x14ac:dyDescent="0.25">
      <c r="A7489">
        <f ca="1">38143.4253685091*((RANDBETWEEN(2979,3282)))</f>
        <v>114735423.50847527</v>
      </c>
      <c r="B7489">
        <v>198653885.4968515</v>
      </c>
    </row>
    <row r="7490" spans="1:2" x14ac:dyDescent="0.25">
      <c r="A7490">
        <f ca="1">32303.4672349605*((RANDBETWEEN(2979,3282)))</f>
        <v>101335976.71607096</v>
      </c>
      <c r="B7490">
        <v>166015859.97087508</v>
      </c>
    </row>
    <row r="7491" spans="1:2" x14ac:dyDescent="0.25">
      <c r="A7491">
        <f ca="1">30263.2399827447*((RANDBETWEEN(2979,3282)))</f>
        <v>94905520.585887417</v>
      </c>
      <c r="B7491">
        <v>145370636.52427661</v>
      </c>
    </row>
    <row r="7492" spans="1:2" x14ac:dyDescent="0.25">
      <c r="A7492">
        <f ca="1">33124.2619971363*((RANDBETWEEN(2979,3282)))</f>
        <v>107786348.53868143</v>
      </c>
      <c r="B7492">
        <v>167939008.32309213</v>
      </c>
    </row>
    <row r="7493" spans="1:2" x14ac:dyDescent="0.25">
      <c r="A7493">
        <f ca="1">34059.2691992203*((RANDBETWEEN(2979,3282)))</f>
        <v>107082342.36234871</v>
      </c>
      <c r="B7493">
        <v>158926783.63532829</v>
      </c>
    </row>
    <row r="7494" spans="1:2" x14ac:dyDescent="0.25">
      <c r="A7494">
        <f ca="1">31445.93068734*((RANDBETWEEN(2979,3282)))</f>
        <v>101067221.22911091</v>
      </c>
      <c r="B7494">
        <v>173659193.88405493</v>
      </c>
    </row>
    <row r="7495" spans="1:2" x14ac:dyDescent="0.25">
      <c r="A7495">
        <f ca="1">34211.6093272454*((RANDBETWEEN(2979,3282)))</f>
        <v>111392999.96951112</v>
      </c>
      <c r="B7495">
        <v>200492294.00918785</v>
      </c>
    </row>
    <row r="7496" spans="1:2" x14ac:dyDescent="0.25">
      <c r="A7496">
        <f ca="1">28869.9425090979*((RANDBETWEEN(2979,3282)))</f>
        <v>86667567.412311792</v>
      </c>
      <c r="B7496">
        <v>187092419.72085881</v>
      </c>
    </row>
    <row r="7497" spans="1:2" x14ac:dyDescent="0.25">
      <c r="A7497">
        <f ca="1">30780.4880911381*((RANDBETWEEN(2979,3282)))</f>
        <v>92803171.594781324</v>
      </c>
      <c r="B7497">
        <v>147229498.0087328</v>
      </c>
    </row>
    <row r="7498" spans="1:2" x14ac:dyDescent="0.25">
      <c r="A7498">
        <f ca="1">40574.9559407278*((RANDBETWEEN(2979,3282)))</f>
        <v>124889714.38556013</v>
      </c>
      <c r="B7498">
        <v>168611190.13219717</v>
      </c>
    </row>
    <row r="7499" spans="1:2" x14ac:dyDescent="0.25">
      <c r="A7499">
        <f ca="1">30209.5080943426*((RANDBETWEEN(2979,3282)))</f>
        <v>93166122.962952495</v>
      </c>
      <c r="B7499">
        <v>160845447.03682312</v>
      </c>
    </row>
    <row r="7500" spans="1:2" x14ac:dyDescent="0.25">
      <c r="A7500">
        <f ca="1">31826.3447726992*((RANDBETWEEN(2979,3282)))</f>
        <v>96051908.524006128</v>
      </c>
      <c r="B7500">
        <v>154476110.52926117</v>
      </c>
    </row>
    <row r="7501" spans="1:2" x14ac:dyDescent="0.25">
      <c r="A7501">
        <f ca="1">29720.8002296109*((RANDBETWEEN(2979,3282)))</f>
        <v>96919529.548761129</v>
      </c>
      <c r="B7501">
        <v>158773276.05240604</v>
      </c>
    </row>
    <row r="7502" spans="1:2" x14ac:dyDescent="0.25">
      <c r="A7502">
        <f ca="1">35194.8564142201*((RANDBETWEEN(2979,3282)))</f>
        <v>108716911.46352591</v>
      </c>
      <c r="B7502">
        <v>183339656.96600717</v>
      </c>
    </row>
    <row r="7503" spans="1:2" x14ac:dyDescent="0.25">
      <c r="A7503">
        <f ca="1">35737.3668754118*((RANDBETWEEN(2979,3282)))</f>
        <v>108963231.60313064</v>
      </c>
      <c r="B7503">
        <v>180068742.88141906</v>
      </c>
    </row>
    <row r="7504" spans="1:2" x14ac:dyDescent="0.25">
      <c r="A7504">
        <f ca="1">34645.2614141101*((RANDBETWEEN(2979,3282)))</f>
        <v>113359295.34696825</v>
      </c>
      <c r="B7504">
        <v>170037634.40204221</v>
      </c>
    </row>
    <row r="7505" spans="1:2" x14ac:dyDescent="0.25">
      <c r="A7505">
        <f ca="1">36103.6443631951*((RANDBETWEEN(2979,3282)))</f>
        <v>110729877.26191923</v>
      </c>
      <c r="B7505">
        <v>144026168.90980947</v>
      </c>
    </row>
    <row r="7506" spans="1:2" x14ac:dyDescent="0.25">
      <c r="A7506">
        <f ca="1">32529.1830318403*((RANDBETWEEN(2979,3282)))</f>
        <v>103703035.50550693</v>
      </c>
      <c r="B7506">
        <v>166876309.56236845</v>
      </c>
    </row>
    <row r="7507" spans="1:2" x14ac:dyDescent="0.25">
      <c r="A7507">
        <f ca="1">33912.1410341805*((RANDBETWEEN(2979,3282)))</f>
        <v>102753787.33356692</v>
      </c>
      <c r="B7507">
        <v>187666429.47913432</v>
      </c>
    </row>
    <row r="7508" spans="1:2" x14ac:dyDescent="0.25">
      <c r="A7508">
        <f ca="1">38364.1654202365*((RANDBETWEEN(2979,3282)))</f>
        <v>116205057.05789649</v>
      </c>
      <c r="B7508">
        <v>147675362.79437265</v>
      </c>
    </row>
    <row r="7509" spans="1:2" x14ac:dyDescent="0.25">
      <c r="A7509">
        <f ca="1">30372.7792555285*((RANDBETWEEN(2979,3282)))</f>
        <v>95157917.407570764</v>
      </c>
      <c r="B7509">
        <v>169361404.48811311</v>
      </c>
    </row>
    <row r="7510" spans="1:2" x14ac:dyDescent="0.25">
      <c r="A7510">
        <f ca="1">30813.1565753663*((RANDBETWEEN(2979,3282)))</f>
        <v>98694540.510898188</v>
      </c>
      <c r="B7510">
        <v>149834119.01840052</v>
      </c>
    </row>
    <row r="7511" spans="1:2" x14ac:dyDescent="0.25">
      <c r="A7511">
        <f ca="1">30451.6290217063*((RANDBETWEEN(2979,3282)))</f>
        <v>99180955.723697454</v>
      </c>
      <c r="B7511">
        <v>170821307.15306044</v>
      </c>
    </row>
    <row r="7512" spans="1:2" x14ac:dyDescent="0.25">
      <c r="A7512">
        <f ca="1">31631.6730170126*((RANDBETWEEN(2979,3282)))</f>
        <v>95306230.800258934</v>
      </c>
      <c r="B7512">
        <v>190454829.39678717</v>
      </c>
    </row>
    <row r="7513" spans="1:2" x14ac:dyDescent="0.25">
      <c r="A7513">
        <f ca="1">40228.0813473021*((RANDBETWEEN(2979,3282)))</f>
        <v>129976930.83313324</v>
      </c>
      <c r="B7513">
        <v>201140607.55548742</v>
      </c>
    </row>
    <row r="7514" spans="1:2" x14ac:dyDescent="0.25">
      <c r="A7514">
        <f ca="1">31869.3259927127*((RANDBETWEEN(2979,3282)))</f>
        <v>102045581.82866621</v>
      </c>
      <c r="B7514">
        <v>171649391.90147042</v>
      </c>
    </row>
    <row r="7515" spans="1:2" x14ac:dyDescent="0.25">
      <c r="A7515">
        <f ca="1">31820.0315171446*((RANDBETWEEN(2979,3282)))</f>
        <v>95555554.645985097</v>
      </c>
      <c r="B7515">
        <v>188912117.58298272</v>
      </c>
    </row>
    <row r="7516" spans="1:2" x14ac:dyDescent="0.25">
      <c r="A7516">
        <f ca="1">30012.6507200971*((RANDBETWEEN(2979,3282)))</f>
        <v>92168850.361418247</v>
      </c>
      <c r="B7516">
        <v>153483711.02519029</v>
      </c>
    </row>
    <row r="7517" spans="1:2" x14ac:dyDescent="0.25">
      <c r="A7517">
        <f ca="1">32714.949522462*((RANDBETWEEN(2979,3282)))</f>
        <v>100271320.28634611</v>
      </c>
      <c r="B7517">
        <v>184691649.52114388</v>
      </c>
    </row>
    <row r="7518" spans="1:2" x14ac:dyDescent="0.25">
      <c r="A7518">
        <f ca="1">37832.1250564964*((RANDBETWEEN(2979,3282)))</f>
        <v>117847069.55098638</v>
      </c>
      <c r="B7518">
        <v>166460617.47884679</v>
      </c>
    </row>
    <row r="7519" spans="1:2" x14ac:dyDescent="0.25">
      <c r="A7519">
        <f ca="1">32259.039415705*((RANDBETWEEN(2979,3282)))</f>
        <v>98551365.414978668</v>
      </c>
      <c r="B7519">
        <v>194025960.30222243</v>
      </c>
    </row>
    <row r="7520" spans="1:2" x14ac:dyDescent="0.25">
      <c r="A7520">
        <f ca="1">30801.9856016524*((RANDBETWEEN(2979,3282)))</f>
        <v>100044849.23416707</v>
      </c>
      <c r="B7520">
        <v>178481392.06040114</v>
      </c>
    </row>
    <row r="7521" spans="1:2" x14ac:dyDescent="0.25">
      <c r="A7521">
        <f ca="1">43097.7559302415*((RANDBETWEEN(2979,3282)))</f>
        <v>139938413.50549418</v>
      </c>
      <c r="B7521">
        <v>151584850.87465006</v>
      </c>
    </row>
    <row r="7522" spans="1:2" x14ac:dyDescent="0.25">
      <c r="A7522">
        <f ca="1">29478.845707076*((RANDBETWEEN(2979,3282)))</f>
        <v>93536377.428552091</v>
      </c>
      <c r="B7522">
        <v>149467725.33051586</v>
      </c>
    </row>
    <row r="7523" spans="1:2" x14ac:dyDescent="0.25">
      <c r="A7523">
        <f ca="1">33039.2790366697*((RANDBETWEEN(2979,3282)))</f>
        <v>107939324.61280011</v>
      </c>
      <c r="B7523">
        <v>196137110.05953389</v>
      </c>
    </row>
    <row r="7524" spans="1:2" x14ac:dyDescent="0.25">
      <c r="A7524">
        <f ca="1">29316.4410658394*((RANDBETWEEN(2979,3282)))</f>
        <v>95131851.258648992</v>
      </c>
      <c r="B7524">
        <v>166503928.07566205</v>
      </c>
    </row>
    <row r="7525" spans="1:2" x14ac:dyDescent="0.25">
      <c r="A7525">
        <f ca="1">32866.1809213061*((RANDBETWEEN(2979,3282)))</f>
        <v>105796236.38568419</v>
      </c>
      <c r="B7525">
        <v>177048092.42677727</v>
      </c>
    </row>
    <row r="7526" spans="1:2" x14ac:dyDescent="0.25">
      <c r="A7526">
        <f ca="1">35232.4629496782*((RANDBETWEEN(2979,3282)))</f>
        <v>107212384.75587083</v>
      </c>
      <c r="B7526">
        <v>181269402.06906828</v>
      </c>
    </row>
    <row r="7527" spans="1:2" x14ac:dyDescent="0.25">
      <c r="A7527">
        <f ca="1">38287.6042523741*((RANDBETWEEN(2979,3282)))</f>
        <v>124626151.84147774</v>
      </c>
      <c r="B7527">
        <v>147849866.53284273</v>
      </c>
    </row>
    <row r="7528" spans="1:2" x14ac:dyDescent="0.25">
      <c r="A7528">
        <f ca="1">32687.3780463255*((RANDBETWEEN(2979,3282)))</f>
        <v>101265497.18751651</v>
      </c>
      <c r="B7528">
        <v>150196859.17183274</v>
      </c>
    </row>
    <row r="7529" spans="1:2" x14ac:dyDescent="0.25">
      <c r="A7529">
        <f ca="1">39667.5047400986*((RANDBETWEEN(2979,3282)))</f>
        <v>124754302.40760998</v>
      </c>
      <c r="B7529">
        <v>150801160.22110417</v>
      </c>
    </row>
    <row r="7530" spans="1:2" x14ac:dyDescent="0.25">
      <c r="A7530">
        <f ca="1">27703.0245418833*((RANDBETWEEN(2979,3282)))</f>
        <v>87984805.945021287</v>
      </c>
      <c r="B7530">
        <v>158123166.45763966</v>
      </c>
    </row>
    <row r="7531" spans="1:2" x14ac:dyDescent="0.25">
      <c r="A7531">
        <f ca="1">36668.4647849455*((RANDBETWEEN(2979,3282)))</f>
        <v>116459044.15698703</v>
      </c>
      <c r="B7531">
        <v>158051143.70274085</v>
      </c>
    </row>
    <row r="7532" spans="1:2" x14ac:dyDescent="0.25">
      <c r="A7532">
        <f ca="1">33020.0135461095*((RANDBETWEEN(2979,3282)))</f>
        <v>101305401.55946383</v>
      </c>
      <c r="B7532">
        <v>189903539.58403865</v>
      </c>
    </row>
    <row r="7533" spans="1:2" x14ac:dyDescent="0.25">
      <c r="A7533">
        <f ca="1">27785.1894805326*((RANDBETWEEN(2979,3282)))</f>
        <v>82911005.409909293</v>
      </c>
      <c r="B7533">
        <v>155705159.1551736</v>
      </c>
    </row>
    <row r="7534" spans="1:2" x14ac:dyDescent="0.25">
      <c r="A7534">
        <f ca="1">29535.8223102489*((RANDBETWEEN(2979,3282)))</f>
        <v>93953450.76890187</v>
      </c>
      <c r="B7534">
        <v>167898896.86953205</v>
      </c>
    </row>
    <row r="7535" spans="1:2" x14ac:dyDescent="0.25">
      <c r="A7535">
        <f ca="1">28071.373740541*((RANDBETWEEN(2979,3282)))</f>
        <v>89603824.979806766</v>
      </c>
      <c r="B7535">
        <v>144858811.34754401</v>
      </c>
    </row>
    <row r="7536" spans="1:2" x14ac:dyDescent="0.25">
      <c r="A7536">
        <f ca="1">29807.3899647025*((RANDBETWEEN(2979,3282)))</f>
        <v>92104834.990930751</v>
      </c>
      <c r="B7536">
        <v>172579612.02971226</v>
      </c>
    </row>
    <row r="7537" spans="1:2" x14ac:dyDescent="0.25">
      <c r="A7537">
        <f ca="1">32804.0629923399*((RANDBETWEEN(2979,3282)))</f>
        <v>107302090.04794388</v>
      </c>
      <c r="B7537">
        <v>177273769.88699317</v>
      </c>
    </row>
    <row r="7538" spans="1:2" x14ac:dyDescent="0.25">
      <c r="A7538">
        <f ca="1">29944.4719842296*((RANDBETWEEN(2979,3282)))</f>
        <v>94774253.830086574</v>
      </c>
      <c r="B7538">
        <v>154620284.32699353</v>
      </c>
    </row>
    <row r="7539" spans="1:2" x14ac:dyDescent="0.25">
      <c r="A7539">
        <f ca="1">30784.1771428877*((RANDBETWEEN(2979,3282)))</f>
        <v>94384287.120093778</v>
      </c>
      <c r="B7539">
        <v>177966943.79869926</v>
      </c>
    </row>
    <row r="7540" spans="1:2" x14ac:dyDescent="0.25">
      <c r="A7540">
        <f ca="1">33112.3412771585*((RANDBETWEEN(2979,3282)))</f>
        <v>107780670.85715106</v>
      </c>
      <c r="B7540">
        <v>169363866.90509409</v>
      </c>
    </row>
    <row r="7541" spans="1:2" x14ac:dyDescent="0.25">
      <c r="A7541">
        <f ca="1">38511.169586317*((RANDBETWEEN(2979,3282)))</f>
        <v>122812119.81076504</v>
      </c>
      <c r="B7541">
        <v>151157224.06827128</v>
      </c>
    </row>
    <row r="7542" spans="1:2" x14ac:dyDescent="0.25">
      <c r="A7542">
        <f ca="1">31596.0160925816*((RANDBETWEEN(2979,3282)))</f>
        <v>97252537.532966018</v>
      </c>
      <c r="B7542">
        <v>154621195.6551491</v>
      </c>
    </row>
    <row r="7543" spans="1:2" x14ac:dyDescent="0.25">
      <c r="A7543">
        <f ca="1">32126.1967291712*((RANDBETWEEN(2979,3282)))</f>
        <v>97695764.253409535</v>
      </c>
      <c r="B7543">
        <v>185751320.22568583</v>
      </c>
    </row>
    <row r="7544" spans="1:2" x14ac:dyDescent="0.25">
      <c r="A7544">
        <f ca="1">34000.3892254265*((RANDBETWEEN(2979,3282)))</f>
        <v>103225181.68839492</v>
      </c>
      <c r="B7544">
        <v>197763385.84942347</v>
      </c>
    </row>
    <row r="7545" spans="1:2" x14ac:dyDescent="0.25">
      <c r="A7545">
        <f ca="1">29575.9319732829*((RANDBETWEEN(2979,3282)))</f>
        <v>90827687.089951932</v>
      </c>
      <c r="B7545">
        <v>168843444.12733892</v>
      </c>
    </row>
    <row r="7546" spans="1:2" x14ac:dyDescent="0.25">
      <c r="A7546">
        <f ca="1">31997.5135544134*((RANDBETWEEN(2979,3282)))</f>
        <v>103127986.18587452</v>
      </c>
      <c r="B7546">
        <v>174035053.3590928</v>
      </c>
    </row>
    <row r="7547" spans="1:2" x14ac:dyDescent="0.25">
      <c r="A7547">
        <f ca="1">36813.0765989478*((RANDBETWEEN(2979,3282)))</f>
        <v>114451855.14612861</v>
      </c>
      <c r="B7547">
        <v>162113044.5280734</v>
      </c>
    </row>
    <row r="7548" spans="1:2" x14ac:dyDescent="0.25">
      <c r="A7548">
        <f ca="1">32881.919096844*((RANDBETWEEN(2979,3282)))</f>
        <v>105682487.97725676</v>
      </c>
      <c r="B7548">
        <v>144189556.62703532</v>
      </c>
    </row>
    <row r="7549" spans="1:2" x14ac:dyDescent="0.25">
      <c r="A7549">
        <f ca="1">30592.9222192773*((RANDBETWEEN(2979,3282)))</f>
        <v>98906917.534923434</v>
      </c>
      <c r="B7549">
        <v>168701304.19258812</v>
      </c>
    </row>
    <row r="7550" spans="1:2" x14ac:dyDescent="0.25">
      <c r="A7550">
        <f ca="1">30871.5066128407*((RANDBETWEEN(2979,3282)))</f>
        <v>97677446.923028022</v>
      </c>
      <c r="B7550">
        <v>147743252.18476355</v>
      </c>
    </row>
    <row r="7551" spans="1:2" x14ac:dyDescent="0.25">
      <c r="A7551">
        <f ca="1">31415.6614659528*((RANDBETWEEN(2979,3282)))</f>
        <v>97137225.252726093</v>
      </c>
      <c r="B7551">
        <v>195566161.77354866</v>
      </c>
    </row>
    <row r="7552" spans="1:2" x14ac:dyDescent="0.25">
      <c r="A7552">
        <f ca="1">30229.9827190169*((RANDBETWEEN(2979,3282)))</f>
        <v>95859275.202002585</v>
      </c>
      <c r="B7552">
        <v>143230669.54567021</v>
      </c>
    </row>
    <row r="7553" spans="1:2" x14ac:dyDescent="0.25">
      <c r="A7553">
        <f ca="1">38835.8750578876*((RANDBETWEEN(2979,3282)))</f>
        <v>125750563.43744019</v>
      </c>
      <c r="B7553">
        <v>151126727.08576861</v>
      </c>
    </row>
    <row r="7554" spans="1:2" x14ac:dyDescent="0.25">
      <c r="A7554">
        <f ca="1">37932.2115382676*((RANDBETWEEN(2979,3282)))</f>
        <v>121041687.01861207</v>
      </c>
      <c r="B7554">
        <v>174847107.14460653</v>
      </c>
    </row>
    <row r="7555" spans="1:2" x14ac:dyDescent="0.25">
      <c r="A7555">
        <f ca="1">30068.2587345312*((RANDBETWEEN(2979,3282)))</f>
        <v>96338700.985438049</v>
      </c>
      <c r="B7555">
        <v>157299581.51395518</v>
      </c>
    </row>
    <row r="7556" spans="1:2" x14ac:dyDescent="0.25">
      <c r="A7556">
        <f ca="1">34966.6865098121*((RANDBETWEEN(2979,3282)))</f>
        <v>111124129.72818302</v>
      </c>
      <c r="B7556">
        <v>200905935.29446945</v>
      </c>
    </row>
    <row r="7557" spans="1:2" x14ac:dyDescent="0.25">
      <c r="A7557">
        <f ca="1">33773.7032708299*((RANDBETWEEN(2979,3282)))</f>
        <v>102097904.98771875</v>
      </c>
      <c r="B7557">
        <v>192849610.20816502</v>
      </c>
    </row>
    <row r="7558" spans="1:2" x14ac:dyDescent="0.25">
      <c r="A7558">
        <f ca="1">39613.7186336596*((RANDBETWEEN(2979,3282)))</f>
        <v>119118451.93141428</v>
      </c>
      <c r="B7558">
        <v>190399457.226401</v>
      </c>
    </row>
    <row r="7559" spans="1:2" x14ac:dyDescent="0.25">
      <c r="A7559">
        <f ca="1">29374.6512549921*((RANDBETWEEN(2979,3282)))</f>
        <v>94645126.343584597</v>
      </c>
      <c r="B7559">
        <v>176899201.14119136</v>
      </c>
    </row>
    <row r="7560" spans="1:2" x14ac:dyDescent="0.25">
      <c r="A7560">
        <f ca="1">36838.5805594444*((RANDBETWEEN(2979,3282)))</f>
        <v>110405225.93665475</v>
      </c>
      <c r="B7560">
        <v>179066331.78641632</v>
      </c>
    </row>
    <row r="7561" spans="1:2" x14ac:dyDescent="0.25">
      <c r="A7561">
        <f ca="1">34119.6376969915*((RANDBETWEEN(2979,3282)))</f>
        <v>108193371.13716009</v>
      </c>
      <c r="B7561">
        <v>193611301.96353918</v>
      </c>
    </row>
    <row r="7562" spans="1:2" x14ac:dyDescent="0.25">
      <c r="A7562">
        <f ca="1">30781.6138405586*((RANDBETWEEN(2979,3282)))</f>
        <v>92898910.570805758</v>
      </c>
      <c r="B7562">
        <v>175320848.80402005</v>
      </c>
    </row>
    <row r="7563" spans="1:2" x14ac:dyDescent="0.25">
      <c r="A7563">
        <f ca="1">32487.8203015828*((RANDBETWEEN(2979,3282)))</f>
        <v>101621901.90335111</v>
      </c>
      <c r="B7563">
        <v>149924235.44536388</v>
      </c>
    </row>
    <row r="7564" spans="1:2" x14ac:dyDescent="0.25">
      <c r="A7564">
        <f ca="1">28024.3582934343*((RANDBETWEEN(2979,3282)))</f>
        <v>90939042.662194297</v>
      </c>
      <c r="B7564">
        <v>150251456.04286811</v>
      </c>
    </row>
    <row r="7565" spans="1:2" x14ac:dyDescent="0.25">
      <c r="A7565">
        <f ca="1">32135.9031834413*((RANDBETWEEN(2979,3282)))</f>
        <v>103124113.31566338</v>
      </c>
      <c r="B7565">
        <v>168010134.23281643</v>
      </c>
    </row>
    <row r="7566" spans="1:2" x14ac:dyDescent="0.25">
      <c r="A7566">
        <f ca="1">29633.8375218633*((RANDBETWEEN(2979,3282)))</f>
        <v>95124618.445181295</v>
      </c>
      <c r="B7566">
        <v>153976437.82251021</v>
      </c>
    </row>
    <row r="7567" spans="1:2" x14ac:dyDescent="0.25">
      <c r="A7567">
        <f ca="1">28244.3162745764*((RANDBETWEEN(2979,3282)))</f>
        <v>92528380.115512446</v>
      </c>
      <c r="B7567">
        <v>153184921.74583551</v>
      </c>
    </row>
    <row r="7568" spans="1:2" x14ac:dyDescent="0.25">
      <c r="A7568">
        <f ca="1">31407.4717956116*((RANDBETWEEN(2979,3282)))</f>
        <v>95824196.448411062</v>
      </c>
      <c r="B7568">
        <v>143657223.48916939</v>
      </c>
    </row>
    <row r="7569" spans="1:2" x14ac:dyDescent="0.25">
      <c r="A7569">
        <f ca="1">35192.4687848175*((RANDBETWEEN(2979,3282)))</f>
        <v>109096653.23293425</v>
      </c>
      <c r="B7569">
        <v>196884773.00072125</v>
      </c>
    </row>
    <row r="7570" spans="1:2" x14ac:dyDescent="0.25">
      <c r="A7570">
        <f ca="1">37998.0491565046*((RANDBETWEEN(2979,3282)))</f>
        <v>113424176.73216622</v>
      </c>
      <c r="B7570">
        <v>174482125.18099642</v>
      </c>
    </row>
    <row r="7571" spans="1:2" x14ac:dyDescent="0.25">
      <c r="A7571">
        <f ca="1">33737.3122189163*((RANDBETWEEN(2979,3282)))</f>
        <v>103337387.32654084</v>
      </c>
      <c r="B7571">
        <v>200848214.8864066</v>
      </c>
    </row>
    <row r="7572" spans="1:2" x14ac:dyDescent="0.25">
      <c r="A7572">
        <f ca="1">39205.1019077649*((RANDBETWEEN(2979,3282)))</f>
        <v>127651811.81168248</v>
      </c>
      <c r="B7572">
        <v>159641678.5303452</v>
      </c>
    </row>
    <row r="7573" spans="1:2" x14ac:dyDescent="0.25">
      <c r="A7573">
        <f ca="1">32366.8030868383*((RANDBETWEEN(2979,3282)))</f>
        <v>97715378.519164786</v>
      </c>
      <c r="B7573">
        <v>147155686.58348966</v>
      </c>
    </row>
    <row r="7574" spans="1:2" x14ac:dyDescent="0.25">
      <c r="A7574">
        <f ca="1">33995.5379197342*((RANDBETWEEN(2979,3282)))</f>
        <v>103516412.96559075</v>
      </c>
      <c r="B7574">
        <v>161581444.15117034</v>
      </c>
    </row>
    <row r="7575" spans="1:2" x14ac:dyDescent="0.25">
      <c r="A7575">
        <f ca="1">36624.9790463904*((RANDBETWEEN(2979,3282)))</f>
        <v>114526309.47806282</v>
      </c>
      <c r="B7575">
        <v>164081077.3763487</v>
      </c>
    </row>
    <row r="7576" spans="1:2" x14ac:dyDescent="0.25">
      <c r="A7576">
        <f ca="1">34767.6000014763*((RANDBETWEEN(2979,3282)))</f>
        <v>113377143.60481437</v>
      </c>
      <c r="B7576">
        <v>181335604.20927674</v>
      </c>
    </row>
    <row r="7577" spans="1:2" x14ac:dyDescent="0.25">
      <c r="A7577">
        <f ca="1">29165.8093969459*((RANDBETWEEN(2979,3282)))</f>
        <v>90880662.080883384</v>
      </c>
      <c r="B7577">
        <v>193116143.87589234</v>
      </c>
    </row>
    <row r="7578" spans="1:2" x14ac:dyDescent="0.25">
      <c r="A7578">
        <f ca="1">31887.0740447815*((RANDBETWEEN(2979,3282)))</f>
        <v>97893317.317479238</v>
      </c>
      <c r="B7578">
        <v>165956306.47338107</v>
      </c>
    </row>
    <row r="7579" spans="1:2" x14ac:dyDescent="0.25">
      <c r="A7579">
        <f ca="1">32681.7802432781*((RANDBETWEEN(2979,3282)))</f>
        <v>97555114.02618511</v>
      </c>
      <c r="B7579">
        <v>150252770.6391075</v>
      </c>
    </row>
    <row r="7580" spans="1:2" x14ac:dyDescent="0.25">
      <c r="A7580">
        <f ca="1">31992.8011823725*((RANDBETWEEN(2979,3282)))</f>
        <v>101097251.73629716</v>
      </c>
      <c r="B7580">
        <v>151525403.27753189</v>
      </c>
    </row>
    <row r="7581" spans="1:2" x14ac:dyDescent="0.25">
      <c r="A7581">
        <f ca="1">36944.9672845909*((RANDBETWEEN(2979,3282)))</f>
        <v>114972738.18964681</v>
      </c>
      <c r="B7581">
        <v>200920927.19756949</v>
      </c>
    </row>
    <row r="7582" spans="1:2" x14ac:dyDescent="0.25">
      <c r="A7582">
        <f ca="1">32969.8304778519*((RANDBETWEEN(2979,3282)))</f>
        <v>105107819.56339172</v>
      </c>
      <c r="B7582">
        <v>203667608.92951041</v>
      </c>
    </row>
    <row r="7583" spans="1:2" x14ac:dyDescent="0.25">
      <c r="A7583">
        <f ca="1">38732.9868371445*((RANDBETWEEN(2979,3282)))</f>
        <v>120885651.91872799</v>
      </c>
      <c r="B7583">
        <v>167464564.36518294</v>
      </c>
    </row>
    <row r="7584" spans="1:2" x14ac:dyDescent="0.25">
      <c r="A7584">
        <f ca="1">31683.5783775056*((RANDBETWEEN(2979,3282)))</f>
        <v>99486436.105367646</v>
      </c>
      <c r="B7584">
        <v>156649745.21983844</v>
      </c>
    </row>
    <row r="7585" spans="1:2" x14ac:dyDescent="0.25">
      <c r="A7585">
        <f ca="1">30344.9044457189*((RANDBETWEEN(2979,3282)))</f>
        <v>93614030.215042874</v>
      </c>
      <c r="B7585">
        <v>143354639.9647882</v>
      </c>
    </row>
    <row r="7586" spans="1:2" x14ac:dyDescent="0.25">
      <c r="A7586">
        <f ca="1">30284.522741902*((RANDBETWEEN(2979,3282)))</f>
        <v>98182422.729246363</v>
      </c>
      <c r="B7586">
        <v>142904678.21716672</v>
      </c>
    </row>
    <row r="7587" spans="1:2" x14ac:dyDescent="0.25">
      <c r="A7587">
        <f ca="1">31704.1958485663*((RANDBETWEEN(2979,3282)))</f>
        <v>100882751.1901378</v>
      </c>
      <c r="B7587">
        <v>200177809.30531836</v>
      </c>
    </row>
    <row r="7588" spans="1:2" x14ac:dyDescent="0.25">
      <c r="A7588">
        <f ca="1">30856.7586372439*((RANDBETWEEN(2979,3282)))</f>
        <v>100161038.53649355</v>
      </c>
      <c r="B7588">
        <v>171195465.28612518</v>
      </c>
    </row>
    <row r="7589" spans="1:2" x14ac:dyDescent="0.25">
      <c r="A7589">
        <f ca="1">31025.6771517603*((RANDBETWEEN(2979,3282)))</f>
        <v>93170108.486736089</v>
      </c>
      <c r="B7589">
        <v>191962506.31971022</v>
      </c>
    </row>
    <row r="7590" spans="1:2" x14ac:dyDescent="0.25">
      <c r="A7590">
        <f ca="1">31723.31687496*((RANDBETWEEN(2979,3282)))</f>
        <v>95487183.793629631</v>
      </c>
      <c r="B7590">
        <v>188608640.33802265</v>
      </c>
    </row>
    <row r="7591" spans="1:2" x14ac:dyDescent="0.25">
      <c r="A7591">
        <f ca="1">34111.6837888238*((RANDBETWEEN(2979,3282)))</f>
        <v>103972412.18833494</v>
      </c>
      <c r="B7591">
        <v>162764164.51514709</v>
      </c>
    </row>
    <row r="7592" spans="1:2" x14ac:dyDescent="0.25">
      <c r="A7592">
        <f ca="1">30966.7945500454*((RANDBETWEEN(2979,3282)))</f>
        <v>98350539.490944266</v>
      </c>
      <c r="B7592">
        <v>179703712.64843002</v>
      </c>
    </row>
    <row r="7593" spans="1:2" x14ac:dyDescent="0.25">
      <c r="A7593">
        <f ca="1">41542.9679556738*((RANDBETWEEN(2979,3282)))</f>
        <v>128824743.63054435</v>
      </c>
      <c r="B7593">
        <v>202761583.46894538</v>
      </c>
    </row>
    <row r="7594" spans="1:2" x14ac:dyDescent="0.25">
      <c r="A7594">
        <f ca="1">30341.0185305089*((RANDBETWEEN(2979,3282)))</f>
        <v>93753747.259272605</v>
      </c>
      <c r="B7594">
        <v>169047019.37322581</v>
      </c>
    </row>
    <row r="7595" spans="1:2" x14ac:dyDescent="0.25">
      <c r="A7595">
        <f ca="1">35043.5504945133*((RANDBETWEEN(2979,3282)))</f>
        <v>110247009.85573877</v>
      </c>
      <c r="B7595">
        <v>183917547.39732903</v>
      </c>
    </row>
    <row r="7596" spans="1:2" x14ac:dyDescent="0.25">
      <c r="A7596">
        <f ca="1">32977.3610723488*((RANDBETWEEN(2979,3282)))</f>
        <v>103021275.99001768</v>
      </c>
      <c r="B7596">
        <v>155097738.50311619</v>
      </c>
    </row>
    <row r="7597" spans="1:2" x14ac:dyDescent="0.25">
      <c r="A7597">
        <f ca="1">31532.0955993559*((RANDBETWEEN(2979,3282)))</f>
        <v>96677405.107625261</v>
      </c>
      <c r="B7597">
        <v>153954030.42827764</v>
      </c>
    </row>
    <row r="7598" spans="1:2" x14ac:dyDescent="0.25">
      <c r="A7598">
        <f ca="1">36347.6952912099*((RANDBETWEEN(2979,3282)))</f>
        <v>108643261.2254265</v>
      </c>
      <c r="B7598">
        <v>147183321.80586514</v>
      </c>
    </row>
    <row r="7599" spans="1:2" x14ac:dyDescent="0.25">
      <c r="A7599">
        <f ca="1">28639.3317843815*((RANDBETWEEN(2979,3282)))</f>
        <v>90213895.120801657</v>
      </c>
      <c r="B7599">
        <v>175427361.80522269</v>
      </c>
    </row>
    <row r="7600" spans="1:2" x14ac:dyDescent="0.25">
      <c r="A7600">
        <f ca="1">41500.1736411361*((RANDBETWEEN(2979,3282)))</f>
        <v>133049556.69348247</v>
      </c>
      <c r="B7600">
        <v>172196446.5007464</v>
      </c>
    </row>
    <row r="7601" spans="1:2" x14ac:dyDescent="0.25">
      <c r="A7601">
        <f ca="1">34221.0105147686*((RANDBETWEEN(2979,3282)))</f>
        <v>111423610.23608658</v>
      </c>
      <c r="B7601">
        <v>162052253.4517884</v>
      </c>
    </row>
    <row r="7602" spans="1:2" x14ac:dyDescent="0.25">
      <c r="A7602">
        <f ca="1">31297.3638377803*((RANDBETWEEN(2979,3282)))</f>
        <v>94862309.792311996</v>
      </c>
      <c r="B7602">
        <v>177457229.2462306</v>
      </c>
    </row>
    <row r="7603" spans="1:2" x14ac:dyDescent="0.25">
      <c r="A7603">
        <f ca="1">31330.7901435335*((RANDBETWEEN(2979,3282)))</f>
        <v>96937464.704092547</v>
      </c>
      <c r="B7603">
        <v>143751837.73337507</v>
      </c>
    </row>
    <row r="7604" spans="1:2" x14ac:dyDescent="0.25">
      <c r="A7604">
        <f ca="1">31504.6083626602*((RANDBETWEEN(2979,3282)))</f>
        <v>95301440.297047347</v>
      </c>
      <c r="B7604">
        <v>145808174.91057891</v>
      </c>
    </row>
    <row r="7605" spans="1:2" x14ac:dyDescent="0.25">
      <c r="A7605">
        <f ca="1">35999.3208080113*((RANDBETWEEN(2979,3282)))</f>
        <v>113397860.5452356</v>
      </c>
      <c r="B7605">
        <v>143870027.48889697</v>
      </c>
    </row>
    <row r="7606" spans="1:2" x14ac:dyDescent="0.25">
      <c r="A7606">
        <f ca="1">38712.5043601928*((RANDBETWEEN(2979,3282)))</f>
        <v>118034425.79422787</v>
      </c>
      <c r="B7606">
        <v>163483221.87514845</v>
      </c>
    </row>
    <row r="7607" spans="1:2" x14ac:dyDescent="0.25">
      <c r="A7607">
        <f ca="1">32209.4636598304*((RANDBETWEEN(2979,3282)))</f>
        <v>97530255.961966529</v>
      </c>
      <c r="B7607">
        <v>152115575.06402627</v>
      </c>
    </row>
    <row r="7608" spans="1:2" x14ac:dyDescent="0.25">
      <c r="A7608">
        <f ca="1">31453.679790118*((RANDBETWEEN(2979,3282)))</f>
        <v>98072573.585588068</v>
      </c>
      <c r="B7608">
        <v>150138763.86683884</v>
      </c>
    </row>
    <row r="7609" spans="1:2" x14ac:dyDescent="0.25">
      <c r="A7609">
        <f ca="1">40120.4596139313*((RANDBETWEEN(2979,3282)))</f>
        <v>124333304.34357305</v>
      </c>
      <c r="B7609">
        <v>146441738.39999419</v>
      </c>
    </row>
    <row r="7610" spans="1:2" x14ac:dyDescent="0.25">
      <c r="A7610">
        <f ca="1">29848.6770673129*((RANDBETWEEN(2979,3282)))</f>
        <v>97187292.531170711</v>
      </c>
      <c r="B7610">
        <v>145868806.06375256</v>
      </c>
    </row>
    <row r="7611" spans="1:2" x14ac:dyDescent="0.25">
      <c r="A7611">
        <f ca="1">38905.3642285344*((RANDBETWEEN(2979,3282)))</f>
        <v>124069206.52479631</v>
      </c>
      <c r="B7611">
        <v>201233731.25175905</v>
      </c>
    </row>
    <row r="7612" spans="1:2" x14ac:dyDescent="0.25">
      <c r="A7612">
        <f ca="1">29898.0840796647*((RANDBETWEEN(2979,3282)))</f>
        <v>94149066.76686421</v>
      </c>
      <c r="B7612">
        <v>177460999.33808595</v>
      </c>
    </row>
    <row r="7613" spans="1:2" x14ac:dyDescent="0.25">
      <c r="A7613">
        <f ca="1">36381.1894809648*((RANDBETWEEN(2979,3282)))</f>
        <v>114746271.62296291</v>
      </c>
      <c r="B7613">
        <v>202028647.34854835</v>
      </c>
    </row>
    <row r="7614" spans="1:2" x14ac:dyDescent="0.25">
      <c r="A7614">
        <f ca="1">35156.9258937307*((RANDBETWEEN(2979,3282)))</f>
        <v>107685664.01249716</v>
      </c>
      <c r="B7614">
        <v>167349714.66254395</v>
      </c>
    </row>
    <row r="7615" spans="1:2" x14ac:dyDescent="0.25">
      <c r="A7615">
        <f ca="1">39105.8204566759*((RANDBETWEEN(2979,3282)))</f>
        <v>122674958.77259214</v>
      </c>
      <c r="B7615">
        <v>147932420.91495144</v>
      </c>
    </row>
    <row r="7616" spans="1:2" x14ac:dyDescent="0.25">
      <c r="A7616">
        <f ca="1">31794.9563914294*((RANDBETWEEN(2979,3282)))</f>
        <v>103365403.22853711</v>
      </c>
      <c r="B7616">
        <v>184794627.14595899</v>
      </c>
    </row>
    <row r="7617" spans="1:2" x14ac:dyDescent="0.25">
      <c r="A7617">
        <f ca="1">36458.0840888583*((RANDBETWEEN(2979,3282)))</f>
        <v>109337794.18248592</v>
      </c>
      <c r="B7617">
        <v>177201620.63300568</v>
      </c>
    </row>
    <row r="7618" spans="1:2" x14ac:dyDescent="0.25">
      <c r="A7618">
        <f ca="1">41327.7355456936*((RANDBETWEEN(2979,3282)))</f>
        <v>123528601.54607806</v>
      </c>
      <c r="B7618">
        <v>173006745.00440818</v>
      </c>
    </row>
    <row r="7619" spans="1:2" x14ac:dyDescent="0.25">
      <c r="A7619">
        <f ca="1">32755.6330616044*((RANDBETWEEN(2979,3282)))</f>
        <v>102950954.71262264</v>
      </c>
      <c r="B7619">
        <v>148231243.76638055</v>
      </c>
    </row>
    <row r="7620" spans="1:2" x14ac:dyDescent="0.25">
      <c r="A7620">
        <f ca="1">29903.159853179*((RANDBETWEEN(2979,3282)))</f>
        <v>95301370.452081412</v>
      </c>
      <c r="B7620">
        <v>161950690.50159395</v>
      </c>
    </row>
    <row r="7621" spans="1:2" x14ac:dyDescent="0.25">
      <c r="A7621">
        <f ca="1">29778.4736918044*((RANDBETWEEN(2979,3282)))</f>
        <v>95350672.761157706</v>
      </c>
      <c r="B7621">
        <v>170425829.82942277</v>
      </c>
    </row>
    <row r="7622" spans="1:2" x14ac:dyDescent="0.25">
      <c r="A7622">
        <f ca="1">29891.8461904656*((RANDBETWEEN(2979,3282)))</f>
        <v>90930996.111396372</v>
      </c>
      <c r="B7622">
        <v>168275589.69618544</v>
      </c>
    </row>
    <row r="7623" spans="1:2" x14ac:dyDescent="0.25">
      <c r="A7623">
        <f ca="1">34751.1732891873*((RANDBETWEEN(2979,3282)))</f>
        <v>108562665.3554211</v>
      </c>
      <c r="B7623">
        <v>159250326.83857927</v>
      </c>
    </row>
    <row r="7624" spans="1:2" x14ac:dyDescent="0.25">
      <c r="A7624">
        <f ca="1">37049.5861913501*((RANDBETWEEN(2979,3282)))</f>
        <v>119559014.63948689</v>
      </c>
      <c r="B7624">
        <v>152604243.58735606</v>
      </c>
    </row>
    <row r="7625" spans="1:2" x14ac:dyDescent="0.25">
      <c r="A7625">
        <f ca="1">34025.1114450376*((RANDBETWEEN(2979,3282)))</f>
        <v>110377461.52770212</v>
      </c>
      <c r="B7625">
        <v>148347760.09248903</v>
      </c>
    </row>
    <row r="7626" spans="1:2" x14ac:dyDescent="0.25">
      <c r="A7626">
        <f ca="1">29956.6010599685*((RANDBETWEEN(2979,3282)))</f>
        <v>94962425.360100046</v>
      </c>
      <c r="B7626">
        <v>172740886.51725736</v>
      </c>
    </row>
    <row r="7627" spans="1:2" x14ac:dyDescent="0.25">
      <c r="A7627">
        <f ca="1">28375.6597001418*((RANDBETWEEN(2979,3282)))</f>
        <v>93015412.497064799</v>
      </c>
      <c r="B7627">
        <v>165083163.04438925</v>
      </c>
    </row>
    <row r="7628" spans="1:2" x14ac:dyDescent="0.25">
      <c r="A7628">
        <f ca="1">34464.5534907133*((RANDBETWEEN(2979,3282)))</f>
        <v>103117944.04421428</v>
      </c>
      <c r="B7628">
        <v>163796191.4319225</v>
      </c>
    </row>
    <row r="7629" spans="1:2" x14ac:dyDescent="0.25">
      <c r="A7629">
        <f ca="1">32436.9497831511*((RANDBETWEEN(2979,3282)))</f>
        <v>98251520.893164575</v>
      </c>
      <c r="B7629">
        <v>161805635.54273617</v>
      </c>
    </row>
    <row r="7630" spans="1:2" x14ac:dyDescent="0.25">
      <c r="A7630">
        <f ca="1">34220.7891730403*((RANDBETWEEN(2979,3282)))</f>
        <v>111183344.02320786</v>
      </c>
      <c r="B7630">
        <v>155341418.25035816</v>
      </c>
    </row>
    <row r="7631" spans="1:2" x14ac:dyDescent="0.25">
      <c r="A7631">
        <f ca="1">30985.1246250905*((RANDBETWEEN(2979,3282)))</f>
        <v>98005949.189161196</v>
      </c>
      <c r="B7631">
        <v>150538655.48618987</v>
      </c>
    </row>
    <row r="7632" spans="1:2" x14ac:dyDescent="0.25">
      <c r="A7632">
        <f ca="1">32008.6476530777*((RANDBETWEEN(2979,3282)))</f>
        <v>102331646.54688944</v>
      </c>
      <c r="B7632">
        <v>155856598.11766964</v>
      </c>
    </row>
    <row r="7633" spans="1:2" x14ac:dyDescent="0.25">
      <c r="A7633">
        <f ca="1">32093.585761334*((RANDBETWEEN(2979,3282)))</f>
        <v>104913931.85380085</v>
      </c>
      <c r="B7633">
        <v>155075697.17599496</v>
      </c>
    </row>
    <row r="7634" spans="1:2" x14ac:dyDescent="0.25">
      <c r="A7634">
        <f ca="1">31937.5626966876*((RANDBETWEEN(2979,3282)))</f>
        <v>96100126.154332995</v>
      </c>
      <c r="B7634">
        <v>171789570.63599145</v>
      </c>
    </row>
    <row r="7635" spans="1:2" x14ac:dyDescent="0.25">
      <c r="A7635">
        <f ca="1">30736.0679931621*((RANDBETWEEN(2979,3282)))</f>
        <v>97433335.538323835</v>
      </c>
      <c r="B7635">
        <v>158208120.73323959</v>
      </c>
    </row>
    <row r="7636" spans="1:2" x14ac:dyDescent="0.25">
      <c r="A7636">
        <f ca="1">29786.187956067*((RANDBETWEEN(2979,3282)))</f>
        <v>89596853.371849671</v>
      </c>
      <c r="B7636">
        <v>164830272.26497999</v>
      </c>
    </row>
    <row r="7637" spans="1:2" x14ac:dyDescent="0.25">
      <c r="A7637">
        <f ca="1">28778.3968497209*((RANDBETWEEN(2979,3282)))</f>
        <v>89040359.853036419</v>
      </c>
      <c r="B7637">
        <v>155021825.8697744</v>
      </c>
    </row>
    <row r="7638" spans="1:2" x14ac:dyDescent="0.25">
      <c r="A7638">
        <f ca="1">29695.243596078*((RANDBETWEEN(2979,3282)))</f>
        <v>89679635.660155609</v>
      </c>
      <c r="B7638">
        <v>187585261.9062807</v>
      </c>
    </row>
    <row r="7639" spans="1:2" x14ac:dyDescent="0.25">
      <c r="A7639">
        <f ca="1">31364.6811323689*((RANDBETWEEN(2979,3282)))</f>
        <v>102092037.08586068</v>
      </c>
      <c r="B7639">
        <v>148604405.49570608</v>
      </c>
    </row>
    <row r="7640" spans="1:2" x14ac:dyDescent="0.25">
      <c r="A7640">
        <f ca="1">31823.1950335595*((RANDBETWEEN(2979,3282)))</f>
        <v>102948035.93356502</v>
      </c>
      <c r="B7640">
        <v>179787021.08465776</v>
      </c>
    </row>
    <row r="7641" spans="1:2" x14ac:dyDescent="0.25">
      <c r="A7641">
        <f ca="1">29331.4714454888*((RANDBETWEEN(2979,3282)))</f>
        <v>89666308.208859205</v>
      </c>
      <c r="B7641">
        <v>157959990.31858033</v>
      </c>
    </row>
    <row r="7642" spans="1:2" x14ac:dyDescent="0.25">
      <c r="A7642">
        <f ca="1">30817.8017023563*((RANDBETWEEN(2979,3282)))</f>
        <v>96737079.543696463</v>
      </c>
      <c r="B7642">
        <v>160380484.30436626</v>
      </c>
    </row>
    <row r="7643" spans="1:2" x14ac:dyDescent="0.25">
      <c r="A7643">
        <f ca="1">28620.2556781396*((RANDBETWEEN(2979,3282)))</f>
        <v>90010704.107748941</v>
      </c>
      <c r="B7643">
        <v>142904157.4419069</v>
      </c>
    </row>
    <row r="7644" spans="1:2" x14ac:dyDescent="0.25">
      <c r="A7644">
        <f ca="1">29395.9638739379*((RANDBETWEEN(2979,3282)))</f>
        <v>87717556.199830636</v>
      </c>
      <c r="B7644">
        <v>190563854.18606025</v>
      </c>
    </row>
    <row r="7645" spans="1:2" x14ac:dyDescent="0.25">
      <c r="A7645">
        <f ca="1">34792.8580094273*((RANDBETWEEN(2979,3282)))</f>
        <v>113633474.25878963</v>
      </c>
      <c r="B7645">
        <v>196000000.38779095</v>
      </c>
    </row>
    <row r="7646" spans="1:2" x14ac:dyDescent="0.25">
      <c r="A7646">
        <f ca="1">29022.9557422007*((RANDBETWEEN(2979,3282)))</f>
        <v>92147884.48148717</v>
      </c>
      <c r="B7646">
        <v>180713903.39228648</v>
      </c>
    </row>
    <row r="7647" spans="1:2" x14ac:dyDescent="0.25">
      <c r="A7647">
        <f ca="1">28308.425378326*((RANDBETWEEN(2979,3282)))</f>
        <v>89737708.449293271</v>
      </c>
      <c r="B7647">
        <v>185379536.0493674</v>
      </c>
    </row>
    <row r="7648" spans="1:2" x14ac:dyDescent="0.25">
      <c r="A7648">
        <f ca="1">34692.8914660341*((RANDBETWEEN(2979,3282)))</f>
        <v>105848011.86287005</v>
      </c>
      <c r="B7648">
        <v>191712865.20078266</v>
      </c>
    </row>
    <row r="7649" spans="1:2" x14ac:dyDescent="0.25">
      <c r="A7649">
        <f ca="1">31944.355843355*((RANDBETWEEN(2979,3282)))</f>
        <v>99858056.366327599</v>
      </c>
      <c r="B7649">
        <v>150136875.77398771</v>
      </c>
    </row>
    <row r="7650" spans="1:2" x14ac:dyDescent="0.25">
      <c r="A7650">
        <f ca="1">37214.607421946*((RANDBETWEEN(2979,3282)))</f>
        <v>115030351.54123494</v>
      </c>
      <c r="B7650">
        <v>197060380.08046678</v>
      </c>
    </row>
    <row r="7651" spans="1:2" x14ac:dyDescent="0.25">
      <c r="A7651">
        <f ca="1">32435.6670280743*((RANDBETWEEN(2979,3282)))</f>
        <v>99415319.441047817</v>
      </c>
      <c r="B7651">
        <v>147479691.22639465</v>
      </c>
    </row>
    <row r="7652" spans="1:2" x14ac:dyDescent="0.25">
      <c r="A7652">
        <f ca="1">29848.6185003898*((RANDBETWEEN(2979,3282)))</f>
        <v>91844199.125699326</v>
      </c>
      <c r="B7652">
        <v>149908413.220783</v>
      </c>
    </row>
    <row r="7653" spans="1:2" x14ac:dyDescent="0.25">
      <c r="A7653">
        <f ca="1">31361.0331249424*((RANDBETWEEN(2979,3282)))</f>
        <v>99320391.90669252</v>
      </c>
      <c r="B7653">
        <v>190216298.36320931</v>
      </c>
    </row>
    <row r="7654" spans="1:2" x14ac:dyDescent="0.25">
      <c r="A7654">
        <f ca="1">32511.9488081901*((RANDBETWEEN(2979,3282)))</f>
        <v>105468761.93376873</v>
      </c>
      <c r="B7654">
        <v>159372356.64283559</v>
      </c>
    </row>
    <row r="7655" spans="1:2" x14ac:dyDescent="0.25">
      <c r="A7655">
        <f ca="1">36720.8301756527*((RANDBETWEEN(2979,3282)))</f>
        <v>111153952.94170065</v>
      </c>
      <c r="B7655">
        <v>148371525.98902234</v>
      </c>
    </row>
    <row r="7656" spans="1:2" x14ac:dyDescent="0.25">
      <c r="A7656">
        <f ca="1">36241.3877929826*((RANDBETWEEN(2979,3282)))</f>
        <v>118183165.59291613</v>
      </c>
      <c r="B7656">
        <v>143912507.90681002</v>
      </c>
    </row>
    <row r="7657" spans="1:2" x14ac:dyDescent="0.25">
      <c r="A7657">
        <f ca="1">31802.8505912168*((RANDBETWEEN(2979,3282)))</f>
        <v>96108214.486657158</v>
      </c>
      <c r="B7657">
        <v>146282682.60552597</v>
      </c>
    </row>
    <row r="7658" spans="1:2" x14ac:dyDescent="0.25">
      <c r="A7658">
        <f ca="1">31049.4256021831*((RANDBETWEEN(2979,3282)))</f>
        <v>94141858.425819218</v>
      </c>
      <c r="B7658">
        <v>171493874.26806122</v>
      </c>
    </row>
    <row r="7659" spans="1:2" x14ac:dyDescent="0.25">
      <c r="A7659">
        <f ca="1">34100.7952935347*((RANDBETWEEN(2979,3282)))</f>
        <v>108304125.85226622</v>
      </c>
      <c r="B7659">
        <v>155882030.94715324</v>
      </c>
    </row>
    <row r="7660" spans="1:2" x14ac:dyDescent="0.25">
      <c r="A7660">
        <f ca="1">30670.6821252342*((RANDBETWEEN(2979,3282)))</f>
        <v>97594110.522495344</v>
      </c>
      <c r="B7660">
        <v>152494719.16483754</v>
      </c>
    </row>
    <row r="7661" spans="1:2" x14ac:dyDescent="0.25">
      <c r="A7661">
        <f ca="1">30792.9635145005*((RANDBETWEEN(2979,3282)))</f>
        <v>96351182.836872011</v>
      </c>
      <c r="B7661">
        <v>188733981.62144709</v>
      </c>
    </row>
    <row r="7662" spans="1:2" x14ac:dyDescent="0.25">
      <c r="A7662">
        <f ca="1">37252.4014744502*((RANDBETWEEN(2979,3282)))</f>
        <v>121033052.39048871</v>
      </c>
      <c r="B7662">
        <v>162081785.23318255</v>
      </c>
    </row>
    <row r="7663" spans="1:2" x14ac:dyDescent="0.25">
      <c r="A7663">
        <f ca="1">39146.2270730575*((RANDBETWEEN(2979,3282)))</f>
        <v>120609525.61209014</v>
      </c>
      <c r="B7663">
        <v>161672861.23108327</v>
      </c>
    </row>
    <row r="7664" spans="1:2" x14ac:dyDescent="0.25">
      <c r="A7664">
        <f ca="1">33910.0979605804*((RANDBETWEEN(2979,3282)))</f>
        <v>105663865.24516864</v>
      </c>
      <c r="B7664">
        <v>166350649.41827363</v>
      </c>
    </row>
    <row r="7665" spans="1:2" x14ac:dyDescent="0.25">
      <c r="A7665">
        <f ca="1">38968.7799059599*((RANDBETWEEN(2979,3282)))</f>
        <v>126297815.67521624</v>
      </c>
      <c r="B7665">
        <v>177922871.23430681</v>
      </c>
    </row>
    <row r="7666" spans="1:2" x14ac:dyDescent="0.25">
      <c r="A7666">
        <f ca="1">30944.4463426366*((RANDBETWEEN(2979,3282)))</f>
        <v>98836561.618381441</v>
      </c>
      <c r="B7666">
        <v>165269027.53642887</v>
      </c>
    </row>
    <row r="7667" spans="1:2" x14ac:dyDescent="0.25">
      <c r="A7667">
        <f ca="1">34721.2909446992*((RANDBETWEEN(2979,3282)))</f>
        <v>103469447.01520367</v>
      </c>
      <c r="B7667">
        <v>167593404.67396253</v>
      </c>
    </row>
    <row r="7668" spans="1:2" x14ac:dyDescent="0.25">
      <c r="A7668">
        <f ca="1">37777.7857626702*((RANDBETWEEN(2979,3282)))</f>
        <v>118546691.72325899</v>
      </c>
      <c r="B7668">
        <v>182377081.86795038</v>
      </c>
    </row>
    <row r="7669" spans="1:2" x14ac:dyDescent="0.25">
      <c r="A7669">
        <f ca="1">37846.842484973*((RANDBETWEEN(2979,3282)))</f>
        <v>121526211.21924825</v>
      </c>
      <c r="B7669">
        <v>179068221.0102855</v>
      </c>
    </row>
    <row r="7670" spans="1:2" x14ac:dyDescent="0.25">
      <c r="A7670">
        <f ca="1">34352.4821327021*((RANDBETWEEN(2979,3282)))</f>
        <v>108485138.57507332</v>
      </c>
      <c r="B7670">
        <v>167777901.25792575</v>
      </c>
    </row>
    <row r="7671" spans="1:2" x14ac:dyDescent="0.25">
      <c r="A7671">
        <f ca="1">31806.9898758669*((RANDBETWEEN(2979,3282)))</f>
        <v>101368876.73438767</v>
      </c>
      <c r="B7671">
        <v>152918512.5917666</v>
      </c>
    </row>
    <row r="7672" spans="1:2" x14ac:dyDescent="0.25">
      <c r="A7672">
        <f ca="1">32982.7102375744*((RANDBETWEEN(2979,3282)))</f>
        <v>100300421.83246362</v>
      </c>
      <c r="B7672">
        <v>161445975.9445622</v>
      </c>
    </row>
    <row r="7673" spans="1:2" x14ac:dyDescent="0.25">
      <c r="A7673">
        <f ca="1">37421.9306996509*((RANDBETWEEN(2979,3282)))</f>
        <v>113575559.67344062</v>
      </c>
      <c r="B7673">
        <v>195635319.29843387</v>
      </c>
    </row>
    <row r="7674" spans="1:2" x14ac:dyDescent="0.25">
      <c r="A7674">
        <f ca="1">38125.7469343299*((RANDBETWEEN(2979,3282)))</f>
        <v>124899946.95686476</v>
      </c>
      <c r="B7674">
        <v>146324746.1581859</v>
      </c>
    </row>
    <row r="7675" spans="1:2" x14ac:dyDescent="0.25">
      <c r="A7675">
        <f ca="1">32539.209934367*((RANDBETWEEN(2979,3282)))</f>
        <v>101229482.10581571</v>
      </c>
      <c r="B7675">
        <v>154824538.17417216</v>
      </c>
    </row>
    <row r="7676" spans="1:2" x14ac:dyDescent="0.25">
      <c r="A7676">
        <f ca="1">30987.1686169967*((RANDBETWEEN(2979,3282)))</f>
        <v>98198337.347262651</v>
      </c>
      <c r="B7676">
        <v>151651107.2168991</v>
      </c>
    </row>
    <row r="7677" spans="1:2" x14ac:dyDescent="0.25">
      <c r="A7677">
        <f ca="1">30339.5175145849*((RANDBETWEEN(2979,3282)))</f>
        <v>90411762.193463027</v>
      </c>
      <c r="B7677">
        <v>150607819.51122352</v>
      </c>
    </row>
    <row r="7678" spans="1:2" x14ac:dyDescent="0.25">
      <c r="A7678">
        <f ca="1">31179.7662566064*((RANDBETWEEN(2979,3282)))</f>
        <v>95223006.147676066</v>
      </c>
      <c r="B7678">
        <v>152169056.41758263</v>
      </c>
    </row>
    <row r="7679" spans="1:2" x14ac:dyDescent="0.25">
      <c r="A7679">
        <f ca="1">38287.9835086476*((RANDBETWEEN(2979,3282)))</f>
        <v>117926989.20663452</v>
      </c>
      <c r="B7679">
        <v>148088003.78886732</v>
      </c>
    </row>
    <row r="7680" spans="1:2" x14ac:dyDescent="0.25">
      <c r="A7680">
        <f ca="1">30757.1438665754*((RANDBETWEEN(2979,3282)))</f>
        <v>92332945.887459442</v>
      </c>
      <c r="B7680">
        <v>189472573.62294558</v>
      </c>
    </row>
    <row r="7681" spans="1:2" x14ac:dyDescent="0.25">
      <c r="A7681">
        <f ca="1">32165.0400075035*((RANDBETWEEN(2979,3282)))</f>
        <v>103700088.98419116</v>
      </c>
      <c r="B7681">
        <v>185628305.18189511</v>
      </c>
    </row>
    <row r="7682" spans="1:2" x14ac:dyDescent="0.25">
      <c r="A7682">
        <f ca="1">30090.0361119831*((RANDBETWEEN(2979,3282)))</f>
        <v>96077485.305562019</v>
      </c>
      <c r="B7682">
        <v>187297455.25928596</v>
      </c>
    </row>
    <row r="7683" spans="1:2" x14ac:dyDescent="0.25">
      <c r="A7683">
        <f ca="1">40668.0787910647*((RANDBETWEEN(2979,3282)))</f>
        <v>129324490.55558583</v>
      </c>
      <c r="B7683">
        <v>148764891.47422436</v>
      </c>
    </row>
    <row r="7684" spans="1:2" x14ac:dyDescent="0.25">
      <c r="A7684">
        <f ca="1">31477.480127117*((RANDBETWEEN(2979,3282)))</f>
        <v>101326008.52918975</v>
      </c>
      <c r="B7684">
        <v>182281662.9508146</v>
      </c>
    </row>
    <row r="7685" spans="1:2" x14ac:dyDescent="0.25">
      <c r="A7685">
        <f ca="1">33217.9507901563*((RANDBETWEEN(2979,3282)))</f>
        <v>104902288.59531385</v>
      </c>
      <c r="B7685">
        <v>175507443.53209138</v>
      </c>
    </row>
    <row r="7686" spans="1:2" x14ac:dyDescent="0.25">
      <c r="A7686">
        <f ca="1">26741.6746830245*((RANDBETWEEN(2979,3282)))</f>
        <v>85493133.961629272</v>
      </c>
      <c r="B7686">
        <v>154513443.208956</v>
      </c>
    </row>
    <row r="7687" spans="1:2" x14ac:dyDescent="0.25">
      <c r="A7687">
        <f ca="1">40371.8592772918*((RANDBETWEEN(2979,3282)))</f>
        <v>132419698.42951711</v>
      </c>
      <c r="B7687">
        <v>150912450.43680286</v>
      </c>
    </row>
    <row r="7688" spans="1:2" x14ac:dyDescent="0.25">
      <c r="A7688">
        <f ca="1">31183.8896530604*((RANDBETWEEN(2979,3282)))</f>
        <v>96919529.041711614</v>
      </c>
      <c r="B7688">
        <v>173470993.99096</v>
      </c>
    </row>
    <row r="7689" spans="1:2" x14ac:dyDescent="0.25">
      <c r="A7689">
        <f ca="1">32153.7369844685*((RANDBETWEEN(2979,3282)))</f>
        <v>103213495.72014391</v>
      </c>
      <c r="B7689">
        <v>166486241.54487938</v>
      </c>
    </row>
    <row r="7690" spans="1:2" x14ac:dyDescent="0.25">
      <c r="A7690">
        <f ca="1">33015.9958592634*((RANDBETWEEN(2979,3282)))</f>
        <v>105948330.71237613</v>
      </c>
      <c r="B7690">
        <v>143901952.9353705</v>
      </c>
    </row>
    <row r="7691" spans="1:2" x14ac:dyDescent="0.25">
      <c r="A7691">
        <f ca="1">31571.6074812144*((RANDBETWEEN(2979,3282)))</f>
        <v>103365442.89349595</v>
      </c>
      <c r="B7691">
        <v>199834503.5411123</v>
      </c>
    </row>
    <row r="7692" spans="1:2" x14ac:dyDescent="0.25">
      <c r="A7692">
        <f ca="1">34272.6132022014*((RANDBETWEEN(2979,3282)))</f>
        <v>102098114.72935797</v>
      </c>
      <c r="B7692">
        <v>189292426.76602799</v>
      </c>
    </row>
    <row r="7693" spans="1:2" x14ac:dyDescent="0.25">
      <c r="A7693">
        <f ca="1">39233.3546544307*((RANDBETWEEN(2979,3282)))</f>
        <v>121152599.17288214</v>
      </c>
      <c r="B7693">
        <v>177390103.43585601</v>
      </c>
    </row>
    <row r="7694" spans="1:2" x14ac:dyDescent="0.25">
      <c r="A7694">
        <f ca="1">33009.6645251258*((RANDBETWEEN(2979,3282)))</f>
        <v>99491128.87872912</v>
      </c>
      <c r="B7694">
        <v>169675216.01737967</v>
      </c>
    </row>
    <row r="7695" spans="1:2" x14ac:dyDescent="0.25">
      <c r="A7695">
        <f ca="1">32819.9770528367*((RANDBETWEEN(2979,3282)))</f>
        <v>98853770.88314414</v>
      </c>
      <c r="B7695">
        <v>169298642.34484765</v>
      </c>
    </row>
    <row r="7696" spans="1:2" x14ac:dyDescent="0.25">
      <c r="A7696">
        <f ca="1">30048.5017230089*((RANDBETWEEN(2979,3282)))</f>
        <v>96185254.015351564</v>
      </c>
      <c r="B7696">
        <v>171562096.53821719</v>
      </c>
    </row>
    <row r="7697" spans="1:2" x14ac:dyDescent="0.25">
      <c r="A7697">
        <f ca="1">40229.7169651603*((RANDBETWEEN(2979,3282)))</f>
        <v>130505201.83497988</v>
      </c>
      <c r="B7697">
        <v>200651572.55959466</v>
      </c>
    </row>
    <row r="7698" spans="1:2" x14ac:dyDescent="0.25">
      <c r="A7698">
        <f ca="1">34979.7265159263*((RANDBETWEEN(2979,3282)))</f>
        <v>108157314.38724406</v>
      </c>
      <c r="B7698">
        <v>148539355.96254238</v>
      </c>
    </row>
    <row r="7699" spans="1:2" x14ac:dyDescent="0.25">
      <c r="A7699">
        <f ca="1">40535.1821482716*((RANDBETWEEN(2979,3282)))</f>
        <v>121240729.80548024</v>
      </c>
      <c r="B7699">
        <v>172443990.62672651</v>
      </c>
    </row>
    <row r="7700" spans="1:2" x14ac:dyDescent="0.25">
      <c r="A7700">
        <f ca="1">30806.8549052742*((RANDBETWEEN(2979,3282)))</f>
        <v>94731078.833718061</v>
      </c>
      <c r="B7700">
        <v>160730628.78661203</v>
      </c>
    </row>
    <row r="7701" spans="1:2" x14ac:dyDescent="0.25">
      <c r="A7701">
        <f ca="1">31725.2091188285*((RANDBETWEEN(2979,3282)))</f>
        <v>97206040.740090415</v>
      </c>
      <c r="B7701">
        <v>156283606.86283875</v>
      </c>
    </row>
    <row r="7702" spans="1:2" x14ac:dyDescent="0.25">
      <c r="A7702">
        <f ca="1">31691.4298769657*((RANDBETWEEN(2979,3282)))</f>
        <v>99669546.963057116</v>
      </c>
      <c r="B7702">
        <v>197760397.7370286</v>
      </c>
    </row>
    <row r="7703" spans="1:2" x14ac:dyDescent="0.25">
      <c r="A7703">
        <f ca="1">29566.956261087*((RANDBETWEEN(2979,3282)))</f>
        <v>95471701.767050043</v>
      </c>
      <c r="B7703">
        <v>182950761.45546877</v>
      </c>
    </row>
    <row r="7704" spans="1:2" x14ac:dyDescent="0.25">
      <c r="A7704">
        <f ca="1">33644.0212102635*((RANDBETWEEN(2979,3282)))</f>
        <v>110352389.56966443</v>
      </c>
      <c r="B7704">
        <v>175425904.05302805</v>
      </c>
    </row>
    <row r="7705" spans="1:2" x14ac:dyDescent="0.25">
      <c r="A7705">
        <f ca="1">27773.3090799355*((RANDBETWEEN(2979,3282)))</f>
        <v>84403086.293923855</v>
      </c>
      <c r="B7705">
        <v>184751890.49319732</v>
      </c>
    </row>
    <row r="7706" spans="1:2" x14ac:dyDescent="0.25">
      <c r="A7706">
        <f ca="1">37781.2438453637*((RANDBETWEEN(2979,3282)))</f>
        <v>123544667.37433916</v>
      </c>
      <c r="B7706">
        <v>184964669.64746243</v>
      </c>
    </row>
    <row r="7707" spans="1:2" x14ac:dyDescent="0.25">
      <c r="A7707">
        <f ca="1">31158.3281914868*((RANDBETWEEN(2979,3282)))</f>
        <v>93381509.589885801</v>
      </c>
      <c r="B7707">
        <v>170668986.58627835</v>
      </c>
    </row>
    <row r="7708" spans="1:2" x14ac:dyDescent="0.25">
      <c r="A7708">
        <f ca="1">37960.7057138492*((RANDBETWEEN(2979,3282)))</f>
        <v>115666270.31009854</v>
      </c>
      <c r="B7708">
        <v>184102443.04937166</v>
      </c>
    </row>
    <row r="7709" spans="1:2" x14ac:dyDescent="0.25">
      <c r="A7709">
        <f ca="1">36019.3900940837*((RANDBETWEEN(2979,3282)))</f>
        <v>110435450.02846049</v>
      </c>
      <c r="B7709">
        <v>177775489.71700093</v>
      </c>
    </row>
    <row r="7710" spans="1:2" x14ac:dyDescent="0.25">
      <c r="A7710">
        <f ca="1">30012.8471797109*((RANDBETWEEN(2979,3282)))</f>
        <v>97241624.862263247</v>
      </c>
      <c r="B7710">
        <v>144312419.93614733</v>
      </c>
    </row>
    <row r="7711" spans="1:2" x14ac:dyDescent="0.25">
      <c r="A7711">
        <f ca="1">29789.3254465524*((RANDBETWEEN(2979,3282)))</f>
        <v>91751122.375381395</v>
      </c>
      <c r="B7711">
        <v>162353381.32190949</v>
      </c>
    </row>
    <row r="7712" spans="1:2" x14ac:dyDescent="0.25">
      <c r="A7712">
        <f ca="1">35472.3117673695*((RANDBETWEEN(2979,3282)))</f>
        <v>110460778.84358858</v>
      </c>
      <c r="B7712">
        <v>201310598.98161072</v>
      </c>
    </row>
    <row r="7713" spans="1:2" x14ac:dyDescent="0.25">
      <c r="A7713">
        <f ca="1">35779.5325800098*((RANDBETWEEN(2979,3282)))</f>
        <v>114816520.04925133</v>
      </c>
      <c r="B7713">
        <v>149651340.5186829</v>
      </c>
    </row>
    <row r="7714" spans="1:2" x14ac:dyDescent="0.25">
      <c r="A7714">
        <f ca="1">33533.1722434596*((RANDBETWEEN(2979,3282)))</f>
        <v>106736087.25093202</v>
      </c>
      <c r="B7714">
        <v>183809258.25233555</v>
      </c>
    </row>
    <row r="7715" spans="1:2" x14ac:dyDescent="0.25">
      <c r="A7715">
        <f ca="1">31423.8055499122*((RANDBETWEEN(2979,3282)))</f>
        <v>98639325.621174529</v>
      </c>
      <c r="B7715">
        <v>155933348.8872658</v>
      </c>
    </row>
    <row r="7716" spans="1:2" x14ac:dyDescent="0.25">
      <c r="A7716">
        <f ca="1">32113.6902505423*((RANDBETWEEN(2979,3282)))</f>
        <v>104080470.10200745</v>
      </c>
      <c r="B7716">
        <v>169757871.49179596</v>
      </c>
    </row>
    <row r="7717" spans="1:2" x14ac:dyDescent="0.25">
      <c r="A7717">
        <f ca="1">33220.2606133902*((RANDBETWEEN(2979,3282)))</f>
        <v>108165168.55719842</v>
      </c>
      <c r="B7717">
        <v>161460468.41977862</v>
      </c>
    </row>
    <row r="7718" spans="1:2" x14ac:dyDescent="0.25">
      <c r="A7718">
        <f ca="1">33090.0279205453*((RANDBETWEEN(2979,3282)))</f>
        <v>103836507.61467122</v>
      </c>
      <c r="B7718">
        <v>184868145.81589854</v>
      </c>
    </row>
    <row r="7719" spans="1:2" x14ac:dyDescent="0.25">
      <c r="A7719">
        <f ca="1">29319.2044567216*((RANDBETWEEN(2979,3282)))</f>
        <v>89892680.864308372</v>
      </c>
      <c r="B7719">
        <v>178873907.79033542</v>
      </c>
    </row>
    <row r="7720" spans="1:2" x14ac:dyDescent="0.25">
      <c r="A7720">
        <f ca="1">32891.023426897*((RANDBETWEEN(2979,3282)))</f>
        <v>107356300.46539173</v>
      </c>
      <c r="B7720">
        <v>169904436.94009867</v>
      </c>
    </row>
    <row r="7721" spans="1:2" x14ac:dyDescent="0.25">
      <c r="A7721">
        <f ca="1">31943.8133820905*((RANDBETWEEN(2979,3282)))</f>
        <v>101293832.23460905</v>
      </c>
      <c r="B7721">
        <v>172453207.04891908</v>
      </c>
    </row>
    <row r="7722" spans="1:2" x14ac:dyDescent="0.25">
      <c r="A7722">
        <f ca="1">33846.9001223372*((RANDBETWEEN(2979,3282)))</f>
        <v>107497754.78854296</v>
      </c>
      <c r="B7722">
        <v>143746614.43142909</v>
      </c>
    </row>
    <row r="7723" spans="1:2" x14ac:dyDescent="0.25">
      <c r="A7723">
        <f ca="1">34970.0993805322*((RANDBETWEEN(2979,3282)))</f>
        <v>111379766.52699499</v>
      </c>
      <c r="B7723">
        <v>171135726.11131561</v>
      </c>
    </row>
    <row r="7724" spans="1:2" x14ac:dyDescent="0.25">
      <c r="A7724">
        <f ca="1">29005.8118807048*((RANDBETWEEN(2979,3282)))</f>
        <v>91571348.10738489</v>
      </c>
      <c r="B7724">
        <v>164460932.61220282</v>
      </c>
    </row>
    <row r="7725" spans="1:2" x14ac:dyDescent="0.25">
      <c r="A7725">
        <f ca="1">31664.7492389807*((RANDBETWEEN(2979,3282)))</f>
        <v>101833833.55256206</v>
      </c>
      <c r="B7725">
        <v>145194198.84011543</v>
      </c>
    </row>
    <row r="7726" spans="1:2" x14ac:dyDescent="0.25">
      <c r="A7726">
        <f ca="1">34305.0246099564*((RANDBETWEEN(2979,3282)))</f>
        <v>103772699.44511801</v>
      </c>
      <c r="B7726">
        <v>154961110.59260291</v>
      </c>
    </row>
    <row r="7727" spans="1:2" x14ac:dyDescent="0.25">
      <c r="A7727">
        <f ca="1">30624.1032602133*((RANDBETWEEN(2979,3282)))</f>
        <v>98058378.639203131</v>
      </c>
      <c r="B7727">
        <v>151366500.60850471</v>
      </c>
    </row>
    <row r="7728" spans="1:2" x14ac:dyDescent="0.25">
      <c r="A7728">
        <f ca="1">35454.3057577627*((RANDBETWEEN(2979,3282)))</f>
        <v>106930186.16541234</v>
      </c>
      <c r="B7728">
        <v>172368439.85564405</v>
      </c>
    </row>
    <row r="7729" spans="1:2" x14ac:dyDescent="0.25">
      <c r="A7729">
        <f ca="1">39708.6258838309*((RANDBETWEEN(2979,3282)))</f>
        <v>118291996.50793236</v>
      </c>
      <c r="B7729">
        <v>160885452.93837383</v>
      </c>
    </row>
    <row r="7730" spans="1:2" x14ac:dyDescent="0.25">
      <c r="A7730">
        <f ca="1">32544.3938368818*((RANDBETWEEN(2979,3282)))</f>
        <v>102775195.73687285</v>
      </c>
      <c r="B7730">
        <v>154555636.96604198</v>
      </c>
    </row>
    <row r="7731" spans="1:2" x14ac:dyDescent="0.25">
      <c r="A7731">
        <f ca="1">30488.8517442623*((RANDBETWEEN(2979,3282)))</f>
        <v>92655620.450813025</v>
      </c>
      <c r="B7731">
        <v>148329056.52623951</v>
      </c>
    </row>
    <row r="7732" spans="1:2" x14ac:dyDescent="0.25">
      <c r="A7732">
        <f ca="1">33033.7397918763*((RANDBETWEEN(2979,3282)))</f>
        <v>105840102.29317172</v>
      </c>
      <c r="B7732">
        <v>153328331.3263897</v>
      </c>
    </row>
    <row r="7733" spans="1:2" x14ac:dyDescent="0.25">
      <c r="A7733">
        <f ca="1">32251.9894976652*((RANDBETWEEN(2979,3282)))</f>
        <v>99690899.537283227</v>
      </c>
      <c r="B7733">
        <v>161986234.62749538</v>
      </c>
    </row>
    <row r="7734" spans="1:2" x14ac:dyDescent="0.25">
      <c r="A7734">
        <f ca="1">31627.9976291835*((RANDBETWEEN(2979,3282)))</f>
        <v>97066324.723964214</v>
      </c>
      <c r="B7734">
        <v>156357309.88666478</v>
      </c>
    </row>
    <row r="7735" spans="1:2" x14ac:dyDescent="0.25">
      <c r="A7735">
        <f ca="1">31646.8857843247*((RANDBETWEEN(2979,3282)))</f>
        <v>99719337.106407017</v>
      </c>
      <c r="B7735">
        <v>182866329.12611365</v>
      </c>
    </row>
    <row r="7736" spans="1:2" x14ac:dyDescent="0.25">
      <c r="A7736">
        <f ca="1">31136.2056684092*((RANDBETWEEN(2979,3282)))</f>
        <v>100071765.01826711</v>
      </c>
      <c r="B7736">
        <v>146406288.00153136</v>
      </c>
    </row>
    <row r="7737" spans="1:2" x14ac:dyDescent="0.25">
      <c r="A7737">
        <f ca="1">38202.0895431291*((RANDBETWEEN(2979,3282)))</f>
        <v>114873683.25618918</v>
      </c>
      <c r="B7737">
        <v>146202721.04584903</v>
      </c>
    </row>
    <row r="7738" spans="1:2" x14ac:dyDescent="0.25">
      <c r="A7738">
        <f ca="1">29693.4863131417*((RANDBETWEEN(2979,3282)))</f>
        <v>89585248.206748411</v>
      </c>
      <c r="B7738">
        <v>192740637.43295616</v>
      </c>
    </row>
    <row r="7739" spans="1:2" x14ac:dyDescent="0.25">
      <c r="A7739">
        <f ca="1">31816.840862838*((RANDBETWEEN(2979,3282)))</f>
        <v>104009252.78061745</v>
      </c>
      <c r="B7739">
        <v>145309291.46467009</v>
      </c>
    </row>
    <row r="7740" spans="1:2" x14ac:dyDescent="0.25">
      <c r="A7740">
        <f ca="1">36804.5107506478*((RANDBETWEEN(2979,3282)))</f>
        <v>115050900.60652514</v>
      </c>
      <c r="B7740">
        <v>143118876.58514249</v>
      </c>
    </row>
    <row r="7741" spans="1:2" x14ac:dyDescent="0.25">
      <c r="A7741">
        <f ca="1">29726.0223440892*((RANDBETWEEN(2979,3282)))</f>
        <v>91437244.730418354</v>
      </c>
      <c r="B7741">
        <v>187336932.4350017</v>
      </c>
    </row>
    <row r="7742" spans="1:2" x14ac:dyDescent="0.25">
      <c r="A7742">
        <f ca="1">30631.0320331032*((RANDBETWEEN(2979,3282)))</f>
        <v>98846340.370823979</v>
      </c>
      <c r="B7742">
        <v>182532560.41969061</v>
      </c>
    </row>
    <row r="7743" spans="1:2" x14ac:dyDescent="0.25">
      <c r="A7743">
        <f ca="1">38116.8458708331*((RANDBETWEEN(2979,3282)))</f>
        <v>124299034.38478658</v>
      </c>
      <c r="B7743">
        <v>168387072.44976199</v>
      </c>
    </row>
    <row r="7744" spans="1:2" x14ac:dyDescent="0.25">
      <c r="A7744">
        <f ca="1">34591.8952475559*((RANDBETWEEN(2979,3282)))</f>
        <v>112389067.65930909</v>
      </c>
      <c r="B7744">
        <v>189027081.25918069</v>
      </c>
    </row>
    <row r="7745" spans="1:2" x14ac:dyDescent="0.25">
      <c r="A7745">
        <f ca="1">31942.3604262479*((RANDBETWEEN(2979,3282)))</f>
        <v>98638008.996253386</v>
      </c>
      <c r="B7745">
        <v>155512224.34223309</v>
      </c>
    </row>
    <row r="7746" spans="1:2" x14ac:dyDescent="0.25">
      <c r="A7746">
        <f ca="1">34645.4007786719*((RANDBETWEEN(2979,3282)))</f>
        <v>112978651.93924895</v>
      </c>
      <c r="B7746">
        <v>173634195.80102891</v>
      </c>
    </row>
    <row r="7747" spans="1:2" x14ac:dyDescent="0.25">
      <c r="A7747">
        <f ca="1">33332.6260354113*((RANDBETWEEN(2979,3282)))</f>
        <v>105597759.28018306</v>
      </c>
      <c r="B7747">
        <v>147689147.30954835</v>
      </c>
    </row>
    <row r="7748" spans="1:2" x14ac:dyDescent="0.25">
      <c r="A7748">
        <f ca="1">36709.4311252517*((RANDBETWEEN(2979,3282)))</f>
        <v>111266285.74063793</v>
      </c>
      <c r="B7748">
        <v>175196019.98361897</v>
      </c>
    </row>
    <row r="7749" spans="1:2" x14ac:dyDescent="0.25">
      <c r="A7749">
        <f ca="1">30926.5149238204*((RANDBETWEEN(2979,3282)))</f>
        <v>93336222.040089965</v>
      </c>
      <c r="B7749">
        <v>147160099.19939882</v>
      </c>
    </row>
    <row r="7750" spans="1:2" x14ac:dyDescent="0.25">
      <c r="A7750">
        <f ca="1">32658.5743161935*((RANDBETWEEN(2979,3282)))</f>
        <v>99118773.049647287</v>
      </c>
      <c r="B7750">
        <v>151282438.50015819</v>
      </c>
    </row>
    <row r="7751" spans="1:2" x14ac:dyDescent="0.25">
      <c r="A7751">
        <f ca="1">29431.0680790969*((RANDBETWEEN(2979,3282)))</f>
        <v>90059068.322036371</v>
      </c>
      <c r="B7751">
        <v>146786964.59375152</v>
      </c>
    </row>
    <row r="7752" spans="1:2" x14ac:dyDescent="0.25">
      <c r="A7752">
        <f ca="1">32574.9123614888*((RANDBETWEEN(2979,3282)))</f>
        <v>98701984.455311149</v>
      </c>
      <c r="B7752">
        <v>146725183.6529713</v>
      </c>
    </row>
    <row r="7753" spans="1:2" x14ac:dyDescent="0.25">
      <c r="A7753">
        <f ca="1">37387.5782776533*((RANDBETWEEN(2979,3282)))</f>
        <v>122145218.23309319</v>
      </c>
      <c r="B7753">
        <v>148501660.71958232</v>
      </c>
    </row>
    <row r="7754" spans="1:2" x14ac:dyDescent="0.25">
      <c r="A7754">
        <f ca="1">30641.8846048921*((RANDBETWEEN(2979,3282)))</f>
        <v>92109505.122305781</v>
      </c>
      <c r="B7754">
        <v>167479549.36967444</v>
      </c>
    </row>
    <row r="7755" spans="1:2" x14ac:dyDescent="0.25">
      <c r="A7755">
        <f ca="1">41020.466401744*((RANDBETWEEN(2979,3282)))</f>
        <v>129829776.16151965</v>
      </c>
      <c r="B7755">
        <v>169376363.54018882</v>
      </c>
    </row>
    <row r="7756" spans="1:2" x14ac:dyDescent="0.25">
      <c r="A7756">
        <f ca="1">30821.6249805647*((RANDBETWEEN(2979,3282)))</f>
        <v>99183989.187457323</v>
      </c>
      <c r="B7756">
        <v>147220543.39050546</v>
      </c>
    </row>
    <row r="7757" spans="1:2" x14ac:dyDescent="0.25">
      <c r="A7757">
        <f ca="1">30406.8877653254*((RANDBETWEEN(2979,3282)))</f>
        <v>97210820.185745373</v>
      </c>
      <c r="B7757">
        <v>155211888.70527881</v>
      </c>
    </row>
    <row r="7758" spans="1:2" x14ac:dyDescent="0.25">
      <c r="A7758">
        <f ca="1">29719.4016606322*((RANDBETWEEN(2979,3282)))</f>
        <v>93526957.02600947</v>
      </c>
      <c r="B7758">
        <v>150172681.259413</v>
      </c>
    </row>
    <row r="7759" spans="1:2" x14ac:dyDescent="0.25">
      <c r="A7759">
        <f ca="1">34492.9839593937*((RANDBETWEEN(2979,3282)))</f>
        <v>112585099.64346091</v>
      </c>
      <c r="B7759">
        <v>192668005.0593397</v>
      </c>
    </row>
    <row r="7760" spans="1:2" x14ac:dyDescent="0.25">
      <c r="A7760">
        <f ca="1">32024.7669112459*((RANDBETWEEN(2979,3282)))</f>
        <v>96554672.237406418</v>
      </c>
      <c r="B7760">
        <v>152842714.81987774</v>
      </c>
    </row>
    <row r="7761" spans="1:2" x14ac:dyDescent="0.25">
      <c r="A7761">
        <f ca="1">32351.6735954259*((RANDBETWEEN(2979,3282)))</f>
        <v>104787070.77558453</v>
      </c>
      <c r="B7761">
        <v>157497532.34501651</v>
      </c>
    </row>
    <row r="7762" spans="1:2" x14ac:dyDescent="0.25">
      <c r="A7762">
        <f ca="1">36847.7258327492*((RANDBETWEEN(2979,3282)))</f>
        <v>113159366.03237277</v>
      </c>
      <c r="B7762">
        <v>197626974.44586056</v>
      </c>
    </row>
    <row r="7763" spans="1:2" x14ac:dyDescent="0.25">
      <c r="A7763">
        <f ca="1">32707.6007000114*((RANDBETWEEN(2979,3282)))</f>
        <v>97534065.287434042</v>
      </c>
      <c r="B7763">
        <v>171768787.18841285</v>
      </c>
    </row>
    <row r="7764" spans="1:2" x14ac:dyDescent="0.25">
      <c r="A7764">
        <f ca="1">31713.8938850868*((RANDBETWEEN(2979,3282)))</f>
        <v>96790804.137284786</v>
      </c>
      <c r="B7764">
        <v>202611788.17851147</v>
      </c>
    </row>
    <row r="7765" spans="1:2" x14ac:dyDescent="0.25">
      <c r="A7765">
        <f ca="1">39810.1550100525*((RANDBETWEEN(2979,3282)))</f>
        <v>120385908.75039871</v>
      </c>
      <c r="B7765">
        <v>149554396.83819944</v>
      </c>
    </row>
    <row r="7766" spans="1:2" x14ac:dyDescent="0.25">
      <c r="A7766">
        <f ca="1">31805.9365871797*((RANDBETWEEN(2979,3282)))</f>
        <v>95672257.254236519</v>
      </c>
      <c r="B7766">
        <v>151552582.75690925</v>
      </c>
    </row>
    <row r="7767" spans="1:2" x14ac:dyDescent="0.25">
      <c r="A7767">
        <f ca="1">33278.6850335632*((RANDBETWEEN(2979,3282)))</f>
        <v>108987693.48491947</v>
      </c>
      <c r="B7767">
        <v>156246614.51458842</v>
      </c>
    </row>
    <row r="7768" spans="1:2" x14ac:dyDescent="0.25">
      <c r="A7768">
        <f ca="1">31045.8860945116*((RANDBETWEEN(2979,3282)))</f>
        <v>93820667.777613983</v>
      </c>
      <c r="B7768">
        <v>180468121.66954157</v>
      </c>
    </row>
    <row r="7769" spans="1:2" x14ac:dyDescent="0.25">
      <c r="A7769">
        <f ca="1">31257.1935171956*((RANDBETWEEN(2979,3282)))</f>
        <v>97116100.257926866</v>
      </c>
      <c r="B7769">
        <v>156567295.02128842</v>
      </c>
    </row>
    <row r="7770" spans="1:2" x14ac:dyDescent="0.25">
      <c r="A7770">
        <f ca="1">29389.0816943048*((RANDBETWEEN(2979,3282)))</f>
        <v>87579463.449028224</v>
      </c>
      <c r="B7770">
        <v>145339230.91534612</v>
      </c>
    </row>
    <row r="7771" spans="1:2" x14ac:dyDescent="0.25">
      <c r="A7771">
        <f ca="1">28929.3553243346*((RANDBETWEEN(2979,3282)))</f>
        <v>89999224.414004833</v>
      </c>
      <c r="B7771">
        <v>143489999.14576709</v>
      </c>
    </row>
    <row r="7772" spans="1:2" x14ac:dyDescent="0.25">
      <c r="A7772">
        <f ca="1">31540.7561039713*((RANDBETWEEN(2979,3282)))</f>
        <v>94874594.360745817</v>
      </c>
      <c r="B7772">
        <v>169082564.10040799</v>
      </c>
    </row>
    <row r="7773" spans="1:2" x14ac:dyDescent="0.25">
      <c r="A7773">
        <f ca="1">30240.7574104668*((RANDBETWEEN(2979,3282)))</f>
        <v>98705832.187763706</v>
      </c>
      <c r="B7773">
        <v>150936111.84916946</v>
      </c>
    </row>
    <row r="7774" spans="1:2" x14ac:dyDescent="0.25">
      <c r="A7774">
        <f ca="1">38031.215634903*((RANDBETWEEN(2979,3282)))</f>
        <v>121281546.65970582</v>
      </c>
      <c r="B7774">
        <v>197913433.51479393</v>
      </c>
    </row>
    <row r="7775" spans="1:2" x14ac:dyDescent="0.25">
      <c r="A7775">
        <f ca="1">28834.1029671497*((RANDBETWEEN(2979,3282)))</f>
        <v>89933567.154539898</v>
      </c>
      <c r="B7775">
        <v>166201474.70736092</v>
      </c>
    </row>
    <row r="7776" spans="1:2" x14ac:dyDescent="0.25">
      <c r="A7776">
        <f ca="1">31653.9909494459*((RANDBETWEEN(2979,3282)))</f>
        <v>101134501.08347954</v>
      </c>
      <c r="B7776">
        <v>169538725.36232704</v>
      </c>
    </row>
    <row r="7777" spans="1:2" x14ac:dyDescent="0.25">
      <c r="A7777">
        <f ca="1">32784.1460916465*((RANDBETWEEN(2979,3282)))</f>
        <v>105269893.10027704</v>
      </c>
      <c r="B7777">
        <v>152284927.10838085</v>
      </c>
    </row>
    <row r="7778" spans="1:2" x14ac:dyDescent="0.25">
      <c r="A7778">
        <f ca="1">35645.3788238142*((RANDBETWEEN(2979,3282)))</f>
        <v>112069071.02207196</v>
      </c>
      <c r="B7778">
        <v>146754292.97703671</v>
      </c>
    </row>
    <row r="7779" spans="1:2" x14ac:dyDescent="0.25">
      <c r="A7779">
        <f ca="1">30851.8700728487*((RANDBETWEEN(2979,3282)))</f>
        <v>98479169.272533208</v>
      </c>
      <c r="B7779">
        <v>181026490.32505774</v>
      </c>
    </row>
    <row r="7780" spans="1:2" x14ac:dyDescent="0.25">
      <c r="A7780">
        <f ca="1">31618.9512600489*((RANDBETWEEN(2979,3282)))</f>
        <v>96785609.807009548</v>
      </c>
      <c r="B7780">
        <v>179023726.71844634</v>
      </c>
    </row>
    <row r="7781" spans="1:2" x14ac:dyDescent="0.25">
      <c r="A7781">
        <f ca="1">34054.7306508218*((RANDBETWEEN(2979,3282)))</f>
        <v>105365336.63364266</v>
      </c>
      <c r="B7781">
        <v>200756202.38990471</v>
      </c>
    </row>
    <row r="7782" spans="1:2" x14ac:dyDescent="0.25">
      <c r="A7782">
        <f ca="1">32222.4761583509*((RANDBETWEEN(2979,3282)))</f>
        <v>103144146.18288131</v>
      </c>
      <c r="B7782">
        <v>176909298.98852259</v>
      </c>
    </row>
    <row r="7783" spans="1:2" x14ac:dyDescent="0.25">
      <c r="A7783">
        <f ca="1">33749.3695925374*((RANDBETWEEN(2979,3282)))</f>
        <v>101011863.1904645</v>
      </c>
      <c r="B7783">
        <v>161820000.84213191</v>
      </c>
    </row>
    <row r="7784" spans="1:2" x14ac:dyDescent="0.25">
      <c r="A7784">
        <f ca="1">32706.411398061*((RANDBETWEEN(2979,3282)))</f>
        <v>101618820.21377546</v>
      </c>
      <c r="B7784">
        <v>143920898.0298979</v>
      </c>
    </row>
    <row r="7785" spans="1:2" x14ac:dyDescent="0.25">
      <c r="A7785">
        <f ca="1">31560.3682781294*((RANDBETWEEN(2979,3282)))</f>
        <v>94902027.412335083</v>
      </c>
      <c r="B7785">
        <v>155624626.52574372</v>
      </c>
    </row>
    <row r="7786" spans="1:2" x14ac:dyDescent="0.25">
      <c r="A7786">
        <f ca="1">32411.5122300066*((RANDBETWEEN(2979,3282)))</f>
        <v>99211638.936050206</v>
      </c>
      <c r="B7786">
        <v>151701583.16269583</v>
      </c>
    </row>
    <row r="7787" spans="1:2" x14ac:dyDescent="0.25">
      <c r="A7787">
        <f ca="1">30336.5174620493*((RANDBETWEEN(2979,3282)))</f>
        <v>96985846.326171771</v>
      </c>
      <c r="B7787">
        <v>148827928.2041834</v>
      </c>
    </row>
    <row r="7788" spans="1:2" x14ac:dyDescent="0.25">
      <c r="A7788">
        <f ca="1">31156.2081317055*((RANDBETWEEN(2979,3282)))</f>
        <v>97737024.909160152</v>
      </c>
      <c r="B7788">
        <v>159052406.23015338</v>
      </c>
    </row>
    <row r="7789" spans="1:2" x14ac:dyDescent="0.25">
      <c r="A7789">
        <f ca="1">31921.0395297743*((RANDBETWEEN(2979,3282)))</f>
        <v>103551852.23458798</v>
      </c>
      <c r="B7789">
        <v>155390161.94852847</v>
      </c>
    </row>
    <row r="7790" spans="1:2" x14ac:dyDescent="0.25">
      <c r="A7790">
        <f ca="1">33770.8228827127*((RANDBETWEEN(2979,3282)))</f>
        <v>104790863.40505736</v>
      </c>
      <c r="B7790">
        <v>163280678.33448723</v>
      </c>
    </row>
    <row r="7791" spans="1:2" x14ac:dyDescent="0.25">
      <c r="A7791">
        <f ca="1">34919.4463643958*((RANDBETWEEN(2979,3282)))</f>
        <v>113383442.34519316</v>
      </c>
      <c r="B7791">
        <v>202584122.62505871</v>
      </c>
    </row>
    <row r="7792" spans="1:2" x14ac:dyDescent="0.25">
      <c r="A7792">
        <f ca="1">37511.6929961547*((RANDBETWEEN(2979,3282)))</f>
        <v>114448175.33126789</v>
      </c>
      <c r="B7792">
        <v>173473164.7697289</v>
      </c>
    </row>
    <row r="7793" spans="1:2" x14ac:dyDescent="0.25">
      <c r="A7793">
        <f ca="1">40133.4483190329*((RANDBETWEEN(2979,3282)))</f>
        <v>131035708.76164238</v>
      </c>
      <c r="B7793">
        <v>193610757.90330553</v>
      </c>
    </row>
    <row r="7794" spans="1:2" x14ac:dyDescent="0.25">
      <c r="A7794">
        <f ca="1">32248.8743102312*((RANDBETWEEN(2979,3282)))</f>
        <v>100906727.71671346</v>
      </c>
      <c r="B7794">
        <v>181177915.2556892</v>
      </c>
    </row>
    <row r="7795" spans="1:2" x14ac:dyDescent="0.25">
      <c r="A7795">
        <f ca="1">31676.7767746501*((RANDBETWEEN(2979,3282)))</f>
        <v>101587423.11630271</v>
      </c>
      <c r="B7795">
        <v>169512337.4870905</v>
      </c>
    </row>
    <row r="7796" spans="1:2" x14ac:dyDescent="0.25">
      <c r="A7796">
        <f ca="1">31148.0050599973*((RANDBETWEEN(2979,3282)))</f>
        <v>96652259.701171547</v>
      </c>
      <c r="B7796">
        <v>145244162.62089491</v>
      </c>
    </row>
    <row r="7797" spans="1:2" x14ac:dyDescent="0.25">
      <c r="A7797">
        <f ca="1">32077.9299355481*((RANDBETWEEN(2979,3282)))</f>
        <v>98992491.78110148</v>
      </c>
      <c r="B7797">
        <v>159301525.03088632</v>
      </c>
    </row>
    <row r="7798" spans="1:2" x14ac:dyDescent="0.25">
      <c r="A7798">
        <f ca="1">30382.5735376693*((RANDBETWEEN(2979,3282)))</f>
        <v>91421163.774846822</v>
      </c>
      <c r="B7798">
        <v>158998599.97986186</v>
      </c>
    </row>
    <row r="7799" spans="1:2" x14ac:dyDescent="0.25">
      <c r="A7799">
        <f ca="1">29981.1034245963*((RANDBETWEEN(2979,3282)))</f>
        <v>91622252.065566435</v>
      </c>
      <c r="B7799">
        <v>185725322.75301975</v>
      </c>
    </row>
    <row r="7800" spans="1:2" x14ac:dyDescent="0.25">
      <c r="A7800">
        <f ca="1">32142.5884993492*((RANDBETWEEN(2979,3282)))</f>
        <v>101699150.0119409</v>
      </c>
      <c r="B7800">
        <v>182369722.23804834</v>
      </c>
    </row>
    <row r="7801" spans="1:2" x14ac:dyDescent="0.25">
      <c r="A7801">
        <f ca="1">34680.3039176304*((RANDBETWEEN(2979,3282)))</f>
        <v>108896154.30135955</v>
      </c>
      <c r="B7801">
        <v>157763484.84491554</v>
      </c>
    </row>
    <row r="7802" spans="1:2" x14ac:dyDescent="0.25">
      <c r="A7802">
        <f ca="1">30723.3360714789*((RANDBETWEEN(2979,3282)))</f>
        <v>99881565.568377763</v>
      </c>
      <c r="B7802">
        <v>171664539.95940802</v>
      </c>
    </row>
    <row r="7803" spans="1:2" x14ac:dyDescent="0.25">
      <c r="A7803">
        <f ca="1">30017.6168978428*((RANDBETWEEN(2979,3282)))</f>
        <v>95395986.501344502</v>
      </c>
      <c r="B7803">
        <v>167448973.1716775</v>
      </c>
    </row>
    <row r="7804" spans="1:2" x14ac:dyDescent="0.25">
      <c r="A7804">
        <f ca="1">31824.8692753077*((RANDBETWEEN(2979,3282)))</f>
        <v>97224975.636064932</v>
      </c>
      <c r="B7804">
        <v>188198084.99604869</v>
      </c>
    </row>
    <row r="7805" spans="1:2" x14ac:dyDescent="0.25">
      <c r="A7805">
        <f ca="1">30895.4584876138*((RANDBETWEEN(2979,3282)))</f>
        <v>100317553.70928207</v>
      </c>
      <c r="B7805">
        <v>150883792.35562137</v>
      </c>
    </row>
    <row r="7806" spans="1:2" x14ac:dyDescent="0.25">
      <c r="A7806">
        <f ca="1">32686.0334063286*((RANDBETWEEN(2979,3282)))</f>
        <v>105347085.66859704</v>
      </c>
      <c r="B7806">
        <v>158847715.27291963</v>
      </c>
    </row>
    <row r="7807" spans="1:2" x14ac:dyDescent="0.25">
      <c r="A7807">
        <f ca="1">31137.1792120431*((RANDBETWEEN(2979,3282)))</f>
        <v>101756301.66495675</v>
      </c>
      <c r="B7807">
        <v>143406213.19192857</v>
      </c>
    </row>
    <row r="7808" spans="1:2" x14ac:dyDescent="0.25">
      <c r="A7808">
        <f ca="1">40268.8666998978*((RANDBETWEEN(2979,3282)))</f>
        <v>125236175.43668218</v>
      </c>
      <c r="B7808">
        <v>171309869.35418516</v>
      </c>
    </row>
    <row r="7809" spans="1:2" x14ac:dyDescent="0.25">
      <c r="A7809">
        <f ca="1">30838.7762650703*((RANDBETWEEN(2979,3282)))</f>
        <v>100688604.50545444</v>
      </c>
      <c r="B7809">
        <v>146867126.62650585</v>
      </c>
    </row>
    <row r="7810" spans="1:2" x14ac:dyDescent="0.25">
      <c r="A7810">
        <f ca="1">31844.4722813036*((RANDBETWEEN(2979,3282)))</f>
        <v>95660794.733035922</v>
      </c>
      <c r="B7810">
        <v>143758353.26205248</v>
      </c>
    </row>
    <row r="7811" spans="1:2" x14ac:dyDescent="0.25">
      <c r="A7811">
        <f ca="1">32834.0419078192*((RANDBETWEEN(2979,3282)))</f>
        <v>105824117.06890121</v>
      </c>
      <c r="B7811">
        <v>190824254.08124605</v>
      </c>
    </row>
    <row r="7812" spans="1:2" x14ac:dyDescent="0.25">
      <c r="A7812">
        <f ca="1">37504.1828249797*((RANDBETWEEN(2979,3282)))</f>
        <v>116750521.13416168</v>
      </c>
      <c r="B7812">
        <v>183047203.69046196</v>
      </c>
    </row>
    <row r="7813" spans="1:2" x14ac:dyDescent="0.25">
      <c r="A7813">
        <f ca="1">35985.8523431251*((RANDBETWEEN(2979,3282)))</f>
        <v>108317415.55280642</v>
      </c>
      <c r="B7813">
        <v>164105566.31509629</v>
      </c>
    </row>
    <row r="7814" spans="1:2" x14ac:dyDescent="0.25">
      <c r="A7814">
        <f ca="1">30190.5741721412*((RANDBETWEEN(2979,3282)))</f>
        <v>90209435.626357764</v>
      </c>
      <c r="B7814">
        <v>176756709.32542139</v>
      </c>
    </row>
    <row r="7815" spans="1:2" x14ac:dyDescent="0.25">
      <c r="A7815">
        <f ca="1">30811.763347882*((RANDBETWEEN(2979,3282)))</f>
        <v>96286760.462131411</v>
      </c>
      <c r="B7815">
        <v>157041349.28863734</v>
      </c>
    </row>
    <row r="7816" spans="1:2" x14ac:dyDescent="0.25">
      <c r="A7816">
        <f ca="1">31989.2261413692*((RANDBETWEEN(2979,3282)))</f>
        <v>98046978.123296723</v>
      </c>
      <c r="B7816">
        <v>171706905.03283444</v>
      </c>
    </row>
    <row r="7817" spans="1:2" x14ac:dyDescent="0.25">
      <c r="A7817">
        <f ca="1">29855.8618703947*((RANDBETWEEN(2979,3282)))</f>
        <v>97479389.006838977</v>
      </c>
      <c r="B7817">
        <v>155435041.36655754</v>
      </c>
    </row>
    <row r="7818" spans="1:2" x14ac:dyDescent="0.25">
      <c r="A7818">
        <f ca="1">32898.8585056977*((RANDBETWEEN(2979,3282)))</f>
        <v>103795898.58547632</v>
      </c>
      <c r="B7818">
        <v>152406293.73947114</v>
      </c>
    </row>
    <row r="7819" spans="1:2" x14ac:dyDescent="0.25">
      <c r="A7819">
        <f ca="1">42086.3148599373*((RANDBETWEEN(2979,3282)))</f>
        <v>125501390.91233307</v>
      </c>
      <c r="B7819">
        <v>142918257.94829178</v>
      </c>
    </row>
    <row r="7820" spans="1:2" x14ac:dyDescent="0.25">
      <c r="A7820">
        <f ca="1">32093.534940932*((RANDBETWEEN(2979,3282)))</f>
        <v>104592830.37249744</v>
      </c>
      <c r="B7820">
        <v>172890787.72414237</v>
      </c>
    </row>
    <row r="7821" spans="1:2" x14ac:dyDescent="0.25">
      <c r="A7821">
        <f ca="1">34965.6676460639*((RANDBETWEEN(2979,3282)))</f>
        <v>106610320.65284869</v>
      </c>
      <c r="B7821">
        <v>144942327.12401581</v>
      </c>
    </row>
    <row r="7822" spans="1:2" x14ac:dyDescent="0.25">
      <c r="A7822">
        <f ca="1">29512.0333535802*((RANDBETWEEN(2979,3282)))</f>
        <v>88388539.893972829</v>
      </c>
      <c r="B7822">
        <v>157146648.13033378</v>
      </c>
    </row>
    <row r="7823" spans="1:2" x14ac:dyDescent="0.25">
      <c r="A7823">
        <f ca="1">30372.0286939337*((RANDBETWEEN(2979,3282)))</f>
        <v>91996874.913925201</v>
      </c>
      <c r="B7823">
        <v>158024426.58978245</v>
      </c>
    </row>
    <row r="7824" spans="1:2" x14ac:dyDescent="0.25">
      <c r="A7824">
        <f ca="1">30078.34133856*((RANDBETWEEN(2979,3282)))</f>
        <v>93784268.293629959</v>
      </c>
      <c r="B7824">
        <v>147010097.74406832</v>
      </c>
    </row>
    <row r="7825" spans="1:2" x14ac:dyDescent="0.25">
      <c r="A7825">
        <f ca="1">30399.3043523509*((RANDBETWEEN(2979,3282)))</f>
        <v>98676141.927731007</v>
      </c>
      <c r="B7825">
        <v>152196016.13344324</v>
      </c>
    </row>
    <row r="7826" spans="1:2" x14ac:dyDescent="0.25">
      <c r="A7826">
        <f ca="1">42416.3287804799*((RANDBETWEEN(2979,3282)))</f>
        <v>129709133.41070756</v>
      </c>
      <c r="B7826">
        <v>197780704.82973939</v>
      </c>
    </row>
    <row r="7827" spans="1:2" x14ac:dyDescent="0.25">
      <c r="A7827">
        <f ca="1">41939.2080596103*((RANDBETWEEN(2979,3282)))</f>
        <v>131814930.93135533</v>
      </c>
      <c r="B7827">
        <v>168074014.80869034</v>
      </c>
    </row>
    <row r="7828" spans="1:2" x14ac:dyDescent="0.25">
      <c r="A7828">
        <f ca="1">31497.3217288597*((RANDBETWEEN(2979,3282)))</f>
        <v>102681268.83608277</v>
      </c>
      <c r="B7828">
        <v>192725137.35129026</v>
      </c>
    </row>
    <row r="7829" spans="1:2" x14ac:dyDescent="0.25">
      <c r="A7829">
        <f ca="1">29928.2143016038*((RANDBETWEEN(2979,3282)))</f>
        <v>89515288.976097062</v>
      </c>
      <c r="B7829">
        <v>143528775.57600197</v>
      </c>
    </row>
    <row r="7830" spans="1:2" x14ac:dyDescent="0.25">
      <c r="A7830">
        <f ca="1">29862.8692014768*((RANDBETWEEN(2979,3282)))</f>
        <v>95023649.799099326</v>
      </c>
      <c r="B7830">
        <v>166742882.00244057</v>
      </c>
    </row>
    <row r="7831" spans="1:2" x14ac:dyDescent="0.25">
      <c r="A7831">
        <f ca="1">41177.1490953784*((RANDBETWEEN(2979,3282)))</f>
        <v>128472705.17758065</v>
      </c>
      <c r="B7831">
        <v>187330373.76728874</v>
      </c>
    </row>
    <row r="7832" spans="1:2" x14ac:dyDescent="0.25">
      <c r="A7832">
        <f ca="1">37227.1159563196*((RANDBETWEEN(2979,3282)))</f>
        <v>111569666.52108999</v>
      </c>
      <c r="B7832">
        <v>172430808.76287419</v>
      </c>
    </row>
    <row r="7833" spans="1:2" x14ac:dyDescent="0.25">
      <c r="A7833">
        <f ca="1">32591.0857123762*((RANDBETWEEN(2979,3282)))</f>
        <v>105986210.73664749</v>
      </c>
      <c r="B7833">
        <v>193015634.49216911</v>
      </c>
    </row>
    <row r="7834" spans="1:2" x14ac:dyDescent="0.25">
      <c r="A7834">
        <f ca="1">32737.3624098956*((RANDBETWEEN(2979,3282)))</f>
        <v>107182124.52999823</v>
      </c>
      <c r="B7834">
        <v>143523302.90879384</v>
      </c>
    </row>
    <row r="7835" spans="1:2" x14ac:dyDescent="0.25">
      <c r="A7835">
        <f ca="1">29595.3111021281*((RANDBETWEEN(2979,3282)))</f>
        <v>96362332.948529184</v>
      </c>
      <c r="B7835">
        <v>150881334.41032675</v>
      </c>
    </row>
    <row r="7836" spans="1:2" x14ac:dyDescent="0.25">
      <c r="A7836">
        <f ca="1">34523.6928737463*((RANDBETWEEN(2979,3282)))</f>
        <v>108473443.00931086</v>
      </c>
      <c r="B7836">
        <v>148091144.25323081</v>
      </c>
    </row>
    <row r="7837" spans="1:2" x14ac:dyDescent="0.25">
      <c r="A7837">
        <f ca="1">30496.3789703576*((RANDBETWEEN(2979,3282)))</f>
        <v>93745868.95487918</v>
      </c>
      <c r="B7837">
        <v>161894535.84160104</v>
      </c>
    </row>
    <row r="7838" spans="1:2" x14ac:dyDescent="0.25">
      <c r="A7838">
        <f ca="1">31767.3097557848*((RANDBETWEEN(2979,3282)))</f>
        <v>97080898.613678291</v>
      </c>
      <c r="B7838">
        <v>180581576.82917249</v>
      </c>
    </row>
    <row r="7839" spans="1:2" x14ac:dyDescent="0.25">
      <c r="A7839">
        <f ca="1">37080.0979609852*((RANDBETWEEN(2979,3282)))</f>
        <v>116023626.51992273</v>
      </c>
      <c r="B7839">
        <v>201384002.57029551</v>
      </c>
    </row>
    <row r="7840" spans="1:2" x14ac:dyDescent="0.25">
      <c r="A7840">
        <f ca="1">36863.5433662598*((RANDBETWEEN(2979,3282)))</f>
        <v>112507534.35382487</v>
      </c>
      <c r="B7840">
        <v>195072000.14683753</v>
      </c>
    </row>
    <row r="7841" spans="1:2" x14ac:dyDescent="0.25">
      <c r="A7841">
        <f ca="1">36056.2246216023*((RANDBETWEEN(2979,3282)))</f>
        <v>112315139.69629121</v>
      </c>
      <c r="B7841">
        <v>199813247.97137216</v>
      </c>
    </row>
    <row r="7842" spans="1:2" x14ac:dyDescent="0.25">
      <c r="A7842">
        <f ca="1">31292.6662472719*((RANDBETWEEN(2979,3282)))</f>
        <v>98196386.683939368</v>
      </c>
      <c r="B7842">
        <v>149873265.09857398</v>
      </c>
    </row>
    <row r="7843" spans="1:2" x14ac:dyDescent="0.25">
      <c r="A7843">
        <f ca="1">31473.3411002231*((RANDBETWEEN(2979,3282)))</f>
        <v>99707544.605506688</v>
      </c>
      <c r="B7843">
        <v>157963570.95066556</v>
      </c>
    </row>
    <row r="7844" spans="1:2" x14ac:dyDescent="0.25">
      <c r="A7844">
        <f ca="1">42266.8374925258*((RANDBETWEEN(2979,3282)))</f>
        <v>133478672.80139636</v>
      </c>
      <c r="B7844">
        <v>146699290.96770063</v>
      </c>
    </row>
    <row r="7845" spans="1:2" x14ac:dyDescent="0.25">
      <c r="A7845">
        <f ca="1">38158.8299611307*((RANDBETWEEN(2979,3282)))</f>
        <v>114819919.35304226</v>
      </c>
      <c r="B7845">
        <v>167637172.78327298</v>
      </c>
    </row>
    <row r="7846" spans="1:2" x14ac:dyDescent="0.25">
      <c r="A7846">
        <f ca="1">31120.7290448621*((RANDBETWEEN(2979,3282)))</f>
        <v>93175462.760317057</v>
      </c>
      <c r="B7846">
        <v>203438840.28344589</v>
      </c>
    </row>
    <row r="7847" spans="1:2" x14ac:dyDescent="0.25">
      <c r="A7847">
        <f ca="1">30176.3143579471*((RANDBETWEEN(2979,3282)))</f>
        <v>92098111.420454562</v>
      </c>
      <c r="B7847">
        <v>164784110.7451418</v>
      </c>
    </row>
    <row r="7848" spans="1:2" x14ac:dyDescent="0.25">
      <c r="A7848">
        <f ca="1">29724.5678185809*((RANDBETWEEN(2979,3282)))</f>
        <v>95921180.350560665</v>
      </c>
      <c r="B7848">
        <v>148320089.55324817</v>
      </c>
    </row>
    <row r="7849" spans="1:2" x14ac:dyDescent="0.25">
      <c r="A7849">
        <f ca="1">31598.809803781*((RANDBETWEEN(2979,3282)))</f>
        <v>95870788.944671497</v>
      </c>
      <c r="B7849">
        <v>184578780.9206211</v>
      </c>
    </row>
    <row r="7850" spans="1:2" x14ac:dyDescent="0.25">
      <c r="A7850">
        <f ca="1">28133.26220817*((RANDBETWEEN(2979,3282)))</f>
        <v>85637650.161669329</v>
      </c>
      <c r="B7850">
        <v>165689492.52921587</v>
      </c>
    </row>
    <row r="7851" spans="1:2" x14ac:dyDescent="0.25">
      <c r="A7851">
        <f ca="1">33259.7024710386*((RANDBETWEEN(2979,3282)))</f>
        <v>108759227.08029638</v>
      </c>
      <c r="B7851">
        <v>166365510.42399162</v>
      </c>
    </row>
    <row r="7852" spans="1:2" x14ac:dyDescent="0.25">
      <c r="A7852">
        <f ca="1">30060.4378618946*((RANDBETWEEN(2979,3282)))</f>
        <v>95441890.211515456</v>
      </c>
      <c r="B7852">
        <v>176938761.79784489</v>
      </c>
    </row>
    <row r="7853" spans="1:2" x14ac:dyDescent="0.25">
      <c r="A7853">
        <f ca="1">37130.5625077846*((RANDBETWEEN(2979,3282)))</f>
        <v>110983251.33576806</v>
      </c>
      <c r="B7853">
        <v>164778897.73335984</v>
      </c>
    </row>
    <row r="7854" spans="1:2" x14ac:dyDescent="0.25">
      <c r="A7854">
        <f ca="1">30880.5686973446*((RANDBETWEEN(2979,3282)))</f>
        <v>97736999.927095726</v>
      </c>
      <c r="B7854">
        <v>154989391.78483862</v>
      </c>
    </row>
    <row r="7855" spans="1:2" x14ac:dyDescent="0.25">
      <c r="A7855">
        <f ca="1">28333.420536227*((RANDBETWEEN(2979,3282)))</f>
        <v>87040267.88728939</v>
      </c>
      <c r="B7855">
        <v>163433107.5806368</v>
      </c>
    </row>
    <row r="7856" spans="1:2" x14ac:dyDescent="0.25">
      <c r="A7856">
        <f ca="1">38899.3936598785*((RANDBETWEEN(2979,3282)))</f>
        <v>117592867.03381284</v>
      </c>
      <c r="B7856">
        <v>170285187.61072734</v>
      </c>
    </row>
    <row r="7857" spans="1:2" x14ac:dyDescent="0.25">
      <c r="A7857">
        <f ca="1">33159.5290947184*((RANDBETWEEN(2979,3282)))</f>
        <v>103059816.42638494</v>
      </c>
      <c r="B7857">
        <v>186447816.47939342</v>
      </c>
    </row>
    <row r="7858" spans="1:2" x14ac:dyDescent="0.25">
      <c r="A7858">
        <f ca="1">29628.7866654283*((RANDBETWEEN(2979,3282)))</f>
        <v>88856731.209619492</v>
      </c>
      <c r="B7858">
        <v>165348830.98965296</v>
      </c>
    </row>
    <row r="7859" spans="1:2" x14ac:dyDescent="0.25">
      <c r="A7859">
        <f ca="1">43364.2827140083*((RANDBETWEEN(2979,3282)))</f>
        <v>134689462.10970971</v>
      </c>
      <c r="B7859">
        <v>176080339.22649869</v>
      </c>
    </row>
    <row r="7860" spans="1:2" x14ac:dyDescent="0.25">
      <c r="A7860">
        <f ca="1">33809.5371633472*((RANDBETWEEN(2979,3282)))</f>
        <v>103761469.55431241</v>
      </c>
      <c r="B7860">
        <v>166355473.30028117</v>
      </c>
    </row>
    <row r="7861" spans="1:2" x14ac:dyDescent="0.25">
      <c r="A7861">
        <f ca="1">34970.9153992072*((RANDBETWEEN(2979,3282)))</f>
        <v>112991027.65483835</v>
      </c>
      <c r="B7861">
        <v>173790554.35047257</v>
      </c>
    </row>
    <row r="7862" spans="1:2" x14ac:dyDescent="0.25">
      <c r="A7862">
        <f ca="1">32271.318146531*((RANDBETWEEN(2979,3282)))</f>
        <v>97878907.938428432</v>
      </c>
      <c r="B7862">
        <v>150456600.70162615</v>
      </c>
    </row>
    <row r="7863" spans="1:2" x14ac:dyDescent="0.25">
      <c r="A7863">
        <f ca="1">33680.1099867855*((RANDBETWEEN(2979,3282)))</f>
        <v>105923945.90844043</v>
      </c>
      <c r="B7863">
        <v>145137236.87636584</v>
      </c>
    </row>
    <row r="7864" spans="1:2" x14ac:dyDescent="0.25">
      <c r="A7864">
        <f ca="1">33952.5493386764*((RANDBETWEEN(2979,3282)))</f>
        <v>103012034.69354427</v>
      </c>
      <c r="B7864">
        <v>168263610.71364543</v>
      </c>
    </row>
    <row r="7865" spans="1:2" x14ac:dyDescent="0.25">
      <c r="A7865">
        <f ca="1">30694.8576518299*((RANDBETWEEN(2979,3282)))</f>
        <v>95430312.439539284</v>
      </c>
      <c r="B7865">
        <v>177006411.79864427</v>
      </c>
    </row>
    <row r="7866" spans="1:2" x14ac:dyDescent="0.25">
      <c r="A7866">
        <f ca="1">32026.0953840155*((RANDBETWEEN(2979,3282)))</f>
        <v>98224034.542775407</v>
      </c>
      <c r="B7866">
        <v>202358208.54723653</v>
      </c>
    </row>
    <row r="7867" spans="1:2" x14ac:dyDescent="0.25">
      <c r="A7867">
        <f ca="1">32461.7022556552*((RANDBETWEEN(2979,3282)))</f>
        <v>104072217.43163046</v>
      </c>
      <c r="B7867">
        <v>143160680.98785889</v>
      </c>
    </row>
    <row r="7868" spans="1:2" x14ac:dyDescent="0.25">
      <c r="A7868">
        <f ca="1">30217.7470947249*((RANDBETWEEN(2979,3282)))</f>
        <v>92436088.362763599</v>
      </c>
      <c r="B7868">
        <v>146370618.11108404</v>
      </c>
    </row>
    <row r="7869" spans="1:2" x14ac:dyDescent="0.25">
      <c r="A7869">
        <f ca="1">33507.0166182165*((RANDBETWEEN(2979,3282)))</f>
        <v>101492753.33657773</v>
      </c>
      <c r="B7869">
        <v>177702069.88132179</v>
      </c>
    </row>
    <row r="7870" spans="1:2" x14ac:dyDescent="0.25">
      <c r="A7870">
        <f ca="1">32940.2513346615*((RANDBETWEEN(2979,3282)))</f>
        <v>99776021.2926898</v>
      </c>
      <c r="B7870">
        <v>144653797.70820582</v>
      </c>
    </row>
    <row r="7871" spans="1:2" x14ac:dyDescent="0.25">
      <c r="A7871">
        <f ca="1">30556.7766209002*((RANDBETWEEN(2979,3282)))</f>
        <v>96131619.249352127</v>
      </c>
      <c r="B7871">
        <v>185290228.79596505</v>
      </c>
    </row>
    <row r="7872" spans="1:2" x14ac:dyDescent="0.25">
      <c r="A7872">
        <f ca="1">30715.3145803213*((RANDBETWEEN(2979,3282)))</f>
        <v>98411867.915349349</v>
      </c>
      <c r="B7872">
        <v>198241329.92942658</v>
      </c>
    </row>
    <row r="7873" spans="1:2" x14ac:dyDescent="0.25">
      <c r="A7873">
        <f ca="1">31795.2829397944*((RANDBETWEEN(2979,3282)))</f>
        <v>99233078.05509831</v>
      </c>
      <c r="B7873">
        <v>172196963.76737246</v>
      </c>
    </row>
    <row r="7874" spans="1:2" x14ac:dyDescent="0.25">
      <c r="A7874">
        <f ca="1">30756.495240095*((RANDBETWEEN(2979,3282)))</f>
        <v>92915372.12032713</v>
      </c>
      <c r="B7874">
        <v>179426221.71540654</v>
      </c>
    </row>
    <row r="7875" spans="1:2" x14ac:dyDescent="0.25">
      <c r="A7875">
        <f ca="1">30112.3885417226*((RANDBETWEEN(2979,3282)))</f>
        <v>90668401.899126768</v>
      </c>
      <c r="B7875">
        <v>144022866.76152623</v>
      </c>
    </row>
    <row r="7876" spans="1:2" x14ac:dyDescent="0.25">
      <c r="A7876">
        <f ca="1">38345.9998355284*((RANDBETWEEN(2979,3282)))</f>
        <v>125813225.46036874</v>
      </c>
      <c r="B7876">
        <v>195189664.33621696</v>
      </c>
    </row>
    <row r="7877" spans="1:2" x14ac:dyDescent="0.25">
      <c r="A7877">
        <f ca="1">37286.1075767425*((RANDBETWEEN(2979,3282)))</f>
        <v>114132775.29240881</v>
      </c>
      <c r="B7877">
        <v>181390041.99719238</v>
      </c>
    </row>
    <row r="7878" spans="1:2" x14ac:dyDescent="0.25">
      <c r="A7878">
        <f ca="1">37918.2957735512*((RANDBETWEEN(2979,3282)))</f>
        <v>118456755.99657398</v>
      </c>
      <c r="B7878">
        <v>187070233.15764627</v>
      </c>
    </row>
    <row r="7879" spans="1:2" x14ac:dyDescent="0.25">
      <c r="A7879">
        <f ca="1">32150.8921856181*((RANDBETWEEN(2979,3282)))</f>
        <v>105294171.90789914</v>
      </c>
      <c r="B7879">
        <v>144253119.92825782</v>
      </c>
    </row>
    <row r="7880" spans="1:2" x14ac:dyDescent="0.25">
      <c r="A7880">
        <f ca="1">27949.4555331916*((RANDBETWEEN(2979,3282)))</f>
        <v>87789239.82975477</v>
      </c>
      <c r="B7880">
        <v>186092392.34056136</v>
      </c>
    </row>
    <row r="7881" spans="1:2" x14ac:dyDescent="0.25">
      <c r="A7881">
        <f ca="1">37690.8441168736*((RANDBETWEEN(2979,3282)))</f>
        <v>112394097.15651704</v>
      </c>
      <c r="B7881">
        <v>151048744.36988643</v>
      </c>
    </row>
    <row r="7882" spans="1:2" x14ac:dyDescent="0.25">
      <c r="A7882">
        <f ca="1">32234.2469900858*((RANDBETWEEN(2979,3282)))</f>
        <v>97508597.145009473</v>
      </c>
      <c r="B7882">
        <v>189862109.4972201</v>
      </c>
    </row>
    <row r="7883" spans="1:2" x14ac:dyDescent="0.25">
      <c r="A7883">
        <f ca="1">29865.462182411*((RANDBETWEEN(2979,3282)))</f>
        <v>95718806.294627354</v>
      </c>
      <c r="B7883">
        <v>168652762.56059629</v>
      </c>
    </row>
    <row r="7884" spans="1:2" x14ac:dyDescent="0.25">
      <c r="A7884">
        <f ca="1">31771.3054696643*((RANDBETWEEN(2979,3282)))</f>
        <v>101922347.94668309</v>
      </c>
      <c r="B7884">
        <v>200245269.25378755</v>
      </c>
    </row>
    <row r="7885" spans="1:2" x14ac:dyDescent="0.25">
      <c r="A7885">
        <f ca="1">34000.4245500947*((RANDBETWEEN(2979,3282)))</f>
        <v>110603381.06145801</v>
      </c>
      <c r="B7885">
        <v>155803342.21035251</v>
      </c>
    </row>
    <row r="7886" spans="1:2" x14ac:dyDescent="0.25">
      <c r="A7886">
        <f ca="1">33997.4924158535*((RANDBETWEEN(2979,3282)))</f>
        <v>108350008.32932512</v>
      </c>
      <c r="B7886">
        <v>153054056.44982329</v>
      </c>
    </row>
    <row r="7887" spans="1:2" x14ac:dyDescent="0.25">
      <c r="A7887">
        <f ca="1">32454.2400547986*((RANDBETWEEN(2979,3282)))</f>
        <v>103009757.93393061</v>
      </c>
      <c r="B7887">
        <v>162359316.175753</v>
      </c>
    </row>
    <row r="7888" spans="1:2" x14ac:dyDescent="0.25">
      <c r="A7888">
        <f ca="1">30925.5740280117*((RANDBETWEEN(2979,3282)))</f>
        <v>96147609.653088376</v>
      </c>
      <c r="B7888">
        <v>189610399.30146509</v>
      </c>
    </row>
    <row r="7889" spans="1:2" x14ac:dyDescent="0.25">
      <c r="A7889">
        <f ca="1">29638.4426313108*((RANDBETWEEN(2979,3282)))</f>
        <v>97125176.502805546</v>
      </c>
      <c r="B7889">
        <v>151165875.17301798</v>
      </c>
    </row>
    <row r="7890" spans="1:2" x14ac:dyDescent="0.25">
      <c r="A7890">
        <f ca="1">34937.9947046188*((RANDBETWEEN(2979,3282)))</f>
        <v>107609023.69022588</v>
      </c>
      <c r="B7890">
        <v>152310784.82581922</v>
      </c>
    </row>
    <row r="7891" spans="1:2" x14ac:dyDescent="0.25">
      <c r="A7891">
        <f ca="1">32412.8370199117*((RANDBETWEEN(2979,3282)))</f>
        <v>97757116.452053785</v>
      </c>
      <c r="B7891">
        <v>185307888.07663581</v>
      </c>
    </row>
    <row r="7892" spans="1:2" x14ac:dyDescent="0.25">
      <c r="A7892">
        <f ca="1">32627.8173762658*((RANDBETWEEN(2979,3282)))</f>
        <v>103886970.52603024</v>
      </c>
      <c r="B7892">
        <v>150965455.1824815</v>
      </c>
    </row>
    <row r="7893" spans="1:2" x14ac:dyDescent="0.25">
      <c r="A7893">
        <f ca="1">32208.1528784317*((RANDBETWEEN(2979,3282)))</f>
        <v>98879029.336785331</v>
      </c>
      <c r="B7893">
        <v>177340032.97290742</v>
      </c>
    </row>
    <row r="7894" spans="1:2" x14ac:dyDescent="0.25">
      <c r="A7894">
        <f ca="1">31079.3064846828*((RANDBETWEEN(2979,3282)))</f>
        <v>100044287.57419387</v>
      </c>
      <c r="B7894">
        <v>187461912.65613401</v>
      </c>
    </row>
    <row r="7895" spans="1:2" x14ac:dyDescent="0.25">
      <c r="A7895">
        <f ca="1">29357.7112508974*((RANDBETWEEN(2979,3282)))</f>
        <v>91038262.589032724</v>
      </c>
      <c r="B7895">
        <v>144290858.15735716</v>
      </c>
    </row>
    <row r="7896" spans="1:2" x14ac:dyDescent="0.25">
      <c r="A7896">
        <f ca="1">31837.4933665568*((RANDBETWEEN(2979,3282)))</f>
        <v>99205629.330191106</v>
      </c>
      <c r="B7896">
        <v>160215913.14834887</v>
      </c>
    </row>
    <row r="7897" spans="1:2" x14ac:dyDescent="0.25">
      <c r="A7897">
        <f ca="1">38821.6118703986*((RANDBETWEEN(2979,3282)))</f>
        <v>118250629.75723425</v>
      </c>
      <c r="B7897">
        <v>166554722.4365761</v>
      </c>
    </row>
    <row r="7898" spans="1:2" x14ac:dyDescent="0.25">
      <c r="A7898">
        <f ca="1">32601.5811981681*((RANDBETWEEN(2979,3282)))</f>
        <v>105400912.01367763</v>
      </c>
      <c r="B7898">
        <v>168508600.80672646</v>
      </c>
    </row>
    <row r="7899" spans="1:2" x14ac:dyDescent="0.25">
      <c r="A7899">
        <f ca="1">29502.2153120964*((RANDBETWEEN(2979,3282)))</f>
        <v>90011258.917205974</v>
      </c>
      <c r="B7899">
        <v>151955661.47548825</v>
      </c>
    </row>
    <row r="7900" spans="1:2" x14ac:dyDescent="0.25">
      <c r="A7900">
        <f ca="1">32234.2826124282*((RANDBETWEEN(2979,3282)))</f>
        <v>103504281.46850695</v>
      </c>
      <c r="B7900">
        <v>189867367.78620225</v>
      </c>
    </row>
    <row r="7901" spans="1:2" x14ac:dyDescent="0.25">
      <c r="A7901">
        <f ca="1">32484.8880534783*((RANDBETWEEN(2979,3282)))</f>
        <v>102100003.15208228</v>
      </c>
      <c r="B7901">
        <v>183219398.41846472</v>
      </c>
    </row>
    <row r="7902" spans="1:2" x14ac:dyDescent="0.25">
      <c r="A7902">
        <f ca="1">37433.709848519*((RANDBETWEEN(2979,3282)))</f>
        <v>117429547.79480416</v>
      </c>
      <c r="B7902">
        <v>146123850.00385374</v>
      </c>
    </row>
    <row r="7903" spans="1:2" x14ac:dyDescent="0.25">
      <c r="A7903">
        <f ca="1">30666.1908500416*((RANDBETWEEN(2979,3282)))</f>
        <v>96322505.459980637</v>
      </c>
      <c r="B7903">
        <v>197987339.29844615</v>
      </c>
    </row>
    <row r="7904" spans="1:2" x14ac:dyDescent="0.25">
      <c r="A7904">
        <f ca="1">29088.948073015*((RANDBETWEEN(2979,3282)))</f>
        <v>94568170.185371652</v>
      </c>
      <c r="B7904">
        <v>172393283.92251208</v>
      </c>
    </row>
    <row r="7905" spans="1:2" x14ac:dyDescent="0.25">
      <c r="A7905">
        <f ca="1">31340.1608454759*((RANDBETWEEN(2979,3282)))</f>
        <v>100225834.38383208</v>
      </c>
      <c r="B7905">
        <v>164820406.80632573</v>
      </c>
    </row>
    <row r="7906" spans="1:2" x14ac:dyDescent="0.25">
      <c r="A7906">
        <f ca="1">34075.23223643*((RANDBETWEEN(2979,3282)))</f>
        <v>109722247.80130452</v>
      </c>
      <c r="B7906">
        <v>171373443.20834565</v>
      </c>
    </row>
    <row r="7907" spans="1:2" x14ac:dyDescent="0.25">
      <c r="A7907">
        <f ca="1">31489.0767642457*((RANDBETWEEN(2979,3282)))</f>
        <v>101300359.95057844</v>
      </c>
      <c r="B7907">
        <v>148231464.74598786</v>
      </c>
    </row>
    <row r="7908" spans="1:2" x14ac:dyDescent="0.25">
      <c r="A7908">
        <f ca="1">31662.9682578679*((RANDBETWEEN(2979,3282)))</f>
        <v>97838571.91681169</v>
      </c>
      <c r="B7908">
        <v>165337946.00065556</v>
      </c>
    </row>
    <row r="7909" spans="1:2" x14ac:dyDescent="0.25">
      <c r="A7909">
        <f ca="1">38055.5408038827*((RANDBETWEEN(2979,3282)))</f>
        <v>124708007.21432346</v>
      </c>
      <c r="B7909">
        <v>164708474.43487394</v>
      </c>
    </row>
    <row r="7910" spans="1:2" x14ac:dyDescent="0.25">
      <c r="A7910">
        <f ca="1">31664.8091888513*((RANDBETWEEN(2979,3282)))</f>
        <v>100060797.03676997</v>
      </c>
      <c r="B7910">
        <v>147436771.9223941</v>
      </c>
    </row>
    <row r="7911" spans="1:2" x14ac:dyDescent="0.25">
      <c r="A7911">
        <f ca="1">32484.7123643119*((RANDBETWEEN(2979,3282)))</f>
        <v>102586721.64649694</v>
      </c>
      <c r="B7911">
        <v>174969015.6061824</v>
      </c>
    </row>
    <row r="7912" spans="1:2" x14ac:dyDescent="0.25">
      <c r="A7912">
        <f ca="1">38968.9183685321*((RANDBETWEEN(2979,3282)))</f>
        <v>119050045.61586571</v>
      </c>
      <c r="B7912">
        <v>150990003.11962473</v>
      </c>
    </row>
    <row r="7913" spans="1:2" x14ac:dyDescent="0.25">
      <c r="A7913">
        <f ca="1">32651.7575205543*((RANDBETWEEN(2979,3282)))</f>
        <v>102787732.67470491</v>
      </c>
      <c r="B7913">
        <v>190831688.82834798</v>
      </c>
    </row>
    <row r="7914" spans="1:2" x14ac:dyDescent="0.25">
      <c r="A7914">
        <f ca="1">30087.7611252972*((RANDBETWEEN(2979,3282)))</f>
        <v>92670304.265915304</v>
      </c>
      <c r="B7914">
        <v>175823538.6838159</v>
      </c>
    </row>
    <row r="7915" spans="1:2" x14ac:dyDescent="0.25">
      <c r="A7915">
        <f ca="1">39706.9444024958*((RANDBETWEEN(2979,3282)))</f>
        <v>127181342.92119409</v>
      </c>
      <c r="B7915">
        <v>159234466.94227704</v>
      </c>
    </row>
    <row r="7916" spans="1:2" x14ac:dyDescent="0.25">
      <c r="A7916">
        <f ca="1">31811.2363179982*((RANDBETWEEN(2979,3282)))</f>
        <v>95879066.262446523</v>
      </c>
      <c r="B7916">
        <v>155950416.55725935</v>
      </c>
    </row>
    <row r="7917" spans="1:2" x14ac:dyDescent="0.25">
      <c r="A7917">
        <f ca="1">37326.0924213433*((RANDBETWEEN(2979,3282)))</f>
        <v>119592800.11798388</v>
      </c>
      <c r="B7917">
        <v>142922461.27480751</v>
      </c>
    </row>
    <row r="7918" spans="1:2" x14ac:dyDescent="0.25">
      <c r="A7918">
        <f ca="1">30425.4531863415*((RANDBETWEEN(2979,3282)))</f>
        <v>93953799.439422533</v>
      </c>
      <c r="B7918">
        <v>152496978.13036123</v>
      </c>
    </row>
    <row r="7919" spans="1:2" x14ac:dyDescent="0.25">
      <c r="A7919">
        <f ca="1">30856.2374938599*((RANDBETWEEN(2979,3282)))</f>
        <v>96765160.780744493</v>
      </c>
      <c r="B7919">
        <v>172468298.70538381</v>
      </c>
    </row>
    <row r="7920" spans="1:2" x14ac:dyDescent="0.25">
      <c r="A7920">
        <f ca="1">38684.1340792487*((RANDBETWEEN(2979,3282)))</f>
        <v>124446859.33294305</v>
      </c>
      <c r="B7920">
        <v>160568112.93010271</v>
      </c>
    </row>
    <row r="7921" spans="1:2" x14ac:dyDescent="0.25">
      <c r="A7921">
        <f ca="1">32252.8450020906*((RANDBETWEEN(2979,3282)))</f>
        <v>102177012.9666229</v>
      </c>
      <c r="B7921">
        <v>193311046.54158425</v>
      </c>
    </row>
    <row r="7922" spans="1:2" x14ac:dyDescent="0.25">
      <c r="A7922">
        <f ca="1">40307.6483334455*((RANDBETWEEN(2979,3282)))</f>
        <v>128178321.70035672</v>
      </c>
      <c r="B7922">
        <v>149396473.86275542</v>
      </c>
    </row>
    <row r="7923" spans="1:2" x14ac:dyDescent="0.25">
      <c r="A7923">
        <f ca="1">39942.3109009806*((RANDBETWEEN(2979,3282)))</f>
        <v>127855337.19403899</v>
      </c>
      <c r="B7923">
        <v>158089064.89106971</v>
      </c>
    </row>
    <row r="7924" spans="1:2" x14ac:dyDescent="0.25">
      <c r="A7924">
        <f ca="1">36831.3629519*((RANDBETWEEN(2979,3282)))</f>
        <v>115576816.94306228</v>
      </c>
      <c r="B7924">
        <v>154658435.89575168</v>
      </c>
    </row>
    <row r="7925" spans="1:2" x14ac:dyDescent="0.25">
      <c r="A7925">
        <f ca="1">41679.2161977917*((RANDBETWEEN(2979,3282)))</f>
        <v>129455645.51034088</v>
      </c>
      <c r="B7925">
        <v>179492914.12899339</v>
      </c>
    </row>
    <row r="7926" spans="1:2" x14ac:dyDescent="0.25">
      <c r="A7926">
        <f ca="1">31969.8662230971*((RANDBETWEEN(2979,3282)))</f>
        <v>102719180.17481102</v>
      </c>
      <c r="B7926">
        <v>194075909.39321053</v>
      </c>
    </row>
    <row r="7927" spans="1:2" x14ac:dyDescent="0.25">
      <c r="A7927">
        <f ca="1">35523.7617173092*((RANDBETWEEN(2979,3282)))</f>
        <v>106180523.77303715</v>
      </c>
      <c r="B7927">
        <v>148780341.65576631</v>
      </c>
    </row>
    <row r="7928" spans="1:2" x14ac:dyDescent="0.25">
      <c r="A7928">
        <f ca="1">37384.4876460218*((RANDBETWEEN(2979,3282)))</f>
        <v>115667604.77679154</v>
      </c>
      <c r="B7928">
        <v>191288996.23153722</v>
      </c>
    </row>
    <row r="7929" spans="1:2" x14ac:dyDescent="0.25">
      <c r="A7929">
        <f ca="1">37245.336577761*((RANDBETWEEN(2979,3282)))</f>
        <v>120637645.17536786</v>
      </c>
      <c r="B7929">
        <v>149308060.53239813</v>
      </c>
    </row>
    <row r="7930" spans="1:2" x14ac:dyDescent="0.25">
      <c r="A7930">
        <f ca="1">37078.8525675091*((RANDBETWEEN(2979,3282)))</f>
        <v>113498367.70914544</v>
      </c>
      <c r="B7930">
        <v>166107892.50961348</v>
      </c>
    </row>
    <row r="7931" spans="1:2" x14ac:dyDescent="0.25">
      <c r="A7931">
        <f ca="1">30237.6941452545*((RANDBETWEEN(2979,3282)))</f>
        <v>99088923.713998973</v>
      </c>
      <c r="B7931">
        <v>178375297.70941094</v>
      </c>
    </row>
    <row r="7932" spans="1:2" x14ac:dyDescent="0.25">
      <c r="A7932">
        <f ca="1">36105.0222738684*((RANDBETWEEN(2979,3282)))</f>
        <v>110084212.91302484</v>
      </c>
      <c r="B7932">
        <v>177278254.76812419</v>
      </c>
    </row>
    <row r="7933" spans="1:2" x14ac:dyDescent="0.25">
      <c r="A7933">
        <f ca="1">36928.1081602439*((RANDBETWEEN(2979,3282)))</f>
        <v>110747396.37257159</v>
      </c>
      <c r="B7933">
        <v>165282538.53167987</v>
      </c>
    </row>
    <row r="7934" spans="1:2" x14ac:dyDescent="0.25">
      <c r="A7934">
        <f ca="1">37133.3652016102*((RANDBETWEEN(2979,3282)))</f>
        <v>116673033.46345919</v>
      </c>
      <c r="B7934">
        <v>170221804.40782559</v>
      </c>
    </row>
    <row r="7935" spans="1:2" x14ac:dyDescent="0.25">
      <c r="A7935">
        <f ca="1">30877.3076323483*((RANDBETWEEN(2979,3282)))</f>
        <v>97325273.657161713</v>
      </c>
      <c r="B7935">
        <v>159461481.5741165</v>
      </c>
    </row>
    <row r="7936" spans="1:2" x14ac:dyDescent="0.25">
      <c r="A7936">
        <f ca="1">28124.1042457541*((RANDBETWEEN(2979,3282)))</f>
        <v>86734737.493905514</v>
      </c>
      <c r="B7936">
        <v>156398781.79648638</v>
      </c>
    </row>
    <row r="7937" spans="1:2" x14ac:dyDescent="0.25">
      <c r="A7937">
        <f ca="1">36816.1662064252*((RANDBETWEEN(2979,3282)))</f>
        <v>114461460.73577581</v>
      </c>
      <c r="B7937">
        <v>159420924.58739042</v>
      </c>
    </row>
    <row r="7938" spans="1:2" x14ac:dyDescent="0.25">
      <c r="A7938">
        <f ca="1">31608.5745094662*((RANDBETWEEN(2979,3282)))</f>
        <v>97828538.106798008</v>
      </c>
      <c r="B7938">
        <v>165167255.46163374</v>
      </c>
    </row>
    <row r="7939" spans="1:2" x14ac:dyDescent="0.25">
      <c r="A7939">
        <f ca="1">36131.0120914668*((RANDBETWEEN(2979,3282)))</f>
        <v>110705421.04825421</v>
      </c>
      <c r="B7939">
        <v>159360745.89746711</v>
      </c>
    </row>
    <row r="7940" spans="1:2" x14ac:dyDescent="0.25">
      <c r="A7940">
        <f ca="1">28191.5724416334*((RANDBETWEEN(2979,3282)))</f>
        <v>90692288.544734612</v>
      </c>
      <c r="B7940">
        <v>144716300.51448086</v>
      </c>
    </row>
    <row r="7941" spans="1:2" x14ac:dyDescent="0.25">
      <c r="A7941">
        <f ca="1">28779.5035601832*((RANDBETWEEN(2979,3282)))</f>
        <v>90597877.207456872</v>
      </c>
      <c r="B7941">
        <v>168815734.8189753</v>
      </c>
    </row>
    <row r="7942" spans="1:2" x14ac:dyDescent="0.25">
      <c r="A7942">
        <f ca="1">32079.0989864922*((RANDBETWEEN(2979,3282)))</f>
        <v>103775885.22130223</v>
      </c>
      <c r="B7942">
        <v>157607317.91328776</v>
      </c>
    </row>
    <row r="7943" spans="1:2" x14ac:dyDescent="0.25">
      <c r="A7943">
        <f ca="1">34103.5696812748*((RANDBETWEEN(2979,3282)))</f>
        <v>111109430.0215932</v>
      </c>
      <c r="B7943">
        <v>143503737.1855337</v>
      </c>
    </row>
    <row r="7944" spans="1:2" x14ac:dyDescent="0.25">
      <c r="A7944">
        <f ca="1">37395.8035337946*((RANDBETWEEN(2979,3282)))</f>
        <v>118843863.63039914</v>
      </c>
      <c r="B7944">
        <v>144195563.53409192</v>
      </c>
    </row>
    <row r="7945" spans="1:2" x14ac:dyDescent="0.25">
      <c r="A7945">
        <f ca="1">35927.3272742658*((RANDBETWEEN(2979,3282)))</f>
        <v>113171080.91393732</v>
      </c>
      <c r="B7945">
        <v>147279014.45151341</v>
      </c>
    </row>
    <row r="7946" spans="1:2" x14ac:dyDescent="0.25">
      <c r="A7946">
        <f ca="1">30581.9772871624*((RANDBETWEEN(2979,3282)))</f>
        <v>97250687.773176357</v>
      </c>
      <c r="B7946">
        <v>167907561.1713883</v>
      </c>
    </row>
    <row r="7947" spans="1:2" x14ac:dyDescent="0.25">
      <c r="A7947">
        <f ca="1">31772.9141214604*((RANDBETWEEN(2979,3282)))</f>
        <v>98368942.120041311</v>
      </c>
      <c r="B7947">
        <v>151906373.99156749</v>
      </c>
    </row>
    <row r="7948" spans="1:2" x14ac:dyDescent="0.25">
      <c r="A7948">
        <f ca="1">32107.4702966283*((RANDBETWEEN(2979,3282)))</f>
        <v>98987330.92450501</v>
      </c>
      <c r="B7948">
        <v>159350085.70425242</v>
      </c>
    </row>
    <row r="7949" spans="1:2" x14ac:dyDescent="0.25">
      <c r="A7949">
        <f ca="1">36884.1578023922*((RANDBETWEEN(2979,3282)))</f>
        <v>116885896.07578078</v>
      </c>
      <c r="B7949">
        <v>156110294.78749055</v>
      </c>
    </row>
    <row r="7950" spans="1:2" x14ac:dyDescent="0.25">
      <c r="A7950">
        <f ca="1">31012.7297302755*((RANDBETWEEN(2979,3282)))</f>
        <v>99674913.353105381</v>
      </c>
      <c r="B7950">
        <v>153464499.5890319</v>
      </c>
    </row>
    <row r="7951" spans="1:2" x14ac:dyDescent="0.25">
      <c r="A7951">
        <f ca="1">32050.6473372667*((RANDBETWEEN(2979,3282)))</f>
        <v>103010780.5419752</v>
      </c>
      <c r="B7951">
        <v>182887448.71654516</v>
      </c>
    </row>
    <row r="7952" spans="1:2" x14ac:dyDescent="0.25">
      <c r="A7952">
        <f ca="1">29925.7559458807*((RANDBETWEEN(2979,3282)))</f>
        <v>97049226.532491148</v>
      </c>
      <c r="B7952">
        <v>178679744.39328164</v>
      </c>
    </row>
    <row r="7953" spans="1:2" x14ac:dyDescent="0.25">
      <c r="A7953">
        <f ca="1">30600.0162233185*((RANDBETWEEN(2979,3282)))</f>
        <v>92718049.156655028</v>
      </c>
      <c r="B7953">
        <v>188376127.63514096</v>
      </c>
    </row>
    <row r="7954" spans="1:2" x14ac:dyDescent="0.25">
      <c r="A7954">
        <f ca="1">29518.3782576706*((RANDBETWEEN(2979,3282)))</f>
        <v>93956997.994165421</v>
      </c>
      <c r="B7954">
        <v>162463162.19603789</v>
      </c>
    </row>
    <row r="7955" spans="1:2" x14ac:dyDescent="0.25">
      <c r="A7955">
        <f ca="1">29079.4048018674*((RANDBETWEEN(2979,3282)))</f>
        <v>90436948.933807611</v>
      </c>
      <c r="B7955">
        <v>170812950.05881825</v>
      </c>
    </row>
    <row r="7956" spans="1:2" x14ac:dyDescent="0.25">
      <c r="A7956">
        <f ca="1">37270.7785675524*((RANDBETWEEN(2979,3282)))</f>
        <v>116173016.7950608</v>
      </c>
      <c r="B7956">
        <v>182041088.49839613</v>
      </c>
    </row>
    <row r="7957" spans="1:2" x14ac:dyDescent="0.25">
      <c r="A7957">
        <f ca="1">29914.7336644492*((RANDBETWEEN(2979,3282)))</f>
        <v>96654504.469835505</v>
      </c>
      <c r="B7957">
        <v>165695123.57353768</v>
      </c>
    </row>
    <row r="7958" spans="1:2" x14ac:dyDescent="0.25">
      <c r="A7958">
        <f ca="1">37545.1988877589*((RANDBETWEEN(2979,3282)))</f>
        <v>123185797.55073686</v>
      </c>
      <c r="B7958">
        <v>186728286.60021242</v>
      </c>
    </row>
    <row r="7959" spans="1:2" x14ac:dyDescent="0.25">
      <c r="A7959">
        <f ca="1">33250.7963915613*((RANDBETWEEN(2979,3282)))</f>
        <v>106735056.41691208</v>
      </c>
      <c r="B7959">
        <v>143206244.46662882</v>
      </c>
    </row>
    <row r="7960" spans="1:2" x14ac:dyDescent="0.25">
      <c r="A7960">
        <f ca="1">38693.8391993965*((RANDBETWEEN(2979,3282)))</f>
        <v>118790086.3421472</v>
      </c>
      <c r="B7960">
        <v>169593051.54030764</v>
      </c>
    </row>
    <row r="7961" spans="1:2" x14ac:dyDescent="0.25">
      <c r="A7961">
        <f ca="1">30285.9357370727*((RANDBETWEEN(2979,3282)))</f>
        <v>95249267.893093765</v>
      </c>
      <c r="B7961">
        <v>156244066.38553703</v>
      </c>
    </row>
    <row r="7962" spans="1:2" x14ac:dyDescent="0.25">
      <c r="A7962">
        <f ca="1">29573.0946581815*((RANDBETWEEN(2979,3282)))</f>
        <v>90286657.991428226</v>
      </c>
      <c r="B7962">
        <v>144930581.87827155</v>
      </c>
    </row>
    <row r="7963" spans="1:2" x14ac:dyDescent="0.25">
      <c r="A7963">
        <f ca="1">32505.628370859*((RANDBETWEEN(2979,3282)))</f>
        <v>105740809.0904043</v>
      </c>
      <c r="B7963">
        <v>193661805.20544642</v>
      </c>
    </row>
    <row r="7964" spans="1:2" x14ac:dyDescent="0.25">
      <c r="A7964">
        <f ca="1">37456.5157717491*((RANDBETWEEN(2979,3282)))</f>
        <v>117725829.07060738</v>
      </c>
      <c r="B7964">
        <v>158792608.58283836</v>
      </c>
    </row>
    <row r="7965" spans="1:2" x14ac:dyDescent="0.25">
      <c r="A7965">
        <f ca="1">37825.3303061163*((RANDBETWEEN(2979,3282)))</f>
        <v>114610750.82753249</v>
      </c>
      <c r="B7965">
        <v>196582372.23851538</v>
      </c>
    </row>
    <row r="7966" spans="1:2" x14ac:dyDescent="0.25">
      <c r="A7966">
        <f ca="1">37606.1414510344*((RANDBETWEEN(2979,3282)))</f>
        <v>120753320.19927156</v>
      </c>
      <c r="B7966">
        <v>167273786.71596336</v>
      </c>
    </row>
    <row r="7967" spans="1:2" x14ac:dyDescent="0.25">
      <c r="A7967">
        <f ca="1">32298.2127182809*((RANDBETWEEN(2979,3282)))</f>
        <v>103871052.10199124</v>
      </c>
      <c r="B7967">
        <v>161667017.13093287</v>
      </c>
    </row>
    <row r="7968" spans="1:2" x14ac:dyDescent="0.25">
      <c r="A7968">
        <f ca="1">40480.0418059355*((RANDBETWEEN(2979,3282)))</f>
        <v>132167336.49637952</v>
      </c>
      <c r="B7968">
        <v>166997145.30889714</v>
      </c>
    </row>
    <row r="7969" spans="1:2" x14ac:dyDescent="0.25">
      <c r="A7969">
        <f ca="1">32833.7109134789*((RANDBETWEEN(2979,3282)))</f>
        <v>98665301.295004204</v>
      </c>
      <c r="B7969">
        <v>156122736.82694772</v>
      </c>
    </row>
    <row r="7970" spans="1:2" x14ac:dyDescent="0.25">
      <c r="A7970">
        <f ca="1">36052.9134299679*((RANDBETWEEN(2979,3282)))</f>
        <v>115982222.50420664</v>
      </c>
      <c r="B7970">
        <v>199321917.33779004</v>
      </c>
    </row>
    <row r="7971" spans="1:2" x14ac:dyDescent="0.25">
      <c r="A7971">
        <f ca="1">40030.6670422859*((RANDBETWEEN(2979,3282)))</f>
        <v>120092001.12685771</v>
      </c>
      <c r="B7971">
        <v>175813348.35559475</v>
      </c>
    </row>
    <row r="7972" spans="1:2" x14ac:dyDescent="0.25">
      <c r="A7972">
        <f ca="1">30594.2427406183*((RANDBETWEEN(2979,3282)))</f>
        <v>97350880.400647551</v>
      </c>
      <c r="B7972">
        <v>150128610.62164408</v>
      </c>
    </row>
    <row r="7973" spans="1:2" x14ac:dyDescent="0.25">
      <c r="A7973">
        <f ca="1">36746.9295961502*((RANDBETWEEN(2979,3282)))</f>
        <v>114834154.98796949</v>
      </c>
      <c r="B7973">
        <v>163774206.7789076</v>
      </c>
    </row>
    <row r="7974" spans="1:2" x14ac:dyDescent="0.25">
      <c r="A7974">
        <f ca="1">39170.687860486*((RANDBETWEEN(2979,3282)))</f>
        <v>120645718.61029682</v>
      </c>
      <c r="B7974">
        <v>157710177.36540768</v>
      </c>
    </row>
    <row r="7975" spans="1:2" x14ac:dyDescent="0.25">
      <c r="A7975">
        <f ca="1">39767.2428069723*((RANDBETWEEN(2979,3282)))</f>
        <v>121250323.31845865</v>
      </c>
      <c r="B7975">
        <v>161944344.41440272</v>
      </c>
    </row>
    <row r="7976" spans="1:2" x14ac:dyDescent="0.25">
      <c r="A7976">
        <f ca="1">28804.1161206151*((RANDBETWEEN(2979,3282)))</f>
        <v>91913934.540882662</v>
      </c>
      <c r="B7976">
        <v>143210762.53673968</v>
      </c>
    </row>
    <row r="7977" spans="1:2" x14ac:dyDescent="0.25">
      <c r="A7977">
        <f ca="1">30822.4295819135*((RANDBETWEEN(2979,3282)))</f>
        <v>93792653.217762798</v>
      </c>
      <c r="B7977">
        <v>175791057.79536954</v>
      </c>
    </row>
    <row r="7978" spans="1:2" x14ac:dyDescent="0.25">
      <c r="A7978">
        <f ca="1">34683.1361662614*((RANDBETWEEN(2979,3282)))</f>
        <v>110257689.87254499</v>
      </c>
      <c r="B7978">
        <v>182887313.99951857</v>
      </c>
    </row>
    <row r="7979" spans="1:2" x14ac:dyDescent="0.25">
      <c r="A7979">
        <f ca="1">30175.1831576613*((RANDBETWEEN(2979,3282)))</f>
        <v>98974600.757129148</v>
      </c>
      <c r="B7979">
        <v>198279747.43241554</v>
      </c>
    </row>
    <row r="7980" spans="1:2" x14ac:dyDescent="0.25">
      <c r="A7980">
        <f ca="1">38314.5987416016*((RANDBETWEEN(2979,3282)))</f>
        <v>123296378.75047381</v>
      </c>
      <c r="B7980">
        <v>195681266.56703612</v>
      </c>
    </row>
    <row r="7981" spans="1:2" x14ac:dyDescent="0.25">
      <c r="A7981">
        <f ca="1">31200.5397048077*((RANDBETWEEN(2979,3282)))</f>
        <v>96596870.926084682</v>
      </c>
      <c r="B7981">
        <v>194416859.16181162</v>
      </c>
    </row>
    <row r="7982" spans="1:2" x14ac:dyDescent="0.25">
      <c r="A7982">
        <f ca="1">34348.1851989623*((RANDBETWEEN(2979,3282)))</f>
        <v>110978986.37784714</v>
      </c>
      <c r="B7982">
        <v>146706765.92927849</v>
      </c>
    </row>
    <row r="7983" spans="1:2" x14ac:dyDescent="0.25">
      <c r="A7983">
        <f ca="1">34343.996150891*((RANDBETWEEN(2979,3282)))</f>
        <v>111205859.53658493</v>
      </c>
      <c r="B7983">
        <v>174816281.37415838</v>
      </c>
    </row>
    <row r="7984" spans="1:2" x14ac:dyDescent="0.25">
      <c r="A7984">
        <f ca="1">31590.5403300337*((RANDBETWEEN(2979,3282)))</f>
        <v>103269476.33888006</v>
      </c>
      <c r="B7984">
        <v>173645651.50397763</v>
      </c>
    </row>
    <row r="7985" spans="1:2" x14ac:dyDescent="0.25">
      <c r="A7985">
        <f ca="1">41942.8423451846*((RANDBETWEEN(2979,3282)))</f>
        <v>135139838.03618485</v>
      </c>
      <c r="B7985">
        <v>166791731.45265231</v>
      </c>
    </row>
    <row r="7986" spans="1:2" x14ac:dyDescent="0.25">
      <c r="A7986">
        <f ca="1">33248.1010443768*((RANDBETWEEN(2979,3282)))</f>
        <v>101872181.59997043</v>
      </c>
      <c r="B7986">
        <v>154346215.51300779</v>
      </c>
    </row>
    <row r="7987" spans="1:2" x14ac:dyDescent="0.25">
      <c r="A7987">
        <f ca="1">32917.7821142335*((RANDBETWEEN(2979,3282)))</f>
        <v>104612711.55903415</v>
      </c>
      <c r="B7987">
        <v>152228361.15648979</v>
      </c>
    </row>
    <row r="7988" spans="1:2" x14ac:dyDescent="0.25">
      <c r="A7988">
        <f ca="1">30449.1540937841*((RANDBETWEEN(2979,3282)))</f>
        <v>91438809.743633673</v>
      </c>
      <c r="B7988">
        <v>167750022.69565895</v>
      </c>
    </row>
    <row r="7989" spans="1:2" x14ac:dyDescent="0.25">
      <c r="A7989">
        <f ca="1">29974.3646735854*((RANDBETWEEN(2979,3282)))</f>
        <v>93490043.416912898</v>
      </c>
      <c r="B7989">
        <v>142928036.57647002</v>
      </c>
    </row>
    <row r="7990" spans="1:2" x14ac:dyDescent="0.25">
      <c r="A7990">
        <f ca="1">33515.8437516711*((RANDBETWEEN(2979,3282)))</f>
        <v>101854649.16132849</v>
      </c>
      <c r="B7990">
        <v>185686742.63667777</v>
      </c>
    </row>
    <row r="7991" spans="1:2" x14ac:dyDescent="0.25">
      <c r="A7991">
        <f ca="1">31035.3506576342*((RANDBETWEEN(2979,3282)))</f>
        <v>95495773.973540395</v>
      </c>
      <c r="B7991">
        <v>143812174.75387451</v>
      </c>
    </row>
    <row r="7992" spans="1:2" x14ac:dyDescent="0.25">
      <c r="A7992">
        <f ca="1">40849.4231233809*((RANDBETWEEN(2979,3282)))</f>
        <v>126469813.98998737</v>
      </c>
      <c r="B7992">
        <v>198527781.15735775</v>
      </c>
    </row>
    <row r="7993" spans="1:2" x14ac:dyDescent="0.25">
      <c r="A7993">
        <f ca="1">39338.429227251*((RANDBETWEEN(2979,3282)))</f>
        <v>120729639.29843336</v>
      </c>
      <c r="B7993">
        <v>185454213.23154625</v>
      </c>
    </row>
    <row r="7994" spans="1:2" x14ac:dyDescent="0.25">
      <c r="A7994">
        <f ca="1">38947.7834272579*((RANDBETWEEN(2979,3282)))</f>
        <v>121711823.21018098</v>
      </c>
      <c r="B7994">
        <v>198359447.85101026</v>
      </c>
    </row>
    <row r="7995" spans="1:2" x14ac:dyDescent="0.25">
      <c r="A7995">
        <f ca="1">32557.9695620429*((RANDBETWEEN(2979,3282)))</f>
        <v>104478524.32459573</v>
      </c>
      <c r="B7995">
        <v>148837178.95816442</v>
      </c>
    </row>
    <row r="7996" spans="1:2" x14ac:dyDescent="0.25">
      <c r="A7996">
        <f ca="1">31712.5247784844*((RANDBETWEEN(2979,3282)))</f>
        <v>99577327.804441109</v>
      </c>
      <c r="B7996">
        <v>188583008.0451645</v>
      </c>
    </row>
    <row r="7997" spans="1:2" x14ac:dyDescent="0.25">
      <c r="A7997">
        <f ca="1">31643.027075939*((RANDBETWEEN(2979,3282)))</f>
        <v>100466610.96610641</v>
      </c>
      <c r="B7997">
        <v>159620613.90354678</v>
      </c>
    </row>
    <row r="7998" spans="1:2" x14ac:dyDescent="0.25">
      <c r="A7998">
        <f ca="1">37499.4240933498*((RANDBETWEEN(2979,3282)))</f>
        <v>114710738.30155703</v>
      </c>
      <c r="B7998">
        <v>190295437.14488819</v>
      </c>
    </row>
    <row r="7999" spans="1:2" x14ac:dyDescent="0.25">
      <c r="A7999">
        <f ca="1">33490.2533650927*((RANDBETWEEN(2979,3282)))</f>
        <v>100571230.85537326</v>
      </c>
      <c r="B7999">
        <v>151570958.74258989</v>
      </c>
    </row>
    <row r="8000" spans="1:2" x14ac:dyDescent="0.25">
      <c r="A8000">
        <f ca="1">32196.7152701289*((RANDBETWEEN(2979,3282)))</f>
        <v>99004899.455646336</v>
      </c>
      <c r="B8000">
        <v>194921165.42911437</v>
      </c>
    </row>
    <row r="8001" spans="1:2" x14ac:dyDescent="0.25">
      <c r="A8001">
        <f ca="1">31393.3038691642*((RANDBETWEEN(2979,3282)))</f>
        <v>94336878.126838312</v>
      </c>
      <c r="B8001">
        <v>195995407.86417013</v>
      </c>
    </row>
    <row r="8002" spans="1:2" x14ac:dyDescent="0.25">
      <c r="A8002">
        <f ca="1">34989.7429076573*((RANDBETWEEN(2979,3282)))</f>
        <v>114136541.364778</v>
      </c>
      <c r="B8002">
        <v>192191924.63800618</v>
      </c>
    </row>
    <row r="8003" spans="1:2" x14ac:dyDescent="0.25">
      <c r="A8003">
        <f ca="1">31875.7914967732*((RANDBETWEEN(2979,3282)))</f>
        <v>103436943.4070289</v>
      </c>
      <c r="B8003">
        <v>192237405.56150115</v>
      </c>
    </row>
    <row r="8004" spans="1:2" x14ac:dyDescent="0.25">
      <c r="A8004">
        <f ca="1">32570.8618455222*((RANDBETWEEN(2979,3282)))</f>
        <v>105953013.58348376</v>
      </c>
      <c r="B8004">
        <v>148657273.11722344</v>
      </c>
    </row>
    <row r="8005" spans="1:2" x14ac:dyDescent="0.25">
      <c r="A8005">
        <f ca="1">40459.4244256008*((RANDBETWEEN(2979,3282)))</f>
        <v>124938702.62625535</v>
      </c>
      <c r="B8005">
        <v>202691652.14823678</v>
      </c>
    </row>
    <row r="8006" spans="1:2" x14ac:dyDescent="0.25">
      <c r="A8006">
        <f ca="1">33428.6629871093*((RANDBETWEEN(2979,3282)))</f>
        <v>106737720.91784012</v>
      </c>
      <c r="B8006">
        <v>145172653.8129707</v>
      </c>
    </row>
    <row r="8007" spans="1:2" x14ac:dyDescent="0.25">
      <c r="A8007">
        <f ca="1">34116.1464695222*((RANDBETWEEN(2979,3282)))</f>
        <v>105725937.90904939</v>
      </c>
      <c r="B8007">
        <v>167002574.83459017</v>
      </c>
    </row>
    <row r="8008" spans="1:2" x14ac:dyDescent="0.25">
      <c r="A8008">
        <f ca="1">37814.3160952676*((RANDBETWEEN(2979,3282)))</f>
        <v>115749621.5676142</v>
      </c>
      <c r="B8008">
        <v>178524514.93852279</v>
      </c>
    </row>
    <row r="8009" spans="1:2" x14ac:dyDescent="0.25">
      <c r="A8009">
        <f ca="1">35191.2213328516*((RANDBETWEEN(2979,3282)))</f>
        <v>115110484.97975761</v>
      </c>
      <c r="B8009">
        <v>146719501.53611889</v>
      </c>
    </row>
    <row r="8010" spans="1:2" x14ac:dyDescent="0.25">
      <c r="A8010">
        <f ca="1">32645.0137317921*((RANDBETWEEN(2979,3282)))</f>
        <v>103680563.61217168</v>
      </c>
      <c r="B8010">
        <v>144844665.0848127</v>
      </c>
    </row>
    <row r="8011" spans="1:2" x14ac:dyDescent="0.25">
      <c r="A8011">
        <f ca="1">32589.9733516946*((RANDBETWEEN(2979,3282)))</f>
        <v>101974026.61745253</v>
      </c>
      <c r="B8011">
        <v>177263635.43090519</v>
      </c>
    </row>
    <row r="8012" spans="1:2" x14ac:dyDescent="0.25">
      <c r="A8012">
        <f ca="1">30553.1150896188*((RANDBETWEEN(2979,3282)))</f>
        <v>96639503.028464377</v>
      </c>
      <c r="B8012">
        <v>166260659.13552481</v>
      </c>
    </row>
    <row r="8013" spans="1:2" x14ac:dyDescent="0.25">
      <c r="A8013">
        <f ca="1">31910.4612172253*((RANDBETWEEN(2979,3282)))</f>
        <v>99879743.609915301</v>
      </c>
      <c r="B8013">
        <v>154109822.77872539</v>
      </c>
    </row>
    <row r="8014" spans="1:2" x14ac:dyDescent="0.25">
      <c r="A8014">
        <f ca="1">32524.0234791387*((RANDBETWEEN(2979,3282)))</f>
        <v>104206971.22716035</v>
      </c>
      <c r="B8014">
        <v>196406254.59533158</v>
      </c>
    </row>
    <row r="8015" spans="1:2" x14ac:dyDescent="0.25">
      <c r="A8015">
        <f ca="1">29759.1501170628*((RANDBETWEEN(2979,3282)))</f>
        <v>97520734.933614954</v>
      </c>
      <c r="B8015">
        <v>151205465.10170364</v>
      </c>
    </row>
    <row r="8016" spans="1:2" x14ac:dyDescent="0.25">
      <c r="A8016">
        <f ca="1">35796.8155660541*((RANDBETWEEN(2979,3282)))</f>
        <v>116590228.29863818</v>
      </c>
      <c r="B8016">
        <v>166945716.38976535</v>
      </c>
    </row>
    <row r="8017" spans="1:2" x14ac:dyDescent="0.25">
      <c r="A8017">
        <f ca="1">32577.4817974564*((RANDBETWEEN(2979,3282)))</f>
        <v>103922166.9338858</v>
      </c>
      <c r="B8017">
        <v>161677957.24028754</v>
      </c>
    </row>
    <row r="8018" spans="1:2" x14ac:dyDescent="0.25">
      <c r="A8018">
        <f ca="1">32003.671848315*((RANDBETWEEN(2979,3282)))</f>
        <v>104812025.30323166</v>
      </c>
      <c r="B8018">
        <v>143854974.05819374</v>
      </c>
    </row>
    <row r="8019" spans="1:2" x14ac:dyDescent="0.25">
      <c r="A8019">
        <f ca="1">39183.5495117378*((RANDBETWEEN(2979,3282)))</f>
        <v>118922072.7681243</v>
      </c>
      <c r="B8019">
        <v>192805252.00258648</v>
      </c>
    </row>
    <row r="8020" spans="1:2" x14ac:dyDescent="0.25">
      <c r="A8020">
        <f ca="1">32674.8723116719*((RANDBETWEEN(2979,3282)))</f>
        <v>102403049.82477987</v>
      </c>
      <c r="B8020">
        <v>166152616.43028498</v>
      </c>
    </row>
    <row r="8021" spans="1:2" x14ac:dyDescent="0.25">
      <c r="A8021">
        <f ca="1">43764.3047687021*((RANDBETWEEN(2979,3282)))</f>
        <v>136238280.74496955</v>
      </c>
      <c r="B8021">
        <v>185396131.0979352</v>
      </c>
    </row>
    <row r="8022" spans="1:2" x14ac:dyDescent="0.25">
      <c r="A8022">
        <f ca="1">37957.3508378463*((RANDBETWEEN(2979,3282)))</f>
        <v>114327540.72359309</v>
      </c>
      <c r="B8022">
        <v>150780645.24752429</v>
      </c>
    </row>
    <row r="8023" spans="1:2" x14ac:dyDescent="0.25">
      <c r="A8023">
        <f ca="1">37064.3450965089*((RANDBETWEEN(2979,3282)))</f>
        <v>114269375.93253717</v>
      </c>
      <c r="B8023">
        <v>154428550.02902338</v>
      </c>
    </row>
    <row r="8024" spans="1:2" x14ac:dyDescent="0.25">
      <c r="A8024">
        <f ca="1">27922.0005758725*((RANDBETWEEN(2979,3282)))</f>
        <v>84659505.746045545</v>
      </c>
      <c r="B8024">
        <v>163518311.22890291</v>
      </c>
    </row>
    <row r="8025" spans="1:2" x14ac:dyDescent="0.25">
      <c r="A8025">
        <f ca="1">37089.9254446303*((RANDBETWEEN(2979,3282)))</f>
        <v>118576491.6464832</v>
      </c>
      <c r="B8025">
        <v>178791161.32460099</v>
      </c>
    </row>
    <row r="8026" spans="1:2" x14ac:dyDescent="0.25">
      <c r="A8026">
        <f ca="1">31214.8062709088*((RANDBETWEEN(2979,3282)))</f>
        <v>94924225.869833723</v>
      </c>
      <c r="B8026">
        <v>145277389.61195689</v>
      </c>
    </row>
    <row r="8027" spans="1:2" x14ac:dyDescent="0.25">
      <c r="A8027">
        <f ca="1">29830.1363048072*((RANDBETWEEN(2979,3282)))</f>
        <v>95456436.175382927</v>
      </c>
      <c r="B8027">
        <v>152406989.61967364</v>
      </c>
    </row>
    <row r="8028" spans="1:2" x14ac:dyDescent="0.25">
      <c r="A8028">
        <f ca="1">30459.617367066*((RANDBETWEEN(2979,3282)))</f>
        <v>93023671.439019665</v>
      </c>
      <c r="B8028">
        <v>162735042.45492473</v>
      </c>
    </row>
    <row r="8029" spans="1:2" x14ac:dyDescent="0.25">
      <c r="A8029">
        <f ca="1">41315.2768413735*((RANDBETWEEN(2979,3282)))</f>
        <v>128531826.25351296</v>
      </c>
      <c r="B8029">
        <v>169021628.48635596</v>
      </c>
    </row>
    <row r="8030" spans="1:2" x14ac:dyDescent="0.25">
      <c r="A8030">
        <f ca="1">36719.8414565283*((RANDBETWEEN(2979,3282)))</f>
        <v>117319893.45360786</v>
      </c>
      <c r="B8030">
        <v>167771230.96718836</v>
      </c>
    </row>
    <row r="8031" spans="1:2" x14ac:dyDescent="0.25">
      <c r="A8031">
        <f ca="1">32895.8839509541*((RANDBETWEEN(2979,3282)))</f>
        <v>99904799.559047624</v>
      </c>
      <c r="B8031">
        <v>164619881.61822215</v>
      </c>
    </row>
    <row r="8032" spans="1:2" x14ac:dyDescent="0.25">
      <c r="A8032">
        <f ca="1">35783.0929832141*((RANDBETWEEN(2979,3282)))</f>
        <v>108029157.71632338</v>
      </c>
      <c r="B8032">
        <v>150195056.50771332</v>
      </c>
    </row>
    <row r="8033" spans="1:2" x14ac:dyDescent="0.25">
      <c r="A8033">
        <f ca="1">37951.0063401989*((RANDBETWEEN(2979,3282)))</f>
        <v>124365447.77683176</v>
      </c>
      <c r="B8033">
        <v>157127520.26669201</v>
      </c>
    </row>
    <row r="8034" spans="1:2" x14ac:dyDescent="0.25">
      <c r="A8034">
        <f ca="1">30138.5384464972*((RANDBETWEEN(2979,3282)))</f>
        <v>89963537.262794271</v>
      </c>
      <c r="B8034">
        <v>171428171.80241561</v>
      </c>
    </row>
    <row r="8035" spans="1:2" x14ac:dyDescent="0.25">
      <c r="A8035">
        <f ca="1">34021.3638934053*((RANDBETWEEN(2979,3282)))</f>
        <v>110501389.92578052</v>
      </c>
      <c r="B8035">
        <v>195911249.88129079</v>
      </c>
    </row>
    <row r="8036" spans="1:2" x14ac:dyDescent="0.25">
      <c r="A8036">
        <f ca="1">39169.6637814936*((RANDBETWEEN(2979,3282)))</f>
        <v>125577942.08346854</v>
      </c>
      <c r="B8036">
        <v>151997539.22283223</v>
      </c>
    </row>
    <row r="8037" spans="1:2" x14ac:dyDescent="0.25">
      <c r="A8037">
        <f ca="1">37193.7816247584*((RANDBETWEEN(2979,3282)))</f>
        <v>117086024.55473959</v>
      </c>
      <c r="B8037">
        <v>154755803.9275772</v>
      </c>
    </row>
    <row r="8038" spans="1:2" x14ac:dyDescent="0.25">
      <c r="A8038">
        <f ca="1">32289.3876830818*((RANDBETWEEN(2979,3282)))</f>
        <v>99677339.777673602</v>
      </c>
      <c r="B8038">
        <v>193720049.69364914</v>
      </c>
    </row>
    <row r="8039" spans="1:2" x14ac:dyDescent="0.25">
      <c r="A8039">
        <f ca="1">29841.7314241316*((RANDBETWEEN(2979,3282)))</f>
        <v>95493540.557221279</v>
      </c>
      <c r="B8039">
        <v>147348834.55064809</v>
      </c>
    </row>
    <row r="8040" spans="1:2" x14ac:dyDescent="0.25">
      <c r="A8040">
        <f ca="1">33637.4345643101*((RANDBETWEEN(2979,3282)))</f>
        <v>107168866.52189206</v>
      </c>
      <c r="B8040">
        <v>163012513.98785976</v>
      </c>
    </row>
    <row r="8041" spans="1:2" x14ac:dyDescent="0.25">
      <c r="A8041">
        <f ca="1">33171.3420681724*((RANDBETWEEN(2979,3282)))</f>
        <v>104655584.22508395</v>
      </c>
      <c r="B8041">
        <v>162605964.28563964</v>
      </c>
    </row>
    <row r="8042" spans="1:2" x14ac:dyDescent="0.25">
      <c r="A8042">
        <f ca="1">31847.0319364271*((RANDBETWEEN(2979,3282)))</f>
        <v>101496490.78139332</v>
      </c>
      <c r="B8042">
        <v>152778947.89631188</v>
      </c>
    </row>
    <row r="8043" spans="1:2" x14ac:dyDescent="0.25">
      <c r="A8043">
        <f ca="1">31812.8360277035*((RANDBETWEEN(2979,3282)))</f>
        <v>101133005.73206957</v>
      </c>
      <c r="B8043">
        <v>142986703.01684779</v>
      </c>
    </row>
    <row r="8044" spans="1:2" x14ac:dyDescent="0.25">
      <c r="A8044">
        <f ca="1">30438.9174201574*((RANDBETWEEN(2979,3282)))</f>
        <v>91286313.343051985</v>
      </c>
      <c r="B8044">
        <v>165682368.52175415</v>
      </c>
    </row>
    <row r="8045" spans="1:2" x14ac:dyDescent="0.25">
      <c r="A8045">
        <f ca="1">32192.5909255659*((RANDBETWEEN(2979,3282)))</f>
        <v>100118957.77850993</v>
      </c>
      <c r="B8045">
        <v>159099208.66303331</v>
      </c>
    </row>
    <row r="8046" spans="1:2" x14ac:dyDescent="0.25">
      <c r="A8046">
        <f ca="1">30764.5942450986*((RANDBETWEEN(2979,3282)))</f>
        <v>98015997.264884084</v>
      </c>
      <c r="B8046">
        <v>176059489.72241622</v>
      </c>
    </row>
    <row r="8047" spans="1:2" x14ac:dyDescent="0.25">
      <c r="A8047">
        <f ca="1">31000.8276030338*((RANDBETWEEN(2979,3282)))</f>
        <v>93591498.53355892</v>
      </c>
      <c r="B8047">
        <v>165719161.77131361</v>
      </c>
    </row>
    <row r="8048" spans="1:2" x14ac:dyDescent="0.25">
      <c r="A8048">
        <f ca="1">33118.4223038357*((RANDBETWEEN(2979,3282)))</f>
        <v>104223674.99017105</v>
      </c>
      <c r="B8048">
        <v>151970310.95116004</v>
      </c>
    </row>
    <row r="8049" spans="1:2" x14ac:dyDescent="0.25">
      <c r="A8049">
        <f ca="1">32990.6543025084*((RANDBETWEEN(2979,3282)))</f>
        <v>107252617.13745494</v>
      </c>
      <c r="B8049">
        <v>164693454.91271552</v>
      </c>
    </row>
    <row r="8050" spans="1:2" x14ac:dyDescent="0.25">
      <c r="A8050">
        <f ca="1">32145.1368399162*((RANDBETWEEN(2979,3282)))</f>
        <v>100389262.35105836</v>
      </c>
      <c r="B8050">
        <v>161119931.32661635</v>
      </c>
    </row>
    <row r="8051" spans="1:2" x14ac:dyDescent="0.25">
      <c r="A8051">
        <f ca="1">35499.2146776629*((RANDBETWEEN(2979,3282)))</f>
        <v>112390513.66948079</v>
      </c>
      <c r="B8051">
        <v>148231129.50187635</v>
      </c>
    </row>
    <row r="8052" spans="1:2" x14ac:dyDescent="0.25">
      <c r="A8052">
        <f ca="1">33699.4689368919*((RANDBETWEEN(2979,3282)))</f>
        <v>102143090.3477193</v>
      </c>
      <c r="B8052">
        <v>155049535.00813043</v>
      </c>
    </row>
    <row r="8053" spans="1:2" x14ac:dyDescent="0.25">
      <c r="A8053">
        <f ca="1">34796.9104352808*((RANDBETWEEN(2979,3282)))</f>
        <v>112707192.89987464</v>
      </c>
      <c r="B8053">
        <v>166650101.34323543</v>
      </c>
    </row>
    <row r="8054" spans="1:2" x14ac:dyDescent="0.25">
      <c r="A8054">
        <f ca="1">29132.6332056522*((RANDBETWEEN(2979,3282)))</f>
        <v>90573356.636372596</v>
      </c>
      <c r="B8054">
        <v>155318134.06246123</v>
      </c>
    </row>
    <row r="8055" spans="1:2" x14ac:dyDescent="0.25">
      <c r="A8055">
        <f ca="1">34581.4541397068*((RANDBETWEEN(2979,3282)))</f>
        <v>111663515.41711317</v>
      </c>
      <c r="B8055">
        <v>143984467.24794722</v>
      </c>
    </row>
    <row r="8056" spans="1:2" x14ac:dyDescent="0.25">
      <c r="A8056">
        <f ca="1">36379.2684676171*((RANDBETWEEN(2979,3282)))</f>
        <v>118560035.93596429</v>
      </c>
      <c r="B8056">
        <v>202253485.40601024</v>
      </c>
    </row>
    <row r="8057" spans="1:2" x14ac:dyDescent="0.25">
      <c r="A8057">
        <f ca="1">31132.0216735011*((RANDBETWEEN(2979,3282)))</f>
        <v>93458329.063850418</v>
      </c>
      <c r="B8057">
        <v>149929022.35766342</v>
      </c>
    </row>
    <row r="8058" spans="1:2" x14ac:dyDescent="0.25">
      <c r="A8058">
        <f ca="1">32626.8815033966*((RANDBETWEEN(2979,3282)))</f>
        <v>102089512.22412795</v>
      </c>
      <c r="B8058">
        <v>165231488.55319408</v>
      </c>
    </row>
    <row r="8059" spans="1:2" x14ac:dyDescent="0.25">
      <c r="A8059">
        <f ca="1">33296.7895391622*((RANDBETWEEN(2979,3282)))</f>
        <v>104585215.94250838</v>
      </c>
      <c r="B8059">
        <v>158439885.21328235</v>
      </c>
    </row>
    <row r="8060" spans="1:2" x14ac:dyDescent="0.25">
      <c r="A8060">
        <f ca="1">32572.6203530263*((RANDBETWEEN(2979,3282)))</f>
        <v>100844832.61296946</v>
      </c>
      <c r="B8060">
        <v>189935448.38320458</v>
      </c>
    </row>
    <row r="8061" spans="1:2" x14ac:dyDescent="0.25">
      <c r="A8061">
        <f ca="1">32905.5286930728*((RANDBETWEEN(2979,3282)))</f>
        <v>105330597.34652613</v>
      </c>
      <c r="B8061">
        <v>154225183.17552662</v>
      </c>
    </row>
    <row r="8062" spans="1:2" x14ac:dyDescent="0.25">
      <c r="A8062">
        <f ca="1">29066.9204419185*((RANDBETWEEN(2979,3282)))</f>
        <v>88683174.268293455</v>
      </c>
      <c r="B8062">
        <v>143677945.85405856</v>
      </c>
    </row>
    <row r="8063" spans="1:2" x14ac:dyDescent="0.25">
      <c r="A8063">
        <f ca="1">33024.6631419846*((RANDBETWEEN(2979,3282)))</f>
        <v>100130778.64649743</v>
      </c>
      <c r="B8063">
        <v>175041986.20772991</v>
      </c>
    </row>
    <row r="8064" spans="1:2" x14ac:dyDescent="0.25">
      <c r="A8064">
        <f ca="1">39883.2183816798*((RANDBETWEEN(2979,3282)))</f>
        <v>129859759.05074938</v>
      </c>
      <c r="B8064">
        <v>194350619.3172574</v>
      </c>
    </row>
    <row r="8065" spans="1:2" x14ac:dyDescent="0.25">
      <c r="A8065">
        <f ca="1">30356.6982660499*((RANDBETWEEN(2979,3282)))</f>
        <v>93984337.831690639</v>
      </c>
      <c r="B8065">
        <v>162050057.022055</v>
      </c>
    </row>
    <row r="8066" spans="1:2" x14ac:dyDescent="0.25">
      <c r="A8066">
        <f ca="1">32881.5973799639*((RANDBETWEEN(2979,3282)))</f>
        <v>103938729.31806573</v>
      </c>
      <c r="B8066">
        <v>143644255.28962326</v>
      </c>
    </row>
    <row r="8067" spans="1:2" x14ac:dyDescent="0.25">
      <c r="A8067">
        <f ca="1">40151.0621862053*((RANDBETWEEN(2979,3282)))</f>
        <v>128081888.37399481</v>
      </c>
      <c r="B8067">
        <v>200082278.69308358</v>
      </c>
    </row>
    <row r="8068" spans="1:2" x14ac:dyDescent="0.25">
      <c r="A8068">
        <f ca="1">38095.1429988777*((RANDBETWEEN(2979,3282)))</f>
        <v>122399694.4553941</v>
      </c>
      <c r="B8068">
        <v>168055549.41544098</v>
      </c>
    </row>
    <row r="8069" spans="1:2" x14ac:dyDescent="0.25">
      <c r="A8069">
        <f ca="1">30377.7725246636*((RANDBETWEEN(2979,3282)))</f>
        <v>90708028.758645579</v>
      </c>
      <c r="B8069">
        <v>196172631.56717387</v>
      </c>
    </row>
    <row r="8070" spans="1:2" x14ac:dyDescent="0.25">
      <c r="A8070">
        <f ca="1">39388.5466322674*((RANDBETWEEN(2979,3282)))</f>
        <v>122065106.01339673</v>
      </c>
      <c r="B8070">
        <v>146183328.7207095</v>
      </c>
    </row>
    <row r="8071" spans="1:2" x14ac:dyDescent="0.25">
      <c r="A8071">
        <f ca="1">31374.9247876951*((RANDBETWEEN(2979,3282)))</f>
        <v>102376379.58224905</v>
      </c>
      <c r="B8071">
        <v>150668329.05001965</v>
      </c>
    </row>
    <row r="8072" spans="1:2" x14ac:dyDescent="0.25">
      <c r="A8072">
        <f ca="1">36943.7232053219*((RANDBETWEEN(2979,3282)))</f>
        <v>115079697.78457785</v>
      </c>
      <c r="B8072">
        <v>201661493.81319514</v>
      </c>
    </row>
    <row r="8073" spans="1:2" x14ac:dyDescent="0.25">
      <c r="A8073">
        <f ca="1">31386.7345992295*((RANDBETWEEN(2979,3282)))</f>
        <v>96451435.423432186</v>
      </c>
      <c r="B8073">
        <v>151897713.76447314</v>
      </c>
    </row>
    <row r="8074" spans="1:2" x14ac:dyDescent="0.25">
      <c r="A8074">
        <f ca="1">31939.7903052584*((RANDBETWEEN(2979,3282)))</f>
        <v>98438433.720806375</v>
      </c>
      <c r="B8074">
        <v>198736759.43096957</v>
      </c>
    </row>
    <row r="8075" spans="1:2" x14ac:dyDescent="0.25">
      <c r="A8075">
        <f ca="1">32993.2176827795*((RANDBETWEEN(2979,3282)))</f>
        <v>106271154.15623291</v>
      </c>
      <c r="B8075">
        <v>144931717.00458598</v>
      </c>
    </row>
    <row r="8076" spans="1:2" x14ac:dyDescent="0.25">
      <c r="A8076">
        <f ca="1">32204.5478598668*((RANDBETWEEN(2979,3282)))</f>
        <v>104922416.92744587</v>
      </c>
      <c r="B8076">
        <v>158211001.0867978</v>
      </c>
    </row>
    <row r="8077" spans="1:2" x14ac:dyDescent="0.25">
      <c r="A8077">
        <f ca="1">40000.5217715791*((RANDBETWEEN(2979,3282)))</f>
        <v>125441636.27567217</v>
      </c>
      <c r="B8077">
        <v>170022927.64011705</v>
      </c>
    </row>
    <row r="8078" spans="1:2" x14ac:dyDescent="0.25">
      <c r="A8078">
        <f ca="1">32256.8661560709*((RANDBETWEEN(2979,3282)))</f>
        <v>99802743.886883542</v>
      </c>
      <c r="B8078">
        <v>159857842.14698556</v>
      </c>
    </row>
    <row r="8079" spans="1:2" x14ac:dyDescent="0.25">
      <c r="A8079">
        <f ca="1">39299.1538412114*((RANDBETWEEN(2979,3282)))</f>
        <v>127054164.3686364</v>
      </c>
      <c r="B8079">
        <v>194032906.69527847</v>
      </c>
    </row>
    <row r="8080" spans="1:2" x14ac:dyDescent="0.25">
      <c r="A8080">
        <f ca="1">29680.3115902369*((RANDBETWEEN(2979,3282)))</f>
        <v>94531792.414904594</v>
      </c>
      <c r="B8080">
        <v>161161332.93546611</v>
      </c>
    </row>
    <row r="8081" spans="1:2" x14ac:dyDescent="0.25">
      <c r="A8081">
        <f ca="1">38851.2106220609*((RANDBETWEEN(2979,3282)))</f>
        <v>120982669.87709777</v>
      </c>
      <c r="B8081">
        <v>172828311.47455895</v>
      </c>
    </row>
    <row r="8082" spans="1:2" x14ac:dyDescent="0.25">
      <c r="A8082">
        <f ca="1">30484.245566227*((RANDBETWEEN(2979,3282)))</f>
        <v>93739055.116148025</v>
      </c>
      <c r="B8082">
        <v>173011717.97307727</v>
      </c>
    </row>
    <row r="8083" spans="1:2" x14ac:dyDescent="0.25">
      <c r="A8083">
        <f ca="1">39233.4366649873*((RANDBETWEEN(2979,3282)))</f>
        <v>128724905.69782351</v>
      </c>
      <c r="B8083">
        <v>148536948.27006409</v>
      </c>
    </row>
    <row r="8084" spans="1:2" x14ac:dyDescent="0.25">
      <c r="A8084">
        <f ca="1">30615.632737359*((RANDBETWEEN(2979,3282)))</f>
        <v>100266197.21485057</v>
      </c>
      <c r="B8084">
        <v>151861769.45548961</v>
      </c>
    </row>
    <row r="8085" spans="1:2" x14ac:dyDescent="0.25">
      <c r="A8085">
        <f ca="1">38633.4317696947*((RANDBETWEEN(2979,3282)))</f>
        <v>123588348.23125336</v>
      </c>
      <c r="B8085">
        <v>167155366.53370821</v>
      </c>
    </row>
    <row r="8086" spans="1:2" x14ac:dyDescent="0.25">
      <c r="A8086">
        <f ca="1">33316.478572133*((RANDBETWEEN(2979,3282)))</f>
        <v>100682398.24498607</v>
      </c>
      <c r="B8086">
        <v>143703970.89551398</v>
      </c>
    </row>
    <row r="8087" spans="1:2" x14ac:dyDescent="0.25">
      <c r="A8087">
        <f ca="1">32641.569002884*((RANDBETWEEN(2979,3282)))</f>
        <v>98218481.129678026</v>
      </c>
      <c r="B8087">
        <v>172882821.51031667</v>
      </c>
    </row>
    <row r="8088" spans="1:2" x14ac:dyDescent="0.25">
      <c r="A8088">
        <f ca="1">31043.3939138621*((RANDBETWEEN(2979,3282)))</f>
        <v>94216700.528571501</v>
      </c>
      <c r="B8088">
        <v>186784436.5733811</v>
      </c>
    </row>
    <row r="8089" spans="1:2" x14ac:dyDescent="0.25">
      <c r="A8089">
        <f ca="1">32252.6895287329*((RANDBETWEEN(2979,3282)))</f>
        <v>97693396.582531914</v>
      </c>
      <c r="B8089">
        <v>152954797.95522892</v>
      </c>
    </row>
    <row r="8090" spans="1:2" x14ac:dyDescent="0.25">
      <c r="A8090">
        <f ca="1">31873.7659913546*((RANDBETWEEN(2979,3282)))</f>
        <v>101262954.55453368</v>
      </c>
      <c r="B8090">
        <v>194910610.28610468</v>
      </c>
    </row>
    <row r="8091" spans="1:2" x14ac:dyDescent="0.25">
      <c r="A8091">
        <f ca="1">32754.4844221252*((RANDBETWEEN(2979,3282)))</f>
        <v>105534948.80808733</v>
      </c>
      <c r="B8091">
        <v>182803736.27740389</v>
      </c>
    </row>
    <row r="8092" spans="1:2" x14ac:dyDescent="0.25">
      <c r="A8092">
        <f ca="1">38014.5526174576*((RANDBETWEEN(2979,3282)))</f>
        <v>120810248.21828035</v>
      </c>
      <c r="B8092">
        <v>184174642.56989068</v>
      </c>
    </row>
    <row r="8093" spans="1:2" x14ac:dyDescent="0.25">
      <c r="A8093">
        <f ca="1">36768.8213947136*((RANDBETWEEN(2979,3282)))</f>
        <v>113836271.03803322</v>
      </c>
      <c r="B8093">
        <v>167493952.646752</v>
      </c>
    </row>
    <row r="8094" spans="1:2" x14ac:dyDescent="0.25">
      <c r="A8094">
        <f ca="1">30827.2610579776*((RANDBETWEEN(2979,3282)))</f>
        <v>95163754.885976985</v>
      </c>
      <c r="B8094">
        <v>195768848.39054251</v>
      </c>
    </row>
    <row r="8095" spans="1:2" x14ac:dyDescent="0.25">
      <c r="A8095">
        <f ca="1">40330.9331209099*((RANDBETWEEN(2979,3282)))</f>
        <v>126316482.53468993</v>
      </c>
      <c r="B8095">
        <v>189796026.3630119</v>
      </c>
    </row>
    <row r="8096" spans="1:2" x14ac:dyDescent="0.25">
      <c r="A8096">
        <f ca="1">30374.5326869656*((RANDBETWEEN(2979,3282)))</f>
        <v>92854946.424053863</v>
      </c>
      <c r="B8096">
        <v>151377574.61458126</v>
      </c>
    </row>
    <row r="8097" spans="1:2" x14ac:dyDescent="0.25">
      <c r="A8097">
        <f ca="1">31067.9958553985*((RANDBETWEEN(2979,3282)))</f>
        <v>96435059.135156855</v>
      </c>
      <c r="B8097">
        <v>144147243.27467173</v>
      </c>
    </row>
    <row r="8098" spans="1:2" x14ac:dyDescent="0.25">
      <c r="A8098">
        <f ca="1">31353.1558088719*((RANDBETWEEN(2979,3282)))</f>
        <v>96191482.021618947</v>
      </c>
      <c r="B8098">
        <v>147004991.70270002</v>
      </c>
    </row>
    <row r="8099" spans="1:2" x14ac:dyDescent="0.25">
      <c r="A8099">
        <f ca="1">31612.2617870388*((RANDBETWEEN(2979,3282)))</f>
        <v>100779890.57707979</v>
      </c>
      <c r="B8099">
        <v>186270337.96253464</v>
      </c>
    </row>
    <row r="8100" spans="1:2" x14ac:dyDescent="0.25">
      <c r="A8100">
        <f ca="1">30522.0441664064*((RANDBETWEEN(2979,3282)))</f>
        <v>94252072.385863051</v>
      </c>
      <c r="B8100">
        <v>143792912.36425245</v>
      </c>
    </row>
    <row r="8101" spans="1:2" x14ac:dyDescent="0.25">
      <c r="A8101">
        <f ca="1">33793.7902930765*((RANDBETWEEN(2979,3282)))</f>
        <v>105842151.19791575</v>
      </c>
      <c r="B8101">
        <v>182026042.15563086</v>
      </c>
    </row>
    <row r="8102" spans="1:2" x14ac:dyDescent="0.25">
      <c r="A8102">
        <f ca="1">32567.5505787164*((RANDBETWEEN(2979,3282)))</f>
        <v>103890486.34610528</v>
      </c>
      <c r="B8102">
        <v>185964711.05409953</v>
      </c>
    </row>
    <row r="8103" spans="1:2" x14ac:dyDescent="0.25">
      <c r="A8103">
        <f ca="1">32957.3955866502*((RANDBETWEEN(2979,3282)))</f>
        <v>103321435.16414832</v>
      </c>
      <c r="B8103">
        <v>168812717.18518969</v>
      </c>
    </row>
    <row r="8104" spans="1:2" x14ac:dyDescent="0.25">
      <c r="A8104">
        <f ca="1">38186.234820994*((RANDBETWEEN(2979,3282)))</f>
        <v>123685214.58519959</v>
      </c>
      <c r="B8104">
        <v>158848452.09771663</v>
      </c>
    </row>
    <row r="8105" spans="1:2" x14ac:dyDescent="0.25">
      <c r="A8105">
        <f ca="1">34146.2689303931*((RANDBETWEEN(2979,3282)))</f>
        <v>103736365.01053433</v>
      </c>
      <c r="B8105">
        <v>175277879.34121251</v>
      </c>
    </row>
    <row r="8106" spans="1:2" x14ac:dyDescent="0.25">
      <c r="A8106">
        <f ca="1">32292.1694654833*((RANDBETWEEN(2979,3282)))</f>
        <v>96230665.007140219</v>
      </c>
      <c r="B8106">
        <v>201836084.68481362</v>
      </c>
    </row>
    <row r="8107" spans="1:2" x14ac:dyDescent="0.25">
      <c r="A8107">
        <f ca="1">28951.0409008578*((RANDBETWEEN(2979,3282)))</f>
        <v>92122212.146529406</v>
      </c>
      <c r="B8107">
        <v>197397342.18510643</v>
      </c>
    </row>
    <row r="8108" spans="1:2" x14ac:dyDescent="0.25">
      <c r="A8108">
        <f ca="1">39274.6094779686*((RANDBETWEEN(2979,3282)))</f>
        <v>122379683.13335024</v>
      </c>
      <c r="B8108">
        <v>153570188.18142974</v>
      </c>
    </row>
    <row r="8109" spans="1:2" x14ac:dyDescent="0.25">
      <c r="A8109">
        <f ca="1">30086.037135463*((RANDBETWEEN(2979,3282)))</f>
        <v>89866992.923627898</v>
      </c>
      <c r="B8109">
        <v>148042124.27824935</v>
      </c>
    </row>
    <row r="8110" spans="1:2" x14ac:dyDescent="0.25">
      <c r="A8110">
        <f ca="1">33252.4125070712*((RANDBETWEEN(2979,3282)))</f>
        <v>108070340.64798152</v>
      </c>
      <c r="B8110">
        <v>154989661.87790656</v>
      </c>
    </row>
    <row r="8111" spans="1:2" x14ac:dyDescent="0.25">
      <c r="A8111">
        <f ca="1">34497.28431713*((RANDBETWEEN(2979,3282)))</f>
        <v>113013103.4229178</v>
      </c>
      <c r="B8111">
        <v>182917294.67116201</v>
      </c>
    </row>
    <row r="8112" spans="1:2" x14ac:dyDescent="0.25">
      <c r="A8112">
        <f ca="1">31356.2269019523*((RANDBETWEEN(2979,3282)))</f>
        <v>97549221.891973495</v>
      </c>
      <c r="B8112">
        <v>174789436.33944896</v>
      </c>
    </row>
    <row r="8113" spans="1:2" x14ac:dyDescent="0.25">
      <c r="A8113">
        <f ca="1">34873.8501517152*((RANDBETWEEN(2979,3282)))</f>
        <v>112328671.3386746</v>
      </c>
      <c r="B8113">
        <v>165809389.13585219</v>
      </c>
    </row>
    <row r="8114" spans="1:2" x14ac:dyDescent="0.25">
      <c r="A8114">
        <f ca="1">32758.2844379705*((RANDBETWEEN(2979,3282)))</f>
        <v>101616198.32658461</v>
      </c>
      <c r="B8114">
        <v>152823840.91809365</v>
      </c>
    </row>
    <row r="8115" spans="1:2" x14ac:dyDescent="0.25">
      <c r="A8115">
        <f ca="1">32655.0375419356*((RANDBETWEEN(2979,3282)))</f>
        <v>101393891.56771007</v>
      </c>
      <c r="B8115">
        <v>181476937.87518916</v>
      </c>
    </row>
    <row r="8116" spans="1:2" x14ac:dyDescent="0.25">
      <c r="A8116">
        <f ca="1">37277.6968969201*((RANDBETWEEN(2979,3282)))</f>
        <v>112205867.65972954</v>
      </c>
      <c r="B8116">
        <v>160426389.14251617</v>
      </c>
    </row>
    <row r="8117" spans="1:2" x14ac:dyDescent="0.25">
      <c r="A8117">
        <f ca="1">35374.8357891568*((RANDBETWEEN(2979,3282)))</f>
        <v>106442880.8895728</v>
      </c>
      <c r="B8117">
        <v>178633630.66093984</v>
      </c>
    </row>
    <row r="8118" spans="1:2" x14ac:dyDescent="0.25">
      <c r="A8118">
        <f ca="1">35403.5125239221*((RANDBETWEEN(2979,3282)))</f>
        <v>108405555.34824952</v>
      </c>
      <c r="B8118">
        <v>152367640.02894753</v>
      </c>
    </row>
    <row r="8119" spans="1:2" x14ac:dyDescent="0.25">
      <c r="A8119">
        <f ca="1">30661.5445740113*((RANDBETWEEN(2979,3282)))</f>
        <v>91678018.276293933</v>
      </c>
      <c r="B8119">
        <v>165939412.74484909</v>
      </c>
    </row>
    <row r="8120" spans="1:2" x14ac:dyDescent="0.25">
      <c r="A8120">
        <f ca="1">40464.3858361873*((RANDBETWEEN(2979,3282)))</f>
        <v>132278077.29849626</v>
      </c>
      <c r="B8120">
        <v>181436095.2275106</v>
      </c>
    </row>
    <row r="8121" spans="1:2" x14ac:dyDescent="0.25">
      <c r="A8121">
        <f ca="1">33675.410317124*((RANDBETWEEN(2979,3282)))</f>
        <v>102507949.00532545</v>
      </c>
      <c r="B8121">
        <v>197460819.78584617</v>
      </c>
    </row>
    <row r="8122" spans="1:2" x14ac:dyDescent="0.25">
      <c r="A8122">
        <f ca="1">37336.1406139351*((RANDBETWEEN(2979,3282)))</f>
        <v>121081104.01099147</v>
      </c>
      <c r="B8122">
        <v>181808955.6492559</v>
      </c>
    </row>
    <row r="8123" spans="1:2" x14ac:dyDescent="0.25">
      <c r="A8123">
        <f ca="1">32028.2514053784*((RANDBETWEEN(2979,3282)))</f>
        <v>103643421.54780447</v>
      </c>
      <c r="B8123">
        <v>161109543.54651833</v>
      </c>
    </row>
    <row r="8124" spans="1:2" x14ac:dyDescent="0.25">
      <c r="A8124">
        <f ca="1">36019.1592226986*((RANDBETWEEN(2979,3282)))</f>
        <v>110686876.29135269</v>
      </c>
      <c r="B8124">
        <v>153425923.10172749</v>
      </c>
    </row>
    <row r="8125" spans="1:2" x14ac:dyDescent="0.25">
      <c r="A8125">
        <f ca="1">39069.582980062*((RANDBETWEEN(2979,3282)))</f>
        <v>120998498.48925209</v>
      </c>
      <c r="B8125">
        <v>145799253.02186829</v>
      </c>
    </row>
    <row r="8126" spans="1:2" x14ac:dyDescent="0.25">
      <c r="A8126">
        <f ca="1">33311.3691545541*((RANDBETWEEN(2979,3282)))</f>
        <v>100467089.37013504</v>
      </c>
      <c r="B8126">
        <v>164090252.29560304</v>
      </c>
    </row>
    <row r="8127" spans="1:2" x14ac:dyDescent="0.25">
      <c r="A8127">
        <f ca="1">42225.4862357931*((RANDBETWEEN(2979,3282)))</f>
        <v>126887586.13855833</v>
      </c>
      <c r="B8127">
        <v>172622922.61750597</v>
      </c>
    </row>
    <row r="8128" spans="1:2" x14ac:dyDescent="0.25">
      <c r="A8128">
        <f ca="1">32182.1571360998*((RANDBETWEEN(2979,3282)))</f>
        <v>105396564.62072676</v>
      </c>
      <c r="B8128">
        <v>202087660.32210645</v>
      </c>
    </row>
    <row r="8129" spans="1:2" x14ac:dyDescent="0.25">
      <c r="A8129">
        <f ca="1">31258.4496348433*((RANDBETWEEN(2979,3282)))</f>
        <v>98432857.900121644</v>
      </c>
      <c r="B8129">
        <v>181694769.55448848</v>
      </c>
    </row>
    <row r="8130" spans="1:2" x14ac:dyDescent="0.25">
      <c r="A8130">
        <f ca="1">28859.2735139029*((RANDBETWEEN(2979,3282)))</f>
        <v>90733555.927710697</v>
      </c>
      <c r="B8130">
        <v>165160662.807899</v>
      </c>
    </row>
    <row r="8131" spans="1:2" x14ac:dyDescent="0.25">
      <c r="A8131">
        <f ca="1">33144.7182488692*((RANDBETWEEN(2979,3282)))</f>
        <v>101654850.86928195</v>
      </c>
      <c r="B8131">
        <v>146674834.67688337</v>
      </c>
    </row>
    <row r="8132" spans="1:2" x14ac:dyDescent="0.25">
      <c r="A8132">
        <f ca="1">35874.9171699703*((RANDBETWEEN(2979,3282)))</f>
        <v>112503740.24502693</v>
      </c>
      <c r="B8132">
        <v>144617989.1663433</v>
      </c>
    </row>
    <row r="8133" spans="1:2" x14ac:dyDescent="0.25">
      <c r="A8133">
        <f ca="1">41511.2210893464*((RANDBETWEEN(2979,3282)))</f>
        <v>131050924.97906671</v>
      </c>
      <c r="B8133">
        <v>165247654.55222774</v>
      </c>
    </row>
    <row r="8134" spans="1:2" x14ac:dyDescent="0.25">
      <c r="A8134">
        <f ca="1">34112.9963957237*((RANDBETWEEN(2979,3282)))</f>
        <v>105340932.86999489</v>
      </c>
      <c r="B8134">
        <v>199094883.04258034</v>
      </c>
    </row>
    <row r="8135" spans="1:2" x14ac:dyDescent="0.25">
      <c r="A8135">
        <f ca="1">32410.8310847452*((RANDBETWEEN(2979,3282)))</f>
        <v>105529666.01193044</v>
      </c>
      <c r="B8135">
        <v>180234885.56630251</v>
      </c>
    </row>
    <row r="8136" spans="1:2" x14ac:dyDescent="0.25">
      <c r="A8136">
        <f ca="1">35617.242732773*((RANDBETWEEN(2979,3282)))</f>
        <v>116610852.70709886</v>
      </c>
      <c r="B8136">
        <v>154292319.72067022</v>
      </c>
    </row>
    <row r="8137" spans="1:2" x14ac:dyDescent="0.25">
      <c r="A8137">
        <f ca="1">37723.7471409302*((RANDBETWEEN(2979,3282)))</f>
        <v>120263305.8852856</v>
      </c>
      <c r="B8137">
        <v>165740654.37621504</v>
      </c>
    </row>
    <row r="8138" spans="1:2" x14ac:dyDescent="0.25">
      <c r="A8138">
        <f ca="1">41371.8977493885*((RANDBETWEEN(2979,3282)))</f>
        <v>130114618.42182674</v>
      </c>
      <c r="B8138">
        <v>148142468.75088322</v>
      </c>
    </row>
    <row r="8139" spans="1:2" x14ac:dyDescent="0.25">
      <c r="A8139">
        <f ca="1">33871.9973050898*((RANDBETWEEN(2979,3282)))</f>
        <v>109000087.32777885</v>
      </c>
      <c r="B8139">
        <v>146984768.21231699</v>
      </c>
    </row>
    <row r="8140" spans="1:2" x14ac:dyDescent="0.25">
      <c r="A8140">
        <f ca="1">40524.1273917542*((RANDBETWEEN(2979,3282)))</f>
        <v>129555635.27143817</v>
      </c>
      <c r="B8140">
        <v>145954461.47363454</v>
      </c>
    </row>
    <row r="8141" spans="1:2" x14ac:dyDescent="0.25">
      <c r="A8141">
        <f ca="1">35701.8612832658*((RANDBETWEEN(2979,3282)))</f>
        <v>106677161.51439834</v>
      </c>
      <c r="B8141">
        <v>191199346.53019428</v>
      </c>
    </row>
    <row r="8142" spans="1:2" x14ac:dyDescent="0.25">
      <c r="A8142">
        <f ca="1">33058.2539198788*((RANDBETWEEN(2979,3282)))</f>
        <v>100331800.64683206</v>
      </c>
      <c r="B8142">
        <v>183414935.37781519</v>
      </c>
    </row>
    <row r="8143" spans="1:2" x14ac:dyDescent="0.25">
      <c r="A8143">
        <f ca="1">35066.2979615363*((RANDBETWEEN(2979,3282)))</f>
        <v>105374225.37441666</v>
      </c>
      <c r="B8143">
        <v>148111026.76383144</v>
      </c>
    </row>
    <row r="8144" spans="1:2" x14ac:dyDescent="0.25">
      <c r="A8144">
        <f ca="1">31011.8150680712*((RANDBETWEEN(2979,3282)))</f>
        <v>95764484.930203766</v>
      </c>
      <c r="B8144">
        <v>148366152.91042295</v>
      </c>
    </row>
    <row r="8145" spans="1:2" x14ac:dyDescent="0.25">
      <c r="A8145">
        <f ca="1">31322.8853604637*((RANDBETWEEN(2979,3282)))</f>
        <v>102770386.86768156</v>
      </c>
      <c r="B8145">
        <v>160777543.66295719</v>
      </c>
    </row>
    <row r="8146" spans="1:2" x14ac:dyDescent="0.25">
      <c r="A8146">
        <f ca="1">39302.6699217741*((RANDBETWEEN(2979,3282)))</f>
        <v>119755235.25164594</v>
      </c>
      <c r="B8146">
        <v>143751678.85664284</v>
      </c>
    </row>
    <row r="8147" spans="1:2" x14ac:dyDescent="0.25">
      <c r="A8147">
        <f ca="1">30678.1927785735*((RANDBETWEEN(2979,3282)))</f>
        <v>99550735.566470891</v>
      </c>
      <c r="B8147">
        <v>167996806.06236032</v>
      </c>
    </row>
    <row r="8148" spans="1:2" x14ac:dyDescent="0.25">
      <c r="A8148">
        <f ca="1">41562.9922891149*((RANDBETWEEN(2979,3282)))</f>
        <v>124273346.94445363</v>
      </c>
      <c r="B8148">
        <v>190421686.48523375</v>
      </c>
    </row>
    <row r="8149" spans="1:2" x14ac:dyDescent="0.25">
      <c r="A8149">
        <f ca="1">40154.7003157521*((RANDBETWEEN(2979,3282)))</f>
        <v>126206223.09240888</v>
      </c>
      <c r="B8149">
        <v>171280952.6127201</v>
      </c>
    </row>
    <row r="8150" spans="1:2" x14ac:dyDescent="0.25">
      <c r="A8150">
        <f ca="1">27755.8493253163*((RANDBETWEEN(2979,3282)))</f>
        <v>87875018.963951379</v>
      </c>
      <c r="B8150">
        <v>178097425.11204088</v>
      </c>
    </row>
    <row r="8151" spans="1:2" x14ac:dyDescent="0.25">
      <c r="A8151">
        <f ca="1">33959.0944869429*((RANDBETWEEN(2979,3282)))</f>
        <v>106869270.35040937</v>
      </c>
      <c r="B8151">
        <v>180424604.4757826</v>
      </c>
    </row>
    <row r="8152" spans="1:2" x14ac:dyDescent="0.25">
      <c r="A8152">
        <f ca="1">30677.9818309426*((RANDBETWEEN(2979,3282)))</f>
        <v>96604964.785638303</v>
      </c>
      <c r="B8152">
        <v>188485390.03871217</v>
      </c>
    </row>
    <row r="8153" spans="1:2" x14ac:dyDescent="0.25">
      <c r="A8153">
        <f ca="1">30089.1194280758*((RANDBETWEEN(2979,3282)))</f>
        <v>92132883.688768238</v>
      </c>
      <c r="B8153">
        <v>180468687.49760631</v>
      </c>
    </row>
    <row r="8154" spans="1:2" x14ac:dyDescent="0.25">
      <c r="A8154">
        <f ca="1">28085.0120380916*((RANDBETWEEN(2979,3282)))</f>
        <v>83861845.945741594</v>
      </c>
      <c r="B8154">
        <v>149748296.26079267</v>
      </c>
    </row>
    <row r="8155" spans="1:2" x14ac:dyDescent="0.25">
      <c r="A8155">
        <f ca="1">31636.8856132845*((RANDBETWEEN(2979,3282)))</f>
        <v>103041336.44246753</v>
      </c>
      <c r="B8155">
        <v>158107450.54337233</v>
      </c>
    </row>
    <row r="8156" spans="1:2" x14ac:dyDescent="0.25">
      <c r="A8156">
        <f ca="1">32980.8875613441*((RANDBETWEEN(2979,3282)))</f>
        <v>98843720.021348238</v>
      </c>
      <c r="B8156">
        <v>193203641.77203047</v>
      </c>
    </row>
    <row r="8157" spans="1:2" x14ac:dyDescent="0.25">
      <c r="A8157">
        <f ca="1">31004.4237141123*((RANDBETWEEN(2979,3282)))</f>
        <v>92765235.75262402</v>
      </c>
      <c r="B8157">
        <v>185212103.16377768</v>
      </c>
    </row>
    <row r="8158" spans="1:2" x14ac:dyDescent="0.25">
      <c r="A8158">
        <f ca="1">28605.2353799284*((RANDBETWEEN(2979,3282)))</f>
        <v>88905071.56081742</v>
      </c>
      <c r="B8158">
        <v>145105234.8148008</v>
      </c>
    </row>
    <row r="8159" spans="1:2" x14ac:dyDescent="0.25">
      <c r="A8159">
        <f ca="1">31190.3791466785*((RANDBETWEEN(2979,3282)))</f>
        <v>101462303.36414531</v>
      </c>
      <c r="B8159">
        <v>160353788.05293751</v>
      </c>
    </row>
    <row r="8160" spans="1:2" x14ac:dyDescent="0.25">
      <c r="A8160">
        <f ca="1">31465.3911148256*((RANDBETWEEN(2979,3282)))</f>
        <v>97196593.153696299</v>
      </c>
      <c r="B8160">
        <v>176233379.06900856</v>
      </c>
    </row>
    <row r="8161" spans="1:2" x14ac:dyDescent="0.25">
      <c r="A8161">
        <f ca="1">29135.7350357597*((RANDBETWEEN(2979,3282)))</f>
        <v>93554845.199824333</v>
      </c>
      <c r="B8161">
        <v>158008638.61446252</v>
      </c>
    </row>
    <row r="8162" spans="1:2" x14ac:dyDescent="0.25">
      <c r="A8162">
        <f ca="1">40253.3360290021*((RANDBETWEEN(2979,3282)))</f>
        <v>122450648.20022428</v>
      </c>
      <c r="B8162">
        <v>143967147.26411432</v>
      </c>
    </row>
    <row r="8163" spans="1:2" x14ac:dyDescent="0.25">
      <c r="A8163">
        <f ca="1">33232.9248156993*((RANDBETWEEN(2979,3282)))</f>
        <v>100596063.41712186</v>
      </c>
      <c r="B8163">
        <v>185445450.41935426</v>
      </c>
    </row>
    <row r="8164" spans="1:2" x14ac:dyDescent="0.25">
      <c r="A8164">
        <f ca="1">32390.5173621881*((RANDBETWEEN(2979,3282)))</f>
        <v>105722648.67018205</v>
      </c>
      <c r="B8164">
        <v>189297865.07153714</v>
      </c>
    </row>
    <row r="8165" spans="1:2" x14ac:dyDescent="0.25">
      <c r="A8165">
        <f ca="1">38319.5255250112*((RANDBETWEEN(2979,3282)))</f>
        <v>123197274.56291085</v>
      </c>
      <c r="B8165">
        <v>172913425.79321396</v>
      </c>
    </row>
    <row r="8166" spans="1:2" x14ac:dyDescent="0.25">
      <c r="A8166">
        <f ca="1">31823.7676352862*((RANDBETWEEN(2979,3282)))</f>
        <v>102854416.99724492</v>
      </c>
      <c r="B8166">
        <v>202932775.13975269</v>
      </c>
    </row>
    <row r="8167" spans="1:2" x14ac:dyDescent="0.25">
      <c r="A8167">
        <f ca="1">29583.775192297*((RANDBETWEEN(2979,3282)))</f>
        <v>95585177.646311626</v>
      </c>
      <c r="B8167">
        <v>181147924.81330293</v>
      </c>
    </row>
    <row r="8168" spans="1:2" x14ac:dyDescent="0.25">
      <c r="A8168">
        <f ca="1">29744.9754387388*((RANDBETWEEN(2979,3282)))</f>
        <v>94291572.140802145</v>
      </c>
      <c r="B8168">
        <v>173677572.78561848</v>
      </c>
    </row>
    <row r="8169" spans="1:2" x14ac:dyDescent="0.25">
      <c r="A8169">
        <f ca="1">32564.3415125052*((RANDBETWEEN(2979,3282)))</f>
        <v>98116360.977178067</v>
      </c>
      <c r="B8169">
        <v>156298146.85742319</v>
      </c>
    </row>
    <row r="8170" spans="1:2" x14ac:dyDescent="0.25">
      <c r="A8170">
        <f ca="1">28639.1261825192*((RANDBETWEEN(2979,3282)))</f>
        <v>88494899.903984398</v>
      </c>
      <c r="B8170">
        <v>195449463.28808412</v>
      </c>
    </row>
    <row r="8171" spans="1:2" x14ac:dyDescent="0.25">
      <c r="A8171">
        <f ca="1">40585.7001670738*((RANDBETWEEN(2979,3282)))</f>
        <v>127236170.02377622</v>
      </c>
      <c r="B8171">
        <v>145802233.07097569</v>
      </c>
    </row>
    <row r="8172" spans="1:2" x14ac:dyDescent="0.25">
      <c r="A8172">
        <f ca="1">30728.8431333786*((RANDBETWEEN(2979,3282)))</f>
        <v>94952125.282139808</v>
      </c>
      <c r="B8172">
        <v>189242241.41681635</v>
      </c>
    </row>
    <row r="8173" spans="1:2" x14ac:dyDescent="0.25">
      <c r="A8173">
        <f ca="1">32289.5224245807*((RANDBETWEEN(2979,3282)))</f>
        <v>100420414.74044599</v>
      </c>
      <c r="B8173">
        <v>193848578.97349641</v>
      </c>
    </row>
    <row r="8174" spans="1:2" x14ac:dyDescent="0.25">
      <c r="A8174">
        <f ca="1">34106.2340591844*((RANDBETWEEN(2979,3282)))</f>
        <v>104058120.11457171</v>
      </c>
      <c r="B8174">
        <v>150057150.86766461</v>
      </c>
    </row>
    <row r="8175" spans="1:2" x14ac:dyDescent="0.25">
      <c r="A8175">
        <f ca="1">39773.6697747304*((RANDBETWEEN(2979,3282)))</f>
        <v>122463129.2363949</v>
      </c>
      <c r="B8175">
        <v>173665308.64163253</v>
      </c>
    </row>
    <row r="8176" spans="1:2" x14ac:dyDescent="0.25">
      <c r="A8176">
        <f ca="1">36753.732308543*((RANDBETWEEN(2979,3282)))</f>
        <v>110371458.12255456</v>
      </c>
      <c r="B8176">
        <v>162453567.60698697</v>
      </c>
    </row>
    <row r="8177" spans="1:2" x14ac:dyDescent="0.25">
      <c r="A8177">
        <f ca="1">31226.5435169684*((RANDBETWEEN(2979,3282)))</f>
        <v>94710106.486965105</v>
      </c>
      <c r="B8177">
        <v>161221936.71561176</v>
      </c>
    </row>
    <row r="8178" spans="1:2" x14ac:dyDescent="0.25">
      <c r="A8178">
        <f ca="1">31573.4756013157*((RANDBETWEEN(2979,3282)))</f>
        <v>94815147.230750993</v>
      </c>
      <c r="B8178">
        <v>195248298.07583839</v>
      </c>
    </row>
    <row r="8179" spans="1:2" x14ac:dyDescent="0.25">
      <c r="A8179">
        <f ca="1">36402.5132257738*((RANDBETWEEN(2979,3282)))</f>
        <v>112156143.24860913</v>
      </c>
      <c r="B8179">
        <v>144655462.95091021</v>
      </c>
    </row>
    <row r="8180" spans="1:2" x14ac:dyDescent="0.25">
      <c r="A8180">
        <f ca="1">33819.1902660554*((RANDBETWEEN(2979,3282)))</f>
        <v>102370688.93534984</v>
      </c>
      <c r="B8180">
        <v>167492594.75114214</v>
      </c>
    </row>
    <row r="8181" spans="1:2" x14ac:dyDescent="0.25">
      <c r="A8181">
        <f ca="1">32365.5034113864*((RANDBETWEEN(2979,3282)))</f>
        <v>98326399.363791883</v>
      </c>
      <c r="B8181">
        <v>190097809.14400905</v>
      </c>
    </row>
    <row r="8182" spans="1:2" x14ac:dyDescent="0.25">
      <c r="A8182">
        <f ca="1">30812.2517929784*((RANDBETWEEN(2979,3282)))</f>
        <v>93083812.66658783</v>
      </c>
      <c r="B8182">
        <v>151408427.56833026</v>
      </c>
    </row>
    <row r="8183" spans="1:2" x14ac:dyDescent="0.25">
      <c r="A8183">
        <f ca="1">28953.7868605272*((RANDBETWEEN(2979,3282)))</f>
        <v>91349197.544963419</v>
      </c>
      <c r="B8183">
        <v>143907533.10203254</v>
      </c>
    </row>
    <row r="8184" spans="1:2" x14ac:dyDescent="0.25">
      <c r="A8184">
        <f ca="1">41061.6473530867*((RANDBETWEEN(2979,3282)))</f>
        <v>128933572.68869217</v>
      </c>
      <c r="B8184">
        <v>144665771.14343321</v>
      </c>
    </row>
    <row r="8185" spans="1:2" x14ac:dyDescent="0.25">
      <c r="A8185">
        <f ca="1">30351.9773363576*((RANDBETWEEN(2979,3282)))</f>
        <v>93241274.377290606</v>
      </c>
      <c r="B8185">
        <v>176665867.03279215</v>
      </c>
    </row>
    <row r="8186" spans="1:2" x14ac:dyDescent="0.25">
      <c r="A8186">
        <f ca="1">29922.1970550694*((RANDBETWEEN(2979,3282)))</f>
        <v>93058032.841265917</v>
      </c>
      <c r="B8186">
        <v>168926464.77727699</v>
      </c>
    </row>
    <row r="8187" spans="1:2" x14ac:dyDescent="0.25">
      <c r="A8187">
        <f ca="1">30092.9918749545*((RANDBETWEEN(2979,3282)))</f>
        <v>93348460.796108782</v>
      </c>
      <c r="B8187">
        <v>189276495.33180785</v>
      </c>
    </row>
    <row r="8188" spans="1:2" x14ac:dyDescent="0.25">
      <c r="A8188">
        <f ca="1">39919.4287866852*((RANDBETWEEN(2979,3282)))</f>
        <v>128780077.26584657</v>
      </c>
      <c r="B8188">
        <v>143669823.89737338</v>
      </c>
    </row>
    <row r="8189" spans="1:2" x14ac:dyDescent="0.25">
      <c r="A8189">
        <f ca="1">33168.2365978628*((RANDBETWEEN(2979,3282)))</f>
        <v>107100235.97449911</v>
      </c>
      <c r="B8189">
        <v>170026215.75143766</v>
      </c>
    </row>
    <row r="8190" spans="1:2" x14ac:dyDescent="0.25">
      <c r="A8190">
        <f ca="1">30870.8707817656*((RANDBETWEEN(2979,3282)))</f>
        <v>92056936.671224937</v>
      </c>
      <c r="B8190">
        <v>175549932.25109443</v>
      </c>
    </row>
    <row r="8191" spans="1:2" x14ac:dyDescent="0.25">
      <c r="A8191">
        <f ca="1">29579.3051347089*((RANDBETWEEN(2979,3282)))</f>
        <v>88530860.268183634</v>
      </c>
      <c r="B8191">
        <v>203656619.06097382</v>
      </c>
    </row>
    <row r="8192" spans="1:2" x14ac:dyDescent="0.25">
      <c r="A8192">
        <f ca="1">27258.4490073485*((RANDBETWEEN(2979,3282)))</f>
        <v>89325937.397081181</v>
      </c>
      <c r="B8192">
        <v>160800067.57219347</v>
      </c>
    </row>
    <row r="8193" spans="1:2" x14ac:dyDescent="0.25">
      <c r="A8193">
        <f ca="1">34627.7123470852*((RANDBETWEEN(2979,3282)))</f>
        <v>104506435.86350311</v>
      </c>
      <c r="B8193">
        <v>145061177.33753005</v>
      </c>
    </row>
    <row r="8194" spans="1:2" x14ac:dyDescent="0.25">
      <c r="A8194">
        <f ca="1">28685.7803923164*((RANDBETWEEN(2979,3282)))</f>
        <v>86430256.32204926</v>
      </c>
      <c r="B8194">
        <v>187814413.97768348</v>
      </c>
    </row>
    <row r="8195" spans="1:2" x14ac:dyDescent="0.25">
      <c r="A8195">
        <f ca="1">33704.667382074*((RANDBETWEEN(2979,3282)))</f>
        <v>106102292.91876912</v>
      </c>
      <c r="B8195">
        <v>150337917.15945822</v>
      </c>
    </row>
    <row r="8196" spans="1:2" x14ac:dyDescent="0.25">
      <c r="A8196">
        <f ca="1">34674.5691697677*((RANDBETWEEN(2979,3282)))</f>
        <v>105861459.6753007</v>
      </c>
      <c r="B8196">
        <v>159047623.33825237</v>
      </c>
    </row>
    <row r="8197" spans="1:2" x14ac:dyDescent="0.25">
      <c r="A8197">
        <f ca="1">30142.4005804565*((RANDBETWEEN(2979,3282)))</f>
        <v>93019448.19128868</v>
      </c>
      <c r="B8197">
        <v>182264670.98015678</v>
      </c>
    </row>
    <row r="8198" spans="1:2" x14ac:dyDescent="0.25">
      <c r="A8198">
        <f ca="1">30948.0241137686*((RANDBETWEEN(2979,3282)))</f>
        <v>98600404.826466665</v>
      </c>
      <c r="B8198">
        <v>143597305.70521647</v>
      </c>
    </row>
    <row r="8199" spans="1:2" x14ac:dyDescent="0.25">
      <c r="A8199">
        <f ca="1">35022.0154630701*((RANDBETWEEN(2979,3282)))</f>
        <v>109899084.52311409</v>
      </c>
      <c r="B8199">
        <v>183566476.23214042</v>
      </c>
    </row>
    <row r="8200" spans="1:2" x14ac:dyDescent="0.25">
      <c r="A8200">
        <f ca="1">37425.3982475709*((RANDBETWEEN(2979,3282)))</f>
        <v>120696909.34841615</v>
      </c>
      <c r="B8200">
        <v>153015257.88591832</v>
      </c>
    </row>
    <row r="8201" spans="1:2" x14ac:dyDescent="0.25">
      <c r="A8201">
        <f ca="1">31132.1289049949*((RANDBETWEEN(2979,3282)))</f>
        <v>100276587.20298846</v>
      </c>
      <c r="B8201">
        <v>150635913.87166405</v>
      </c>
    </row>
    <row r="8202" spans="1:2" x14ac:dyDescent="0.25">
      <c r="A8202">
        <f ca="1">31726.1415499472*((RANDBETWEEN(2979,3282)))</f>
        <v>102285080.35702962</v>
      </c>
      <c r="B8202">
        <v>197732673.6010989</v>
      </c>
    </row>
    <row r="8203" spans="1:2" x14ac:dyDescent="0.25">
      <c r="A8203">
        <f ca="1">31378.8693917861*((RANDBETWEEN(2979,3282)))</f>
        <v>97494147.200279564</v>
      </c>
      <c r="B8203">
        <v>151225443.50460771</v>
      </c>
    </row>
    <row r="8204" spans="1:2" x14ac:dyDescent="0.25">
      <c r="A8204">
        <f ca="1">32401.0683009803*((RANDBETWEEN(2979,3282)))</f>
        <v>103910226.04124375</v>
      </c>
      <c r="B8204">
        <v>157350665.85870236</v>
      </c>
    </row>
    <row r="8205" spans="1:2" x14ac:dyDescent="0.25">
      <c r="A8205">
        <f ca="1">39412.4930049336*((RANDBETWEEN(2979,3282)))</f>
        <v>117528054.14071202</v>
      </c>
      <c r="B8205">
        <v>153453894.02065369</v>
      </c>
    </row>
    <row r="8206" spans="1:2" x14ac:dyDescent="0.25">
      <c r="A8206">
        <f ca="1">31299.9824835223*((RANDBETWEEN(2979,3282)))</f>
        <v>97655945.348589569</v>
      </c>
      <c r="B8206">
        <v>166648500.82890028</v>
      </c>
    </row>
    <row r="8207" spans="1:2" x14ac:dyDescent="0.25">
      <c r="A8207">
        <f ca="1">32490.8799049629*((RANDBETWEEN(2979,3282)))</f>
        <v>102086344.66139333</v>
      </c>
      <c r="B8207">
        <v>147482058.66932297</v>
      </c>
    </row>
    <row r="8208" spans="1:2" x14ac:dyDescent="0.25">
      <c r="A8208">
        <f ca="1">33439.122940722*((RANDBETWEEN(2979,3282)))</f>
        <v>100083294.96158093</v>
      </c>
      <c r="B8208">
        <v>156165972.09029946</v>
      </c>
    </row>
    <row r="8209" spans="1:2" x14ac:dyDescent="0.25">
      <c r="A8209">
        <f ca="1">32398.0511475359*((RANDBETWEEN(2979,3282)))</f>
        <v>97420939.800640583</v>
      </c>
      <c r="B8209">
        <v>155414244.91625944</v>
      </c>
    </row>
    <row r="8210" spans="1:2" x14ac:dyDescent="0.25">
      <c r="A8210">
        <f ca="1">32074.8906412615*((RANDBETWEEN(2979,3282)))</f>
        <v>100811381.28548475</v>
      </c>
      <c r="B8210">
        <v>169444469.38630769</v>
      </c>
    </row>
    <row r="8211" spans="1:2" x14ac:dyDescent="0.25">
      <c r="A8211">
        <f ca="1">33447.3507376726*((RANDBETWEEN(2979,3282)))</f>
        <v>100475841.61596861</v>
      </c>
      <c r="B8211">
        <v>152102061.1525225</v>
      </c>
    </row>
    <row r="8212" spans="1:2" x14ac:dyDescent="0.25">
      <c r="A8212">
        <f ca="1">38198.0782724518*((RANDBETWEEN(2979,3282)))</f>
        <v>124945914.02918996</v>
      </c>
      <c r="B8212">
        <v>169257824.45447266</v>
      </c>
    </row>
    <row r="8213" spans="1:2" x14ac:dyDescent="0.25">
      <c r="A8213">
        <f ca="1">30584.7660860797*((RANDBETWEEN(2979,3282)))</f>
        <v>91968391.620841652</v>
      </c>
      <c r="B8213">
        <v>147970157.12403014</v>
      </c>
    </row>
    <row r="8214" spans="1:2" x14ac:dyDescent="0.25">
      <c r="A8214">
        <f ca="1">31463.17390788*((RANDBETWEEN(2979,3282)))</f>
        <v>96025606.766849652</v>
      </c>
      <c r="B8214">
        <v>175386294.42611641</v>
      </c>
    </row>
    <row r="8215" spans="1:2" x14ac:dyDescent="0.25">
      <c r="A8215">
        <f ca="1">31221.0253310791*((RANDBETWEEN(2979,3282)))</f>
        <v>95910989.817074984</v>
      </c>
      <c r="B8215">
        <v>186726114.54913548</v>
      </c>
    </row>
    <row r="8216" spans="1:2" x14ac:dyDescent="0.25">
      <c r="A8216">
        <f ca="1">27845.7481567441*((RANDBETWEEN(2979,3282)))</f>
        <v>85820595.819085419</v>
      </c>
      <c r="B8216">
        <v>180035123.92407507</v>
      </c>
    </row>
    <row r="8217" spans="1:2" x14ac:dyDescent="0.25">
      <c r="A8217">
        <f ca="1">31293.2931754572*((RANDBETWEEN(2979,3282)))</f>
        <v>99481379.004778445</v>
      </c>
      <c r="B8217">
        <v>198008921.25241572</v>
      </c>
    </row>
    <row r="8218" spans="1:2" x14ac:dyDescent="0.25">
      <c r="A8218">
        <f ca="1">28756.1304439555*((RANDBETWEEN(2979,3282)))</f>
        <v>92853545.203532308</v>
      </c>
      <c r="B8218">
        <v>157012913.63141915</v>
      </c>
    </row>
    <row r="8219" spans="1:2" x14ac:dyDescent="0.25">
      <c r="A8219">
        <f ca="1">39235.1601615881*((RANDBETWEEN(2979,3282)))</f>
        <v>126768802.4820912</v>
      </c>
      <c r="B8219">
        <v>149557671.39241889</v>
      </c>
    </row>
    <row r="8220" spans="1:2" x14ac:dyDescent="0.25">
      <c r="A8220">
        <f ca="1">30029.9565815079*((RANDBETWEEN(2979,3282)))</f>
        <v>92041816.922321662</v>
      </c>
      <c r="B8220">
        <v>155369427.48034322</v>
      </c>
    </row>
    <row r="8221" spans="1:2" x14ac:dyDescent="0.25">
      <c r="A8221">
        <f ca="1">32889.389250967*((RANDBETWEEN(2979,3282)))</f>
        <v>106166948.50212154</v>
      </c>
      <c r="B8221">
        <v>183525910.92373496</v>
      </c>
    </row>
    <row r="8222" spans="1:2" x14ac:dyDescent="0.25">
      <c r="A8222">
        <f ca="1">33501.7752607215*((RANDBETWEEN(2979,3282)))</f>
        <v>109818819.30464512</v>
      </c>
      <c r="B8222">
        <v>192161884.78853372</v>
      </c>
    </row>
    <row r="8223" spans="1:2" x14ac:dyDescent="0.25">
      <c r="A8223">
        <f ca="1">32526.8000639568*((RANDBETWEEN(2979,3282)))</f>
        <v>99271793.79519628</v>
      </c>
      <c r="B8223">
        <v>186414047.63744664</v>
      </c>
    </row>
    <row r="8224" spans="1:2" x14ac:dyDescent="0.25">
      <c r="A8224">
        <f ca="1">30133.3615978254*((RANDBETWEEN(2979,3282)))</f>
        <v>95824089.881084874</v>
      </c>
      <c r="B8224">
        <v>164500909.18514854</v>
      </c>
    </row>
    <row r="8225" spans="1:2" x14ac:dyDescent="0.25">
      <c r="A8225">
        <f ca="1">31652.1908388777*((RANDBETWEEN(2979,3282)))</f>
        <v>98533270.081426367</v>
      </c>
      <c r="B8225">
        <v>165192057.05851328</v>
      </c>
    </row>
    <row r="8226" spans="1:2" x14ac:dyDescent="0.25">
      <c r="A8226">
        <f ca="1">38647.846309082*((RANDBETWEEN(2979,3282)))</f>
        <v>115595708.31046431</v>
      </c>
      <c r="B8226">
        <v>154988402.27970377</v>
      </c>
    </row>
    <row r="8227" spans="1:2" x14ac:dyDescent="0.25">
      <c r="A8227">
        <f ca="1">35648.803673456*((RANDBETWEEN(2979,3282)))</f>
        <v>116500290.40485433</v>
      </c>
      <c r="B8227">
        <v>145571536.42730188</v>
      </c>
    </row>
    <row r="8228" spans="1:2" x14ac:dyDescent="0.25">
      <c r="A8228">
        <f ca="1">31476.1550620765*((RANDBETWEEN(2979,3282)))</f>
        <v>96096701.404519632</v>
      </c>
      <c r="B8228">
        <v>147601911.93104115</v>
      </c>
    </row>
    <row r="8229" spans="1:2" x14ac:dyDescent="0.25">
      <c r="A8229">
        <f ca="1">29873.0742124485*((RANDBETWEEN(2979,3282)))</f>
        <v>96729014.299908161</v>
      </c>
      <c r="B8229">
        <v>145797679.14349505</v>
      </c>
    </row>
    <row r="8230" spans="1:2" x14ac:dyDescent="0.25">
      <c r="A8230">
        <f ca="1">36064.2466515287*((RANDBETWEEN(2979,3282)))</f>
        <v>115838360.24471028</v>
      </c>
      <c r="B8230">
        <v>153250382.16484427</v>
      </c>
    </row>
    <row r="8231" spans="1:2" x14ac:dyDescent="0.25">
      <c r="A8231">
        <f ca="1">31120.7769318992*((RANDBETWEEN(2979,3282)))</f>
        <v>99150795.305030987</v>
      </c>
      <c r="B8231">
        <v>170623635.02391267</v>
      </c>
    </row>
    <row r="8232" spans="1:2" x14ac:dyDescent="0.25">
      <c r="A8232">
        <f ca="1">33577.853317723*((RANDBETWEEN(2979,3282)))</f>
        <v>107482708.47003144</v>
      </c>
      <c r="B8232">
        <v>189789619.66794118</v>
      </c>
    </row>
    <row r="8233" spans="1:2" x14ac:dyDescent="0.25">
      <c r="A8233">
        <f ca="1">38317.9501582683*((RANDBETWEEN(2979,3282)))</f>
        <v>117942650.58714983</v>
      </c>
      <c r="B8233">
        <v>158206040.89919004</v>
      </c>
    </row>
    <row r="8234" spans="1:2" x14ac:dyDescent="0.25">
      <c r="A8234">
        <f ca="1">34833.3011961958*((RANDBETWEEN(2979,3282)))</f>
        <v>112964395.77926306</v>
      </c>
      <c r="B8234">
        <v>148880863.49529397</v>
      </c>
    </row>
    <row r="8235" spans="1:2" x14ac:dyDescent="0.25">
      <c r="A8235">
        <f ca="1">33132.3658985868*((RANDBETWEEN(2979,3282)))</f>
        <v>103903099.45796831</v>
      </c>
      <c r="B8235">
        <v>144407171.43078059</v>
      </c>
    </row>
    <row r="8236" spans="1:2" x14ac:dyDescent="0.25">
      <c r="A8236">
        <f ca="1">31633.875464349*((RANDBETWEEN(2979,3282)))</f>
        <v>97590505.807516709</v>
      </c>
      <c r="B8236">
        <v>190799274.67547923</v>
      </c>
    </row>
    <row r="8237" spans="1:2" x14ac:dyDescent="0.25">
      <c r="A8237">
        <f ca="1">32230.0139671901*((RANDBETWEEN(2979,3282)))</f>
        <v>102491444.41566463</v>
      </c>
      <c r="B8237">
        <v>144261659.34461126</v>
      </c>
    </row>
    <row r="8238" spans="1:2" x14ac:dyDescent="0.25">
      <c r="A8238">
        <f ca="1">31573.1526272605*((RANDBETWEEN(2979,3282)))</f>
        <v>101886563.52816972</v>
      </c>
      <c r="B8238">
        <v>180912490.42613801</v>
      </c>
    </row>
    <row r="8239" spans="1:2" x14ac:dyDescent="0.25">
      <c r="A8239">
        <f ca="1">38358.6250691527*((RANDBETWEEN(2979,3282)))</f>
        <v>123054469.22184201</v>
      </c>
      <c r="B8239">
        <v>193321908.13375866</v>
      </c>
    </row>
    <row r="8240" spans="1:2" x14ac:dyDescent="0.25">
      <c r="A8240">
        <f ca="1">30139.5584141542*((RANDBETWEEN(2979,3282)))</f>
        <v>93794305.784847841</v>
      </c>
      <c r="B8240">
        <v>187742351.77667448</v>
      </c>
    </row>
    <row r="8241" spans="1:2" x14ac:dyDescent="0.25">
      <c r="A8241">
        <f ca="1">30745.5990069466*((RANDBETWEEN(2979,3282)))</f>
        <v>93927804.96622175</v>
      </c>
      <c r="B8241">
        <v>173211480.14238507</v>
      </c>
    </row>
    <row r="8242" spans="1:2" x14ac:dyDescent="0.25">
      <c r="A8242">
        <f ca="1">32774.1781876553*((RANDBETWEEN(2979,3282)))</f>
        <v>98945243.948531419</v>
      </c>
      <c r="B8242">
        <v>157893743.35750476</v>
      </c>
    </row>
    <row r="8243" spans="1:2" x14ac:dyDescent="0.25">
      <c r="A8243">
        <f ca="1">30868.2116706146*((RANDBETWEEN(2979,3282)))</f>
        <v>97512680.667471617</v>
      </c>
      <c r="B8243">
        <v>161662479.26455235</v>
      </c>
    </row>
    <row r="8244" spans="1:2" x14ac:dyDescent="0.25">
      <c r="A8244">
        <f ca="1">32985.6923093433*((RANDBETWEEN(2979,3282)))</f>
        <v>103608059.54364738</v>
      </c>
      <c r="B8244">
        <v>149070923.00287625</v>
      </c>
    </row>
    <row r="8245" spans="1:2" x14ac:dyDescent="0.25">
      <c r="A8245">
        <f ca="1">39046.3520074425*((RANDBETWEEN(2979,3282)))</f>
        <v>124050260.32764494</v>
      </c>
      <c r="B8245">
        <v>170237699.00948855</v>
      </c>
    </row>
    <row r="8246" spans="1:2" x14ac:dyDescent="0.25">
      <c r="A8246">
        <f ca="1">29183.5477709248*((RANDBETWEEN(2979,3282)))</f>
        <v>91840624.835100234</v>
      </c>
      <c r="B8246">
        <v>196227145.29195061</v>
      </c>
    </row>
    <row r="8247" spans="1:2" x14ac:dyDescent="0.25">
      <c r="A8247">
        <f ca="1">32013.0493152125*((RANDBETWEEN(2979,3282)))</f>
        <v>99912726.912778214</v>
      </c>
      <c r="B8247">
        <v>145524475.19115046</v>
      </c>
    </row>
    <row r="8248" spans="1:2" x14ac:dyDescent="0.25">
      <c r="A8248">
        <f ca="1">32140.9901581108*((RANDBETWEEN(2979,3282)))</f>
        <v>104908191.87607372</v>
      </c>
      <c r="B8248">
        <v>147391630.63073546</v>
      </c>
    </row>
    <row r="8249" spans="1:2" x14ac:dyDescent="0.25">
      <c r="A8249">
        <f ca="1">32409.3885799584*((RANDBETWEEN(2979,3282)))</f>
        <v>99334775.997572541</v>
      </c>
      <c r="B8249">
        <v>161195846.42269301</v>
      </c>
    </row>
    <row r="8250" spans="1:2" x14ac:dyDescent="0.25">
      <c r="A8250">
        <f ca="1">36448.0113629321*((RANDBETWEEN(2979,3282)))</f>
        <v>109271138.06607032</v>
      </c>
      <c r="B8250">
        <v>146991695.20683271</v>
      </c>
    </row>
    <row r="8251" spans="1:2" x14ac:dyDescent="0.25">
      <c r="A8251">
        <f ca="1">32621.5814698816*((RANDBETWEEN(2979,3282)))</f>
        <v>103410413.25952463</v>
      </c>
      <c r="B8251">
        <v>201173098.89837492</v>
      </c>
    </row>
    <row r="8252" spans="1:2" x14ac:dyDescent="0.25">
      <c r="A8252">
        <f ca="1">36994.6886540474*((RANDBETWEEN(2979,3282)))</f>
        <v>114831513.58216316</v>
      </c>
      <c r="B8252">
        <v>162058102.5560354</v>
      </c>
    </row>
    <row r="8253" spans="1:2" x14ac:dyDescent="0.25">
      <c r="A8253">
        <f ca="1">37648.7810122674*((RANDBETWEEN(2979,3282)))</f>
        <v>121266723.64051329</v>
      </c>
      <c r="B8253">
        <v>171243022.19089913</v>
      </c>
    </row>
    <row r="8254" spans="1:2" x14ac:dyDescent="0.25">
      <c r="A8254">
        <f ca="1">30606.001779385*((RANDBETWEEN(2979,3282)))</f>
        <v>96929207.635312334</v>
      </c>
      <c r="B8254">
        <v>149290404.8633886</v>
      </c>
    </row>
    <row r="8255" spans="1:2" x14ac:dyDescent="0.25">
      <c r="A8255">
        <f ca="1">30639.9911093834*((RANDBETWEEN(2979,3282)))</f>
        <v>97986691.567808136</v>
      </c>
      <c r="B8255">
        <v>156441400.46797666</v>
      </c>
    </row>
    <row r="8256" spans="1:2" x14ac:dyDescent="0.25">
      <c r="A8256">
        <f ca="1">36010.9907019965*((RANDBETWEEN(2979,3282)))</f>
        <v>113290576.74848086</v>
      </c>
      <c r="B8256">
        <v>179200441.67645988</v>
      </c>
    </row>
    <row r="8257" spans="1:2" x14ac:dyDescent="0.25">
      <c r="A8257">
        <f ca="1">28133.3599619868*((RANDBETWEEN(2979,3282)))</f>
        <v>87663549.64155075</v>
      </c>
      <c r="B8257">
        <v>186847903.30086073</v>
      </c>
    </row>
    <row r="8258" spans="1:2" x14ac:dyDescent="0.25">
      <c r="A8258">
        <f ca="1">30721.8704863341*((RANDBETWEEN(2979,3282)))</f>
        <v>100429794.61982612</v>
      </c>
      <c r="B8258">
        <v>151820890.84711277</v>
      </c>
    </row>
    <row r="8259" spans="1:2" x14ac:dyDescent="0.25">
      <c r="A8259">
        <f ca="1">31497.4574795551*((RANDBETWEEN(2979,3282)))</f>
        <v>96949174.12207064</v>
      </c>
      <c r="B8259">
        <v>203294695.98699459</v>
      </c>
    </row>
    <row r="8260" spans="1:2" x14ac:dyDescent="0.25">
      <c r="A8260">
        <f ca="1">36431.947221732*((RANDBETWEEN(2979,3282)))</f>
        <v>117274438.10675533</v>
      </c>
      <c r="B8260">
        <v>167324690.44656289</v>
      </c>
    </row>
    <row r="8261" spans="1:2" x14ac:dyDescent="0.25">
      <c r="A8261">
        <f ca="1">32870.3449414268*((RANDBETWEEN(2979,3282)))</f>
        <v>105415196.22715576</v>
      </c>
      <c r="B8261">
        <v>166353812.628658</v>
      </c>
    </row>
    <row r="8262" spans="1:2" x14ac:dyDescent="0.25">
      <c r="A8262">
        <f ca="1">39455.7091986627*((RANDBETWEEN(2979,3282)))</f>
        <v>129020169.07962707</v>
      </c>
      <c r="B8262">
        <v>151873096.34350982</v>
      </c>
    </row>
    <row r="8263" spans="1:2" x14ac:dyDescent="0.25">
      <c r="A8263">
        <f ca="1">31105.0999842133*((RANDBETWEEN(2979,3282)))</f>
        <v>95990338.551282346</v>
      </c>
      <c r="B8263">
        <v>149562753.29928344</v>
      </c>
    </row>
    <row r="8264" spans="1:2" x14ac:dyDescent="0.25">
      <c r="A8264">
        <f ca="1">29779.5677882907*((RANDBETWEEN(2979,3282)))</f>
        <v>95949767.413872927</v>
      </c>
      <c r="B8264">
        <v>168324596.87400043</v>
      </c>
    </row>
    <row r="8265" spans="1:2" x14ac:dyDescent="0.25">
      <c r="A8265">
        <f ca="1">37797.0512056073*((RANDBETWEEN(2979,3282)))</f>
        <v>122462445.90616779</v>
      </c>
      <c r="B8265">
        <v>145279873.62371907</v>
      </c>
    </row>
    <row r="8266" spans="1:2" x14ac:dyDescent="0.25">
      <c r="A8266">
        <f ca="1">36390.5122072118*((RANDBETWEEN(2979,3282)))</f>
        <v>113720350.64753693</v>
      </c>
      <c r="B8266">
        <v>173882689.61942452</v>
      </c>
    </row>
    <row r="8267" spans="1:2" x14ac:dyDescent="0.25">
      <c r="A8267">
        <f ca="1">31530.1684779398*((RANDBETWEEN(2979,3282)))</f>
        <v>102946000.0804733</v>
      </c>
      <c r="B8267">
        <v>181599452.92374381</v>
      </c>
    </row>
    <row r="8268" spans="1:2" x14ac:dyDescent="0.25">
      <c r="A8268">
        <f ca="1">38215.3327762047*((RANDBETWEEN(2979,3282)))</f>
        <v>114340275.66640455</v>
      </c>
      <c r="B8268">
        <v>164565617.25828493</v>
      </c>
    </row>
    <row r="8269" spans="1:2" x14ac:dyDescent="0.25">
      <c r="A8269">
        <f ca="1">34591.4408023249*((RANDBETWEEN(2979,3282)))</f>
        <v>107717746.65843959</v>
      </c>
      <c r="B8269">
        <v>185273251.93759647</v>
      </c>
    </row>
    <row r="8270" spans="1:2" x14ac:dyDescent="0.25">
      <c r="A8270">
        <f ca="1">40079.6311789319*((RANDBETWEEN(2979,3282)))</f>
        <v>129978243.91327623</v>
      </c>
      <c r="B8270">
        <v>151835973.02303329</v>
      </c>
    </row>
    <row r="8271" spans="1:2" x14ac:dyDescent="0.25">
      <c r="A8271">
        <f ca="1">32517.2712486301*((RANDBETWEEN(2979,3282)))</f>
        <v>102591990.789428</v>
      </c>
      <c r="B8271">
        <v>163126592.60070795</v>
      </c>
    </row>
    <row r="8272" spans="1:2" x14ac:dyDescent="0.25">
      <c r="A8272">
        <f ca="1">36650.6788187913*((RANDBETWEEN(2979,3282)))</f>
        <v>115486288.95801146</v>
      </c>
      <c r="B8272">
        <v>185903863.58835632</v>
      </c>
    </row>
    <row r="8273" spans="1:2" x14ac:dyDescent="0.25">
      <c r="A8273">
        <f ca="1">35127.2966822134*((RANDBETWEEN(2979,3282)))</f>
        <v>114936514.74420235</v>
      </c>
      <c r="B8273">
        <v>167636396.37833339</v>
      </c>
    </row>
    <row r="8274" spans="1:2" x14ac:dyDescent="0.25">
      <c r="A8274">
        <f ca="1">30576.0194151711*((RANDBETWEEN(2979,3282)))</f>
        <v>98821694.749833077</v>
      </c>
      <c r="B8274">
        <v>168156636.85270718</v>
      </c>
    </row>
    <row r="8275" spans="1:2" x14ac:dyDescent="0.25">
      <c r="A8275">
        <f ca="1">31359.2171758354*((RANDBETWEEN(2979,3282)))</f>
        <v>94046292.310330495</v>
      </c>
      <c r="B8275">
        <v>203396597.14567485</v>
      </c>
    </row>
    <row r="8276" spans="1:2" x14ac:dyDescent="0.25">
      <c r="A8276">
        <f ca="1">29761.8111231217*((RANDBETWEEN(2979,3282)))</f>
        <v>95773508.194205642</v>
      </c>
      <c r="B8276">
        <v>157142403.1914134</v>
      </c>
    </row>
    <row r="8277" spans="1:2" x14ac:dyDescent="0.25">
      <c r="A8277">
        <f ca="1">29505.8465849376*((RANDBETWEEN(2979,3282)))</f>
        <v>91586147.799646288</v>
      </c>
      <c r="B8277">
        <v>200766941.85092396</v>
      </c>
    </row>
    <row r="8278" spans="1:2" x14ac:dyDescent="0.25">
      <c r="A8278">
        <f ca="1">29564.8866671151*((RANDBETWEEN(2979,3282)))</f>
        <v>93158957.888079807</v>
      </c>
      <c r="B8278">
        <v>152904605.21882811</v>
      </c>
    </row>
    <row r="8279" spans="1:2" x14ac:dyDescent="0.25">
      <c r="A8279">
        <f ca="1">31235.981852754*((RANDBETWEEN(2979,3282)))</f>
        <v>100298737.72919296</v>
      </c>
      <c r="B8279">
        <v>201925031.2530998</v>
      </c>
    </row>
    <row r="8280" spans="1:2" x14ac:dyDescent="0.25">
      <c r="A8280">
        <f ca="1">35977.8311293118*((RANDBETWEEN(2979,3282)))</f>
        <v>107825559.89454736</v>
      </c>
      <c r="B8280">
        <v>152598429.94242746</v>
      </c>
    </row>
    <row r="8281" spans="1:2" x14ac:dyDescent="0.25">
      <c r="A8281">
        <f ca="1">38306.2626375191*((RANDBETWEEN(2979,3282)))</f>
        <v>116412732.15542051</v>
      </c>
      <c r="B8281">
        <v>180939077.124118</v>
      </c>
    </row>
    <row r="8282" spans="1:2" x14ac:dyDescent="0.25">
      <c r="A8282">
        <f ca="1">32981.4474530893*((RANDBETWEEN(2979,3282)))</f>
        <v>102077579.86731145</v>
      </c>
      <c r="B8282">
        <v>184400625.6867463</v>
      </c>
    </row>
    <row r="8283" spans="1:2" x14ac:dyDescent="0.25">
      <c r="A8283">
        <f ca="1">28819.4570847726*((RANDBETWEEN(2979,3282)))</f>
        <v>86400732.34014836</v>
      </c>
      <c r="B8283">
        <v>163534927.60132682</v>
      </c>
    </row>
    <row r="8284" spans="1:2" x14ac:dyDescent="0.25">
      <c r="A8284">
        <f ca="1">29862.6860717182*((RANDBETWEEN(2979,3282)))</f>
        <v>90185311.936589107</v>
      </c>
      <c r="B8284">
        <v>174519993.40202177</v>
      </c>
    </row>
    <row r="8285" spans="1:2" x14ac:dyDescent="0.25">
      <c r="A8285">
        <f ca="1">30788.6531766727*((RANDBETWEEN(2979,3282)))</f>
        <v>93813026.229321808</v>
      </c>
      <c r="B8285">
        <v>170691693.01597193</v>
      </c>
    </row>
    <row r="8286" spans="1:2" x14ac:dyDescent="0.25">
      <c r="A8286">
        <f ca="1">32647.852132997*((RANDBETWEEN(2979,3282)))</f>
        <v>103036621.33173865</v>
      </c>
      <c r="B8286">
        <v>187935620.42009637</v>
      </c>
    </row>
    <row r="8287" spans="1:2" x14ac:dyDescent="0.25">
      <c r="A8287">
        <f ca="1">31331.6558488475*((RANDBETWEEN(2979,3282)))</f>
        <v>96062856.832566515</v>
      </c>
      <c r="B8287">
        <v>150153525.09592694</v>
      </c>
    </row>
    <row r="8288" spans="1:2" x14ac:dyDescent="0.25">
      <c r="A8288">
        <f ca="1">33261.8920989789*((RANDBETWEEN(2979,3282)))</f>
        <v>105839340.65895097</v>
      </c>
      <c r="B8288">
        <v>156675694.96148509</v>
      </c>
    </row>
    <row r="8289" spans="1:2" x14ac:dyDescent="0.25">
      <c r="A8289">
        <f ca="1">41478.4869074132*((RANDBETWEEN(2979,3282)))</f>
        <v>124974681.05203608</v>
      </c>
      <c r="B8289">
        <v>171115442.32707167</v>
      </c>
    </row>
    <row r="8290" spans="1:2" x14ac:dyDescent="0.25">
      <c r="A8290">
        <f ca="1">37634.0529459987*((RANDBETWEEN(2979,3282)))</f>
        <v>113353767.47334813</v>
      </c>
      <c r="B8290">
        <v>152730599.40619501</v>
      </c>
    </row>
    <row r="8291" spans="1:2" x14ac:dyDescent="0.25">
      <c r="A8291">
        <f ca="1">32335.4399534179*((RANDBETWEEN(2979,3282)))</f>
        <v>96779971.780579776</v>
      </c>
      <c r="B8291">
        <v>153023261.74523571</v>
      </c>
    </row>
    <row r="8292" spans="1:2" x14ac:dyDescent="0.25">
      <c r="A8292">
        <f ca="1">31474.6752050268*((RANDBETWEEN(2979,3282)))</f>
        <v>102638915.84359238</v>
      </c>
      <c r="B8292">
        <v>155712647.07551771</v>
      </c>
    </row>
    <row r="8293" spans="1:2" x14ac:dyDescent="0.25">
      <c r="A8293">
        <f ca="1">31933.1401625828*((RANDBETWEEN(2979,3282)))</f>
        <v>97332211.2155523</v>
      </c>
      <c r="B8293">
        <v>144087362.74750504</v>
      </c>
    </row>
    <row r="8294" spans="1:2" x14ac:dyDescent="0.25">
      <c r="A8294">
        <f ca="1">41656.6307081553*((RANDBETWEEN(2979,3282)))</f>
        <v>136675405.35345751</v>
      </c>
      <c r="B8294">
        <v>163144092.06172168</v>
      </c>
    </row>
    <row r="8295" spans="1:2" x14ac:dyDescent="0.25">
      <c r="A8295">
        <f ca="1">32954.7018069871*((RANDBETWEEN(2979,3282)))</f>
        <v>105652773.99320067</v>
      </c>
      <c r="B8295">
        <v>189329126.0359709</v>
      </c>
    </row>
    <row r="8296" spans="1:2" x14ac:dyDescent="0.25">
      <c r="A8296">
        <f ca="1">34070.3561800803*((RANDBETWEEN(2979,3282)))</f>
        <v>110728657.58526109</v>
      </c>
      <c r="B8296">
        <v>177170347.73765862</v>
      </c>
    </row>
    <row r="8297" spans="1:2" x14ac:dyDescent="0.25">
      <c r="A8297">
        <f ca="1">32723.5024454314*((RANDBETWEEN(2979,3282)))</f>
        <v>105238783.86450739</v>
      </c>
      <c r="B8297">
        <v>168760213.04785299</v>
      </c>
    </row>
    <row r="8298" spans="1:2" x14ac:dyDescent="0.25">
      <c r="A8298">
        <f ca="1">31811.0526494875*((RANDBETWEEN(2979,3282)))</f>
        <v>98073475.31836991</v>
      </c>
      <c r="B8298">
        <v>173666026.36256725</v>
      </c>
    </row>
    <row r="8299" spans="1:2" x14ac:dyDescent="0.25">
      <c r="A8299">
        <f ca="1">29988.7945193051*((RANDBETWEEN(2979,3282)))</f>
        <v>96144075.228892148</v>
      </c>
      <c r="B8299">
        <v>173582701.4293544</v>
      </c>
    </row>
    <row r="8300" spans="1:2" x14ac:dyDescent="0.25">
      <c r="A8300">
        <f ca="1">32227.2887915867*((RANDBETWEEN(2979,3282)))</f>
        <v>100484686.45216729</v>
      </c>
      <c r="B8300">
        <v>144178967.55906755</v>
      </c>
    </row>
    <row r="8301" spans="1:2" x14ac:dyDescent="0.25">
      <c r="A8301">
        <f ca="1">29078.0471869888*((RANDBETWEEN(2979,3282)))</f>
        <v>86914283.041909382</v>
      </c>
      <c r="B8301">
        <v>164737291.73015073</v>
      </c>
    </row>
    <row r="8302" spans="1:2" x14ac:dyDescent="0.25">
      <c r="A8302">
        <f ca="1">33343.9894499892*((RANDBETWEEN(2979,3282)))</f>
        <v>108701405.60696474</v>
      </c>
      <c r="B8302">
        <v>191889212.20602903</v>
      </c>
    </row>
    <row r="8303" spans="1:2" x14ac:dyDescent="0.25">
      <c r="A8303">
        <f ca="1">38614.3434377593*((RANDBETWEEN(2979,3282)))</f>
        <v>121442110.11175297</v>
      </c>
      <c r="B8303">
        <v>156956854.68895257</v>
      </c>
    </row>
    <row r="8304" spans="1:2" x14ac:dyDescent="0.25">
      <c r="A8304">
        <f ca="1">38412.1296081403*((RANDBETWEEN(2979,3282)))</f>
        <v>116619225.49031386</v>
      </c>
      <c r="B8304">
        <v>152975351.92255396</v>
      </c>
    </row>
    <row r="8305" spans="1:2" x14ac:dyDescent="0.25">
      <c r="A8305">
        <f ca="1">31839.75272945*((RANDBETWEEN(2979,3282)))</f>
        <v>98321156.428541511</v>
      </c>
      <c r="B8305">
        <v>144817620.36983192</v>
      </c>
    </row>
    <row r="8306" spans="1:2" x14ac:dyDescent="0.25">
      <c r="A8306">
        <f ca="1">40640.2980264825*((RANDBETWEEN(2979,3282)))</f>
        <v>132934414.84462419</v>
      </c>
      <c r="B8306">
        <v>203600873.7032305</v>
      </c>
    </row>
    <row r="8307" spans="1:2" x14ac:dyDescent="0.25">
      <c r="A8307">
        <f ca="1">33415.7753222276*((RANDBETWEEN(2979,3282)))</f>
        <v>103121082.64439447</v>
      </c>
      <c r="B8307">
        <v>157227546.4685238</v>
      </c>
    </row>
    <row r="8308" spans="1:2" x14ac:dyDescent="0.25">
      <c r="A8308">
        <f ca="1">31072.4768062133*((RANDBETWEEN(2979,3282)))</f>
        <v>96448968.006486043</v>
      </c>
      <c r="B8308">
        <v>163924681.53891015</v>
      </c>
    </row>
    <row r="8309" spans="1:2" x14ac:dyDescent="0.25">
      <c r="A8309">
        <f ca="1">33815.3953717536*((RANDBETWEEN(2979,3282)))</f>
        <v>104489571.69871853</v>
      </c>
      <c r="B8309">
        <v>178676192.18355715</v>
      </c>
    </row>
    <row r="8310" spans="1:2" x14ac:dyDescent="0.25">
      <c r="A8310">
        <f ca="1">31539.5671402936*((RANDBETWEEN(2979,3282)))</f>
        <v>95880284.106492415</v>
      </c>
      <c r="B8310">
        <v>147864921.65466326</v>
      </c>
    </row>
    <row r="8311" spans="1:2" x14ac:dyDescent="0.25">
      <c r="A8311">
        <f ca="1">30864.145795901*((RANDBETWEEN(2979,3282)))</f>
        <v>100833164.31520861</v>
      </c>
      <c r="B8311">
        <v>144971392.60122794</v>
      </c>
    </row>
    <row r="8312" spans="1:2" x14ac:dyDescent="0.25">
      <c r="A8312">
        <f ca="1">34451.4756836687*((RANDBETWEEN(2979,3282)))</f>
        <v>108901114.63607675</v>
      </c>
      <c r="B8312">
        <v>150326124.55972254</v>
      </c>
    </row>
    <row r="8313" spans="1:2" x14ac:dyDescent="0.25">
      <c r="A8313">
        <f ca="1">34694.9889316875*((RANDBETWEEN(2979,3282)))</f>
        <v>110850489.63674162</v>
      </c>
      <c r="B8313">
        <v>161457405.65761489</v>
      </c>
    </row>
    <row r="8314" spans="1:2" x14ac:dyDescent="0.25">
      <c r="A8314">
        <f ca="1">36294.8586812041*((RANDBETWEEN(2979,3282)))</f>
        <v>117740521.56182614</v>
      </c>
      <c r="B8314">
        <v>200083606.89420432</v>
      </c>
    </row>
    <row r="8315" spans="1:2" x14ac:dyDescent="0.25">
      <c r="A8315">
        <f ca="1">37979.3593326239*((RANDBETWEEN(2979,3282)))</f>
        <v>122787268.72237292</v>
      </c>
      <c r="B8315">
        <v>162774819.76803604</v>
      </c>
    </row>
    <row r="8316" spans="1:2" x14ac:dyDescent="0.25">
      <c r="A8316">
        <f ca="1">30262.3985579081*((RANDBETWEEN(2979,3282)))</f>
        <v>94388421.102115244</v>
      </c>
      <c r="B8316">
        <v>154061349.27862522</v>
      </c>
    </row>
    <row r="8317" spans="1:2" x14ac:dyDescent="0.25">
      <c r="A8317">
        <f ca="1">33802.3884967483*((RANDBETWEEN(2979,3282)))</f>
        <v>103840937.46201065</v>
      </c>
      <c r="B8317">
        <v>166005322.50891557</v>
      </c>
    </row>
    <row r="8318" spans="1:2" x14ac:dyDescent="0.25">
      <c r="A8318">
        <f ca="1">34162.8217001311*((RANDBETWEEN(2979,3282)))</f>
        <v>102385976.63529281</v>
      </c>
      <c r="B8318">
        <v>189047577.99342385</v>
      </c>
    </row>
    <row r="8319" spans="1:2" x14ac:dyDescent="0.25">
      <c r="A8319">
        <f ca="1">34008.7353443633*((RANDBETWEEN(2979,3282)))</f>
        <v>105325053.36149326</v>
      </c>
      <c r="B8319">
        <v>178532882.32181501</v>
      </c>
    </row>
    <row r="8320" spans="1:2" x14ac:dyDescent="0.25">
      <c r="A8320">
        <f ca="1">35939.1220524993*((RANDBETWEEN(2979,3282)))</f>
        <v>107925183.52365552</v>
      </c>
      <c r="B8320">
        <v>163095555.8287963</v>
      </c>
    </row>
    <row r="8321" spans="1:2" x14ac:dyDescent="0.25">
      <c r="A8321">
        <f ca="1">36147.6010593047*((RANDBETWEEN(2979,3282)))</f>
        <v>118130360.26180768</v>
      </c>
      <c r="B8321">
        <v>188813843.87903598</v>
      </c>
    </row>
    <row r="8322" spans="1:2" x14ac:dyDescent="0.25">
      <c r="A8322">
        <f ca="1">32754.490252707*((RANDBETWEEN(2979,3282)))</f>
        <v>105076404.73068392</v>
      </c>
      <c r="B8322">
        <v>160802582.65934184</v>
      </c>
    </row>
    <row r="8323" spans="1:2" x14ac:dyDescent="0.25">
      <c r="A8323">
        <f ca="1">31283.3631033682*((RANDBETWEEN(2979,3282)))</f>
        <v>96415325.084580913</v>
      </c>
      <c r="B8323">
        <v>166085659.18254212</v>
      </c>
    </row>
    <row r="8324" spans="1:2" x14ac:dyDescent="0.25">
      <c r="A8324">
        <f ca="1">35646.2646115271*((RANDBETWEEN(2979,3282)))</f>
        <v>114638386.99067125</v>
      </c>
      <c r="B8324">
        <v>190370309.30512911</v>
      </c>
    </row>
    <row r="8325" spans="1:2" x14ac:dyDescent="0.25">
      <c r="A8325">
        <f ca="1">30198.2116357858*((RANDBETWEEN(2979,3282)))</f>
        <v>98295178.874482825</v>
      </c>
      <c r="B8325">
        <v>179202479.53024405</v>
      </c>
    </row>
    <row r="8326" spans="1:2" x14ac:dyDescent="0.25">
      <c r="A8326">
        <f ca="1">34687.7410649219*((RANDBETWEEN(2979,3282)))</f>
        <v>108537941.79214065</v>
      </c>
      <c r="B8326">
        <v>189858362.538625</v>
      </c>
    </row>
    <row r="8327" spans="1:2" x14ac:dyDescent="0.25">
      <c r="A8327">
        <f ca="1">40925.3130927847*((RANDBETWEEN(2979,3282)))</f>
        <v>130674524.70526153</v>
      </c>
      <c r="B8327">
        <v>168876989.79095453</v>
      </c>
    </row>
    <row r="8328" spans="1:2" x14ac:dyDescent="0.25">
      <c r="A8328">
        <f ca="1">37204.7454499271*((RANDBETWEEN(2979,3282)))</f>
        <v>116376443.76737201</v>
      </c>
      <c r="B8328">
        <v>163166750.40197426</v>
      </c>
    </row>
    <row r="8329" spans="1:2" x14ac:dyDescent="0.25">
      <c r="A8329">
        <f ca="1">31026.9403386223*((RANDBETWEEN(2979,3282)))</f>
        <v>96059407.288374797</v>
      </c>
      <c r="B8329">
        <v>147823531.53659359</v>
      </c>
    </row>
    <row r="8330" spans="1:2" x14ac:dyDescent="0.25">
      <c r="A8330">
        <f ca="1">30930.2591337265*((RANDBETWEEN(2979,3282)))</f>
        <v>99286131.819261998</v>
      </c>
      <c r="B8330">
        <v>181860506.92567271</v>
      </c>
    </row>
    <row r="8331" spans="1:2" x14ac:dyDescent="0.25">
      <c r="A8331">
        <f ca="1">32049.2926474848*((RANDBETWEEN(2979,3282)))</f>
        <v>96436321.576281875</v>
      </c>
      <c r="B8331">
        <v>156016617.25961232</v>
      </c>
    </row>
    <row r="8332" spans="1:2" x14ac:dyDescent="0.25">
      <c r="A8332">
        <f ca="1">34176.0319646847*((RANDBETWEEN(2979,3282)))</f>
        <v>109670886.57467331</v>
      </c>
      <c r="B8332">
        <v>179414569.14337084</v>
      </c>
    </row>
    <row r="8333" spans="1:2" x14ac:dyDescent="0.25">
      <c r="A8333">
        <f ca="1">29077.8420925862*((RANDBETWEEN(2979,3282)))</f>
        <v>92118603.749312922</v>
      </c>
      <c r="B8333">
        <v>177480055.10260576</v>
      </c>
    </row>
    <row r="8334" spans="1:2" x14ac:dyDescent="0.25">
      <c r="A8334">
        <f ca="1">34502.9314379453*((RANDBETWEEN(2979,3282)))</f>
        <v>111996515.44757053</v>
      </c>
      <c r="B8334">
        <v>152297039.3327747</v>
      </c>
    </row>
    <row r="8335" spans="1:2" x14ac:dyDescent="0.25">
      <c r="A8335">
        <f ca="1">42138.7462927605*((RANDBETWEEN(2979,3282)))</f>
        <v>134127629.44985677</v>
      </c>
      <c r="B8335">
        <v>148096957.20317009</v>
      </c>
    </row>
    <row r="8336" spans="1:2" x14ac:dyDescent="0.25">
      <c r="A8336">
        <f ca="1">31331.169400868*((RANDBETWEEN(2979,3282)))</f>
        <v>96437339.415871784</v>
      </c>
      <c r="B8336">
        <v>167888024.36646503</v>
      </c>
    </row>
    <row r="8337" spans="1:2" x14ac:dyDescent="0.25">
      <c r="A8337">
        <f ca="1">31961.3753091442*((RANDBETWEEN(2979,3282)))</f>
        <v>100646370.84849514</v>
      </c>
      <c r="B8337">
        <v>150340526.75821149</v>
      </c>
    </row>
    <row r="8338" spans="1:2" x14ac:dyDescent="0.25">
      <c r="A8338">
        <f ca="1">29278.6303036351*((RANDBETWEEN(2979,3282)))</f>
        <v>90002509.55337432</v>
      </c>
      <c r="B8338">
        <v>202191585.5774101</v>
      </c>
    </row>
    <row r="8339" spans="1:2" x14ac:dyDescent="0.25">
      <c r="A8339">
        <f ca="1">38940.2538758024*((RANDBETWEEN(2979,3282)))</f>
        <v>122544978.94715019</v>
      </c>
      <c r="B8339">
        <v>163868605.10050815</v>
      </c>
    </row>
    <row r="8340" spans="1:2" x14ac:dyDescent="0.25">
      <c r="A8340">
        <f ca="1">32585.3310841673*((RANDBETWEEN(2979,3282)))</f>
        <v>106163008.67221716</v>
      </c>
      <c r="B8340">
        <v>156121524.4575423</v>
      </c>
    </row>
    <row r="8341" spans="1:2" x14ac:dyDescent="0.25">
      <c r="A8341">
        <f ca="1">31261.3671149335*((RANDBETWEEN(2979,3282)))</f>
        <v>95128340.130742759</v>
      </c>
      <c r="B8341">
        <v>160648769.42148581</v>
      </c>
    </row>
    <row r="8342" spans="1:2" x14ac:dyDescent="0.25">
      <c r="A8342">
        <f ca="1">35857.1297314704*((RANDBETWEEN(2979,3282)))</f>
        <v>108109246.14038312</v>
      </c>
      <c r="B8342">
        <v>183723415.40719986</v>
      </c>
    </row>
    <row r="8343" spans="1:2" x14ac:dyDescent="0.25">
      <c r="A8343">
        <f ca="1">29631.3893386933*((RANDBETWEEN(2979,3282)))</f>
        <v>94613026.158447713</v>
      </c>
      <c r="B8343">
        <v>180275899.41398066</v>
      </c>
    </row>
    <row r="8344" spans="1:2" x14ac:dyDescent="0.25">
      <c r="A8344">
        <f ca="1">31155.921431963*((RANDBETWEEN(2979,3282)))</f>
        <v>93623543.903048813</v>
      </c>
      <c r="B8344">
        <v>181403042.86652514</v>
      </c>
    </row>
    <row r="8345" spans="1:2" x14ac:dyDescent="0.25">
      <c r="A8345">
        <f ca="1">32219.2471591166*((RANDBETWEEN(2979,3282)))</f>
        <v>104938087.99724267</v>
      </c>
      <c r="B8345">
        <v>172024645.4202888</v>
      </c>
    </row>
    <row r="8346" spans="1:2" x14ac:dyDescent="0.25">
      <c r="A8346">
        <f ca="1">39636.7794429641*((RANDBETWEEN(2979,3282)))</f>
        <v>118355423.41669068</v>
      </c>
      <c r="B8346">
        <v>159572884.91189244</v>
      </c>
    </row>
    <row r="8347" spans="1:2" x14ac:dyDescent="0.25">
      <c r="A8347">
        <f ca="1">39754.0811760133*((RANDBETWEEN(2979,3282)))</f>
        <v>126099945.49031432</v>
      </c>
      <c r="B8347">
        <v>158929584.9135974</v>
      </c>
    </row>
    <row r="8348" spans="1:2" x14ac:dyDescent="0.25">
      <c r="A8348">
        <f ca="1">31595.3645720894*((RANDBETWEEN(2979,3282)))</f>
        <v>94375353.976831123</v>
      </c>
      <c r="B8348">
        <v>202705718.02568388</v>
      </c>
    </row>
    <row r="8349" spans="1:2" x14ac:dyDescent="0.25">
      <c r="A8349">
        <f ca="1">31405.67227362*((RANDBETWEEN(2979,3282)))</f>
        <v>97231961.359127626</v>
      </c>
      <c r="B8349">
        <v>144420383.37952781</v>
      </c>
    </row>
    <row r="8350" spans="1:2" x14ac:dyDescent="0.25">
      <c r="A8350">
        <f ca="1">42081.2674383113*((RANDBETWEEN(2979,3282)))</f>
        <v>129904872.58206683</v>
      </c>
      <c r="B8350">
        <v>156051486.83970472</v>
      </c>
    </row>
    <row r="8351" spans="1:2" x14ac:dyDescent="0.25">
      <c r="A8351">
        <f ca="1">32049.4674086842*((RANDBETWEEN(2979,3282)))</f>
        <v>104449214.28490172</v>
      </c>
      <c r="B8351">
        <v>175388705.06842226</v>
      </c>
    </row>
    <row r="8352" spans="1:2" x14ac:dyDescent="0.25">
      <c r="A8352">
        <f ca="1">34332.9174861342*((RANDBETWEEN(2979,3282)))</f>
        <v>105264725.01248747</v>
      </c>
      <c r="B8352">
        <v>194512599.95141047</v>
      </c>
    </row>
    <row r="8353" spans="1:2" x14ac:dyDescent="0.25">
      <c r="A8353">
        <f ca="1">27346.3383748639*((RANDBETWEEN(2979,3282)))</f>
        <v>84308761.209705353</v>
      </c>
      <c r="B8353">
        <v>165355034.93068409</v>
      </c>
    </row>
    <row r="8354" spans="1:2" x14ac:dyDescent="0.25">
      <c r="A8354">
        <f ca="1">32758.4801470275*((RANDBETWEEN(2979,3282)))</f>
        <v>99618538.12711066</v>
      </c>
      <c r="B8354">
        <v>163508477.57044405</v>
      </c>
    </row>
    <row r="8355" spans="1:2" x14ac:dyDescent="0.25">
      <c r="A8355">
        <f ca="1">39050.200915986*((RANDBETWEEN(2979,3282)))</f>
        <v>125897847.75313902</v>
      </c>
      <c r="B8355">
        <v>171992271.66182202</v>
      </c>
    </row>
    <row r="8356" spans="1:2" x14ac:dyDescent="0.25">
      <c r="A8356">
        <f ca="1">34128.3759516291*((RANDBETWEEN(2979,3282)))</f>
        <v>110507681.33137491</v>
      </c>
      <c r="B8356">
        <v>158814626.80281785</v>
      </c>
    </row>
    <row r="8357" spans="1:2" x14ac:dyDescent="0.25">
      <c r="A8357">
        <f ca="1">34360.4712425405*((RANDBETWEEN(2979,3282)))</f>
        <v>109884787.0336445</v>
      </c>
      <c r="B8357">
        <v>194696394.34139532</v>
      </c>
    </row>
    <row r="8358" spans="1:2" x14ac:dyDescent="0.25">
      <c r="A8358">
        <f ca="1">29514.2741991703*((RANDBETWEEN(2979,3282)))</f>
        <v>88513308.323311731</v>
      </c>
      <c r="B8358">
        <v>150087336.6741235</v>
      </c>
    </row>
    <row r="8359" spans="1:2" x14ac:dyDescent="0.25">
      <c r="A8359">
        <f ca="1">37214.6967382821*((RANDBETWEEN(2979,3282)))</f>
        <v>115663277.46258089</v>
      </c>
      <c r="B8359">
        <v>149514852.55362496</v>
      </c>
    </row>
    <row r="8360" spans="1:2" x14ac:dyDescent="0.25">
      <c r="A8360">
        <f ca="1">38147.697025574*((RANDBETWEEN(2979,3282)))</f>
        <v>123445947.57475743</v>
      </c>
      <c r="B8360">
        <v>196454432.60202244</v>
      </c>
    </row>
    <row r="8361" spans="1:2" x14ac:dyDescent="0.25">
      <c r="A8361">
        <f ca="1">30612.1129322325*((RANDBETWEEN(2979,3282)))</f>
        <v>92173072.038952038</v>
      </c>
      <c r="B8361">
        <v>148936134.66495806</v>
      </c>
    </row>
    <row r="8362" spans="1:2" x14ac:dyDescent="0.25">
      <c r="A8362">
        <f ca="1">39487.8876164584*((RANDBETWEEN(2979,3282)))</f>
        <v>128493586.30395561</v>
      </c>
      <c r="B8362">
        <v>173149590.02368712</v>
      </c>
    </row>
    <row r="8363" spans="1:2" x14ac:dyDescent="0.25">
      <c r="A8363">
        <f ca="1">31572.7938399231*((RANDBETWEEN(2979,3282)))</f>
        <v>98538689.574400023</v>
      </c>
      <c r="B8363">
        <v>152854823.39329544</v>
      </c>
    </row>
    <row r="8364" spans="1:2" x14ac:dyDescent="0.25">
      <c r="A8364">
        <f ca="1">31272.8110480741*((RANDBETWEEN(2979,3282)))</f>
        <v>93192976.923260957</v>
      </c>
      <c r="B8364">
        <v>144716533.58861819</v>
      </c>
    </row>
    <row r="8365" spans="1:2" x14ac:dyDescent="0.25">
      <c r="A8365">
        <f ca="1">33944.9936763785*((RANDBETWEEN(2979,3282)))</f>
        <v>104245075.58015826</v>
      </c>
      <c r="B8365">
        <v>146552197.65232545</v>
      </c>
    </row>
    <row r="8366" spans="1:2" x14ac:dyDescent="0.25">
      <c r="A8366">
        <f ca="1">32716.279414773*((RANDBETWEEN(2979,3282)))</f>
        <v>106884084.84806353</v>
      </c>
      <c r="B8366">
        <v>173498412.81571868</v>
      </c>
    </row>
    <row r="8367" spans="1:2" x14ac:dyDescent="0.25">
      <c r="A8367">
        <f ca="1">33363.3251521447*((RANDBETWEEN(2979,3282)))</f>
        <v>103726577.89801784</v>
      </c>
      <c r="B8367">
        <v>152725680.94892812</v>
      </c>
    </row>
    <row r="8368" spans="1:2" x14ac:dyDescent="0.25">
      <c r="A8368">
        <f ca="1">35240.2353747961*((RANDBETWEEN(2979,3282)))</f>
        <v>109139008.95574351</v>
      </c>
      <c r="B8368">
        <v>152656132.2557762</v>
      </c>
    </row>
    <row r="8369" spans="1:2" x14ac:dyDescent="0.25">
      <c r="A8369">
        <f ca="1">31068.9873905745*((RANDBETWEEN(2979,3282)))</f>
        <v>100818864.08241417</v>
      </c>
      <c r="B8369">
        <v>168951584.82467058</v>
      </c>
    </row>
    <row r="8370" spans="1:2" x14ac:dyDescent="0.25">
      <c r="A8370">
        <f ca="1">29902.566560286*((RANDBETWEEN(2979,3282)))</f>
        <v>96615192.556283996</v>
      </c>
      <c r="B8370">
        <v>176892149.70444351</v>
      </c>
    </row>
    <row r="8371" spans="1:2" x14ac:dyDescent="0.25">
      <c r="A8371">
        <f ca="1">33690.0244479236*((RANDBETWEEN(2979,3282)))</f>
        <v>101979704.00386479</v>
      </c>
      <c r="B8371">
        <v>144373950.37172842</v>
      </c>
    </row>
    <row r="8372" spans="1:2" x14ac:dyDescent="0.25">
      <c r="A8372">
        <f ca="1">34283.6580695288*((RANDBETWEEN(2979,3282)))</f>
        <v>106210772.69940026</v>
      </c>
      <c r="B8372">
        <v>171370750.67157245</v>
      </c>
    </row>
    <row r="8373" spans="1:2" x14ac:dyDescent="0.25">
      <c r="A8373">
        <f ca="1">30768.6098611207*((RANDBETWEEN(2979,3282)))</f>
        <v>97228807.161141291</v>
      </c>
      <c r="B8373">
        <v>155746655.50339323</v>
      </c>
    </row>
    <row r="8374" spans="1:2" x14ac:dyDescent="0.25">
      <c r="A8374">
        <f ca="1">30627.7350300308*((RANDBETWEEN(2979,3282)))</f>
        <v>93169569.961353675</v>
      </c>
      <c r="B8374">
        <v>175899276.74608222</v>
      </c>
    </row>
    <row r="8375" spans="1:2" x14ac:dyDescent="0.25">
      <c r="A8375">
        <f ca="1">30088.7027797001*((RANDBETWEEN(2979,3282)))</f>
        <v>92312140.128119886</v>
      </c>
      <c r="B8375">
        <v>152250318.37023383</v>
      </c>
    </row>
    <row r="8376" spans="1:2" x14ac:dyDescent="0.25">
      <c r="A8376">
        <f ca="1">34747.9482795766*((RANDBETWEEN(2979,3282)))</f>
        <v>113625790.87421548</v>
      </c>
      <c r="B8376">
        <v>161896366.52872622</v>
      </c>
    </row>
    <row r="8377" spans="1:2" x14ac:dyDescent="0.25">
      <c r="A8377">
        <f ca="1">32154.7203909144*((RANDBETWEEN(2979,3282)))</f>
        <v>99454550.169098347</v>
      </c>
      <c r="B8377">
        <v>166100512.37723112</v>
      </c>
    </row>
    <row r="8378" spans="1:2" x14ac:dyDescent="0.25">
      <c r="A8378">
        <f ca="1">32841.2277582744*((RANDBETWEEN(2979,3282)))</f>
        <v>105190452.50975277</v>
      </c>
      <c r="B8378">
        <v>163625540.55010483</v>
      </c>
    </row>
    <row r="8379" spans="1:2" x14ac:dyDescent="0.25">
      <c r="A8379">
        <f ca="1">39106.3102975978*((RANDBETWEEN(2979,3282)))</f>
        <v>117709993.9957695</v>
      </c>
      <c r="B8379">
        <v>149111438.58659041</v>
      </c>
    </row>
    <row r="8380" spans="1:2" x14ac:dyDescent="0.25">
      <c r="A8380">
        <f ca="1">39645.7048004293*((RANDBETWEEN(2979,3282)))</f>
        <v>122188062.19492309</v>
      </c>
      <c r="B8380">
        <v>179784832.87887681</v>
      </c>
    </row>
    <row r="8381" spans="1:2" x14ac:dyDescent="0.25">
      <c r="A8381">
        <f ca="1">33193.3443866476*((RANDBETWEEN(2979,3282)))</f>
        <v>105919961.93779254</v>
      </c>
      <c r="B8381">
        <v>161873953.16004297</v>
      </c>
    </row>
    <row r="8382" spans="1:2" x14ac:dyDescent="0.25">
      <c r="A8382">
        <f ca="1">32448.7560982905*((RANDBETWEEN(2979,3282)))</f>
        <v>106431920.00239286</v>
      </c>
      <c r="B8382">
        <v>172045377.59257466</v>
      </c>
    </row>
    <row r="8383" spans="1:2" x14ac:dyDescent="0.25">
      <c r="A8383">
        <f ca="1">32555.3628345566*((RANDBETWEEN(2979,3282)))</f>
        <v>105056155.86711425</v>
      </c>
      <c r="B8383">
        <v>146457931.01783252</v>
      </c>
    </row>
    <row r="8384" spans="1:2" x14ac:dyDescent="0.25">
      <c r="A8384">
        <f ca="1">26918.0005601211*((RANDBETWEEN(2979,3282)))</f>
        <v>83903407.745897472</v>
      </c>
      <c r="B8384">
        <v>154745758.57362565</v>
      </c>
    </row>
    <row r="8385" spans="1:2" x14ac:dyDescent="0.25">
      <c r="A8385">
        <f ca="1">32232.0554327602*((RANDBETWEEN(2979,3282)))</f>
        <v>96760630.4091461</v>
      </c>
      <c r="B8385">
        <v>177349643.62353292</v>
      </c>
    </row>
    <row r="8386" spans="1:2" x14ac:dyDescent="0.25">
      <c r="A8386">
        <f ca="1">38520.9821602802*((RANDBETWEEN(2979,3282)))</f>
        <v>121456656.75136362</v>
      </c>
      <c r="B8386">
        <v>170089655.33471179</v>
      </c>
    </row>
    <row r="8387" spans="1:2" x14ac:dyDescent="0.25">
      <c r="A8387">
        <f ca="1">28291.2364458402*((RANDBETWEEN(2979,3282)))</f>
        <v>84534214.50017038</v>
      </c>
      <c r="B8387">
        <v>198787138.1059137</v>
      </c>
    </row>
    <row r="8388" spans="1:2" x14ac:dyDescent="0.25">
      <c r="A8388">
        <f ca="1">30404.7156867647*((RANDBETWEEN(2979,3282)))</f>
        <v>92369526.256391153</v>
      </c>
      <c r="B8388">
        <v>155239816.7310164</v>
      </c>
    </row>
    <row r="8389" spans="1:2" x14ac:dyDescent="0.25">
      <c r="A8389">
        <f ca="1">32644.4132583634*((RANDBETWEEN(2979,3282)))</f>
        <v>104494766.84002116</v>
      </c>
      <c r="B8389">
        <v>149573198.75871015</v>
      </c>
    </row>
    <row r="8390" spans="1:2" x14ac:dyDescent="0.25">
      <c r="A8390">
        <f ca="1">28924.4627537888*((RANDBETWEEN(2979,3282)))</f>
        <v>89260892.058192119</v>
      </c>
      <c r="B8390">
        <v>162248041.53065261</v>
      </c>
    </row>
    <row r="8391" spans="1:2" x14ac:dyDescent="0.25">
      <c r="A8391">
        <f ca="1">35791.4737438689*((RANDBETWEEN(2979,3282)))</f>
        <v>112421019.02949215</v>
      </c>
      <c r="B8391">
        <v>177829290.71841344</v>
      </c>
    </row>
    <row r="8392" spans="1:2" x14ac:dyDescent="0.25">
      <c r="A8392">
        <f ca="1">35682.0718028282*((RANDBETWEEN(2979,3282)))</f>
        <v>113433306.2611908</v>
      </c>
      <c r="B8392">
        <v>186503078.19177473</v>
      </c>
    </row>
    <row r="8393" spans="1:2" x14ac:dyDescent="0.25">
      <c r="A8393">
        <f ca="1">33283.8854289349*((RANDBETWEEN(2979,3282)))</f>
        <v>99718520.745089084</v>
      </c>
      <c r="B8393">
        <v>194037716.68033239</v>
      </c>
    </row>
    <row r="8394" spans="1:2" x14ac:dyDescent="0.25">
      <c r="A8394">
        <f ca="1">35419.185523887*((RANDBETWEEN(2979,3282)))</f>
        <v>109764055.9385259</v>
      </c>
      <c r="B8394">
        <v>194081597.58346376</v>
      </c>
    </row>
    <row r="8395" spans="1:2" x14ac:dyDescent="0.25">
      <c r="A8395">
        <f ca="1">31082.4999652365*((RANDBETWEEN(2979,3282)))</f>
        <v>100023484.88813107</v>
      </c>
      <c r="B8395">
        <v>197392398.17477584</v>
      </c>
    </row>
    <row r="8396" spans="1:2" x14ac:dyDescent="0.25">
      <c r="A8396">
        <f ca="1">31687.6725679516*((RANDBETWEEN(2979,3282)))</f>
        <v>95284831.41183044</v>
      </c>
      <c r="B8396">
        <v>160670438.22252759</v>
      </c>
    </row>
    <row r="8397" spans="1:2" x14ac:dyDescent="0.25">
      <c r="A8397">
        <f ca="1">33060.2151571788*((RANDBETWEEN(2979,3282)))</f>
        <v>98883103.53512165</v>
      </c>
      <c r="B8397">
        <v>155789301.14892113</v>
      </c>
    </row>
    <row r="8398" spans="1:2" x14ac:dyDescent="0.25">
      <c r="A8398">
        <f ca="1">33629.4715424176*((RANDBETWEEN(2979,3282)))</f>
        <v>100955673.57033776</v>
      </c>
      <c r="B8398">
        <v>163300530.62392169</v>
      </c>
    </row>
    <row r="8399" spans="1:2" x14ac:dyDescent="0.25">
      <c r="A8399">
        <f ca="1">31755.3744625158*((RANDBETWEEN(2979,3282)))</f>
        <v>103236722.37763889</v>
      </c>
      <c r="B8399">
        <v>146704580.66586512</v>
      </c>
    </row>
    <row r="8400" spans="1:2" x14ac:dyDescent="0.25">
      <c r="A8400">
        <f ca="1">41002.3364567916*((RANDBETWEEN(2979,3282)))</f>
        <v>130838455.63362208</v>
      </c>
      <c r="B8400">
        <v>155315284.08136338</v>
      </c>
    </row>
    <row r="8401" spans="1:2" x14ac:dyDescent="0.25">
      <c r="A8401">
        <f ca="1">29529.6547327852*((RANDBETWEEN(2979,3282)))</f>
        <v>92073463.456824332</v>
      </c>
      <c r="B8401">
        <v>168894941.53593317</v>
      </c>
    </row>
    <row r="8402" spans="1:2" x14ac:dyDescent="0.25">
      <c r="A8402">
        <f ca="1">33300.0596755759*((RANDBETWEEN(2979,3282)))</f>
        <v>108524894.48270202</v>
      </c>
      <c r="B8402">
        <v>156281559.68911013</v>
      </c>
    </row>
    <row r="8403" spans="1:2" x14ac:dyDescent="0.25">
      <c r="A8403">
        <f ca="1">32208.2531834951*((RANDBETWEEN(2979,3282)))</f>
        <v>100296500.41340379</v>
      </c>
      <c r="B8403">
        <v>170993442.95319647</v>
      </c>
    </row>
    <row r="8404" spans="1:2" x14ac:dyDescent="0.25">
      <c r="A8404">
        <f ca="1">31011.5185622115*((RANDBETWEEN(2979,3282)))</f>
        <v>96786949.432662204</v>
      </c>
      <c r="B8404">
        <v>157256389.95756865</v>
      </c>
    </row>
    <row r="8405" spans="1:2" x14ac:dyDescent="0.25">
      <c r="A8405">
        <f ca="1">31285.6533223463*((RANDBETWEEN(2979,3282)))</f>
        <v>94201102.153584614</v>
      </c>
      <c r="B8405">
        <v>147810432.26304966</v>
      </c>
    </row>
    <row r="8406" spans="1:2" x14ac:dyDescent="0.25">
      <c r="A8406">
        <f ca="1">36453.5627165276*((RANDBETWEEN(2979,3282)))</f>
        <v>113735115.67556621</v>
      </c>
      <c r="B8406">
        <v>147849671.02656132</v>
      </c>
    </row>
    <row r="8407" spans="1:2" x14ac:dyDescent="0.25">
      <c r="A8407">
        <f ca="1">30651.522818201*((RANDBETWEEN(2979,3282)))</f>
        <v>98667251.951789081</v>
      </c>
      <c r="B8407">
        <v>144985401.92929351</v>
      </c>
    </row>
    <row r="8408" spans="1:2" x14ac:dyDescent="0.25">
      <c r="A8408">
        <f ca="1">35530.3007163084*((RANDBETWEEN(2979,3282)))</f>
        <v>111920447.25637138</v>
      </c>
      <c r="B8408">
        <v>177177103.05039015</v>
      </c>
    </row>
    <row r="8409" spans="1:2" x14ac:dyDescent="0.25">
      <c r="A8409">
        <f ca="1">30062.1316172869*((RANDBETWEEN(2979,3282)))</f>
        <v>96709877.41281186</v>
      </c>
      <c r="B8409">
        <v>144064582.70906734</v>
      </c>
    </row>
    <row r="8410" spans="1:2" x14ac:dyDescent="0.25">
      <c r="A8410">
        <f ca="1">29487.1292960864*((RANDBETWEEN(2979,3282)))</f>
        <v>93090867.187744856</v>
      </c>
      <c r="B8410">
        <v>159966587.24060759</v>
      </c>
    </row>
    <row r="8411" spans="1:2" x14ac:dyDescent="0.25">
      <c r="A8411">
        <f ca="1">36384.3672886061*((RANDBETWEEN(2979,3282)))</f>
        <v>114574372.59182046</v>
      </c>
      <c r="B8411">
        <v>166963537.81936181</v>
      </c>
    </row>
    <row r="8412" spans="1:2" x14ac:dyDescent="0.25">
      <c r="A8412">
        <f ca="1">42189.8577619051*((RANDBETWEEN(2979,3282)))</f>
        <v>130197901.05323927</v>
      </c>
      <c r="B8412">
        <v>175132847.7642498</v>
      </c>
    </row>
    <row r="8413" spans="1:2" x14ac:dyDescent="0.25">
      <c r="A8413">
        <f ca="1">30188.1697868728*((RANDBETWEEN(2979,3282)))</f>
        <v>92436175.887404382</v>
      </c>
      <c r="B8413">
        <v>146386708.24943918</v>
      </c>
    </row>
    <row r="8414" spans="1:2" x14ac:dyDescent="0.25">
      <c r="A8414">
        <f ca="1">36123.928553502*((RANDBETWEEN(2979,3282)))</f>
        <v>108769148.87459442</v>
      </c>
      <c r="B8414">
        <v>149822566.55140224</v>
      </c>
    </row>
    <row r="8415" spans="1:2" x14ac:dyDescent="0.25">
      <c r="A8415">
        <f ca="1">32072.646246649*((RANDBETWEEN(2979,3282)))</f>
        <v>99072404.255898893</v>
      </c>
      <c r="B8415">
        <v>174685508.8874228</v>
      </c>
    </row>
    <row r="8416" spans="1:2" x14ac:dyDescent="0.25">
      <c r="A8416">
        <f ca="1">41564.8199014054*((RANDBETWEEN(2979,3282)))</f>
        <v>128227469.39583561</v>
      </c>
      <c r="B8416">
        <v>199118941.65240031</v>
      </c>
    </row>
    <row r="8417" spans="1:2" x14ac:dyDescent="0.25">
      <c r="A8417">
        <f ca="1">30707.506130571*((RANDBETWEEN(2979,3282)))</f>
        <v>97772699.519737929</v>
      </c>
      <c r="B8417">
        <v>181345363.3808172</v>
      </c>
    </row>
    <row r="8418" spans="1:2" x14ac:dyDescent="0.25">
      <c r="A8418">
        <f ca="1">33713.3669742417*((RANDBETWEEN(2979,3282)))</f>
        <v>105556551.99635088</v>
      </c>
      <c r="B8418">
        <v>177575504.58607522</v>
      </c>
    </row>
    <row r="8419" spans="1:2" x14ac:dyDescent="0.25">
      <c r="A8419">
        <f ca="1">31426.5462406874*((RANDBETWEEN(2979,3282)))</f>
        <v>94719610.369431749</v>
      </c>
      <c r="B8419">
        <v>192996565.37712002</v>
      </c>
    </row>
    <row r="8420" spans="1:2" x14ac:dyDescent="0.25">
      <c r="A8420">
        <f ca="1">29019.3867769527*((RANDBETWEEN(2979,3282)))</f>
        <v>89118536.792021856</v>
      </c>
      <c r="B8420">
        <v>159986620.6673224</v>
      </c>
    </row>
    <row r="8421" spans="1:2" x14ac:dyDescent="0.25">
      <c r="A8421">
        <f ca="1">39718.5363022562*((RANDBETWEEN(2979,3282)))</f>
        <v>123484929.3637144</v>
      </c>
      <c r="B8421">
        <v>175366127.09893745</v>
      </c>
    </row>
    <row r="8422" spans="1:2" x14ac:dyDescent="0.25">
      <c r="A8422">
        <f ca="1">35310.3576366299*((RANDBETWEEN(2979,3282)))</f>
        <v>113205006.58303531</v>
      </c>
      <c r="B8422">
        <v>155590896.23530966</v>
      </c>
    </row>
    <row r="8423" spans="1:2" x14ac:dyDescent="0.25">
      <c r="A8423">
        <f ca="1">32699.9498807032*((RANDBETWEEN(2979,3282)))</f>
        <v>101271744.78053775</v>
      </c>
      <c r="B8423">
        <v>167981044.66103566</v>
      </c>
    </row>
    <row r="8424" spans="1:2" x14ac:dyDescent="0.25">
      <c r="A8424">
        <f ca="1">31576.5175177165*((RANDBETWEEN(2979,3282)))</f>
        <v>94824282.105702698</v>
      </c>
      <c r="B8424">
        <v>147747025.3635214</v>
      </c>
    </row>
    <row r="8425" spans="1:2" x14ac:dyDescent="0.25">
      <c r="A8425">
        <f ca="1">38408.7302004746*((RANDBETWEEN(2979,3282)))</f>
        <v>122216579.49791008</v>
      </c>
      <c r="B8425">
        <v>147952563.3819412</v>
      </c>
    </row>
    <row r="8426" spans="1:2" x14ac:dyDescent="0.25">
      <c r="A8426">
        <f ca="1">33025.8850672856*((RANDBETWEEN(2979,3282)))</f>
        <v>100960130.65069212</v>
      </c>
      <c r="B8426">
        <v>175127913.14867359</v>
      </c>
    </row>
    <row r="8427" spans="1:2" x14ac:dyDescent="0.25">
      <c r="A8427">
        <f ca="1">29789.643075179*((RANDBETWEEN(2979,3282)))</f>
        <v>93539479.256062075</v>
      </c>
      <c r="B8427">
        <v>170165200.69544101</v>
      </c>
    </row>
    <row r="8428" spans="1:2" x14ac:dyDescent="0.25">
      <c r="A8428">
        <f ca="1">29826.9887330716*((RANDBETWEEN(2979,3282)))</f>
        <v>97892177.021940887</v>
      </c>
      <c r="B8428">
        <v>191218884.54301763</v>
      </c>
    </row>
    <row r="8429" spans="1:2" x14ac:dyDescent="0.25">
      <c r="A8429">
        <f ca="1">34991.0833547174*((RANDBETWEEN(2979,3282)))</f>
        <v>107632572.39911069</v>
      </c>
      <c r="B8429">
        <v>164792510.08929574</v>
      </c>
    </row>
    <row r="8430" spans="1:2" x14ac:dyDescent="0.25">
      <c r="A8430">
        <f ca="1">32137.1477831488*((RANDBETWEEN(2979,3282)))</f>
        <v>103835124.4873538</v>
      </c>
      <c r="B8430">
        <v>144857244.61596808</v>
      </c>
    </row>
    <row r="8431" spans="1:2" x14ac:dyDescent="0.25">
      <c r="A8431">
        <f ca="1">32495.3095327682*((RANDBETWEEN(2979,3282)))</f>
        <v>99760600.265598506</v>
      </c>
      <c r="B8431">
        <v>145979284.05555254</v>
      </c>
    </row>
    <row r="8432" spans="1:2" x14ac:dyDescent="0.25">
      <c r="A8432">
        <f ca="1">38512.1121674739*((RANDBETWEEN(2979,3282)))</f>
        <v>119156475.04616424</v>
      </c>
      <c r="B8432">
        <v>169472402.61644769</v>
      </c>
    </row>
    <row r="8433" spans="1:2" x14ac:dyDescent="0.25">
      <c r="A8433">
        <f ca="1">34071.8164902423*((RANDBETWEEN(2979,3282)))</f>
        <v>111346696.29011193</v>
      </c>
      <c r="B8433">
        <v>146478963.62223566</v>
      </c>
    </row>
    <row r="8434" spans="1:2" x14ac:dyDescent="0.25">
      <c r="A8434">
        <f ca="1">33516.9395557111*((RANDBETWEEN(2979,3282)))</f>
        <v>102762936.67781012</v>
      </c>
      <c r="B8434">
        <v>198302054.38127562</v>
      </c>
    </row>
    <row r="8435" spans="1:2" x14ac:dyDescent="0.25">
      <c r="A8435">
        <f ca="1">32708.3631406329*((RANDBETWEEN(2979,3282)))</f>
        <v>104797595.50258794</v>
      </c>
      <c r="B8435">
        <v>143255937.47193789</v>
      </c>
    </row>
    <row r="8436" spans="1:2" x14ac:dyDescent="0.25">
      <c r="A8436">
        <f ca="1">29320.8677855841*((RANDBETWEEN(2979,3282)))</f>
        <v>94589119.476294339</v>
      </c>
      <c r="B8436">
        <v>189941995.10316017</v>
      </c>
    </row>
    <row r="8437" spans="1:2" x14ac:dyDescent="0.25">
      <c r="A8437">
        <f ca="1">30948.0020405518*((RANDBETWEEN(2979,3282)))</f>
        <v>94267614.215520874</v>
      </c>
      <c r="B8437">
        <v>181958631.20068827</v>
      </c>
    </row>
    <row r="8438" spans="1:2" x14ac:dyDescent="0.25">
      <c r="A8438">
        <f ca="1">36104.0641630461*((RANDBETWEEN(2979,3282)))</f>
        <v>114413779.33269323</v>
      </c>
      <c r="B8438">
        <v>170102839.04377437</v>
      </c>
    </row>
    <row r="8439" spans="1:2" x14ac:dyDescent="0.25">
      <c r="A8439">
        <f ca="1">31740.6993429829*((RANDBETWEEN(2979,3282)))</f>
        <v>97348724.884928554</v>
      </c>
      <c r="B8439">
        <v>192410893.93581364</v>
      </c>
    </row>
    <row r="8440" spans="1:2" x14ac:dyDescent="0.25">
      <c r="A8440">
        <f ca="1">33991.8779912045*((RANDBETWEEN(2979,3282)))</f>
        <v>107108407.55028547</v>
      </c>
      <c r="B8440">
        <v>147529161.47130775</v>
      </c>
    </row>
    <row r="8441" spans="1:2" x14ac:dyDescent="0.25">
      <c r="A8441">
        <f ca="1">32932.7871414686*((RANDBETWEEN(2979,3282)))</f>
        <v>100214471.27148899</v>
      </c>
      <c r="B8441">
        <v>169139268.85096833</v>
      </c>
    </row>
    <row r="8442" spans="1:2" x14ac:dyDescent="0.25">
      <c r="A8442">
        <f ca="1">30347.8569961568*((RANDBETWEEN(2979,3282)))</f>
        <v>92075398.126339808</v>
      </c>
      <c r="B8442">
        <v>173088539.67813089</v>
      </c>
    </row>
    <row r="8443" spans="1:2" x14ac:dyDescent="0.25">
      <c r="A8443">
        <f ca="1">30150.2338336323*((RANDBETWEEN(2979,3282)))</f>
        <v>94249630.963934585</v>
      </c>
      <c r="B8443">
        <v>178052760.94625977</v>
      </c>
    </row>
    <row r="8444" spans="1:2" x14ac:dyDescent="0.25">
      <c r="A8444">
        <f ca="1">37949.1488407624*((RANDBETWEEN(2979,3282)))</f>
        <v>116997225.87607038</v>
      </c>
      <c r="B8444">
        <v>190623126.57068452</v>
      </c>
    </row>
    <row r="8445" spans="1:2" x14ac:dyDescent="0.25">
      <c r="A8445">
        <f ca="1">37060.9417398884*((RANDBETWEEN(2979,3282)))</f>
        <v>117186697.78152709</v>
      </c>
      <c r="B8445">
        <v>171683476.04274786</v>
      </c>
    </row>
    <row r="8446" spans="1:2" x14ac:dyDescent="0.25">
      <c r="A8446">
        <f ca="1">34843.5823606928*((RANDBETWEEN(2979,3282)))</f>
        <v>113938514.31946549</v>
      </c>
      <c r="B8446">
        <v>194957896.23986199</v>
      </c>
    </row>
    <row r="8447" spans="1:2" x14ac:dyDescent="0.25">
      <c r="A8447">
        <f ca="1">31639.334968433*((RANDBETWEEN(2979,3282)))</f>
        <v>96057020.964162529</v>
      </c>
      <c r="B8447">
        <v>162766455.7175076</v>
      </c>
    </row>
    <row r="8448" spans="1:2" x14ac:dyDescent="0.25">
      <c r="A8448">
        <f ca="1">31004.1688209729*((RANDBETWEEN(2979,3282)))</f>
        <v>96174931.682657972</v>
      </c>
      <c r="B8448">
        <v>171935076.58370396</v>
      </c>
    </row>
    <row r="8449" spans="1:2" x14ac:dyDescent="0.25">
      <c r="A8449">
        <f ca="1">38008.0714533329*((RANDBETWEEN(2979,3282)))</f>
        <v>114898400.00342523</v>
      </c>
      <c r="B8449">
        <v>149891383.45431516</v>
      </c>
    </row>
    <row r="8450" spans="1:2" x14ac:dyDescent="0.25">
      <c r="A8450">
        <f ca="1">39701.1936177658*((RANDBETWEEN(2979,3282)))</f>
        <v>125296967.05766875</v>
      </c>
      <c r="B8450">
        <v>146285532.53536209</v>
      </c>
    </row>
    <row r="8451" spans="1:2" x14ac:dyDescent="0.25">
      <c r="A8451">
        <f ca="1">30377.2524621423*((RANDBETWEEN(2979,3282)))</f>
        <v>94959291.196656868</v>
      </c>
      <c r="B8451">
        <v>183183739.21892193</v>
      </c>
    </row>
    <row r="8452" spans="1:2" x14ac:dyDescent="0.25">
      <c r="A8452">
        <f ca="1">39189.9952525073*((RANDBETWEEN(2979,3282)))</f>
        <v>117844315.72428942</v>
      </c>
      <c r="B8452">
        <v>161595511.58286849</v>
      </c>
    </row>
    <row r="8453" spans="1:2" x14ac:dyDescent="0.25">
      <c r="A8453">
        <f ca="1">34431.3720518622*((RANDBETWEEN(2979,3282)))</f>
        <v>112728312.09779672</v>
      </c>
      <c r="B8453">
        <v>152652919.66424885</v>
      </c>
    </row>
    <row r="8454" spans="1:2" x14ac:dyDescent="0.25">
      <c r="A8454">
        <f ca="1">37097.0722703253*((RANDBETWEEN(2979,3282)))</f>
        <v>116855777.65152474</v>
      </c>
      <c r="B8454">
        <v>166225890.82397076</v>
      </c>
    </row>
    <row r="8455" spans="1:2" x14ac:dyDescent="0.25">
      <c r="A8455">
        <f ca="1">37033.7814793021*((RANDBETWEEN(2979,3282)))</f>
        <v>114619553.67843986</v>
      </c>
      <c r="B8455">
        <v>184251789.64475581</v>
      </c>
    </row>
    <row r="8456" spans="1:2" x14ac:dyDescent="0.25">
      <c r="A8456">
        <f ca="1">29575.5710978499*((RANDBETWEEN(2979,3282)))</f>
        <v>89584404.855387419</v>
      </c>
      <c r="B8456">
        <v>189145087.08429998</v>
      </c>
    </row>
    <row r="8457" spans="1:2" x14ac:dyDescent="0.25">
      <c r="A8457">
        <f ca="1">37353.5428567317*((RANDBETWEEN(2979,3282)))</f>
        <v>119120448.17011724</v>
      </c>
      <c r="B8457">
        <v>175991908.26163104</v>
      </c>
    </row>
    <row r="8458" spans="1:2" x14ac:dyDescent="0.25">
      <c r="A8458">
        <f ca="1">30584.6252970936*((RANDBETWEEN(2979,3282)))</f>
        <v>99614124.592633769</v>
      </c>
      <c r="B8458">
        <v>159862097.22486189</v>
      </c>
    </row>
    <row r="8459" spans="1:2" x14ac:dyDescent="0.25">
      <c r="A8459">
        <f ca="1">30798.421646146*((RANDBETWEEN(2979,3282)))</f>
        <v>99910079.820097581</v>
      </c>
      <c r="B8459">
        <v>202680268.16333497</v>
      </c>
    </row>
    <row r="8460" spans="1:2" x14ac:dyDescent="0.25">
      <c r="A8460">
        <f ca="1">34572.0342642363*((RANDBETWEEN(2979,3282)))</f>
        <v>110734225.74834883</v>
      </c>
      <c r="B8460">
        <v>192770776.13582718</v>
      </c>
    </row>
    <row r="8461" spans="1:2" x14ac:dyDescent="0.25">
      <c r="A8461">
        <f ca="1">32685.1849071267*((RANDBETWEEN(2979,3282)))</f>
        <v>104494536.14808415</v>
      </c>
      <c r="B8461">
        <v>198291271.62197754</v>
      </c>
    </row>
    <row r="8462" spans="1:2" x14ac:dyDescent="0.25">
      <c r="A8462">
        <f ca="1">29768.5994245607*((RANDBETWEEN(2979,3282)))</f>
        <v>93979468.383338019</v>
      </c>
      <c r="B8462">
        <v>144443834.92854694</v>
      </c>
    </row>
    <row r="8463" spans="1:2" x14ac:dyDescent="0.25">
      <c r="A8463">
        <f ca="1">35585.0884211701*((RANDBETWEEN(2979,3282)))</f>
        <v>106185903.84877144</v>
      </c>
      <c r="B8463">
        <v>146263656.43123895</v>
      </c>
    </row>
    <row r="8464" spans="1:2" x14ac:dyDescent="0.25">
      <c r="A8464">
        <f ca="1">29404.0832501826*((RANDBETWEEN(2979,3282)))</f>
        <v>90682192.743563205</v>
      </c>
      <c r="B8464">
        <v>172393056.57409629</v>
      </c>
    </row>
    <row r="8465" spans="1:2" x14ac:dyDescent="0.25">
      <c r="A8465">
        <f ca="1">30578.3672748126*((RANDBETWEEN(2979,3282)))</f>
        <v>91123534.478941649</v>
      </c>
      <c r="B8465">
        <v>143554321.38186947</v>
      </c>
    </row>
    <row r="8466" spans="1:2" x14ac:dyDescent="0.25">
      <c r="A8466">
        <f ca="1">29305.4519383088*((RANDBETWEEN(2979,3282)))</f>
        <v>88326632.142062873</v>
      </c>
      <c r="B8466">
        <v>159767877.99692383</v>
      </c>
    </row>
    <row r="8467" spans="1:2" x14ac:dyDescent="0.25">
      <c r="A8467">
        <f ca="1">36536.5535302846*((RANDBETWEEN(2979,3282)))</f>
        <v>111655707.58854994</v>
      </c>
      <c r="B8467">
        <v>176971235.37587959</v>
      </c>
    </row>
    <row r="8468" spans="1:2" x14ac:dyDescent="0.25">
      <c r="A8468">
        <f ca="1">29308.181871393*((RANDBETWEEN(2979,3282)))</f>
        <v>95163666.536412969</v>
      </c>
      <c r="B8468">
        <v>155857010.084795</v>
      </c>
    </row>
    <row r="8469" spans="1:2" x14ac:dyDescent="0.25">
      <c r="A8469">
        <f ca="1">35063.6513603269*((RANDBETWEEN(2979,3282)))</f>
        <v>111151774.81223638</v>
      </c>
      <c r="B8469">
        <v>143028827.78494561</v>
      </c>
    </row>
    <row r="8470" spans="1:2" x14ac:dyDescent="0.25">
      <c r="A8470">
        <f ca="1">34486.5577351434*((RANDBETWEEN(2979,3282)))</f>
        <v>107701519.80685289</v>
      </c>
      <c r="B8470">
        <v>189948391.21718353</v>
      </c>
    </row>
    <row r="8471" spans="1:2" x14ac:dyDescent="0.25">
      <c r="A8471">
        <f ca="1">31154.7738349555*((RANDBETWEEN(2979,3282)))</f>
        <v>95707465.220983237</v>
      </c>
      <c r="B8471">
        <v>178949172.05971056</v>
      </c>
    </row>
    <row r="8472" spans="1:2" x14ac:dyDescent="0.25">
      <c r="A8472">
        <f ca="1">32425.3675446424*((RANDBETWEEN(2979,3282)))</f>
        <v>104571810.33147176</v>
      </c>
      <c r="B8472">
        <v>184118212.71966687</v>
      </c>
    </row>
    <row r="8473" spans="1:2" x14ac:dyDescent="0.25">
      <c r="A8473">
        <f ca="1">30321.0920253031*((RANDBETWEEN(2979,3282)))</f>
        <v>91327129.180212855</v>
      </c>
      <c r="B8473">
        <v>181165663.6284838</v>
      </c>
    </row>
    <row r="8474" spans="1:2" x14ac:dyDescent="0.25">
      <c r="A8474">
        <f ca="1">32447.870304413*((RANDBETWEEN(2979,3282)))</f>
        <v>103800737.10381709</v>
      </c>
      <c r="B8474">
        <v>201636862.49171385</v>
      </c>
    </row>
    <row r="8475" spans="1:2" x14ac:dyDescent="0.25">
      <c r="A8475">
        <f ca="1">33341.1151626626*((RANDBETWEEN(2979,3282)))</f>
        <v>106858274.09633359</v>
      </c>
      <c r="B8475">
        <v>157954461.24048042</v>
      </c>
    </row>
    <row r="8476" spans="1:2" x14ac:dyDescent="0.25">
      <c r="A8476">
        <f ca="1">29905.3959872391*((RANDBETWEEN(2979,3282)))</f>
        <v>96444902.058846071</v>
      </c>
      <c r="B8476">
        <v>164159910.32202965</v>
      </c>
    </row>
    <row r="8477" spans="1:2" x14ac:dyDescent="0.25">
      <c r="A8477">
        <f ca="1">37318.1648180258*((RANDBETWEEN(2979,3282)))</f>
        <v>114417493.33206715</v>
      </c>
      <c r="B8477">
        <v>197772703.04787979</v>
      </c>
    </row>
    <row r="8478" spans="1:2" x14ac:dyDescent="0.25">
      <c r="A8478">
        <f ca="1">33105.1864376952*((RANDBETWEEN(2979,3282)))</f>
        <v>101334975.68578514</v>
      </c>
      <c r="B8478">
        <v>151528365.25991398</v>
      </c>
    </row>
    <row r="8479" spans="1:2" x14ac:dyDescent="0.25">
      <c r="A8479">
        <f ca="1">41211.0905507397*((RANDBETWEEN(2979,3282)))</f>
        <v>132823344.84503399</v>
      </c>
      <c r="B8479">
        <v>181524021.90573677</v>
      </c>
    </row>
    <row r="8480" spans="1:2" x14ac:dyDescent="0.25">
      <c r="A8480">
        <f ca="1">28886.3597020031*((RANDBETWEEN(2979,3282)))</f>
        <v>90038783.191143706</v>
      </c>
      <c r="B8480">
        <v>147333148.24607384</v>
      </c>
    </row>
    <row r="8481" spans="1:2" x14ac:dyDescent="0.25">
      <c r="A8481">
        <f ca="1">36444.771413993*((RANDBETWEEN(2979,3282)))</f>
        <v>113744131.58307219</v>
      </c>
      <c r="B8481">
        <v>179952592.81045255</v>
      </c>
    </row>
    <row r="8482" spans="1:2" x14ac:dyDescent="0.25">
      <c r="A8482">
        <f ca="1">33756.0557413582*((RANDBETWEEN(2979,3282)))</f>
        <v>106061527.13934751</v>
      </c>
      <c r="B8482">
        <v>167848864.664785</v>
      </c>
    </row>
    <row r="8483" spans="1:2" x14ac:dyDescent="0.25">
      <c r="A8483">
        <f ca="1">32908.023033617*((RANDBETWEEN(2979,3282)))</f>
        <v>101356710.9435403</v>
      </c>
      <c r="B8483">
        <v>153154496.17967796</v>
      </c>
    </row>
    <row r="8484" spans="1:2" x14ac:dyDescent="0.25">
      <c r="A8484">
        <f ca="1">34531.4370705589*((RANDBETWEEN(2979,3282)))</f>
        <v>111812793.2344698</v>
      </c>
      <c r="B8484">
        <v>153370206.13413036</v>
      </c>
    </row>
    <row r="8485" spans="1:2" x14ac:dyDescent="0.25">
      <c r="A8485">
        <f ca="1">28921.489862107*((RANDBETWEEN(2979,3282)))</f>
        <v>88702209.407082021</v>
      </c>
      <c r="B8485">
        <v>177619174.46480927</v>
      </c>
    </row>
    <row r="8486" spans="1:2" x14ac:dyDescent="0.25">
      <c r="A8486">
        <f ca="1">28703.4444747745*((RANDBETWEEN(2979,3282)))</f>
        <v>92798235.986945882</v>
      </c>
      <c r="B8486">
        <v>190421652.08859795</v>
      </c>
    </row>
    <row r="8487" spans="1:2" x14ac:dyDescent="0.25">
      <c r="A8487">
        <f ca="1">30590.0938904786*((RANDBETWEEN(2979,3282)))</f>
        <v>99999016.927974448</v>
      </c>
      <c r="B8487">
        <v>194180843.03367132</v>
      </c>
    </row>
    <row r="8488" spans="1:2" x14ac:dyDescent="0.25">
      <c r="A8488">
        <f ca="1">35901.7933974934*((RANDBETWEEN(2979,3282)))</f>
        <v>112336711.54075691</v>
      </c>
      <c r="B8488">
        <v>159775439.4437227</v>
      </c>
    </row>
    <row r="8489" spans="1:2" x14ac:dyDescent="0.25">
      <c r="A8489">
        <f ca="1">29624.0062976891*((RANDBETWEEN(2979,3282)))</f>
        <v>92693515.705469236</v>
      </c>
      <c r="B8489">
        <v>188494907.57140815</v>
      </c>
    </row>
    <row r="8490" spans="1:2" x14ac:dyDescent="0.25">
      <c r="A8490">
        <f ca="1">30744.1387034466*((RANDBETWEEN(2979,3282)))</f>
        <v>95737247.922532693</v>
      </c>
      <c r="B8490">
        <v>164435654.61842719</v>
      </c>
    </row>
    <row r="8491" spans="1:2" x14ac:dyDescent="0.25">
      <c r="A8491">
        <f ca="1">32779.3308057993*((RANDBETWEEN(2979,3282)))</f>
        <v>100108076.28091112</v>
      </c>
      <c r="B8491">
        <v>176138701.48778081</v>
      </c>
    </row>
    <row r="8492" spans="1:2" x14ac:dyDescent="0.25">
      <c r="A8492">
        <f ca="1">31508.0351590786*((RANDBETWEEN(2979,3282)))</f>
        <v>96950224.18448481</v>
      </c>
      <c r="B8492">
        <v>175295698.20523593</v>
      </c>
    </row>
    <row r="8493" spans="1:2" x14ac:dyDescent="0.25">
      <c r="A8493">
        <f ca="1">31637.8577570261*((RANDBETWEEN(2979,3282)))</f>
        <v>101430971.96902582</v>
      </c>
      <c r="B8493">
        <v>169708198.68563557</v>
      </c>
    </row>
    <row r="8494" spans="1:2" x14ac:dyDescent="0.25">
      <c r="A8494">
        <f ca="1">34586.7451216531*((RANDBETWEEN(2979,3282)))</f>
        <v>108048991.76004425</v>
      </c>
      <c r="B8494">
        <v>178629362.86210448</v>
      </c>
    </row>
    <row r="8495" spans="1:2" x14ac:dyDescent="0.25">
      <c r="A8495">
        <f ca="1">38913.5266248119*((RANDBETWEEN(2979,3282)))</f>
        <v>121021067.80316496</v>
      </c>
      <c r="B8495">
        <v>158046250.8193891</v>
      </c>
    </row>
    <row r="8496" spans="1:2" x14ac:dyDescent="0.25">
      <c r="A8496">
        <f ca="1">31010.4041851821*((RANDBETWEEN(2979,3282)))</f>
        <v>94085566.297842547</v>
      </c>
      <c r="B8496">
        <v>161461082.35285464</v>
      </c>
    </row>
    <row r="8497" spans="1:2" x14ac:dyDescent="0.25">
      <c r="A8497">
        <f ca="1">30942.9226459116*((RANDBETWEEN(2979,3282)))</f>
        <v>99945640.146294624</v>
      </c>
      <c r="B8497">
        <v>163182803.34748012</v>
      </c>
    </row>
    <row r="8498" spans="1:2" x14ac:dyDescent="0.25">
      <c r="A8498">
        <f ca="1">37376.4491316547*((RANDBETWEEN(2979,3282)))</f>
        <v>112989005.7249922</v>
      </c>
      <c r="B8498">
        <v>195130031.64862904</v>
      </c>
    </row>
    <row r="8499" spans="1:2" x14ac:dyDescent="0.25">
      <c r="A8499">
        <f ca="1">32897.9291753461*((RANDBETWEEN(2979,3282)))</f>
        <v>102838926.60213184</v>
      </c>
      <c r="B8499">
        <v>152222420.73565531</v>
      </c>
    </row>
    <row r="8500" spans="1:2" x14ac:dyDescent="0.25">
      <c r="A8500">
        <f ca="1">31943.5476466926*((RANDBETWEEN(2979,3282)))</f>
        <v>104135965.32821803</v>
      </c>
      <c r="B8500">
        <v>192496049.31693006</v>
      </c>
    </row>
    <row r="8501" spans="1:2" x14ac:dyDescent="0.25">
      <c r="A8501">
        <f ca="1">37887.7201233116*((RANDBETWEEN(2979,3282)))</f>
        <v>118058135.90423897</v>
      </c>
      <c r="B8501">
        <v>197533436.91127712</v>
      </c>
    </row>
    <row r="8502" spans="1:2" x14ac:dyDescent="0.25">
      <c r="A8502">
        <f ca="1">29894.537867056*((RANDBETWEEN(2979,3282)))</f>
        <v>89145511.919560865</v>
      </c>
      <c r="B8502">
        <v>178397092.87872332</v>
      </c>
    </row>
    <row r="8503" spans="1:2" x14ac:dyDescent="0.25">
      <c r="A8503">
        <f ca="1">37574.4651055893*((RANDBETWEEN(2979,3282)))</f>
        <v>114113650.52567461</v>
      </c>
      <c r="B8503">
        <v>162727840.87542713</v>
      </c>
    </row>
    <row r="8504" spans="1:2" x14ac:dyDescent="0.25">
      <c r="A8504">
        <f ca="1">31382.6140688086*((RANDBETWEEN(2979,3282)))</f>
        <v>98604173.404196545</v>
      </c>
      <c r="B8504">
        <v>167924188.56373996</v>
      </c>
    </row>
    <row r="8505" spans="1:2" x14ac:dyDescent="0.25">
      <c r="A8505">
        <f ca="1">30304.7077801348*((RANDBETWEEN(2979,3282)))</f>
        <v>95308305.968524024</v>
      </c>
      <c r="B8505">
        <v>169569774.81092605</v>
      </c>
    </row>
    <row r="8506" spans="1:2" x14ac:dyDescent="0.25">
      <c r="A8506">
        <f ca="1">33936.3759948105*((RANDBETWEEN(2979,3282)))</f>
        <v>106254793.23975153</v>
      </c>
      <c r="B8506">
        <v>198857926.32275924</v>
      </c>
    </row>
    <row r="8507" spans="1:2" x14ac:dyDescent="0.25">
      <c r="A8507">
        <f ca="1">31279.414012792*((RANDBETWEEN(2979,3282)))</f>
        <v>96121639.261309892</v>
      </c>
      <c r="B8507">
        <v>143394241.43932384</v>
      </c>
    </row>
    <row r="8508" spans="1:2" x14ac:dyDescent="0.25">
      <c r="A8508">
        <f ca="1">34707.4533378665*((RANDBETWEEN(2979,3282)))</f>
        <v>106413051.93389872</v>
      </c>
      <c r="B8508">
        <v>162581613.90175638</v>
      </c>
    </row>
    <row r="8509" spans="1:2" x14ac:dyDescent="0.25">
      <c r="A8509">
        <f ca="1">33133.1625919885*((RANDBETWEEN(2979,3282)))</f>
        <v>101056145.90556507</v>
      </c>
      <c r="B8509">
        <v>182430232.78295058</v>
      </c>
    </row>
    <row r="8510" spans="1:2" x14ac:dyDescent="0.25">
      <c r="A8510">
        <f ca="1">37678.5341038324*((RANDBETWEEN(2979,3282)))</f>
        <v>116728098.65367277</v>
      </c>
      <c r="B8510">
        <v>154651618.61784577</v>
      </c>
    </row>
    <row r="8511" spans="1:2" x14ac:dyDescent="0.25">
      <c r="A8511">
        <f ca="1">29836.2354780068*((RANDBETWEEN(2979,3282)))</f>
        <v>88941817.959938362</v>
      </c>
      <c r="B8511">
        <v>160319554.1051144</v>
      </c>
    </row>
    <row r="8512" spans="1:2" x14ac:dyDescent="0.25">
      <c r="A8512">
        <f ca="1">31006.3630673072*((RANDBETWEEN(2979,3282)))</f>
        <v>97266960.942142785</v>
      </c>
      <c r="B8512">
        <v>159443769.02624631</v>
      </c>
    </row>
    <row r="8513" spans="1:2" x14ac:dyDescent="0.25">
      <c r="A8513">
        <f ca="1">31242.927995536*((RANDBETWEEN(2979,3282)))</f>
        <v>96540647.506206185</v>
      </c>
      <c r="B8513">
        <v>166370469.92282265</v>
      </c>
    </row>
    <row r="8514" spans="1:2" x14ac:dyDescent="0.25">
      <c r="A8514">
        <f ca="1">29279.5664461422*((RANDBETWEEN(2979,3282)))</f>
        <v>95158590.949962273</v>
      </c>
      <c r="B8514">
        <v>201841681.14843497</v>
      </c>
    </row>
    <row r="8515" spans="1:2" x14ac:dyDescent="0.25">
      <c r="A8515">
        <f ca="1">29991.3864355071*((RANDBETWEEN(2979,3282)))</f>
        <v>93813056.770266369</v>
      </c>
      <c r="B8515">
        <v>159900250.39376801</v>
      </c>
    </row>
    <row r="8516" spans="1:2" x14ac:dyDescent="0.25">
      <c r="A8516">
        <f ca="1">33342.0771054998*((RANDBETWEEN(2979,3282)))</f>
        <v>109328670.828934</v>
      </c>
      <c r="B8516">
        <v>175918368.23257959</v>
      </c>
    </row>
    <row r="8517" spans="1:2" x14ac:dyDescent="0.25">
      <c r="A8517">
        <f ca="1">30641.6807680639*((RANDBETWEEN(2979,3282)))</f>
        <v>96980919.630922139</v>
      </c>
      <c r="B8517">
        <v>177066692.70226419</v>
      </c>
    </row>
    <row r="8518" spans="1:2" x14ac:dyDescent="0.25">
      <c r="A8518">
        <f ca="1">40616.3745132106*((RANDBETWEEN(2979,3282)))</f>
        <v>125748295.49290001</v>
      </c>
      <c r="B8518">
        <v>156523666.2825056</v>
      </c>
    </row>
    <row r="8519" spans="1:2" x14ac:dyDescent="0.25">
      <c r="A8519">
        <f ca="1">32818.6866771805*((RANDBETWEEN(2979,3282)))</f>
        <v>98029417.104738265</v>
      </c>
      <c r="B8519">
        <v>157664455.4062123</v>
      </c>
    </row>
    <row r="8520" spans="1:2" x14ac:dyDescent="0.25">
      <c r="A8520">
        <f ca="1">30692.8101223965*((RANDBETWEEN(2979,3282)))</f>
        <v>96099188.493223429</v>
      </c>
      <c r="B8520">
        <v>159858424.10360301</v>
      </c>
    </row>
    <row r="8521" spans="1:2" x14ac:dyDescent="0.25">
      <c r="A8521">
        <f ca="1">30101.6274330078*((RANDBETWEEN(2979,3282)))</f>
        <v>95030837.806005687</v>
      </c>
      <c r="B8521">
        <v>167087474.62496933</v>
      </c>
    </row>
    <row r="8522" spans="1:2" x14ac:dyDescent="0.25">
      <c r="A8522">
        <f ca="1">32393.5866606555*((RANDBETWEEN(2979,3282)))</f>
        <v>105862241.20702222</v>
      </c>
      <c r="B8522">
        <v>160290048.10925743</v>
      </c>
    </row>
    <row r="8523" spans="1:2" x14ac:dyDescent="0.25">
      <c r="A8523">
        <f ca="1">31741.9209514703*((RANDBETWEEN(2979,3282)))</f>
        <v>99796599.471422672</v>
      </c>
      <c r="B8523">
        <v>169610112.60322556</v>
      </c>
    </row>
    <row r="8524" spans="1:2" x14ac:dyDescent="0.25">
      <c r="A8524">
        <f ca="1">39553.5686754945*((RANDBETWEEN(2979,3282)))</f>
        <v>123842223.52297316</v>
      </c>
      <c r="B8524">
        <v>145549297.57962409</v>
      </c>
    </row>
    <row r="8525" spans="1:2" x14ac:dyDescent="0.25">
      <c r="A8525">
        <f ca="1">30460.0138506862*((RANDBETWEEN(2979,3282)))</f>
        <v>94578343.006380811</v>
      </c>
      <c r="B8525">
        <v>146100778.93005571</v>
      </c>
    </row>
    <row r="8526" spans="1:2" x14ac:dyDescent="0.25">
      <c r="A8526">
        <f ca="1">29529.5261701987*((RANDBETWEEN(2979,3282)))</f>
        <v>91275765.392084211</v>
      </c>
      <c r="B8526">
        <v>174826719.23255628</v>
      </c>
    </row>
    <row r="8527" spans="1:2" x14ac:dyDescent="0.25">
      <c r="A8527">
        <f ca="1">32941.877211319*((RANDBETWEEN(2979,3282)))</f>
        <v>107192868.44563198</v>
      </c>
      <c r="B8527">
        <v>154776996.1681585</v>
      </c>
    </row>
    <row r="8528" spans="1:2" x14ac:dyDescent="0.25">
      <c r="A8528">
        <f ca="1">33665.9959453735*((RANDBETWEEN(2979,3282)))</f>
        <v>100291001.92126758</v>
      </c>
      <c r="B8528">
        <v>156533511.87884781</v>
      </c>
    </row>
    <row r="8529" spans="1:2" x14ac:dyDescent="0.25">
      <c r="A8529">
        <f ca="1">33198.8038534892*((RANDBETWEEN(2979,3282)))</f>
        <v>103746262.04215367</v>
      </c>
      <c r="B8529">
        <v>191114054.39618802</v>
      </c>
    </row>
    <row r="8530" spans="1:2" x14ac:dyDescent="0.25">
      <c r="A8530">
        <f ca="1">35725.3445934815*((RANDBETWEEN(2979,3282)))</f>
        <v>109069477.04389907</v>
      </c>
      <c r="B8530">
        <v>165408169.10362425</v>
      </c>
    </row>
    <row r="8531" spans="1:2" x14ac:dyDescent="0.25">
      <c r="A8531">
        <f ca="1">32002.2760825314*((RANDBETWEEN(2979,3282)))</f>
        <v>101991253.87502749</v>
      </c>
      <c r="B8531">
        <v>159479834.25417584</v>
      </c>
    </row>
    <row r="8532" spans="1:2" x14ac:dyDescent="0.25">
      <c r="A8532">
        <f ca="1">33797.0081391203*((RANDBETWEEN(2979,3282)))</f>
        <v>105007304.28824675</v>
      </c>
      <c r="B8532">
        <v>157670717.99093944</v>
      </c>
    </row>
    <row r="8533" spans="1:2" x14ac:dyDescent="0.25">
      <c r="A8533">
        <f ca="1">31868.5766226748*((RANDBETWEEN(2979,3282)))</f>
        <v>104465194.16912808</v>
      </c>
      <c r="B8533">
        <v>145669928.04264563</v>
      </c>
    </row>
    <row r="8534" spans="1:2" x14ac:dyDescent="0.25">
      <c r="A8534">
        <f ca="1">28405.095562699*((RANDBETWEEN(2979,3282)))</f>
        <v>91521217.903016031</v>
      </c>
      <c r="B8534">
        <v>192248522.46861458</v>
      </c>
    </row>
    <row r="8535" spans="1:2" x14ac:dyDescent="0.25">
      <c r="A8535">
        <f ca="1">37553.8777298865*((RANDBETWEEN(2979,3282)))</f>
        <v>119684208.32514828</v>
      </c>
      <c r="B8535">
        <v>197763751.4457742</v>
      </c>
    </row>
    <row r="8536" spans="1:2" x14ac:dyDescent="0.25">
      <c r="A8536">
        <f ca="1">29133.9176522612*((RANDBETWEEN(2979,3282)))</f>
        <v>88741913.168787554</v>
      </c>
      <c r="B8536">
        <v>154304539.94454947</v>
      </c>
    </row>
    <row r="8537" spans="1:2" x14ac:dyDescent="0.25">
      <c r="A8537">
        <f ca="1">30568.6867218647*((RANDBETWEEN(2979,3282)))</f>
        <v>97636385.389635697</v>
      </c>
      <c r="B8537">
        <v>161438872.76333338</v>
      </c>
    </row>
    <row r="8538" spans="1:2" x14ac:dyDescent="0.25">
      <c r="A8538">
        <f ca="1">40142.6730242041*((RANDBETWEEN(2979,3282)))</f>
        <v>130423544.65563925</v>
      </c>
      <c r="B8538">
        <v>162493272.11156452</v>
      </c>
    </row>
    <row r="8539" spans="1:2" x14ac:dyDescent="0.25">
      <c r="A8539">
        <f ca="1">36559.9857322468*((RANDBETWEEN(2979,3282)))</f>
        <v>112458516.11239116</v>
      </c>
      <c r="B8539">
        <v>181306923.18780836</v>
      </c>
    </row>
    <row r="8540" spans="1:2" x14ac:dyDescent="0.25">
      <c r="A8540">
        <f ca="1">31455.2573623555*((RANDBETWEEN(2979,3282)))</f>
        <v>98706597.6030716</v>
      </c>
      <c r="B8540">
        <v>147390616.76965296</v>
      </c>
    </row>
    <row r="8541" spans="1:2" x14ac:dyDescent="0.25">
      <c r="A8541">
        <f ca="1">36496.5175153652*((RANDBETWEEN(2979,3282)))</f>
        <v>109088090.85342661</v>
      </c>
      <c r="B8541">
        <v>169485121.29428557</v>
      </c>
    </row>
    <row r="8542" spans="1:2" x14ac:dyDescent="0.25">
      <c r="A8542">
        <f ca="1">29253.3326865876*((RANDBETWEEN(2979,3282)))</f>
        <v>87467464.732896835</v>
      </c>
      <c r="B8542">
        <v>193220943.41442096</v>
      </c>
    </row>
    <row r="8543" spans="1:2" x14ac:dyDescent="0.25">
      <c r="A8543">
        <f ca="1">39413.0173418312*((RANDBETWEEN(2979,3282)))</f>
        <v>127028154.89272204</v>
      </c>
      <c r="B8543">
        <v>155179281.94961956</v>
      </c>
    </row>
    <row r="8544" spans="1:2" x14ac:dyDescent="0.25">
      <c r="A8544">
        <f ca="1">34416.404470262*((RANDBETWEEN(2979,3282)))</f>
        <v>108308424.86791459</v>
      </c>
      <c r="B8544">
        <v>146956299.10619172</v>
      </c>
    </row>
    <row r="8545" spans="1:2" x14ac:dyDescent="0.25">
      <c r="A8545">
        <f ca="1">37172.4577400672*((RANDBETWEEN(2979,3282)))</f>
        <v>119286416.88787554</v>
      </c>
      <c r="B8545">
        <v>174878692.28492406</v>
      </c>
    </row>
    <row r="8546" spans="1:2" x14ac:dyDescent="0.25">
      <c r="A8546">
        <f ca="1">33542.6521857064*((RANDBETWEEN(2979,3282)))</f>
        <v>106229579.47213203</v>
      </c>
      <c r="B8546">
        <v>191845285.880303</v>
      </c>
    </row>
    <row r="8547" spans="1:2" x14ac:dyDescent="0.25">
      <c r="A8547">
        <f ca="1">35914.4962662777*((RANDBETWEEN(2979,3282)))</f>
        <v>107707574.30256675</v>
      </c>
      <c r="B8547">
        <v>192056582.24160051</v>
      </c>
    </row>
    <row r="8548" spans="1:2" x14ac:dyDescent="0.25">
      <c r="A8548">
        <f ca="1">31803.7871501914*((RANDBETWEEN(2979,3282)))</f>
        <v>101072435.56330827</v>
      </c>
      <c r="B8548">
        <v>188710419.49237084</v>
      </c>
    </row>
    <row r="8549" spans="1:2" x14ac:dyDescent="0.25">
      <c r="A8549">
        <f ca="1">33963.8545825187*((RANDBETWEEN(2979,3282)))</f>
        <v>105152093.78747804</v>
      </c>
      <c r="B8549">
        <v>154662634.34746823</v>
      </c>
    </row>
    <row r="8550" spans="1:2" x14ac:dyDescent="0.25">
      <c r="A8550">
        <f ca="1">31320.759365622*((RANDBETWEEN(2979,3282)))</f>
        <v>98409825.926784426</v>
      </c>
      <c r="B8550">
        <v>162479730.49319971</v>
      </c>
    </row>
    <row r="8551" spans="1:2" x14ac:dyDescent="0.25">
      <c r="A8551">
        <f ca="1">34016.3622451045*((RANDBETWEEN(2979,3282)))</f>
        <v>107627770.14351062</v>
      </c>
      <c r="B8551">
        <v>192616837.61863071</v>
      </c>
    </row>
    <row r="8552" spans="1:2" x14ac:dyDescent="0.25">
      <c r="A8552">
        <f ca="1">31711.4708736427*((RANDBETWEEN(2979,3282)))</f>
        <v>99320326.776248902</v>
      </c>
      <c r="B8552">
        <v>174656923.47523534</v>
      </c>
    </row>
    <row r="8553" spans="1:2" x14ac:dyDescent="0.25">
      <c r="A8553">
        <f ca="1">36528.0655521131*((RANDBETWEEN(2979,3282)))</f>
        <v>114552013.57142675</v>
      </c>
      <c r="B8553">
        <v>150787656.92592192</v>
      </c>
    </row>
    <row r="8554" spans="1:2" x14ac:dyDescent="0.25">
      <c r="A8554">
        <f ca="1">32843.8954966311*((RANDBETWEEN(2979,3282)))</f>
        <v>106545596.99107143</v>
      </c>
      <c r="B8554">
        <v>174471899.66832235</v>
      </c>
    </row>
    <row r="8555" spans="1:2" x14ac:dyDescent="0.25">
      <c r="A8555">
        <f ca="1">35093.1739633671*((RANDBETWEEN(2979,3282)))</f>
        <v>113280765.55374886</v>
      </c>
      <c r="B8555">
        <v>174499152.03693333</v>
      </c>
    </row>
    <row r="8556" spans="1:2" x14ac:dyDescent="0.25">
      <c r="A8556">
        <f ca="1">29080.5484115019*((RANDBETWEEN(2979,3282)))</f>
        <v>90585908.301828504</v>
      </c>
      <c r="B8556">
        <v>151518066.90487495</v>
      </c>
    </row>
    <row r="8557" spans="1:2" x14ac:dyDescent="0.25">
      <c r="A8557">
        <f ca="1">31066.5077706098*((RANDBETWEEN(2979,3282)))</f>
        <v>94846048.223671854</v>
      </c>
      <c r="B8557">
        <v>173274845.83643308</v>
      </c>
    </row>
    <row r="8558" spans="1:2" x14ac:dyDescent="0.25">
      <c r="A8558">
        <f ca="1">35811.4575140629*((RANDBETWEEN(2979,3282)))</f>
        <v>114274360.92737469</v>
      </c>
      <c r="B8558">
        <v>145005018.86108339</v>
      </c>
    </row>
    <row r="8559" spans="1:2" x14ac:dyDescent="0.25">
      <c r="A8559">
        <f ca="1">31905.4479740919*((RANDBETWEEN(2979,3282)))</f>
        <v>98587834.239943907</v>
      </c>
      <c r="B8559">
        <v>161070357.14842069</v>
      </c>
    </row>
    <row r="8560" spans="1:2" x14ac:dyDescent="0.25">
      <c r="A8560">
        <f ca="1">41982.3275119819*((RANDBETWEEN(2979,3282)))</f>
        <v>131950455.37015909</v>
      </c>
      <c r="B8560">
        <v>153666407.5294573</v>
      </c>
    </row>
    <row r="8561" spans="1:2" x14ac:dyDescent="0.25">
      <c r="A8561">
        <f ca="1">37126.3454786522*((RANDBETWEEN(2979,3282)))</f>
        <v>113495238.12823984</v>
      </c>
      <c r="B8561">
        <v>157853809.2232565</v>
      </c>
    </row>
    <row r="8562" spans="1:2" x14ac:dyDescent="0.25">
      <c r="A8562">
        <f ca="1">31161.8867334871*((RANDBETWEEN(2979,3282)))</f>
        <v>95448859.064670935</v>
      </c>
      <c r="B8562">
        <v>197277478.20694354</v>
      </c>
    </row>
    <row r="8563" spans="1:2" x14ac:dyDescent="0.25">
      <c r="A8563">
        <f ca="1">34726.9454348208*((RANDBETWEEN(2979,3282)))</f>
        <v>108834246.9927284</v>
      </c>
      <c r="B8563">
        <v>178611113.96264404</v>
      </c>
    </row>
    <row r="8564" spans="1:2" x14ac:dyDescent="0.25">
      <c r="A8564">
        <f ca="1">30711.3979255328*((RANDBETWEEN(2979,3282)))</f>
        <v>100334137.02271569</v>
      </c>
      <c r="B8564">
        <v>156271283.11663765</v>
      </c>
    </row>
    <row r="8565" spans="1:2" x14ac:dyDescent="0.25">
      <c r="A8565">
        <f ca="1">30701.8168308531*((RANDBETWEEN(2979,3282)))</f>
        <v>95605457.611276448</v>
      </c>
      <c r="B8565">
        <v>193747863.74346527</v>
      </c>
    </row>
    <row r="8566" spans="1:2" x14ac:dyDescent="0.25">
      <c r="A8566">
        <f ca="1">32276.823418397*((RANDBETWEEN(2979,3282)))</f>
        <v>98444311.426110864</v>
      </c>
      <c r="B8566">
        <v>160407598.2797707</v>
      </c>
    </row>
    <row r="8567" spans="1:2" x14ac:dyDescent="0.25">
      <c r="A8567">
        <f ca="1">31030.3182358987*((RANDBETWEEN(2979,3282)))</f>
        <v>101655322.5408043</v>
      </c>
      <c r="B8567">
        <v>170403118.81394583</v>
      </c>
    </row>
    <row r="8568" spans="1:2" x14ac:dyDescent="0.25">
      <c r="A8568">
        <f ca="1">31515.8267533555*((RANDBETWEEN(2979,3282)))</f>
        <v>99243338.446316615</v>
      </c>
      <c r="B8568">
        <v>188207910.86178431</v>
      </c>
    </row>
    <row r="8569" spans="1:2" x14ac:dyDescent="0.25">
      <c r="A8569">
        <f ca="1">32247.3000489355*((RANDBETWEEN(2979,3282)))</f>
        <v>96967631.24714905</v>
      </c>
      <c r="B8569">
        <v>172420477.50938198</v>
      </c>
    </row>
    <row r="8570" spans="1:2" x14ac:dyDescent="0.25">
      <c r="A8570">
        <f ca="1">32933.9129002245*((RANDBETWEEN(2979,3282)))</f>
        <v>106508274.31932601</v>
      </c>
      <c r="B8570">
        <v>192434514.6919874</v>
      </c>
    </row>
    <row r="8571" spans="1:2" x14ac:dyDescent="0.25">
      <c r="A8571">
        <f ca="1">34307.5371414938*((RANDBETWEEN(2979,3282)))</f>
        <v>103025534.03590594</v>
      </c>
      <c r="B8571">
        <v>163992009.70384094</v>
      </c>
    </row>
    <row r="8572" spans="1:2" x14ac:dyDescent="0.25">
      <c r="A8572">
        <f ca="1">29764.0070701178*((RANDBETWEEN(2979,3282)))</f>
        <v>88934853.125512138</v>
      </c>
      <c r="B8572">
        <v>148822851.09777915</v>
      </c>
    </row>
    <row r="8573" spans="1:2" x14ac:dyDescent="0.25">
      <c r="A8573">
        <f ca="1">32625.6007563583*((RANDBETWEEN(2979,3282)))</f>
        <v>99605959.109161749</v>
      </c>
      <c r="B8573">
        <v>194355990.67537373</v>
      </c>
    </row>
    <row r="8574" spans="1:2" x14ac:dyDescent="0.25">
      <c r="A8574">
        <f ca="1">31924.4689620972*((RANDBETWEEN(2979,3282)))</f>
        <v>100178983.60306101</v>
      </c>
      <c r="B8574">
        <v>202247183.90518713</v>
      </c>
    </row>
    <row r="8575" spans="1:2" x14ac:dyDescent="0.25">
      <c r="A8575">
        <f ca="1">31415.7650723516*((RANDBETWEEN(2979,3282)))</f>
        <v>95472510.054876491</v>
      </c>
      <c r="B8575">
        <v>191429191.50962466</v>
      </c>
    </row>
    <row r="8576" spans="1:2" x14ac:dyDescent="0.25">
      <c r="A8576">
        <f ca="1">36417.0704160964*((RANDBETWEEN(2979,3282)))</f>
        <v>110015969.72702707</v>
      </c>
      <c r="B8576">
        <v>145126356.04466873</v>
      </c>
    </row>
    <row r="8577" spans="1:2" x14ac:dyDescent="0.25">
      <c r="A8577">
        <f ca="1">31815.940388608*((RANDBETWEEN(2979,3282)))</f>
        <v>103210910.62064429</v>
      </c>
      <c r="B8577">
        <v>154689788.20136005</v>
      </c>
    </row>
    <row r="8578" spans="1:2" x14ac:dyDescent="0.25">
      <c r="A8578">
        <f ca="1">29454.8393925656*((RANDBETWEEN(2979,3282)))</f>
        <v>94461669.931957871</v>
      </c>
      <c r="B8578">
        <v>155795208.73960456</v>
      </c>
    </row>
    <row r="8579" spans="1:2" x14ac:dyDescent="0.25">
      <c r="A8579">
        <f ca="1">34384.2888386299*((RANDBETWEEN(2979,3282)))</f>
        <v>102499565.02795559</v>
      </c>
      <c r="B8579">
        <v>190340231.24831557</v>
      </c>
    </row>
    <row r="8580" spans="1:2" x14ac:dyDescent="0.25">
      <c r="A8580">
        <f ca="1">31178.026154512*((RANDBETWEEN(2979,3282)))</f>
        <v>94500597.274325803</v>
      </c>
      <c r="B8580">
        <v>145441891.82101095</v>
      </c>
    </row>
    <row r="8581" spans="1:2" x14ac:dyDescent="0.25">
      <c r="A8581">
        <f ca="1">35741.2549128618*((RANDBETWEEN(2979,3282)))</f>
        <v>113514225.60324904</v>
      </c>
      <c r="B8581">
        <v>190384009.8112663</v>
      </c>
    </row>
    <row r="8582" spans="1:2" x14ac:dyDescent="0.25">
      <c r="A8582">
        <f ca="1">41043.0570032963*((RANDBETWEEN(2979,3282)))</f>
        <v>133184719.97569649</v>
      </c>
      <c r="B8582">
        <v>145447533.6194295</v>
      </c>
    </row>
    <row r="8583" spans="1:2" x14ac:dyDescent="0.25">
      <c r="A8583">
        <f ca="1">29046.4881708934*((RANDBETWEEN(2979,3282)))</f>
        <v>89579369.51903525</v>
      </c>
      <c r="B8583">
        <v>165521340.21061513</v>
      </c>
    </row>
    <row r="8584" spans="1:2" x14ac:dyDescent="0.25">
      <c r="A8584">
        <f ca="1">29661.5087228277*((RANDBETWEEN(2979,3282)))</f>
        <v>88480280.520194918</v>
      </c>
      <c r="B8584">
        <v>161888209.46530735</v>
      </c>
    </row>
    <row r="8585" spans="1:2" x14ac:dyDescent="0.25">
      <c r="A8585">
        <f ca="1">30806.4483478671*((RANDBETWEEN(2979,3282)))</f>
        <v>98241763.781348139</v>
      </c>
      <c r="B8585">
        <v>152199946.51981705</v>
      </c>
    </row>
    <row r="8586" spans="1:2" x14ac:dyDescent="0.25">
      <c r="A8586">
        <f ca="1">31463.5278523561*((RANDBETWEEN(2979,3282)))</f>
        <v>96309858.756062046</v>
      </c>
      <c r="B8586">
        <v>156782780.66539091</v>
      </c>
    </row>
    <row r="8587" spans="1:2" x14ac:dyDescent="0.25">
      <c r="A8587">
        <f ca="1">38125.6372753241*((RANDBETWEEN(2979,3282)))</f>
        <v>115596932.21878254</v>
      </c>
      <c r="B8587">
        <v>158151250.06073871</v>
      </c>
    </row>
    <row r="8588" spans="1:2" x14ac:dyDescent="0.25">
      <c r="A8588">
        <f ca="1">30184.4434486072*((RANDBETWEEN(2979,3282)))</f>
        <v>96107267.940365434</v>
      </c>
      <c r="B8588">
        <v>172089524.19644764</v>
      </c>
    </row>
    <row r="8589" spans="1:2" x14ac:dyDescent="0.25">
      <c r="A8589">
        <f ca="1">31306.1913394219*((RANDBETWEEN(2979,3282)))</f>
        <v>100618098.96490203</v>
      </c>
      <c r="B8589">
        <v>145520435.06202167</v>
      </c>
    </row>
    <row r="8590" spans="1:2" x14ac:dyDescent="0.25">
      <c r="A8590">
        <f ca="1">39505.4682013099*((RANDBETWEEN(2979,3282)))</f>
        <v>128827331.80447166</v>
      </c>
      <c r="B8590">
        <v>156764589.86062014</v>
      </c>
    </row>
    <row r="8591" spans="1:2" x14ac:dyDescent="0.25">
      <c r="A8591">
        <f ca="1">29012.6555328646*((RANDBETWEEN(2979,3282)))</f>
        <v>93623839.404554024</v>
      </c>
      <c r="B8591">
        <v>176126823.59774312</v>
      </c>
    </row>
    <row r="8592" spans="1:2" x14ac:dyDescent="0.25">
      <c r="A8592">
        <f ca="1">40421.6008314506*((RANDBETWEEN(2979,3282)))</f>
        <v>129187436.25731632</v>
      </c>
      <c r="B8592">
        <v>159413103.31518394</v>
      </c>
    </row>
    <row r="8593" spans="1:2" x14ac:dyDescent="0.25">
      <c r="A8593">
        <f ca="1">32770.7507981382*((RANDBETWEEN(2979,3282)))</f>
        <v>106242774.08756417</v>
      </c>
      <c r="B8593">
        <v>155977550.68487611</v>
      </c>
    </row>
    <row r="8594" spans="1:2" x14ac:dyDescent="0.25">
      <c r="A8594">
        <f ca="1">41294.5756560158*((RANDBETWEEN(2979,3282)))</f>
        <v>127600238.77708872</v>
      </c>
      <c r="B8594">
        <v>162239228.06124395</v>
      </c>
    </row>
    <row r="8595" spans="1:2" x14ac:dyDescent="0.25">
      <c r="A8595">
        <f ca="1">27623.2755623808*((RANDBETWEEN(2979,3282)))</f>
        <v>88063002.492870122</v>
      </c>
      <c r="B8595">
        <v>153755758.24775618</v>
      </c>
    </row>
    <row r="8596" spans="1:2" x14ac:dyDescent="0.25">
      <c r="A8596">
        <f ca="1">29950.1949031124*((RANDBETWEEN(2979,3282)))</f>
        <v>98296539.672015011</v>
      </c>
      <c r="B8596">
        <v>152512638.32963324</v>
      </c>
    </row>
    <row r="8597" spans="1:2" x14ac:dyDescent="0.25">
      <c r="A8597">
        <f ca="1">37210.3652957949*((RANDBETWEEN(2979,3282)))</f>
        <v>121045318.30722095</v>
      </c>
      <c r="B8597">
        <v>156458260.95904791</v>
      </c>
    </row>
    <row r="8598" spans="1:2" x14ac:dyDescent="0.25">
      <c r="A8598">
        <f ca="1">33971.3340772842*((RANDBETWEEN(2979,3282)))</f>
        <v>103442712.2653303</v>
      </c>
      <c r="B8598">
        <v>152472190.48558128</v>
      </c>
    </row>
    <row r="8599" spans="1:2" x14ac:dyDescent="0.25">
      <c r="A8599">
        <f ca="1">35066.3390825412*((RANDBETWEEN(2979,3282)))</f>
        <v>107828992.67881423</v>
      </c>
      <c r="B8599">
        <v>162262941.84899092</v>
      </c>
    </row>
    <row r="8600" spans="1:2" x14ac:dyDescent="0.25">
      <c r="A8600">
        <f ca="1">33027.8390978094*((RANDBETWEEN(2979,3282)))</f>
        <v>103145941.50245863</v>
      </c>
      <c r="B8600">
        <v>193437672.67773658</v>
      </c>
    </row>
    <row r="8601" spans="1:2" x14ac:dyDescent="0.25">
      <c r="A8601">
        <f ca="1">30924.7667364566*((RANDBETWEEN(2979,3282)))</f>
        <v>93794817.51167284</v>
      </c>
      <c r="B8601">
        <v>200229969.53704488</v>
      </c>
    </row>
    <row r="8602" spans="1:2" x14ac:dyDescent="0.25">
      <c r="A8602">
        <f ca="1">31679.0872534113*((RANDBETWEEN(2979,3282)))</f>
        <v>95385731.720021367</v>
      </c>
      <c r="B8602">
        <v>165307440.17185158</v>
      </c>
    </row>
    <row r="8603" spans="1:2" x14ac:dyDescent="0.25">
      <c r="A8603">
        <f ca="1">39641.3101210651*((RANDBETWEEN(2979,3282)))</f>
        <v>120390658.83767462</v>
      </c>
      <c r="B8603">
        <v>149017529.02220151</v>
      </c>
    </row>
    <row r="8604" spans="1:2" x14ac:dyDescent="0.25">
      <c r="A8604">
        <f ca="1">33075.7798899663*((RANDBETWEEN(2979,3282)))</f>
        <v>100153461.50681789</v>
      </c>
      <c r="B8604">
        <v>143821194.01031497</v>
      </c>
    </row>
    <row r="8605" spans="1:2" x14ac:dyDescent="0.25">
      <c r="A8605">
        <f ca="1">33118.9360768278*((RANDBETWEEN(2979,3282)))</f>
        <v>105318216.72431247</v>
      </c>
      <c r="B8605">
        <v>202713679.58905661</v>
      </c>
    </row>
    <row r="8606" spans="1:2" x14ac:dyDescent="0.25">
      <c r="A8606">
        <f ca="1">35093.1594734523*((RANDBETWEEN(2979,3282)))</f>
        <v>108297490.1350739</v>
      </c>
      <c r="B8606">
        <v>203243034.32647017</v>
      </c>
    </row>
    <row r="8607" spans="1:2" x14ac:dyDescent="0.25">
      <c r="A8607">
        <f ca="1">33569.5100912184*((RANDBETWEEN(2979,3282)))</f>
        <v>105609678.74697325</v>
      </c>
      <c r="B8607">
        <v>144240316.33087876</v>
      </c>
    </row>
    <row r="8608" spans="1:2" x14ac:dyDescent="0.25">
      <c r="A8608">
        <f ca="1">38237.3391466459*((RANDBETWEEN(2979,3282)))</f>
        <v>123659554.80025287</v>
      </c>
      <c r="B8608">
        <v>202418206.27116668</v>
      </c>
    </row>
    <row r="8609" spans="1:2" x14ac:dyDescent="0.25">
      <c r="A8609">
        <f ca="1">32012.7712732056*((RANDBETWEEN(2979,3282)))</f>
        <v>95846237.19197765</v>
      </c>
      <c r="B8609">
        <v>146791174.9743028</v>
      </c>
    </row>
    <row r="8610" spans="1:2" x14ac:dyDescent="0.25">
      <c r="A8610">
        <f ca="1">36923.8547132835*((RANDBETWEEN(2979,3282)))</f>
        <v>111731584.36239587</v>
      </c>
      <c r="B8610">
        <v>160939490.13832301</v>
      </c>
    </row>
    <row r="8611" spans="1:2" x14ac:dyDescent="0.25">
      <c r="A8611">
        <f ca="1">39495.6583617256*((RANDBETWEEN(2979,3282)))</f>
        <v>129111307.18448086</v>
      </c>
      <c r="B8611">
        <v>196367824.90422294</v>
      </c>
    </row>
    <row r="8612" spans="1:2" x14ac:dyDescent="0.25">
      <c r="A8612">
        <f ca="1">31072.0379714407*((RANDBETWEEN(2979,3282)))</f>
        <v>98063351.837866932</v>
      </c>
      <c r="B8612">
        <v>171430605.33656418</v>
      </c>
    </row>
    <row r="8613" spans="1:2" x14ac:dyDescent="0.25">
      <c r="A8613">
        <f ca="1">32011.2096250114*((RANDBETWEEN(2979,3282)))</f>
        <v>95937595.246159121</v>
      </c>
      <c r="B8613">
        <v>146936983.26764363</v>
      </c>
    </row>
    <row r="8614" spans="1:2" x14ac:dyDescent="0.25">
      <c r="A8614">
        <f ca="1">32131.7445138369*((RANDBETWEEN(2979,3282)))</f>
        <v>102628791.97719499</v>
      </c>
      <c r="B8614">
        <v>192760522.88853851</v>
      </c>
    </row>
    <row r="8615" spans="1:2" x14ac:dyDescent="0.25">
      <c r="A8615">
        <f ca="1">39191.2062091142*((RANDBETWEEN(2979,3282)))</f>
        <v>118318251.54531588</v>
      </c>
      <c r="B8615">
        <v>156386878.31268594</v>
      </c>
    </row>
    <row r="8616" spans="1:2" x14ac:dyDescent="0.25">
      <c r="A8616">
        <f ca="1">31796.2974149471*((RANDBETWEEN(2979,3282)))</f>
        <v>104228262.92619669</v>
      </c>
      <c r="B8616">
        <v>176684438.90596497</v>
      </c>
    </row>
    <row r="8617" spans="1:2" x14ac:dyDescent="0.25">
      <c r="A8617">
        <f ca="1">42899.7659322473*((RANDBETWEEN(2979,3282)))</f>
        <v>131616481.8801346</v>
      </c>
      <c r="B8617">
        <v>164331049.77717</v>
      </c>
    </row>
    <row r="8618" spans="1:2" x14ac:dyDescent="0.25">
      <c r="A8618">
        <f ca="1">35873.4729597197*((RANDBETWEEN(2979,3282)))</f>
        <v>116014811.55173366</v>
      </c>
      <c r="B8618">
        <v>161360037.93799528</v>
      </c>
    </row>
    <row r="8619" spans="1:2" x14ac:dyDescent="0.25">
      <c r="A8619">
        <f ca="1">29657.9068578525*((RANDBETWEEN(2979,3282)))</f>
        <v>91672590.097622201</v>
      </c>
      <c r="B8619">
        <v>154252098.91442499</v>
      </c>
    </row>
    <row r="8620" spans="1:2" x14ac:dyDescent="0.25">
      <c r="A8620">
        <f ca="1">37891.9085454799*((RANDBETWEEN(2979,3282)))</f>
        <v>117881727.48498791</v>
      </c>
      <c r="B8620">
        <v>160963445.63254476</v>
      </c>
    </row>
    <row r="8621" spans="1:2" x14ac:dyDescent="0.25">
      <c r="A8621">
        <f ca="1">30785.9401425676*((RANDBETWEEN(2979,3282)))</f>
        <v>92573322.008700773</v>
      </c>
      <c r="B8621">
        <v>152127620.96213028</v>
      </c>
    </row>
    <row r="8622" spans="1:2" x14ac:dyDescent="0.25">
      <c r="A8622">
        <f ca="1">39651.8878635707*((RANDBETWEEN(2979,3282)))</f>
        <v>121136517.42320852</v>
      </c>
      <c r="B8622">
        <v>199561936.51997724</v>
      </c>
    </row>
    <row r="8623" spans="1:2" x14ac:dyDescent="0.25">
      <c r="A8623">
        <f ca="1">35560.8853906154*((RANDBETWEEN(2979,3282)))</f>
        <v>113012493.7713757</v>
      </c>
      <c r="B8623">
        <v>145755318.95495835</v>
      </c>
    </row>
    <row r="8624" spans="1:2" x14ac:dyDescent="0.25">
      <c r="A8624">
        <f ca="1">39206.5751195108*((RANDBETWEEN(2979,3282)))</f>
        <v>126441204.76042229</v>
      </c>
      <c r="B8624">
        <v>176949314.5480803</v>
      </c>
    </row>
    <row r="8625" spans="1:2" x14ac:dyDescent="0.25">
      <c r="A8625">
        <f ca="1">30887.868439274*((RANDBETWEEN(2979,3282)))</f>
        <v>100632675.37515475</v>
      </c>
      <c r="B8625">
        <v>149323953.00857121</v>
      </c>
    </row>
    <row r="8626" spans="1:2" x14ac:dyDescent="0.25">
      <c r="A8626">
        <f ca="1">38171.0887581352*((RANDBETWEEN(2979,3282)))</f>
        <v>114093384.29806598</v>
      </c>
      <c r="B8626">
        <v>148529579.29398507</v>
      </c>
    </row>
    <row r="8627" spans="1:2" x14ac:dyDescent="0.25">
      <c r="A8627">
        <f ca="1">29365.2155790141*((RANDBETWEEN(2979,3282)))</f>
        <v>87478977.209883109</v>
      </c>
      <c r="B8627">
        <v>170405361.6871857</v>
      </c>
    </row>
    <row r="8628" spans="1:2" x14ac:dyDescent="0.25">
      <c r="A8628">
        <f ca="1">39034.948265397*((RANDBETWEEN(2979,3282)))</f>
        <v>116363180.77914838</v>
      </c>
      <c r="B8628">
        <v>143686781.06662753</v>
      </c>
    </row>
    <row r="8629" spans="1:2" x14ac:dyDescent="0.25">
      <c r="A8629">
        <f ca="1">33439.2470971685*((RANDBETWEEN(2979,3282)))</f>
        <v>102792245.57669605</v>
      </c>
      <c r="B8629">
        <v>202050495.92810804</v>
      </c>
    </row>
    <row r="8630" spans="1:2" x14ac:dyDescent="0.25">
      <c r="A8630">
        <f ca="1">41849.4273367791*((RANDBETWEEN(2979,3282)))</f>
        <v>131281653.55547607</v>
      </c>
      <c r="B8630">
        <v>144364063.82127053</v>
      </c>
    </row>
    <row r="8631" spans="1:2" x14ac:dyDescent="0.25">
      <c r="A8631">
        <f ca="1">39357.9678655336*((RANDBETWEEN(2979,3282)))</f>
        <v>126575224.65555611</v>
      </c>
      <c r="B8631">
        <v>144605115.74357837</v>
      </c>
    </row>
    <row r="8632" spans="1:2" x14ac:dyDescent="0.25">
      <c r="A8632">
        <f ca="1">37864.6903080655*((RANDBETWEEN(2979,3282)))</f>
        <v>120750497.39242072</v>
      </c>
      <c r="B8632">
        <v>157554831.86393675</v>
      </c>
    </row>
    <row r="8633" spans="1:2" x14ac:dyDescent="0.25">
      <c r="A8633">
        <f ca="1">32242.082532303*((RANDBETWEEN(2979,3282)))</f>
        <v>97757994.2379428</v>
      </c>
      <c r="B8633">
        <v>180500174.7541216</v>
      </c>
    </row>
    <row r="8634" spans="1:2" x14ac:dyDescent="0.25">
      <c r="A8634">
        <f ca="1">41255.889166449*((RANDBETWEEN(2979,3282)))</f>
        <v>126284276.73850039</v>
      </c>
      <c r="B8634">
        <v>184685639.52992707</v>
      </c>
    </row>
    <row r="8635" spans="1:2" x14ac:dyDescent="0.25">
      <c r="A8635">
        <f ca="1">37474.5404675055*((RANDBETWEEN(2979,3282)))</f>
        <v>115009364.69477446</v>
      </c>
      <c r="B8635">
        <v>199249556.6652469</v>
      </c>
    </row>
    <row r="8636" spans="1:2" x14ac:dyDescent="0.25">
      <c r="A8636">
        <f ca="1">31010.0001094615*((RANDBETWEEN(2979,3282)))</f>
        <v>96099990.33922106</v>
      </c>
      <c r="B8636">
        <v>163809092.0460071</v>
      </c>
    </row>
    <row r="8637" spans="1:2" x14ac:dyDescent="0.25">
      <c r="A8637">
        <f ca="1">29683.515568788*((RANDBETWEEN(2979,3282)))</f>
        <v>90950291.702766418</v>
      </c>
      <c r="B8637">
        <v>173329033.34002858</v>
      </c>
    </row>
    <row r="8638" spans="1:2" x14ac:dyDescent="0.25">
      <c r="A8638">
        <f ca="1">38859.0769886916*((RANDBETWEEN(2979,3282)))</f>
        <v>123260992.20812978</v>
      </c>
      <c r="B8638">
        <v>159399972.58051166</v>
      </c>
    </row>
    <row r="8639" spans="1:2" x14ac:dyDescent="0.25">
      <c r="A8639">
        <f ca="1">37393.68090323*((RANDBETWEEN(2979,3282)))</f>
        <v>115583867.67188382</v>
      </c>
      <c r="B8639">
        <v>183959583.71875721</v>
      </c>
    </row>
    <row r="8640" spans="1:2" x14ac:dyDescent="0.25">
      <c r="A8640">
        <f ca="1">33244.2000320246*((RANDBETWEEN(2979,3282)))</f>
        <v>100796414.49709864</v>
      </c>
      <c r="B8640">
        <v>171001091.41668296</v>
      </c>
    </row>
    <row r="8641" spans="1:2" x14ac:dyDescent="0.25">
      <c r="A8641">
        <f ca="1">33428.0744420246*((RANDBETWEEN(2979,3282)))</f>
        <v>108741526.15990593</v>
      </c>
      <c r="B8641">
        <v>149263377.85792428</v>
      </c>
    </row>
    <row r="8642" spans="1:2" x14ac:dyDescent="0.25">
      <c r="A8642">
        <f ca="1">36373.8850949662*((RANDBETWEEN(2979,3282)))</f>
        <v>118724360.94996963</v>
      </c>
      <c r="B8642">
        <v>161021621.48443019</v>
      </c>
    </row>
    <row r="8643" spans="1:2" x14ac:dyDescent="0.25">
      <c r="A8643">
        <f ca="1">28927.3840916449*((RANDBETWEEN(2979,3282)))</f>
        <v>91613025.418239281</v>
      </c>
      <c r="B8643">
        <v>144000854.36862016</v>
      </c>
    </row>
    <row r="8644" spans="1:2" x14ac:dyDescent="0.25">
      <c r="A8644">
        <f ca="1">31032.3485699606*((RANDBETWEEN(2979,3282)))</f>
        <v>94927954.275509387</v>
      </c>
      <c r="B8644">
        <v>192920859.20882398</v>
      </c>
    </row>
    <row r="8645" spans="1:2" x14ac:dyDescent="0.25">
      <c r="A8645">
        <f ca="1">32749.109512518*((RANDBETWEEN(2979,3282)))</f>
        <v>103912924.48321946</v>
      </c>
      <c r="B8645">
        <v>155612450.59938002</v>
      </c>
    </row>
    <row r="8646" spans="1:2" x14ac:dyDescent="0.25">
      <c r="A8646">
        <f ca="1">40036.5284776926*((RANDBETWEEN(2979,3282)))</f>
        <v>125514516.77756627</v>
      </c>
      <c r="B8646">
        <v>154532724.62128082</v>
      </c>
    </row>
    <row r="8647" spans="1:2" x14ac:dyDescent="0.25">
      <c r="A8647">
        <f ca="1">28986.7472012409*((RANDBETWEEN(2979,3282)))</f>
        <v>89279181.379822031</v>
      </c>
      <c r="B8647">
        <v>163720667.64312398</v>
      </c>
    </row>
    <row r="8648" spans="1:2" x14ac:dyDescent="0.25">
      <c r="A8648">
        <f ca="1">37764.6266592505*((RANDBETWEEN(2979,3282)))</f>
        <v>123905740.06900097</v>
      </c>
      <c r="B8648">
        <v>184693356.2301971</v>
      </c>
    </row>
    <row r="8649" spans="1:2" x14ac:dyDescent="0.25">
      <c r="A8649">
        <f ca="1">28574.2127498742*((RANDBETWEEN(2979,3282)))</f>
        <v>88008575.269612625</v>
      </c>
      <c r="B8649">
        <v>159798116.19102779</v>
      </c>
    </row>
    <row r="8650" spans="1:2" x14ac:dyDescent="0.25">
      <c r="A8650">
        <f ca="1">33960.7889688447*((RANDBETWEEN(2979,3282)))</f>
        <v>104667151.60197937</v>
      </c>
      <c r="B8650">
        <v>192035496.16293257</v>
      </c>
    </row>
    <row r="8651" spans="1:2" x14ac:dyDescent="0.25">
      <c r="A8651">
        <f ca="1">29672.8977935838*((RANDBETWEEN(2979,3282)))</f>
        <v>92193693.444665</v>
      </c>
      <c r="B8651">
        <v>166103903.43470228</v>
      </c>
    </row>
    <row r="8652" spans="1:2" x14ac:dyDescent="0.25">
      <c r="A8652">
        <f ca="1">30352.3438751245*((RANDBETWEEN(2979,3282)))</f>
        <v>93819094.918009967</v>
      </c>
      <c r="B8652">
        <v>178146780.5500389</v>
      </c>
    </row>
    <row r="8653" spans="1:2" x14ac:dyDescent="0.25">
      <c r="A8653">
        <f ca="1">32435.5692749621*((RANDBETWEEN(2979,3282)))</f>
        <v>99933988.936158136</v>
      </c>
      <c r="B8653">
        <v>147066627.47742486</v>
      </c>
    </row>
    <row r="8654" spans="1:2" x14ac:dyDescent="0.25">
      <c r="A8654">
        <f ca="1">36198.188644146*((RANDBETWEEN(2979,3282)))</f>
        <v>117209734.82974482</v>
      </c>
      <c r="B8654">
        <v>162616708.69762212</v>
      </c>
    </row>
    <row r="8655" spans="1:2" x14ac:dyDescent="0.25">
      <c r="A8655">
        <f ca="1">28455.0678499981*((RANDBETWEEN(2979,3282)))</f>
        <v>90430205.627294049</v>
      </c>
      <c r="B8655">
        <v>145570156.96409392</v>
      </c>
    </row>
    <row r="8656" spans="1:2" x14ac:dyDescent="0.25">
      <c r="A8656">
        <f ca="1">36101.2125996453*((RANDBETWEEN(2979,3282)))</f>
        <v>117148434.88584915</v>
      </c>
      <c r="B8656">
        <v>181748263.07329065</v>
      </c>
    </row>
    <row r="8657" spans="1:2" x14ac:dyDescent="0.25">
      <c r="A8657">
        <f ca="1">32549.460800425*((RANDBETWEEN(2979,3282)))</f>
        <v>105915945.44458294</v>
      </c>
      <c r="B8657">
        <v>150950916.8722555</v>
      </c>
    </row>
    <row r="8658" spans="1:2" x14ac:dyDescent="0.25">
      <c r="A8658">
        <f ca="1">36643.6111013097*((RANDBETWEEN(2979,3282)))</f>
        <v>110920210.80366434</v>
      </c>
      <c r="B8658">
        <v>151571298.38014475</v>
      </c>
    </row>
    <row r="8659" spans="1:2" x14ac:dyDescent="0.25">
      <c r="A8659">
        <f ca="1">41254.3011199621*((RANDBETWEEN(2979,3282)))</f>
        <v>125578092.60916455</v>
      </c>
      <c r="B8659">
        <v>143657624.60620862</v>
      </c>
    </row>
    <row r="8660" spans="1:2" x14ac:dyDescent="0.25">
      <c r="A8660">
        <f ca="1">33398.5724389393*((RANDBETWEEN(2979,3282)))</f>
        <v>101999240.22852069</v>
      </c>
      <c r="B8660">
        <v>183894158.23139262</v>
      </c>
    </row>
    <row r="8661" spans="1:2" x14ac:dyDescent="0.25">
      <c r="A8661">
        <f ca="1">34288.188381129*((RANDBETWEEN(2979,3282)))</f>
        <v>111813782.31086159</v>
      </c>
      <c r="B8661">
        <v>160656710.5294106</v>
      </c>
    </row>
    <row r="8662" spans="1:2" x14ac:dyDescent="0.25">
      <c r="A8662">
        <f ca="1">30736.7698284385*((RANDBETWEEN(2979,3282)))</f>
        <v>96206089.563012451</v>
      </c>
      <c r="B8662">
        <v>177258906.98135173</v>
      </c>
    </row>
    <row r="8663" spans="1:2" x14ac:dyDescent="0.25">
      <c r="A8663">
        <f ca="1">31441.3950485482*((RANDBETWEEN(2979,3282)))</f>
        <v>94701481.886227146</v>
      </c>
      <c r="B8663">
        <v>197843503.13648182</v>
      </c>
    </row>
    <row r="8664" spans="1:2" x14ac:dyDescent="0.25">
      <c r="A8664">
        <f ca="1">34845.4471032567*((RANDBETWEEN(2979,3282)))</f>
        <v>106417995.4533461</v>
      </c>
      <c r="B8664">
        <v>186136623.25090182</v>
      </c>
    </row>
    <row r="8665" spans="1:2" x14ac:dyDescent="0.25">
      <c r="A8665">
        <f ca="1">39439.1714141337*((RANDBETWEEN(2979,3282)))</f>
        <v>121354330.44128948</v>
      </c>
      <c r="B8665">
        <v>177509095.17690915</v>
      </c>
    </row>
    <row r="8666" spans="1:2" x14ac:dyDescent="0.25">
      <c r="A8666">
        <f ca="1">32993.2204201856*((RANDBETWEEN(2979,3282)))</f>
        <v>99903471.432321891</v>
      </c>
      <c r="B8666">
        <v>152619486.14781845</v>
      </c>
    </row>
    <row r="8667" spans="1:2" x14ac:dyDescent="0.25">
      <c r="A8667">
        <f ca="1">34771.7883329855*((RANDBETWEEN(2979,3282)))</f>
        <v>104002418.90395972</v>
      </c>
      <c r="B8667">
        <v>171594979.8083365</v>
      </c>
    </row>
    <row r="8668" spans="1:2" x14ac:dyDescent="0.25">
      <c r="A8668">
        <f ca="1">37490.4460926152*((RANDBETWEEN(2979,3282)))</f>
        <v>123043644.07596309</v>
      </c>
      <c r="B8668">
        <v>153251328.42772537</v>
      </c>
    </row>
    <row r="8669" spans="1:2" x14ac:dyDescent="0.25">
      <c r="A8669">
        <f ca="1">35442.8422534789*((RANDBETWEEN(2979,3282)))</f>
        <v>115720879.95760855</v>
      </c>
      <c r="B8669">
        <v>143903742.47727621</v>
      </c>
    </row>
    <row r="8670" spans="1:2" x14ac:dyDescent="0.25">
      <c r="A8670">
        <f ca="1">38346.8838277568*((RANDBETWEEN(2979,3282)))</f>
        <v>122096478.10757762</v>
      </c>
      <c r="B8670">
        <v>184376578.88702428</v>
      </c>
    </row>
    <row r="8671" spans="1:2" x14ac:dyDescent="0.25">
      <c r="A8671">
        <f ca="1">31962.1012907512*((RANDBETWEEN(2979,3282)))</f>
        <v>98603082.481967539</v>
      </c>
      <c r="B8671">
        <v>153676731.55713964</v>
      </c>
    </row>
    <row r="8672" spans="1:2" x14ac:dyDescent="0.25">
      <c r="A8672">
        <f ca="1">32640.1602741256*((RANDBETWEEN(2979,3282)))</f>
        <v>104285312.07583135</v>
      </c>
      <c r="B8672">
        <v>176274181.41750056</v>
      </c>
    </row>
    <row r="8673" spans="1:2" x14ac:dyDescent="0.25">
      <c r="A8673">
        <f ca="1">36321.5332657485*((RANDBETWEEN(2979,3282)))</f>
        <v>114739723.58649948</v>
      </c>
      <c r="B8673">
        <v>198381587.21005875</v>
      </c>
    </row>
    <row r="8674" spans="1:2" x14ac:dyDescent="0.25">
      <c r="A8674">
        <f ca="1">33004.4837147557*((RANDBETWEEN(2979,3282)))</f>
        <v>98815424.241978422</v>
      </c>
      <c r="B8674">
        <v>177882529.51235282</v>
      </c>
    </row>
    <row r="8675" spans="1:2" x14ac:dyDescent="0.25">
      <c r="A8675">
        <f ca="1">32962.3802049293*((RANDBETWEEN(2979,3282)))</f>
        <v>107325509.94724967</v>
      </c>
      <c r="B8675">
        <v>194393528.97104761</v>
      </c>
    </row>
    <row r="8676" spans="1:2" x14ac:dyDescent="0.25">
      <c r="A8676">
        <f ca="1">32151.7755437718*((RANDBETWEEN(2979,3282)))</f>
        <v>103721627.90420796</v>
      </c>
      <c r="B8676">
        <v>153933076.1394302</v>
      </c>
    </row>
    <row r="8677" spans="1:2" x14ac:dyDescent="0.25">
      <c r="A8677">
        <f ca="1">37572.7174108395*((RANDBETWEEN(2979,3282)))</f>
        <v>113244170.27627014</v>
      </c>
      <c r="B8677">
        <v>157684168.47547454</v>
      </c>
    </row>
    <row r="8678" spans="1:2" x14ac:dyDescent="0.25">
      <c r="A8678">
        <f ca="1">28993.9170192831*((RANDBETWEEN(2979,3282)))</f>
        <v>90229069.764009044</v>
      </c>
      <c r="B8678">
        <v>144609051.38229376</v>
      </c>
    </row>
    <row r="8679" spans="1:2" x14ac:dyDescent="0.25">
      <c r="A8679">
        <f ca="1">29954.1426243461*((RANDBETWEEN(2979,3282)))</f>
        <v>93247245.989589468</v>
      </c>
      <c r="B8679">
        <v>152750384.99848688</v>
      </c>
    </row>
    <row r="8680" spans="1:2" x14ac:dyDescent="0.25">
      <c r="A8680">
        <f ca="1">32813.2397142697*((RANDBETWEEN(2979,3282)))</f>
        <v>100835085.64195092</v>
      </c>
      <c r="B8680">
        <v>192862776.76450562</v>
      </c>
    </row>
    <row r="8681" spans="1:2" x14ac:dyDescent="0.25">
      <c r="A8681">
        <f ca="1">31598.6751906494*((RANDBETWEEN(2979,3282)))</f>
        <v>95017216.298282787</v>
      </c>
      <c r="B8681">
        <v>179484597.64555883</v>
      </c>
    </row>
    <row r="8682" spans="1:2" x14ac:dyDescent="0.25">
      <c r="A8682">
        <f ca="1">28900.0297732208*((RANDBETWEEN(2979,3282)))</f>
        <v>90543793.279500738</v>
      </c>
      <c r="B8682">
        <v>182170284.87196183</v>
      </c>
    </row>
    <row r="8683" spans="1:2" x14ac:dyDescent="0.25">
      <c r="A8683">
        <f ca="1">31253.8702291364*((RANDBETWEEN(2979,3282)))</f>
        <v>97949629.298113331</v>
      </c>
      <c r="B8683">
        <v>159217850.45048952</v>
      </c>
    </row>
    <row r="8684" spans="1:2" x14ac:dyDescent="0.25">
      <c r="A8684">
        <f ca="1">31786.53599801*((RANDBETWEEN(2979,3282)))</f>
        <v>99777936.497753426</v>
      </c>
      <c r="B8684">
        <v>166790529.77782151</v>
      </c>
    </row>
    <row r="8685" spans="1:2" x14ac:dyDescent="0.25">
      <c r="A8685">
        <f ca="1">33038.3055422226*((RANDBETWEEN(2979,3282)))</f>
        <v>105028773.31872572</v>
      </c>
      <c r="B8685">
        <v>187576969.57469583</v>
      </c>
    </row>
    <row r="8686" spans="1:2" x14ac:dyDescent="0.25">
      <c r="A8686">
        <f ca="1">29887.5906939594*((RANDBETWEEN(2979,3282)))</f>
        <v>89035132.677304968</v>
      </c>
      <c r="B8686">
        <v>166513568.34154642</v>
      </c>
    </row>
    <row r="8687" spans="1:2" x14ac:dyDescent="0.25">
      <c r="A8687">
        <f ca="1">34860.997469867*((RANDBETWEEN(2979,3282)))</f>
        <v>106674652.2577929</v>
      </c>
      <c r="B8687">
        <v>153425054.55222446</v>
      </c>
    </row>
    <row r="8688" spans="1:2" x14ac:dyDescent="0.25">
      <c r="A8688">
        <f ca="1">33769.1719268802*((RANDBETWEEN(2979,3282)))</f>
        <v>108871810.2922617</v>
      </c>
      <c r="B8688">
        <v>152539300.15649557</v>
      </c>
    </row>
    <row r="8689" spans="1:2" x14ac:dyDescent="0.25">
      <c r="A8689">
        <f ca="1">32932.1506496026*((RANDBETWEEN(2979,3282)))</f>
        <v>105580474.98262589</v>
      </c>
      <c r="B8689">
        <v>145447829.3078168</v>
      </c>
    </row>
    <row r="8690" spans="1:2" x14ac:dyDescent="0.25">
      <c r="A8690">
        <f ca="1">31151.0538088368*((RANDBETWEEN(2979,3282)))</f>
        <v>93546614.587936908</v>
      </c>
      <c r="B8690">
        <v>143447619.37211594</v>
      </c>
    </row>
    <row r="8691" spans="1:2" x14ac:dyDescent="0.25">
      <c r="A8691">
        <f ca="1">29527.8448895253*((RANDBETWEEN(2979,3282)))</f>
        <v>89528425.705040619</v>
      </c>
      <c r="B8691">
        <v>165916476.45545506</v>
      </c>
    </row>
    <row r="8692" spans="1:2" x14ac:dyDescent="0.25">
      <c r="A8692">
        <f ca="1">33258.7587388678*((RANDBETWEEN(2979,3282)))</f>
        <v>106727356.79302666</v>
      </c>
      <c r="B8692">
        <v>154615434.85605153</v>
      </c>
    </row>
    <row r="8693" spans="1:2" x14ac:dyDescent="0.25">
      <c r="A8693">
        <f ca="1">37612.4787617829*((RANDBETWEEN(2979,3282)))</f>
        <v>117012421.42790674</v>
      </c>
      <c r="B8693">
        <v>152985196.00808251</v>
      </c>
    </row>
    <row r="8694" spans="1:2" x14ac:dyDescent="0.25">
      <c r="A8694">
        <f ca="1">28908.6107095299*((RANDBETWEEN(2979,3282)))</f>
        <v>90888672.070762157</v>
      </c>
      <c r="B8694">
        <v>152448533.38036582</v>
      </c>
    </row>
    <row r="8695" spans="1:2" x14ac:dyDescent="0.25">
      <c r="A8695">
        <f ca="1">30413.6268268157*((RANDBETWEEN(2979,3282)))</f>
        <v>92913629.955921963</v>
      </c>
      <c r="B8695">
        <v>145071524.02213347</v>
      </c>
    </row>
    <row r="8696" spans="1:2" x14ac:dyDescent="0.25">
      <c r="A8696">
        <f ca="1">35662.6588931204*((RANDBETWEEN(2979,3282)))</f>
        <v>112694002.10226034</v>
      </c>
      <c r="B8696">
        <v>176192829.38998562</v>
      </c>
    </row>
    <row r="8697" spans="1:2" x14ac:dyDescent="0.25">
      <c r="A8697">
        <f ca="1">30953.2819586811*((RANDBETWEEN(2979,3282)))</f>
        <v>100721979.49354838</v>
      </c>
      <c r="B8697">
        <v>180118222.91152075</v>
      </c>
    </row>
    <row r="8698" spans="1:2" x14ac:dyDescent="0.25">
      <c r="A8698">
        <f ca="1">38793.2865076919*((RANDBETWEEN(2979,3282)))</f>
        <v>118280730.56195271</v>
      </c>
      <c r="B8698">
        <v>199305995.62398046</v>
      </c>
    </row>
    <row r="8699" spans="1:2" x14ac:dyDescent="0.25">
      <c r="A8699">
        <f ca="1">30802.9077609056*((RANDBETWEEN(2979,3282)))</f>
        <v>96782736.184765458</v>
      </c>
      <c r="B8699">
        <v>152099365.68434602</v>
      </c>
    </row>
    <row r="8700" spans="1:2" x14ac:dyDescent="0.25">
      <c r="A8700">
        <f ca="1">36578.9188945635*((RANDBETWEEN(2979,3282)))</f>
        <v>119905696.13637905</v>
      </c>
      <c r="B8700">
        <v>163104994.85358724</v>
      </c>
    </row>
    <row r="8701" spans="1:2" x14ac:dyDescent="0.25">
      <c r="A8701">
        <f ca="1">33068.9744231339*((RANDBETWEEN(2979,3282)))</f>
        <v>103836579.6886404</v>
      </c>
      <c r="B8701">
        <v>156363197.179304</v>
      </c>
    </row>
    <row r="8702" spans="1:2" x14ac:dyDescent="0.25">
      <c r="A8702">
        <f ca="1">33513.6640875069*((RANDBETWEEN(2979,3282)))</f>
        <v>100440451.27025804</v>
      </c>
      <c r="B8702">
        <v>147064820.74107122</v>
      </c>
    </row>
    <row r="8703" spans="1:2" x14ac:dyDescent="0.25">
      <c r="A8703">
        <f ca="1">39576.2083363161*((RANDBETWEEN(2979,3282)))</f>
        <v>127316662.21792884</v>
      </c>
      <c r="B8703">
        <v>160760505.37034047</v>
      </c>
    </row>
    <row r="8704" spans="1:2" x14ac:dyDescent="0.25">
      <c r="A8704">
        <f ca="1">31228.6980103711*((RANDBETWEEN(2979,3282)))</f>
        <v>101149752.85559192</v>
      </c>
      <c r="B8704">
        <v>151810766.86396247</v>
      </c>
    </row>
    <row r="8705" spans="1:2" x14ac:dyDescent="0.25">
      <c r="A8705">
        <f ca="1">30670.8905099225*((RANDBETWEEN(2979,3282)))</f>
        <v>96183912.639117107</v>
      </c>
      <c r="B8705">
        <v>195733522.41449767</v>
      </c>
    </row>
    <row r="8706" spans="1:2" x14ac:dyDescent="0.25">
      <c r="A8706">
        <f ca="1">31988.4366875907*((RANDBETWEEN(2979,3282)))</f>
        <v>98332454.377654076</v>
      </c>
      <c r="B8706">
        <v>195378503.06918383</v>
      </c>
    </row>
    <row r="8707" spans="1:2" x14ac:dyDescent="0.25">
      <c r="A8707">
        <f ca="1">36580.2191347854*((RANDBETWEEN(2979,3282)))</f>
        <v>118629650.65410891</v>
      </c>
      <c r="B8707">
        <v>161901158.32099018</v>
      </c>
    </row>
    <row r="8708" spans="1:2" x14ac:dyDescent="0.25">
      <c r="A8708">
        <f ca="1">30107.4021797862*((RANDBETWEEN(2979,3282)))</f>
        <v>98150131.106103078</v>
      </c>
      <c r="B8708">
        <v>145303355.28457811</v>
      </c>
    </row>
    <row r="8709" spans="1:2" x14ac:dyDescent="0.25">
      <c r="A8709">
        <f ca="1">32451.6104501951*((RANDBETWEEN(2979,3282)))</f>
        <v>102839153.51666816</v>
      </c>
      <c r="B8709">
        <v>162411062.06037605</v>
      </c>
    </row>
    <row r="8710" spans="1:2" x14ac:dyDescent="0.25">
      <c r="A8710">
        <f ca="1">35861.9519628207*((RANDBETWEEN(2979,3282)))</f>
        <v>116658929.7350558</v>
      </c>
      <c r="B8710">
        <v>188628180.00712249</v>
      </c>
    </row>
    <row r="8711" spans="1:2" x14ac:dyDescent="0.25">
      <c r="A8711">
        <f ca="1">30532.0514947729*((RANDBETWEEN(2979,3282)))</f>
        <v>97580436.577294096</v>
      </c>
      <c r="B8711">
        <v>186762606.70235753</v>
      </c>
    </row>
    <row r="8712" spans="1:2" x14ac:dyDescent="0.25">
      <c r="A8712">
        <f ca="1">40575.5588542915*((RANDBETWEEN(2979,3282)))</f>
        <v>127204377.0082038</v>
      </c>
      <c r="B8712">
        <v>163604148.64184168</v>
      </c>
    </row>
    <row r="8713" spans="1:2" x14ac:dyDescent="0.25">
      <c r="A8713">
        <f ca="1">32345.0012710415*((RANDBETWEEN(2979,3282)))</f>
        <v>99299153.9020973</v>
      </c>
      <c r="B8713">
        <v>162527715.30560648</v>
      </c>
    </row>
    <row r="8714" spans="1:2" x14ac:dyDescent="0.25">
      <c r="A8714">
        <f ca="1">30705.9295252985*((RANDBETWEEN(2979,3282)))</f>
        <v>97859797.397126347</v>
      </c>
      <c r="B8714">
        <v>160012951.70934632</v>
      </c>
    </row>
    <row r="8715" spans="1:2" x14ac:dyDescent="0.25">
      <c r="A8715">
        <f ca="1">31235.6799161544*((RANDBETWEEN(2979,3282)))</f>
        <v>96424543.901168495</v>
      </c>
      <c r="B8715">
        <v>167891639.6901046</v>
      </c>
    </row>
    <row r="8716" spans="1:2" x14ac:dyDescent="0.25">
      <c r="A8716">
        <f ca="1">40426.2081365204*((RANDBETWEEN(2979,3282)))</f>
        <v>132476684.0633774</v>
      </c>
      <c r="B8716">
        <v>193925801.0836935</v>
      </c>
    </row>
    <row r="8717" spans="1:2" x14ac:dyDescent="0.25">
      <c r="A8717">
        <f ca="1">39642.1494167698*((RANDBETWEEN(2979,3282)))</f>
        <v>128757701.30566849</v>
      </c>
      <c r="B8717">
        <v>174214594.09435123</v>
      </c>
    </row>
    <row r="8718" spans="1:2" x14ac:dyDescent="0.25">
      <c r="A8718">
        <f ca="1">33027.7028792195*((RANDBETWEEN(2979,3282)))</f>
        <v>107273978.9517051</v>
      </c>
      <c r="B8718">
        <v>163075591.702851</v>
      </c>
    </row>
    <row r="8719" spans="1:2" x14ac:dyDescent="0.25">
      <c r="A8719">
        <f ca="1">32627.056690306*((RANDBETWEEN(2979,3282)))</f>
        <v>105091749.59947556</v>
      </c>
      <c r="B8719">
        <v>143444991.69574881</v>
      </c>
    </row>
    <row r="8720" spans="1:2" x14ac:dyDescent="0.25">
      <c r="A8720">
        <f ca="1">34742.4981771062*((RANDBETWEEN(2979,3282)))</f>
        <v>109334641.76335329</v>
      </c>
      <c r="B8720">
        <v>185454508.79111677</v>
      </c>
    </row>
    <row r="8721" spans="1:2" x14ac:dyDescent="0.25">
      <c r="A8721">
        <f ca="1">34031.8756691351*((RANDBETWEEN(2979,3282)))</f>
        <v>102129658.88307431</v>
      </c>
      <c r="B8721">
        <v>181948579.31993976</v>
      </c>
    </row>
    <row r="8722" spans="1:2" x14ac:dyDescent="0.25">
      <c r="A8722">
        <f ca="1">30261.8848793427*((RANDBETWEEN(2979,3282)))</f>
        <v>91693511.184408426</v>
      </c>
      <c r="B8722">
        <v>189560108.0187642</v>
      </c>
    </row>
    <row r="8723" spans="1:2" x14ac:dyDescent="0.25">
      <c r="A8723">
        <f ca="1">36680.3597521715*((RANDBETWEEN(2979,3282)))</f>
        <v>119284529.91406178</v>
      </c>
      <c r="B8723">
        <v>145863936.85774815</v>
      </c>
    </row>
    <row r="8724" spans="1:2" x14ac:dyDescent="0.25">
      <c r="A8724">
        <f ca="1">37788.8395407476*((RANDBETWEEN(2979,3282)))</f>
        <v>119563888.30692548</v>
      </c>
      <c r="B8724">
        <v>198395549.79350355</v>
      </c>
    </row>
    <row r="8725" spans="1:2" x14ac:dyDescent="0.25">
      <c r="A8725">
        <f ca="1">33322.5700653728*((RANDBETWEEN(2979,3282)))</f>
        <v>108065094.72200418</v>
      </c>
      <c r="B8725">
        <v>159923962.47137886</v>
      </c>
    </row>
    <row r="8726" spans="1:2" x14ac:dyDescent="0.25">
      <c r="A8726">
        <f ca="1">32728.028770156*((RANDBETWEEN(2979,3282)))</f>
        <v>102307817.93550766</v>
      </c>
      <c r="B8726">
        <v>169329936.94491687</v>
      </c>
    </row>
    <row r="8727" spans="1:2" x14ac:dyDescent="0.25">
      <c r="A8727">
        <f ca="1">32223.2251354722*((RANDBETWEEN(2979,3282)))</f>
        <v>100053114.0456412</v>
      </c>
      <c r="B8727">
        <v>166313097.40376404</v>
      </c>
    </row>
    <row r="8728" spans="1:2" x14ac:dyDescent="0.25">
      <c r="A8728">
        <f ca="1">30378.8268932839*((RANDBETWEEN(2979,3282)))</f>
        <v>97819822.596374139</v>
      </c>
      <c r="B8728">
        <v>187299849.15494272</v>
      </c>
    </row>
    <row r="8729" spans="1:2" x14ac:dyDescent="0.25">
      <c r="A8729">
        <f ca="1">30341.1004997278*((RANDBETWEEN(2979,3282)))</f>
        <v>94421504.755152777</v>
      </c>
      <c r="B8729">
        <v>144410901.75751996</v>
      </c>
    </row>
    <row r="8730" spans="1:2" x14ac:dyDescent="0.25">
      <c r="A8730">
        <f ca="1">37382.0361964055*((RANDBETWEEN(2979,3282)))</f>
        <v>117678649.94628455</v>
      </c>
      <c r="B8730">
        <v>144824432.14567125</v>
      </c>
    </row>
    <row r="8731" spans="1:2" x14ac:dyDescent="0.25">
      <c r="A8731">
        <f ca="1">31327.6871726538*((RANDBETWEEN(2979,3282)))</f>
        <v>98431593.096478254</v>
      </c>
      <c r="B8731">
        <v>159229439.49080047</v>
      </c>
    </row>
    <row r="8732" spans="1:2" x14ac:dyDescent="0.25">
      <c r="A8732">
        <f ca="1">31919.376705953*((RANDBETWEEN(2979,3282)))</f>
        <v>95119742.583740026</v>
      </c>
      <c r="B8732">
        <v>158706651.32492921</v>
      </c>
    </row>
    <row r="8733" spans="1:2" x14ac:dyDescent="0.25">
      <c r="A8733">
        <f ca="1">35162.3040451481*((RANDBETWEEN(2979,3282)))</f>
        <v>107702137.29028893</v>
      </c>
      <c r="B8733">
        <v>186531906.03427228</v>
      </c>
    </row>
    <row r="8734" spans="1:2" x14ac:dyDescent="0.25">
      <c r="A8734">
        <f ca="1">31672.399896153*((RANDBETWEEN(2979,3282)))</f>
        <v>97075905.681709066</v>
      </c>
      <c r="B8734">
        <v>185363955.89375156</v>
      </c>
    </row>
    <row r="8735" spans="1:2" x14ac:dyDescent="0.25">
      <c r="A8735">
        <f ca="1">32544.2683246619*((RANDBETWEEN(2979,3282)))</f>
        <v>102351723.88106157</v>
      </c>
      <c r="B8735">
        <v>159393624.25976038</v>
      </c>
    </row>
    <row r="8736" spans="1:2" x14ac:dyDescent="0.25">
      <c r="A8736">
        <f ca="1">30223.376514036*((RANDBETWEEN(2979,3282)))</f>
        <v>90549236.036051899</v>
      </c>
      <c r="B8736">
        <v>163481953.17657837</v>
      </c>
    </row>
    <row r="8737" spans="1:2" x14ac:dyDescent="0.25">
      <c r="A8737">
        <f ca="1">33020.3808692279*((RANDBETWEEN(2979,3282)))</f>
        <v>107217176.68238294</v>
      </c>
      <c r="B8737">
        <v>161238945.39896035</v>
      </c>
    </row>
    <row r="8738" spans="1:2" x14ac:dyDescent="0.25">
      <c r="A8738">
        <f ca="1">32478.5714952824*((RANDBETWEEN(2979,3282)))</f>
        <v>103671600.21294135</v>
      </c>
      <c r="B8738">
        <v>177876196.92404687</v>
      </c>
    </row>
    <row r="8739" spans="1:2" x14ac:dyDescent="0.25">
      <c r="A8739">
        <f ca="1">30947.5749781243*((RANDBETWEEN(2979,3282)))</f>
        <v>101229517.75344445</v>
      </c>
      <c r="B8739">
        <v>187343508.42487639</v>
      </c>
    </row>
    <row r="8740" spans="1:2" x14ac:dyDescent="0.25">
      <c r="A8740">
        <f ca="1">29443.1537265639*((RANDBETWEEN(2979,3282)))</f>
        <v>91833196.473152712</v>
      </c>
      <c r="B8740">
        <v>147895141.14441493</v>
      </c>
    </row>
    <row r="8741" spans="1:2" x14ac:dyDescent="0.25">
      <c r="A8741">
        <f ca="1">34083.9631370569*((RANDBETWEEN(2979,3282)))</f>
        <v>103649331.89978996</v>
      </c>
      <c r="B8741">
        <v>181095843.96218568</v>
      </c>
    </row>
    <row r="8742" spans="1:2" x14ac:dyDescent="0.25">
      <c r="A8742">
        <f ca="1">39493.9509586118*((RANDBETWEEN(2979,3282)))</f>
        <v>129619147.04616381</v>
      </c>
      <c r="B8742">
        <v>190623275.80534557</v>
      </c>
    </row>
    <row r="8743" spans="1:2" x14ac:dyDescent="0.25">
      <c r="A8743">
        <f ca="1">33344.9467509402*((RANDBETWEEN(2979,3282)))</f>
        <v>107504108.32503127</v>
      </c>
      <c r="B8743">
        <v>155953516.43496931</v>
      </c>
    </row>
    <row r="8744" spans="1:2" x14ac:dyDescent="0.25">
      <c r="A8744">
        <f ca="1">27806.6873907691*((RANDBETWEEN(2979,3282)))</f>
        <v>82947348.486664265</v>
      </c>
      <c r="B8744">
        <v>167375019.03316379</v>
      </c>
    </row>
    <row r="8745" spans="1:2" x14ac:dyDescent="0.25">
      <c r="A8745">
        <f ca="1">37960.0359696475*((RANDBETWEEN(2979,3282)))</f>
        <v>116309550.21100007</v>
      </c>
      <c r="B8745">
        <v>153824723.4600789</v>
      </c>
    </row>
    <row r="8746" spans="1:2" x14ac:dyDescent="0.25">
      <c r="A8746">
        <f ca="1">30241.6851151846*((RANDBETWEEN(2979,3282)))</f>
        <v>90331913.439056277</v>
      </c>
      <c r="B8746">
        <v>173274179.49642345</v>
      </c>
    </row>
    <row r="8747" spans="1:2" x14ac:dyDescent="0.25">
      <c r="A8747">
        <f ca="1">33036.8605720106*((RANDBETWEEN(2979,3282)))</f>
        <v>103339299.86924914</v>
      </c>
      <c r="B8747">
        <v>168347237.08442312</v>
      </c>
    </row>
    <row r="8748" spans="1:2" x14ac:dyDescent="0.25">
      <c r="A8748">
        <f ca="1">31210.3478509658*((RANDBETWEEN(2979,3282)))</f>
        <v>96627236.946590126</v>
      </c>
      <c r="B8748">
        <v>144135269.47000527</v>
      </c>
    </row>
    <row r="8749" spans="1:2" x14ac:dyDescent="0.25">
      <c r="A8749">
        <f ca="1">29427.3254718039*((RANDBETWEEN(2979,3282)))</f>
        <v>90695017.104099467</v>
      </c>
      <c r="B8749">
        <v>147365307.92173707</v>
      </c>
    </row>
    <row r="8750" spans="1:2" x14ac:dyDescent="0.25">
      <c r="A8750">
        <f ca="1">33839.5691681947*((RANDBETWEEN(2979,3282)))</f>
        <v>109538685.39744629</v>
      </c>
      <c r="B8750">
        <v>183033090.01952377</v>
      </c>
    </row>
    <row r="8751" spans="1:2" x14ac:dyDescent="0.25">
      <c r="A8751">
        <f ca="1">31602.4616946559*((RANDBETWEEN(2979,3282)))</f>
        <v>100401020.80392182</v>
      </c>
      <c r="B8751">
        <v>145285145.42709699</v>
      </c>
    </row>
    <row r="8752" spans="1:2" x14ac:dyDescent="0.25">
      <c r="A8752">
        <f ca="1">32454.7750903893*((RANDBETWEEN(2979,3282)))</f>
        <v>101778174.68346071</v>
      </c>
      <c r="B8752">
        <v>180011111.65659773</v>
      </c>
    </row>
    <row r="8753" spans="1:2" x14ac:dyDescent="0.25">
      <c r="A8753">
        <f ca="1">31227.0649988038*((RANDBETWEEN(2979,3282)))</f>
        <v>98021757.031245083</v>
      </c>
      <c r="B8753">
        <v>156608367.95736465</v>
      </c>
    </row>
    <row r="8754" spans="1:2" x14ac:dyDescent="0.25">
      <c r="A8754">
        <f ca="1">37577.3924617924*((RANDBETWEEN(2979,3282)))</f>
        <v>119270643.67372909</v>
      </c>
      <c r="B8754">
        <v>146493121.23452288</v>
      </c>
    </row>
    <row r="8755" spans="1:2" x14ac:dyDescent="0.25">
      <c r="A8755">
        <f ca="1">31917.7594484947*((RANDBETWEEN(2979,3282)))</f>
        <v>97540672.874599665</v>
      </c>
      <c r="B8755">
        <v>147109794.34854442</v>
      </c>
    </row>
    <row r="8756" spans="1:2" x14ac:dyDescent="0.25">
      <c r="A8756">
        <f ca="1">31288.5685727879*((RANDBETWEEN(2979,3282)))</f>
        <v>94084725.698373362</v>
      </c>
      <c r="B8756">
        <v>143242985.05890054</v>
      </c>
    </row>
    <row r="8757" spans="1:2" x14ac:dyDescent="0.25">
      <c r="A8757">
        <f ca="1">30273.8616823875*((RANDBETWEEN(2979,3282)))</f>
        <v>90912406.632209793</v>
      </c>
      <c r="B8757">
        <v>162999600.24076182</v>
      </c>
    </row>
    <row r="8758" spans="1:2" x14ac:dyDescent="0.25">
      <c r="A8758">
        <f ca="1">29331.7146114397*((RANDBETWEEN(2979,3282)))</f>
        <v>90459007.861679897</v>
      </c>
      <c r="B8758">
        <v>178236801.23684663</v>
      </c>
    </row>
    <row r="8759" spans="1:2" x14ac:dyDescent="0.25">
      <c r="A8759">
        <f ca="1">33836.0831815882*((RANDBETWEEN(2979,3282)))</f>
        <v>103030873.28793606</v>
      </c>
      <c r="B8759">
        <v>144706329.17296031</v>
      </c>
    </row>
    <row r="8760" spans="1:2" x14ac:dyDescent="0.25">
      <c r="A8760">
        <f ca="1">38345.6257493427*((RANDBETWEEN(2979,3282)))</f>
        <v>122514274.26914984</v>
      </c>
      <c r="B8760">
        <v>203444861.05020565</v>
      </c>
    </row>
    <row r="8761" spans="1:2" x14ac:dyDescent="0.25">
      <c r="A8761">
        <f ca="1">30006.1435765153*((RANDBETWEEN(2979,3282)))</f>
        <v>96289714.737037838</v>
      </c>
      <c r="B8761">
        <v>202721663.61151627</v>
      </c>
    </row>
    <row r="8762" spans="1:2" x14ac:dyDescent="0.25">
      <c r="A8762">
        <f ca="1">33324.0554225367*((RANDBETWEEN(2979,3282)))</f>
        <v>105137394.85810317</v>
      </c>
      <c r="B8762">
        <v>148588189.34032056</v>
      </c>
    </row>
    <row r="8763" spans="1:2" x14ac:dyDescent="0.25">
      <c r="A8763">
        <f ca="1">30015.6385836489*((RANDBETWEEN(2979,3282)))</f>
        <v>93588761.103817284</v>
      </c>
      <c r="B8763">
        <v>180029210.26787865</v>
      </c>
    </row>
    <row r="8764" spans="1:2" x14ac:dyDescent="0.25">
      <c r="A8764">
        <f ca="1">29243.1484441148*((RANDBETWEEN(2979,3282)))</f>
        <v>92759266.864732042</v>
      </c>
      <c r="B8764">
        <v>154712165.91247052</v>
      </c>
    </row>
    <row r="8765" spans="1:2" x14ac:dyDescent="0.25">
      <c r="A8765">
        <f ca="1">41499.1604562761*((RANDBETWEEN(2979,3282)))</f>
        <v>128688896.57491229</v>
      </c>
      <c r="B8765">
        <v>188317520.7636568</v>
      </c>
    </row>
    <row r="8766" spans="1:2" x14ac:dyDescent="0.25">
      <c r="A8766">
        <f ca="1">31649.5365425935*((RANDBETWEEN(2979,3282)))</f>
        <v>102512848.86146051</v>
      </c>
      <c r="B8766">
        <v>152531272.6321851</v>
      </c>
    </row>
    <row r="8767" spans="1:2" x14ac:dyDescent="0.25">
      <c r="A8767">
        <f ca="1">39920.7499746314*((RANDBETWEEN(2979,3282)))</f>
        <v>127267350.91912498</v>
      </c>
      <c r="B8767">
        <v>195844388.4347865</v>
      </c>
    </row>
    <row r="8768" spans="1:2" x14ac:dyDescent="0.25">
      <c r="A8768">
        <f ca="1">32795.7633628704*((RANDBETWEEN(2979,3282)))</f>
        <v>98846430.775691405</v>
      </c>
      <c r="B8768">
        <v>143317175.22002199</v>
      </c>
    </row>
    <row r="8769" spans="1:2" x14ac:dyDescent="0.25">
      <c r="A8769">
        <f ca="1">31936.8777397866*((RANDBETWEEN(2979,3282)))</f>
        <v>97950404.027925417</v>
      </c>
      <c r="B8769">
        <v>168200182.51039323</v>
      </c>
    </row>
    <row r="8770" spans="1:2" x14ac:dyDescent="0.25">
      <c r="A8770">
        <f ca="1">36959.0078077404*((RANDBETWEEN(2979,3282)))</f>
        <v>113944621.07126366</v>
      </c>
      <c r="B8770">
        <v>177741591.14891446</v>
      </c>
    </row>
    <row r="8771" spans="1:2" x14ac:dyDescent="0.25">
      <c r="A8771">
        <f ca="1">40107.8144335163*((RANDBETWEEN(2979,3282)))</f>
        <v>127582957.71301526</v>
      </c>
      <c r="B8771">
        <v>170612233.92093837</v>
      </c>
    </row>
    <row r="8772" spans="1:2" x14ac:dyDescent="0.25">
      <c r="A8772">
        <f ca="1">30432.1365634915*((RANDBETWEEN(2979,3282)))</f>
        <v>92848448.655212671</v>
      </c>
      <c r="B8772">
        <v>167094503.37908241</v>
      </c>
    </row>
    <row r="8773" spans="1:2" x14ac:dyDescent="0.25">
      <c r="A8773">
        <f ca="1">28264.9768454999*((RANDBETWEEN(2979,3282)))</f>
        <v>90900165.535127789</v>
      </c>
      <c r="B8773">
        <v>156577640.81761861</v>
      </c>
    </row>
    <row r="8774" spans="1:2" x14ac:dyDescent="0.25">
      <c r="A8774">
        <f ca="1">33555.2555489247*((RANDBETWEEN(2979,3282)))</f>
        <v>107343262.50101019</v>
      </c>
      <c r="B8774">
        <v>160362559.12009102</v>
      </c>
    </row>
    <row r="8775" spans="1:2" x14ac:dyDescent="0.25">
      <c r="A8775">
        <f ca="1">31303.3870717436*((RANDBETWEEN(2979,3282)))</f>
        <v>97290927.018979147</v>
      </c>
      <c r="B8775">
        <v>185614414.73695466</v>
      </c>
    </row>
    <row r="8776" spans="1:2" x14ac:dyDescent="0.25">
      <c r="A8776">
        <f ca="1">31657.2774489956*((RANDBETWEEN(2979,3282)))</f>
        <v>95573320.618517712</v>
      </c>
      <c r="B8776">
        <v>166904127.61601451</v>
      </c>
    </row>
    <row r="8777" spans="1:2" x14ac:dyDescent="0.25">
      <c r="A8777">
        <f ca="1">32906.1034618727*((RANDBETWEEN(2979,3282)))</f>
        <v>103654225.90489927</v>
      </c>
      <c r="B8777">
        <v>175792392.21858591</v>
      </c>
    </row>
    <row r="8778" spans="1:2" x14ac:dyDescent="0.25">
      <c r="A8778">
        <f ca="1">29158.9649002418*((RANDBETWEEN(2979,3282)))</f>
        <v>91355037.032457471</v>
      </c>
      <c r="B8778">
        <v>168737027.64325953</v>
      </c>
    </row>
    <row r="8779" spans="1:2" x14ac:dyDescent="0.25">
      <c r="A8779">
        <f ca="1">39756.7923418152*((RANDBETWEEN(2979,3282)))</f>
        <v>122967758.71323454</v>
      </c>
      <c r="B8779">
        <v>168403762.58353472</v>
      </c>
    </row>
    <row r="8780" spans="1:2" x14ac:dyDescent="0.25">
      <c r="A8780">
        <f ca="1">31664.2453655334*((RANDBETWEEN(2979,3282)))</f>
        <v>97304226.008284017</v>
      </c>
      <c r="B8780">
        <v>159397826.1520074</v>
      </c>
    </row>
    <row r="8781" spans="1:2" x14ac:dyDescent="0.25">
      <c r="A8781">
        <f ca="1">27747.6962360963*((RANDBETWEEN(2979,3282)))</f>
        <v>88126683.245841965</v>
      </c>
      <c r="B8781">
        <v>154454695.17998195</v>
      </c>
    </row>
    <row r="8782" spans="1:2" x14ac:dyDescent="0.25">
      <c r="A8782">
        <f ca="1">29020.6127399455*((RANDBETWEEN(2979,3282)))</f>
        <v>94810341.82140179</v>
      </c>
      <c r="B8782">
        <v>175523003.60956734</v>
      </c>
    </row>
    <row r="8783" spans="1:2" x14ac:dyDescent="0.25">
      <c r="A8783">
        <f ca="1">40015.6448950757*((RANDBETWEEN(2979,3282)))</f>
        <v>120046934.68522717</v>
      </c>
      <c r="B8783">
        <v>149520938.02590609</v>
      </c>
    </row>
    <row r="8784" spans="1:2" x14ac:dyDescent="0.25">
      <c r="A8784">
        <f ca="1">32069.3825254591*((RANDBETWEEN(2979,3282)))</f>
        <v>104642395.18057296</v>
      </c>
      <c r="B8784">
        <v>150442961.58224815</v>
      </c>
    </row>
    <row r="8785" spans="1:2" x14ac:dyDescent="0.25">
      <c r="A8785">
        <f ca="1">35992.9553719358*((RANDBETWEEN(2979,3282)))</f>
        <v>115465400.83317015</v>
      </c>
      <c r="B8785">
        <v>151101628.47364613</v>
      </c>
    </row>
    <row r="8786" spans="1:2" x14ac:dyDescent="0.25">
      <c r="A8786">
        <f ca="1">31656.8878936951*((RANDBETWEEN(2979,3282)))</f>
        <v>95318889.447915837</v>
      </c>
      <c r="B8786">
        <v>176590330.38816008</v>
      </c>
    </row>
    <row r="8787" spans="1:2" x14ac:dyDescent="0.25">
      <c r="A8787">
        <f ca="1">33855.3994660456*((RANDBETWEEN(2979,3282)))</f>
        <v>105154870.74153772</v>
      </c>
      <c r="B8787">
        <v>164696825.95733535</v>
      </c>
    </row>
    <row r="8788" spans="1:2" x14ac:dyDescent="0.25">
      <c r="A8788">
        <f ca="1">40154.5041855057*((RANDBETWEEN(2979,3282)))</f>
        <v>123836490.90809962</v>
      </c>
      <c r="B8788">
        <v>161870035.06983954</v>
      </c>
    </row>
    <row r="8789" spans="1:2" x14ac:dyDescent="0.25">
      <c r="A8789">
        <f ca="1">30903.9145122518*((RANDBETWEEN(2979,3282)))</f>
        <v>99819643.874573186</v>
      </c>
      <c r="B8789">
        <v>162112005.64265949</v>
      </c>
    </row>
    <row r="8790" spans="1:2" x14ac:dyDescent="0.25">
      <c r="A8790">
        <f ca="1">32712.1302493314*((RANDBETWEEN(2979,3282)))</f>
        <v>101276755.25192986</v>
      </c>
      <c r="B8790">
        <v>151168242.23579162</v>
      </c>
    </row>
    <row r="8791" spans="1:2" x14ac:dyDescent="0.25">
      <c r="A8791">
        <f ca="1">31657.9751863048*((RANDBETWEEN(2979,3282)))</f>
        <v>100672361.09244929</v>
      </c>
      <c r="B8791">
        <v>144818529.52073646</v>
      </c>
    </row>
    <row r="8792" spans="1:2" x14ac:dyDescent="0.25">
      <c r="A8792">
        <f ca="1">30603.1263422659*((RANDBETWEEN(2979,3282)))</f>
        <v>99031716.843572393</v>
      </c>
      <c r="B8792">
        <v>150404873.38600013</v>
      </c>
    </row>
    <row r="8793" spans="1:2" x14ac:dyDescent="0.25">
      <c r="A8793">
        <f ca="1">35701.7537851955*((RANDBETWEEN(2979,3282)))</f>
        <v>108604735.01456463</v>
      </c>
      <c r="B8793">
        <v>143770210.48469535</v>
      </c>
    </row>
    <row r="8794" spans="1:2" x14ac:dyDescent="0.25">
      <c r="A8794">
        <f ca="1">31056.0345502322*((RANDBETWEEN(2979,3282)))</f>
        <v>97733340.72958079</v>
      </c>
      <c r="B8794">
        <v>148283829.91269362</v>
      </c>
    </row>
    <row r="8795" spans="1:2" x14ac:dyDescent="0.25">
      <c r="A8795">
        <f ca="1">32700.3465825354*((RANDBETWEEN(2979,3282)))</f>
        <v>105883722.23424962</v>
      </c>
      <c r="B8795">
        <v>145930473.23889202</v>
      </c>
    </row>
    <row r="8796" spans="1:2" x14ac:dyDescent="0.25">
      <c r="A8796">
        <f ca="1">30814.4912404961*((RANDBETWEEN(2979,3282)))</f>
        <v>100547684.91773865</v>
      </c>
      <c r="B8796">
        <v>161942169.77028751</v>
      </c>
    </row>
    <row r="8797" spans="1:2" x14ac:dyDescent="0.25">
      <c r="A8797">
        <f ca="1">37317.0527914774*((RANDBETWEEN(2979,3282)))</f>
        <v>113928962.17238061</v>
      </c>
      <c r="B8797">
        <v>156321170.33455938</v>
      </c>
    </row>
    <row r="8798" spans="1:2" x14ac:dyDescent="0.25">
      <c r="A8798">
        <f ca="1">30246.1147447586*((RANDBETWEEN(2979,3282)))</f>
        <v>93218525.643345967</v>
      </c>
      <c r="B8798">
        <v>150806852.12799114</v>
      </c>
    </row>
    <row r="8799" spans="1:2" x14ac:dyDescent="0.25">
      <c r="A8799">
        <f ca="1">37411.5654801096*((RANDBETWEEN(2979,3282)))</f>
        <v>116537026.47054148</v>
      </c>
      <c r="B8799">
        <v>150331777.34393799</v>
      </c>
    </row>
    <row r="8800" spans="1:2" x14ac:dyDescent="0.25">
      <c r="A8800">
        <f ca="1">27489.5455412844*((RANDBETWEEN(2979,3282)))</f>
        <v>89753366.192293555</v>
      </c>
      <c r="B8800">
        <v>165307051.08997765</v>
      </c>
    </row>
    <row r="8801" spans="1:2" x14ac:dyDescent="0.25">
      <c r="A8801">
        <f ca="1">29061.4997346455*((RANDBETWEEN(2979,3282)))</f>
        <v>87620421.699956268</v>
      </c>
      <c r="B8801">
        <v>191520233.03623214</v>
      </c>
    </row>
    <row r="8802" spans="1:2" x14ac:dyDescent="0.25">
      <c r="A8802">
        <f ca="1">37101.8934498254*((RANDBETWEEN(2979,3282)))</f>
        <v>117984021.17044488</v>
      </c>
      <c r="B8802">
        <v>187646529.72903335</v>
      </c>
    </row>
    <row r="8803" spans="1:2" x14ac:dyDescent="0.25">
      <c r="A8803">
        <f ca="1">30705.477196014*((RANDBETWEEN(2979,3282)))</f>
        <v>99946328.273025468</v>
      </c>
      <c r="B8803">
        <v>147792838.85301509</v>
      </c>
    </row>
    <row r="8804" spans="1:2" x14ac:dyDescent="0.25">
      <c r="A8804">
        <f ca="1">31329.6050518307*((RANDBETWEEN(2979,3282)))</f>
        <v>94960032.91209875</v>
      </c>
      <c r="B8804">
        <v>194867477.0212715</v>
      </c>
    </row>
    <row r="8805" spans="1:2" x14ac:dyDescent="0.25">
      <c r="A8805">
        <f ca="1">32191.2167534182*((RANDBETWEEN(2979,3282)))</f>
        <v>102046157.10833557</v>
      </c>
      <c r="B8805">
        <v>161700171.22303766</v>
      </c>
    </row>
    <row r="8806" spans="1:2" x14ac:dyDescent="0.25">
      <c r="A8806">
        <f ca="1">38733.8811365507*((RANDBETWEEN(2979,3282)))</f>
        <v>123987153.51809891</v>
      </c>
      <c r="B8806">
        <v>151495838.55154362</v>
      </c>
    </row>
    <row r="8807" spans="1:2" x14ac:dyDescent="0.25">
      <c r="A8807">
        <f ca="1">30781.4082216205*((RANDBETWEEN(2979,3282)))</f>
        <v>97392375.613207206</v>
      </c>
      <c r="B8807">
        <v>148243413.25646436</v>
      </c>
    </row>
    <row r="8808" spans="1:2" x14ac:dyDescent="0.25">
      <c r="A8808">
        <f ca="1">30181.9535257325*((RANDBETWEEN(2979,3282)))</f>
        <v>91149499.647712111</v>
      </c>
      <c r="B8808">
        <v>148121108.07949197</v>
      </c>
    </row>
    <row r="8809" spans="1:2" x14ac:dyDescent="0.25">
      <c r="A8809">
        <f ca="1">29567.3037668919*((RANDBETWEEN(2979,3282)))</f>
        <v>92959603.043108001</v>
      </c>
      <c r="B8809">
        <v>169502637.835062</v>
      </c>
    </row>
    <row r="8810" spans="1:2" x14ac:dyDescent="0.25">
      <c r="A8810">
        <f ca="1">29840.6673968334*((RANDBETWEEN(2979,3282)))</f>
        <v>91073716.895135507</v>
      </c>
      <c r="B8810">
        <v>162391624.66368127</v>
      </c>
    </row>
    <row r="8811" spans="1:2" x14ac:dyDescent="0.25">
      <c r="A8811">
        <f ca="1">32508.9208170418*((RANDBETWEEN(2979,3282)))</f>
        <v>105621483.73456888</v>
      </c>
      <c r="B8811">
        <v>197262466.49354386</v>
      </c>
    </row>
    <row r="8812" spans="1:2" x14ac:dyDescent="0.25">
      <c r="A8812">
        <f ca="1">40622.7747055901*((RANDBETWEEN(2979,3282)))</f>
        <v>130764711.77729438</v>
      </c>
      <c r="B8812">
        <v>178558120.36796275</v>
      </c>
    </row>
    <row r="8813" spans="1:2" x14ac:dyDescent="0.25">
      <c r="A8813">
        <f ca="1">32795.770027476*((RANDBETWEEN(2979,3282)))</f>
        <v>102224415.17564276</v>
      </c>
      <c r="B8813">
        <v>202640359.29784757</v>
      </c>
    </row>
    <row r="8814" spans="1:2" x14ac:dyDescent="0.25">
      <c r="A8814">
        <f ca="1">36154.4156646404*((RANDBETWEEN(2979,3282)))</f>
        <v>111970225.31339124</v>
      </c>
      <c r="B8814">
        <v>146066896.01345471</v>
      </c>
    </row>
    <row r="8815" spans="1:2" x14ac:dyDescent="0.25">
      <c r="A8815">
        <f ca="1">30030.1405972192*((RANDBETWEEN(2979,3282)))</f>
        <v>93754098.944518372</v>
      </c>
      <c r="B8815">
        <v>184875500.14701217</v>
      </c>
    </row>
    <row r="8816" spans="1:2" x14ac:dyDescent="0.25">
      <c r="A8816">
        <f ca="1">37797.3330347098*((RANDBETWEEN(2979,3282)))</f>
        <v>120308911.0494813</v>
      </c>
      <c r="B8816">
        <v>185153753.71256047</v>
      </c>
    </row>
    <row r="8817" spans="1:2" x14ac:dyDescent="0.25">
      <c r="A8817">
        <f ca="1">38985.6764082832*((RANDBETWEEN(2979,3282)))</f>
        <v>124169379.36038198</v>
      </c>
      <c r="B8817">
        <v>188165664.41301173</v>
      </c>
    </row>
    <row r="8818" spans="1:2" x14ac:dyDescent="0.25">
      <c r="A8818">
        <f ca="1">32056.0152151274*((RANDBETWEEN(2979,3282)))</f>
        <v>98636358.816946983</v>
      </c>
      <c r="B8818">
        <v>184261727.41993433</v>
      </c>
    </row>
    <row r="8819" spans="1:2" x14ac:dyDescent="0.25">
      <c r="A8819">
        <f ca="1">31235.5399810114*((RANDBETWEEN(2979,3282)))</f>
        <v>93706619.943034083</v>
      </c>
      <c r="B8819">
        <v>182204822.16903889</v>
      </c>
    </row>
    <row r="8820" spans="1:2" x14ac:dyDescent="0.25">
      <c r="A8820">
        <f ca="1">32496.6484386924*((RANDBETWEEN(2979,3282)))</f>
        <v>99082281.089573175</v>
      </c>
      <c r="B8820">
        <v>147997166.50032651</v>
      </c>
    </row>
    <row r="8821" spans="1:2" x14ac:dyDescent="0.25">
      <c r="A8821">
        <f ca="1">29873.5945254498*((RANDBETWEEN(2979,3282)))</f>
        <v>95655249.67049022</v>
      </c>
      <c r="B8821">
        <v>154640813.35105717</v>
      </c>
    </row>
    <row r="8822" spans="1:2" x14ac:dyDescent="0.25">
      <c r="A8822">
        <f ca="1">29358.4189774109*((RANDBETWEEN(2979,3282)))</f>
        <v>94475392.269308209</v>
      </c>
      <c r="B8822">
        <v>157192391.21296805</v>
      </c>
    </row>
    <row r="8823" spans="1:2" x14ac:dyDescent="0.25">
      <c r="A8823">
        <f ca="1">31006.2626076228*((RANDBETWEEN(2979,3282)))</f>
        <v>100863372.26259691</v>
      </c>
      <c r="B8823">
        <v>144682102.09223253</v>
      </c>
    </row>
    <row r="8824" spans="1:2" x14ac:dyDescent="0.25">
      <c r="A8824">
        <f ca="1">30937.6464898004*((RANDBETWEEN(2979,3282)))</f>
        <v>101197041.66813707</v>
      </c>
      <c r="B8824">
        <v>179257436.49107686</v>
      </c>
    </row>
    <row r="8825" spans="1:2" x14ac:dyDescent="0.25">
      <c r="A8825">
        <f ca="1">30703.1978508615*((RANDBETWEEN(2979,3282)))</f>
        <v>95671164.50328429</v>
      </c>
      <c r="B8825">
        <v>191179747.45276743</v>
      </c>
    </row>
    <row r="8826" spans="1:2" x14ac:dyDescent="0.25">
      <c r="A8826">
        <f ca="1">36680.1885152372*((RANDBETWEEN(2979,3282)))</f>
        <v>115065751.3722994</v>
      </c>
      <c r="B8826">
        <v>195063079.14742431</v>
      </c>
    </row>
    <row r="8827" spans="1:2" x14ac:dyDescent="0.25">
      <c r="A8827">
        <f ca="1">33866.5653731456*((RANDBETWEEN(2979,3282)))</f>
        <v>108542342.02093154</v>
      </c>
      <c r="B8827">
        <v>151906555.13591456</v>
      </c>
    </row>
    <row r="8828" spans="1:2" x14ac:dyDescent="0.25">
      <c r="A8828">
        <f ca="1">32620.9700359971*((RANDBETWEEN(2979,3282)))</f>
        <v>98776297.268999204</v>
      </c>
      <c r="B8828">
        <v>153344566.76620039</v>
      </c>
    </row>
    <row r="8829" spans="1:2" x14ac:dyDescent="0.25">
      <c r="A8829">
        <f ca="1">35032.6018355621*((RANDBETWEEN(2979,3282)))</f>
        <v>114661705.80779471</v>
      </c>
      <c r="B8829">
        <v>167075804.76919419</v>
      </c>
    </row>
    <row r="8830" spans="1:2" x14ac:dyDescent="0.25">
      <c r="A8830">
        <f ca="1">30151.3233282732*((RANDBETWEEN(2979,3282)))</f>
        <v>94916365.837404057</v>
      </c>
      <c r="B8830">
        <v>147178656.30748415</v>
      </c>
    </row>
    <row r="8831" spans="1:2" x14ac:dyDescent="0.25">
      <c r="A8831">
        <f ca="1">30281.3348920784*((RANDBETWEEN(2979,3282)))</f>
        <v>92751728.774436086</v>
      </c>
      <c r="B8831">
        <v>153096242.9712429</v>
      </c>
    </row>
    <row r="8832" spans="1:2" x14ac:dyDescent="0.25">
      <c r="A8832">
        <f ca="1">37660.2601126109*((RANDBETWEEN(2979,3282)))</f>
        <v>112604177.73670658</v>
      </c>
      <c r="B8832">
        <v>157786367.62678248</v>
      </c>
    </row>
    <row r="8833" spans="1:2" x14ac:dyDescent="0.25">
      <c r="A8833">
        <f ca="1">31890.8387180368*((RANDBETWEEN(2979,3282)))</f>
        <v>99084835.896940246</v>
      </c>
      <c r="B8833">
        <v>166473858.5225296</v>
      </c>
    </row>
    <row r="8834" spans="1:2" x14ac:dyDescent="0.25">
      <c r="A8834">
        <f ca="1">31076.6598339931*((RANDBETWEEN(2979,3282)))</f>
        <v>97860401.817244291</v>
      </c>
      <c r="B8834">
        <v>143646491.58710045</v>
      </c>
    </row>
    <row r="8835" spans="1:2" x14ac:dyDescent="0.25">
      <c r="A8835">
        <f ca="1">32673.4480960052*((RANDBETWEEN(2979,3282)))</f>
        <v>107103562.85870518</v>
      </c>
      <c r="B8835">
        <v>152064499.50727528</v>
      </c>
    </row>
    <row r="8836" spans="1:2" x14ac:dyDescent="0.25">
      <c r="A8836">
        <f ca="1">38631.5912133134*((RANDBETWEEN(2979,3282)))</f>
        <v>124702776.43657553</v>
      </c>
      <c r="B8836">
        <v>176435721.22814399</v>
      </c>
    </row>
    <row r="8837" spans="1:2" x14ac:dyDescent="0.25">
      <c r="A8837">
        <f ca="1">35798.833905857*((RANDBETWEEN(2979,3282)))</f>
        <v>117420175.21121107</v>
      </c>
      <c r="B8837">
        <v>188055748.09863815</v>
      </c>
    </row>
    <row r="8838" spans="1:2" x14ac:dyDescent="0.25">
      <c r="A8838">
        <f ca="1">30185.1856919152*((RANDBETWEEN(2979,3282)))</f>
        <v>93242038.602325916</v>
      </c>
      <c r="B8838">
        <v>193008708.03074369</v>
      </c>
    </row>
    <row r="8839" spans="1:2" x14ac:dyDescent="0.25">
      <c r="A8839">
        <f ca="1">29847.9704376669*((RANDBETWEEN(2979,3282)))</f>
        <v>91066157.805321753</v>
      </c>
      <c r="B8839">
        <v>151724250.66271484</v>
      </c>
    </row>
    <row r="8840" spans="1:2" x14ac:dyDescent="0.25">
      <c r="A8840">
        <f ca="1">33079.9684675591*((RANDBETWEEN(2979,3282)))</f>
        <v>107245257.77182657</v>
      </c>
      <c r="B8840">
        <v>152589531.2290706</v>
      </c>
    </row>
    <row r="8841" spans="1:2" x14ac:dyDescent="0.25">
      <c r="A8841">
        <f ca="1">33475.3371313557*((RANDBETWEEN(2979,3282)))</f>
        <v>99990832.011359438</v>
      </c>
      <c r="B8841">
        <v>173021568.23226869</v>
      </c>
    </row>
    <row r="8842" spans="1:2" x14ac:dyDescent="0.25">
      <c r="A8842">
        <f ca="1">32940.3670013646*((RANDBETWEEN(2979,3282)))</f>
        <v>103399812.01728363</v>
      </c>
      <c r="B8842">
        <v>175819558.28832948</v>
      </c>
    </row>
    <row r="8843" spans="1:2" x14ac:dyDescent="0.25">
      <c r="A8843">
        <f ca="1">28965.94477687*((RANDBETWEEN(2979,3282)))</f>
        <v>94892435.089026049</v>
      </c>
      <c r="B8843">
        <v>192151545.2747221</v>
      </c>
    </row>
    <row r="8844" spans="1:2" x14ac:dyDescent="0.25">
      <c r="A8844">
        <f ca="1">33501.3771741254*((RANDBETWEEN(2979,3282)))</f>
        <v>101844186.60934129</v>
      </c>
      <c r="B8844">
        <v>177844852.01057139</v>
      </c>
    </row>
    <row r="8845" spans="1:2" x14ac:dyDescent="0.25">
      <c r="A8845">
        <f ca="1">32106.5814448136*((RANDBETWEEN(2979,3282)))</f>
        <v>103222659.34507577</v>
      </c>
      <c r="B8845">
        <v>157892067.47826868</v>
      </c>
    </row>
    <row r="8846" spans="1:2" x14ac:dyDescent="0.25">
      <c r="A8846">
        <f ca="1">41314.8807243446*((RANDBETWEEN(2979,3282)))</f>
        <v>131587895.10703771</v>
      </c>
      <c r="B8846">
        <v>189298496.36839879</v>
      </c>
    </row>
    <row r="8847" spans="1:2" x14ac:dyDescent="0.25">
      <c r="A8847">
        <f ca="1">29989.1344532884*((RANDBETWEEN(2979,3282)))</f>
        <v>93326186.41863355</v>
      </c>
      <c r="B8847">
        <v>184811302.58707657</v>
      </c>
    </row>
    <row r="8848" spans="1:2" x14ac:dyDescent="0.25">
      <c r="A8848">
        <f ca="1">31047.6709764517*((RANDBETWEEN(2979,3282)))</f>
        <v>100594453.96370351</v>
      </c>
      <c r="B8848">
        <v>145338903.40715352</v>
      </c>
    </row>
    <row r="8849" spans="1:2" x14ac:dyDescent="0.25">
      <c r="A8849">
        <f ca="1">36488.9690588206*((RANDBETWEEN(2979,3282)))</f>
        <v>119683818.51293169</v>
      </c>
      <c r="B8849">
        <v>154326847.0375801</v>
      </c>
    </row>
    <row r="8850" spans="1:2" x14ac:dyDescent="0.25">
      <c r="A8850">
        <f ca="1">39126.0761019733*((RANDBETWEEN(2979,3282)))</f>
        <v>117965119.4474494</v>
      </c>
      <c r="B8850">
        <v>155736138.61452764</v>
      </c>
    </row>
    <row r="8851" spans="1:2" x14ac:dyDescent="0.25">
      <c r="A8851">
        <f ca="1">32103.8927811302*((RANDBETWEEN(2979,3282)))</f>
        <v>99650483.192628086</v>
      </c>
      <c r="B8851">
        <v>162871437.73676202</v>
      </c>
    </row>
    <row r="8852" spans="1:2" x14ac:dyDescent="0.25">
      <c r="A8852">
        <f ca="1">36130.3367511145*((RANDBETWEEN(2979,3282)))</f>
        <v>115219643.89930409</v>
      </c>
      <c r="B8852">
        <v>174347888.51373267</v>
      </c>
    </row>
    <row r="8853" spans="1:2" x14ac:dyDescent="0.25">
      <c r="A8853">
        <f ca="1">31666.5909967637*((RANDBETWEEN(2979,3282)))</f>
        <v>103296419.83144328</v>
      </c>
      <c r="B8853">
        <v>145132791.10669422</v>
      </c>
    </row>
    <row r="8854" spans="1:2" x14ac:dyDescent="0.25">
      <c r="A8854">
        <f ca="1">38807.4056584749*((RANDBETWEEN(2979,3282)))</f>
        <v>119643231.64507818</v>
      </c>
      <c r="B8854">
        <v>181051242.82225764</v>
      </c>
    </row>
    <row r="8855" spans="1:2" x14ac:dyDescent="0.25">
      <c r="A8855">
        <f ca="1">32608.5634464314*((RANDBETWEEN(2979,3282)))</f>
        <v>99260467.130937189</v>
      </c>
      <c r="B8855">
        <v>169484026.90819275</v>
      </c>
    </row>
    <row r="8856" spans="1:2" x14ac:dyDescent="0.25">
      <c r="A8856">
        <f ca="1">30847.8909541045*((RANDBETWEEN(2979,3282)))</f>
        <v>94086067.410018861</v>
      </c>
      <c r="B8856">
        <v>154820155.55308545</v>
      </c>
    </row>
    <row r="8857" spans="1:2" x14ac:dyDescent="0.25">
      <c r="A8857">
        <f ca="1">31146.9906281832*((RANDBETWEEN(2979,3282)))</f>
        <v>96306495.022342354</v>
      </c>
      <c r="B8857">
        <v>143053261.86355817</v>
      </c>
    </row>
    <row r="8858" spans="1:2" x14ac:dyDescent="0.25">
      <c r="A8858">
        <f ca="1">39900.0640818401*((RANDBETWEEN(2979,3282)))</f>
        <v>126323602.88310578</v>
      </c>
      <c r="B8858">
        <v>159602816.85264522</v>
      </c>
    </row>
    <row r="8859" spans="1:2" x14ac:dyDescent="0.25">
      <c r="A8859">
        <f ca="1">39740.8835560206*((RANDBETWEEN(2979,3282)))</f>
        <v>128283572.11883461</v>
      </c>
      <c r="B8859">
        <v>152190553.77795836</v>
      </c>
    </row>
    <row r="8860" spans="1:2" x14ac:dyDescent="0.25">
      <c r="A8860">
        <f ca="1">35797.925624517*((RANDBETWEEN(2979,3282)))</f>
        <v>107536968.57604903</v>
      </c>
      <c r="B8860">
        <v>150568979.98878276</v>
      </c>
    </row>
    <row r="8861" spans="1:2" x14ac:dyDescent="0.25">
      <c r="A8861">
        <f ca="1">30135.6297634458*((RANDBETWEEN(2979,3282)))</f>
        <v>98392831.177650556</v>
      </c>
      <c r="B8861">
        <v>146379404.5308055</v>
      </c>
    </row>
    <row r="8862" spans="1:2" x14ac:dyDescent="0.25">
      <c r="A8862">
        <f ca="1">41945.4682966313*((RANDBETWEEN(2979,3282)))</f>
        <v>135483862.59811911</v>
      </c>
      <c r="B8862">
        <v>185401090.8979685</v>
      </c>
    </row>
    <row r="8863" spans="1:2" x14ac:dyDescent="0.25">
      <c r="A8863">
        <f ca="1">39255.0117597317*((RANDBETWEEN(2979,3282)))</f>
        <v>124399132.26658964</v>
      </c>
      <c r="B8863">
        <v>184729745.67825618</v>
      </c>
    </row>
    <row r="8864" spans="1:2" x14ac:dyDescent="0.25">
      <c r="A8864">
        <f ca="1">29427.5065825109*((RANDBETWEEN(2979,3282)))</f>
        <v>95992526.47215043</v>
      </c>
      <c r="B8864">
        <v>166765108.90798151</v>
      </c>
    </row>
    <row r="8865" spans="1:2" x14ac:dyDescent="0.25">
      <c r="A8865">
        <f ca="1">30022.5200784028*((RANDBETWEEN(2979,3282)))</f>
        <v>89617222.434032246</v>
      </c>
      <c r="B8865">
        <v>144757074.85769504</v>
      </c>
    </row>
    <row r="8866" spans="1:2" x14ac:dyDescent="0.25">
      <c r="A8866">
        <f ca="1">41363.2581047315*((RANDBETWEEN(2979,3282)))</f>
        <v>126861112.60721159</v>
      </c>
      <c r="B8866">
        <v>194644867.63381329</v>
      </c>
    </row>
    <row r="8867" spans="1:2" x14ac:dyDescent="0.25">
      <c r="A8867">
        <f ca="1">33272.9017439013*((RANDBETWEEN(2979,3282)))</f>
        <v>100384344.56135027</v>
      </c>
      <c r="B8867">
        <v>154095068.52335736</v>
      </c>
    </row>
    <row r="8868" spans="1:2" x14ac:dyDescent="0.25">
      <c r="A8868">
        <f ca="1">30991.4462277934*((RANDBETWEEN(2979,3282)))</f>
        <v>101063106.14883414</v>
      </c>
      <c r="B8868">
        <v>143185516.10230476</v>
      </c>
    </row>
    <row r="8869" spans="1:2" x14ac:dyDescent="0.25">
      <c r="A8869">
        <f ca="1">31096.4608486745*((RANDBETWEEN(2979,3282)))</f>
        <v>95621617.1096742</v>
      </c>
      <c r="B8869">
        <v>202622873.04061019</v>
      </c>
    </row>
    <row r="8870" spans="1:2" x14ac:dyDescent="0.25">
      <c r="A8870">
        <f ca="1">29306.081014495*((RANDBETWEEN(2979,3282)))</f>
        <v>91024687.631021574</v>
      </c>
      <c r="B8870">
        <v>149714385.26324648</v>
      </c>
    </row>
    <row r="8871" spans="1:2" x14ac:dyDescent="0.25">
      <c r="A8871">
        <f ca="1">30870.0552357083*((RANDBETWEEN(2979,3282)))</f>
        <v>92517555.541417867</v>
      </c>
      <c r="B8871">
        <v>164594370.1856477</v>
      </c>
    </row>
    <row r="8872" spans="1:2" x14ac:dyDescent="0.25">
      <c r="A8872">
        <f ca="1">34646.0061131984*((RANDBETWEEN(2979,3282)))</f>
        <v>103522266.26623674</v>
      </c>
      <c r="B8872">
        <v>153897863.73127371</v>
      </c>
    </row>
    <row r="8873" spans="1:2" x14ac:dyDescent="0.25">
      <c r="A8873">
        <f ca="1">38657.7593273499*((RANDBETWEEN(2979,3282)))</f>
        <v>120225631.50805832</v>
      </c>
      <c r="B8873">
        <v>162832059.41887265</v>
      </c>
    </row>
    <row r="8874" spans="1:2" x14ac:dyDescent="0.25">
      <c r="A8874">
        <f ca="1">37145.4850613949*((RANDBETWEEN(2979,3282)))</f>
        <v>111956491.9750443</v>
      </c>
      <c r="B8874">
        <v>152556072.51165792</v>
      </c>
    </row>
    <row r="8875" spans="1:2" x14ac:dyDescent="0.25">
      <c r="A8875">
        <f ca="1">39960.5062335027*((RANDBETWEEN(2979,3282)))</f>
        <v>126954528.30383818</v>
      </c>
      <c r="B8875">
        <v>173460667.60808682</v>
      </c>
    </row>
    <row r="8876" spans="1:2" x14ac:dyDescent="0.25">
      <c r="A8876">
        <f ca="1">40857.6358504346*((RANDBETWEEN(2979,3282)))</f>
        <v>131970163.79690373</v>
      </c>
      <c r="B8876">
        <v>150969227.6837422</v>
      </c>
    </row>
    <row r="8877" spans="1:2" x14ac:dyDescent="0.25">
      <c r="A8877">
        <f ca="1">27859.9245379195*((RANDBETWEEN(2979,3282)))</f>
        <v>90098995.955631688</v>
      </c>
      <c r="B8877">
        <v>174212298.81595865</v>
      </c>
    </row>
    <row r="8878" spans="1:2" x14ac:dyDescent="0.25">
      <c r="A8878">
        <f ca="1">32372.1461353581*((RANDBETWEEN(2979,3282)))</f>
        <v>101810399.59570131</v>
      </c>
      <c r="B8878">
        <v>173259121.90320063</v>
      </c>
    </row>
    <row r="8879" spans="1:2" x14ac:dyDescent="0.25">
      <c r="A8879">
        <f ca="1">35122.9597866718*((RANDBETWEEN(2979,3282)))</f>
        <v>112288102.43798962</v>
      </c>
      <c r="B8879">
        <v>180769417.52448431</v>
      </c>
    </row>
    <row r="8880" spans="1:2" x14ac:dyDescent="0.25">
      <c r="A8880">
        <f ca="1">29330.186607085*((RANDBETWEEN(2979,3282)))</f>
        <v>93533965.089993924</v>
      </c>
      <c r="B8880">
        <v>203591742.74241677</v>
      </c>
    </row>
    <row r="8881" spans="1:2" x14ac:dyDescent="0.25">
      <c r="A8881">
        <f ca="1">30053.2991169335*((RANDBETWEEN(2979,3282)))</f>
        <v>89679044.564929649</v>
      </c>
      <c r="B8881">
        <v>169650393.59367698</v>
      </c>
    </row>
    <row r="8882" spans="1:2" x14ac:dyDescent="0.25">
      <c r="A8882">
        <f ca="1">31829.1474086257*((RANDBETWEEN(2979,3282)))</f>
        <v>99848035.420858875</v>
      </c>
      <c r="B8882">
        <v>143056158.07247809</v>
      </c>
    </row>
    <row r="8883" spans="1:2" x14ac:dyDescent="0.25">
      <c r="A8883">
        <f ca="1">33296.9538253846*((RANDBETWEEN(2979,3282)))</f>
        <v>105218374.08821526</v>
      </c>
      <c r="B8883">
        <v>197131457.38651848</v>
      </c>
    </row>
    <row r="8884" spans="1:2" x14ac:dyDescent="0.25">
      <c r="A8884">
        <f ca="1">38859.6102442316*((RANDBETWEEN(2979,3282)))</f>
        <v>127420661.99083538</v>
      </c>
      <c r="B8884">
        <v>145099495.49887592</v>
      </c>
    </row>
    <row r="8885" spans="1:2" x14ac:dyDescent="0.25">
      <c r="A8885">
        <f ca="1">38500.737867931*((RANDBETWEEN(2979,3282)))</f>
        <v>117350249.02145377</v>
      </c>
      <c r="B8885">
        <v>153379977.02799529</v>
      </c>
    </row>
    <row r="8886" spans="1:2" x14ac:dyDescent="0.25">
      <c r="A8886">
        <f ca="1">39115.0819227603*((RANDBETWEEN(2979,3282)))</f>
        <v>117345245.76828097</v>
      </c>
      <c r="B8886">
        <v>186829765.77613938</v>
      </c>
    </row>
    <row r="8887" spans="1:2" x14ac:dyDescent="0.25">
      <c r="A8887">
        <f ca="1">30086.6781858442*((RANDBETWEEN(2979,3282)))</f>
        <v>93479309.123418063</v>
      </c>
      <c r="B8887">
        <v>173127658.53079444</v>
      </c>
    </row>
    <row r="8888" spans="1:2" x14ac:dyDescent="0.25">
      <c r="A8888">
        <f ca="1">32188.7564847442*((RANDBETWEEN(2979,3282)))</f>
        <v>98787293.651680037</v>
      </c>
      <c r="B8888">
        <v>175913701.93688795</v>
      </c>
    </row>
    <row r="8889" spans="1:2" x14ac:dyDescent="0.25">
      <c r="A8889">
        <f ca="1">33225.4840216766*((RANDBETWEEN(2979,3282)))</f>
        <v>108747009.20294738</v>
      </c>
      <c r="B8889">
        <v>169951689.58401531</v>
      </c>
    </row>
    <row r="8890" spans="1:2" x14ac:dyDescent="0.25">
      <c r="A8890">
        <f ca="1">34053.2993703005*((RANDBETWEEN(2979,3282)))</f>
        <v>107778692.50700119</v>
      </c>
      <c r="B8890">
        <v>198605493.90862456</v>
      </c>
    </row>
    <row r="8891" spans="1:2" x14ac:dyDescent="0.25">
      <c r="A8891">
        <f ca="1">30865.790723879*((RANDBETWEEN(2979,3282)))</f>
        <v>92936895.869599715</v>
      </c>
      <c r="B8891">
        <v>161098367.33982369</v>
      </c>
    </row>
    <row r="8892" spans="1:2" x14ac:dyDescent="0.25">
      <c r="A8892">
        <f ca="1">31092.6237021949*((RANDBETWEEN(2979,3282)))</f>
        <v>95889651.49756895</v>
      </c>
      <c r="B8892">
        <v>168557807.35757586</v>
      </c>
    </row>
    <row r="8893" spans="1:2" x14ac:dyDescent="0.25">
      <c r="A8893">
        <f ca="1">34296.9771305817*((RANDBETWEEN(2979,3282)))</f>
        <v>108549932.61829123</v>
      </c>
      <c r="B8893">
        <v>180464595.37358177</v>
      </c>
    </row>
    <row r="8894" spans="1:2" x14ac:dyDescent="0.25">
      <c r="A8894">
        <f ca="1">32705.2480732541*((RANDBETWEEN(2979,3282)))</f>
        <v>101713321.50782016</v>
      </c>
      <c r="B8894">
        <v>180394840.36821195</v>
      </c>
    </row>
    <row r="8895" spans="1:2" x14ac:dyDescent="0.25">
      <c r="A8895">
        <f ca="1">30547.6449350843*((RANDBETWEEN(2979,3282)))</f>
        <v>95003175.748112068</v>
      </c>
      <c r="B8895">
        <v>163975096.47563475</v>
      </c>
    </row>
    <row r="8896" spans="1:2" x14ac:dyDescent="0.25">
      <c r="A8896">
        <f ca="1">29185.4227120232*((RANDBETWEEN(2979,3282)))</f>
        <v>91671412.738464996</v>
      </c>
      <c r="B8896">
        <v>147552001.67413634</v>
      </c>
    </row>
    <row r="8897" spans="1:2" x14ac:dyDescent="0.25">
      <c r="A8897">
        <f ca="1">33309.4674090042*((RANDBETWEEN(2979,3282)))</f>
        <v>105757559.02358827</v>
      </c>
      <c r="B8897">
        <v>193809633.10049498</v>
      </c>
    </row>
    <row r="8898" spans="1:2" x14ac:dyDescent="0.25">
      <c r="A8898">
        <f ca="1">33029.1947408141*((RANDBETWEEN(2979,3282)))</f>
        <v>99880284.89622201</v>
      </c>
      <c r="B8898">
        <v>191944606.87385079</v>
      </c>
    </row>
    <row r="8899" spans="1:2" x14ac:dyDescent="0.25">
      <c r="A8899">
        <f ca="1">29117.3603105071*((RANDBETWEEN(2979,3282)))</f>
        <v>92826144.669896796</v>
      </c>
      <c r="B8899">
        <v>147370073.30215019</v>
      </c>
    </row>
    <row r="8900" spans="1:2" x14ac:dyDescent="0.25">
      <c r="A8900">
        <f ca="1">28558.7161945247*((RANDBETWEEN(2979,3282)))</f>
        <v>92130418.443536639</v>
      </c>
      <c r="B8900">
        <v>185935481.66115692</v>
      </c>
    </row>
    <row r="8901" spans="1:2" x14ac:dyDescent="0.25">
      <c r="A8901">
        <f ca="1">36365.5878632761*((RANDBETWEEN(2979,3282)))</f>
        <v>113933386.77564402</v>
      </c>
      <c r="B8901">
        <v>164356733.77109706</v>
      </c>
    </row>
    <row r="8902" spans="1:2" x14ac:dyDescent="0.25">
      <c r="A8902">
        <f ca="1">29455.5196618596*((RANDBETWEEN(2979,3282)))</f>
        <v>92107409.982635096</v>
      </c>
      <c r="B8902">
        <v>168866897.77991155</v>
      </c>
    </row>
    <row r="8903" spans="1:2" x14ac:dyDescent="0.25">
      <c r="A8903">
        <f ca="1">34092.4169384558*((RANDBETWEEN(2979,3282)))</f>
        <v>106538802.93267423</v>
      </c>
      <c r="B8903">
        <v>158506540.99707633</v>
      </c>
    </row>
    <row r="8904" spans="1:2" x14ac:dyDescent="0.25">
      <c r="A8904">
        <f ca="1">31453.8238940819*((RANDBETWEEN(2979,3282)))</f>
        <v>98450468.788476303</v>
      </c>
      <c r="B8904">
        <v>151026607.22019646</v>
      </c>
    </row>
    <row r="8905" spans="1:2" x14ac:dyDescent="0.25">
      <c r="A8905">
        <f ca="1">33461.1868197139*((RANDBETWEEN(2979,3282)))</f>
        <v>104967743.0534424</v>
      </c>
      <c r="B8905">
        <v>145374692.99607298</v>
      </c>
    </row>
    <row r="8906" spans="1:2" x14ac:dyDescent="0.25">
      <c r="A8906">
        <f ca="1">30625.3281566375*((RANDBETWEEN(2979,3282)))</f>
        <v>91294103.23493652</v>
      </c>
      <c r="B8906">
        <v>155081408.76499081</v>
      </c>
    </row>
    <row r="8907" spans="1:2" x14ac:dyDescent="0.25">
      <c r="A8907">
        <f ca="1">34638.0078447442*((RANDBETWEEN(2979,3282)))</f>
        <v>105472733.88724624</v>
      </c>
      <c r="B8907">
        <v>189002605.26665765</v>
      </c>
    </row>
    <row r="8908" spans="1:2" x14ac:dyDescent="0.25">
      <c r="A8908">
        <f ca="1">36005.9435701646*((RANDBETWEEN(2979,3282)))</f>
        <v>118135500.85371003</v>
      </c>
      <c r="B8908">
        <v>183107376.63872147</v>
      </c>
    </row>
    <row r="8909" spans="1:2" x14ac:dyDescent="0.25">
      <c r="A8909">
        <f ca="1">29291.4936426447*((RANDBETWEEN(2979,3282)))</f>
        <v>93059075.302682221</v>
      </c>
      <c r="B8909">
        <v>164932152.7066769</v>
      </c>
    </row>
    <row r="8910" spans="1:2" x14ac:dyDescent="0.25">
      <c r="A8910">
        <f ca="1">32327.445715337*((RANDBETWEEN(2979,3282)))</f>
        <v>97434921.386025771</v>
      </c>
      <c r="B8910">
        <v>195296150.72876602</v>
      </c>
    </row>
    <row r="8911" spans="1:2" x14ac:dyDescent="0.25">
      <c r="A8911">
        <f ca="1">39715.8729617008*((RANDBETWEEN(2979,3282)))</f>
        <v>118393017.29883036</v>
      </c>
      <c r="B8911">
        <v>155556679.37191254</v>
      </c>
    </row>
    <row r="8912" spans="1:2" x14ac:dyDescent="0.25">
      <c r="A8912">
        <f ca="1">30875.9934339284*((RANDBETWEEN(2979,3282)))</f>
        <v>95036307.789631605</v>
      </c>
      <c r="B8912">
        <v>185858782.34603834</v>
      </c>
    </row>
    <row r="8913" spans="1:2" x14ac:dyDescent="0.25">
      <c r="A8913">
        <f ca="1">29830.2570643402*((RANDBETWEEN(2979,3282)))</f>
        <v>96978165.716170147</v>
      </c>
      <c r="B8913">
        <v>145105857.67888135</v>
      </c>
    </row>
    <row r="8914" spans="1:2" x14ac:dyDescent="0.25">
      <c r="A8914">
        <f ca="1">35464.9425663944*((RANDBETWEEN(2979,3282)))</f>
        <v>111927358.73954082</v>
      </c>
      <c r="B8914">
        <v>152802884.585596</v>
      </c>
    </row>
    <row r="8915" spans="1:2" x14ac:dyDescent="0.25">
      <c r="A8915">
        <f ca="1">31047.3032479692*((RANDBETWEEN(2979,3282)))</f>
        <v>99817079.94222109</v>
      </c>
      <c r="B8915">
        <v>160216982.77504072</v>
      </c>
    </row>
    <row r="8916" spans="1:2" x14ac:dyDescent="0.25">
      <c r="A8916">
        <f ca="1">36007.1376029249*((RANDBETWEEN(2979,3282)))</f>
        <v>116915175.7966972</v>
      </c>
      <c r="B8916">
        <v>175410689.4060899</v>
      </c>
    </row>
    <row r="8917" spans="1:2" x14ac:dyDescent="0.25">
      <c r="A8917">
        <f ca="1">33333.9998730864*((RANDBETWEEN(2979,3282)))</f>
        <v>104335419.60276034</v>
      </c>
      <c r="B8917">
        <v>184417868.60610193</v>
      </c>
    </row>
    <row r="8918" spans="1:2" x14ac:dyDescent="0.25">
      <c r="A8918">
        <f ca="1">29971.1237189366*((RANDBETWEEN(2979,3282)))</f>
        <v>96776758.48844637</v>
      </c>
      <c r="B8918">
        <v>144420141.81712604</v>
      </c>
    </row>
    <row r="8919" spans="1:2" x14ac:dyDescent="0.25">
      <c r="A8919">
        <f ca="1">32264.4026133495*((RANDBETWEEN(2979,3282)))</f>
        <v>96212448.593008101</v>
      </c>
      <c r="B8919">
        <v>155711506.93749014</v>
      </c>
    </row>
    <row r="8920" spans="1:2" x14ac:dyDescent="0.25">
      <c r="A8920">
        <f ca="1">31795.6204847995*((RANDBETWEEN(2979,3282)))</f>
        <v>95704817.65924643</v>
      </c>
      <c r="B8920">
        <v>182931583.31642926</v>
      </c>
    </row>
    <row r="8921" spans="1:2" x14ac:dyDescent="0.25">
      <c r="A8921">
        <f ca="1">33190.5828648743*((RANDBETWEEN(2979,3282)))</f>
        <v>108931492.96251731</v>
      </c>
      <c r="B8921">
        <v>166269009.14028758</v>
      </c>
    </row>
    <row r="8922" spans="1:2" x14ac:dyDescent="0.25">
      <c r="A8922">
        <f ca="1">29791.8012326616*((RANDBETWEEN(2979,3282)))</f>
        <v>94559177.112467781</v>
      </c>
      <c r="B8922">
        <v>201322514.96824956</v>
      </c>
    </row>
    <row r="8923" spans="1:2" x14ac:dyDescent="0.25">
      <c r="A8923">
        <f ca="1">28977.6956546592*((RANDBETWEEN(2979,3282)))</f>
        <v>87309797.007488146</v>
      </c>
      <c r="B8923">
        <v>200708078.64790997</v>
      </c>
    </row>
    <row r="8924" spans="1:2" x14ac:dyDescent="0.25">
      <c r="A8924">
        <f ca="1">38206.0376255489*((RANDBETWEEN(2979,3282)))</f>
        <v>118056656.26294602</v>
      </c>
      <c r="B8924">
        <v>153857942.87804613</v>
      </c>
    </row>
    <row r="8925" spans="1:2" x14ac:dyDescent="0.25">
      <c r="A8925">
        <f ca="1">39016.1404889884*((RANDBETWEEN(2979,3282)))</f>
        <v>122198552.01151155</v>
      </c>
      <c r="B8925">
        <v>153241982.91329533</v>
      </c>
    </row>
    <row r="8926" spans="1:2" x14ac:dyDescent="0.25">
      <c r="A8926">
        <f ca="1">30193.8271281053*((RANDBETWEEN(2979,3282)))</f>
        <v>89947411.014625818</v>
      </c>
      <c r="B8926">
        <v>146895563.66594398</v>
      </c>
    </row>
    <row r="8927" spans="1:2" x14ac:dyDescent="0.25">
      <c r="A8927">
        <f ca="1">28288.9025697574*((RANDBETWEEN(2979,3282)))</f>
        <v>85460774.663237095</v>
      </c>
      <c r="B8927">
        <v>151781868.30105412</v>
      </c>
    </row>
    <row r="8928" spans="1:2" x14ac:dyDescent="0.25">
      <c r="A8928">
        <f ca="1">31855.9860227718*((RANDBETWEEN(2979,3282)))</f>
        <v>95950229.900588587</v>
      </c>
      <c r="B8928">
        <v>186652340.18413246</v>
      </c>
    </row>
    <row r="8929" spans="1:2" x14ac:dyDescent="0.25">
      <c r="A8929">
        <f ca="1">34836.1591343616*((RANDBETWEEN(2979,3282)))</f>
        <v>114297438.11984061</v>
      </c>
      <c r="B8929">
        <v>192292588.99942672</v>
      </c>
    </row>
    <row r="8930" spans="1:2" x14ac:dyDescent="0.25">
      <c r="A8930">
        <f ca="1">40718.0565029306*((RANDBETWEEN(2979,3282)))</f>
        <v>126877464.06313165</v>
      </c>
      <c r="B8930">
        <v>156089360.06870461</v>
      </c>
    </row>
    <row r="8931" spans="1:2" x14ac:dyDescent="0.25">
      <c r="A8931">
        <f ca="1">31383.4555196902*((RANDBETWEEN(2979,3282)))</f>
        <v>96598276.089606494</v>
      </c>
      <c r="B8931">
        <v>179428513.40735188</v>
      </c>
    </row>
    <row r="8932" spans="1:2" x14ac:dyDescent="0.25">
      <c r="A8932">
        <f ca="1">30449.4068756878*((RANDBETWEEN(2979,3282)))</f>
        <v>96220125.727173388</v>
      </c>
      <c r="B8932">
        <v>197737911.08952132</v>
      </c>
    </row>
    <row r="8933" spans="1:2" x14ac:dyDescent="0.25">
      <c r="A8933">
        <f ca="1">30861.6270786285*((RANDBETWEEN(2979,3282)))</f>
        <v>96998093.908129349</v>
      </c>
      <c r="B8933">
        <v>201205850.46393147</v>
      </c>
    </row>
    <row r="8934" spans="1:2" x14ac:dyDescent="0.25">
      <c r="A8934">
        <f ca="1">31705.3100368625*((RANDBETWEEN(2979,3282)))</f>
        <v>103834890.37072459</v>
      </c>
      <c r="B8934">
        <v>144106603.34259462</v>
      </c>
    </row>
    <row r="8935" spans="1:2" x14ac:dyDescent="0.25">
      <c r="A8935">
        <f ca="1">33014.0986734713*((RANDBETWEEN(2979,3282)))</f>
        <v>105711143.9524551</v>
      </c>
      <c r="B8935">
        <v>167174664.29397494</v>
      </c>
    </row>
    <row r="8936" spans="1:2" x14ac:dyDescent="0.25">
      <c r="A8936">
        <f ca="1">30611.8646533945*((RANDBETWEEN(2979,3282)))</f>
        <v>98111026.214129224</v>
      </c>
      <c r="B8936">
        <v>171928794.40652117</v>
      </c>
    </row>
    <row r="8937" spans="1:2" x14ac:dyDescent="0.25">
      <c r="A8937">
        <f ca="1">32405.0962555705*((RANDBETWEEN(2979,3282)))</f>
        <v>102108458.30130275</v>
      </c>
      <c r="B8937">
        <v>172058820.84946993</v>
      </c>
    </row>
    <row r="8938" spans="1:2" x14ac:dyDescent="0.25">
      <c r="A8938">
        <f ca="1">31981.57811642*((RANDBETWEEN(2979,3282)))</f>
        <v>100230265.81686038</v>
      </c>
      <c r="B8938">
        <v>157540641.54146978</v>
      </c>
    </row>
    <row r="8939" spans="1:2" x14ac:dyDescent="0.25">
      <c r="A8939">
        <f ca="1">27483.2771927757*((RANDBETWEEN(2979,3282)))</f>
        <v>89128267.936171442</v>
      </c>
      <c r="B8939">
        <v>151068949.13387114</v>
      </c>
    </row>
    <row r="8940" spans="1:2" x14ac:dyDescent="0.25">
      <c r="A8940">
        <f ca="1">32597.5214383697*((RANDBETWEEN(2979,3282)))</f>
        <v>103627520.65257719</v>
      </c>
      <c r="B8940">
        <v>154419661.91306311</v>
      </c>
    </row>
    <row r="8941" spans="1:2" x14ac:dyDescent="0.25">
      <c r="A8941">
        <f ca="1">38712.8136463479*((RANDBETWEEN(2979,3282)))</f>
        <v>117338538.16208038</v>
      </c>
      <c r="B8941">
        <v>177740556.86393154</v>
      </c>
    </row>
    <row r="8942" spans="1:2" x14ac:dyDescent="0.25">
      <c r="A8942">
        <f ca="1">36677.7463087752*((RANDBETWEEN(2979,3282)))</f>
        <v>115351512.14109798</v>
      </c>
      <c r="B8942">
        <v>144687077.69958872</v>
      </c>
    </row>
    <row r="8943" spans="1:2" x14ac:dyDescent="0.25">
      <c r="A8943">
        <f ca="1">39073.1668944947*((RANDBETWEEN(2979,3282)))</f>
        <v>119055939.52752538</v>
      </c>
      <c r="B8943">
        <v>181651149.45643011</v>
      </c>
    </row>
    <row r="8944" spans="1:2" x14ac:dyDescent="0.25">
      <c r="A8944">
        <f ca="1">31633.3373506921*((RANDBETWEEN(2979,3282)))</f>
        <v>95627578.811142251</v>
      </c>
      <c r="B8944">
        <v>181502738.51256278</v>
      </c>
    </row>
    <row r="8945" spans="1:2" x14ac:dyDescent="0.25">
      <c r="A8945">
        <f ca="1">31459.0607580233*((RANDBETWEEN(2979,3282)))</f>
        <v>101738602.49144743</v>
      </c>
      <c r="B8945">
        <v>178132530.15840083</v>
      </c>
    </row>
    <row r="8946" spans="1:2" x14ac:dyDescent="0.25">
      <c r="A8946">
        <f ca="1">33228.0197710496*((RANDBETWEEN(2979,3282)))</f>
        <v>107991064.2559112</v>
      </c>
      <c r="B8946">
        <v>178559066.88137835</v>
      </c>
    </row>
    <row r="8947" spans="1:2" x14ac:dyDescent="0.25">
      <c r="A8947">
        <f ca="1">35531.9422252782*((RANDBETWEEN(2979,3282)))</f>
        <v>114661577.56097278</v>
      </c>
      <c r="B8947">
        <v>145715935.99066418</v>
      </c>
    </row>
    <row r="8948" spans="1:2" x14ac:dyDescent="0.25">
      <c r="A8948">
        <f ca="1">28267.5253351523*((RANDBETWEEN(2979,3282)))</f>
        <v>89014437.280394673</v>
      </c>
      <c r="B8948">
        <v>172437685.06378946</v>
      </c>
    </row>
    <row r="8949" spans="1:2" x14ac:dyDescent="0.25">
      <c r="A8949">
        <f ca="1">33716.8254252279*((RANDBETWEEN(2979,3282)))</f>
        <v>107522956.28105177</v>
      </c>
      <c r="B8949">
        <v>191450190.4185192</v>
      </c>
    </row>
    <row r="8950" spans="1:2" x14ac:dyDescent="0.25">
      <c r="A8950">
        <f ca="1">31903.9812303838*((RANDBETWEEN(2979,3282)))</f>
        <v>104070786.77351198</v>
      </c>
      <c r="B8950">
        <v>147721011.78368089</v>
      </c>
    </row>
    <row r="8951" spans="1:2" x14ac:dyDescent="0.25">
      <c r="A8951">
        <f ca="1">32807.2151426872*((RANDBETWEEN(2979,3282)))</f>
        <v>105672039.97459538</v>
      </c>
      <c r="B8951">
        <v>197809138.37347579</v>
      </c>
    </row>
    <row r="8952" spans="1:2" x14ac:dyDescent="0.25">
      <c r="A8952">
        <f ca="1">36039.997400745*((RANDBETWEEN(2979,3282)))</f>
        <v>114607191.73436897</v>
      </c>
      <c r="B8952">
        <v>170744260.4305144</v>
      </c>
    </row>
    <row r="8953" spans="1:2" x14ac:dyDescent="0.25">
      <c r="A8953">
        <f ca="1">31368.0812989428*((RANDBETWEEN(2979,3282)))</f>
        <v>95954960.693466067</v>
      </c>
      <c r="B8953">
        <v>146507002.2600663</v>
      </c>
    </row>
    <row r="8954" spans="1:2" x14ac:dyDescent="0.25">
      <c r="A8954">
        <f ca="1">32720.6019984641*((RANDBETWEEN(2979,3282)))</f>
        <v>104705926.39508526</v>
      </c>
      <c r="B8954">
        <v>162888708.03076276</v>
      </c>
    </row>
    <row r="8955" spans="1:2" x14ac:dyDescent="0.25">
      <c r="A8955">
        <f ca="1">29947.9600062797*((RANDBETWEEN(2979,3282)))</f>
        <v>92629040.299423143</v>
      </c>
      <c r="B8955">
        <v>178001761.74721625</v>
      </c>
    </row>
    <row r="8956" spans="1:2" x14ac:dyDescent="0.25">
      <c r="A8956">
        <f ca="1">34568.2332370313*((RANDBETWEEN(2979,3282)))</f>
        <v>106331885.43710835</v>
      </c>
      <c r="B8956">
        <v>170142634.77100146</v>
      </c>
    </row>
    <row r="8957" spans="1:2" x14ac:dyDescent="0.25">
      <c r="A8957">
        <f ca="1">31799.0945062009*((RANDBETWEEN(2979,3282)))</f>
        <v>101407312.3802748</v>
      </c>
      <c r="B8957">
        <v>155854459.61588046</v>
      </c>
    </row>
    <row r="8958" spans="1:2" x14ac:dyDescent="0.25">
      <c r="A8958">
        <f ca="1">35539.4899186563*((RANDBETWEEN(2979,3282)))</f>
        <v>114046223.14896813</v>
      </c>
      <c r="B8958">
        <v>196168862.07589251</v>
      </c>
    </row>
    <row r="8959" spans="1:2" x14ac:dyDescent="0.25">
      <c r="A8959">
        <f ca="1">32615.897262365*((RANDBETWEEN(2979,3282)))</f>
        <v>102446533.30108842</v>
      </c>
      <c r="B8959">
        <v>152143822.51385835</v>
      </c>
    </row>
    <row r="8960" spans="1:2" x14ac:dyDescent="0.25">
      <c r="A8960">
        <f ca="1">30083.2359430443*((RANDBETWEEN(2979,3282)))</f>
        <v>94702026.748703524</v>
      </c>
      <c r="B8960">
        <v>144579654.17468542</v>
      </c>
    </row>
    <row r="8961" spans="1:2" x14ac:dyDescent="0.25">
      <c r="A8961">
        <f ca="1">41194.3545271167*((RANDBETWEEN(2979,3282)))</f>
        <v>128649969.18818544</v>
      </c>
      <c r="B8961">
        <v>143679280.60853383</v>
      </c>
    </row>
    <row r="8962" spans="1:2" x14ac:dyDescent="0.25">
      <c r="A8962">
        <f ca="1">36843.0056928145*((RANDBETWEEN(2979,3282)))</f>
        <v>113255399.49971184</v>
      </c>
      <c r="B8962">
        <v>181064008.11166865</v>
      </c>
    </row>
    <row r="8963" spans="1:2" x14ac:dyDescent="0.25">
      <c r="A8963">
        <f ca="1">37288.4105616873*((RANDBETWEEN(2979,3282)))</f>
        <v>120553431.34593494</v>
      </c>
      <c r="B8963">
        <v>203564206.94852316</v>
      </c>
    </row>
    <row r="8964" spans="1:2" x14ac:dyDescent="0.25">
      <c r="A8964">
        <f ca="1">33074.4302301824*((RANDBETWEEN(2979,3282)))</f>
        <v>101538500.80665992</v>
      </c>
      <c r="B8964">
        <v>179275563.97902405</v>
      </c>
    </row>
    <row r="8965" spans="1:2" x14ac:dyDescent="0.25">
      <c r="A8965">
        <f ca="1">33057.9283753229*((RANDBETWEEN(2979,3282)))</f>
        <v>105124212.23352678</v>
      </c>
      <c r="B8965">
        <v>163678399.83693588</v>
      </c>
    </row>
    <row r="8966" spans="1:2" x14ac:dyDescent="0.25">
      <c r="A8966">
        <f ca="1">37634.2897094868*((RANDBETWEEN(2979,3282)))</f>
        <v>113166309.15642667</v>
      </c>
      <c r="B8966">
        <v>169021819.10400066</v>
      </c>
    </row>
    <row r="8967" spans="1:2" x14ac:dyDescent="0.25">
      <c r="A8967">
        <f ca="1">27986.9572527979*((RANDBETWEEN(2979,3282)))</f>
        <v>90733715.413570836</v>
      </c>
      <c r="B8967">
        <v>197000825.67466027</v>
      </c>
    </row>
    <row r="8968" spans="1:2" x14ac:dyDescent="0.25">
      <c r="A8968">
        <f ca="1">38339.7068283371*((RANDBETWEEN(2979,3282)))</f>
        <v>114750742.53721295</v>
      </c>
      <c r="B8968">
        <v>172527996.56171018</v>
      </c>
    </row>
    <row r="8969" spans="1:2" x14ac:dyDescent="0.25">
      <c r="A8969">
        <f ca="1">28478.5990634677*((RANDBETWEEN(2979,3282)))</f>
        <v>86631898.351068661</v>
      </c>
      <c r="B8969">
        <v>156532190.20793784</v>
      </c>
    </row>
    <row r="8970" spans="1:2" x14ac:dyDescent="0.25">
      <c r="A8970">
        <f ca="1">31829.8079690751*((RANDBETWEEN(2979,3282)))</f>
        <v>99245341.247576281</v>
      </c>
      <c r="B8970">
        <v>145855199.58542478</v>
      </c>
    </row>
    <row r="8971" spans="1:2" x14ac:dyDescent="0.25">
      <c r="A8971">
        <f ca="1">31570.6962455916*((RANDBETWEEN(2979,3282)))</f>
        <v>97300885.82891345</v>
      </c>
      <c r="B8971">
        <v>183079437.33159453</v>
      </c>
    </row>
    <row r="8972" spans="1:2" x14ac:dyDescent="0.25">
      <c r="A8972">
        <f ca="1">32708.2956930367*((RANDBETWEEN(2979,3282)))</f>
        <v>106465502.4808346</v>
      </c>
      <c r="B8972">
        <v>162145517.0413053</v>
      </c>
    </row>
    <row r="8973" spans="1:2" x14ac:dyDescent="0.25">
      <c r="A8973">
        <f ca="1">40419.6907913998*((RANDBETWEEN(2979,3282)))</f>
        <v>120531517.93995421</v>
      </c>
      <c r="B8973">
        <v>199410110.04383302</v>
      </c>
    </row>
    <row r="8974" spans="1:2" x14ac:dyDescent="0.25">
      <c r="A8974">
        <f ca="1">29267.0315390966*((RANDBETWEEN(2979,3282)))</f>
        <v>94181307.492812783</v>
      </c>
      <c r="B8974">
        <v>159066461.8203904</v>
      </c>
    </row>
    <row r="8975" spans="1:2" x14ac:dyDescent="0.25">
      <c r="A8975">
        <f ca="1">40193.383350403*((RANDBETWEEN(2979,3282)))</f>
        <v>130588302.50545925</v>
      </c>
      <c r="B8975">
        <v>146014627.12425864</v>
      </c>
    </row>
    <row r="8976" spans="1:2" x14ac:dyDescent="0.25">
      <c r="A8976">
        <f ca="1">31825.2864886623*((RANDBETWEEN(2979,3282)))</f>
        <v>103018452.36379975</v>
      </c>
      <c r="B8976">
        <v>156914381.08016226</v>
      </c>
    </row>
    <row r="8977" spans="1:2" x14ac:dyDescent="0.25">
      <c r="A8977">
        <f ca="1">30108.8861052101*((RANDBETWEEN(2979,3282)))</f>
        <v>96619415.511619166</v>
      </c>
      <c r="B8977">
        <v>155116259.68529916</v>
      </c>
    </row>
    <row r="8978" spans="1:2" x14ac:dyDescent="0.25">
      <c r="A8978">
        <f ca="1">30607.7390797645*((RANDBETWEEN(2979,3282)))</f>
        <v>97057140.621933237</v>
      </c>
      <c r="B8978">
        <v>154868385.66985467</v>
      </c>
    </row>
    <row r="8979" spans="1:2" x14ac:dyDescent="0.25">
      <c r="A8979">
        <f ca="1">32419.9501882398*((RANDBETWEEN(2979,3282)))</f>
        <v>103354801.20010839</v>
      </c>
      <c r="B8979">
        <v>143038283.0470494</v>
      </c>
    </row>
    <row r="8980" spans="1:2" x14ac:dyDescent="0.25">
      <c r="A8980">
        <f ca="1">32532.6174365266*((RANDBETWEEN(2979,3282)))</f>
        <v>103648919.15277387</v>
      </c>
      <c r="B8980">
        <v>190577224.51017746</v>
      </c>
    </row>
    <row r="8981" spans="1:2" x14ac:dyDescent="0.25">
      <c r="A8981">
        <f ca="1">31743.0665008582*((RANDBETWEEN(2979,3282)))</f>
        <v>101895243.46775486</v>
      </c>
      <c r="B8981">
        <v>155535835.88513368</v>
      </c>
    </row>
    <row r="8982" spans="1:2" x14ac:dyDescent="0.25">
      <c r="A8982">
        <f ca="1">30884.7064104795*((RANDBETWEEN(2979,3282)))</f>
        <v>98367789.91737707</v>
      </c>
      <c r="B8982">
        <v>149722484.26913452</v>
      </c>
    </row>
    <row r="8983" spans="1:2" x14ac:dyDescent="0.25">
      <c r="A8983">
        <f ca="1">29696.3608093197*((RANDBETWEEN(2979,3282)))</f>
        <v>93009002.054789245</v>
      </c>
      <c r="B8983">
        <v>152283127.69252402</v>
      </c>
    </row>
    <row r="8984" spans="1:2" x14ac:dyDescent="0.25">
      <c r="A8984">
        <f ca="1">40751.8398251883*((RANDBETWEEN(2979,3282)))</f>
        <v>122051760.27643891</v>
      </c>
      <c r="B8984">
        <v>166925401.79472372</v>
      </c>
    </row>
    <row r="8985" spans="1:2" x14ac:dyDescent="0.25">
      <c r="A8985">
        <f ca="1">28182.6747844405*((RANDBETWEEN(2979,3282)))</f>
        <v>84942581.800303638</v>
      </c>
      <c r="B8985">
        <v>149513383.85301852</v>
      </c>
    </row>
    <row r="8986" spans="1:2" x14ac:dyDescent="0.25">
      <c r="A8986">
        <f ca="1">40917.1162665536*((RANDBETWEEN(2979,3282)))</f>
        <v>132407788.23856746</v>
      </c>
      <c r="B8986">
        <v>178374247.29324755</v>
      </c>
    </row>
    <row r="8987" spans="1:2" x14ac:dyDescent="0.25">
      <c r="A8987">
        <f ca="1">30778.5659767424*((RANDBETWEEN(2979,3282)))</f>
        <v>93874626.229064375</v>
      </c>
      <c r="B8987">
        <v>153421779.50948778</v>
      </c>
    </row>
    <row r="8988" spans="1:2" x14ac:dyDescent="0.25">
      <c r="A8988">
        <f ca="1">30061.9484364665*((RANDBETWEEN(2979,3282)))</f>
        <v>96318482.790438563</v>
      </c>
      <c r="B8988">
        <v>159027951.30183586</v>
      </c>
    </row>
    <row r="8989" spans="1:2" x14ac:dyDescent="0.25">
      <c r="A8989">
        <f ca="1">38239.7006654408*((RANDBETWEEN(2979,3282)))</f>
        <v>118619551.46419746</v>
      </c>
      <c r="B8989">
        <v>196252933.14570367</v>
      </c>
    </row>
    <row r="8990" spans="1:2" x14ac:dyDescent="0.25">
      <c r="A8990">
        <f ca="1">36053.7402551628*((RANDBETWEEN(2979,3282)))</f>
        <v>110721036.32360508</v>
      </c>
      <c r="B8990">
        <v>161430817.22136676</v>
      </c>
    </row>
    <row r="8991" spans="1:2" x14ac:dyDescent="0.25">
      <c r="A8991">
        <f ca="1">31658.3308228927*((RANDBETWEEN(2979,3282)))</f>
        <v>99217208.798945799</v>
      </c>
      <c r="B8991">
        <v>146680376.59743369</v>
      </c>
    </row>
    <row r="8992" spans="1:2" x14ac:dyDescent="0.25">
      <c r="A8992">
        <f ca="1">31577.4397325843*((RANDBETWEEN(2979,3282)))</f>
        <v>94763896.63748543</v>
      </c>
      <c r="B8992">
        <v>193734398.22816098</v>
      </c>
    </row>
    <row r="8993" spans="1:2" x14ac:dyDescent="0.25">
      <c r="A8993">
        <f ca="1">29137.6504458488*((RANDBETWEEN(2979,3282)))</f>
        <v>91200845.89550662</v>
      </c>
      <c r="B8993">
        <v>200580058.03856382</v>
      </c>
    </row>
    <row r="8994" spans="1:2" x14ac:dyDescent="0.25">
      <c r="A8994">
        <f ca="1">29329.7405903157*((RANDBETWEEN(2979,3282)))</f>
        <v>90423590.23994343</v>
      </c>
      <c r="B8994">
        <v>148824962.83500856</v>
      </c>
    </row>
    <row r="8995" spans="1:2" x14ac:dyDescent="0.25">
      <c r="A8995">
        <f ca="1">29642.0444724576*((RANDBETWEEN(2979,3282)))</f>
        <v>93313155.99929665</v>
      </c>
      <c r="B8995">
        <v>173570851.4861998</v>
      </c>
    </row>
    <row r="8996" spans="1:2" x14ac:dyDescent="0.25">
      <c r="A8996">
        <f ca="1">31432.861114521*((RANDBETWEEN(2979,3282)))</f>
        <v>103036918.73339978</v>
      </c>
      <c r="B8996">
        <v>167614056.51532382</v>
      </c>
    </row>
    <row r="8997" spans="1:2" x14ac:dyDescent="0.25">
      <c r="A8997">
        <f ca="1">28964.3932377989*((RANDBETWEEN(2979,3282)))</f>
        <v>92222628.069151595</v>
      </c>
      <c r="B8997">
        <v>145542900.5082556</v>
      </c>
    </row>
    <row r="8998" spans="1:2" x14ac:dyDescent="0.25">
      <c r="A8998">
        <f ca="1">31638.8209125651*((RANDBETWEEN(2979,3282)))</f>
        <v>102035197.44302242</v>
      </c>
      <c r="B8998">
        <v>149635179.73750859</v>
      </c>
    </row>
    <row r="8999" spans="1:2" x14ac:dyDescent="0.25">
      <c r="A8999">
        <f ca="1">32016.1021410321*((RANDBETWEEN(2979,3282)))</f>
        <v>96816692.874481112</v>
      </c>
      <c r="B8999">
        <v>186742414.03555742</v>
      </c>
    </row>
    <row r="9000" spans="1:2" x14ac:dyDescent="0.25">
      <c r="A9000">
        <f ca="1">37755.2100777564*((RANDBETWEEN(2979,3282)))</f>
        <v>121420755.61006458</v>
      </c>
      <c r="B9000">
        <v>197217178.48818108</v>
      </c>
    </row>
    <row r="9001" spans="1:2" x14ac:dyDescent="0.25">
      <c r="A9001">
        <f ca="1">33981.3476928097*((RANDBETWEEN(2979,3282)))</f>
        <v>101570248.25380817</v>
      </c>
      <c r="B9001">
        <v>188404158.96368223</v>
      </c>
    </row>
    <row r="9002" spans="1:2" x14ac:dyDescent="0.25">
      <c r="A9002">
        <f ca="1">37254.6584924716*((RANDBETWEEN(2979,3282)))</f>
        <v>118954124.56646197</v>
      </c>
      <c r="B9002">
        <v>193596518.16952258</v>
      </c>
    </row>
    <row r="9003" spans="1:2" x14ac:dyDescent="0.25">
      <c r="A9003">
        <f ca="1">33838.7718593792*((RANDBETWEEN(2979,3282)))</f>
        <v>108960845.38720086</v>
      </c>
      <c r="B9003">
        <v>201282105.36119032</v>
      </c>
    </row>
    <row r="9004" spans="1:2" x14ac:dyDescent="0.25">
      <c r="A9004">
        <f ca="1">31691.7736432685*((RANDBETWEEN(2979,3282)))</f>
        <v>99543861.013506293</v>
      </c>
      <c r="B9004">
        <v>153493080.7161063</v>
      </c>
    </row>
    <row r="9005" spans="1:2" x14ac:dyDescent="0.25">
      <c r="A9005">
        <f ca="1">33007.5054476215*((RANDBETWEEN(2979,3282)))</f>
        <v>100177779.0335312</v>
      </c>
      <c r="B9005">
        <v>153116629.23864383</v>
      </c>
    </row>
    <row r="9006" spans="1:2" x14ac:dyDescent="0.25">
      <c r="A9006">
        <f ca="1">30868.8650303729*((RANDBETWEEN(2979,3282)))</f>
        <v>99397745.397800609</v>
      </c>
      <c r="B9006">
        <v>164017357.61098284</v>
      </c>
    </row>
    <row r="9007" spans="1:2" x14ac:dyDescent="0.25">
      <c r="A9007">
        <f ca="1">34903.9925341826*((RANDBETWEEN(2979,3282)))</f>
        <v>107259969.0575432</v>
      </c>
      <c r="B9007">
        <v>186577000.79999042</v>
      </c>
    </row>
    <row r="9008" spans="1:2" x14ac:dyDescent="0.25">
      <c r="A9008">
        <f ca="1">29594.5528576469*((RANDBETWEEN(2979,3282)))</f>
        <v>91979870.281566471</v>
      </c>
      <c r="B9008">
        <v>143392337.29849324</v>
      </c>
    </row>
    <row r="9009" spans="1:2" x14ac:dyDescent="0.25">
      <c r="A9009">
        <f ca="1">38925.9145949737*((RANDBETWEEN(2979,3282)))</f>
        <v>116544188.29735127</v>
      </c>
      <c r="B9009">
        <v>201616138.10530794</v>
      </c>
    </row>
    <row r="9010" spans="1:2" x14ac:dyDescent="0.25">
      <c r="A9010">
        <f ca="1">37868.0994409216*((RANDBETWEEN(2979,3282)))</f>
        <v>117277503.96853417</v>
      </c>
      <c r="B9010">
        <v>162722692.82926446</v>
      </c>
    </row>
    <row r="9011" spans="1:2" x14ac:dyDescent="0.25">
      <c r="A9011">
        <f ca="1">39347.9977421458*((RANDBETWEEN(2979,3282)))</f>
        <v>124457716.85840708</v>
      </c>
      <c r="B9011">
        <v>194093841.03657243</v>
      </c>
    </row>
    <row r="9012" spans="1:2" x14ac:dyDescent="0.25">
      <c r="A9012">
        <f ca="1">32916.8324860538*((RANDBETWEEN(2979,3282)))</f>
        <v>107868460.05679838</v>
      </c>
      <c r="B9012">
        <v>195064103.42637965</v>
      </c>
    </row>
    <row r="9013" spans="1:2" x14ac:dyDescent="0.25">
      <c r="A9013">
        <f ca="1">29437.4162043107*((RANDBETWEEN(2979,3282)))</f>
        <v>92580673.962557092</v>
      </c>
      <c r="B9013">
        <v>170766581.47605932</v>
      </c>
    </row>
    <row r="9014" spans="1:2" x14ac:dyDescent="0.25">
      <c r="A9014">
        <f ca="1">30248.1143918751*((RANDBETWEEN(2979,3282)))</f>
        <v>91228313.005895242</v>
      </c>
      <c r="B9014">
        <v>146024633.27257028</v>
      </c>
    </row>
    <row r="9015" spans="1:2" x14ac:dyDescent="0.25">
      <c r="A9015">
        <f ca="1">30179.7936021113*((RANDBETWEEN(2979,3282)))</f>
        <v>95911384.067509696</v>
      </c>
      <c r="B9015">
        <v>194136307.34633604</v>
      </c>
    </row>
    <row r="9016" spans="1:2" x14ac:dyDescent="0.25">
      <c r="A9016">
        <f ca="1">36769.5978314874*((RANDBETWEEN(2979,3282)))</f>
        <v>113066513.33182383</v>
      </c>
      <c r="B9016">
        <v>187290749.41226959</v>
      </c>
    </row>
    <row r="9017" spans="1:2" x14ac:dyDescent="0.25">
      <c r="A9017">
        <f ca="1">34167.1765299325*((RANDBETWEEN(2979,3282)))</f>
        <v>112102506.19470838</v>
      </c>
      <c r="B9017">
        <v>201642499.6213631</v>
      </c>
    </row>
    <row r="9018" spans="1:2" x14ac:dyDescent="0.25">
      <c r="A9018">
        <f ca="1">32068.6752494278*((RANDBETWEEN(2979,3282)))</f>
        <v>102780104.17441604</v>
      </c>
      <c r="B9018">
        <v>199032536.64130777</v>
      </c>
    </row>
    <row r="9019" spans="1:2" x14ac:dyDescent="0.25">
      <c r="A9019">
        <f ca="1">29686.7929848018*((RANDBETWEEN(2979,3282)))</f>
        <v>92058745.045870468</v>
      </c>
      <c r="B9019">
        <v>148850868.75522399</v>
      </c>
    </row>
    <row r="9020" spans="1:2" x14ac:dyDescent="0.25">
      <c r="A9020">
        <f ca="1">29424.9633423715*((RANDBETWEEN(2979,3282)))</f>
        <v>91246811.324693948</v>
      </c>
      <c r="B9020">
        <v>162177683.48801291</v>
      </c>
    </row>
    <row r="9021" spans="1:2" x14ac:dyDescent="0.25">
      <c r="A9021">
        <f ca="1">35392.0092667946*((RANDBETWEEN(2979,3282)))</f>
        <v>112369629.42207286</v>
      </c>
      <c r="B9021">
        <v>160777916.44151887</v>
      </c>
    </row>
    <row r="9022" spans="1:2" x14ac:dyDescent="0.25">
      <c r="A9022">
        <f ca="1">32321.1905803394*((RANDBETWEEN(2979,3282)))</f>
        <v>101520859.61284617</v>
      </c>
      <c r="B9022">
        <v>149975554.95185599</v>
      </c>
    </row>
    <row r="9023" spans="1:2" x14ac:dyDescent="0.25">
      <c r="A9023">
        <f ca="1">40781.2667706842*((RANDBETWEEN(2979,3282)))</f>
        <v>131886616.73639256</v>
      </c>
      <c r="B9023">
        <v>166172436.58527705</v>
      </c>
    </row>
    <row r="9024" spans="1:2" x14ac:dyDescent="0.25">
      <c r="A9024">
        <f ca="1">40335.2928822622*((RANDBETWEEN(2979,3282)))</f>
        <v>121651243.33290298</v>
      </c>
      <c r="B9024">
        <v>149447186.71010956</v>
      </c>
    </row>
    <row r="9025" spans="1:2" x14ac:dyDescent="0.25">
      <c r="A9025">
        <f ca="1">27524.7837534933*((RANDBETWEEN(2979,3282)))</f>
        <v>86923267.093531877</v>
      </c>
      <c r="B9025">
        <v>203210282.18319476</v>
      </c>
    </row>
    <row r="9026" spans="1:2" x14ac:dyDescent="0.25">
      <c r="A9026">
        <f ca="1">30597.4496714339*((RANDBETWEEN(2979,3282)))</f>
        <v>96106589.417974025</v>
      </c>
      <c r="B9026">
        <v>158328222.30611163</v>
      </c>
    </row>
    <row r="9027" spans="1:2" x14ac:dyDescent="0.25">
      <c r="A9027">
        <f ca="1">31592.3910242217*((RANDBETWEEN(2979,3282)))</f>
        <v>96641124.143094093</v>
      </c>
      <c r="B9027">
        <v>165032618.02763543</v>
      </c>
    </row>
    <row r="9028" spans="1:2" x14ac:dyDescent="0.25">
      <c r="A9028">
        <f ca="1">31824.487702035*((RANDBETWEEN(2979,3282)))</f>
        <v>97064687.491206676</v>
      </c>
      <c r="B9028">
        <v>199520641.48095295</v>
      </c>
    </row>
    <row r="9029" spans="1:2" x14ac:dyDescent="0.25">
      <c r="A9029">
        <f ca="1">36106.2903449063*((RANDBETWEEN(2979,3282)))</f>
        <v>116009510.87818408</v>
      </c>
      <c r="B9029">
        <v>170652105.31985226</v>
      </c>
    </row>
    <row r="9030" spans="1:2" x14ac:dyDescent="0.25">
      <c r="A9030">
        <f ca="1">30964.8487100211*((RANDBETWEEN(2979,3282)))</f>
        <v>96145855.244615495</v>
      </c>
      <c r="B9030">
        <v>172359102.51435575</v>
      </c>
    </row>
    <row r="9031" spans="1:2" x14ac:dyDescent="0.25">
      <c r="A9031">
        <f ca="1">37938.3793743675*((RANDBETWEEN(2979,3282)))</f>
        <v>116850208.4730518</v>
      </c>
      <c r="B9031">
        <v>167131635.75527573</v>
      </c>
    </row>
    <row r="9032" spans="1:2" x14ac:dyDescent="0.25">
      <c r="A9032">
        <f ca="1">37636.6205082433*((RANDBETWEEN(2979,3282)))</f>
        <v>112872224.90422159</v>
      </c>
      <c r="B9032">
        <v>149477729.22181112</v>
      </c>
    </row>
    <row r="9033" spans="1:2" x14ac:dyDescent="0.25">
      <c r="A9033">
        <f ca="1">36280.4940851094*((RANDBETWEEN(2979,3282)))</f>
        <v>115118007.73205206</v>
      </c>
      <c r="B9033">
        <v>155599722.68391871</v>
      </c>
    </row>
    <row r="9034" spans="1:2" x14ac:dyDescent="0.25">
      <c r="A9034">
        <f ca="1">29771.903838354*((RANDBETWEEN(2979,3282)))</f>
        <v>91816551.437483609</v>
      </c>
      <c r="B9034">
        <v>184933691.40459543</v>
      </c>
    </row>
    <row r="9035" spans="1:2" x14ac:dyDescent="0.25">
      <c r="A9035">
        <f ca="1">41723.2415387149*((RANDBETWEEN(2979,3282)))</f>
        <v>127756565.59154499</v>
      </c>
      <c r="B9035">
        <v>144794998.26691636</v>
      </c>
    </row>
    <row r="9036" spans="1:2" x14ac:dyDescent="0.25">
      <c r="A9036">
        <f ca="1">32146.857038986*((RANDBETWEEN(2979,3282)))</f>
        <v>100266047.10459726</v>
      </c>
      <c r="B9036">
        <v>152779193.95441413</v>
      </c>
    </row>
    <row r="9037" spans="1:2" x14ac:dyDescent="0.25">
      <c r="A9037">
        <f ca="1">30899.7992878552*((RANDBETWEEN(2979,3282)))</f>
        <v>98323161.333955109</v>
      </c>
      <c r="B9037">
        <v>178625143.95023492</v>
      </c>
    </row>
    <row r="9038" spans="1:2" x14ac:dyDescent="0.25">
      <c r="A9038">
        <f ca="1">38842.7574437104*((RANDBETWEEN(2979,3282)))</f>
        <v>116023316.48436296</v>
      </c>
      <c r="B9038">
        <v>190922491.17880642</v>
      </c>
    </row>
    <row r="9039" spans="1:2" x14ac:dyDescent="0.25">
      <c r="A9039">
        <f ca="1">31043.5541347776*((RANDBETWEEN(2979,3282)))</f>
        <v>99836070.097444713</v>
      </c>
      <c r="B9039">
        <v>181180022.25898311</v>
      </c>
    </row>
    <row r="9040" spans="1:2" x14ac:dyDescent="0.25">
      <c r="A9040">
        <f ca="1">31149.6811826135*((RANDBETWEEN(2979,3282)))</f>
        <v>100582320.53865913</v>
      </c>
      <c r="B9040">
        <v>171235912.40186238</v>
      </c>
    </row>
    <row r="9041" spans="1:2" x14ac:dyDescent="0.25">
      <c r="A9041">
        <f ca="1">32577.774822995*((RANDBETWEEN(2979,3282)))</f>
        <v>103662479.48677006</v>
      </c>
      <c r="B9041">
        <v>156665966.75962773</v>
      </c>
    </row>
    <row r="9042" spans="1:2" x14ac:dyDescent="0.25">
      <c r="A9042">
        <f ca="1">32986.6834984789*((RANDBETWEEN(2979,3282)))</f>
        <v>104732720.10767047</v>
      </c>
      <c r="B9042">
        <v>157231088.09231758</v>
      </c>
    </row>
    <row r="9043" spans="1:2" x14ac:dyDescent="0.25">
      <c r="A9043">
        <f ca="1">32337.4236228724*((RANDBETWEEN(2979,3282)))</f>
        <v>97076945.71586293</v>
      </c>
      <c r="B9043">
        <v>160142804.25804567</v>
      </c>
    </row>
    <row r="9044" spans="1:2" x14ac:dyDescent="0.25">
      <c r="A9044">
        <f ca="1">40829.8634626164*((RANDBETWEEN(2979,3282)))</f>
        <v>127266684.41297531</v>
      </c>
      <c r="B9044">
        <v>150865122.21336821</v>
      </c>
    </row>
    <row r="9045" spans="1:2" x14ac:dyDescent="0.25">
      <c r="A9045">
        <f ca="1">30623.0989114542*((RANDBETWEEN(2979,3282)))</f>
        <v>92512381.811503142</v>
      </c>
      <c r="B9045">
        <v>171447639.31702423</v>
      </c>
    </row>
    <row r="9046" spans="1:2" x14ac:dyDescent="0.25">
      <c r="A9046">
        <f ca="1">39017.5238844309*((RANDBETWEEN(2979,3282)))</f>
        <v>117286676.7965993</v>
      </c>
      <c r="B9046">
        <v>187470556.48307681</v>
      </c>
    </row>
    <row r="9047" spans="1:2" x14ac:dyDescent="0.25">
      <c r="A9047">
        <f ca="1">29202.2379388383*((RANDBETWEEN(2979,3282)))</f>
        <v>90643746.562154055</v>
      </c>
      <c r="B9047">
        <v>145906198.91423994</v>
      </c>
    </row>
    <row r="9048" spans="1:2" x14ac:dyDescent="0.25">
      <c r="A9048">
        <f ca="1">32866.8872338909*((RANDBETWEEN(2979,3282)))</f>
        <v>101558681.55272301</v>
      </c>
      <c r="B9048">
        <v>173465897.09793144</v>
      </c>
    </row>
    <row r="9049" spans="1:2" x14ac:dyDescent="0.25">
      <c r="A9049">
        <f ca="1">29550.9118169161*((RANDBETWEEN(2979,3282)))</f>
        <v>91341868.426087797</v>
      </c>
      <c r="B9049">
        <v>158365705.64054066</v>
      </c>
    </row>
    <row r="9050" spans="1:2" x14ac:dyDescent="0.25">
      <c r="A9050">
        <f ca="1">33634.4058216294*((RANDBETWEEN(2979,3282)))</f>
        <v>104098486.01794313</v>
      </c>
      <c r="B9050">
        <v>145163825.39977121</v>
      </c>
    </row>
    <row r="9051" spans="1:2" x14ac:dyDescent="0.25">
      <c r="A9051">
        <f ca="1">30933.7143889695*((RANDBETWEEN(2979,3282)))</f>
        <v>92213402.593517974</v>
      </c>
      <c r="B9051">
        <v>151425788.67711088</v>
      </c>
    </row>
    <row r="9052" spans="1:2" x14ac:dyDescent="0.25">
      <c r="A9052">
        <f ca="1">38921.1124589418*((RANDBETWEEN(2979,3282)))</f>
        <v>122329056.45845413</v>
      </c>
      <c r="B9052">
        <v>160548494.52065995</v>
      </c>
    </row>
    <row r="9053" spans="1:2" x14ac:dyDescent="0.25">
      <c r="A9053">
        <f ca="1">32695.9030681111*((RANDBETWEEN(2979,3282)))</f>
        <v>98283884.622741997</v>
      </c>
      <c r="B9053">
        <v>171857833.64391935</v>
      </c>
    </row>
    <row r="9054" spans="1:2" x14ac:dyDescent="0.25">
      <c r="A9054">
        <f ca="1">28531.1000827048*((RANDBETWEEN(2979,3282)))</f>
        <v>86734544.251422465</v>
      </c>
      <c r="B9054">
        <v>164578104.40091935</v>
      </c>
    </row>
    <row r="9055" spans="1:2" x14ac:dyDescent="0.25">
      <c r="A9055">
        <f ca="1">37077.9641509232*((RANDBETWEEN(2979,3282)))</f>
        <v>112531621.19805196</v>
      </c>
      <c r="B9055">
        <v>172929493.53109217</v>
      </c>
    </row>
    <row r="9056" spans="1:2" x14ac:dyDescent="0.25">
      <c r="A9056">
        <f ca="1">35568.0380656184*((RANDBETWEEN(2979,3282)))</f>
        <v>109016036.67112035</v>
      </c>
      <c r="B9056">
        <v>187869510.20894569</v>
      </c>
    </row>
    <row r="9057" spans="1:2" x14ac:dyDescent="0.25">
      <c r="A9057">
        <f ca="1">35393.0191035246*((RANDBETWEEN(2979,3282)))</f>
        <v>114779560.9527304</v>
      </c>
      <c r="B9057">
        <v>152296535.07627043</v>
      </c>
    </row>
    <row r="9058" spans="1:2" x14ac:dyDescent="0.25">
      <c r="A9058">
        <f ca="1">32490.7724117628*((RANDBETWEEN(2979,3282)))</f>
        <v>102508386.9591115</v>
      </c>
      <c r="B9058">
        <v>176236849.97860134</v>
      </c>
    </row>
    <row r="9059" spans="1:2" x14ac:dyDescent="0.25">
      <c r="A9059">
        <f ca="1">39516.2544784257*((RANDBETWEEN(2979,3282)))</f>
        <v>123053616.44581765</v>
      </c>
      <c r="B9059">
        <v>179073085.48828813</v>
      </c>
    </row>
    <row r="9060" spans="1:2" x14ac:dyDescent="0.25">
      <c r="A9060">
        <f ca="1">35977.3753788359*((RANDBETWEEN(2979,3282)))</f>
        <v>110414565.03764723</v>
      </c>
      <c r="B9060">
        <v>153682910.67012793</v>
      </c>
    </row>
    <row r="9061" spans="1:2" x14ac:dyDescent="0.25">
      <c r="A9061">
        <f ca="1">30584.9238659569*((RANDBETWEEN(2979,3282)))</f>
        <v>94201565.507147297</v>
      </c>
      <c r="B9061">
        <v>175502844.34301245</v>
      </c>
    </row>
    <row r="9062" spans="1:2" x14ac:dyDescent="0.25">
      <c r="A9062">
        <f ca="1">29273.8478008137*((RANDBETWEEN(2979,3282)))</f>
        <v>95725482.308660761</v>
      </c>
      <c r="B9062">
        <v>163145276.90263772</v>
      </c>
    </row>
    <row r="9063" spans="1:2" x14ac:dyDescent="0.25">
      <c r="A9063">
        <f ca="1">40973.8329452224*((RANDBETWEEN(2979,3282)))</f>
        <v>131485029.92121881</v>
      </c>
      <c r="B9063">
        <v>154526398.29882306</v>
      </c>
    </row>
    <row r="9064" spans="1:2" x14ac:dyDescent="0.25">
      <c r="A9064">
        <f ca="1">38003.8441926484*((RANDBETWEEN(2979,3282)))</f>
        <v>118495986.19267769</v>
      </c>
      <c r="B9064">
        <v>168889452.92882386</v>
      </c>
    </row>
    <row r="9065" spans="1:2" x14ac:dyDescent="0.25">
      <c r="A9065">
        <f ca="1">30832.4498443892*((RANDBETWEEN(2979,3282)))</f>
        <v>96197243.514494225</v>
      </c>
      <c r="B9065">
        <v>177945455.003676</v>
      </c>
    </row>
    <row r="9066" spans="1:2" x14ac:dyDescent="0.25">
      <c r="A9066">
        <f ca="1">33241.3467327106*((RANDBETWEEN(2979,3282)))</f>
        <v>103347346.99199741</v>
      </c>
      <c r="B9066">
        <v>161410631.83561933</v>
      </c>
    </row>
    <row r="9067" spans="1:2" x14ac:dyDescent="0.25">
      <c r="A9067">
        <f ca="1">28214.786552632*((RANDBETWEEN(2979,3282)))</f>
        <v>85462588.467922226</v>
      </c>
      <c r="B9067">
        <v>182102360.3072502</v>
      </c>
    </row>
    <row r="9068" spans="1:2" x14ac:dyDescent="0.25">
      <c r="A9068">
        <f ca="1">32313.7990227015*((RANDBETWEEN(2979,3282)))</f>
        <v>104373570.8433259</v>
      </c>
      <c r="B9068">
        <v>151673068.24740058</v>
      </c>
    </row>
    <row r="9069" spans="1:2" x14ac:dyDescent="0.25">
      <c r="A9069">
        <f ca="1">38282.9447138571*((RANDBETWEEN(2979,3282)))</f>
        <v>119366221.61780632</v>
      </c>
      <c r="B9069">
        <v>200542536.24725401</v>
      </c>
    </row>
    <row r="9070" spans="1:2" x14ac:dyDescent="0.25">
      <c r="A9070">
        <f ca="1">35571.4950885296*((RANDBETWEEN(2979,3282)))</f>
        <v>107212486.19682819</v>
      </c>
      <c r="B9070">
        <v>156175956.94445682</v>
      </c>
    </row>
    <row r="9071" spans="1:2" x14ac:dyDescent="0.25">
      <c r="A9071">
        <f ca="1">36714.6801164392*((RANDBETWEEN(2979,3282)))</f>
        <v>118808704.85679731</v>
      </c>
      <c r="B9071">
        <v>150679992.81815737</v>
      </c>
    </row>
    <row r="9072" spans="1:2" x14ac:dyDescent="0.25">
      <c r="A9072">
        <f ca="1">30851.5588951119*((RANDBETWEEN(2979,3282)))</f>
        <v>98848394.699938521</v>
      </c>
      <c r="B9072">
        <v>171706782.8825115</v>
      </c>
    </row>
    <row r="9073" spans="1:2" x14ac:dyDescent="0.25">
      <c r="A9073">
        <f ca="1">35325.9625514113*((RANDBETWEEN(2979,3282)))</f>
        <v>108238749.25752409</v>
      </c>
      <c r="B9073">
        <v>194404852.24424127</v>
      </c>
    </row>
    <row r="9074" spans="1:2" x14ac:dyDescent="0.25">
      <c r="A9074">
        <f ca="1">31623.0409477274*((RANDBETWEEN(2979,3282)))</f>
        <v>98663887.756909609</v>
      </c>
      <c r="B9074">
        <v>159570343.18264374</v>
      </c>
    </row>
    <row r="9075" spans="1:2" x14ac:dyDescent="0.25">
      <c r="A9075">
        <f ca="1">32847.7082714152*((RANDBETWEEN(2979,3282)))</f>
        <v>103831605.8459433</v>
      </c>
      <c r="B9075">
        <v>184891560.47820926</v>
      </c>
    </row>
    <row r="9076" spans="1:2" x14ac:dyDescent="0.25">
      <c r="A9076">
        <f ca="1">30821.3689319988*((RANDBETWEEN(2979,3282)))</f>
        <v>92309999.951336339</v>
      </c>
      <c r="B9076">
        <v>167367512.26799777</v>
      </c>
    </row>
    <row r="9077" spans="1:2" x14ac:dyDescent="0.25">
      <c r="A9077">
        <f ca="1">36949.570741676*((RANDBETWEEN(2979,3282)))</f>
        <v>119457962.20783867</v>
      </c>
      <c r="B9077">
        <v>196714027.34645677</v>
      </c>
    </row>
    <row r="9078" spans="1:2" x14ac:dyDescent="0.25">
      <c r="A9078">
        <f ca="1">30930.284959712*((RANDBETWEEN(2979,3282)))</f>
        <v>92357830.889700115</v>
      </c>
      <c r="B9078">
        <v>197615122.2572493</v>
      </c>
    </row>
    <row r="9079" spans="1:2" x14ac:dyDescent="0.25">
      <c r="A9079">
        <f ca="1">31338.9051032359*((RANDBETWEEN(2979,3282)))</f>
        <v>101820102.68041344</v>
      </c>
      <c r="B9079">
        <v>182840331.08689731</v>
      </c>
    </row>
    <row r="9080" spans="1:2" x14ac:dyDescent="0.25">
      <c r="A9080">
        <f ca="1">30828.4896197575*((RANDBETWEEN(2979,3282)))</f>
        <v>95568317.821248353</v>
      </c>
      <c r="B9080">
        <v>161534659.98634201</v>
      </c>
    </row>
    <row r="9081" spans="1:2" x14ac:dyDescent="0.25">
      <c r="A9081">
        <f ca="1">35862.6565576247*((RANDBETWEEN(2979,3282)))</f>
        <v>109058338.59173663</v>
      </c>
      <c r="B9081">
        <v>190244696.80760837</v>
      </c>
    </row>
    <row r="9082" spans="1:2" x14ac:dyDescent="0.25">
      <c r="A9082">
        <f ca="1">31221.622673779*((RANDBETWEEN(2979,3282)))</f>
        <v>101969819.65256228</v>
      </c>
      <c r="B9082">
        <v>155667466.29924932</v>
      </c>
    </row>
    <row r="9083" spans="1:2" x14ac:dyDescent="0.25">
      <c r="A9083">
        <f ca="1">31540.566889722*((RANDBETWEEN(2979,3282)))</f>
        <v>99100461.167506605</v>
      </c>
      <c r="B9083">
        <v>161997918.83591735</v>
      </c>
    </row>
    <row r="9084" spans="1:2" x14ac:dyDescent="0.25">
      <c r="A9084">
        <f ca="1">37274.0053078069*((RANDBETWEEN(2979,3282)))</f>
        <v>121550531.3087582</v>
      </c>
      <c r="B9084">
        <v>145818556.33082604</v>
      </c>
    </row>
    <row r="9085" spans="1:2" x14ac:dyDescent="0.25">
      <c r="A9085">
        <f ca="1">33207.7155708279*((RANDBETWEEN(2979,3282)))</f>
        <v>99623146.712483793</v>
      </c>
      <c r="B9085">
        <v>155387591.58470538</v>
      </c>
    </row>
    <row r="9086" spans="1:2" x14ac:dyDescent="0.25">
      <c r="A9086">
        <f ca="1">40954.4863120337*((RANDBETWEEN(2979,3282)))</f>
        <v>123559685.20340568</v>
      </c>
      <c r="B9086">
        <v>195309060.25311702</v>
      </c>
    </row>
    <row r="9087" spans="1:2" x14ac:dyDescent="0.25">
      <c r="A9087">
        <f ca="1">29916.2152282258*((RANDBETWEEN(2979,3282)))</f>
        <v>97496945.428787902</v>
      </c>
      <c r="B9087">
        <v>176823891.48776585</v>
      </c>
    </row>
    <row r="9088" spans="1:2" x14ac:dyDescent="0.25">
      <c r="A9088">
        <f ca="1">37118.4509127078*((RANDBETWEEN(2979,3282)))</f>
        <v>112840090.77463186</v>
      </c>
      <c r="B9088">
        <v>177522761.36529264</v>
      </c>
    </row>
    <row r="9089" spans="1:2" x14ac:dyDescent="0.25">
      <c r="A9089">
        <f ca="1">32512.1411859228*((RANDBETWEEN(2979,3282)))</f>
        <v>101697977.62956639</v>
      </c>
      <c r="B9089">
        <v>146684101.03387487</v>
      </c>
    </row>
    <row r="9090" spans="1:2" x14ac:dyDescent="0.25">
      <c r="A9090">
        <f ca="1">29262.4313055294*((RANDBETWEEN(2979,3282)))</f>
        <v>91181735.948029652</v>
      </c>
      <c r="B9090">
        <v>148203759.05687863</v>
      </c>
    </row>
    <row r="9091" spans="1:2" x14ac:dyDescent="0.25">
      <c r="A9091">
        <f ca="1">32226.7950558594*((RANDBETWEEN(2979,3282)))</f>
        <v>96519251.192298815</v>
      </c>
      <c r="B9091">
        <v>166302950.44530091</v>
      </c>
    </row>
    <row r="9092" spans="1:2" x14ac:dyDescent="0.25">
      <c r="A9092">
        <f ca="1">34557.5088772002*((RANDBETWEEN(2979,3282)))</f>
        <v>113037611.5373219</v>
      </c>
      <c r="B9092">
        <v>148419612.60965231</v>
      </c>
    </row>
    <row r="9093" spans="1:2" x14ac:dyDescent="0.25">
      <c r="A9093">
        <f ca="1">28881.6455356414*((RANDBETWEEN(2979,3282)))</f>
        <v>88117900.529241875</v>
      </c>
      <c r="B9093">
        <v>166168541.35372114</v>
      </c>
    </row>
    <row r="9094" spans="1:2" x14ac:dyDescent="0.25">
      <c r="A9094">
        <f ca="1">36083.5768265632*((RANDBETWEEN(2979,3282)))</f>
        <v>115756114.45961463</v>
      </c>
      <c r="B9094">
        <v>145418728.93817478</v>
      </c>
    </row>
    <row r="9095" spans="1:2" x14ac:dyDescent="0.25">
      <c r="A9095">
        <f ca="1">32719.5728659977*((RANDBETWEEN(2979,3282)))</f>
        <v>105193426.76418264</v>
      </c>
      <c r="B9095">
        <v>155584963.3866902</v>
      </c>
    </row>
    <row r="9096" spans="1:2" x14ac:dyDescent="0.25">
      <c r="A9096">
        <f ca="1">29611.243797297*((RANDBETWEEN(2979,3282)))</f>
        <v>92090968.209593594</v>
      </c>
      <c r="B9096">
        <v>153157778.70495367</v>
      </c>
    </row>
    <row r="9097" spans="1:2" x14ac:dyDescent="0.25">
      <c r="A9097">
        <f ca="1">28509.2654885808*((RANDBETWEEN(2979,3282)))</f>
        <v>85100157.483413741</v>
      </c>
      <c r="B9097">
        <v>144929674.8326835</v>
      </c>
    </row>
    <row r="9098" spans="1:2" x14ac:dyDescent="0.25">
      <c r="A9098">
        <f ca="1">38666.5009718016*((RANDBETWEEN(2979,3282)))</f>
        <v>126362125.17584765</v>
      </c>
      <c r="B9098">
        <v>162919750.40397632</v>
      </c>
    </row>
    <row r="9099" spans="1:2" x14ac:dyDescent="0.25">
      <c r="A9099">
        <f ca="1">34751.1140610738*((RANDBETWEEN(2979,3282)))</f>
        <v>111829085.0485356</v>
      </c>
      <c r="B9099">
        <v>158878407.12984595</v>
      </c>
    </row>
    <row r="9100" spans="1:2" x14ac:dyDescent="0.25">
      <c r="A9100">
        <f ca="1">35582.2399354394*((RANDBETWEEN(2979,3282)))</f>
        <v>107849769.24431694</v>
      </c>
      <c r="B9100">
        <v>170211739.48376107</v>
      </c>
    </row>
    <row r="9101" spans="1:2" x14ac:dyDescent="0.25">
      <c r="A9101">
        <f ca="1">39454.5892610904*((RANDBETWEEN(2979,3282)))</f>
        <v>124479229.11874019</v>
      </c>
      <c r="B9101">
        <v>196634320.27529305</v>
      </c>
    </row>
    <row r="9102" spans="1:2" x14ac:dyDescent="0.25">
      <c r="A9102">
        <f ca="1">31702.2121827897*((RANDBETWEEN(2979,3282)))</f>
        <v>101732398.89457208</v>
      </c>
      <c r="B9102">
        <v>173764848.63366163</v>
      </c>
    </row>
    <row r="9103" spans="1:2" x14ac:dyDescent="0.25">
      <c r="A9103">
        <f ca="1">30244.1277513721*((RANDBETWEEN(2979,3282)))</f>
        <v>97960729.786694139</v>
      </c>
      <c r="B9103">
        <v>179536779.25515592</v>
      </c>
    </row>
    <row r="9104" spans="1:2" x14ac:dyDescent="0.25">
      <c r="A9104">
        <f ca="1">37624.9337647869*((RANDBETWEEN(2979,3282)))</f>
        <v>114605548.24754098</v>
      </c>
      <c r="B9104">
        <v>148179910.14779761</v>
      </c>
    </row>
    <row r="9105" spans="1:2" x14ac:dyDescent="0.25">
      <c r="A9105">
        <f ca="1">36272.9132108414*((RANDBETWEEN(2979,3282)))</f>
        <v>110451020.72701219</v>
      </c>
      <c r="B9105">
        <v>170129767.28898263</v>
      </c>
    </row>
    <row r="9106" spans="1:2" x14ac:dyDescent="0.25">
      <c r="A9106">
        <f ca="1">31253.0326562871*((RANDBETWEEN(2979,3282)))</f>
        <v>94696688.948549777</v>
      </c>
      <c r="B9106">
        <v>155173424.00526163</v>
      </c>
    </row>
    <row r="9107" spans="1:2" x14ac:dyDescent="0.25">
      <c r="A9107">
        <f ca="1">32823.1181248487*((RANDBETWEEN(2979,3282)))</f>
        <v>97812892.012049034</v>
      </c>
      <c r="B9107">
        <v>197674213.36387223</v>
      </c>
    </row>
    <row r="9108" spans="1:2" x14ac:dyDescent="0.25">
      <c r="A9108">
        <f ca="1">31502.2326766604*((RANDBETWEEN(2979,3282)))</f>
        <v>96113311.896490902</v>
      </c>
      <c r="B9108">
        <v>181686959.18392634</v>
      </c>
    </row>
    <row r="9109" spans="1:2" x14ac:dyDescent="0.25">
      <c r="A9109">
        <f ca="1">31586.5694650025*((RANDBETWEEN(2979,3282)))</f>
        <v>96844421.97969754</v>
      </c>
      <c r="B9109">
        <v>170896686.5926615</v>
      </c>
    </row>
    <row r="9110" spans="1:2" x14ac:dyDescent="0.25">
      <c r="A9110">
        <f ca="1">34013.7696634517*((RANDBETWEEN(2979,3282)))</f>
        <v>107041333.13088244</v>
      </c>
      <c r="B9110">
        <v>177973371.59108734</v>
      </c>
    </row>
    <row r="9111" spans="1:2" x14ac:dyDescent="0.25">
      <c r="A9111">
        <f ca="1">27880.71318307*((RANDBETWEEN(2979,3282)))</f>
        <v>84255515.239237577</v>
      </c>
      <c r="B9111">
        <v>158753481.15010047</v>
      </c>
    </row>
    <row r="9112" spans="1:2" x14ac:dyDescent="0.25">
      <c r="A9112">
        <f ca="1">38348.1902805626*((RANDBETWEEN(2979,3282)))</f>
        <v>120374969.29068597</v>
      </c>
      <c r="B9112">
        <v>153505808.15111321</v>
      </c>
    </row>
    <row r="9113" spans="1:2" x14ac:dyDescent="0.25">
      <c r="A9113">
        <f ca="1">29007.8461414008*((RANDBETWEEN(2979,3282)))</f>
        <v>95116727.497653097</v>
      </c>
      <c r="B9113">
        <v>193189438.94648954</v>
      </c>
    </row>
    <row r="9114" spans="1:2" x14ac:dyDescent="0.25">
      <c r="A9114">
        <f ca="1">34075.5067579203*((RANDBETWEEN(2979,3282)))</f>
        <v>108189733.9563968</v>
      </c>
      <c r="B9114">
        <v>164399557.0680238</v>
      </c>
    </row>
    <row r="9115" spans="1:2" x14ac:dyDescent="0.25">
      <c r="A9115">
        <f ca="1">33475.9184979475*((RANDBETWEEN(2979,3282)))</f>
        <v>105181335.92055108</v>
      </c>
      <c r="B9115">
        <v>145782865.72493297</v>
      </c>
    </row>
    <row r="9116" spans="1:2" x14ac:dyDescent="0.25">
      <c r="A9116">
        <f ca="1">34052.9592610943*((RANDBETWEEN(2979,3282)))</f>
        <v>111489388.62082271</v>
      </c>
      <c r="B9116">
        <v>187777999.93658599</v>
      </c>
    </row>
    <row r="9117" spans="1:2" x14ac:dyDescent="0.25">
      <c r="A9117">
        <f ca="1">33889.2173537871*((RANDBETWEEN(2979,3282)))</f>
        <v>103158777.62492788</v>
      </c>
      <c r="B9117">
        <v>154156087.88856077</v>
      </c>
    </row>
    <row r="9118" spans="1:2" x14ac:dyDescent="0.25">
      <c r="A9118">
        <f ca="1">32410.8728016903*((RANDBETWEEN(2979,3282)))</f>
        <v>103390684.23739216</v>
      </c>
      <c r="B9118">
        <v>158525212.33948439</v>
      </c>
    </row>
    <row r="9119" spans="1:2" x14ac:dyDescent="0.25">
      <c r="A9119">
        <f ca="1">31465.1379930963*((RANDBETWEEN(2979,3282)))</f>
        <v>96723834.190777957</v>
      </c>
      <c r="B9119">
        <v>175701768.87501505</v>
      </c>
    </row>
    <row r="9120" spans="1:2" x14ac:dyDescent="0.25">
      <c r="A9120">
        <f ca="1">32188.7219727757*((RANDBETWEEN(2979,3282)))</f>
        <v>98529677.958666533</v>
      </c>
      <c r="B9120">
        <v>180293892.83337218</v>
      </c>
    </row>
    <row r="9121" spans="1:2" x14ac:dyDescent="0.25">
      <c r="A9121">
        <f ca="1">40615.0481547893*((RANDBETWEEN(2979,3282)))</f>
        <v>129440158.46931355</v>
      </c>
      <c r="B9121">
        <v>157734568.93968189</v>
      </c>
    </row>
    <row r="9122" spans="1:2" x14ac:dyDescent="0.25">
      <c r="A9122">
        <f ca="1">36015.052230656*((RANDBETWEEN(2979,3282)))</f>
        <v>117661175.63755314</v>
      </c>
      <c r="B9122">
        <v>162719014.15880638</v>
      </c>
    </row>
    <row r="9123" spans="1:2" x14ac:dyDescent="0.25">
      <c r="A9123">
        <f ca="1">39787.1232470341*((RANDBETWEEN(2979,3282)))</f>
        <v>122623913.84735906</v>
      </c>
      <c r="B9123">
        <v>146713412.41144323</v>
      </c>
    </row>
    <row r="9124" spans="1:2" x14ac:dyDescent="0.25">
      <c r="A9124">
        <f ca="1">33338.618971588*((RANDBETWEEN(2979,3282)))</f>
        <v>104449893.2379853</v>
      </c>
      <c r="B9124">
        <v>179427467.2244789</v>
      </c>
    </row>
    <row r="9125" spans="1:2" x14ac:dyDescent="0.25">
      <c r="A9125">
        <f ca="1">32118.5913845588*((RANDBETWEEN(2979,3282)))</f>
        <v>97672636.400443241</v>
      </c>
      <c r="B9125">
        <v>151244715.06130278</v>
      </c>
    </row>
    <row r="9126" spans="1:2" x14ac:dyDescent="0.25">
      <c r="A9126">
        <f ca="1">31917.5955366255*((RANDBETWEEN(2979,3282)))</f>
        <v>97061408.026878208</v>
      </c>
      <c r="B9126">
        <v>151852429.30919579</v>
      </c>
    </row>
    <row r="9127" spans="1:2" x14ac:dyDescent="0.25">
      <c r="A9127">
        <f ca="1">30626.8097383553*((RANDBETWEEN(2979,3282)))</f>
        <v>91696668.356635839</v>
      </c>
      <c r="B9127">
        <v>176015578.53278798</v>
      </c>
    </row>
    <row r="9128" spans="1:2" x14ac:dyDescent="0.25">
      <c r="A9128">
        <f ca="1">36792.3986566876*((RANDBETWEEN(2979,3282)))</f>
        <v>112363985.49752381</v>
      </c>
      <c r="B9128">
        <v>173994142.61987355</v>
      </c>
    </row>
    <row r="9129" spans="1:2" x14ac:dyDescent="0.25">
      <c r="A9129">
        <f ca="1">39994.1830756726*((RANDBETWEEN(2979,3282)))</f>
        <v>119422630.66395833</v>
      </c>
      <c r="B9129">
        <v>166942298.58811796</v>
      </c>
    </row>
    <row r="9130" spans="1:2" x14ac:dyDescent="0.25">
      <c r="A9130">
        <f ca="1">35759.8659650286*((RANDBETWEEN(2979,3282)))</f>
        <v>107100798.56526069</v>
      </c>
      <c r="B9130">
        <v>173564551.00998688</v>
      </c>
    </row>
    <row r="9131" spans="1:2" x14ac:dyDescent="0.25">
      <c r="A9131">
        <f ca="1">33284.0282418058*((RANDBETWEEN(2979,3282)))</f>
        <v>107673831.36224188</v>
      </c>
      <c r="B9131">
        <v>165829151.64101374</v>
      </c>
    </row>
    <row r="9132" spans="1:2" x14ac:dyDescent="0.25">
      <c r="A9132">
        <f ca="1">30153.2695907616*((RANDBETWEEN(2979,3282)))</f>
        <v>96309543.072892487</v>
      </c>
      <c r="B9132">
        <v>146328577.39523023</v>
      </c>
    </row>
    <row r="9133" spans="1:2" x14ac:dyDescent="0.25">
      <c r="A9133">
        <f ca="1">31046.8713505449*((RANDBETWEEN(2979,3282)))</f>
        <v>95344941.917523369</v>
      </c>
      <c r="B9133">
        <v>166990140.67379105</v>
      </c>
    </row>
    <row r="9134" spans="1:2" x14ac:dyDescent="0.25">
      <c r="A9134">
        <f ca="1">36585.2936656835*((RANDBETWEEN(2979,3282)))</f>
        <v>110524172.1640299</v>
      </c>
      <c r="B9134">
        <v>145134687.45044282</v>
      </c>
    </row>
    <row r="9135" spans="1:2" x14ac:dyDescent="0.25">
      <c r="A9135">
        <f ca="1">33032.7332925198*((RANDBETWEEN(2979,3282)))</f>
        <v>104515568.13753274</v>
      </c>
      <c r="B9135">
        <v>182261486.59922194</v>
      </c>
    </row>
    <row r="9136" spans="1:2" x14ac:dyDescent="0.25">
      <c r="A9136">
        <f ca="1">32883.4029824776*((RANDBETWEEN(2979,3282)))</f>
        <v>106476458.85726242</v>
      </c>
      <c r="B9136">
        <v>191279867.45477155</v>
      </c>
    </row>
    <row r="9137" spans="1:2" x14ac:dyDescent="0.25">
      <c r="A9137">
        <f ca="1">42085.617361787*((RANDBETWEEN(2979,3282)))</f>
        <v>132569694.68962896</v>
      </c>
      <c r="B9137">
        <v>144104451.36833364</v>
      </c>
    </row>
    <row r="9138" spans="1:2" x14ac:dyDescent="0.25">
      <c r="A9138">
        <f ca="1">28530.0443629216*((RANDBETWEEN(2979,3282)))</f>
        <v>89441689.077759117</v>
      </c>
      <c r="B9138">
        <v>151068591.58159745</v>
      </c>
    </row>
    <row r="9139" spans="1:2" x14ac:dyDescent="0.25">
      <c r="A9139">
        <f ca="1">36417.8600023532*((RANDBETWEEN(2979,3282)))</f>
        <v>111365815.88719621</v>
      </c>
      <c r="B9139">
        <v>194566678.21981478</v>
      </c>
    </row>
    <row r="9140" spans="1:2" x14ac:dyDescent="0.25">
      <c r="A9140">
        <f ca="1">31751.4634879788*((RANDBETWEEN(2979,3282)))</f>
        <v>102588978.52965952</v>
      </c>
      <c r="B9140">
        <v>164933530.88250872</v>
      </c>
    </row>
    <row r="9141" spans="1:2" x14ac:dyDescent="0.25">
      <c r="A9141">
        <f ca="1">30170.9790819532*((RANDBETWEEN(2979,3282)))</f>
        <v>95732516.627037361</v>
      </c>
      <c r="B9141">
        <v>195401521.53329146</v>
      </c>
    </row>
    <row r="9142" spans="1:2" x14ac:dyDescent="0.25">
      <c r="A9142">
        <f ca="1">30582.3879631637*((RANDBETWEEN(2979,3282)))</f>
        <v>94346666.866359979</v>
      </c>
      <c r="B9142">
        <v>196444889.26682478</v>
      </c>
    </row>
    <row r="9143" spans="1:2" x14ac:dyDescent="0.25">
      <c r="A9143">
        <f ca="1">32431.511113323*((RANDBETWEEN(2979,3282)))</f>
        <v>103521383.47372696</v>
      </c>
      <c r="B9143">
        <v>149868586.9489755</v>
      </c>
    </row>
    <row r="9144" spans="1:2" x14ac:dyDescent="0.25">
      <c r="A9144">
        <f ca="1">29957.1598923803*((RANDBETWEEN(2979,3282)))</f>
        <v>90770194.473912209</v>
      </c>
      <c r="B9144">
        <v>159716817.77126974</v>
      </c>
    </row>
    <row r="9145" spans="1:2" x14ac:dyDescent="0.25">
      <c r="A9145">
        <f ca="1">30097.5344010907*((RANDBETWEEN(2979,3282)))</f>
        <v>92038260.198535442</v>
      </c>
      <c r="B9145">
        <v>156130901.68782729</v>
      </c>
    </row>
    <row r="9146" spans="1:2" x14ac:dyDescent="0.25">
      <c r="A9146">
        <f ca="1">29875.3187281555*((RANDBETWEEN(2979,3282)))</f>
        <v>91747103.814165562</v>
      </c>
      <c r="B9146">
        <v>146244897.5994426</v>
      </c>
    </row>
    <row r="9147" spans="1:2" x14ac:dyDescent="0.25">
      <c r="A9147">
        <f ca="1">41554.5505480326*((RANDBETWEEN(2979,3282)))</f>
        <v>128403561.19342065</v>
      </c>
      <c r="B9147">
        <v>186784852.44278359</v>
      </c>
    </row>
    <row r="9148" spans="1:2" x14ac:dyDescent="0.25">
      <c r="A9148">
        <f ca="1">31759.2704173703*((RANDBETWEEN(2979,3282)))</f>
        <v>100295775.97805549</v>
      </c>
      <c r="B9148">
        <v>199852711.53253999</v>
      </c>
    </row>
    <row r="9149" spans="1:2" x14ac:dyDescent="0.25">
      <c r="A9149">
        <f ca="1">35957.8005209965*((RANDBETWEEN(2979,3282)))</f>
        <v>111181519.21092121</v>
      </c>
      <c r="B9149">
        <v>162609045.44867963</v>
      </c>
    </row>
    <row r="9150" spans="1:2" x14ac:dyDescent="0.25">
      <c r="A9150">
        <f ca="1">31191.2598287421*((RANDBETWEEN(2979,3282)))</f>
        <v>96880053.028072909</v>
      </c>
      <c r="B9150">
        <v>168907301.29952097</v>
      </c>
    </row>
    <row r="9151" spans="1:2" x14ac:dyDescent="0.25">
      <c r="A9151">
        <f ca="1">34818.4991544233*((RANDBETWEEN(2979,3282)))</f>
        <v>111628108.28908098</v>
      </c>
      <c r="B9151">
        <v>181211465.43049002</v>
      </c>
    </row>
    <row r="9152" spans="1:2" x14ac:dyDescent="0.25">
      <c r="A9152">
        <f ca="1">30098.3912113421*((RANDBETWEEN(2979,3282)))</f>
        <v>91890388.368227512</v>
      </c>
      <c r="B9152">
        <v>144616347.43163562</v>
      </c>
    </row>
    <row r="9153" spans="1:2" x14ac:dyDescent="0.25">
      <c r="A9153">
        <f ca="1">27749.4410018933*((RANDBETWEEN(2979,3282)))</f>
        <v>88298721.268024474</v>
      </c>
      <c r="B9153">
        <v>145278635.67030475</v>
      </c>
    </row>
    <row r="9154" spans="1:2" x14ac:dyDescent="0.25">
      <c r="A9154">
        <f ca="1">34485.6201281452*((RANDBETWEEN(2979,3282)))</f>
        <v>110802297.47173056</v>
      </c>
      <c r="B9154">
        <v>146948473.62069857</v>
      </c>
    </row>
    <row r="9155" spans="1:2" x14ac:dyDescent="0.25">
      <c r="A9155">
        <f ca="1">40176.3420322132*((RANDBETWEEN(2979,3282)))</f>
        <v>123019959.30263691</v>
      </c>
      <c r="B9155">
        <v>180273267.64070725</v>
      </c>
    </row>
    <row r="9156" spans="1:2" x14ac:dyDescent="0.25">
      <c r="A9156">
        <f ca="1">28757.3968847542*((RANDBETWEEN(2979,3282)))</f>
        <v>88745326.786351457</v>
      </c>
      <c r="B9156">
        <v>161062886.73178554</v>
      </c>
    </row>
    <row r="9157" spans="1:2" x14ac:dyDescent="0.25">
      <c r="A9157">
        <f ca="1">28880.8038602671*((RANDBETWEEN(2979,3282)))</f>
        <v>91956479.491090313</v>
      </c>
      <c r="B9157">
        <v>187095729.07566261</v>
      </c>
    </row>
    <row r="9158" spans="1:2" x14ac:dyDescent="0.25">
      <c r="A9158">
        <f ca="1">28295.6318948325*((RANDBETWEEN(2979,3282)))</f>
        <v>84519052.469864815</v>
      </c>
      <c r="B9158">
        <v>165699523.70188069</v>
      </c>
    </row>
    <row r="9159" spans="1:2" x14ac:dyDescent="0.25">
      <c r="A9159">
        <f ca="1">34275.8861956663*((RANDBETWEEN(2979,3282)))</f>
        <v>104541452.8967822</v>
      </c>
      <c r="B9159">
        <v>180945129.66073123</v>
      </c>
    </row>
    <row r="9160" spans="1:2" x14ac:dyDescent="0.25">
      <c r="A9160">
        <f ca="1">29128.4532548759*((RANDBETWEEN(2979,3282)))</f>
        <v>90152562.823840797</v>
      </c>
      <c r="B9160">
        <v>167587393.73028532</v>
      </c>
    </row>
    <row r="9161" spans="1:2" x14ac:dyDescent="0.25">
      <c r="A9161">
        <f ca="1">30559.7060789664*((RANDBETWEEN(2979,3282)))</f>
        <v>94062775.311058566</v>
      </c>
      <c r="B9161">
        <v>153443405.816625</v>
      </c>
    </row>
    <row r="9162" spans="1:2" x14ac:dyDescent="0.25">
      <c r="A9162">
        <f ca="1">31448.1241831037*((RANDBETWEEN(2979,3282)))</f>
        <v>99030143.052593589</v>
      </c>
      <c r="B9162">
        <v>148217726.88151377</v>
      </c>
    </row>
    <row r="9163" spans="1:2" x14ac:dyDescent="0.25">
      <c r="A9163">
        <f ca="1">32299.4476760387*((RANDBETWEEN(2979,3282)))</f>
        <v>103584328.69705608</v>
      </c>
      <c r="B9163">
        <v>146826624.86675656</v>
      </c>
    </row>
    <row r="9164" spans="1:2" x14ac:dyDescent="0.25">
      <c r="A9164">
        <f ca="1">27235.2233201403*((RANDBETWEEN(2979,3282)))</f>
        <v>86308422.701524571</v>
      </c>
      <c r="B9164">
        <v>193008035.28495491</v>
      </c>
    </row>
    <row r="9165" spans="1:2" x14ac:dyDescent="0.25">
      <c r="A9165">
        <f ca="1">30392.8862383341*((RANDBETWEEN(2979,3282)))</f>
        <v>97895486.573674068</v>
      </c>
      <c r="B9165">
        <v>158345960.9900679</v>
      </c>
    </row>
    <row r="9166" spans="1:2" x14ac:dyDescent="0.25">
      <c r="A9166">
        <f ca="1">30653.3130544006*((RANDBETWEEN(2979,3282)))</f>
        <v>98826281.287387475</v>
      </c>
      <c r="B9166">
        <v>150431259.01283601</v>
      </c>
    </row>
    <row r="9167" spans="1:2" x14ac:dyDescent="0.25">
      <c r="A9167">
        <f ca="1">31448.1321249677*((RANDBETWEEN(2979,3282)))</f>
        <v>94218603.846403331</v>
      </c>
      <c r="B9167">
        <v>148394530.16712683</v>
      </c>
    </row>
    <row r="9168" spans="1:2" x14ac:dyDescent="0.25">
      <c r="A9168">
        <f ca="1">35970.3446685538*((RANDBETWEEN(2979,3282)))</f>
        <v>107659241.59298144</v>
      </c>
      <c r="B9168">
        <v>190845455.12880781</v>
      </c>
    </row>
    <row r="9169" spans="1:2" x14ac:dyDescent="0.25">
      <c r="A9169">
        <f ca="1">31822.177078292*((RANDBETWEEN(2979,3282)))</f>
        <v>100621723.92155926</v>
      </c>
      <c r="B9169">
        <v>147835987.82663444</v>
      </c>
    </row>
    <row r="9170" spans="1:2" x14ac:dyDescent="0.25">
      <c r="A9170">
        <f ca="1">32220.8183071732*((RANDBETWEEN(2979,3282)))</f>
        <v>99207899.567786351</v>
      </c>
      <c r="B9170">
        <v>147344298.01785466</v>
      </c>
    </row>
    <row r="9171" spans="1:2" x14ac:dyDescent="0.25">
      <c r="A9171">
        <f ca="1">31272.3403240623*((RANDBETWEEN(2979,3282)))</f>
        <v>101635106.05320233</v>
      </c>
      <c r="B9171">
        <v>188188760.38689533</v>
      </c>
    </row>
    <row r="9172" spans="1:2" x14ac:dyDescent="0.25">
      <c r="A9172">
        <f ca="1">37759.0958423533*((RANDBETWEEN(2979,3282)))</f>
        <v>116977678.91961063</v>
      </c>
      <c r="B9172">
        <v>148821424.86119795</v>
      </c>
    </row>
    <row r="9173" spans="1:2" x14ac:dyDescent="0.25">
      <c r="A9173">
        <f ca="1">31026.1749607476*((RANDBETWEEN(2979,3282)))</f>
        <v>100835068.62242974</v>
      </c>
      <c r="B9173">
        <v>174042876.0816898</v>
      </c>
    </row>
    <row r="9174" spans="1:2" x14ac:dyDescent="0.25">
      <c r="A9174">
        <f ca="1">31592.9703382098*((RANDBETWEEN(2979,3282)))</f>
        <v>96548117.353569269</v>
      </c>
      <c r="B9174">
        <v>201094559.80212069</v>
      </c>
    </row>
    <row r="9175" spans="1:2" x14ac:dyDescent="0.25">
      <c r="A9175">
        <f ca="1">36383.0401846563*((RANDBETWEEN(2979,3282)))</f>
        <v>111877848.56781814</v>
      </c>
      <c r="B9175">
        <v>146560387.62476835</v>
      </c>
    </row>
    <row r="9176" spans="1:2" x14ac:dyDescent="0.25">
      <c r="A9176">
        <f ca="1">31371.3534437801*((RANDBETWEEN(2979,3282)))</f>
        <v>96968853.494724229</v>
      </c>
      <c r="B9176">
        <v>160910657.14551935</v>
      </c>
    </row>
    <row r="9177" spans="1:2" x14ac:dyDescent="0.25">
      <c r="A9177">
        <f ca="1">31362.7614357852*((RANDBETWEEN(2979,3282)))</f>
        <v>96785481.790833026</v>
      </c>
      <c r="B9177">
        <v>144167300.76639253</v>
      </c>
    </row>
    <row r="9178" spans="1:2" x14ac:dyDescent="0.25">
      <c r="A9178">
        <f ca="1">28922.7422989572*((RANDBETWEEN(2979,3282)))</f>
        <v>92234625.191374421</v>
      </c>
      <c r="B9178">
        <v>200694356.50075704</v>
      </c>
    </row>
    <row r="9179" spans="1:2" x14ac:dyDescent="0.25">
      <c r="A9179">
        <f ca="1">35492.0865184595*((RANDBETWEEN(2979,3282)))</f>
        <v>108428324.31389366</v>
      </c>
      <c r="B9179">
        <v>174129229.10288495</v>
      </c>
    </row>
    <row r="9180" spans="1:2" x14ac:dyDescent="0.25">
      <c r="A9180">
        <f ca="1">30523.2528286945*((RANDBETWEEN(2979,3282)))</f>
        <v>97521792.787679031</v>
      </c>
      <c r="B9180">
        <v>177094227.71292713</v>
      </c>
    </row>
    <row r="9181" spans="1:2" x14ac:dyDescent="0.25">
      <c r="A9181">
        <f ca="1">34664.1088733935*((RANDBETWEEN(2979,3282)))</f>
        <v>107146760.52765939</v>
      </c>
      <c r="B9181">
        <v>163705098.22653157</v>
      </c>
    </row>
    <row r="9182" spans="1:2" x14ac:dyDescent="0.25">
      <c r="A9182">
        <f ca="1">33525.3057405331*((RANDBETWEEN(2979,3282)))</f>
        <v>103291466.98658264</v>
      </c>
      <c r="B9182">
        <v>200802530.09399688</v>
      </c>
    </row>
    <row r="9183" spans="1:2" x14ac:dyDescent="0.25">
      <c r="A9183">
        <f ca="1">31489.2974953541*((RANDBETWEEN(2979,3282)))</f>
        <v>96357250.335783467</v>
      </c>
      <c r="B9183">
        <v>157493951.49986479</v>
      </c>
    </row>
    <row r="9184" spans="1:2" x14ac:dyDescent="0.25">
      <c r="A9184">
        <f ca="1">41373.0090758132*((RANDBETWEEN(2979,3282)))</f>
        <v>133758938.34210405</v>
      </c>
      <c r="B9184">
        <v>143936510.48209772</v>
      </c>
    </row>
    <row r="9185" spans="1:2" x14ac:dyDescent="0.25">
      <c r="A9185">
        <f ca="1">37985.4911346769*((RANDBETWEEN(2979,3282)))</f>
        <v>116881356.22140087</v>
      </c>
      <c r="B9185">
        <v>185313580.36223552</v>
      </c>
    </row>
    <row r="9186" spans="1:2" x14ac:dyDescent="0.25">
      <c r="A9186">
        <f ca="1">30429.3252396561*((RANDBETWEEN(2979,3282)))</f>
        <v>92444290.078075141</v>
      </c>
      <c r="B9186">
        <v>194734677.39164636</v>
      </c>
    </row>
    <row r="9187" spans="1:2" x14ac:dyDescent="0.25">
      <c r="A9187">
        <f ca="1">34550.0884991785*((RANDBETWEEN(2979,3282)))</f>
        <v>104133966.73652387</v>
      </c>
      <c r="B9187">
        <v>178894026.69673932</v>
      </c>
    </row>
    <row r="9188" spans="1:2" x14ac:dyDescent="0.25">
      <c r="A9188">
        <f ca="1">31864.7279626508*((RANDBETWEEN(2979,3282)))</f>
        <v>96677584.6386825</v>
      </c>
      <c r="B9188">
        <v>197415280.36984926</v>
      </c>
    </row>
    <row r="9189" spans="1:2" x14ac:dyDescent="0.25">
      <c r="A9189">
        <f ca="1">31222.8365514751*((RANDBETWEEN(2979,3282)))</f>
        <v>94886200.279932767</v>
      </c>
      <c r="B9189">
        <v>162220085.47505647</v>
      </c>
    </row>
    <row r="9190" spans="1:2" x14ac:dyDescent="0.25">
      <c r="A9190">
        <f ca="1">31069.7634739964*((RANDBETWEEN(2979,3282)))</f>
        <v>100262126.73058639</v>
      </c>
      <c r="B9190">
        <v>149651207.81181374</v>
      </c>
    </row>
    <row r="9191" spans="1:2" x14ac:dyDescent="0.25">
      <c r="A9191">
        <f ca="1">32123.4466794686*((RANDBETWEEN(2979,3282)))</f>
        <v>105172164.42858011</v>
      </c>
      <c r="B9191">
        <v>151164958.84922734</v>
      </c>
    </row>
    <row r="9192" spans="1:2" x14ac:dyDescent="0.25">
      <c r="A9192">
        <f ca="1">30690.2359386813*((RANDBETWEEN(2979,3282)))</f>
        <v>92807273.478572249</v>
      </c>
      <c r="B9192">
        <v>149772688.14899358</v>
      </c>
    </row>
    <row r="9193" spans="1:2" x14ac:dyDescent="0.25">
      <c r="A9193">
        <f ca="1">29752.47162248*((RANDBETWEEN(2979,3282)))</f>
        <v>94136820.213526607</v>
      </c>
      <c r="B9193">
        <v>156730526.5920482</v>
      </c>
    </row>
    <row r="9194" spans="1:2" x14ac:dyDescent="0.25">
      <c r="A9194">
        <f ca="1">31337.930248287*((RANDBETWEEN(2979,3282)))</f>
        <v>96364135.513482451</v>
      </c>
      <c r="B9194">
        <v>175386709.70367515</v>
      </c>
    </row>
    <row r="9195" spans="1:2" x14ac:dyDescent="0.25">
      <c r="A9195">
        <f ca="1">30578.8718337783*((RANDBETWEEN(2979,3282)))</f>
        <v>93020928.11835368</v>
      </c>
      <c r="B9195">
        <v>157787354.25391626</v>
      </c>
    </row>
    <row r="9196" spans="1:2" x14ac:dyDescent="0.25">
      <c r="A9196">
        <f ca="1">31193.3618226374*((RANDBETWEEN(2979,3282)))</f>
        <v>98446249.91224359</v>
      </c>
      <c r="B9196">
        <v>202958543.52016011</v>
      </c>
    </row>
    <row r="9197" spans="1:2" x14ac:dyDescent="0.25">
      <c r="A9197">
        <f ca="1">29457.5468318517*((RANDBETWEEN(2979,3282)))</f>
        <v>88961791.432191998</v>
      </c>
      <c r="B9197">
        <v>164169010.3152343</v>
      </c>
    </row>
    <row r="9198" spans="1:2" x14ac:dyDescent="0.25">
      <c r="A9198">
        <f ca="1">38005.5687346543*((RANDBETWEEN(2979,3282)))</f>
        <v>119223469.12061055</v>
      </c>
      <c r="B9198">
        <v>191101794.86503726</v>
      </c>
    </row>
    <row r="9199" spans="1:2" x14ac:dyDescent="0.25">
      <c r="A9199">
        <f ca="1">33493.9605931823*((RANDBETWEEN(2979,3282)))</f>
        <v>106745252.41047198</v>
      </c>
      <c r="B9199">
        <v>193772047.40381199</v>
      </c>
    </row>
    <row r="9200" spans="1:2" x14ac:dyDescent="0.25">
      <c r="A9200">
        <f ca="1">33483.6566135885*((RANDBETWEEN(2979,3282)))</f>
        <v>104837328.85714564</v>
      </c>
      <c r="B9200">
        <v>198813462.31432959</v>
      </c>
    </row>
    <row r="9201" spans="1:2" x14ac:dyDescent="0.25">
      <c r="A9201">
        <f ca="1">29788.1180865081*((RANDBETWEEN(2979,3282)))</f>
        <v>92998504.666078329</v>
      </c>
      <c r="B9201">
        <v>154093113.16664004</v>
      </c>
    </row>
    <row r="9202" spans="1:2" x14ac:dyDescent="0.25">
      <c r="A9202">
        <f ca="1">31482.7680869883*((RANDBETWEEN(2979,3282)))</f>
        <v>95140925.158878759</v>
      </c>
      <c r="B9202">
        <v>161751503.04398882</v>
      </c>
    </row>
    <row r="9203" spans="1:2" x14ac:dyDescent="0.25">
      <c r="A9203">
        <f ca="1">32470.0324276429*((RANDBETWEEN(2979,3282)))</f>
        <v>104456094.31972726</v>
      </c>
      <c r="B9203">
        <v>160370162.71187931</v>
      </c>
    </row>
    <row r="9204" spans="1:2" x14ac:dyDescent="0.25">
      <c r="A9204">
        <f ca="1">29710.567602379*((RANDBETWEEN(2979,3282)))</f>
        <v>93558577.379891321</v>
      </c>
      <c r="B9204">
        <v>144340633.82130629</v>
      </c>
    </row>
    <row r="9205" spans="1:2" x14ac:dyDescent="0.25">
      <c r="A9205">
        <f ca="1">31933.3426213861*((RANDBETWEEN(2979,3282)))</f>
        <v>102186696.38843545</v>
      </c>
      <c r="B9205">
        <v>149945912.14822376</v>
      </c>
    </row>
    <row r="9206" spans="1:2" x14ac:dyDescent="0.25">
      <c r="A9206">
        <f ca="1">38246.4010852663*((RANDBETWEEN(2979,3282)))</f>
        <v>118602089.76541077</v>
      </c>
      <c r="B9206">
        <v>143314157.92414397</v>
      </c>
    </row>
    <row r="9207" spans="1:2" x14ac:dyDescent="0.25">
      <c r="A9207">
        <f ca="1">32494.9874148722*((RANDBETWEEN(2979,3282)))</f>
        <v>97322487.30754225</v>
      </c>
      <c r="B9207">
        <v>175783270.64424258</v>
      </c>
    </row>
    <row r="9208" spans="1:2" x14ac:dyDescent="0.25">
      <c r="A9208">
        <f ca="1">37071.2375225062*((RANDBETWEEN(2979,3282)))</f>
        <v>111139570.09247369</v>
      </c>
      <c r="B9208">
        <v>167315966.79801551</v>
      </c>
    </row>
    <row r="9209" spans="1:2" x14ac:dyDescent="0.25">
      <c r="A9209">
        <f ca="1">32857.7168545229*((RANDBETWEEN(2979,3282)))</f>
        <v>100446040.42427637</v>
      </c>
      <c r="B9209">
        <v>152021216.21284333</v>
      </c>
    </row>
    <row r="9210" spans="1:2" x14ac:dyDescent="0.25">
      <c r="A9210">
        <f ca="1">31668.0209821267*((RANDBETWEEN(2979,3282)))</f>
        <v>95035730.967362285</v>
      </c>
      <c r="B9210">
        <v>150702331.86604044</v>
      </c>
    </row>
    <row r="9211" spans="1:2" x14ac:dyDescent="0.25">
      <c r="A9211">
        <f ca="1">32712.5556480771*((RANDBETWEEN(2979,3282)))</f>
        <v>102651999.62366584</v>
      </c>
      <c r="B9211">
        <v>154890753.95345572</v>
      </c>
    </row>
    <row r="9212" spans="1:2" x14ac:dyDescent="0.25">
      <c r="A9212">
        <f ca="1">29951.1082235781*((RANDBETWEEN(2979,3282)))</f>
        <v>91830097.81349048</v>
      </c>
      <c r="B9212">
        <v>150454067.34388906</v>
      </c>
    </row>
    <row r="9213" spans="1:2" x14ac:dyDescent="0.25">
      <c r="A9213">
        <f ca="1">33260.0352122276*((RANDBETWEEN(2979,3282)))</f>
        <v>104602810.7424559</v>
      </c>
      <c r="B9213">
        <v>193368928.58553252</v>
      </c>
    </row>
    <row r="9214" spans="1:2" x14ac:dyDescent="0.25">
      <c r="A9214">
        <f ca="1">35290.9291722122*((RANDBETWEEN(2979,3282)))</f>
        <v>114519065.16382848</v>
      </c>
      <c r="B9214">
        <v>190166077.66403279</v>
      </c>
    </row>
    <row r="9215" spans="1:2" x14ac:dyDescent="0.25">
      <c r="A9215">
        <f ca="1">29079.1585797598*((RANDBETWEEN(2979,3282)))</f>
        <v>92384486.807896748</v>
      </c>
      <c r="B9215">
        <v>147016169.29062515</v>
      </c>
    </row>
    <row r="9216" spans="1:2" x14ac:dyDescent="0.25">
      <c r="A9216">
        <f ca="1">32380.4362117344*((RANDBETWEEN(2979,3282)))</f>
        <v>98047960.849131778</v>
      </c>
      <c r="B9216">
        <v>168693656.20111412</v>
      </c>
    </row>
    <row r="9217" spans="1:2" x14ac:dyDescent="0.25">
      <c r="A9217">
        <f ca="1">33533.2742730617*((RANDBETWEEN(2979,3282)))</f>
        <v>100767489.19055055</v>
      </c>
      <c r="B9217">
        <v>199078032.43619305</v>
      </c>
    </row>
    <row r="9218" spans="1:2" x14ac:dyDescent="0.25">
      <c r="A9218">
        <f ca="1">31147.0904184536*((RANDBETWEEN(2979,3282)))</f>
        <v>98892012.07859008</v>
      </c>
      <c r="B9218">
        <v>175944251.78920326</v>
      </c>
    </row>
    <row r="9219" spans="1:2" x14ac:dyDescent="0.25">
      <c r="A9219">
        <f ca="1">31585.5770579172*((RANDBETWEEN(2979,3282)))</f>
        <v>94946244.636099115</v>
      </c>
      <c r="B9219">
        <v>147702881.43055022</v>
      </c>
    </row>
    <row r="9220" spans="1:2" x14ac:dyDescent="0.25">
      <c r="A9220">
        <f ca="1">32113.3439174375*((RANDBETWEEN(2979,3282)))</f>
        <v>99390799.42446892</v>
      </c>
      <c r="B9220">
        <v>166580527.42732826</v>
      </c>
    </row>
    <row r="9221" spans="1:2" x14ac:dyDescent="0.25">
      <c r="A9221">
        <f ca="1">32694.1712338325*((RANDBETWEEN(2979,3282)))</f>
        <v>100567270.71526866</v>
      </c>
      <c r="B9221">
        <v>199016651.52572697</v>
      </c>
    </row>
    <row r="9222" spans="1:2" x14ac:dyDescent="0.25">
      <c r="A9222">
        <f ca="1">29561.9919422296*((RANDBETWEEN(2979,3282)))</f>
        <v>95189614.053979397</v>
      </c>
      <c r="B9222">
        <v>155559523.04506135</v>
      </c>
    </row>
    <row r="9223" spans="1:2" x14ac:dyDescent="0.25">
      <c r="A9223">
        <f ca="1">31646.9338561523*((RANDBETWEEN(2979,3282)))</f>
        <v>96269972.790415406</v>
      </c>
      <c r="B9223">
        <v>165926750.0030995</v>
      </c>
    </row>
    <row r="9224" spans="1:2" x14ac:dyDescent="0.25">
      <c r="A9224">
        <f ca="1">31022.9794816514*((RANDBETWEEN(2979,3282)))</f>
        <v>96667604.064825803</v>
      </c>
      <c r="B9224">
        <v>180533875.25025466</v>
      </c>
    </row>
    <row r="9225" spans="1:2" x14ac:dyDescent="0.25">
      <c r="A9225">
        <f ca="1">30806.5229458055*((RANDBETWEEN(2979,3282)))</f>
        <v>99474262.592005953</v>
      </c>
      <c r="B9225">
        <v>164932323.60068965</v>
      </c>
    </row>
    <row r="9226" spans="1:2" x14ac:dyDescent="0.25">
      <c r="A9226">
        <f ca="1">26264.7277032899*((RANDBETWEEN(2979,3282)))</f>
        <v>82865215.903879702</v>
      </c>
      <c r="B9226">
        <v>144781958.26337326</v>
      </c>
    </row>
    <row r="9227" spans="1:2" x14ac:dyDescent="0.25">
      <c r="A9227">
        <f ca="1">30927.3758671194*((RANDBETWEEN(2979,3282)))</f>
        <v>93957367.88430889</v>
      </c>
      <c r="B9227">
        <v>163333098.4373053</v>
      </c>
    </row>
    <row r="9228" spans="1:2" x14ac:dyDescent="0.25">
      <c r="A9228">
        <f ca="1">37421.6658958678*((RANDBETWEEN(2979,3282)))</f>
        <v>115258730.95927285</v>
      </c>
      <c r="B9228">
        <v>174204622.48008382</v>
      </c>
    </row>
    <row r="9229" spans="1:2" x14ac:dyDescent="0.25">
      <c r="A9229">
        <f ca="1">35294.5184748681*((RANDBETWEEN(2979,3282)))</f>
        <v>110471842.82633704</v>
      </c>
      <c r="B9229">
        <v>172053650.42781508</v>
      </c>
    </row>
    <row r="9230" spans="1:2" x14ac:dyDescent="0.25">
      <c r="A9230">
        <f ca="1">38895.7159466891*((RANDBETWEEN(2979,3282)))</f>
        <v>121276842.32177673</v>
      </c>
      <c r="B9230">
        <v>144206221.61362076</v>
      </c>
    </row>
    <row r="9231" spans="1:2" x14ac:dyDescent="0.25">
      <c r="A9231">
        <f ca="1">33837.7217408466*((RANDBETWEEN(2979,3282)))</f>
        <v>110649350.09256849</v>
      </c>
      <c r="B9231">
        <v>143258749.81087261</v>
      </c>
    </row>
    <row r="9232" spans="1:2" x14ac:dyDescent="0.25">
      <c r="A9232">
        <f ca="1">30708.863327151*((RANDBETWEEN(2979,3282)))</f>
        <v>93907704.054427639</v>
      </c>
      <c r="B9232">
        <v>143422879.96177697</v>
      </c>
    </row>
    <row r="9233" spans="1:2" x14ac:dyDescent="0.25">
      <c r="A9233">
        <f ca="1">31832.1347943877*((RANDBETWEEN(2979,3282)))</f>
        <v>103772759.42970385</v>
      </c>
      <c r="B9233">
        <v>148575879.50051966</v>
      </c>
    </row>
    <row r="9234" spans="1:2" x14ac:dyDescent="0.25">
      <c r="A9234">
        <f ca="1">32661.1704622896*((RANDBETWEEN(2979,3282)))</f>
        <v>104287117.28609061</v>
      </c>
      <c r="B9234">
        <v>167948608.38824829</v>
      </c>
    </row>
    <row r="9235" spans="1:2" x14ac:dyDescent="0.25">
      <c r="A9235">
        <f ca="1">32206.7044269627*((RANDBETWEEN(2979,3282)))</f>
        <v>97811761.344685778</v>
      </c>
      <c r="B9235">
        <v>172334036.45978945</v>
      </c>
    </row>
    <row r="9236" spans="1:2" x14ac:dyDescent="0.25">
      <c r="A9236">
        <f ca="1">30546.9248808735*((RANDBETWEEN(2979,3282)))</f>
        <v>91701868.492382303</v>
      </c>
      <c r="B9236">
        <v>186570973.42158315</v>
      </c>
    </row>
    <row r="9237" spans="1:2" x14ac:dyDescent="0.25">
      <c r="A9237">
        <f ca="1">31623.9582156345*((RANDBETWEEN(2979,3282)))</f>
        <v>94460763.190100208</v>
      </c>
      <c r="B9237">
        <v>154926903.19860756</v>
      </c>
    </row>
    <row r="9238" spans="1:2" x14ac:dyDescent="0.25">
      <c r="A9238">
        <f ca="1">39069.8321377019*((RANDBETWEEN(2979,3282)))</f>
        <v>118576940.53792518</v>
      </c>
      <c r="B9238">
        <v>165848250.28018963</v>
      </c>
    </row>
    <row r="9239" spans="1:2" x14ac:dyDescent="0.25">
      <c r="A9239">
        <f ca="1">28404.1044289591*((RANDBETWEEN(2979,3282)))</f>
        <v>86604114.403896242</v>
      </c>
      <c r="B9239">
        <v>144354270.32082888</v>
      </c>
    </row>
    <row r="9240" spans="1:2" x14ac:dyDescent="0.25">
      <c r="A9240">
        <f ca="1">33173.2008534411*((RANDBETWEEN(2979,3282)))</f>
        <v>101145089.40214182</v>
      </c>
      <c r="B9240">
        <v>201010606.56392947</v>
      </c>
    </row>
    <row r="9241" spans="1:2" x14ac:dyDescent="0.25">
      <c r="A9241">
        <f ca="1">30636.105813206*((RANDBETWEEN(2979,3282)))</f>
        <v>98586988.506897062</v>
      </c>
      <c r="B9241">
        <v>186932125.98853689</v>
      </c>
    </row>
    <row r="9242" spans="1:2" x14ac:dyDescent="0.25">
      <c r="A9242">
        <f ca="1">29417.5385307712*((RANDBETWEEN(2979,3282)))</f>
        <v>93930200.528752565</v>
      </c>
      <c r="B9242">
        <v>195541996.99564809</v>
      </c>
    </row>
    <row r="9243" spans="1:2" x14ac:dyDescent="0.25">
      <c r="A9243">
        <f ca="1">38133.3822891407*((RANDBETWEEN(2979,3282)))</f>
        <v>121759889.6492262</v>
      </c>
      <c r="B9243">
        <v>175997516.93240809</v>
      </c>
    </row>
    <row r="9244" spans="1:2" x14ac:dyDescent="0.25">
      <c r="A9244">
        <f ca="1">41419.4024012155*((RANDBETWEEN(2979,3282)))</f>
        <v>123719754.97243083</v>
      </c>
      <c r="B9244">
        <v>148806595.98310244</v>
      </c>
    </row>
    <row r="9245" spans="1:2" x14ac:dyDescent="0.25">
      <c r="A9245">
        <f ca="1">33587.7196521055*((RANDBETWEEN(2979,3282)))</f>
        <v>105532615.14691557</v>
      </c>
      <c r="B9245">
        <v>150887251.96515122</v>
      </c>
    </row>
    <row r="9246" spans="1:2" x14ac:dyDescent="0.25">
      <c r="A9246">
        <f ca="1">31114.3086116459*((RANDBETWEEN(2979,3282)))</f>
        <v>95178670.043024942</v>
      </c>
      <c r="B9246">
        <v>145129788.89522067</v>
      </c>
    </row>
    <row r="9247" spans="1:2" x14ac:dyDescent="0.25">
      <c r="A9247">
        <f ca="1">29104.6141168498*((RANDBETWEEN(2979,3282)))</f>
        <v>87197423.894082054</v>
      </c>
      <c r="B9247">
        <v>165050686.62270069</v>
      </c>
    </row>
    <row r="9248" spans="1:2" x14ac:dyDescent="0.25">
      <c r="A9248">
        <f ca="1">38221.5721034036*((RANDBETWEEN(2979,3282)))</f>
        <v>118563316.66475812</v>
      </c>
      <c r="B9248">
        <v>190954285.73434642</v>
      </c>
    </row>
    <row r="9249" spans="1:2" x14ac:dyDescent="0.25">
      <c r="A9249">
        <f ca="1">27910.5542180409*((RANDBETWEEN(2979,3282)))</f>
        <v>90876764.53394106</v>
      </c>
      <c r="B9249">
        <v>163810999.9487575</v>
      </c>
    </row>
    <row r="9250" spans="1:2" x14ac:dyDescent="0.25">
      <c r="A9250">
        <f ca="1">29790.8935765667*((RANDBETWEEN(2979,3282)))</f>
        <v>95420232.12574321</v>
      </c>
      <c r="B9250">
        <v>157777121.13840565</v>
      </c>
    </row>
    <row r="9251" spans="1:2" x14ac:dyDescent="0.25">
      <c r="A9251">
        <f ca="1">32550.0342650641*((RANDBETWEEN(2979,3282)))</f>
        <v>98301103.48049359</v>
      </c>
      <c r="B9251">
        <v>153009850.03103864</v>
      </c>
    </row>
    <row r="9252" spans="1:2" x14ac:dyDescent="0.25">
      <c r="A9252">
        <f ca="1">39097.5037840826*((RANDBETWEEN(2979,3282)))</f>
        <v>126089449.70366628</v>
      </c>
      <c r="B9252">
        <v>169837885.29433978</v>
      </c>
    </row>
    <row r="9253" spans="1:2" x14ac:dyDescent="0.25">
      <c r="A9253">
        <f ca="1">35075.8409731387*((RANDBETWEEN(2979,3282)))</f>
        <v>105087219.55552365</v>
      </c>
      <c r="B9253">
        <v>157955505.96317762</v>
      </c>
    </row>
    <row r="9254" spans="1:2" x14ac:dyDescent="0.25">
      <c r="A9254">
        <f ca="1">40484.0471635822*((RANDBETWEEN(2979,3282)))</f>
        <v>120844880.78329283</v>
      </c>
      <c r="B9254">
        <v>182337763.60170913</v>
      </c>
    </row>
    <row r="9255" spans="1:2" x14ac:dyDescent="0.25">
      <c r="A9255">
        <f ca="1">30820.9497152828*((RANDBETWEEN(2979,3282)))</f>
        <v>99767414.228370458</v>
      </c>
      <c r="B9255">
        <v>179959564.90194917</v>
      </c>
    </row>
    <row r="9256" spans="1:2" x14ac:dyDescent="0.25">
      <c r="A9256">
        <f ca="1">30679.7023669847*((RANDBETWEEN(2979,3282)))</f>
        <v>92376583.826990917</v>
      </c>
      <c r="B9256">
        <v>173234599.67407292</v>
      </c>
    </row>
    <row r="9257" spans="1:2" x14ac:dyDescent="0.25">
      <c r="A9257">
        <f ca="1">30351.3302826404*((RANDBETWEEN(2979,3282)))</f>
        <v>98247256.124907076</v>
      </c>
      <c r="B9257">
        <v>147559993.33373958</v>
      </c>
    </row>
    <row r="9258" spans="1:2" x14ac:dyDescent="0.25">
      <c r="A9258">
        <f ca="1">35698.0262285213*((RANDBETWEEN(2979,3282)))</f>
        <v>110128410.91498834</v>
      </c>
      <c r="B9258">
        <v>181130419.33746019</v>
      </c>
    </row>
    <row r="9259" spans="1:2" x14ac:dyDescent="0.25">
      <c r="A9259">
        <f ca="1">31546.0555234478*((RANDBETWEEN(2979,3282)))</f>
        <v>96846390.456984609</v>
      </c>
      <c r="B9259">
        <v>166499194.17184743</v>
      </c>
    </row>
    <row r="9260" spans="1:2" x14ac:dyDescent="0.25">
      <c r="A9260">
        <f ca="1">40682.8568342526*((RANDBETWEEN(2979,3282)))</f>
        <v>129005339.02141514</v>
      </c>
      <c r="B9260">
        <v>184045913.14584553</v>
      </c>
    </row>
    <row r="9261" spans="1:2" x14ac:dyDescent="0.25">
      <c r="A9261">
        <f ca="1">31398.909559929*((RANDBETWEEN(2979,3282)))</f>
        <v>101135887.69253129</v>
      </c>
      <c r="B9261">
        <v>144140253.49685523</v>
      </c>
    </row>
    <row r="9262" spans="1:2" x14ac:dyDescent="0.25">
      <c r="A9262">
        <f ca="1">32229.767718644*((RANDBETWEEN(2979,3282)))</f>
        <v>102071674.3649455</v>
      </c>
      <c r="B9262">
        <v>190060591.60187739</v>
      </c>
    </row>
    <row r="9263" spans="1:2" x14ac:dyDescent="0.25">
      <c r="A9263">
        <f ca="1">37523.8074879749*((RANDBETWEEN(2979,3282)))</f>
        <v>116248755.59774622</v>
      </c>
      <c r="B9263">
        <v>159690658.46882182</v>
      </c>
    </row>
    <row r="9264" spans="1:2" x14ac:dyDescent="0.25">
      <c r="A9264">
        <f ca="1">41223.4128443823*((RANDBETWEEN(2979,3282)))</f>
        <v>126638324.25794241</v>
      </c>
      <c r="B9264">
        <v>179340164.31440818</v>
      </c>
    </row>
    <row r="9265" spans="1:2" x14ac:dyDescent="0.25">
      <c r="A9265">
        <f ca="1">30225.5001956995*((RANDBETWEEN(2979,3282)))</f>
        <v>97900395.133870676</v>
      </c>
      <c r="B9265">
        <v>147333985.52264184</v>
      </c>
    </row>
    <row r="9266" spans="1:2" x14ac:dyDescent="0.25">
      <c r="A9266">
        <f ca="1">38173.230980228*((RANDBETWEEN(2979,3282)))</f>
        <v>124101173.91672127</v>
      </c>
      <c r="B9266">
        <v>203638577.35420239</v>
      </c>
    </row>
    <row r="9267" spans="1:2" x14ac:dyDescent="0.25">
      <c r="A9267">
        <f ca="1">31494.2828145547*((RANDBETWEEN(2979,3282)))</f>
        <v>96246528.281279266</v>
      </c>
      <c r="B9267">
        <v>181496802.73103678</v>
      </c>
    </row>
    <row r="9268" spans="1:2" x14ac:dyDescent="0.25">
      <c r="A9268">
        <f ca="1">37358.0678262914*((RANDBETWEEN(2979,3282)))</f>
        <v>111625906.66495875</v>
      </c>
      <c r="B9268">
        <v>156938904.25088999</v>
      </c>
    </row>
    <row r="9269" spans="1:2" x14ac:dyDescent="0.25">
      <c r="A9269">
        <f ca="1">31826.5498950991*((RANDBETWEEN(2979,3282)))</f>
        <v>99871713.570820823</v>
      </c>
      <c r="B9269">
        <v>185866716.58484697</v>
      </c>
    </row>
    <row r="9270" spans="1:2" x14ac:dyDescent="0.25">
      <c r="A9270">
        <f ca="1">32165.1486949392*((RANDBETWEEN(2979,3282)))</f>
        <v>101159392.64558364</v>
      </c>
      <c r="B9270">
        <v>168306089.61689579</v>
      </c>
    </row>
    <row r="9271" spans="1:2" x14ac:dyDescent="0.25">
      <c r="A9271">
        <f ca="1">32602.9097773574*((RANDBETWEEN(2979,3282)))</f>
        <v>100840799.94136655</v>
      </c>
      <c r="B9271">
        <v>181706595.58744797</v>
      </c>
    </row>
    <row r="9272" spans="1:2" x14ac:dyDescent="0.25">
      <c r="A9272">
        <f ca="1">29056.629889746*((RANDBETWEEN(2979,3282)))</f>
        <v>94986123.109579623</v>
      </c>
      <c r="B9272">
        <v>164327611.66362014</v>
      </c>
    </row>
    <row r="9273" spans="1:2" x14ac:dyDescent="0.25">
      <c r="A9273">
        <f ca="1">27395.2674893799*((RANDBETWEEN(2979,3282)))</f>
        <v>85254072.426950321</v>
      </c>
      <c r="B9273">
        <v>186969269.96271834</v>
      </c>
    </row>
    <row r="9274" spans="1:2" x14ac:dyDescent="0.25">
      <c r="A9274">
        <f ca="1">34107.5355684497*((RANDBETWEEN(2979,3282)))</f>
        <v>103379940.30797097</v>
      </c>
      <c r="B9274">
        <v>171417408.89170259</v>
      </c>
    </row>
    <row r="9275" spans="1:2" x14ac:dyDescent="0.25">
      <c r="A9275">
        <f ca="1">27324.8583296252*((RANDBETWEEN(2979,3282)))</f>
        <v>84187888.513575152</v>
      </c>
      <c r="B9275">
        <v>166115597.39328253</v>
      </c>
    </row>
    <row r="9276" spans="1:2" x14ac:dyDescent="0.25">
      <c r="A9276">
        <f ca="1">32473.6591282844*((RANDBETWEEN(2979,3282)))</f>
        <v>105247129.23476972</v>
      </c>
      <c r="B9276">
        <v>146956865.08437836</v>
      </c>
    </row>
    <row r="9277" spans="1:2" x14ac:dyDescent="0.25">
      <c r="A9277">
        <f ca="1">36650.4430836982*((RANDBETWEEN(2979,3282)))</f>
        <v>112187006.27920014</v>
      </c>
      <c r="B9277">
        <v>178545742.16658527</v>
      </c>
    </row>
    <row r="9278" spans="1:2" x14ac:dyDescent="0.25">
      <c r="A9278">
        <f ca="1">29652.4536006138*((RANDBETWEEN(2979,3282)))</f>
        <v>90291721.213868946</v>
      </c>
      <c r="B9278">
        <v>161758131.30984291</v>
      </c>
    </row>
    <row r="9279" spans="1:2" x14ac:dyDescent="0.25">
      <c r="A9279">
        <f ca="1">37986.8733507125*((RANDBETWEEN(2979,3282)))</f>
        <v>121216112.86212373</v>
      </c>
      <c r="B9279">
        <v>195266390.43099809</v>
      </c>
    </row>
    <row r="9280" spans="1:2" x14ac:dyDescent="0.25">
      <c r="A9280">
        <f ca="1">31919.780269434*((RANDBETWEEN(2979,3282)))</f>
        <v>97610688.063929275</v>
      </c>
      <c r="B9280">
        <v>158642602.00084448</v>
      </c>
    </row>
    <row r="9281" spans="1:2" x14ac:dyDescent="0.25">
      <c r="A9281">
        <f ca="1">30450.1713290815*((RANDBETWEEN(2979,3282)))</f>
        <v>95339486.431354269</v>
      </c>
      <c r="B9281">
        <v>143914801.36538631</v>
      </c>
    </row>
    <row r="9282" spans="1:2" x14ac:dyDescent="0.25">
      <c r="A9282">
        <f ca="1">28083.642173437*((RANDBETWEEN(2979,3282)))</f>
        <v>91777342.622792199</v>
      </c>
      <c r="B9282">
        <v>201246754.59947687</v>
      </c>
    </row>
    <row r="9283" spans="1:2" x14ac:dyDescent="0.25">
      <c r="A9283">
        <f ca="1">34086.8693261899*((RANDBETWEEN(2979,3282)))</f>
        <v>106282858.55906023</v>
      </c>
      <c r="B9283">
        <v>185944613.69094473</v>
      </c>
    </row>
    <row r="9284" spans="1:2" x14ac:dyDescent="0.25">
      <c r="A9284">
        <f ca="1">39186.3595527409*((RANDBETWEEN(2979,3282)))</f>
        <v>125317977.84966527</v>
      </c>
      <c r="B9284">
        <v>176992570.09730172</v>
      </c>
    </row>
    <row r="9285" spans="1:2" x14ac:dyDescent="0.25">
      <c r="A9285">
        <f ca="1">29649.1030847437*((RANDBETWEEN(2979,3282)))</f>
        <v>93394674.716942579</v>
      </c>
      <c r="B9285">
        <v>177534932.18722266</v>
      </c>
    </row>
    <row r="9286" spans="1:2" x14ac:dyDescent="0.25">
      <c r="A9286">
        <f ca="1">30609.5868294898*((RANDBETWEEN(2979,3282)))</f>
        <v>99113842.153887942</v>
      </c>
      <c r="B9286">
        <v>151354956.68106613</v>
      </c>
    </row>
    <row r="9287" spans="1:2" x14ac:dyDescent="0.25">
      <c r="A9287">
        <f ca="1">33324.1568616214*((RANDBETWEEN(2979,3282)))</f>
        <v>99672553.173109621</v>
      </c>
      <c r="B9287">
        <v>152446630.60455066</v>
      </c>
    </row>
    <row r="9288" spans="1:2" x14ac:dyDescent="0.25">
      <c r="A9288">
        <f ca="1">33003.9887208864*((RANDBETWEEN(2979,3282)))</f>
        <v>101289241.3844005</v>
      </c>
      <c r="B9288">
        <v>147125007.51606867</v>
      </c>
    </row>
    <row r="9289" spans="1:2" x14ac:dyDescent="0.25">
      <c r="A9289">
        <f ca="1">34258.4531689874*((RANDBETWEEN(2979,3282)))</f>
        <v>109078914.890056</v>
      </c>
      <c r="B9289">
        <v>154729292.81713641</v>
      </c>
    </row>
    <row r="9290" spans="1:2" x14ac:dyDescent="0.25">
      <c r="A9290">
        <f ca="1">30308.6416365082*((RANDBETWEEN(2979,3282)))</f>
        <v>93987097.714811802</v>
      </c>
      <c r="B9290">
        <v>190911599.26590848</v>
      </c>
    </row>
    <row r="9291" spans="1:2" x14ac:dyDescent="0.25">
      <c r="A9291">
        <f ca="1">34944.7921577227*((RANDBETWEEN(2979,3282)))</f>
        <v>114094746.39496449</v>
      </c>
      <c r="B9291">
        <v>162823703.58884454</v>
      </c>
    </row>
    <row r="9292" spans="1:2" x14ac:dyDescent="0.25">
      <c r="A9292">
        <f ca="1">37019.2753711774*((RANDBETWEEN(2979,3282)))</f>
        <v>117351102.92663242</v>
      </c>
      <c r="B9292">
        <v>146127015.50671849</v>
      </c>
    </row>
    <row r="9293" spans="1:2" x14ac:dyDescent="0.25">
      <c r="A9293">
        <f ca="1">41233.0156415283*((RANDBETWEEN(2979,3282)))</f>
        <v>128729474.8328514</v>
      </c>
      <c r="B9293">
        <v>202367280.37201115</v>
      </c>
    </row>
    <row r="9294" spans="1:2" x14ac:dyDescent="0.25">
      <c r="A9294">
        <f ca="1">37454.5301452636*((RANDBETWEEN(2979,3282)))</f>
        <v>114873043.95552357</v>
      </c>
      <c r="B9294">
        <v>202560577.66093436</v>
      </c>
    </row>
    <row r="9295" spans="1:2" x14ac:dyDescent="0.25">
      <c r="A9295">
        <f ca="1">30873.9607632924*((RANDBETWEEN(2979,3282)))</f>
        <v>93054117.740563408</v>
      </c>
      <c r="B9295">
        <v>145377035.33052433</v>
      </c>
    </row>
    <row r="9296" spans="1:2" x14ac:dyDescent="0.25">
      <c r="A9296">
        <f ca="1">38211.1321994881*((RANDBETWEEN(2979,3282)))</f>
        <v>120938233.41137981</v>
      </c>
      <c r="B9296">
        <v>194110261.52919349</v>
      </c>
    </row>
    <row r="9297" spans="1:2" x14ac:dyDescent="0.25">
      <c r="A9297">
        <f ca="1">38311.5394010869*((RANDBETWEEN(2979,3282)))</f>
        <v>125087176.14454862</v>
      </c>
      <c r="B9297">
        <v>169694790.51736742</v>
      </c>
    </row>
    <row r="9298" spans="1:2" x14ac:dyDescent="0.25">
      <c r="A9298">
        <f ca="1">29747.8149259851*((RANDBETWEEN(2979,3282)))</f>
        <v>96620902.879599527</v>
      </c>
      <c r="B9298">
        <v>158114949.50536513</v>
      </c>
    </row>
    <row r="9299" spans="1:2" x14ac:dyDescent="0.25">
      <c r="A9299">
        <f ca="1">32413.7808968644*((RANDBETWEEN(2979,3282)))</f>
        <v>100288238.09489848</v>
      </c>
      <c r="B9299">
        <v>168335287.26528078</v>
      </c>
    </row>
    <row r="9300" spans="1:2" x14ac:dyDescent="0.25">
      <c r="A9300">
        <f ca="1">35896.2210778342*((RANDBETWEEN(2979,3282)))</f>
        <v>115514039.42847036</v>
      </c>
      <c r="B9300">
        <v>156689740.66179803</v>
      </c>
    </row>
    <row r="9301" spans="1:2" x14ac:dyDescent="0.25">
      <c r="A9301">
        <f ca="1">32557.1001943807*((RANDBETWEEN(2979,3282)))</f>
        <v>99071255.891500369</v>
      </c>
      <c r="B9301">
        <v>196956373.08767846</v>
      </c>
    </row>
    <row r="9302" spans="1:2" x14ac:dyDescent="0.25">
      <c r="A9302">
        <f ca="1">38124.3553898059*((RANDBETWEEN(2979,3282)))</f>
        <v>122912921.7767341</v>
      </c>
      <c r="B9302">
        <v>146532903.75962549</v>
      </c>
    </row>
    <row r="9303" spans="1:2" x14ac:dyDescent="0.25">
      <c r="A9303">
        <f ca="1">30474.1143156865*((RANDBETWEEN(2979,3282)))</f>
        <v>94256435.57841821</v>
      </c>
      <c r="B9303">
        <v>144932491.48559082</v>
      </c>
    </row>
    <row r="9304" spans="1:2" x14ac:dyDescent="0.25">
      <c r="A9304">
        <f ca="1">32559.3759925297*((RANDBETWEEN(2979,3282)))</f>
        <v>98296756.121447295</v>
      </c>
      <c r="B9304">
        <v>190652934.45321637</v>
      </c>
    </row>
    <row r="9305" spans="1:2" x14ac:dyDescent="0.25">
      <c r="A9305">
        <f ca="1">30989.3062806151*((RANDBETWEEN(2979,3282)))</f>
        <v>98143132.990707919</v>
      </c>
      <c r="B9305">
        <v>149183070.80991846</v>
      </c>
    </row>
    <row r="9306" spans="1:2" x14ac:dyDescent="0.25">
      <c r="A9306">
        <f ca="1">39986.0079857573*((RANDBETWEEN(2979,3282)))</f>
        <v>126035897.17110692</v>
      </c>
      <c r="B9306">
        <v>166794246.71442607</v>
      </c>
    </row>
    <row r="9307" spans="1:2" x14ac:dyDescent="0.25">
      <c r="A9307">
        <f ca="1">36709.2263202427*((RANDBETWEEN(2979,3282)))</f>
        <v>119818914.70927215</v>
      </c>
      <c r="B9307">
        <v>167749471.12844416</v>
      </c>
    </row>
    <row r="9308" spans="1:2" x14ac:dyDescent="0.25">
      <c r="A9308">
        <f ca="1">39893.0965736294*((RANDBETWEEN(2979,3282)))</f>
        <v>125463788.72406456</v>
      </c>
      <c r="B9308">
        <v>167023255.18042892</v>
      </c>
    </row>
    <row r="9309" spans="1:2" x14ac:dyDescent="0.25">
      <c r="A9309">
        <f ca="1">39274.3691647603*((RANDBETWEEN(2979,3282)))</f>
        <v>121397075.0882742</v>
      </c>
      <c r="B9309">
        <v>164489350.94423798</v>
      </c>
    </row>
    <row r="9310" spans="1:2" x14ac:dyDescent="0.25">
      <c r="A9310">
        <f ca="1">35146.0546769407*((RANDBETWEEN(2979,3282)))</f>
        <v>106141085.12436078</v>
      </c>
      <c r="B9310">
        <v>186128949.36268699</v>
      </c>
    </row>
    <row r="9311" spans="1:2" x14ac:dyDescent="0.25">
      <c r="A9311">
        <f ca="1">30649.4505757557*((RANDBETWEEN(2979,3282)))</f>
        <v>93511473.706630707</v>
      </c>
      <c r="B9311">
        <v>159213291.46808279</v>
      </c>
    </row>
    <row r="9312" spans="1:2" x14ac:dyDescent="0.25">
      <c r="A9312">
        <f ca="1">29890.3957512081*((RANDBETWEEN(2979,3282)))</f>
        <v>93407486.722525328</v>
      </c>
      <c r="B9312">
        <v>192676020.90223178</v>
      </c>
    </row>
    <row r="9313" spans="1:2" x14ac:dyDescent="0.25">
      <c r="A9313">
        <f ca="1">31734.3291129787*((RANDBETWEEN(2979,3282)))</f>
        <v>96472360.503455162</v>
      </c>
      <c r="B9313">
        <v>201328354.74304244</v>
      </c>
    </row>
    <row r="9314" spans="1:2" x14ac:dyDescent="0.25">
      <c r="A9314">
        <f ca="1">32344.0980857418*((RANDBETWEEN(2979,3282)))</f>
        <v>100848897.8313428</v>
      </c>
      <c r="B9314">
        <v>150706803.62101603</v>
      </c>
    </row>
    <row r="9315" spans="1:2" x14ac:dyDescent="0.25">
      <c r="A9315">
        <f ca="1">32382.6846764582*((RANDBETWEEN(2979,3282)))</f>
        <v>101422568.40666707</v>
      </c>
      <c r="B9315">
        <v>150239895.00124216</v>
      </c>
    </row>
    <row r="9316" spans="1:2" x14ac:dyDescent="0.25">
      <c r="A9316">
        <f ca="1">38567.743104216*((RANDBETWEEN(2979,3282)))</f>
        <v>121912635.95242688</v>
      </c>
      <c r="B9316">
        <v>156210563.38456082</v>
      </c>
    </row>
    <row r="9317" spans="1:2" x14ac:dyDescent="0.25">
      <c r="A9317">
        <f ca="1">27656.2185515638*((RANDBETWEEN(2979,3282)))</f>
        <v>87006463.563219815</v>
      </c>
      <c r="B9317">
        <v>147660340.89693844</v>
      </c>
    </row>
    <row r="9318" spans="1:2" x14ac:dyDescent="0.25">
      <c r="A9318">
        <f ca="1">33427.6177798014*((RANDBETWEEN(2979,3282)))</f>
        <v>102990490.37956822</v>
      </c>
      <c r="B9318">
        <v>190886001.23819843</v>
      </c>
    </row>
    <row r="9319" spans="1:2" x14ac:dyDescent="0.25">
      <c r="A9319">
        <f ca="1">33184.2529812285*((RANDBETWEEN(2979,3282)))</f>
        <v>105194081.95049423</v>
      </c>
      <c r="B9319">
        <v>195807293.98074085</v>
      </c>
    </row>
    <row r="9320" spans="1:2" x14ac:dyDescent="0.25">
      <c r="A9320">
        <f ca="1">34141.4303546*((RANDBETWEEN(2979,3282)))</f>
        <v>105940858.39032383</v>
      </c>
      <c r="B9320">
        <v>189113996.81820017</v>
      </c>
    </row>
    <row r="9321" spans="1:2" x14ac:dyDescent="0.25">
      <c r="A9321">
        <f ca="1">31764.3165002854*((RANDBETWEEN(2979,3282)))</f>
        <v>95737649.931860313</v>
      </c>
      <c r="B9321">
        <v>152866491.02415127</v>
      </c>
    </row>
    <row r="9322" spans="1:2" x14ac:dyDescent="0.25">
      <c r="A9322">
        <f ca="1">31573.0298610751*((RANDBETWEEN(2979,3282)))</f>
        <v>97971111.658916041</v>
      </c>
      <c r="B9322">
        <v>166917889.80758446</v>
      </c>
    </row>
    <row r="9323" spans="1:2" x14ac:dyDescent="0.25">
      <c r="A9323">
        <f ca="1">39576.8456609725*((RANDBETWEEN(2979,3282)))</f>
        <v>122569491.01203191</v>
      </c>
      <c r="B9323">
        <v>180236515.64447969</v>
      </c>
    </row>
    <row r="9324" spans="1:2" x14ac:dyDescent="0.25">
      <c r="A9324">
        <f ca="1">28158.1691244796*((RANDBETWEEN(2979,3282)))</f>
        <v>86361104.70477879</v>
      </c>
      <c r="B9324">
        <v>159456371.64073059</v>
      </c>
    </row>
    <row r="9325" spans="1:2" x14ac:dyDescent="0.25">
      <c r="A9325">
        <f ca="1">32752.3516879447*((RANDBETWEEN(2979,3282)))</f>
        <v>104185230.71935214</v>
      </c>
      <c r="B9325">
        <v>182323218.68721169</v>
      </c>
    </row>
    <row r="9326" spans="1:2" x14ac:dyDescent="0.25">
      <c r="A9326">
        <f ca="1">35906.150279978*((RANDBETWEEN(2979,3282)))</f>
        <v>107036233.98461439</v>
      </c>
      <c r="B9326">
        <v>155062683.57027027</v>
      </c>
    </row>
    <row r="9327" spans="1:2" x14ac:dyDescent="0.25">
      <c r="A9327">
        <f ca="1">31346.5469955396*((RANDBETWEEN(2979,3282)))</f>
        <v>95481582.148413554</v>
      </c>
      <c r="B9327">
        <v>150615529.46414226</v>
      </c>
    </row>
    <row r="9328" spans="1:2" x14ac:dyDescent="0.25">
      <c r="A9328">
        <f ca="1">32433.7101649914*((RANDBETWEEN(2979,3282)))</f>
        <v>98825514.872728869</v>
      </c>
      <c r="B9328">
        <v>165863981.17081156</v>
      </c>
    </row>
    <row r="9329" spans="1:2" x14ac:dyDescent="0.25">
      <c r="A9329">
        <f ca="1">40207.9421401815*((RANDBETWEEN(2979,3282)))</f>
        <v>123760045.9074786</v>
      </c>
      <c r="B9329">
        <v>170609777.63676226</v>
      </c>
    </row>
    <row r="9330" spans="1:2" x14ac:dyDescent="0.25">
      <c r="A9330">
        <f ca="1">36896.601352249*((RANDBETWEEN(2979,3282)))</f>
        <v>117368088.90150402</v>
      </c>
      <c r="B9330">
        <v>161407576.52602696</v>
      </c>
    </row>
    <row r="9331" spans="1:2" x14ac:dyDescent="0.25">
      <c r="A9331">
        <f ca="1">31919.3079122067*((RANDBETWEEN(2979,3282)))</f>
        <v>97226211.900581613</v>
      </c>
      <c r="B9331">
        <v>175415090.54858303</v>
      </c>
    </row>
    <row r="9332" spans="1:2" x14ac:dyDescent="0.25">
      <c r="A9332">
        <f ca="1">38234.0296497748*((RANDBETWEEN(2979,3282)))</f>
        <v>121507746.22698431</v>
      </c>
      <c r="B9332">
        <v>154688143.64423585</v>
      </c>
    </row>
    <row r="9333" spans="1:2" x14ac:dyDescent="0.25">
      <c r="A9333">
        <f ca="1">35580.3007860115*((RANDBETWEEN(2979,3282)))</f>
        <v>106776482.65882044</v>
      </c>
      <c r="B9333">
        <v>153142363.02530792</v>
      </c>
    </row>
    <row r="9334" spans="1:2" x14ac:dyDescent="0.25">
      <c r="A9334">
        <f ca="1">32201.5195756254*((RANDBETWEEN(2979,3282)))</f>
        <v>103463482.39648451</v>
      </c>
      <c r="B9334">
        <v>172431005.66268611</v>
      </c>
    </row>
    <row r="9335" spans="1:2" x14ac:dyDescent="0.25">
      <c r="A9335">
        <f ca="1">30195.8005569947*((RANDBETWEEN(2979,3282)))</f>
        <v>91523471.488250881</v>
      </c>
      <c r="B9335">
        <v>152228368.57814953</v>
      </c>
    </row>
    <row r="9336" spans="1:2" x14ac:dyDescent="0.25">
      <c r="A9336">
        <f ca="1">38491.6418167219*((RANDBETWEEN(2979,3282)))</f>
        <v>124635936.20254561</v>
      </c>
      <c r="B9336">
        <v>152883164.67481819</v>
      </c>
    </row>
    <row r="9337" spans="1:2" x14ac:dyDescent="0.25">
      <c r="A9337">
        <f ca="1">41985.9058140007*((RANDBETWEEN(2979,3282)))</f>
        <v>127805097.29781801</v>
      </c>
      <c r="B9337">
        <v>194585553.37449846</v>
      </c>
    </row>
    <row r="9338" spans="1:2" x14ac:dyDescent="0.25">
      <c r="A9338">
        <f ca="1">40702.5654128436*((RANDBETWEEN(2979,3282)))</f>
        <v>127806055.39632884</v>
      </c>
      <c r="B9338">
        <v>189811734.03036487</v>
      </c>
    </row>
    <row r="9339" spans="1:2" x14ac:dyDescent="0.25">
      <c r="A9339">
        <f ca="1">32041.1356770936*((RANDBETWEEN(2979,3282)))</f>
        <v>95546666.589093134</v>
      </c>
      <c r="B9339">
        <v>153987130.28252023</v>
      </c>
    </row>
    <row r="9340" spans="1:2" x14ac:dyDescent="0.25">
      <c r="A9340">
        <f ca="1">35670.455896967*((RANDBETWEEN(2979,3282)))</f>
        <v>107118379.05859192</v>
      </c>
      <c r="B9340">
        <v>180527782.57831973</v>
      </c>
    </row>
    <row r="9341" spans="1:2" x14ac:dyDescent="0.25">
      <c r="A9341">
        <f ca="1">28029.2811551418*((RANDBETWEEN(2979,3282)))</f>
        <v>90170197.476091161</v>
      </c>
      <c r="B9341">
        <v>158887750.00310746</v>
      </c>
    </row>
    <row r="9342" spans="1:2" x14ac:dyDescent="0.25">
      <c r="A9342">
        <f ca="1">37466.8563835848*((RANDBETWEEN(2979,3282)))</f>
        <v>113374707.41672748</v>
      </c>
      <c r="B9342">
        <v>144030061.9394486</v>
      </c>
    </row>
    <row r="9343" spans="1:2" x14ac:dyDescent="0.25">
      <c r="A9343">
        <f ca="1">38631.6865117879*((RANDBETWEEN(2979,3282)))</f>
        <v>120685388.66282526</v>
      </c>
      <c r="B9343">
        <v>154780138.16022965</v>
      </c>
    </row>
    <row r="9344" spans="1:2" x14ac:dyDescent="0.25">
      <c r="A9344">
        <f ca="1">32701.0020528055*((RANDBETWEEN(2979,3282)))</f>
        <v>104577804.56487201</v>
      </c>
      <c r="B9344">
        <v>188530781.0905906</v>
      </c>
    </row>
    <row r="9345" spans="1:2" x14ac:dyDescent="0.25">
      <c r="A9345">
        <f ca="1">36960.5168086762*((RANDBETWEEN(2979,3282)))</f>
        <v>114134075.90519202</v>
      </c>
      <c r="B9345">
        <v>147172676.48986515</v>
      </c>
    </row>
    <row r="9346" spans="1:2" x14ac:dyDescent="0.25">
      <c r="A9346">
        <f ca="1">41031.9767011052*((RANDBETWEEN(2979,3282)))</f>
        <v>123588313.82372883</v>
      </c>
      <c r="B9346">
        <v>199078915.34381485</v>
      </c>
    </row>
    <row r="9347" spans="1:2" x14ac:dyDescent="0.25">
      <c r="A9347">
        <f ca="1">37536.9645706148*((RANDBETWEEN(2979,3282)))</f>
        <v>122971095.93333413</v>
      </c>
      <c r="B9347">
        <v>169397800.29777044</v>
      </c>
    </row>
    <row r="9348" spans="1:2" x14ac:dyDescent="0.25">
      <c r="A9348">
        <f ca="1">28736.5335507079*((RANDBETWEEN(2979,3282)))</f>
        <v>88824625.205238238</v>
      </c>
      <c r="B9348">
        <v>187386971.92358989</v>
      </c>
    </row>
    <row r="9349" spans="1:2" x14ac:dyDescent="0.25">
      <c r="A9349">
        <f ca="1">32618.7125695116*((RANDBETWEEN(2979,3282)))</f>
        <v>104738686.0607017</v>
      </c>
      <c r="B9349">
        <v>187873839.48491132</v>
      </c>
    </row>
    <row r="9350" spans="1:2" x14ac:dyDescent="0.25">
      <c r="A9350">
        <f ca="1">39709.4831946673*((RANDBETWEEN(2979,3282)))</f>
        <v>121947822.89082327</v>
      </c>
      <c r="B9350">
        <v>155131561.72778738</v>
      </c>
    </row>
    <row r="9351" spans="1:2" x14ac:dyDescent="0.25">
      <c r="A9351">
        <f ca="1">30395.6243935881*((RANDBETWEEN(2979,3282)))</f>
        <v>97995493.044928029</v>
      </c>
      <c r="B9351">
        <v>195780123.11474097</v>
      </c>
    </row>
    <row r="9352" spans="1:2" x14ac:dyDescent="0.25">
      <c r="A9352">
        <f ca="1">40442.1573511325*((RANDBETWEEN(2979,3282)))</f>
        <v>121973546.57101548</v>
      </c>
      <c r="B9352">
        <v>156961134.2589063</v>
      </c>
    </row>
    <row r="9353" spans="1:2" x14ac:dyDescent="0.25">
      <c r="A9353">
        <f ca="1">33061.8650780183*((RANDBETWEEN(2979,3282)))</f>
        <v>105335102.13856621</v>
      </c>
      <c r="B9353">
        <v>152111130.31664276</v>
      </c>
    </row>
    <row r="9354" spans="1:2" x14ac:dyDescent="0.25">
      <c r="A9354">
        <f ca="1">35356.8840561949*((RANDBETWEEN(2979,3282)))</f>
        <v>115475583.32753251</v>
      </c>
      <c r="B9354">
        <v>166497141.47519845</v>
      </c>
    </row>
    <row r="9355" spans="1:2" x14ac:dyDescent="0.25">
      <c r="A9355">
        <f ca="1">32158.4302767254*((RANDBETWEEN(2979,3282)))</f>
        <v>97536519.029308155</v>
      </c>
      <c r="B9355">
        <v>191180729.12927765</v>
      </c>
    </row>
    <row r="9356" spans="1:2" x14ac:dyDescent="0.25">
      <c r="A9356">
        <f ca="1">32562.2955205528*((RANDBETWEEN(2979,3282)))</f>
        <v>100259307.90778214</v>
      </c>
      <c r="B9356">
        <v>199846285.86052388</v>
      </c>
    </row>
    <row r="9357" spans="1:2" x14ac:dyDescent="0.25">
      <c r="A9357">
        <f ca="1">29976.4458101969*((RANDBETWEEN(2979,3282)))</f>
        <v>96044532.375870988</v>
      </c>
      <c r="B9357">
        <v>168593999.87329507</v>
      </c>
    </row>
    <row r="9358" spans="1:2" x14ac:dyDescent="0.25">
      <c r="A9358">
        <f ca="1">28684.6033043856*((RANDBETWEEN(2979,3282)))</f>
        <v>90471238.822032109</v>
      </c>
      <c r="B9358">
        <v>182663733.7072143</v>
      </c>
    </row>
    <row r="9359" spans="1:2" x14ac:dyDescent="0.25">
      <c r="A9359">
        <f ca="1">39457.0586965241*((RANDBETWEEN(2979,3282)))</f>
        <v>120738599.61136368</v>
      </c>
      <c r="B9359">
        <v>151819674.11231345</v>
      </c>
    </row>
    <row r="9360" spans="1:2" x14ac:dyDescent="0.25">
      <c r="A9360">
        <f ca="1">28497.1043225247*((RANDBETWEEN(2979,3282)))</f>
        <v>85804781.115121916</v>
      </c>
      <c r="B9360">
        <v>147956604.30367425</v>
      </c>
    </row>
    <row r="9361" spans="1:2" x14ac:dyDescent="0.25">
      <c r="A9361">
        <f ca="1">32604.5111002904*((RANDBETWEEN(2979,3282)))</f>
        <v>103160673.12131892</v>
      </c>
      <c r="B9361">
        <v>158327548.53153172</v>
      </c>
    </row>
    <row r="9362" spans="1:2" x14ac:dyDescent="0.25">
      <c r="A9362">
        <f ca="1">42016.7140035213*((RANDBETWEEN(2979,3282)))</f>
        <v>133865250.8152189</v>
      </c>
      <c r="B9362">
        <v>173269902.72013706</v>
      </c>
    </row>
    <row r="9363" spans="1:2" x14ac:dyDescent="0.25">
      <c r="A9363">
        <f ca="1">29705.0702263914*((RANDBETWEEN(2979,3282)))</f>
        <v>96036492.04192327</v>
      </c>
      <c r="B9363">
        <v>175422076.60589555</v>
      </c>
    </row>
    <row r="9364" spans="1:2" x14ac:dyDescent="0.25">
      <c r="A9364">
        <f ca="1">33749.3850118348*((RANDBETWEEN(2979,3282)))</f>
        <v>103036872.44113155</v>
      </c>
      <c r="B9364">
        <v>150916886.2414228</v>
      </c>
    </row>
    <row r="9365" spans="1:2" x14ac:dyDescent="0.25">
      <c r="A9365">
        <f ca="1">34287.1143878391*((RANDBETWEEN(2979,3282)))</f>
        <v>105021431.36995119</v>
      </c>
      <c r="B9365">
        <v>143298689.00545627</v>
      </c>
    </row>
    <row r="9366" spans="1:2" x14ac:dyDescent="0.25">
      <c r="A9366">
        <f ca="1">31660.7947678855*((RANDBETWEEN(2979,3282)))</f>
        <v>98401750.138587996</v>
      </c>
      <c r="B9366">
        <v>184050334.25002277</v>
      </c>
    </row>
    <row r="9367" spans="1:2" x14ac:dyDescent="0.25">
      <c r="A9367">
        <f ca="1">35559.2954008481*((RANDBETWEEN(2979,3282)))</f>
        <v>112900762.8976928</v>
      </c>
      <c r="B9367">
        <v>162427412.68495807</v>
      </c>
    </row>
    <row r="9368" spans="1:2" x14ac:dyDescent="0.25">
      <c r="A9368">
        <f ca="1">33601.1121106431*((RANDBETWEEN(2979,3282)))</f>
        <v>101576161.91047421</v>
      </c>
      <c r="B9368">
        <v>151650141.83801201</v>
      </c>
    </row>
    <row r="9369" spans="1:2" x14ac:dyDescent="0.25">
      <c r="A9369">
        <f ca="1">39521.5946754927*((RANDBETWEEN(2979,3282)))</f>
        <v>129235614.588861</v>
      </c>
      <c r="B9369">
        <v>165083647.44218656</v>
      </c>
    </row>
    <row r="9370" spans="1:2" x14ac:dyDescent="0.25">
      <c r="A9370">
        <f ca="1">32815.8671049422*((RANDBETWEEN(2979,3282)))</f>
        <v>103534060.71609251</v>
      </c>
      <c r="B9370">
        <v>184885001.60986021</v>
      </c>
    </row>
    <row r="9371" spans="1:2" x14ac:dyDescent="0.25">
      <c r="A9371">
        <f ca="1">31623.0236931583*((RANDBETWEEN(2979,3282)))</f>
        <v>103059434.2160029</v>
      </c>
      <c r="B9371">
        <v>178647422.62296531</v>
      </c>
    </row>
    <row r="9372" spans="1:2" x14ac:dyDescent="0.25">
      <c r="A9372">
        <f ca="1">33573.5490555985*((RANDBETWEEN(2979,3282)))</f>
        <v>101862147.83468579</v>
      </c>
      <c r="B9372">
        <v>151293753.79389334</v>
      </c>
    </row>
    <row r="9373" spans="1:2" x14ac:dyDescent="0.25">
      <c r="A9373">
        <f ca="1">29854.9051731454*((RANDBETWEEN(2979,3282)))</f>
        <v>91027605.872920185</v>
      </c>
      <c r="B9373">
        <v>164430045.76673776</v>
      </c>
    </row>
    <row r="9374" spans="1:2" x14ac:dyDescent="0.25">
      <c r="A9374">
        <f ca="1">40030.3053549377*((RANDBETWEEN(2979,3282)))</f>
        <v>124294098.12708163</v>
      </c>
      <c r="B9374">
        <v>145841517.26851773</v>
      </c>
    </row>
    <row r="9375" spans="1:2" x14ac:dyDescent="0.25">
      <c r="A9375">
        <f ca="1">31768.7632284824*((RANDBETWEEN(2979,3282)))</f>
        <v>98769084.877351686</v>
      </c>
      <c r="B9375">
        <v>150992101.40063</v>
      </c>
    </row>
    <row r="9376" spans="1:2" x14ac:dyDescent="0.25">
      <c r="A9376">
        <f ca="1">32662.2587429866*((RANDBETWEEN(2979,3282)))</f>
        <v>103147413.11035159</v>
      </c>
      <c r="B9376">
        <v>199749795.0031265</v>
      </c>
    </row>
    <row r="9377" spans="1:2" x14ac:dyDescent="0.25">
      <c r="A9377">
        <f ca="1">29832.2013015707*((RANDBETWEEN(2979,3282)))</f>
        <v>93643279.885630399</v>
      </c>
      <c r="B9377">
        <v>158249341.74704325</v>
      </c>
    </row>
    <row r="9378" spans="1:2" x14ac:dyDescent="0.25">
      <c r="A9378">
        <f ca="1">31161.1195650847*((RANDBETWEEN(2979,3282)))</f>
        <v>98874232.380013764</v>
      </c>
      <c r="B9378">
        <v>165939794.70905513</v>
      </c>
    </row>
    <row r="9379" spans="1:2" x14ac:dyDescent="0.25">
      <c r="A9379">
        <f ca="1">37597.4036188152*((RANDBETWEEN(2979,3282)))</f>
        <v>115987990.16404478</v>
      </c>
      <c r="B9379">
        <v>157748830.59291476</v>
      </c>
    </row>
    <row r="9380" spans="1:2" x14ac:dyDescent="0.25">
      <c r="A9380">
        <f ca="1">34224.9986230918*((RANDBETWEEN(2979,3282)))</f>
        <v>105070745.77289176</v>
      </c>
      <c r="B9380">
        <v>186521278.87737986</v>
      </c>
    </row>
    <row r="9381" spans="1:2" x14ac:dyDescent="0.25">
      <c r="A9381">
        <f ca="1">32550.8519599316*((RANDBETWEEN(2979,3282)))</f>
        <v>102697937.93358421</v>
      </c>
      <c r="B9381">
        <v>189129969.31426543</v>
      </c>
    </row>
    <row r="9382" spans="1:2" x14ac:dyDescent="0.25">
      <c r="A9382">
        <f ca="1">30735.3012480588*((RANDBETWEEN(2979,3282)))</f>
        <v>93373845.191602647</v>
      </c>
      <c r="B9382">
        <v>165876191.05440521</v>
      </c>
    </row>
    <row r="9383" spans="1:2" x14ac:dyDescent="0.25">
      <c r="A9383">
        <f ca="1">41581.4606294145*((RANDBETWEEN(2979,3282)))</f>
        <v>123995915.59691404</v>
      </c>
      <c r="B9383">
        <v>143860739.5845736</v>
      </c>
    </row>
    <row r="9384" spans="1:2" x14ac:dyDescent="0.25">
      <c r="A9384">
        <f ca="1">39709.5552224277*((RANDBETWEEN(2979,3282)))</f>
        <v>122821654.30296876</v>
      </c>
      <c r="B9384">
        <v>183565112.78188956</v>
      </c>
    </row>
    <row r="9385" spans="1:2" x14ac:dyDescent="0.25">
      <c r="A9385">
        <f ca="1">38749.343291662*((RANDBETWEEN(2979,3282)))</f>
        <v>123339159.69736029</v>
      </c>
      <c r="B9385">
        <v>177755563.91016421</v>
      </c>
    </row>
    <row r="9386" spans="1:2" x14ac:dyDescent="0.25">
      <c r="A9386">
        <f ca="1">33308.3093401264*((RANDBETWEEN(2979,3282)))</f>
        <v>104388241.47195613</v>
      </c>
      <c r="B9386">
        <v>168607266.14040229</v>
      </c>
    </row>
    <row r="9387" spans="1:2" x14ac:dyDescent="0.25">
      <c r="A9387">
        <f ca="1">32175.1871353208*((RANDBETWEEN(2979,3282)))</f>
        <v>99163926.751058772</v>
      </c>
      <c r="B9387">
        <v>200868549.76151878</v>
      </c>
    </row>
    <row r="9388" spans="1:2" x14ac:dyDescent="0.25">
      <c r="A9388">
        <f ca="1">30994.6801663831*((RANDBETWEEN(2979,3282)))</f>
        <v>94006864.944639966</v>
      </c>
      <c r="B9388">
        <v>164113890.60516086</v>
      </c>
    </row>
    <row r="9389" spans="1:2" x14ac:dyDescent="0.25">
      <c r="A9389">
        <f ca="1">31465.9011690372*((RANDBETWEEN(2979,3282)))</f>
        <v>101257269.9619617</v>
      </c>
      <c r="B9389">
        <v>195434258.70775056</v>
      </c>
    </row>
    <row r="9390" spans="1:2" x14ac:dyDescent="0.25">
      <c r="A9390">
        <f ca="1">29453.889783694*((RANDBETWEEN(2979,3282)))</f>
        <v>95872411.245924041</v>
      </c>
      <c r="B9390">
        <v>173904308.65025681</v>
      </c>
    </row>
    <row r="9391" spans="1:2" x14ac:dyDescent="0.25">
      <c r="A9391">
        <f ca="1">41116.451464295*((RANDBETWEEN(2979,3282)))</f>
        <v>134738611.44849485</v>
      </c>
      <c r="B9391">
        <v>178695303.92934978</v>
      </c>
    </row>
    <row r="9392" spans="1:2" x14ac:dyDescent="0.25">
      <c r="A9392">
        <f ca="1">31688.1610764739*((RANDBETWEEN(2979,3282)))</f>
        <v>98581869.108910233</v>
      </c>
      <c r="B9392">
        <v>154117883.59483638</v>
      </c>
    </row>
    <row r="9393" spans="1:2" x14ac:dyDescent="0.25">
      <c r="A9393">
        <f ca="1">32375.2506128714*((RANDBETWEEN(2979,3282)))</f>
        <v>99327268.880289465</v>
      </c>
      <c r="B9393">
        <v>159146842.5703285</v>
      </c>
    </row>
    <row r="9394" spans="1:2" x14ac:dyDescent="0.25">
      <c r="A9394">
        <f ca="1">35886.485668216*((RANDBETWEEN(2979,3282)))</f>
        <v>109848532.63040908</v>
      </c>
      <c r="B9394">
        <v>161066227.38151962</v>
      </c>
    </row>
    <row r="9395" spans="1:2" x14ac:dyDescent="0.25">
      <c r="A9395">
        <f ca="1">30801.8317575994*((RANDBETWEEN(2979,3282)))</f>
        <v>94438416.168799683</v>
      </c>
      <c r="B9395">
        <v>148235436.78270775</v>
      </c>
    </row>
    <row r="9396" spans="1:2" x14ac:dyDescent="0.25">
      <c r="A9396">
        <f ca="1">38584.202137784*((RANDBETWEEN(2979,3282)))</f>
        <v>119649610.82926823</v>
      </c>
      <c r="B9396">
        <v>183652859.80120224</v>
      </c>
    </row>
    <row r="9397" spans="1:2" x14ac:dyDescent="0.25">
      <c r="A9397">
        <f ca="1">30492.3809943781*((RANDBETWEEN(2979,3282)))</f>
        <v>93581117.271746412</v>
      </c>
      <c r="B9397">
        <v>146944496.46864864</v>
      </c>
    </row>
    <row r="9398" spans="1:2" x14ac:dyDescent="0.25">
      <c r="A9398">
        <f ca="1">32518.7696013689*((RANDBETWEEN(2979,3282)))</f>
        <v>98369278.044140905</v>
      </c>
      <c r="B9398">
        <v>159339706.23399919</v>
      </c>
    </row>
    <row r="9399" spans="1:2" x14ac:dyDescent="0.25">
      <c r="A9399">
        <f ca="1">38891.5238072177*((RANDBETWEEN(2979,3282)))</f>
        <v>123830611.80218127</v>
      </c>
      <c r="B9399">
        <v>153617739.1801573</v>
      </c>
    </row>
    <row r="9400" spans="1:2" x14ac:dyDescent="0.25">
      <c r="A9400">
        <f ca="1">32571.2219951803*((RANDBETWEEN(2979,3282)))</f>
        <v>102045638.5108999</v>
      </c>
      <c r="B9400">
        <v>147357475.1420694</v>
      </c>
    </row>
    <row r="9401" spans="1:2" x14ac:dyDescent="0.25">
      <c r="A9401">
        <f ca="1">34112.4593941923*((RANDBETWEEN(2979,3282)))</f>
        <v>107658921.84807104</v>
      </c>
      <c r="B9401">
        <v>157112460.27573356</v>
      </c>
    </row>
    <row r="9402" spans="1:2" x14ac:dyDescent="0.25">
      <c r="A9402">
        <f ca="1">32709.8922535446*((RANDBETWEEN(2979,3282)))</f>
        <v>102054863.83105929</v>
      </c>
      <c r="B9402">
        <v>202030894.25340611</v>
      </c>
    </row>
    <row r="9403" spans="1:2" x14ac:dyDescent="0.25">
      <c r="A9403">
        <f ca="1">29962.1552684079*((RANDBETWEEN(2979,3282)))</f>
        <v>96058669.790515751</v>
      </c>
      <c r="B9403">
        <v>176041241.00023282</v>
      </c>
    </row>
    <row r="9404" spans="1:2" x14ac:dyDescent="0.25">
      <c r="A9404">
        <f ca="1">34971.1665556973*((RANDBETWEEN(2979,3282)))</f>
        <v>109214953.15344256</v>
      </c>
      <c r="B9404">
        <v>189305699.76619154</v>
      </c>
    </row>
    <row r="9405" spans="1:2" x14ac:dyDescent="0.25">
      <c r="A9405">
        <f ca="1">31589.194794084*((RANDBETWEEN(2979,3282)))</f>
        <v>95115065.524986863</v>
      </c>
      <c r="B9405">
        <v>177680388.52136013</v>
      </c>
    </row>
    <row r="9406" spans="1:2" x14ac:dyDescent="0.25">
      <c r="A9406">
        <f ca="1">29816.1524729523*((RANDBETWEEN(2979,3282)))</f>
        <v>94845181.016461164</v>
      </c>
      <c r="B9406">
        <v>151676474.80326736</v>
      </c>
    </row>
    <row r="9407" spans="1:2" x14ac:dyDescent="0.25">
      <c r="A9407">
        <f ca="1">31345.3276118881*((RANDBETWEEN(2979,3282)))</f>
        <v>97295896.907300591</v>
      </c>
      <c r="B9407">
        <v>158348983.72950998</v>
      </c>
    </row>
    <row r="9408" spans="1:2" x14ac:dyDescent="0.25">
      <c r="A9408">
        <f ca="1">32023.3390540703*((RANDBETWEEN(2979,3282)))</f>
        <v>103115151.75410652</v>
      </c>
      <c r="B9408">
        <v>202817025.58775645</v>
      </c>
    </row>
    <row r="9409" spans="1:2" x14ac:dyDescent="0.25">
      <c r="A9409">
        <f ca="1">30984.103801395*((RANDBETWEEN(2979,3282)))</f>
        <v>96112689.991927266</v>
      </c>
      <c r="B9409">
        <v>181849781.326516</v>
      </c>
    </row>
    <row r="9410" spans="1:2" x14ac:dyDescent="0.25">
      <c r="A9410">
        <f ca="1">32980.5104342405*((RANDBETWEEN(2979,3282)))</f>
        <v>107780308.09909798</v>
      </c>
      <c r="B9410">
        <v>164045104.51339179</v>
      </c>
    </row>
    <row r="9411" spans="1:2" x14ac:dyDescent="0.25">
      <c r="A9411">
        <f ca="1">31979.8123313651*((RANDBETWEEN(2979,3282)))</f>
        <v>100160772.22183546</v>
      </c>
      <c r="B9411">
        <v>153735988.29315597</v>
      </c>
    </row>
    <row r="9412" spans="1:2" x14ac:dyDescent="0.25">
      <c r="A9412">
        <f ca="1">32700.1339530576*((RANDBETWEEN(2979,3282)))</f>
        <v>101959017.66563353</v>
      </c>
      <c r="B9412">
        <v>146442096.45801353</v>
      </c>
    </row>
    <row r="9413" spans="1:2" x14ac:dyDescent="0.25">
      <c r="A9413">
        <f ca="1">30555.9265554309*((RANDBETWEEN(2979,3282)))</f>
        <v>91239996.694516599</v>
      </c>
      <c r="B9413">
        <v>200092012.46107733</v>
      </c>
    </row>
    <row r="9414" spans="1:2" x14ac:dyDescent="0.25">
      <c r="A9414">
        <f ca="1">37155.4627490329*((RANDBETWEEN(2979,3282)))</f>
        <v>112543896.66682075</v>
      </c>
      <c r="B9414">
        <v>149491516.50010481</v>
      </c>
    </row>
    <row r="9415" spans="1:2" x14ac:dyDescent="0.25">
      <c r="A9415">
        <f ca="1">33586.2296965944*((RANDBETWEEN(2979,3282)))</f>
        <v>104150898.28913933</v>
      </c>
      <c r="B9415">
        <v>193527456.52008766</v>
      </c>
    </row>
    <row r="9416" spans="1:2" x14ac:dyDescent="0.25">
      <c r="A9416">
        <f ca="1">31360.1761767737*((RANDBETWEEN(2979,3282)))</f>
        <v>96902944.386230722</v>
      </c>
      <c r="B9416">
        <v>157842957.70199916</v>
      </c>
    </row>
    <row r="9417" spans="1:2" x14ac:dyDescent="0.25">
      <c r="A9417">
        <f ca="1">31627.4080131776*((RANDBETWEEN(2979,3282)))</f>
        <v>98203101.880916342</v>
      </c>
      <c r="B9417">
        <v>202546150.90395576</v>
      </c>
    </row>
    <row r="9418" spans="1:2" x14ac:dyDescent="0.25">
      <c r="A9418">
        <f ca="1">34137.6197785957*((RANDBETWEEN(2979,3282)))</f>
        <v>111937255.25401531</v>
      </c>
      <c r="B9418">
        <v>161850548.62302098</v>
      </c>
    </row>
    <row r="9419" spans="1:2" x14ac:dyDescent="0.25">
      <c r="A9419">
        <f ca="1">31873.113119935*((RANDBETWEEN(2979,3282)))</f>
        <v>102695170.47243062</v>
      </c>
      <c r="B9419">
        <v>172177815.11416614</v>
      </c>
    </row>
    <row r="9420" spans="1:2" x14ac:dyDescent="0.25">
      <c r="A9420">
        <f ca="1">30736.4088167548*((RANDBETWEEN(2979,3282)))</f>
        <v>92301435.676714599</v>
      </c>
      <c r="B9420">
        <v>167020278.6563018</v>
      </c>
    </row>
    <row r="9421" spans="1:2" x14ac:dyDescent="0.25">
      <c r="A9421">
        <f ca="1">36275.4698499175*((RANDBETWEEN(2979,3282)))</f>
        <v>117278594.02478318</v>
      </c>
      <c r="B9421">
        <v>165265086.50240034</v>
      </c>
    </row>
    <row r="9422" spans="1:2" x14ac:dyDescent="0.25">
      <c r="A9422">
        <f ca="1">29510.2875058058*((RANDBETWEEN(2979,3282)))</f>
        <v>93252508.518346235</v>
      </c>
      <c r="B9422">
        <v>178575313.54561466</v>
      </c>
    </row>
    <row r="9423" spans="1:2" x14ac:dyDescent="0.25">
      <c r="A9423">
        <f ca="1">30453.5509700808*((RANDBETWEEN(2979,3282)))</f>
        <v>90751581.890840814</v>
      </c>
      <c r="B9423">
        <v>164482586.21457583</v>
      </c>
    </row>
    <row r="9424" spans="1:2" x14ac:dyDescent="0.25">
      <c r="A9424">
        <f ca="1">37370.8850472506*((RANDBETWEEN(2979,3282)))</f>
        <v>111664204.52118497</v>
      </c>
      <c r="B9424">
        <v>159976453.72211713</v>
      </c>
    </row>
    <row r="9425" spans="1:2" x14ac:dyDescent="0.25">
      <c r="A9425">
        <f ca="1">32798.3877586156*((RANDBETWEEN(2979,3282)))</f>
        <v>105315623.09291488</v>
      </c>
      <c r="B9425">
        <v>155361582.69729719</v>
      </c>
    </row>
    <row r="9426" spans="1:2" x14ac:dyDescent="0.25">
      <c r="A9426">
        <f ca="1">34080.1770368013*((RANDBETWEEN(2979,3282)))</f>
        <v>105784869.52223127</v>
      </c>
      <c r="B9426">
        <v>170740472.54529947</v>
      </c>
    </row>
    <row r="9427" spans="1:2" x14ac:dyDescent="0.25">
      <c r="A9427">
        <f ca="1">32217.8707062135*((RANDBETWEEN(2979,3282)))</f>
        <v>98779991.58525072</v>
      </c>
      <c r="B9427">
        <v>171470229.38561207</v>
      </c>
    </row>
    <row r="9428" spans="1:2" x14ac:dyDescent="0.25">
      <c r="A9428">
        <f ca="1">32529.0898692784*((RANDBETWEEN(2979,3282)))</f>
        <v>101750993.11110272</v>
      </c>
      <c r="B9428">
        <v>160317145.05753928</v>
      </c>
    </row>
    <row r="9429" spans="1:2" x14ac:dyDescent="0.25">
      <c r="A9429">
        <f ca="1">28927.5604262678*((RANDBETWEEN(2979,3282)))</f>
        <v>88778682.948215812</v>
      </c>
      <c r="B9429">
        <v>154223285.44638929</v>
      </c>
    </row>
    <row r="9430" spans="1:2" x14ac:dyDescent="0.25">
      <c r="A9430">
        <f ca="1">36785.9810578954*((RANDBETWEEN(2979,3282)))</f>
        <v>114367615.10899675</v>
      </c>
      <c r="B9430">
        <v>144116752.22206324</v>
      </c>
    </row>
    <row r="9431" spans="1:2" x14ac:dyDescent="0.25">
      <c r="A9431">
        <f ca="1">38431.2776146605*((RANDBETWEEN(2979,3282)))</f>
        <v>122557344.31315218</v>
      </c>
      <c r="B9431">
        <v>153181272.34573257</v>
      </c>
    </row>
    <row r="9432" spans="1:2" x14ac:dyDescent="0.25">
      <c r="A9432">
        <f ca="1">31024.3918047796*((RANDBETWEEN(2979,3282)))</f>
        <v>94128004.735701159</v>
      </c>
      <c r="B9432">
        <v>200623061.7821801</v>
      </c>
    </row>
    <row r="9433" spans="1:2" x14ac:dyDescent="0.25">
      <c r="A9433">
        <f ca="1">33929.9029820816*((RANDBETWEEN(2979,3282)))</f>
        <v>110441834.20667575</v>
      </c>
      <c r="B9433">
        <v>159239010.00067538</v>
      </c>
    </row>
    <row r="9434" spans="1:2" x14ac:dyDescent="0.25">
      <c r="A9434">
        <f ca="1">33231.824809749*((RANDBETWEEN(2979,3282)))</f>
        <v>99795169.903676227</v>
      </c>
      <c r="B9434">
        <v>163165716.86788893</v>
      </c>
    </row>
    <row r="9435" spans="1:2" x14ac:dyDescent="0.25">
      <c r="A9435">
        <f ca="1">39069.413552388*((RANDBETWEEN(2979,3282)))</f>
        <v>118419392.47728814</v>
      </c>
      <c r="B9435">
        <v>162765548.6596866</v>
      </c>
    </row>
    <row r="9436" spans="1:2" x14ac:dyDescent="0.25">
      <c r="A9436">
        <f ca="1">32411.4927715375*((RANDBETWEEN(2979,3282)))</f>
        <v>99957043.707421541</v>
      </c>
      <c r="B9436">
        <v>153483597.25427705</v>
      </c>
    </row>
    <row r="9437" spans="1:2" x14ac:dyDescent="0.25">
      <c r="A9437">
        <f ca="1">29235.0482216987*((RANDBETWEEN(2979,3282)))</f>
        <v>91417995.789251819</v>
      </c>
      <c r="B9437">
        <v>154740507.99157602</v>
      </c>
    </row>
    <row r="9438" spans="1:2" x14ac:dyDescent="0.25">
      <c r="A9438">
        <f ca="1">30511.6785421034*((RANDBETWEEN(2979,3282)))</f>
        <v>99620630.439967752</v>
      </c>
      <c r="B9438">
        <v>155961969.98152971</v>
      </c>
    </row>
    <row r="9439" spans="1:2" x14ac:dyDescent="0.25">
      <c r="A9439">
        <f ca="1">30866.372840359*((RANDBETWEEN(2979,3282)))</f>
        <v>97722936.412576571</v>
      </c>
      <c r="B9439">
        <v>201237223.89891553</v>
      </c>
    </row>
    <row r="9440" spans="1:2" x14ac:dyDescent="0.25">
      <c r="A9440">
        <f ca="1">31394.3969793291*((RANDBETWEEN(2979,3282)))</f>
        <v>98452828.927175939</v>
      </c>
      <c r="B9440">
        <v>146124551.21185002</v>
      </c>
    </row>
    <row r="9441" spans="1:2" x14ac:dyDescent="0.25">
      <c r="A9441">
        <f ca="1">36367.0406407212*((RANDBETWEEN(2979,3282)))</f>
        <v>118301983.20426609</v>
      </c>
      <c r="B9441">
        <v>168208201.16493857</v>
      </c>
    </row>
    <row r="9442" spans="1:2" x14ac:dyDescent="0.25">
      <c r="A9442">
        <f ca="1">30614.4201724708*((RANDBETWEEN(2979,3282)))</f>
        <v>92884150.803276345</v>
      </c>
      <c r="B9442">
        <v>163420250.42482203</v>
      </c>
    </row>
    <row r="9443" spans="1:2" x14ac:dyDescent="0.25">
      <c r="A9443">
        <f ca="1">32933.0590197532*((RANDBETWEEN(2979,3282)))</f>
        <v>98799177.059259579</v>
      </c>
      <c r="B9443">
        <v>146701025.03296971</v>
      </c>
    </row>
    <row r="9444" spans="1:2" x14ac:dyDescent="0.25">
      <c r="A9444">
        <f ca="1">31887.9362311133*((RANDBETWEEN(2979,3282)))</f>
        <v>96397231.226655543</v>
      </c>
      <c r="B9444">
        <v>167749935.25174707</v>
      </c>
    </row>
    <row r="9445" spans="1:2" x14ac:dyDescent="0.25">
      <c r="A9445">
        <f ca="1">29873.6476504896*((RANDBETWEEN(2979,3282)))</f>
        <v>89949553.075624257</v>
      </c>
      <c r="B9445">
        <v>149448387.44120494</v>
      </c>
    </row>
    <row r="9446" spans="1:2" x14ac:dyDescent="0.25">
      <c r="A9446">
        <f ca="1">31779.5094626111*((RANDBETWEEN(2979,3282)))</f>
        <v>96991062.879888996</v>
      </c>
      <c r="B9446">
        <v>147403389.75924623</v>
      </c>
    </row>
    <row r="9447" spans="1:2" x14ac:dyDescent="0.25">
      <c r="A9447">
        <f ca="1">30700.5740098992*((RANDBETWEEN(2979,3282)))</f>
        <v>98733046.015835911</v>
      </c>
      <c r="B9447">
        <v>150339099.71951547</v>
      </c>
    </row>
    <row r="9448" spans="1:2" x14ac:dyDescent="0.25">
      <c r="A9448">
        <f ca="1">30776.5340166328*((RANDBETWEEN(2979,3282)))</f>
        <v>98238696.581091836</v>
      </c>
      <c r="B9448">
        <v>143004636.5975731</v>
      </c>
    </row>
    <row r="9449" spans="1:2" x14ac:dyDescent="0.25">
      <c r="A9449">
        <f ca="1">28506.3152613887*((RANDBETWEEN(2979,3282)))</f>
        <v>85233882.631552294</v>
      </c>
      <c r="B9449">
        <v>199151568.6879344</v>
      </c>
    </row>
    <row r="9450" spans="1:2" x14ac:dyDescent="0.25">
      <c r="A9450">
        <f ca="1">34283.9872092977*((RANDBETWEEN(2979,3282)))</f>
        <v>110565858.74998516</v>
      </c>
      <c r="B9450">
        <v>145177783.92933622</v>
      </c>
    </row>
    <row r="9451" spans="1:2" x14ac:dyDescent="0.25">
      <c r="A9451">
        <f ca="1">30493.3687482377*((RANDBETWEEN(2979,3282)))</f>
        <v>96542005.456920639</v>
      </c>
      <c r="B9451">
        <v>197979252.66488186</v>
      </c>
    </row>
    <row r="9452" spans="1:2" x14ac:dyDescent="0.25">
      <c r="A9452">
        <f ca="1">41394.006048172*((RANDBETWEEN(2979,3282)))</f>
        <v>123892260.1021788</v>
      </c>
      <c r="B9452">
        <v>152373846.9512822</v>
      </c>
    </row>
    <row r="9453" spans="1:2" x14ac:dyDescent="0.25">
      <c r="A9453">
        <f ca="1">31324.3429955587*((RANDBETWEEN(2979,3282)))</f>
        <v>101584844.33459684</v>
      </c>
      <c r="B9453">
        <v>163957065.21779746</v>
      </c>
    </row>
    <row r="9454" spans="1:2" x14ac:dyDescent="0.25">
      <c r="A9454">
        <f ca="1">42548.4911412687*((RANDBETWEEN(2979,3282)))</f>
        <v>127262537.00353481</v>
      </c>
      <c r="B9454">
        <v>160058222.6690129</v>
      </c>
    </row>
    <row r="9455" spans="1:2" x14ac:dyDescent="0.25">
      <c r="A9455">
        <f ca="1">29816.6137145992*((RANDBETWEEN(2979,3282)))</f>
        <v>97082894.254735082</v>
      </c>
      <c r="B9455">
        <v>177383752.45194453</v>
      </c>
    </row>
    <row r="9456" spans="1:2" x14ac:dyDescent="0.25">
      <c r="A9456">
        <f ca="1">31862.613515626*((RANDBETWEEN(2979,3282)))</f>
        <v>97754498.265940636</v>
      </c>
      <c r="B9456">
        <v>159590246.51559442</v>
      </c>
    </row>
    <row r="9457" spans="1:2" x14ac:dyDescent="0.25">
      <c r="A9457">
        <f ca="1">31257.6487146131*((RANDBETWEEN(2979,3282)))</f>
        <v>99618126.453471854</v>
      </c>
      <c r="B9457">
        <v>168674054.42151052</v>
      </c>
    </row>
    <row r="9458" spans="1:2" x14ac:dyDescent="0.25">
      <c r="A9458">
        <f ca="1">31642.6387465991*((RANDBETWEEN(2979,3282)))</f>
        <v>94579847.213584691</v>
      </c>
      <c r="B9458">
        <v>144138021.20674711</v>
      </c>
    </row>
    <row r="9459" spans="1:2" x14ac:dyDescent="0.25">
      <c r="A9459">
        <f ca="1">38630.0989186601*((RANDBETWEEN(2979,3282)))</f>
        <v>124543438.91376023</v>
      </c>
      <c r="B9459">
        <v>161373124.53632361</v>
      </c>
    </row>
    <row r="9460" spans="1:2" x14ac:dyDescent="0.25">
      <c r="A9460">
        <f ca="1">28877.2960769082*((RANDBETWEEN(2979,3282)))</f>
        <v>86978415.783647537</v>
      </c>
      <c r="B9460">
        <v>149028567.75291726</v>
      </c>
    </row>
    <row r="9461" spans="1:2" x14ac:dyDescent="0.25">
      <c r="A9461">
        <f ca="1">36338.7025524047*((RANDBETWEEN(2979,3282)))</f>
        <v>109270478.57508095</v>
      </c>
      <c r="B9461">
        <v>177279366.32830411</v>
      </c>
    </row>
    <row r="9462" spans="1:2" x14ac:dyDescent="0.25">
      <c r="A9462">
        <f ca="1">32952.2614684212*((RANDBETWEEN(2979,3282)))</f>
        <v>104260955.28608461</v>
      </c>
      <c r="B9462">
        <v>147258212.17789459</v>
      </c>
    </row>
    <row r="9463" spans="1:2" x14ac:dyDescent="0.25">
      <c r="A9463">
        <f ca="1">35563.2580630983*((RANDBETWEEN(2979,3282)))</f>
        <v>112771091.31808457</v>
      </c>
      <c r="B9463">
        <v>199916862.78938162</v>
      </c>
    </row>
    <row r="9464" spans="1:2" x14ac:dyDescent="0.25">
      <c r="A9464">
        <f ca="1">33123.9455308788*((RANDBETWEEN(2979,3282)))</f>
        <v>104506048.14992246</v>
      </c>
      <c r="B9464">
        <v>146845620.88009307</v>
      </c>
    </row>
    <row r="9465" spans="1:2" x14ac:dyDescent="0.25">
      <c r="A9465">
        <f ca="1">30892.6274704022*((RANDBETWEEN(2979,3282)))</f>
        <v>98331233.238290071</v>
      </c>
      <c r="B9465">
        <v>167518914.05977559</v>
      </c>
    </row>
    <row r="9466" spans="1:2" x14ac:dyDescent="0.25">
      <c r="A9466">
        <f ca="1">28710.2632674785*((RANDBETWEEN(2979,3282)))</f>
        <v>85728846.116690695</v>
      </c>
      <c r="B9466">
        <v>146962574.36747408</v>
      </c>
    </row>
    <row r="9467" spans="1:2" x14ac:dyDescent="0.25">
      <c r="A9467">
        <f ca="1">32225.5662135749*((RANDBETWEEN(2979,3282)))</f>
        <v>102445074.99295466</v>
      </c>
      <c r="B9467">
        <v>201619201.44193411</v>
      </c>
    </row>
    <row r="9468" spans="1:2" x14ac:dyDescent="0.25">
      <c r="A9468">
        <f ca="1">32915.8183920043*((RANDBETWEEN(2979,3282)))</f>
        <v>103026511.5669733</v>
      </c>
      <c r="B9468">
        <v>197754890.17474568</v>
      </c>
    </row>
    <row r="9469" spans="1:2" x14ac:dyDescent="0.25">
      <c r="A9469">
        <f ca="1">29828.5860345096*((RANDBETWEEN(2979,3282)))</f>
        <v>96465647.235604018</v>
      </c>
      <c r="B9469">
        <v>182329778.4759655</v>
      </c>
    </row>
    <row r="9470" spans="1:2" x14ac:dyDescent="0.25">
      <c r="A9470">
        <f ca="1">31967.5049495428*((RANDBETWEEN(2979,3282)))</f>
        <v>102935365.93752792</v>
      </c>
      <c r="B9470">
        <v>200029956.10409167</v>
      </c>
    </row>
    <row r="9471" spans="1:2" x14ac:dyDescent="0.25">
      <c r="A9471">
        <f ca="1">29597.9882957822*((RANDBETWEEN(2979,3282)))</f>
        <v>89770698.501107261</v>
      </c>
      <c r="B9471">
        <v>143892762.08451381</v>
      </c>
    </row>
    <row r="9472" spans="1:2" x14ac:dyDescent="0.25">
      <c r="A9472">
        <f ca="1">31347.2827271977*((RANDBETWEEN(2979,3282)))</f>
        <v>95985379.710679337</v>
      </c>
      <c r="B9472">
        <v>153089904.59705287</v>
      </c>
    </row>
    <row r="9473" spans="1:2" x14ac:dyDescent="0.25">
      <c r="A9473">
        <f ca="1">37309.2336071764*((RANDBETWEEN(2979,3282)))</f>
        <v>111778463.88710052</v>
      </c>
      <c r="B9473">
        <v>173763872.62875491</v>
      </c>
    </row>
    <row r="9474" spans="1:2" x14ac:dyDescent="0.25">
      <c r="A9474">
        <f ca="1">30062.5810758062*((RANDBETWEEN(2979,3282)))</f>
        <v>96741385.901944429</v>
      </c>
      <c r="B9474">
        <v>165537608.83454311</v>
      </c>
    </row>
    <row r="9475" spans="1:2" x14ac:dyDescent="0.25">
      <c r="A9475">
        <f ca="1">36518.0685527221*((RANDBETWEEN(2979,3282)))</f>
        <v>116419602.54607818</v>
      </c>
      <c r="B9475">
        <v>143814951.83325708</v>
      </c>
    </row>
    <row r="9476" spans="1:2" x14ac:dyDescent="0.25">
      <c r="A9476">
        <f ca="1">40385.6543092993*((RANDBETWEEN(2979,3282)))</f>
        <v>122732003.44596055</v>
      </c>
      <c r="B9476">
        <v>177126314.23303032</v>
      </c>
    </row>
    <row r="9477" spans="1:2" x14ac:dyDescent="0.25">
      <c r="A9477">
        <f ca="1">31966.2853689973*((RANDBETWEEN(2979,3282)))</f>
        <v>103954360.01997931</v>
      </c>
      <c r="B9477">
        <v>196929169.70779899</v>
      </c>
    </row>
    <row r="9478" spans="1:2" x14ac:dyDescent="0.25">
      <c r="A9478">
        <f ca="1">31057.1629155842*((RANDBETWEEN(2979,3282)))</f>
        <v>99196578.352376074</v>
      </c>
      <c r="B9478">
        <v>149247076.47132784</v>
      </c>
    </row>
    <row r="9479" spans="1:2" x14ac:dyDescent="0.25">
      <c r="A9479">
        <f ca="1">33007.8453601786*((RANDBETWEEN(2979,3282)))</f>
        <v>98990528.235175699</v>
      </c>
      <c r="B9479">
        <v>195836014.33020192</v>
      </c>
    </row>
    <row r="9480" spans="1:2" x14ac:dyDescent="0.25">
      <c r="A9480">
        <f ca="1">32404.0484331927*((RANDBETWEEN(2979,3282)))</f>
        <v>103595742.84091717</v>
      </c>
      <c r="B9480">
        <v>185438523.60485411</v>
      </c>
    </row>
    <row r="9481" spans="1:2" x14ac:dyDescent="0.25">
      <c r="A9481">
        <f ca="1">31187.8405948628*((RANDBETWEEN(2979,3282)))</f>
        <v>96339239.59753105</v>
      </c>
      <c r="B9481">
        <v>146261093.56203693</v>
      </c>
    </row>
    <row r="9482" spans="1:2" x14ac:dyDescent="0.25">
      <c r="A9482">
        <f ca="1">33699.4735942013*((RANDBETWEEN(2979,3282)))</f>
        <v>110399475.49460357</v>
      </c>
      <c r="B9482">
        <v>144170736.59956637</v>
      </c>
    </row>
    <row r="9483" spans="1:2" x14ac:dyDescent="0.25">
      <c r="A9483">
        <f ca="1">29052.6126653325*((RANDBETWEEN(2979,3282)))</f>
        <v>95321622.154955953</v>
      </c>
      <c r="B9483">
        <v>162558127.33268535</v>
      </c>
    </row>
    <row r="9484" spans="1:2" x14ac:dyDescent="0.25">
      <c r="A9484">
        <f ca="1">40182.4228907497*((RANDBETWEEN(2979,3282)))</f>
        <v>129065942.32508795</v>
      </c>
      <c r="B9484">
        <v>150998667.91291785</v>
      </c>
    </row>
    <row r="9485" spans="1:2" x14ac:dyDescent="0.25">
      <c r="A9485">
        <f ca="1">33570.9646416657*((RANDBETWEEN(2979,3282)))</f>
        <v>106050677.30302197</v>
      </c>
      <c r="B9485">
        <v>173377656.64742351</v>
      </c>
    </row>
    <row r="9486" spans="1:2" x14ac:dyDescent="0.25">
      <c r="A9486">
        <f ca="1">29830.0897945045*((RANDBETWEEN(2979,3282)))</f>
        <v>88923497.677417845</v>
      </c>
      <c r="B9486">
        <v>169957694.28652829</v>
      </c>
    </row>
    <row r="9487" spans="1:2" x14ac:dyDescent="0.25">
      <c r="A9487">
        <f ca="1">37354.1856475207*((RANDBETWEEN(2979,3282)))</f>
        <v>113332599.25457782</v>
      </c>
      <c r="B9487">
        <v>184724848.88486847</v>
      </c>
    </row>
    <row r="9488" spans="1:2" x14ac:dyDescent="0.25">
      <c r="A9488">
        <f ca="1">41218.0657916608*((RANDBETWEEN(2979,3282)))</f>
        <v>127075296.83569014</v>
      </c>
      <c r="B9488">
        <v>187533303.48543993</v>
      </c>
    </row>
    <row r="9489" spans="1:2" x14ac:dyDescent="0.25">
      <c r="A9489">
        <f ca="1">28481.207469049*((RANDBETWEEN(2979,3282)))</f>
        <v>88633517.643680409</v>
      </c>
      <c r="B9489">
        <v>185405823.19453728</v>
      </c>
    </row>
    <row r="9490" spans="1:2" x14ac:dyDescent="0.25">
      <c r="A9490">
        <f ca="1">29181.440228757*((RANDBETWEEN(2979,3282)))</f>
        <v>90112287.426401496</v>
      </c>
      <c r="B9490">
        <v>178152289.43816406</v>
      </c>
    </row>
    <row r="9491" spans="1:2" x14ac:dyDescent="0.25">
      <c r="A9491">
        <f ca="1">36307.1624915183*((RANDBETWEEN(2979,3282)))</f>
        <v>117017984.7101634</v>
      </c>
      <c r="B9491">
        <v>177975982.06411186</v>
      </c>
    </row>
    <row r="9492" spans="1:2" x14ac:dyDescent="0.25">
      <c r="A9492">
        <f ca="1">29365.0985314213*((RANDBETWEEN(2979,3282)))</f>
        <v>89739741.112023547</v>
      </c>
      <c r="B9492">
        <v>148357157.52820942</v>
      </c>
    </row>
    <row r="9493" spans="1:2" x14ac:dyDescent="0.25">
      <c r="A9493">
        <f ca="1">38904.4392703333*((RANDBETWEEN(2979,3282)))</f>
        <v>124533110.10433704</v>
      </c>
      <c r="B9493">
        <v>199531260.45833486</v>
      </c>
    </row>
    <row r="9494" spans="1:2" x14ac:dyDescent="0.25">
      <c r="A9494">
        <f ca="1">30232.1938185195*((RANDBETWEEN(2979,3282)))</f>
        <v>94536070.070510492</v>
      </c>
      <c r="B9494">
        <v>165083009.73551199</v>
      </c>
    </row>
    <row r="9495" spans="1:2" x14ac:dyDescent="0.25">
      <c r="A9495">
        <f ca="1">34512.9055452324*((RANDBETWEEN(2979,3282)))</f>
        <v>109992629.97265558</v>
      </c>
      <c r="B9495">
        <v>163544204.78259596</v>
      </c>
    </row>
    <row r="9496" spans="1:2" x14ac:dyDescent="0.25">
      <c r="A9496">
        <f ca="1">40115.9948227793*((RANDBETWEEN(2979,3282)))</f>
        <v>121029956.38032517</v>
      </c>
      <c r="B9496">
        <v>166920616.03677922</v>
      </c>
    </row>
    <row r="9497" spans="1:2" x14ac:dyDescent="0.25">
      <c r="A9497">
        <f ca="1">31569.2052427837*((RANDBETWEEN(2979,3282)))</f>
        <v>100832041.54545113</v>
      </c>
      <c r="B9497">
        <v>182116886.14396459</v>
      </c>
    </row>
    <row r="9498" spans="1:2" x14ac:dyDescent="0.25">
      <c r="A9498">
        <f ca="1">33400.9276113204*((RANDBETWEEN(2979,3282)))</f>
        <v>107016572.06667048</v>
      </c>
      <c r="B9498">
        <v>148822496.92554903</v>
      </c>
    </row>
    <row r="9499" spans="1:2" x14ac:dyDescent="0.25">
      <c r="A9499">
        <f ca="1">33606.3677007045*((RANDBETWEEN(2979,3282)))</f>
        <v>109287907.7626911</v>
      </c>
      <c r="B9499">
        <v>182465435.37532875</v>
      </c>
    </row>
    <row r="9500" spans="1:2" x14ac:dyDescent="0.25">
      <c r="A9500">
        <f ca="1">36125.9897235373*((RANDBETWEEN(2979,3282)))</f>
        <v>108558599.11922967</v>
      </c>
      <c r="B9500">
        <v>159709910.02300745</v>
      </c>
    </row>
    <row r="9501" spans="1:2" x14ac:dyDescent="0.25">
      <c r="A9501">
        <f ca="1">31993.6332736542*((RANDBETWEEN(2979,3282)))</f>
        <v>100396021.21272692</v>
      </c>
      <c r="B9501">
        <v>151075555.6280188</v>
      </c>
    </row>
    <row r="9502" spans="1:2" x14ac:dyDescent="0.25">
      <c r="A9502">
        <f ca="1">30418.1976431948*((RANDBETWEEN(2979,3282)))</f>
        <v>93170939.381105617</v>
      </c>
      <c r="B9502">
        <v>153300215.8690356</v>
      </c>
    </row>
    <row r="9503" spans="1:2" x14ac:dyDescent="0.25">
      <c r="A9503">
        <f ca="1">33007.0948546874*((RANDBETWEEN(2979,3282)))</f>
        <v>102487029.52380426</v>
      </c>
      <c r="B9503">
        <v>169622279.32729059</v>
      </c>
    </row>
    <row r="9504" spans="1:2" x14ac:dyDescent="0.25">
      <c r="A9504">
        <f ca="1">31540.7169705524*((RANDBETWEEN(2979,3282)))</f>
        <v>96356890.34503746</v>
      </c>
      <c r="B9504">
        <v>201378111.25088814</v>
      </c>
    </row>
    <row r="9505" spans="1:2" x14ac:dyDescent="0.25">
      <c r="A9505">
        <f ca="1">35187.2231338409*((RANDBETWEEN(2979,3282)))</f>
        <v>109045204.49177289</v>
      </c>
      <c r="B9505">
        <v>180865149.27517164</v>
      </c>
    </row>
    <row r="9506" spans="1:2" x14ac:dyDescent="0.25">
      <c r="A9506">
        <f ca="1">31770.6802834864*((RANDBETWEEN(2979,3282)))</f>
        <v>98616191.59994173</v>
      </c>
      <c r="B9506">
        <v>151843448.9664664</v>
      </c>
    </row>
    <row r="9507" spans="1:2" x14ac:dyDescent="0.25">
      <c r="A9507">
        <f ca="1">33163.1360498596*((RANDBETWEEN(2979,3282)))</f>
        <v>100517465.36712472</v>
      </c>
      <c r="B9507">
        <v>190526188.64605629</v>
      </c>
    </row>
    <row r="9508" spans="1:2" x14ac:dyDescent="0.25">
      <c r="A9508">
        <f ca="1">29149.8713046465*((RANDBETWEEN(2979,3282)))</f>
        <v>94008334.957484901</v>
      </c>
      <c r="B9508">
        <v>151283090.30029753</v>
      </c>
    </row>
    <row r="9509" spans="1:2" x14ac:dyDescent="0.25">
      <c r="A9509">
        <f ca="1">32417.5951346293*((RANDBETWEEN(2979,3282)))</f>
        <v>99522017.06331189</v>
      </c>
      <c r="B9509">
        <v>156289600.88647446</v>
      </c>
    </row>
    <row r="9510" spans="1:2" x14ac:dyDescent="0.25">
      <c r="A9510">
        <f ca="1">33418.6342996914*((RANDBETWEEN(2979,3282)))</f>
        <v>103564347.69474357</v>
      </c>
      <c r="B9510">
        <v>183356164.22506541</v>
      </c>
    </row>
    <row r="9511" spans="1:2" x14ac:dyDescent="0.25">
      <c r="A9511">
        <f ca="1">29846.7053783561*((RANDBETWEEN(2979,3282)))</f>
        <v>88943182.027501345</v>
      </c>
      <c r="B9511">
        <v>182485663.83021975</v>
      </c>
    </row>
    <row r="9512" spans="1:2" x14ac:dyDescent="0.25">
      <c r="A9512">
        <f ca="1">30344.6819984122*((RANDBETWEEN(2979,3282)))</f>
        <v>90487841.719265074</v>
      </c>
      <c r="B9512">
        <v>145435127.95021048</v>
      </c>
    </row>
    <row r="9513" spans="1:2" x14ac:dyDescent="0.25">
      <c r="A9513">
        <f ca="1">29065.5360995789*((RANDBETWEEN(2979,3282)))</f>
        <v>87283804.907035485</v>
      </c>
      <c r="B9513">
        <v>196144978.79017386</v>
      </c>
    </row>
    <row r="9514" spans="1:2" x14ac:dyDescent="0.25">
      <c r="A9514">
        <f ca="1">32068.8013760863*((RANDBETWEEN(2979,3282)))</f>
        <v>102139132.38283494</v>
      </c>
      <c r="B9514">
        <v>148627619.75312993</v>
      </c>
    </row>
    <row r="9515" spans="1:2" x14ac:dyDescent="0.25">
      <c r="A9515">
        <f ca="1">29701.3908090579*((RANDBETWEEN(2979,3282)))</f>
        <v>89104172.42717357</v>
      </c>
      <c r="B9515">
        <v>162618236.56132442</v>
      </c>
    </row>
    <row r="9516" spans="1:2" x14ac:dyDescent="0.25">
      <c r="A9516">
        <f ca="1">30681.0220119193*((RANDBETWEEN(2979,3282)))</f>
        <v>98332675.548201442</v>
      </c>
      <c r="B9516">
        <v>146856470.18161261</v>
      </c>
    </row>
    <row r="9517" spans="1:2" x14ac:dyDescent="0.25">
      <c r="A9517">
        <f ca="1">32665.0269325314*((RANDBETWEEN(2979,3282)))</f>
        <v>98844371.497840106</v>
      </c>
      <c r="B9517">
        <v>193070315.64088017</v>
      </c>
    </row>
    <row r="9518" spans="1:2" x14ac:dyDescent="0.25">
      <c r="A9518">
        <f ca="1">31755.7341728087*((RANDBETWEEN(2979,3282)))</f>
        <v>103110868.85910995</v>
      </c>
      <c r="B9518">
        <v>150021070.43944591</v>
      </c>
    </row>
    <row r="9519" spans="1:2" x14ac:dyDescent="0.25">
      <c r="A9519">
        <f ca="1">31363.686240799*((RANDBETWEEN(2979,3282)))</f>
        <v>95565151.975714639</v>
      </c>
      <c r="B9519">
        <v>164337789.4863157</v>
      </c>
    </row>
    <row r="9520" spans="1:2" x14ac:dyDescent="0.25">
      <c r="A9520">
        <f ca="1">30961.4040194865*((RANDBETWEEN(2979,3282)))</f>
        <v>93255748.90669322</v>
      </c>
      <c r="B9520">
        <v>144343400.76474038</v>
      </c>
    </row>
    <row r="9521" spans="1:2" x14ac:dyDescent="0.25">
      <c r="A9521">
        <f ca="1">31930.3603158877*((RANDBETWEEN(2979,3282)))</f>
        <v>96110384.550822049</v>
      </c>
      <c r="B9521">
        <v>173197551.27457562</v>
      </c>
    </row>
    <row r="9522" spans="1:2" x14ac:dyDescent="0.25">
      <c r="A9522">
        <f ca="1">29427.777858994*((RANDBETWEEN(2979,3282)))</f>
        <v>92785783.589408129</v>
      </c>
      <c r="B9522">
        <v>148323767.12955463</v>
      </c>
    </row>
    <row r="9523" spans="1:2" x14ac:dyDescent="0.25">
      <c r="A9523">
        <f ca="1">34179.1216075936*((RANDBETWEEN(2979,3282)))</f>
        <v>111423936.44075498</v>
      </c>
      <c r="B9523">
        <v>146413689.73588997</v>
      </c>
    </row>
    <row r="9524" spans="1:2" x14ac:dyDescent="0.25">
      <c r="A9524">
        <f ca="1">42076.0365913119*((RANDBETWEEN(2979,3282)))</f>
        <v>132371211.11626734</v>
      </c>
      <c r="B9524">
        <v>197366048.79905027</v>
      </c>
    </row>
    <row r="9525" spans="1:2" x14ac:dyDescent="0.25">
      <c r="A9525">
        <f ca="1">38255.3544919821*((RANDBETWEEN(2979,3282)))</f>
        <v>117290916.87241718</v>
      </c>
      <c r="B9525">
        <v>143370189.08635509</v>
      </c>
    </row>
    <row r="9526" spans="1:2" x14ac:dyDescent="0.25">
      <c r="A9526">
        <f ca="1">28996.3293973445*((RANDBETWEEN(2979,3282)))</f>
        <v>87510922.121185735</v>
      </c>
      <c r="B9526">
        <v>157076736.05672145</v>
      </c>
    </row>
    <row r="9527" spans="1:2" x14ac:dyDescent="0.25">
      <c r="A9527">
        <f ca="1">38700.4786746529*((RANDBETWEEN(2979,3282)))</f>
        <v>116604542.24672921</v>
      </c>
      <c r="B9527">
        <v>178219546.57547474</v>
      </c>
    </row>
    <row r="9528" spans="1:2" x14ac:dyDescent="0.25">
      <c r="A9528">
        <f ca="1">31305.3113726146*((RANDBETWEEN(2979,3282)))</f>
        <v>97296907.74608624</v>
      </c>
      <c r="B9528">
        <v>150378483.36751953</v>
      </c>
    </row>
    <row r="9529" spans="1:2" x14ac:dyDescent="0.25">
      <c r="A9529">
        <f ca="1">32649.9678100697*((RANDBETWEEN(2979,3282)))</f>
        <v>105851195.640246</v>
      </c>
      <c r="B9529">
        <v>151264144.2167266</v>
      </c>
    </row>
    <row r="9530" spans="1:2" x14ac:dyDescent="0.25">
      <c r="A9530">
        <f ca="1">32931.6541571404*((RANDBETWEEN(2979,3282)))</f>
        <v>104360412.02397799</v>
      </c>
      <c r="B9530">
        <v>163316864.65280071</v>
      </c>
    </row>
    <row r="9531" spans="1:2" x14ac:dyDescent="0.25">
      <c r="A9531">
        <f ca="1">37140.0169276097*((RANDBETWEEN(2979,3282)))</f>
        <v>114911212.37402448</v>
      </c>
      <c r="B9531">
        <v>175126762.82062137</v>
      </c>
    </row>
    <row r="9532" spans="1:2" x14ac:dyDescent="0.25">
      <c r="A9532">
        <f ca="1">40889.3411618187*((RANDBETWEEN(2979,3282)))</f>
        <v>128678756.63624343</v>
      </c>
      <c r="B9532">
        <v>171766656.08556494</v>
      </c>
    </row>
    <row r="9533" spans="1:2" x14ac:dyDescent="0.25">
      <c r="A9533">
        <f ca="1">38205.2758452549*((RANDBETWEEN(2979,3282)))</f>
        <v>124587404.53137624</v>
      </c>
      <c r="B9533">
        <v>150444587.04711142</v>
      </c>
    </row>
    <row r="9534" spans="1:2" x14ac:dyDescent="0.25">
      <c r="A9534">
        <f ca="1">30830.2263627882*((RANDBETWEEN(2979,3282)))</f>
        <v>98965026.624550238</v>
      </c>
      <c r="B9534">
        <v>196575061.97092167</v>
      </c>
    </row>
    <row r="9535" spans="1:2" x14ac:dyDescent="0.25">
      <c r="A9535">
        <f ca="1">35170.4418425647*((RANDBETWEEN(2979,3282)))</f>
        <v>105792689.06243458</v>
      </c>
      <c r="B9535">
        <v>178266508.52100301</v>
      </c>
    </row>
    <row r="9536" spans="1:2" x14ac:dyDescent="0.25">
      <c r="A9536">
        <f ca="1">34622.7755211671*((RANDBETWEEN(2979,3282)))</f>
        <v>103937572.11454375</v>
      </c>
      <c r="B9536">
        <v>175538733.73564434</v>
      </c>
    </row>
    <row r="9537" spans="1:2" x14ac:dyDescent="0.25">
      <c r="A9537">
        <f ca="1">38605.9240913659*((RANDBETWEEN(2979,3282)))</f>
        <v>117555038.85820901</v>
      </c>
      <c r="B9537">
        <v>152569932.62839594</v>
      </c>
    </row>
    <row r="9538" spans="1:2" x14ac:dyDescent="0.25">
      <c r="A9538">
        <f ca="1">35261.1977123782*((RANDBETWEEN(2979,3282)))</f>
        <v>105995160.32340899</v>
      </c>
      <c r="B9538">
        <v>170348935.08875903</v>
      </c>
    </row>
    <row r="9539" spans="1:2" x14ac:dyDescent="0.25">
      <c r="A9539">
        <f ca="1">30029.0510909746*((RANDBETWEEN(2979,3282)))</f>
        <v>92579564.513474643</v>
      </c>
      <c r="B9539">
        <v>152151478.13437724</v>
      </c>
    </row>
    <row r="9540" spans="1:2" x14ac:dyDescent="0.25">
      <c r="A9540">
        <f ca="1">30881.6462122822*((RANDBETWEEN(2979,3282)))</f>
        <v>94528719.055795759</v>
      </c>
      <c r="B9540">
        <v>166872327.33079097</v>
      </c>
    </row>
    <row r="9541" spans="1:2" x14ac:dyDescent="0.25">
      <c r="A9541">
        <f ca="1">40964.4048807169*((RANDBETWEEN(2979,3282)))</f>
        <v>131741526.0963856</v>
      </c>
      <c r="B9541">
        <v>202051981.85403311</v>
      </c>
    </row>
    <row r="9542" spans="1:2" x14ac:dyDescent="0.25">
      <c r="A9542">
        <f ca="1">39689.1668964645*((RANDBETWEEN(2979,3282)))</f>
        <v>126171861.56386079</v>
      </c>
      <c r="B9542">
        <v>199828290.392598</v>
      </c>
    </row>
    <row r="9543" spans="1:2" x14ac:dyDescent="0.25">
      <c r="A9543">
        <f ca="1">34870.2192987826*((RANDBETWEEN(2979,3282)))</f>
        <v>104331696.14195763</v>
      </c>
      <c r="B9543">
        <v>170780077.43629044</v>
      </c>
    </row>
    <row r="9544" spans="1:2" x14ac:dyDescent="0.25">
      <c r="A9544">
        <f ca="1">30268.5356295416*((RANDBETWEEN(2979,3282)))</f>
        <v>92500644.883879021</v>
      </c>
      <c r="B9544">
        <v>165903941.2846213</v>
      </c>
    </row>
    <row r="9545" spans="1:2" x14ac:dyDescent="0.25">
      <c r="A9545">
        <f ca="1">40263.0128723434*((RANDBETWEEN(2979,3282)))</f>
        <v>120829301.62990256</v>
      </c>
      <c r="B9545">
        <v>147648558.0645721</v>
      </c>
    </row>
    <row r="9546" spans="1:2" x14ac:dyDescent="0.25">
      <c r="A9546">
        <f ca="1">40753.8548817183*((RANDBETWEEN(2979,3282)))</f>
        <v>126785242.53702565</v>
      </c>
      <c r="B9546">
        <v>185755759.24950638</v>
      </c>
    </row>
    <row r="9547" spans="1:2" x14ac:dyDescent="0.25">
      <c r="A9547">
        <f ca="1">38084.1424086286*((RANDBETWEEN(2979,3282)))</f>
        <v>121412245.99870813</v>
      </c>
      <c r="B9547">
        <v>150736275.65979514</v>
      </c>
    </row>
    <row r="9548" spans="1:2" x14ac:dyDescent="0.25">
      <c r="A9548">
        <f ca="1">37523.5499790945*((RANDBETWEEN(2979,3282)))</f>
        <v>112570649.93728356</v>
      </c>
      <c r="B9548">
        <v>148504218.86762995</v>
      </c>
    </row>
    <row r="9549" spans="1:2" x14ac:dyDescent="0.25">
      <c r="A9549">
        <f ca="1">30981.1707867271*((RANDBETWEEN(2979,3282)))</f>
        <v>96847139.879308954</v>
      </c>
      <c r="B9549">
        <v>151088493.52162901</v>
      </c>
    </row>
    <row r="9550" spans="1:2" x14ac:dyDescent="0.25">
      <c r="A9550">
        <f ca="1">30426.471091283*((RANDBETWEEN(2979,3282)))</f>
        <v>93135428.010417327</v>
      </c>
      <c r="B9550">
        <v>145662656.120217</v>
      </c>
    </row>
    <row r="9551" spans="1:2" x14ac:dyDescent="0.25">
      <c r="A9551">
        <f ca="1">33244.5929263032*((RANDBETWEEN(2979,3282)))</f>
        <v>102759036.73520333</v>
      </c>
      <c r="B9551">
        <v>164196607.10890681</v>
      </c>
    </row>
    <row r="9552" spans="1:2" x14ac:dyDescent="0.25">
      <c r="A9552">
        <f ca="1">33613.6040607578*((RANDBETWEEN(2979,3282)))</f>
        <v>110185394.11116399</v>
      </c>
      <c r="B9552">
        <v>149757222.70582226</v>
      </c>
    </row>
    <row r="9553" spans="1:2" x14ac:dyDescent="0.25">
      <c r="A9553">
        <f ca="1">36111.6144315995*((RANDBETWEEN(2979,3282)))</f>
        <v>116026617.16872932</v>
      </c>
      <c r="B9553">
        <v>158084691.09164411</v>
      </c>
    </row>
    <row r="9554" spans="1:2" x14ac:dyDescent="0.25">
      <c r="A9554">
        <f ca="1">36737.9153280065*((RANDBETWEEN(2979,3282)))</f>
        <v>110764814.71393959</v>
      </c>
      <c r="B9554">
        <v>191870987.63841069</v>
      </c>
    </row>
    <row r="9555" spans="1:2" x14ac:dyDescent="0.25">
      <c r="A9555">
        <f ca="1">29030.2265484761*((RANDBETWEEN(2979,3282)))</f>
        <v>93128966.767511398</v>
      </c>
      <c r="B9555">
        <v>153400296.58079296</v>
      </c>
    </row>
    <row r="9556" spans="1:2" x14ac:dyDescent="0.25">
      <c r="A9556">
        <f ca="1">31344.7930456144*((RANDBETWEEN(2979,3282)))</f>
        <v>101870577.39824694</v>
      </c>
      <c r="B9556">
        <v>183700553.01369843</v>
      </c>
    </row>
    <row r="9557" spans="1:2" x14ac:dyDescent="0.25">
      <c r="A9557">
        <f ca="1">29848.8500185758*((RANDBETWEEN(2979,3282)))</f>
        <v>92770225.857733518</v>
      </c>
      <c r="B9557">
        <v>190258750.32428089</v>
      </c>
    </row>
    <row r="9558" spans="1:2" x14ac:dyDescent="0.25">
      <c r="A9558">
        <f ca="1">37669.2365723698*((RANDBETWEEN(2979,3282)))</f>
        <v>117942379.70808975</v>
      </c>
      <c r="B9558">
        <v>160015266.18999916</v>
      </c>
    </row>
    <row r="9559" spans="1:2" x14ac:dyDescent="0.25">
      <c r="A9559">
        <f ca="1">32018.3004957204*((RANDBETWEEN(2979,3282)))</f>
        <v>96727285.797571361</v>
      </c>
      <c r="B9559">
        <v>145634048.72087082</v>
      </c>
    </row>
    <row r="9560" spans="1:2" x14ac:dyDescent="0.25">
      <c r="A9560">
        <f ca="1">31505.7675019488*((RANDBETWEEN(2979,3282)))</f>
        <v>99117144.561130971</v>
      </c>
      <c r="B9560">
        <v>144603702.52650884</v>
      </c>
    </row>
    <row r="9561" spans="1:2" x14ac:dyDescent="0.25">
      <c r="A9561">
        <f ca="1">40756.4927958501*((RANDBETWEEN(2979,3282)))</f>
        <v>129850186.04757848</v>
      </c>
      <c r="B9561">
        <v>159124619.15262702</v>
      </c>
    </row>
    <row r="9562" spans="1:2" x14ac:dyDescent="0.25">
      <c r="A9562">
        <f ca="1">31386.6219966101*((RANDBETWEEN(2979,3282)))</f>
        <v>101002149.58509141</v>
      </c>
      <c r="B9562">
        <v>162305437.8383832</v>
      </c>
    </row>
    <row r="9563" spans="1:2" x14ac:dyDescent="0.25">
      <c r="A9563">
        <f ca="1">30260.9770798236*((RANDBETWEEN(2979,3282)))</f>
        <v>98590263.326065391</v>
      </c>
      <c r="B9563">
        <v>148833932.39375651</v>
      </c>
    </row>
    <row r="9564" spans="1:2" x14ac:dyDescent="0.25">
      <c r="A9564">
        <f ca="1">39474.3640771834*((RANDBETWEEN(2979,3282)))</f>
        <v>122686323.55188595</v>
      </c>
      <c r="B9564">
        <v>157934274.27132744</v>
      </c>
    </row>
    <row r="9565" spans="1:2" x14ac:dyDescent="0.25">
      <c r="A9565">
        <f ca="1">40499.4412400784*((RANDBETWEEN(2979,3282)))</f>
        <v>128788223.14344922</v>
      </c>
      <c r="B9565">
        <v>172363804.36860776</v>
      </c>
    </row>
    <row r="9566" spans="1:2" x14ac:dyDescent="0.25">
      <c r="A9566">
        <f ca="1">29770.1438767171*((RANDBETWEEN(2979,3282)))</f>
        <v>95681242.419768617</v>
      </c>
      <c r="B9566">
        <v>148332439.9605149</v>
      </c>
    </row>
    <row r="9567" spans="1:2" x14ac:dyDescent="0.25">
      <c r="A9567">
        <f ca="1">36301.6400692716*((RANDBETWEEN(2979,3282)))</f>
        <v>110683700.57120907</v>
      </c>
      <c r="B9567">
        <v>155843658.7151092</v>
      </c>
    </row>
    <row r="9568" spans="1:2" x14ac:dyDescent="0.25">
      <c r="A9568">
        <f ca="1">31501.0784762316*((RANDBETWEEN(2979,3282)))</f>
        <v>96708310.922030911</v>
      </c>
      <c r="B9568">
        <v>171249434.08218867</v>
      </c>
    </row>
    <row r="9569" spans="1:2" x14ac:dyDescent="0.25">
      <c r="A9569">
        <f ca="1">38303.6009771177*((RANDBETWEEN(2979,3282)))</f>
        <v>115523660.54698685</v>
      </c>
      <c r="B9569">
        <v>179490092.53502923</v>
      </c>
    </row>
    <row r="9570" spans="1:2" x14ac:dyDescent="0.25">
      <c r="A9570">
        <f ca="1">40373.396508393*((RANDBETWEEN(2979,3282)))</f>
        <v>124753795.21093431</v>
      </c>
      <c r="B9570">
        <v>171343338.90837535</v>
      </c>
    </row>
    <row r="9571" spans="1:2" x14ac:dyDescent="0.25">
      <c r="A9571">
        <f ca="1">32525.0068127284*((RANDBETWEEN(2979,3282)))</f>
        <v>103949921.77348001</v>
      </c>
      <c r="B9571">
        <v>149000068.88964325</v>
      </c>
    </row>
    <row r="9572" spans="1:2" x14ac:dyDescent="0.25">
      <c r="A9572">
        <f ca="1">36175.1208178096*((RANDBETWEEN(2979,3282)))</f>
        <v>117967068.98687708</v>
      </c>
      <c r="B9572">
        <v>151788341.33503175</v>
      </c>
    </row>
    <row r="9573" spans="1:2" x14ac:dyDescent="0.25">
      <c r="A9573">
        <f ca="1">37537.1008806265*((RANDBETWEEN(2979,3282)))</f>
        <v>115576733.61144905</v>
      </c>
      <c r="B9573">
        <v>159137336.19254601</v>
      </c>
    </row>
    <row r="9574" spans="1:2" x14ac:dyDescent="0.25">
      <c r="A9574">
        <f ca="1">30075.5065153955*((RANDBETWEEN(2979,3282)))</f>
        <v>96301771.8622967</v>
      </c>
      <c r="B9574">
        <v>161904396.51517272</v>
      </c>
    </row>
    <row r="9575" spans="1:2" x14ac:dyDescent="0.25">
      <c r="A9575">
        <f ca="1">35344.438109288*((RANDBETWEEN(2979,3282)))</f>
        <v>106457447.5851755</v>
      </c>
      <c r="B9575">
        <v>145287234.17815831</v>
      </c>
    </row>
    <row r="9576" spans="1:2" x14ac:dyDescent="0.25">
      <c r="A9576">
        <f ca="1">37599.037296314*((RANDBETWEEN(2979,3282)))</f>
        <v>121369692.39250161</v>
      </c>
      <c r="B9576">
        <v>145551909.60438505</v>
      </c>
    </row>
    <row r="9577" spans="1:2" x14ac:dyDescent="0.25">
      <c r="A9577">
        <f ca="1">32180.1449832962*((RANDBETWEEN(2979,3282)))</f>
        <v>100562953.07280049</v>
      </c>
      <c r="B9577">
        <v>184026561.89065886</v>
      </c>
    </row>
    <row r="9578" spans="1:2" x14ac:dyDescent="0.25">
      <c r="A9578">
        <f ca="1">33922.0882177801*((RANDBETWEEN(2979,3282)))</f>
        <v>108007928.88541195</v>
      </c>
      <c r="B9578">
        <v>153848463.86780769</v>
      </c>
    </row>
    <row r="9579" spans="1:2" x14ac:dyDescent="0.25">
      <c r="A9579">
        <f ca="1">32135.1910551167*((RANDBETWEEN(2979,3282)))</f>
        <v>100358201.66512935</v>
      </c>
      <c r="B9579">
        <v>150171717.70106256</v>
      </c>
    </row>
    <row r="9580" spans="1:2" x14ac:dyDescent="0.25">
      <c r="A9580">
        <f ca="1">42083.6077354053*((RANDBETWEEN(2979,3282)))</f>
        <v>127302913.39960089</v>
      </c>
      <c r="B9580">
        <v>172567515.67245248</v>
      </c>
    </row>
    <row r="9581" spans="1:2" x14ac:dyDescent="0.25">
      <c r="A9581">
        <f ca="1">33779.607039049*((RANDBETWEEN(2979,3282)))</f>
        <v>106675999.0293169</v>
      </c>
      <c r="B9581">
        <v>174630462.18279761</v>
      </c>
    </row>
    <row r="9582" spans="1:2" x14ac:dyDescent="0.25">
      <c r="A9582">
        <f ca="1">32909.27846558*((RANDBETWEEN(2979,3282)))</f>
        <v>99780932.307638541</v>
      </c>
      <c r="B9582">
        <v>148109512.55177316</v>
      </c>
    </row>
    <row r="9583" spans="1:2" x14ac:dyDescent="0.25">
      <c r="A9583">
        <f ca="1">34534.1046941216*((RANDBETWEEN(2979,3282)))</f>
        <v>106710383.50483561</v>
      </c>
      <c r="B9583">
        <v>201996537.96374154</v>
      </c>
    </row>
    <row r="9584" spans="1:2" x14ac:dyDescent="0.25">
      <c r="A9584">
        <f ca="1">34828.0116606777*((RANDBETWEEN(2979,3282)))</f>
        <v>106887167.78661983</v>
      </c>
      <c r="B9584">
        <v>183914588.80053785</v>
      </c>
    </row>
    <row r="9585" spans="1:2" x14ac:dyDescent="0.25">
      <c r="A9585">
        <f ca="1">32782.9845184809*((RANDBETWEEN(2979,3282)))</f>
        <v>105397295.22691596</v>
      </c>
      <c r="B9585">
        <v>167267040.46264827</v>
      </c>
    </row>
    <row r="9586" spans="1:2" x14ac:dyDescent="0.25">
      <c r="A9586">
        <f ca="1">30965.2532794238*((RANDBETWEEN(2979,3282)))</f>
        <v>94908501.301433861</v>
      </c>
      <c r="B9586">
        <v>152330971.99421382</v>
      </c>
    </row>
    <row r="9587" spans="1:2" x14ac:dyDescent="0.25">
      <c r="A9587">
        <f ca="1">32855.4601664068*((RANDBETWEEN(2979,3282)))</f>
        <v>99453477.923713416</v>
      </c>
      <c r="B9587">
        <v>198505583.93360159</v>
      </c>
    </row>
    <row r="9588" spans="1:2" x14ac:dyDescent="0.25">
      <c r="A9588">
        <f ca="1">30605.0144015712*((RANDBETWEEN(2979,3282)))</f>
        <v>98303306.257846624</v>
      </c>
      <c r="B9588">
        <v>173157432.8548677</v>
      </c>
    </row>
    <row r="9589" spans="1:2" x14ac:dyDescent="0.25">
      <c r="A9589">
        <f ca="1">32834.9410553484*((RANDBETWEEN(2979,3282)))</f>
        <v>106286704.19616272</v>
      </c>
      <c r="B9589">
        <v>165404673.21971744</v>
      </c>
    </row>
    <row r="9590" spans="1:2" x14ac:dyDescent="0.25">
      <c r="A9590">
        <f ca="1">34964.3308586719*((RANDBETWEEN(2979,3282)))</f>
        <v>110627142.83683775</v>
      </c>
      <c r="B9590">
        <v>158696464.05220366</v>
      </c>
    </row>
    <row r="9591" spans="1:2" x14ac:dyDescent="0.25">
      <c r="A9591">
        <f ca="1">28581.4038574444*((RANDBETWEEN(2979,3282)))</f>
        <v>91489073.747679546</v>
      </c>
      <c r="B9591">
        <v>195774631.00459951</v>
      </c>
    </row>
    <row r="9592" spans="1:2" x14ac:dyDescent="0.25">
      <c r="A9592">
        <f ca="1">37215.8005782994*((RANDBETWEEN(2979,3282)))</f>
        <v>113880349.76959625</v>
      </c>
      <c r="B9592">
        <v>143513406.68394566</v>
      </c>
    </row>
    <row r="9593" spans="1:2" x14ac:dyDescent="0.25">
      <c r="A9593">
        <f ca="1">37217.186490169*((RANDBETWEEN(2979,3282)))</f>
        <v>116117621.84932728</v>
      </c>
      <c r="B9593">
        <v>144939077.64547282</v>
      </c>
    </row>
    <row r="9594" spans="1:2" x14ac:dyDescent="0.25">
      <c r="A9594">
        <f ca="1">35169.9602969514*((RANDBETWEEN(2979,3282)))</f>
        <v>110820544.895694</v>
      </c>
      <c r="B9594">
        <v>157075770.70094156</v>
      </c>
    </row>
    <row r="9595" spans="1:2" x14ac:dyDescent="0.25">
      <c r="A9595">
        <f ca="1">35334.808220265*((RANDBETWEEN(2979,3282)))</f>
        <v>113919421.70213424</v>
      </c>
      <c r="B9595">
        <v>167584975.97036731</v>
      </c>
    </row>
    <row r="9596" spans="1:2" x14ac:dyDescent="0.25">
      <c r="A9596">
        <f ca="1">33532.5581587735*((RANDBETWEEN(2979,3282)))</f>
        <v>106264676.80515318</v>
      </c>
      <c r="B9596">
        <v>165163502.01895052</v>
      </c>
    </row>
    <row r="9597" spans="1:2" x14ac:dyDescent="0.25">
      <c r="A9597">
        <f ca="1">31775.5612277217*((RANDBETWEEN(2979,3282)))</f>
        <v>94691172.45861052</v>
      </c>
      <c r="B9597">
        <v>199358360.13809642</v>
      </c>
    </row>
    <row r="9598" spans="1:2" x14ac:dyDescent="0.25">
      <c r="A9598">
        <f ca="1">33306.3794354139*((RANDBETWEEN(2979,3282)))</f>
        <v>104049129.35623302</v>
      </c>
      <c r="B9598">
        <v>186467428.98525006</v>
      </c>
    </row>
    <row r="9599" spans="1:2" x14ac:dyDescent="0.25">
      <c r="A9599">
        <f ca="1">38263.1008249582*((RANDBETWEEN(2979,3282)))</f>
        <v>114674513.17239963</v>
      </c>
      <c r="B9599">
        <v>157262213.18237799</v>
      </c>
    </row>
    <row r="9600" spans="1:2" x14ac:dyDescent="0.25">
      <c r="A9600">
        <f ca="1">37440.7199856796*((RANDBETWEEN(2979,3282)))</f>
        <v>113407940.83662359</v>
      </c>
      <c r="B9600">
        <v>145716662.00380754</v>
      </c>
    </row>
    <row r="9601" spans="1:2" x14ac:dyDescent="0.25">
      <c r="A9601">
        <f ca="1">40495.9682159197*((RANDBETWEEN(2979,3282)))</f>
        <v>121771376.42527068</v>
      </c>
      <c r="B9601">
        <v>189480369.88471699</v>
      </c>
    </row>
    <row r="9602" spans="1:2" x14ac:dyDescent="0.25">
      <c r="A9602">
        <f ca="1">34303.1390107594*((RANDBETWEEN(2979,3282)))</f>
        <v>107300218.82565533</v>
      </c>
      <c r="B9602">
        <v>150215045.57831681</v>
      </c>
    </row>
    <row r="9603" spans="1:2" x14ac:dyDescent="0.25">
      <c r="A9603">
        <f ca="1">29696.1468017025*((RANDBETWEEN(2979,3282)))</f>
        <v>91642309.030054003</v>
      </c>
      <c r="B9603">
        <v>162508378.06318548</v>
      </c>
    </row>
    <row r="9604" spans="1:2" x14ac:dyDescent="0.25">
      <c r="A9604">
        <f ca="1">32765.815766346*((RANDBETWEEN(2979,3282)))</f>
        <v>97674896.799477473</v>
      </c>
      <c r="B9604">
        <v>159854379.65042782</v>
      </c>
    </row>
    <row r="9605" spans="1:2" x14ac:dyDescent="0.25">
      <c r="A9605">
        <f ca="1">29861.2482617453*((RANDBETWEEN(2979,3282)))</f>
        <v>93943487.031450644</v>
      </c>
      <c r="B9605">
        <v>147172622.78928518</v>
      </c>
    </row>
    <row r="9606" spans="1:2" x14ac:dyDescent="0.25">
      <c r="A9606">
        <f ca="1">30296.7746986169*((RANDBETWEEN(2979,3282)))</f>
        <v>92465756.38017869</v>
      </c>
      <c r="B9606">
        <v>161414165.76368609</v>
      </c>
    </row>
    <row r="9607" spans="1:2" x14ac:dyDescent="0.25">
      <c r="A9607">
        <f ca="1">32876.5779652995*((RANDBETWEEN(2979,3282)))</f>
        <v>101128353.82126123</v>
      </c>
      <c r="B9607">
        <v>186887058.42643726</v>
      </c>
    </row>
    <row r="9608" spans="1:2" x14ac:dyDescent="0.25">
      <c r="A9608">
        <f ca="1">33178.6365328608*((RANDBETWEEN(2979,3282)))</f>
        <v>101659342.33668548</v>
      </c>
      <c r="B9608">
        <v>149229775.92217258</v>
      </c>
    </row>
    <row r="9609" spans="1:2" x14ac:dyDescent="0.25">
      <c r="A9609">
        <f ca="1">29418.7813168025*((RANDBETWEEN(2979,3282)))</f>
        <v>93787074.837966338</v>
      </c>
      <c r="B9609">
        <v>151623336.58925691</v>
      </c>
    </row>
    <row r="9610" spans="1:2" x14ac:dyDescent="0.25">
      <c r="A9610">
        <f ca="1">31971.7678340038*((RANDBETWEEN(2979,3282)))</f>
        <v>101446419.33729419</v>
      </c>
      <c r="B9610">
        <v>152537493.07088837</v>
      </c>
    </row>
    <row r="9611" spans="1:2" x14ac:dyDescent="0.25">
      <c r="A9611">
        <f ca="1">37555.0108146104*((RANDBETWEEN(2979,3282)))</f>
        <v>118148064.02276422</v>
      </c>
      <c r="B9611">
        <v>159455979.7648434</v>
      </c>
    </row>
    <row r="9612" spans="1:2" x14ac:dyDescent="0.25">
      <c r="A9612">
        <f ca="1">29823.8400369892*((RANDBETWEEN(2979,3282)))</f>
        <v>97195894.680547953</v>
      </c>
      <c r="B9612">
        <v>194372698.7543264</v>
      </c>
    </row>
    <row r="9613" spans="1:2" x14ac:dyDescent="0.25">
      <c r="A9613">
        <f ca="1">34513.5895747431*((RANDBETWEEN(2979,3282)))</f>
        <v>103023064.88060826</v>
      </c>
      <c r="B9613">
        <v>196913480.30830657</v>
      </c>
    </row>
    <row r="9614" spans="1:2" x14ac:dyDescent="0.25">
      <c r="A9614">
        <f ca="1">39706.2962652449*((RANDBETWEEN(2979,3282)))</f>
        <v>119754189.53597875</v>
      </c>
      <c r="B9614">
        <v>143611826.0170483</v>
      </c>
    </row>
    <row r="9615" spans="1:2" x14ac:dyDescent="0.25">
      <c r="A9615">
        <f ca="1">34228.1082420431*((RANDBETWEEN(2979,3282)))</f>
        <v>105011836.08658825</v>
      </c>
      <c r="B9615">
        <v>194799335.84270561</v>
      </c>
    </row>
    <row r="9616" spans="1:2" x14ac:dyDescent="0.25">
      <c r="A9616">
        <f ca="1">30976.7174359637*((RANDBETWEEN(2979,3282)))</f>
        <v>98227170.989441037</v>
      </c>
      <c r="B9616">
        <v>193007751.67819917</v>
      </c>
    </row>
    <row r="9617" spans="1:2" x14ac:dyDescent="0.25">
      <c r="A9617">
        <f ca="1">32811.6206190683*((RANDBETWEEN(2979,3282)))</f>
        <v>99025471.028347999</v>
      </c>
      <c r="B9617">
        <v>187949010.65358096</v>
      </c>
    </row>
    <row r="9618" spans="1:2" x14ac:dyDescent="0.25">
      <c r="A9618">
        <f ca="1">30654.1517818932*((RANDBETWEEN(2979,3282)))</f>
        <v>93863012.756156906</v>
      </c>
      <c r="B9618">
        <v>170078264.28364456</v>
      </c>
    </row>
    <row r="9619" spans="1:2" x14ac:dyDescent="0.25">
      <c r="A9619">
        <f ca="1">31680.8024423457*((RANDBETWEEN(2979,3282)))</f>
        <v>98558976.398137361</v>
      </c>
      <c r="B9619">
        <v>176953505.51084602</v>
      </c>
    </row>
    <row r="9620" spans="1:2" x14ac:dyDescent="0.25">
      <c r="A9620">
        <f ca="1">29430.0220977631*((RANDBETWEEN(2979,3282)))</f>
        <v>93175449.961517945</v>
      </c>
      <c r="B9620">
        <v>143411130.50950482</v>
      </c>
    </row>
    <row r="9621" spans="1:2" x14ac:dyDescent="0.25">
      <c r="A9621">
        <f ca="1">32869.5261955348*((RANDBETWEEN(2979,3282)))</f>
        <v>107516220.18559428</v>
      </c>
      <c r="B9621">
        <v>144442986.49763721</v>
      </c>
    </row>
    <row r="9622" spans="1:2" x14ac:dyDescent="0.25">
      <c r="A9622">
        <f ca="1">29272.675477747*((RANDBETWEEN(2979,3282)))</f>
        <v>91477110.867959231</v>
      </c>
      <c r="B9622">
        <v>198952989.20439067</v>
      </c>
    </row>
    <row r="9623" spans="1:2" x14ac:dyDescent="0.25">
      <c r="A9623">
        <f ca="1">27588.7187076871*((RANDBETWEEN(2979,3282)))</f>
        <v>86131979.80539903</v>
      </c>
      <c r="B9623">
        <v>175155778.98803237</v>
      </c>
    </row>
    <row r="9624" spans="1:2" x14ac:dyDescent="0.25">
      <c r="A9624">
        <f ca="1">32472.0874877976*((RANDBETWEEN(2979,3282)))</f>
        <v>103358654.47365978</v>
      </c>
      <c r="B9624">
        <v>181633496.57520884</v>
      </c>
    </row>
    <row r="9625" spans="1:2" x14ac:dyDescent="0.25">
      <c r="A9625">
        <f ca="1">40670.0416302678*((RANDBETWEEN(2979,3282)))</f>
        <v>132665675.79793353</v>
      </c>
      <c r="B9625">
        <v>199345373.83761412</v>
      </c>
    </row>
    <row r="9626" spans="1:2" x14ac:dyDescent="0.25">
      <c r="A9626">
        <f ca="1">32825.0455629285*((RANDBETWEEN(2979,3282)))</f>
        <v>101757641.24507834</v>
      </c>
      <c r="B9626">
        <v>148500542.915797</v>
      </c>
    </row>
    <row r="9627" spans="1:2" x14ac:dyDescent="0.25">
      <c r="A9627">
        <f ca="1">39592.3620868002*((RANDBETWEEN(2979,3282)))</f>
        <v>129744170.55844437</v>
      </c>
      <c r="B9627">
        <v>147508757.60552135</v>
      </c>
    </row>
    <row r="9628" spans="1:2" x14ac:dyDescent="0.25">
      <c r="A9628">
        <f ca="1">32877.9826089357*((RANDBETWEEN(2979,3282)))</f>
        <v>106426029.70512493</v>
      </c>
      <c r="B9628">
        <v>173024419.72943687</v>
      </c>
    </row>
    <row r="9629" spans="1:2" x14ac:dyDescent="0.25">
      <c r="A9629">
        <f ca="1">29426.7611257026*((RANDBETWEEN(2979,3282)))</f>
        <v>92282322.890203327</v>
      </c>
      <c r="B9629">
        <v>193210012.70633277</v>
      </c>
    </row>
    <row r="9630" spans="1:2" x14ac:dyDescent="0.25">
      <c r="A9630">
        <f ca="1">31161.0591974854*((RANDBETWEEN(2979,3282)))</f>
        <v>93389694.414863646</v>
      </c>
      <c r="B9630">
        <v>161231852.80571744</v>
      </c>
    </row>
    <row r="9631" spans="1:2" x14ac:dyDescent="0.25">
      <c r="A9631">
        <f ca="1">36219.2072662866*((RANDBETWEEN(2979,3282)))</f>
        <v>111591377.58742896</v>
      </c>
      <c r="B9631">
        <v>148782147.60121012</v>
      </c>
    </row>
    <row r="9632" spans="1:2" x14ac:dyDescent="0.25">
      <c r="A9632">
        <f ca="1">35351.8075396872*((RANDBETWEEN(2979,3282)))</f>
        <v>111994526.28572908</v>
      </c>
      <c r="B9632">
        <v>172021502.86702564</v>
      </c>
    </row>
    <row r="9633" spans="1:2" x14ac:dyDescent="0.25">
      <c r="A9633">
        <f ca="1">34080.2003382405*((RANDBETWEEN(2979,3282)))</f>
        <v>109567844.08744305</v>
      </c>
      <c r="B9633">
        <v>175615895.11894539</v>
      </c>
    </row>
    <row r="9634" spans="1:2" x14ac:dyDescent="0.25">
      <c r="A9634">
        <f ca="1">31330.4001077359*((RANDBETWEEN(2979,3282)))</f>
        <v>97437544.33505851</v>
      </c>
      <c r="B9634">
        <v>182153888.55134654</v>
      </c>
    </row>
    <row r="9635" spans="1:2" x14ac:dyDescent="0.25">
      <c r="A9635">
        <f ca="1">39497.291387675*((RANDBETWEEN(2979,3282)))</f>
        <v>129353629.29463561</v>
      </c>
      <c r="B9635">
        <v>190924243.8124975</v>
      </c>
    </row>
    <row r="9636" spans="1:2" x14ac:dyDescent="0.25">
      <c r="A9636">
        <f ca="1">32953.7524695315*((RANDBETWEEN(2979,3282)))</f>
        <v>103639551.51667663</v>
      </c>
      <c r="B9636">
        <v>145405557.27491364</v>
      </c>
    </row>
    <row r="9637" spans="1:2" x14ac:dyDescent="0.25">
      <c r="A9637">
        <f ca="1">36114.3106896802*((RANDBETWEEN(2979,3282)))</f>
        <v>114265679.02214807</v>
      </c>
      <c r="B9637">
        <v>159355494.12374091</v>
      </c>
    </row>
    <row r="9638" spans="1:2" x14ac:dyDescent="0.25">
      <c r="A9638">
        <f ca="1">35720.7462352192*((RANDBETWEEN(2979,3282)))</f>
        <v>115092244.36987615</v>
      </c>
      <c r="B9638">
        <v>155963714.88210559</v>
      </c>
    </row>
    <row r="9639" spans="1:2" x14ac:dyDescent="0.25">
      <c r="A9639">
        <f ca="1">41801.8115480127*((RANDBETWEEN(2979,3282)))</f>
        <v>130965075.57992393</v>
      </c>
      <c r="B9639">
        <v>150876185.55313736</v>
      </c>
    </row>
    <row r="9640" spans="1:2" x14ac:dyDescent="0.25">
      <c r="A9640">
        <f ca="1">31643.5181181288*((RANDBETWEEN(2979,3282)))</f>
        <v>94930554.354386449</v>
      </c>
      <c r="B9640">
        <v>155989216.66078314</v>
      </c>
    </row>
    <row r="9641" spans="1:2" x14ac:dyDescent="0.25">
      <c r="A9641">
        <f ca="1">29134.9090979981*((RANDBETWEEN(2979,3282)))</f>
        <v>95475097.114139795</v>
      </c>
      <c r="B9641">
        <v>150849679.40493432</v>
      </c>
    </row>
    <row r="9642" spans="1:2" x14ac:dyDescent="0.25">
      <c r="A9642">
        <f ca="1">31763.2449234557*((RANDBETWEEN(2979,3282)))</f>
        <v>102912913.55199639</v>
      </c>
      <c r="B9642">
        <v>146543453.49022579</v>
      </c>
    </row>
    <row r="9643" spans="1:2" x14ac:dyDescent="0.25">
      <c r="A9643">
        <f ca="1">28785.0656511267*((RANDBETWEEN(2979,3282)))</f>
        <v>88370151.548958853</v>
      </c>
      <c r="B9643">
        <v>147839528.50712296</v>
      </c>
    </row>
    <row r="9644" spans="1:2" x14ac:dyDescent="0.25">
      <c r="A9644">
        <f ca="1">30862.9828582612*((RANDBETWEEN(2979,3282)))</f>
        <v>92928441.386224598</v>
      </c>
      <c r="B9644">
        <v>197841990.07444191</v>
      </c>
    </row>
    <row r="9645" spans="1:2" x14ac:dyDescent="0.25">
      <c r="A9645">
        <f ca="1">31542.3725857537*((RANDBETWEEN(2979,3282)))</f>
        <v>101755693.9616414</v>
      </c>
      <c r="B9645">
        <v>167817629.13027328</v>
      </c>
    </row>
    <row r="9646" spans="1:2" x14ac:dyDescent="0.25">
      <c r="A9646">
        <f ca="1">29388.9319988213*((RANDBETWEEN(2979,3282)))</f>
        <v>93633137.348244697</v>
      </c>
      <c r="B9646">
        <v>148431099.35821396</v>
      </c>
    </row>
    <row r="9647" spans="1:2" x14ac:dyDescent="0.25">
      <c r="A9647">
        <f ca="1">33095.1317072019*((RANDBETWEEN(2979,3282)))</f>
        <v>107790843.97035669</v>
      </c>
      <c r="B9647">
        <v>195008385.49103978</v>
      </c>
    </row>
    <row r="9648" spans="1:2" x14ac:dyDescent="0.25">
      <c r="A9648">
        <f ca="1">29541.6770035978*((RANDBETWEEN(2979,3282)))</f>
        <v>88034197.470721453</v>
      </c>
      <c r="B9648">
        <v>155888875.06286877</v>
      </c>
    </row>
    <row r="9649" spans="1:2" x14ac:dyDescent="0.25">
      <c r="A9649">
        <f ca="1">31990.3283722617*((RANDBETWEEN(2979,3282)))</f>
        <v>99905795.50657329</v>
      </c>
      <c r="B9649">
        <v>180498775.86649445</v>
      </c>
    </row>
    <row r="9650" spans="1:2" x14ac:dyDescent="0.25">
      <c r="A9650">
        <f ca="1">28493.5439451197*((RANDBETWEEN(2979,3282)))</f>
        <v>91065366.448602721</v>
      </c>
      <c r="B9650">
        <v>179266243.21040952</v>
      </c>
    </row>
    <row r="9651" spans="1:2" x14ac:dyDescent="0.25">
      <c r="A9651">
        <f ca="1">31597.9962279401*((RANDBETWEEN(2979,3282)))</f>
        <v>100228844.035026</v>
      </c>
      <c r="B9651">
        <v>155687291.9000479</v>
      </c>
    </row>
    <row r="9652" spans="1:2" x14ac:dyDescent="0.25">
      <c r="A9652">
        <f ca="1">31365.7493322165*((RANDBETWEEN(2979,3282)))</f>
        <v>102660097.56434467</v>
      </c>
      <c r="B9652">
        <v>170228289.59854013</v>
      </c>
    </row>
    <row r="9653" spans="1:2" x14ac:dyDescent="0.25">
      <c r="A9653">
        <f ca="1">29469.8755992867*((RANDBETWEEN(2979,3282)))</f>
        <v>95069818.683298901</v>
      </c>
      <c r="B9653">
        <v>153108490.17637739</v>
      </c>
    </row>
    <row r="9654" spans="1:2" x14ac:dyDescent="0.25">
      <c r="A9654">
        <f ca="1">34040.2358848067*((RANDBETWEEN(2979,3282)))</f>
        <v>104741805.81755033</v>
      </c>
      <c r="B9654">
        <v>189685567.49393326</v>
      </c>
    </row>
    <row r="9655" spans="1:2" x14ac:dyDescent="0.25">
      <c r="A9655">
        <f ca="1">29540.9778032209*((RANDBETWEEN(2979,3282)))</f>
        <v>93349489.85817799</v>
      </c>
      <c r="B9655">
        <v>146270167.23847181</v>
      </c>
    </row>
    <row r="9656" spans="1:2" x14ac:dyDescent="0.25">
      <c r="A9656">
        <f ca="1">28279.6850427488*((RANDBETWEEN(2979,3282)))</f>
        <v>88543693.868846431</v>
      </c>
      <c r="B9656">
        <v>154031791.64894718</v>
      </c>
    </row>
    <row r="9657" spans="1:2" x14ac:dyDescent="0.25">
      <c r="A9657">
        <f ca="1">41627.080469937*((RANDBETWEEN(2979,3282)))</f>
        <v>124506597.68558161</v>
      </c>
      <c r="B9657">
        <v>187944117.13969055</v>
      </c>
    </row>
    <row r="9658" spans="1:2" x14ac:dyDescent="0.25">
      <c r="A9658">
        <f ca="1">29287.2339032491*((RANDBETWEEN(2979,3282)))</f>
        <v>87422393.201198578</v>
      </c>
      <c r="B9658">
        <v>155181467.60866976</v>
      </c>
    </row>
    <row r="9659" spans="1:2" x14ac:dyDescent="0.25">
      <c r="A9659">
        <f ca="1">27968.08093234*((RANDBETWEEN(2979,3282)))</f>
        <v>84239859.768208116</v>
      </c>
      <c r="B9659">
        <v>148967662.71755117</v>
      </c>
    </row>
    <row r="9660" spans="1:2" x14ac:dyDescent="0.25">
      <c r="A9660">
        <f ca="1">32335.1740575198*((RANDBETWEEN(2979,3282)))</f>
        <v>102243820.36987767</v>
      </c>
      <c r="B9660">
        <v>179149508.38476336</v>
      </c>
    </row>
    <row r="9661" spans="1:2" x14ac:dyDescent="0.25">
      <c r="A9661">
        <f ca="1">34004.5506228836*((RANDBETWEEN(2979,3282)))</f>
        <v>102455711.0267484</v>
      </c>
      <c r="B9661">
        <v>144894526.33165869</v>
      </c>
    </row>
    <row r="9662" spans="1:2" x14ac:dyDescent="0.25">
      <c r="A9662">
        <f ca="1">30502.4892512671*((RANDBETWEEN(2979,3282)))</f>
        <v>91751487.667811543</v>
      </c>
      <c r="B9662">
        <v>146237885.28863674</v>
      </c>
    </row>
    <row r="9663" spans="1:2" x14ac:dyDescent="0.25">
      <c r="A9663">
        <f ca="1">30016.2204558103*((RANDBETWEEN(2979,3282)))</f>
        <v>92960234.751644611</v>
      </c>
      <c r="B9663">
        <v>150403018.11284012</v>
      </c>
    </row>
    <row r="9664" spans="1:2" x14ac:dyDescent="0.25">
      <c r="A9664">
        <f ca="1">32487.4257121939*((RANDBETWEEN(2979,3282)))</f>
        <v>104577023.36755216</v>
      </c>
      <c r="B9664">
        <v>157383903.02828047</v>
      </c>
    </row>
    <row r="9665" spans="1:2" x14ac:dyDescent="0.25">
      <c r="A9665">
        <f ca="1">39158.1430364099*((RANDBETWEEN(2979,3282)))</f>
        <v>122760778.41914499</v>
      </c>
      <c r="B9665">
        <v>164831424.16908687</v>
      </c>
    </row>
    <row r="9666" spans="1:2" x14ac:dyDescent="0.25">
      <c r="A9666">
        <f ca="1">34371.8175912783*((RANDBETWEEN(2979,3282)))</f>
        <v>107686904.51347505</v>
      </c>
      <c r="B9666">
        <v>202480063.25011045</v>
      </c>
    </row>
    <row r="9667" spans="1:2" x14ac:dyDescent="0.25">
      <c r="A9667">
        <f ca="1">31242.6326518157*((RANDBETWEEN(2979,3282)))</f>
        <v>99632755.526640266</v>
      </c>
      <c r="B9667">
        <v>158003754.44369644</v>
      </c>
    </row>
    <row r="9668" spans="1:2" x14ac:dyDescent="0.25">
      <c r="A9668">
        <f ca="1">36547.1212560275*((RANDBETWEEN(2979,3282)))</f>
        <v>112309303.61977251</v>
      </c>
      <c r="B9668">
        <v>155086762.72354496</v>
      </c>
    </row>
    <row r="9669" spans="1:2" x14ac:dyDescent="0.25">
      <c r="A9669">
        <f ca="1">29822.196356418*((RANDBETWEEN(2979,3282)))</f>
        <v>93701340.951865345</v>
      </c>
      <c r="B9669">
        <v>151807431.63313508</v>
      </c>
    </row>
    <row r="9670" spans="1:2" x14ac:dyDescent="0.25">
      <c r="A9670">
        <f ca="1">36386.7671801788*((RANDBETWEEN(2979,3282)))</f>
        <v>115382438.72834697</v>
      </c>
      <c r="B9670">
        <v>167821467.00276974</v>
      </c>
    </row>
    <row r="9671" spans="1:2" x14ac:dyDescent="0.25">
      <c r="A9671">
        <f ca="1">32709.0535690538*((RANDBETWEEN(2979,3282)))</f>
        <v>106696932.74225359</v>
      </c>
      <c r="B9671">
        <v>156847429.28952831</v>
      </c>
    </row>
    <row r="9672" spans="1:2" x14ac:dyDescent="0.25">
      <c r="A9672">
        <f ca="1">29211.1747857401*((RANDBETWEEN(2979,3282)))</f>
        <v>89298561.320007488</v>
      </c>
      <c r="B9672">
        <v>182199294.38052565</v>
      </c>
    </row>
    <row r="9673" spans="1:2" x14ac:dyDescent="0.25">
      <c r="A9673">
        <f ca="1">30911.9114881164*((RANDBETWEEN(2979,3282)))</f>
        <v>98763557.204531878</v>
      </c>
      <c r="B9673">
        <v>150550521.07885498</v>
      </c>
    </row>
    <row r="9674" spans="1:2" x14ac:dyDescent="0.25">
      <c r="A9674">
        <f ca="1">30577.7117045403*((RANDBETWEEN(2979,3282)))</f>
        <v>91610824.266802832</v>
      </c>
      <c r="B9674">
        <v>184327456.84123909</v>
      </c>
    </row>
    <row r="9675" spans="1:2" x14ac:dyDescent="0.25">
      <c r="A9675">
        <f ca="1">30529.5724460847*((RANDBETWEEN(2979,3282)))</f>
        <v>98702107.718191937</v>
      </c>
      <c r="B9675">
        <v>186782390.56511948</v>
      </c>
    </row>
    <row r="9676" spans="1:2" x14ac:dyDescent="0.25">
      <c r="A9676">
        <f ca="1">32317.6063246439*((RANDBETWEEN(2979,3282)))</f>
        <v>104127327.5780025</v>
      </c>
      <c r="B9676">
        <v>143262548.97586632</v>
      </c>
    </row>
    <row r="9677" spans="1:2" x14ac:dyDescent="0.25">
      <c r="A9677">
        <f ca="1">33126.3964401248*((RANDBETWEEN(2979,3282)))</f>
        <v>104546907.16503385</v>
      </c>
      <c r="B9677">
        <v>174877929.40366369</v>
      </c>
    </row>
    <row r="9678" spans="1:2" x14ac:dyDescent="0.25">
      <c r="A9678">
        <f ca="1">31613.8400932446*((RANDBETWEEN(2979,3282)))</f>
        <v>95315727.881132558</v>
      </c>
      <c r="B9678">
        <v>149942331.06163955</v>
      </c>
    </row>
    <row r="9679" spans="1:2" x14ac:dyDescent="0.25">
      <c r="A9679">
        <f ca="1">30633.15468274*((RANDBETWEEN(2979,3282)))</f>
        <v>93614920.710453302</v>
      </c>
      <c r="B9679">
        <v>197759632.6924234</v>
      </c>
    </row>
    <row r="9680" spans="1:2" x14ac:dyDescent="0.25">
      <c r="A9680">
        <f ca="1">30075.8323939508*((RANDBETWEEN(2979,3282)))</f>
        <v>92302729.617034867</v>
      </c>
      <c r="B9680">
        <v>162804887.84755331</v>
      </c>
    </row>
    <row r="9681" spans="1:2" x14ac:dyDescent="0.25">
      <c r="A9681">
        <f ca="1">32070.2605630801*((RANDBETWEEN(2979,3282)))</f>
        <v>97589802.8934526</v>
      </c>
      <c r="B9681">
        <v>151879786.55565268</v>
      </c>
    </row>
    <row r="9682" spans="1:2" x14ac:dyDescent="0.25">
      <c r="A9682">
        <f ca="1">30245.613871192*((RANDBETWEEN(2979,3282)))</f>
        <v>94971227.555542827</v>
      </c>
      <c r="B9682">
        <v>146428422.20909488</v>
      </c>
    </row>
    <row r="9683" spans="1:2" x14ac:dyDescent="0.25">
      <c r="A9683">
        <f ca="1">31265.6932544331*((RANDBETWEEN(2979,3282)))</f>
        <v>102019957.08921506</v>
      </c>
      <c r="B9683">
        <v>194709218.05564654</v>
      </c>
    </row>
    <row r="9684" spans="1:2" x14ac:dyDescent="0.25">
      <c r="A9684">
        <f ca="1">32905.8944997631*((RANDBETWEEN(2979,3282)))</f>
        <v>99145460.127786085</v>
      </c>
      <c r="B9684">
        <v>203173848.76683301</v>
      </c>
    </row>
    <row r="9685" spans="1:2" x14ac:dyDescent="0.25">
      <c r="A9685">
        <f ca="1">32503.0588069914*((RANDBETWEEN(2979,3282)))</f>
        <v>99036820.184902743</v>
      </c>
      <c r="B9685">
        <v>159963071.21639943</v>
      </c>
    </row>
    <row r="9686" spans="1:2" x14ac:dyDescent="0.25">
      <c r="A9686">
        <f ca="1">35603.4861219873*((RANDBETWEEN(2979,3282)))</f>
        <v>110655634.86713648</v>
      </c>
      <c r="B9686">
        <v>143046827.43497264</v>
      </c>
    </row>
    <row r="9687" spans="1:2" x14ac:dyDescent="0.25">
      <c r="A9687">
        <f ca="1">28093.5317948358*((RANDBETWEEN(2979,3282)))</f>
        <v>86415703.800914854</v>
      </c>
      <c r="B9687">
        <v>143800845.33203942</v>
      </c>
    </row>
    <row r="9688" spans="1:2" x14ac:dyDescent="0.25">
      <c r="A9688">
        <f ca="1">32394.5057338748*((RANDBETWEEN(2979,3282)))</f>
        <v>99321554.580060035</v>
      </c>
      <c r="B9688">
        <v>152364701.39094859</v>
      </c>
    </row>
    <row r="9689" spans="1:2" x14ac:dyDescent="0.25">
      <c r="A9689">
        <f ca="1">28011.1207509598*((RANDBETWEEN(2979,3282)))</f>
        <v>89831664.24832812</v>
      </c>
      <c r="B9689">
        <v>164072778.44387603</v>
      </c>
    </row>
    <row r="9690" spans="1:2" x14ac:dyDescent="0.25">
      <c r="A9690">
        <f ca="1">41201.4314250199*((RANDBETWEEN(2979,3282)))</f>
        <v>127806840.28041181</v>
      </c>
      <c r="B9690">
        <v>174063692.8600657</v>
      </c>
    </row>
    <row r="9691" spans="1:2" x14ac:dyDescent="0.25">
      <c r="A9691">
        <f ca="1">36803.0269214562*((RANDBETWEEN(2979,3282)))</f>
        <v>118800170.90246066</v>
      </c>
      <c r="B9691">
        <v>160697482.73563302</v>
      </c>
    </row>
    <row r="9692" spans="1:2" x14ac:dyDescent="0.25">
      <c r="A9692">
        <f ca="1">30233.6492749172*((RANDBETWEEN(2979,3282)))</f>
        <v>92333564.885597095</v>
      </c>
      <c r="B9692">
        <v>175403428.31421214</v>
      </c>
    </row>
    <row r="9693" spans="1:2" x14ac:dyDescent="0.25">
      <c r="A9693">
        <f ca="1">37168.0736582409*((RANDBETWEEN(2979,3282)))</f>
        <v>118714827.26442146</v>
      </c>
      <c r="B9693">
        <v>143782175.22609076</v>
      </c>
    </row>
    <row r="9694" spans="1:2" x14ac:dyDescent="0.25">
      <c r="A9694">
        <f ca="1">40808.1172354001*((RANDBETWEEN(2979,3282)))</f>
        <v>125852233.55397394</v>
      </c>
      <c r="B9694">
        <v>162553226.09328955</v>
      </c>
    </row>
    <row r="9695" spans="1:2" x14ac:dyDescent="0.25">
      <c r="A9695">
        <f ca="1">30395.3582605908*((RANDBETWEEN(2979,3282)))</f>
        <v>93769680.233922586</v>
      </c>
      <c r="B9695">
        <v>154531186.43529472</v>
      </c>
    </row>
    <row r="9696" spans="1:2" x14ac:dyDescent="0.25">
      <c r="A9696">
        <f ca="1">28070.8538542515*((RANDBETWEEN(2979,3282)))</f>
        <v>89096890.13339445</v>
      </c>
      <c r="B9696">
        <v>145581861.22350729</v>
      </c>
    </row>
    <row r="9697" spans="1:2" x14ac:dyDescent="0.25">
      <c r="A9697">
        <f ca="1">33140.7692792038*((RANDBETWEEN(2979,3282)))</f>
        <v>105884757.84705609</v>
      </c>
      <c r="B9697">
        <v>161568942.57802096</v>
      </c>
    </row>
    <row r="9698" spans="1:2" x14ac:dyDescent="0.25">
      <c r="A9698">
        <f ca="1">40094.5915199273*((RANDBETWEEN(2979,3282)))</f>
        <v>125014936.35913336</v>
      </c>
      <c r="B9698">
        <v>185688222.97538367</v>
      </c>
    </row>
    <row r="9699" spans="1:2" x14ac:dyDescent="0.25">
      <c r="A9699">
        <f ca="1">31500.3144729158*((RANDBETWEEN(2979,3282)))</f>
        <v>96579964.173959762</v>
      </c>
      <c r="B9699">
        <v>150472872.04629439</v>
      </c>
    </row>
    <row r="9700" spans="1:2" x14ac:dyDescent="0.25">
      <c r="A9700">
        <f ca="1">37769.9045306684*((RANDBETWEEN(2979,3282)))</f>
        <v>122034561.53858961</v>
      </c>
      <c r="B9700">
        <v>152317345.51571155</v>
      </c>
    </row>
    <row r="9701" spans="1:2" x14ac:dyDescent="0.25">
      <c r="A9701">
        <f ca="1">37143.4271107868*((RANDBETWEEN(2979,3282)))</f>
        <v>117818950.79541588</v>
      </c>
      <c r="B9701">
        <v>158997605.3182652</v>
      </c>
    </row>
    <row r="9702" spans="1:2" x14ac:dyDescent="0.25">
      <c r="A9702">
        <f ca="1">31018.0766045323*((RANDBETWEEN(2979,3282)))</f>
        <v>94356989.030987129</v>
      </c>
      <c r="B9702">
        <v>190970271.01835939</v>
      </c>
    </row>
    <row r="9703" spans="1:2" x14ac:dyDescent="0.25">
      <c r="A9703">
        <f ca="1">30734.465791314*((RANDBETWEEN(2979,3282)))</f>
        <v>95676392.00836049</v>
      </c>
      <c r="B9703">
        <v>154874101.0819813</v>
      </c>
    </row>
    <row r="9704" spans="1:2" x14ac:dyDescent="0.25">
      <c r="A9704">
        <f ca="1">29830.2274856578*((RANDBETWEEN(2979,3282)))</f>
        <v>89401191.774516478</v>
      </c>
      <c r="B9704">
        <v>173045543.43369532</v>
      </c>
    </row>
    <row r="9705" spans="1:2" x14ac:dyDescent="0.25">
      <c r="A9705">
        <f ca="1">32072.3799289362*((RANDBETWEEN(2979,3282)))</f>
        <v>100546911.07721493</v>
      </c>
      <c r="B9705">
        <v>153962778.25712824</v>
      </c>
    </row>
    <row r="9706" spans="1:2" x14ac:dyDescent="0.25">
      <c r="A9706">
        <f ca="1">31990.1412317143*((RANDBETWEEN(2979,3282)))</f>
        <v>96962118.073325902</v>
      </c>
      <c r="B9706">
        <v>172937964.11157203</v>
      </c>
    </row>
    <row r="9707" spans="1:2" x14ac:dyDescent="0.25">
      <c r="A9707">
        <f ca="1">39209.1398913046*((RANDBETWEEN(2979,3282)))</f>
        <v>117666628.81380512</v>
      </c>
      <c r="B9707">
        <v>166022069.94474226</v>
      </c>
    </row>
    <row r="9708" spans="1:2" x14ac:dyDescent="0.25">
      <c r="A9708">
        <f ca="1">29937.7940441153*((RANDBETWEEN(2979,3282)))</f>
        <v>96220070.057786629</v>
      </c>
      <c r="B9708">
        <v>166762112.30640668</v>
      </c>
    </row>
    <row r="9709" spans="1:2" x14ac:dyDescent="0.25">
      <c r="A9709">
        <f ca="1">28491.7497605969*((RANDBETWEEN(2979,3282)))</f>
        <v>92113826.976009727</v>
      </c>
      <c r="B9709">
        <v>146677309.14662406</v>
      </c>
    </row>
    <row r="9710" spans="1:2" x14ac:dyDescent="0.25">
      <c r="A9710">
        <f ca="1">29565.1141758445*((RANDBETWEEN(2979,3282)))</f>
        <v>89257079.696874395</v>
      </c>
      <c r="B9710">
        <v>181338424.46133173</v>
      </c>
    </row>
    <row r="9711" spans="1:2" x14ac:dyDescent="0.25">
      <c r="A9711">
        <f ca="1">31779.4920231216*((RANDBETWEEN(2979,3282)))</f>
        <v>98262189.335492089</v>
      </c>
      <c r="B9711">
        <v>174287574.8885594</v>
      </c>
    </row>
    <row r="9712" spans="1:2" x14ac:dyDescent="0.25">
      <c r="A9712">
        <f ca="1">30843.6559881221*((RANDBETWEEN(2979,3282)))</f>
        <v>95677020.875154674</v>
      </c>
      <c r="B9712">
        <v>168528757.4501864</v>
      </c>
    </row>
    <row r="9713" spans="1:2" x14ac:dyDescent="0.25">
      <c r="A9713">
        <f ca="1">30855.221269205*((RANDBETWEEN(2979,3282)))</f>
        <v>93583886.109498739</v>
      </c>
      <c r="B9713">
        <v>160390233.14981443</v>
      </c>
    </row>
    <row r="9714" spans="1:2" x14ac:dyDescent="0.25">
      <c r="A9714">
        <f ca="1">29277.8185167102*((RANDBETWEEN(2979,3282)))</f>
        <v>90175681.031467319</v>
      </c>
      <c r="B9714">
        <v>175769381.24405867</v>
      </c>
    </row>
    <row r="9715" spans="1:2" x14ac:dyDescent="0.25">
      <c r="A9715">
        <f ca="1">39632.9009013404*((RANDBETWEEN(2979,3282)))</f>
        <v>118819436.90221848</v>
      </c>
      <c r="B9715">
        <v>184035032.22931287</v>
      </c>
    </row>
    <row r="9716" spans="1:2" x14ac:dyDescent="0.25">
      <c r="A9716">
        <f ca="1">30017.9217911164*((RANDBETWEEN(2979,3282)))</f>
        <v>89483424.859318107</v>
      </c>
      <c r="B9716">
        <v>145462018.23457199</v>
      </c>
    </row>
    <row r="9717" spans="1:2" x14ac:dyDescent="0.25">
      <c r="A9717">
        <f ca="1">34354.7963001482*((RANDBETWEEN(2979,3282)))</f>
        <v>110004057.75307444</v>
      </c>
      <c r="B9717">
        <v>178698839.98536199</v>
      </c>
    </row>
    <row r="9718" spans="1:2" x14ac:dyDescent="0.25">
      <c r="A9718">
        <f ca="1">37727.4266462802*((RANDBETWEEN(2979,3282)))</f>
        <v>123708231.97315279</v>
      </c>
      <c r="B9718">
        <v>189255537.89450294</v>
      </c>
    </row>
    <row r="9719" spans="1:2" x14ac:dyDescent="0.25">
      <c r="A9719">
        <f ca="1">28342.7533530819*((RANDBETWEEN(2979,3282)))</f>
        <v>91518750.57710135</v>
      </c>
      <c r="B9719">
        <v>150774673.31435663</v>
      </c>
    </row>
    <row r="9720" spans="1:2" x14ac:dyDescent="0.25">
      <c r="A9720">
        <f ca="1">30616.0851055778*((RANDBETWEEN(2979,3282)))</f>
        <v>96685596.763414547</v>
      </c>
      <c r="B9720">
        <v>144024833.72136012</v>
      </c>
    </row>
    <row r="9721" spans="1:2" x14ac:dyDescent="0.25">
      <c r="A9721">
        <f ca="1">37263.7622826655*((RANDBETWEEN(2979,3282)))</f>
        <v>114958706.64202309</v>
      </c>
      <c r="B9721">
        <v>149161010.1508677</v>
      </c>
    </row>
    <row r="9722" spans="1:2" x14ac:dyDescent="0.25">
      <c r="A9722">
        <f ca="1">31842.3956773844*((RANDBETWEEN(2979,3282)))</f>
        <v>97246676.398732066</v>
      </c>
      <c r="B9722">
        <v>175446971.94824761</v>
      </c>
    </row>
    <row r="9723" spans="1:2" x14ac:dyDescent="0.25">
      <c r="A9723">
        <f ca="1">32710.3334653296*((RANDBETWEEN(2979,3282)))</f>
        <v>101074930.40786844</v>
      </c>
      <c r="B9723">
        <v>150640927.02526745</v>
      </c>
    </row>
    <row r="9724" spans="1:2" x14ac:dyDescent="0.25">
      <c r="A9724">
        <f ca="1">31526.6199636884*((RANDBETWEEN(2979,3282)))</f>
        <v>94170013.831537172</v>
      </c>
      <c r="B9724">
        <v>153760097.93580285</v>
      </c>
    </row>
    <row r="9725" spans="1:2" x14ac:dyDescent="0.25">
      <c r="A9725">
        <f ca="1">30849.5127327439*((RANDBETWEEN(2979,3282)))</f>
        <v>95324994.344178736</v>
      </c>
      <c r="B9725">
        <v>145664422.8428387</v>
      </c>
    </row>
    <row r="9726" spans="1:2" x14ac:dyDescent="0.25">
      <c r="A9726">
        <f ca="1">29325.8182862818*((RANDBETWEEN(2979,3282)))</f>
        <v>90910036.687473476</v>
      </c>
      <c r="B9726">
        <v>156724410.20078397</v>
      </c>
    </row>
    <row r="9727" spans="1:2" x14ac:dyDescent="0.25">
      <c r="A9727">
        <f ca="1">35529.5813100306*((RANDBETWEEN(2979,3282)))</f>
        <v>114653958.88746871</v>
      </c>
      <c r="B9727">
        <v>170306210.48467413</v>
      </c>
    </row>
    <row r="9728" spans="1:2" x14ac:dyDescent="0.25">
      <c r="A9728">
        <f ca="1">38309.466543437*((RANDBETWEEN(2979,3282)))</f>
        <v>116499087.75859195</v>
      </c>
      <c r="B9728">
        <v>169186991.05845597</v>
      </c>
    </row>
    <row r="9729" spans="1:2" x14ac:dyDescent="0.25">
      <c r="A9729">
        <f ca="1">33457.6579911072*((RANDBETWEEN(2979,3282)))</f>
        <v>105291249.69801447</v>
      </c>
      <c r="B9729">
        <v>142945206.45358127</v>
      </c>
    </row>
    <row r="9730" spans="1:2" x14ac:dyDescent="0.25">
      <c r="A9730">
        <f ca="1">33489.0093479717*((RANDBETWEEN(2979,3282)))</f>
        <v>108939747.40895179</v>
      </c>
      <c r="B9730">
        <v>177667624.46146232</v>
      </c>
    </row>
    <row r="9731" spans="1:2" x14ac:dyDescent="0.25">
      <c r="A9731">
        <f ca="1">31158.4976689545*((RANDBETWEEN(2979,3282)))</f>
        <v>99582558.549978614</v>
      </c>
      <c r="B9731">
        <v>176879043.1815275</v>
      </c>
    </row>
    <row r="9732" spans="1:2" x14ac:dyDescent="0.25">
      <c r="A9732">
        <f ca="1">30790.0556743757*((RANDBETWEEN(2979,3282)))</f>
        <v>92308586.911778286</v>
      </c>
      <c r="B9732">
        <v>150708282.78479102</v>
      </c>
    </row>
    <row r="9733" spans="1:2" x14ac:dyDescent="0.25">
      <c r="A9733">
        <f ca="1">30793.8437512668*((RANDBETWEEN(2979,3282)))</f>
        <v>94290749.56637907</v>
      </c>
      <c r="B9733">
        <v>155178754.05829796</v>
      </c>
    </row>
    <row r="9734" spans="1:2" x14ac:dyDescent="0.25">
      <c r="A9734">
        <f ca="1">30462.440989973*((RANDBETWEEN(2979,3282)))</f>
        <v>96931487.23009409</v>
      </c>
      <c r="B9734">
        <v>145236923.75091386</v>
      </c>
    </row>
    <row r="9735" spans="1:2" x14ac:dyDescent="0.25">
      <c r="A9735">
        <f ca="1">40532.192742692*((RANDBETWEEN(2979,3282)))</f>
        <v>132013351.76294775</v>
      </c>
      <c r="B9735">
        <v>144034170.21233565</v>
      </c>
    </row>
    <row r="9736" spans="1:2" x14ac:dyDescent="0.25">
      <c r="A9736">
        <f ca="1">31733.6730039474*((RANDBETWEEN(2979,3282)))</f>
        <v>100151472.00045797</v>
      </c>
      <c r="B9736">
        <v>189063533.43793043</v>
      </c>
    </row>
    <row r="9737" spans="1:2" x14ac:dyDescent="0.25">
      <c r="A9737">
        <f ca="1">28062.9063033625*((RANDBETWEEN(2979,3282)))</f>
        <v>85339298.068525344</v>
      </c>
      <c r="B9737">
        <v>156683564.45682472</v>
      </c>
    </row>
    <row r="9738" spans="1:2" x14ac:dyDescent="0.25">
      <c r="A9738">
        <f ca="1">31739.1122014576*((RANDBETWEEN(2979,3282)))</f>
        <v>103025158.20593135</v>
      </c>
      <c r="B9738">
        <v>185025457.62066567</v>
      </c>
    </row>
    <row r="9739" spans="1:2" x14ac:dyDescent="0.25">
      <c r="A9739">
        <f ca="1">38119.9834947317*((RANDBETWEEN(2979,3282)))</f>
        <v>122708226.86954136</v>
      </c>
      <c r="B9739">
        <v>166218632.45678142</v>
      </c>
    </row>
    <row r="9740" spans="1:2" x14ac:dyDescent="0.25">
      <c r="A9740">
        <f ca="1">39637.4889290062*((RANDBETWEEN(2979,3282)))</f>
        <v>118436816.91987048</v>
      </c>
      <c r="B9740">
        <v>147554892.85463542</v>
      </c>
    </row>
    <row r="9741" spans="1:2" x14ac:dyDescent="0.25">
      <c r="A9741">
        <f ca="1">32369.3570309135*((RANDBETWEEN(2979,3282)))</f>
        <v>98338106.659915358</v>
      </c>
      <c r="B9741">
        <v>159502411.64875194</v>
      </c>
    </row>
    <row r="9742" spans="1:2" x14ac:dyDescent="0.25">
      <c r="A9742">
        <f ca="1">32414.4132817765*((RANDBETWEEN(2979,3282)))</f>
        <v>96757023.646102712</v>
      </c>
      <c r="B9742">
        <v>149950805.79386777</v>
      </c>
    </row>
    <row r="9743" spans="1:2" x14ac:dyDescent="0.25">
      <c r="A9743">
        <f ca="1">39835.0044649649*((RANDBETWEEN(2979,3282)))</f>
        <v>128029704.35039726</v>
      </c>
      <c r="B9743">
        <v>150441985.21409333</v>
      </c>
    </row>
    <row r="9744" spans="1:2" x14ac:dyDescent="0.25">
      <c r="A9744">
        <f ca="1">32553.1231134778*((RANDBETWEEN(2979,3282)))</f>
        <v>106481265.70418605</v>
      </c>
      <c r="B9744">
        <v>195980454.22663116</v>
      </c>
    </row>
    <row r="9745" spans="1:2" x14ac:dyDescent="0.25">
      <c r="A9745">
        <f ca="1">30300.353277343*((RANDBETWEEN(2979,3282)))</f>
        <v>92355476.789341614</v>
      </c>
      <c r="B9745">
        <v>161691402.5993219</v>
      </c>
    </row>
    <row r="9746" spans="1:2" x14ac:dyDescent="0.25">
      <c r="A9746">
        <f ca="1">32724.0906444334*((RANDBETWEEN(2979,3282)))</f>
        <v>99644856.012299627</v>
      </c>
      <c r="B9746">
        <v>193549484.34799677</v>
      </c>
    </row>
    <row r="9747" spans="1:2" x14ac:dyDescent="0.25">
      <c r="A9747">
        <f ca="1">36223.7905182628*((RANDBETWEEN(2979,3282)))</f>
        <v>113489135.69371733</v>
      </c>
      <c r="B9747">
        <v>144195932.59698376</v>
      </c>
    </row>
    <row r="9748" spans="1:2" x14ac:dyDescent="0.25">
      <c r="A9748">
        <f ca="1">28889.5935285158*((RANDBETWEEN(2979,3282)))</f>
        <v>87593247.578459814</v>
      </c>
      <c r="B9748">
        <v>176831040.03178966</v>
      </c>
    </row>
    <row r="9749" spans="1:2" x14ac:dyDescent="0.25">
      <c r="A9749">
        <f ca="1">31230.5825654712*((RANDBETWEEN(2979,3282)))</f>
        <v>93067136.045104146</v>
      </c>
      <c r="B9749">
        <v>147592524.18109381</v>
      </c>
    </row>
    <row r="9750" spans="1:2" x14ac:dyDescent="0.25">
      <c r="A9750">
        <f ca="1">31652.2099043835*((RANDBETWEEN(2979,3282)))</f>
        <v>100369157.60679999</v>
      </c>
      <c r="B9750">
        <v>176324206.73521906</v>
      </c>
    </row>
    <row r="9751" spans="1:2" x14ac:dyDescent="0.25">
      <c r="A9751">
        <f ca="1">34654.017083839*((RANDBETWEEN(2979,3282)))</f>
        <v>110962162.70245242</v>
      </c>
      <c r="B9751">
        <v>203183012.24252027</v>
      </c>
    </row>
    <row r="9752" spans="1:2" x14ac:dyDescent="0.25">
      <c r="A9752">
        <f ca="1">30652.1473226412*((RANDBETWEEN(2979,3282)))</f>
        <v>92140354.85185951</v>
      </c>
      <c r="B9752">
        <v>151040980.28549525</v>
      </c>
    </row>
    <row r="9753" spans="1:2" x14ac:dyDescent="0.25">
      <c r="A9753">
        <f ca="1">36846.9155691159*((RANDBETWEEN(2979,3282)))</f>
        <v>120231485.50202513</v>
      </c>
      <c r="B9753">
        <v>196154885.29096445</v>
      </c>
    </row>
    <row r="9754" spans="1:2" x14ac:dyDescent="0.25">
      <c r="A9754">
        <f ca="1">33245.8513097753*((RANDBETWEEN(2979,3282)))</f>
        <v>102696434.69589591</v>
      </c>
      <c r="B9754">
        <v>165787034.62052265</v>
      </c>
    </row>
    <row r="9755" spans="1:2" x14ac:dyDescent="0.25">
      <c r="A9755">
        <f ca="1">32328.0525955495*((RANDBETWEEN(2979,3282)))</f>
        <v>101736381.51819436</v>
      </c>
      <c r="B9755">
        <v>192049185.07748595</v>
      </c>
    </row>
    <row r="9756" spans="1:2" x14ac:dyDescent="0.25">
      <c r="A9756">
        <f ca="1">40506.4095583951*((RANDBETWEEN(2979,3282)))</f>
        <v>120992645.35092606</v>
      </c>
      <c r="B9756">
        <v>174208340.7985886</v>
      </c>
    </row>
    <row r="9757" spans="1:2" x14ac:dyDescent="0.25">
      <c r="A9757">
        <f ca="1">30468.3965215559*((RANDBETWEEN(2979,3282)))</f>
        <v>98108236.799409851</v>
      </c>
      <c r="B9757">
        <v>202008528.22446421</v>
      </c>
    </row>
    <row r="9758" spans="1:2" x14ac:dyDescent="0.25">
      <c r="A9758">
        <f ca="1">30131.8713840963*((RANDBETWEEN(2979,3282)))</f>
        <v>93499196.904850751</v>
      </c>
      <c r="B9758">
        <v>158945950.62823874</v>
      </c>
    </row>
    <row r="9759" spans="1:2" x14ac:dyDescent="0.25">
      <c r="A9759">
        <f ca="1">30723.4086132517*((RANDBETWEEN(2979,3282)))</f>
        <v>100742056.84285226</v>
      </c>
      <c r="B9759">
        <v>199296783.00287044</v>
      </c>
    </row>
    <row r="9760" spans="1:2" x14ac:dyDescent="0.25">
      <c r="A9760">
        <f ca="1">31594.1240555743*((RANDBETWEEN(2979,3282)))</f>
        <v>95161501.655389696</v>
      </c>
      <c r="B9760">
        <v>146289371.13459063</v>
      </c>
    </row>
    <row r="9761" spans="1:2" x14ac:dyDescent="0.25">
      <c r="A9761">
        <f ca="1">34099.7903684326*((RANDBETWEEN(2979,3282)))</f>
        <v>104993254.54440394</v>
      </c>
      <c r="B9761">
        <v>162150213.33053195</v>
      </c>
    </row>
    <row r="9762" spans="1:2" x14ac:dyDescent="0.25">
      <c r="A9762">
        <f ca="1">29773.7853453598*((RANDBETWEEN(2979,3282)))</f>
        <v>93281269.487012401</v>
      </c>
      <c r="B9762">
        <v>178856648.94196391</v>
      </c>
    </row>
    <row r="9763" spans="1:2" x14ac:dyDescent="0.25">
      <c r="A9763">
        <f ca="1">28969.9907932078*((RANDBETWEEN(2979,3282)))</f>
        <v>93631010.243647456</v>
      </c>
      <c r="B9763">
        <v>164776882.15046474</v>
      </c>
    </row>
    <row r="9764" spans="1:2" x14ac:dyDescent="0.25">
      <c r="A9764">
        <f ca="1">31100.9452740404*((RANDBETWEEN(2979,3282)))</f>
        <v>95106690.648015648</v>
      </c>
      <c r="B9764">
        <v>185794197.48172367</v>
      </c>
    </row>
    <row r="9765" spans="1:2" x14ac:dyDescent="0.25">
      <c r="A9765">
        <f ca="1">35813.6718812788*((RANDBETWEEN(2979,3282)))</f>
        <v>116788384.00485022</v>
      </c>
      <c r="B9765">
        <v>155801384.70996734</v>
      </c>
    </row>
    <row r="9766" spans="1:2" x14ac:dyDescent="0.25">
      <c r="A9766">
        <f ca="1">39337.9446773061*((RANDBETWEEN(2979,3282)))</f>
        <v>122026304.38900343</v>
      </c>
      <c r="B9766">
        <v>147734984.72179544</v>
      </c>
    </row>
    <row r="9767" spans="1:2" x14ac:dyDescent="0.25">
      <c r="A9767">
        <f ca="1">32743.5285037305*((RANDBETWEEN(2979,3282)))</f>
        <v>101504938.36156467</v>
      </c>
      <c r="B9767">
        <v>155277301.72790539</v>
      </c>
    </row>
    <row r="9768" spans="1:2" x14ac:dyDescent="0.25">
      <c r="A9768">
        <f ca="1">32075.0649021347*((RANDBETWEEN(2979,3282)))</f>
        <v>97668572.627000228</v>
      </c>
      <c r="B9768">
        <v>157979441.54093224</v>
      </c>
    </row>
    <row r="9769" spans="1:2" x14ac:dyDescent="0.25">
      <c r="A9769">
        <f ca="1">32813.7673575989*((RANDBETWEEN(2979,3282)))</f>
        <v>101460168.66969594</v>
      </c>
      <c r="B9769">
        <v>195635081.23453304</v>
      </c>
    </row>
    <row r="9770" spans="1:2" x14ac:dyDescent="0.25">
      <c r="A9770">
        <f ca="1">33252.9709510968*((RANDBETWEEN(2979,3282)))</f>
        <v>100856260.89467676</v>
      </c>
      <c r="B9770">
        <v>159259895.92017922</v>
      </c>
    </row>
    <row r="9771" spans="1:2" x14ac:dyDescent="0.25">
      <c r="A9771">
        <f ca="1">31397.664851266*((RANDBETWEEN(2979,3282)))</f>
        <v>102073808.43146576</v>
      </c>
      <c r="B9771">
        <v>143155167.16154361</v>
      </c>
    </row>
    <row r="9772" spans="1:2" x14ac:dyDescent="0.25">
      <c r="A9772">
        <f ca="1">38318.910696903*((RANDBETWEEN(2979,3282)))</f>
        <v>120666249.78454749</v>
      </c>
      <c r="B9772">
        <v>171776618.90760785</v>
      </c>
    </row>
    <row r="9773" spans="1:2" x14ac:dyDescent="0.25">
      <c r="A9773">
        <f ca="1">28822.8787038307*((RANDBETWEEN(2979,3282)))</f>
        <v>87967425.804091394</v>
      </c>
      <c r="B9773">
        <v>151901086.92260012</v>
      </c>
    </row>
    <row r="9774" spans="1:2" x14ac:dyDescent="0.25">
      <c r="A9774">
        <f ca="1">29978.6771030283*((RANDBETWEEN(2979,3282)))</f>
        <v>94972449.062393963</v>
      </c>
      <c r="B9774">
        <v>143448878.49592912</v>
      </c>
    </row>
    <row r="9775" spans="1:2" x14ac:dyDescent="0.25">
      <c r="A9775">
        <f ca="1">29083.9151713811*((RANDBETWEEN(2979,3282)))</f>
        <v>90567311.843680799</v>
      </c>
      <c r="B9775">
        <v>163901649.10793227</v>
      </c>
    </row>
    <row r="9776" spans="1:2" x14ac:dyDescent="0.25">
      <c r="A9776">
        <f ca="1">28576.8338059475*((RANDBETWEEN(2979,3282)))</f>
        <v>87330804.110975474</v>
      </c>
      <c r="B9776">
        <v>178701890.65942207</v>
      </c>
    </row>
    <row r="9777" spans="1:2" x14ac:dyDescent="0.25">
      <c r="A9777">
        <f ca="1">32645.6390481346*((RANDBETWEEN(2979,3282)))</f>
        <v>97838980.227259263</v>
      </c>
      <c r="B9777">
        <v>152589513.51139811</v>
      </c>
    </row>
    <row r="9778" spans="1:2" x14ac:dyDescent="0.25">
      <c r="A9778">
        <f ca="1">29589.2246813529*((RANDBETWEEN(2979,3282)))</f>
        <v>96608818.584617361</v>
      </c>
      <c r="B9778">
        <v>178326057.56032589</v>
      </c>
    </row>
    <row r="9779" spans="1:2" x14ac:dyDescent="0.25">
      <c r="A9779">
        <f ca="1">30078.1131162908*((RANDBETWEEN(2979,3282)))</f>
        <v>97814023.854177698</v>
      </c>
      <c r="B9779">
        <v>144383230.84199503</v>
      </c>
    </row>
    <row r="9780" spans="1:2" x14ac:dyDescent="0.25">
      <c r="A9780">
        <f ca="1">32845.7501020948*((RANDBETWEEN(2979,3282)))</f>
        <v>102675814.81914836</v>
      </c>
      <c r="B9780">
        <v>150378153.16548619</v>
      </c>
    </row>
    <row r="9781" spans="1:2" x14ac:dyDescent="0.25">
      <c r="A9781">
        <f ca="1">39996.2248258426*((RANDBETWEEN(2979,3282)))</f>
        <v>120188655.60165694</v>
      </c>
      <c r="B9781">
        <v>175490836.77461177</v>
      </c>
    </row>
    <row r="9782" spans="1:2" x14ac:dyDescent="0.25">
      <c r="A9782">
        <f ca="1">31586.771722712*((RANDBETWEEN(2979,3282)))</f>
        <v>95328877.059144795</v>
      </c>
      <c r="B9782">
        <v>156538989.67764568</v>
      </c>
    </row>
    <row r="9783" spans="1:2" x14ac:dyDescent="0.25">
      <c r="A9783">
        <f ca="1">33719.8217083822*((RANDBETWEEN(2979,3282)))</f>
        <v>104295408.5440262</v>
      </c>
      <c r="B9783">
        <v>147478814.45548892</v>
      </c>
    </row>
    <row r="9784" spans="1:2" x14ac:dyDescent="0.25">
      <c r="A9784">
        <f ca="1">31869.2236133175*((RANDBETWEEN(2979,3282)))</f>
        <v>95512063.169112682</v>
      </c>
      <c r="B9784">
        <v>169983489.39080295</v>
      </c>
    </row>
    <row r="9785" spans="1:2" x14ac:dyDescent="0.25">
      <c r="A9785">
        <f ca="1">30174.5599435106*((RANDBETWEEN(2979,3282)))</f>
        <v>96407719.019516349</v>
      </c>
      <c r="B9785">
        <v>195518853.75126135</v>
      </c>
    </row>
    <row r="9786" spans="1:2" x14ac:dyDescent="0.25">
      <c r="A9786">
        <f ca="1">42851.8616967755*((RANDBETWEEN(2979,3282)))</f>
        <v>135197623.65332663</v>
      </c>
      <c r="B9786">
        <v>185080488.18784586</v>
      </c>
    </row>
    <row r="9787" spans="1:2" x14ac:dyDescent="0.25">
      <c r="A9787">
        <f ca="1">40590.4615750866*((RANDBETWEEN(2979,3282)))</f>
        <v>126276925.96009432</v>
      </c>
      <c r="B9787">
        <v>194855937.77470964</v>
      </c>
    </row>
    <row r="9788" spans="1:2" x14ac:dyDescent="0.25">
      <c r="A9788">
        <f ca="1">32539.7645380229*((RANDBETWEEN(2979,3282)))</f>
        <v>102044701.59123985</v>
      </c>
      <c r="B9788">
        <v>150340414.60780257</v>
      </c>
    </row>
    <row r="9789" spans="1:2" x14ac:dyDescent="0.25">
      <c r="A9789">
        <f ca="1">38409.6320985153*((RANDBETWEEN(2979,3282)))</f>
        <v>124908123.58437182</v>
      </c>
      <c r="B9789">
        <v>154222230.3108595</v>
      </c>
    </row>
    <row r="9790" spans="1:2" x14ac:dyDescent="0.25">
      <c r="A9790">
        <f ca="1">30556.8214785252*((RANDBETWEEN(2979,3282)))</f>
        <v>92923294.116195217</v>
      </c>
      <c r="B9790">
        <v>148972067.12620181</v>
      </c>
    </row>
    <row r="9791" spans="1:2" x14ac:dyDescent="0.25">
      <c r="A9791">
        <f ca="1">27071.870619794*((RANDBETWEEN(2979,3282)))</f>
        <v>81405114.953720659</v>
      </c>
      <c r="B9791">
        <v>155328185.98197672</v>
      </c>
    </row>
    <row r="9792" spans="1:2" x14ac:dyDescent="0.25">
      <c r="A9792">
        <f ca="1">32478.0221056876*((RANDBETWEEN(2979,3282)))</f>
        <v>103020286.11924116</v>
      </c>
      <c r="B9792">
        <v>186098029.78027636</v>
      </c>
    </row>
    <row r="9793" spans="1:2" x14ac:dyDescent="0.25">
      <c r="A9793">
        <f ca="1">31386.245047588*((RANDBETWEEN(2979,3282)))</f>
        <v>93656555.222002476</v>
      </c>
      <c r="B9793">
        <v>168225819.89866835</v>
      </c>
    </row>
    <row r="9794" spans="1:2" x14ac:dyDescent="0.25">
      <c r="A9794">
        <f ca="1">32895.5677161588*((RANDBETWEEN(2979,3282)))</f>
        <v>101153870.72718827</v>
      </c>
      <c r="B9794">
        <v>160893306.12403712</v>
      </c>
    </row>
    <row r="9795" spans="1:2" x14ac:dyDescent="0.25">
      <c r="A9795">
        <f ca="1">31773.2560961394*((RANDBETWEEN(2979,3282)))</f>
        <v>99609157.861396983</v>
      </c>
      <c r="B9795">
        <v>189017229.31358522</v>
      </c>
    </row>
    <row r="9796" spans="1:2" x14ac:dyDescent="0.25">
      <c r="A9796">
        <f ca="1">32565.2861004745*((RANDBETWEEN(2979,3282)))</f>
        <v>101408300.91687749</v>
      </c>
      <c r="B9796">
        <v>151247104.91351923</v>
      </c>
    </row>
    <row r="9797" spans="1:2" x14ac:dyDescent="0.25">
      <c r="A9797">
        <f ca="1">37673.7671575119*((RANDBETWEEN(2979,3282)))</f>
        <v>121535572.85013328</v>
      </c>
      <c r="B9797">
        <v>190365798.67392963</v>
      </c>
    </row>
    <row r="9798" spans="1:2" x14ac:dyDescent="0.25">
      <c r="A9798">
        <f ca="1">31881.3494206454*((RANDBETWEEN(2979,3282)))</f>
        <v>100203081.22908841</v>
      </c>
      <c r="B9798">
        <v>200240048.61871284</v>
      </c>
    </row>
    <row r="9799" spans="1:2" x14ac:dyDescent="0.25">
      <c r="A9799">
        <f ca="1">33863.9506659518*((RANDBETWEEN(2979,3282)))</f>
        <v>105587798.17643781</v>
      </c>
      <c r="B9799">
        <v>194200173.7147249</v>
      </c>
    </row>
    <row r="9800" spans="1:2" x14ac:dyDescent="0.25">
      <c r="A9800">
        <f ca="1">28395.1856370558*((RANDBETWEEN(2979,3282)))</f>
        <v>88025075.474872991</v>
      </c>
      <c r="B9800">
        <v>149875723.24232465</v>
      </c>
    </row>
    <row r="9801" spans="1:2" x14ac:dyDescent="0.25">
      <c r="A9801">
        <f ca="1">29659.9882763397*((RANDBETWEEN(2979,3282)))</f>
        <v>92331543.5042454</v>
      </c>
      <c r="B9801">
        <v>162183612.58787197</v>
      </c>
    </row>
    <row r="9802" spans="1:2" x14ac:dyDescent="0.25">
      <c r="A9802">
        <f ca="1">31899.985758377*((RANDBETWEEN(2979,3282)))</f>
        <v>102335154.31287342</v>
      </c>
      <c r="B9802">
        <v>188001025.09193563</v>
      </c>
    </row>
    <row r="9803" spans="1:2" x14ac:dyDescent="0.25">
      <c r="A9803">
        <f ca="1">37574.9957577114*((RANDBETWEEN(2979,3282)))</f>
        <v>117309136.75557514</v>
      </c>
      <c r="B9803">
        <v>154496749.32896283</v>
      </c>
    </row>
    <row r="9804" spans="1:2" x14ac:dyDescent="0.25">
      <c r="A9804">
        <f ca="1">37151.1229031857*((RANDBETWEEN(2979,3282)))</f>
        <v>118846442.16729116</v>
      </c>
      <c r="B9804">
        <v>150015769.34741747</v>
      </c>
    </row>
    <row r="9805" spans="1:2" x14ac:dyDescent="0.25">
      <c r="A9805">
        <f ca="1">34533.8311682566*((RANDBETWEEN(2979,3282)))</f>
        <v>109230507.9851957</v>
      </c>
      <c r="B9805">
        <v>154898498.93621367</v>
      </c>
    </row>
    <row r="9806" spans="1:2" x14ac:dyDescent="0.25">
      <c r="A9806">
        <f ca="1">35548.8784628962*((RANDBETWEEN(2979,3282)))</f>
        <v>111054696.31808776</v>
      </c>
      <c r="B9806">
        <v>150630436.42318267</v>
      </c>
    </row>
    <row r="9807" spans="1:2" x14ac:dyDescent="0.25">
      <c r="A9807">
        <f ca="1">36129.9898360538*((RANDBETWEEN(2979,3282)))</f>
        <v>117603116.91635519</v>
      </c>
      <c r="B9807">
        <v>180189402.80448008</v>
      </c>
    </row>
    <row r="9808" spans="1:2" x14ac:dyDescent="0.25">
      <c r="A9808">
        <f ca="1">33956.2761972451*((RANDBETWEEN(2979,3282)))</f>
        <v>101155746.7915933</v>
      </c>
      <c r="B9808">
        <v>152142465.93395868</v>
      </c>
    </row>
    <row r="9809" spans="1:2" x14ac:dyDescent="0.25">
      <c r="A9809">
        <f ca="1">31267.206337552*((RANDBETWEEN(2979,3282)))</f>
        <v>100930542.0576179</v>
      </c>
      <c r="B9809">
        <v>143776141.79455245</v>
      </c>
    </row>
    <row r="9810" spans="1:2" x14ac:dyDescent="0.25">
      <c r="A9810">
        <f ca="1">32377.5515320605*((RANDBETWEEN(2979,3282)))</f>
        <v>99755236.270278528</v>
      </c>
      <c r="B9810">
        <v>145464395.76998132</v>
      </c>
    </row>
    <row r="9811" spans="1:2" x14ac:dyDescent="0.25">
      <c r="A9811">
        <f ca="1">33788.8072626154*((RANDBETWEEN(2979,3282)))</f>
        <v>106536109.2990265</v>
      </c>
      <c r="B9811">
        <v>198070420.08688667</v>
      </c>
    </row>
    <row r="9812" spans="1:2" x14ac:dyDescent="0.25">
      <c r="A9812">
        <f ca="1">31676.3741398669*((RANDBETWEEN(2979,3282)))</f>
        <v>99653873.044021308</v>
      </c>
      <c r="B9812">
        <v>148938207.40758491</v>
      </c>
    </row>
    <row r="9813" spans="1:2" x14ac:dyDescent="0.25">
      <c r="A9813">
        <f ca="1">35691.5732264165*((RANDBETWEEN(2979,3282)))</f>
        <v>111143559.02706097</v>
      </c>
      <c r="B9813">
        <v>152295972.88439161</v>
      </c>
    </row>
    <row r="9814" spans="1:2" x14ac:dyDescent="0.25">
      <c r="A9814">
        <f ca="1">34154.7763652206*((RANDBETWEEN(2979,3282)))</f>
        <v>107041069.12860128</v>
      </c>
      <c r="B9814">
        <v>152839997.32460564</v>
      </c>
    </row>
    <row r="9815" spans="1:2" x14ac:dyDescent="0.25">
      <c r="A9815">
        <f ca="1">29531.5918682619*((RANDBETWEEN(2979,3282)))</f>
        <v>91400276.832270592</v>
      </c>
      <c r="B9815">
        <v>153406301.55000016</v>
      </c>
    </row>
    <row r="9816" spans="1:2" x14ac:dyDescent="0.25">
      <c r="A9816">
        <f ca="1">32838.6114119083*((RANDBETWEEN(2979,3282)))</f>
        <v>102423628.99374186</v>
      </c>
      <c r="B9816">
        <v>163668389.26859823</v>
      </c>
    </row>
    <row r="9817" spans="1:2" x14ac:dyDescent="0.25">
      <c r="A9817">
        <f ca="1">28891.724405266*((RANDBETWEEN(2979,3282)))</f>
        <v>94504830.529625207</v>
      </c>
      <c r="B9817">
        <v>173315765.46293744</v>
      </c>
    </row>
    <row r="9818" spans="1:2" x14ac:dyDescent="0.25">
      <c r="A9818">
        <f ca="1">35449.8434740678*((RANDBETWEEN(2979,3282)))</f>
        <v>113971246.76912796</v>
      </c>
      <c r="B9818">
        <v>152861854.46897855</v>
      </c>
    </row>
    <row r="9819" spans="1:2" x14ac:dyDescent="0.25">
      <c r="A9819">
        <f ca="1">41962.8855372791*((RANDBETWEEN(2979,3282)))</f>
        <v>126308285.46721013</v>
      </c>
      <c r="B9819">
        <v>159585911.47025308</v>
      </c>
    </row>
    <row r="9820" spans="1:2" x14ac:dyDescent="0.25">
      <c r="A9820">
        <f ca="1">37517.9965967785*((RANDBETWEEN(2979,3282)))</f>
        <v>118857013.21859416</v>
      </c>
      <c r="B9820">
        <v>170685192.17435861</v>
      </c>
    </row>
    <row r="9821" spans="1:2" x14ac:dyDescent="0.25">
      <c r="A9821">
        <f ca="1">29196.8497462782*((RANDBETWEEN(2979,3282)))</f>
        <v>91386139.705850646</v>
      </c>
      <c r="B9821">
        <v>159081543.36726418</v>
      </c>
    </row>
    <row r="9822" spans="1:2" x14ac:dyDescent="0.25">
      <c r="A9822">
        <f ca="1">30579.7360641673*((RANDBETWEEN(2979,3282)))</f>
        <v>94063268.13337855</v>
      </c>
      <c r="B9822">
        <v>145250546.86136761</v>
      </c>
    </row>
    <row r="9823" spans="1:2" x14ac:dyDescent="0.25">
      <c r="A9823">
        <f ca="1">37806.2115709123*((RANDBETWEEN(2979,3282)))</f>
        <v>123512893.20217061</v>
      </c>
      <c r="B9823">
        <v>150418682.67344788</v>
      </c>
    </row>
    <row r="9824" spans="1:2" x14ac:dyDescent="0.25">
      <c r="A9824">
        <f ca="1">35250.5071447817*((RANDBETWEEN(2979,3282)))</f>
        <v>113295129.96332835</v>
      </c>
      <c r="B9824">
        <v>160344156.96068776</v>
      </c>
    </row>
    <row r="9825" spans="1:2" x14ac:dyDescent="0.25">
      <c r="A9825">
        <f ca="1">37979.2908707512*((RANDBETWEEN(2979,3282)))</f>
        <v>124496115.4743223</v>
      </c>
      <c r="B9825">
        <v>152018392.55076525</v>
      </c>
    </row>
    <row r="9826" spans="1:2" x14ac:dyDescent="0.25">
      <c r="A9826">
        <f ca="1">34387.4384461551*((RANDBETWEEN(2979,3282)))</f>
        <v>108457980.85917306</v>
      </c>
      <c r="B9826">
        <v>143831383.92807326</v>
      </c>
    </row>
    <row r="9827" spans="1:2" x14ac:dyDescent="0.25">
      <c r="A9827">
        <f ca="1">31864.1296148077*((RANDBETWEEN(2979,3282)))</f>
        <v>95337475.807504758</v>
      </c>
      <c r="B9827">
        <v>165946593.59890053</v>
      </c>
    </row>
    <row r="9828" spans="1:2" x14ac:dyDescent="0.25">
      <c r="A9828">
        <f ca="1">31389.3371656602*((RANDBETWEEN(2979,3282)))</f>
        <v>102266460.48572077</v>
      </c>
      <c r="B9828">
        <v>162405978.99197808</v>
      </c>
    </row>
    <row r="9829" spans="1:2" x14ac:dyDescent="0.25">
      <c r="A9829">
        <f ca="1">33257.6930283974*((RANDBETWEEN(2979,3282)))</f>
        <v>100671036.79695901</v>
      </c>
      <c r="B9829">
        <v>144088965.56629649</v>
      </c>
    </row>
    <row r="9830" spans="1:2" x14ac:dyDescent="0.25">
      <c r="A9830">
        <f ca="1">31670.0872161576*((RANDBETWEEN(2979,3282)))</f>
        <v>99697434.556464121</v>
      </c>
      <c r="B9830">
        <v>160060990.74345219</v>
      </c>
    </row>
    <row r="9831" spans="1:2" x14ac:dyDescent="0.25">
      <c r="A9831">
        <f ca="1">29854.2120553171*((RANDBETWEEN(2979,3282)))</f>
        <v>97474002.360610321</v>
      </c>
      <c r="B9831">
        <v>183504109.05033121</v>
      </c>
    </row>
    <row r="9832" spans="1:2" x14ac:dyDescent="0.25">
      <c r="A9832">
        <f ca="1">38761.462443192*((RANDBETWEEN(2979,3282)))</f>
        <v>120548148.19832711</v>
      </c>
      <c r="B9832">
        <v>191253279.15958592</v>
      </c>
    </row>
    <row r="9833" spans="1:2" x14ac:dyDescent="0.25">
      <c r="A9833">
        <f ca="1">31502.6897250108*((RANDBETWEEN(2979,3282)))</f>
        <v>97658338.147533536</v>
      </c>
      <c r="B9833">
        <v>150123611.32145357</v>
      </c>
    </row>
    <row r="9834" spans="1:2" x14ac:dyDescent="0.25">
      <c r="A9834">
        <f ca="1">36478.8002002744*((RANDBETWEEN(2979,3282)))</f>
        <v>109472879.4010234</v>
      </c>
      <c r="B9834">
        <v>143350176.3140589</v>
      </c>
    </row>
    <row r="9835" spans="1:2" x14ac:dyDescent="0.25">
      <c r="A9835">
        <f ca="1">34041.910167652*((RANDBETWEEN(2979,3282)))</f>
        <v>103078903.98765017</v>
      </c>
      <c r="B9835">
        <v>172378678.1113455</v>
      </c>
    </row>
    <row r="9836" spans="1:2" x14ac:dyDescent="0.25">
      <c r="A9836">
        <f ca="1">36707.1606181319*((RANDBETWEEN(2979,3282)))</f>
        <v>114526341.12857166</v>
      </c>
      <c r="B9836">
        <v>192276019.25485158</v>
      </c>
    </row>
    <row r="9837" spans="1:2" x14ac:dyDescent="0.25">
      <c r="A9837">
        <f ca="1">39634.9717425504*((RANDBETWEEN(2979,3282)))</f>
        <v>124414176.29986568</v>
      </c>
      <c r="B9837">
        <v>157962317.59272474</v>
      </c>
    </row>
    <row r="9838" spans="1:2" x14ac:dyDescent="0.25">
      <c r="A9838">
        <f ca="1">27588.1316048873*((RANDBETWEEN(2979,3282)))</f>
        <v>82516101.630218044</v>
      </c>
      <c r="B9838">
        <v>196186754.72386634</v>
      </c>
    </row>
    <row r="9839" spans="1:2" x14ac:dyDescent="0.25">
      <c r="A9839">
        <f ca="1">29627.7477249352*((RANDBETWEEN(2979,3282)))</f>
        <v>90986813.263275877</v>
      </c>
      <c r="B9839">
        <v>172151681.65358922</v>
      </c>
    </row>
    <row r="9840" spans="1:2" x14ac:dyDescent="0.25">
      <c r="A9840">
        <f ca="1">32463.2416600228*((RANDBETWEEN(2979,3282)))</f>
        <v>98883034.096429527</v>
      </c>
      <c r="B9840">
        <v>146975146.99839401</v>
      </c>
    </row>
    <row r="9841" spans="1:2" x14ac:dyDescent="0.25">
      <c r="A9841">
        <f ca="1">30811.7562905821*((RANDBETWEEN(2979,3282)))</f>
        <v>99922525.650357708</v>
      </c>
      <c r="B9841">
        <v>157576331.03919169</v>
      </c>
    </row>
    <row r="9842" spans="1:2" x14ac:dyDescent="0.25">
      <c r="A9842">
        <f ca="1">35884.0225933349*((RANDBETWEEN(2979,3282)))</f>
        <v>116013045.04425173</v>
      </c>
      <c r="B9842">
        <v>203650699.8348549</v>
      </c>
    </row>
    <row r="9843" spans="1:2" x14ac:dyDescent="0.25">
      <c r="A9843">
        <f ca="1">36517.3724241018*((RANDBETWEEN(2979,3282)))</f>
        <v>111852711.73502374</v>
      </c>
      <c r="B9843">
        <v>186693613.70530611</v>
      </c>
    </row>
    <row r="9844" spans="1:2" x14ac:dyDescent="0.25">
      <c r="A9844">
        <f ca="1">30805.5005454423*((RANDBETWEEN(2979,3282)))</f>
        <v>100518348.27977814</v>
      </c>
      <c r="B9844">
        <v>158804308.29535085</v>
      </c>
    </row>
    <row r="9845" spans="1:2" x14ac:dyDescent="0.25">
      <c r="A9845">
        <f ca="1">34198.9499620649*((RANDBETWEEN(2979,3282)))</f>
        <v>106940116.53137685</v>
      </c>
      <c r="B9845">
        <v>163490427.35447389</v>
      </c>
    </row>
    <row r="9846" spans="1:2" x14ac:dyDescent="0.25">
      <c r="A9846">
        <f ca="1">31099.0423287517*((RANDBETWEEN(2979,3282)))</f>
        <v>100325510.55255294</v>
      </c>
      <c r="B9846">
        <v>150717421.36371106</v>
      </c>
    </row>
    <row r="9847" spans="1:2" x14ac:dyDescent="0.25">
      <c r="A9847">
        <f ca="1">36165.4877152178*((RANDBETWEEN(2979,3282)))</f>
        <v>117754828.00074916</v>
      </c>
      <c r="B9847">
        <v>144783857.27234119</v>
      </c>
    </row>
    <row r="9848" spans="1:2" x14ac:dyDescent="0.25">
      <c r="A9848">
        <f ca="1">32142.4420443769*((RANDBETWEEN(2979,3282)))</f>
        <v>105395067.4635119</v>
      </c>
      <c r="B9848">
        <v>200018510.03196993</v>
      </c>
    </row>
    <row r="9849" spans="1:2" x14ac:dyDescent="0.25">
      <c r="A9849">
        <f ca="1">37119.0497438881*((RANDBETWEEN(2979,3282)))</f>
        <v>116479578.09632085</v>
      </c>
      <c r="B9849">
        <v>172752090.82133657</v>
      </c>
    </row>
    <row r="9850" spans="1:2" x14ac:dyDescent="0.25">
      <c r="A9850">
        <f ca="1">31538.056422192*((RANDBETWEEN(2979,3282)))</f>
        <v>98556426.319349989</v>
      </c>
      <c r="B9850">
        <v>202137736.40335879</v>
      </c>
    </row>
    <row r="9851" spans="1:2" x14ac:dyDescent="0.25">
      <c r="A9851">
        <f ca="1">34322.4339507769*((RANDBETWEEN(2979,3282)))</f>
        <v>107600830.43568546</v>
      </c>
      <c r="B9851">
        <v>143717199.16318551</v>
      </c>
    </row>
    <row r="9852" spans="1:2" x14ac:dyDescent="0.25">
      <c r="A9852">
        <f ca="1">32063.1872749804*((RANDBETWEEN(2979,3282)))</f>
        <v>96670509.634065941</v>
      </c>
      <c r="B9852">
        <v>162911671.12707716</v>
      </c>
    </row>
    <row r="9853" spans="1:2" x14ac:dyDescent="0.25">
      <c r="A9853">
        <f ca="1">32361.6615112984*((RANDBETWEEN(2979,3282)))</f>
        <v>101486170.49943168</v>
      </c>
      <c r="B9853">
        <v>191857146.1213654</v>
      </c>
    </row>
    <row r="9854" spans="1:2" x14ac:dyDescent="0.25">
      <c r="A9854">
        <f ca="1">28410.415038533*((RANDBETWEEN(2979,3282)))</f>
        <v>89237113.636032283</v>
      </c>
      <c r="B9854">
        <v>157941962.50888383</v>
      </c>
    </row>
    <row r="9855" spans="1:2" x14ac:dyDescent="0.25">
      <c r="A9855">
        <f ca="1">32835.9071933214*((RANDBETWEEN(2979,3282)))</f>
        <v>106585354.74952112</v>
      </c>
      <c r="B9855">
        <v>162625808.63389802</v>
      </c>
    </row>
    <row r="9856" spans="1:2" x14ac:dyDescent="0.25">
      <c r="A9856">
        <f ca="1">41421.9505972135*((RANDBETWEEN(2979,3282)))</f>
        <v>123893054.2362655</v>
      </c>
      <c r="B9856">
        <v>200987727.19028199</v>
      </c>
    </row>
    <row r="9857" spans="1:2" x14ac:dyDescent="0.25">
      <c r="A9857">
        <f ca="1">31544.3709189928*((RANDBETWEEN(2979,3282)))</f>
        <v>98355348.525419608</v>
      </c>
      <c r="B9857">
        <v>150617536.47116342</v>
      </c>
    </row>
    <row r="9858" spans="1:2" x14ac:dyDescent="0.25">
      <c r="A9858">
        <f ca="1">29072.4812900704*((RANDBETWEEN(2979,3282)))</f>
        <v>88583850.490844518</v>
      </c>
      <c r="B9858">
        <v>158543458.32437074</v>
      </c>
    </row>
    <row r="9859" spans="1:2" x14ac:dyDescent="0.25">
      <c r="A9859">
        <f ca="1">30733.8377910944*((RANDBETWEEN(2979,3282)))</f>
        <v>97487733.473351374</v>
      </c>
      <c r="B9859">
        <v>149400027.85523677</v>
      </c>
    </row>
    <row r="9860" spans="1:2" x14ac:dyDescent="0.25">
      <c r="A9860">
        <f ca="1">32815.8116673345*((RANDBETWEEN(2979,3282)))</f>
        <v>104026122.98545022</v>
      </c>
      <c r="B9860">
        <v>149175146.91007882</v>
      </c>
    </row>
    <row r="9861" spans="1:2" x14ac:dyDescent="0.25">
      <c r="A9861">
        <f ca="1">33692.2487773127*((RANDBETWEEN(2979,3282)))</f>
        <v>110072576.75548062</v>
      </c>
      <c r="B9861">
        <v>193929191.6035955</v>
      </c>
    </row>
    <row r="9862" spans="1:2" x14ac:dyDescent="0.25">
      <c r="A9862">
        <f ca="1">32704.1620923351*((RANDBETWEEN(2979,3282)))</f>
        <v>105765260.2066116</v>
      </c>
      <c r="B9862">
        <v>151914454.48779216</v>
      </c>
    </row>
    <row r="9863" spans="1:2" x14ac:dyDescent="0.25">
      <c r="A9863">
        <f ca="1">41902.0533377393*((RANDBETWEEN(2979,3282)))</f>
        <v>134757003.5341695</v>
      </c>
      <c r="B9863">
        <v>154252648.94763887</v>
      </c>
    </row>
    <row r="9864" spans="1:2" x14ac:dyDescent="0.25">
      <c r="A9864">
        <f ca="1">30399.7724335676*((RANDBETWEEN(2979,3282)))</f>
        <v>95364086.12410149</v>
      </c>
      <c r="B9864">
        <v>149105686.38703597</v>
      </c>
    </row>
    <row r="9865" spans="1:2" x14ac:dyDescent="0.25">
      <c r="A9865">
        <f ca="1">32106.1191701621*((RANDBETWEEN(2979,3282)))</f>
        <v>98501573.614057347</v>
      </c>
      <c r="B9865">
        <v>163174938.18781251</v>
      </c>
    </row>
    <row r="9866" spans="1:2" x14ac:dyDescent="0.25">
      <c r="A9866">
        <f ca="1">32087.3859364138*((RANDBETWEEN(2979,3282)))</f>
        <v>97545653.246698081</v>
      </c>
      <c r="B9866">
        <v>148224378.43751574</v>
      </c>
    </row>
    <row r="9867" spans="1:2" x14ac:dyDescent="0.25">
      <c r="A9867">
        <f ca="1">39487.0659890614*((RANDBETWEEN(2979,3282)))</f>
        <v>118105814.37328251</v>
      </c>
      <c r="B9867">
        <v>168490246.15106076</v>
      </c>
    </row>
    <row r="9868" spans="1:2" x14ac:dyDescent="0.25">
      <c r="A9868">
        <f ca="1">26975.180053233*((RANDBETWEEN(2979,3282)))</f>
        <v>84216512.126193509</v>
      </c>
      <c r="B9868">
        <v>145289892.91299665</v>
      </c>
    </row>
    <row r="9869" spans="1:2" x14ac:dyDescent="0.25">
      <c r="A9869">
        <f ca="1">40584.105352404*((RANDBETWEEN(2979,3282)))</f>
        <v>128124020.59753957</v>
      </c>
      <c r="B9869">
        <v>162916942.17991978</v>
      </c>
    </row>
    <row r="9870" spans="1:2" x14ac:dyDescent="0.25">
      <c r="A9870">
        <f ca="1">29408.2816429421*((RANDBETWEEN(2979,3282)))</f>
        <v>95371057.3680612</v>
      </c>
      <c r="B9870">
        <v>185375803.70791036</v>
      </c>
    </row>
    <row r="9871" spans="1:2" x14ac:dyDescent="0.25">
      <c r="A9871">
        <f ca="1">37822.634467008*((RANDBETWEEN(2979,3282)))</f>
        <v>117439280.02005988</v>
      </c>
      <c r="B9871">
        <v>189985669.97457209</v>
      </c>
    </row>
    <row r="9872" spans="1:2" x14ac:dyDescent="0.25">
      <c r="A9872">
        <f ca="1">32773.458787072*((RANDBETWEEN(2979,3282)))</f>
        <v>103269168.63806377</v>
      </c>
      <c r="B9872">
        <v>167178563.71461836</v>
      </c>
    </row>
    <row r="9873" spans="1:2" x14ac:dyDescent="0.25">
      <c r="A9873">
        <f ca="1">39088.6937319307*((RANDBETWEEN(2979,3282)))</f>
        <v>127741851.1159495</v>
      </c>
      <c r="B9873">
        <v>167772946.88845026</v>
      </c>
    </row>
    <row r="9874" spans="1:2" x14ac:dyDescent="0.25">
      <c r="A9874">
        <f ca="1">33272.8163586597*((RANDBETWEEN(2979,3282)))</f>
        <v>103911005.48809424</v>
      </c>
      <c r="B9874">
        <v>201774914.42447302</v>
      </c>
    </row>
    <row r="9875" spans="1:2" x14ac:dyDescent="0.25">
      <c r="A9875">
        <f ca="1">31846.2582281995*((RANDBETWEEN(2979,3282)))</f>
        <v>97959090.309941784</v>
      </c>
      <c r="B9875">
        <v>155553185.02953526</v>
      </c>
    </row>
    <row r="9876" spans="1:2" x14ac:dyDescent="0.25">
      <c r="A9876">
        <f ca="1">31657.4333432587*((RANDBETWEEN(2979,3282)))</f>
        <v>96491856.830252424</v>
      </c>
      <c r="B9876">
        <v>150568462.17703289</v>
      </c>
    </row>
    <row r="9877" spans="1:2" x14ac:dyDescent="0.25">
      <c r="A9877">
        <f ca="1">37631.5968862467*((RANDBETWEEN(2979,3282)))</f>
        <v>122528479.46161911</v>
      </c>
      <c r="B9877">
        <v>177887199.95768979</v>
      </c>
    </row>
    <row r="9878" spans="1:2" x14ac:dyDescent="0.25">
      <c r="A9878">
        <f ca="1">32994.2768264179*((RANDBETWEEN(2979,3282)))</f>
        <v>105911628.61280149</v>
      </c>
      <c r="B9878">
        <v>161263759.34517413</v>
      </c>
    </row>
    <row r="9879" spans="1:2" x14ac:dyDescent="0.25">
      <c r="A9879">
        <f ca="1">29585.4361264696*((RANDBETWEEN(2979,3282)))</f>
        <v>90708947.16375567</v>
      </c>
      <c r="B9879">
        <v>150049105.13435268</v>
      </c>
    </row>
    <row r="9880" spans="1:2" x14ac:dyDescent="0.25">
      <c r="A9880">
        <f ca="1">36818.9063674478*((RANDBETWEEN(2979,3282)))</f>
        <v>110272624.57050619</v>
      </c>
      <c r="B9880">
        <v>145046298.546388</v>
      </c>
    </row>
    <row r="9881" spans="1:2" x14ac:dyDescent="0.25">
      <c r="A9881">
        <f ca="1">29247.9992274587*((RANDBETWEEN(2979,3282)))</f>
        <v>93388861.533275589</v>
      </c>
      <c r="B9881">
        <v>157480987.23349741</v>
      </c>
    </row>
    <row r="9882" spans="1:2" x14ac:dyDescent="0.25">
      <c r="A9882">
        <f ca="1">37413.6927325627*((RANDBETWEEN(2979,3282)))</f>
        <v>121893810.92268914</v>
      </c>
      <c r="B9882">
        <v>187427746.44164482</v>
      </c>
    </row>
    <row r="9883" spans="1:2" x14ac:dyDescent="0.25">
      <c r="A9883">
        <f ca="1">33140.2658774172*((RANDBETWEEN(2979,3282)))</f>
        <v>100216164.01330951</v>
      </c>
      <c r="B9883">
        <v>162694500.38359469</v>
      </c>
    </row>
    <row r="9884" spans="1:2" x14ac:dyDescent="0.25">
      <c r="A9884">
        <f ca="1">28972.0296515137*((RANDBETWEEN(2979,3282)))</f>
        <v>86771228.806283429</v>
      </c>
      <c r="B9884">
        <v>145929217.01462561</v>
      </c>
    </row>
    <row r="9885" spans="1:2" x14ac:dyDescent="0.25">
      <c r="A9885">
        <f ca="1">30002.3092703166*((RANDBETWEEN(2979,3282)))</f>
        <v>92587126.408197165</v>
      </c>
      <c r="B9885">
        <v>170267305.18309063</v>
      </c>
    </row>
    <row r="9886" spans="1:2" x14ac:dyDescent="0.25">
      <c r="A9886">
        <f ca="1">31185.6548595846*((RANDBETWEEN(2979,3282)))</f>
        <v>94866762.082856357</v>
      </c>
      <c r="B9886">
        <v>161691396.36631188</v>
      </c>
    </row>
    <row r="9887" spans="1:2" x14ac:dyDescent="0.25">
      <c r="A9887">
        <f ca="1">30211.5330778266*((RANDBETWEEN(2979,3282)))</f>
        <v>91027349.163491637</v>
      </c>
      <c r="B9887">
        <v>148855078.8271333</v>
      </c>
    </row>
    <row r="9888" spans="1:2" x14ac:dyDescent="0.25">
      <c r="A9888">
        <f ca="1">29964.8569383439*((RANDBETWEEN(2979,3282)))</f>
        <v>91992110.8007157</v>
      </c>
      <c r="B9888">
        <v>197057685.6597752</v>
      </c>
    </row>
    <row r="9889" spans="1:2" x14ac:dyDescent="0.25">
      <c r="A9889">
        <f ca="1">41559.2171397281*((RANDBETWEEN(2979,3282)))</f>
        <v>131742718.33293808</v>
      </c>
      <c r="B9889">
        <v>193398533.46735147</v>
      </c>
    </row>
    <row r="9890" spans="1:2" x14ac:dyDescent="0.25">
      <c r="A9890">
        <f ca="1">31728.6025325528*((RANDBETWEEN(2979,3282)))</f>
        <v>99976826.580073744</v>
      </c>
      <c r="B9890">
        <v>200893079.71211877</v>
      </c>
    </row>
    <row r="9891" spans="1:2" x14ac:dyDescent="0.25">
      <c r="A9891">
        <f ca="1">32063.1990003008*((RANDBETWEEN(2979,3282)))</f>
        <v>95836901.811898962</v>
      </c>
      <c r="B9891">
        <v>200791951.86342257</v>
      </c>
    </row>
    <row r="9892" spans="1:2" x14ac:dyDescent="0.25">
      <c r="A9892">
        <f ca="1">36168.213453057*((RANDBETWEEN(2979,3282)))</f>
        <v>107962117.15737522</v>
      </c>
      <c r="B9892">
        <v>203362571.05861294</v>
      </c>
    </row>
    <row r="9893" spans="1:2" x14ac:dyDescent="0.25">
      <c r="A9893">
        <f ca="1">30523.185653318*((RANDBETWEEN(2979,3282)))</f>
        <v>97552101.348004341</v>
      </c>
      <c r="B9893">
        <v>196741938.39627269</v>
      </c>
    </row>
    <row r="9894" spans="1:2" x14ac:dyDescent="0.25">
      <c r="A9894">
        <f ca="1">33181.137848763*((RANDBETWEEN(2979,3282)))</f>
        <v>106113278.84034407</v>
      </c>
      <c r="B9894">
        <v>170767975.91964951</v>
      </c>
    </row>
    <row r="9895" spans="1:2" x14ac:dyDescent="0.25">
      <c r="A9895">
        <f ca="1">29679.783041824*((RANDBETWEEN(2979,3282)))</f>
        <v>91562130.684027046</v>
      </c>
      <c r="B9895">
        <v>199585902.36573541</v>
      </c>
    </row>
    <row r="9896" spans="1:2" x14ac:dyDescent="0.25">
      <c r="A9896">
        <f ca="1">32968.341964521*((RANDBETWEEN(2979,3282)))</f>
        <v>102168891.74805056</v>
      </c>
      <c r="B9896">
        <v>167978717.334252</v>
      </c>
    </row>
    <row r="9897" spans="1:2" x14ac:dyDescent="0.25">
      <c r="A9897">
        <f ca="1">29256.7078563572*((RANDBETWEEN(2979,3282)))</f>
        <v>88121204.063347772</v>
      </c>
      <c r="B9897">
        <v>203273973.79234597</v>
      </c>
    </row>
    <row r="9898" spans="1:2" x14ac:dyDescent="0.25">
      <c r="A9898">
        <f ca="1">30026.9681070299*((RANDBETWEEN(2979,3282)))</f>
        <v>92152765.120474637</v>
      </c>
      <c r="B9898">
        <v>148139687.36683658</v>
      </c>
    </row>
    <row r="9899" spans="1:2" x14ac:dyDescent="0.25">
      <c r="A9899">
        <f ca="1">37777.8170115181*((RANDBETWEEN(2979,3282)))</f>
        <v>123155683.45754886</v>
      </c>
      <c r="B9899">
        <v>145959195.93419406</v>
      </c>
    </row>
    <row r="9900" spans="1:2" x14ac:dyDescent="0.25">
      <c r="A9900">
        <f ca="1">29332.1310346858*((RANDBETWEEN(2979,3282)))</f>
        <v>90518956.373040304</v>
      </c>
      <c r="B9900">
        <v>155027049.39630705</v>
      </c>
    </row>
    <row r="9901" spans="1:2" x14ac:dyDescent="0.25">
      <c r="A9901">
        <f ca="1">32183.9231779882*((RANDBETWEEN(2979,3282)))</f>
        <v>101701197.24244279</v>
      </c>
      <c r="B9901">
        <v>168691865.249143</v>
      </c>
    </row>
    <row r="9902" spans="1:2" x14ac:dyDescent="0.25">
      <c r="A9902">
        <f ca="1">33611.2442488314*((RANDBETWEEN(2979,3282)))</f>
        <v>100732899.01374786</v>
      </c>
      <c r="B9902">
        <v>150792465.60633379</v>
      </c>
    </row>
    <row r="9903" spans="1:2" x14ac:dyDescent="0.25">
      <c r="A9903">
        <f ca="1">41976.9980180439*((RANDBETWEEN(2979,3282)))</f>
        <v>132101612.76278405</v>
      </c>
      <c r="B9903">
        <v>166056309.62866077</v>
      </c>
    </row>
    <row r="9904" spans="1:2" x14ac:dyDescent="0.25">
      <c r="A9904">
        <f ca="1">38161.0593076209*((RANDBETWEEN(2979,3282)))</f>
        <v>121542973.8947726</v>
      </c>
      <c r="B9904">
        <v>187936670.12160647</v>
      </c>
    </row>
    <row r="9905" spans="1:2" x14ac:dyDescent="0.25">
      <c r="A9905">
        <f ca="1">31605.4446823021*((RANDBETWEEN(2979,3282)))</f>
        <v>99114674.523699239</v>
      </c>
      <c r="B9905">
        <v>171731481.82326046</v>
      </c>
    </row>
    <row r="9906" spans="1:2" x14ac:dyDescent="0.25">
      <c r="A9906">
        <f ca="1">29388.3068874889*((RANDBETWEEN(2979,3282)))</f>
        <v>90104548.917040929</v>
      </c>
      <c r="B9906">
        <v>148756325.53904417</v>
      </c>
    </row>
    <row r="9907" spans="1:2" x14ac:dyDescent="0.25">
      <c r="A9907">
        <f ca="1">33329.2861926655*((RANDBETWEEN(2979,3282)))</f>
        <v>100254492.86753772</v>
      </c>
      <c r="B9907">
        <v>155884769.82852191</v>
      </c>
    </row>
    <row r="9908" spans="1:2" x14ac:dyDescent="0.25">
      <c r="A9908">
        <f ca="1">38514.6714008506*((RANDBETWEEN(2979,3282)))</f>
        <v>120589436.15606317</v>
      </c>
      <c r="B9908">
        <v>190782791.28564781</v>
      </c>
    </row>
    <row r="9909" spans="1:2" x14ac:dyDescent="0.25">
      <c r="A9909">
        <f ca="1">30413.3967943378*((RANDBETWEEN(2979,3282)))</f>
        <v>93886155.904120848</v>
      </c>
      <c r="B9909">
        <v>160665416.22917542</v>
      </c>
    </row>
    <row r="9910" spans="1:2" x14ac:dyDescent="0.25">
      <c r="A9910">
        <f ca="1">30899.1108366399*((RANDBETWEEN(2979,3282)))</f>
        <v>100762000.43828271</v>
      </c>
      <c r="B9910">
        <v>194656726.70905823</v>
      </c>
    </row>
    <row r="9911" spans="1:2" x14ac:dyDescent="0.25">
      <c r="A9911">
        <f ca="1">30419.865700371*((RANDBETWEEN(2979,3282)))</f>
        <v>95913836.553269908</v>
      </c>
      <c r="B9911">
        <v>180307446.2753973</v>
      </c>
    </row>
    <row r="9912" spans="1:2" x14ac:dyDescent="0.25">
      <c r="A9912">
        <f ca="1">31191.5672634363*((RANDBETWEEN(2979,3282)))</f>
        <v>100312080.31921101</v>
      </c>
      <c r="B9912">
        <v>158193003.77306396</v>
      </c>
    </row>
    <row r="9913" spans="1:2" x14ac:dyDescent="0.25">
      <c r="A9913">
        <f ca="1">30777.9478158908*((RANDBETWEEN(2979,3282)))</f>
        <v>94334410.055705294</v>
      </c>
      <c r="B9913">
        <v>144263900.6349771</v>
      </c>
    </row>
    <row r="9914" spans="1:2" x14ac:dyDescent="0.25">
      <c r="A9914">
        <f ca="1">30997.1568046541*((RANDBETWEEN(2979,3282)))</f>
        <v>95006285.6062648</v>
      </c>
      <c r="B9914">
        <v>178164755.1308015</v>
      </c>
    </row>
    <row r="9915" spans="1:2" x14ac:dyDescent="0.25">
      <c r="A9915">
        <f ca="1">29921.0377369186*((RANDBETWEEN(2979,3282)))</f>
        <v>89463902.833386466</v>
      </c>
      <c r="B9915">
        <v>184982402.50535268</v>
      </c>
    </row>
    <row r="9916" spans="1:2" x14ac:dyDescent="0.25">
      <c r="A9916">
        <f ca="1">29216.3076690756*((RANDBETWEEN(2979,3282)))</f>
        <v>93696698.694725484</v>
      </c>
      <c r="B9916">
        <v>157928792.306752</v>
      </c>
    </row>
    <row r="9917" spans="1:2" x14ac:dyDescent="0.25">
      <c r="A9917">
        <f ca="1">32176.9878467509*((RANDBETWEEN(2979,3282)))</f>
        <v>98493759.798904553</v>
      </c>
      <c r="B9917">
        <v>175876957.437803</v>
      </c>
    </row>
    <row r="9918" spans="1:2" x14ac:dyDescent="0.25">
      <c r="A9918">
        <f ca="1">33803.2496710564*((RANDBETWEEN(2979,3282)))</f>
        <v>110807052.4217229</v>
      </c>
      <c r="B9918">
        <v>179485332.36456603</v>
      </c>
    </row>
    <row r="9919" spans="1:2" x14ac:dyDescent="0.25">
      <c r="A9919">
        <f ca="1">29456.0968187672*((RANDBETWEEN(2979,3282)))</f>
        <v>91667373.300003558</v>
      </c>
      <c r="B9919">
        <v>152683616.22982749</v>
      </c>
    </row>
    <row r="9920" spans="1:2" x14ac:dyDescent="0.25">
      <c r="A9920">
        <f ca="1">41201.4710175729*((RANDBETWEEN(2979,3282)))</f>
        <v>132050714.61132123</v>
      </c>
      <c r="B9920">
        <v>193456429.39694324</v>
      </c>
    </row>
    <row r="9921" spans="1:2" x14ac:dyDescent="0.25">
      <c r="A9921">
        <f ca="1">39895.8049948096*((RANDBETWEEN(2979,3282)))</f>
        <v>121602413.62417965</v>
      </c>
      <c r="B9921">
        <v>149827637.79983452</v>
      </c>
    </row>
    <row r="9922" spans="1:2" x14ac:dyDescent="0.25">
      <c r="A9922">
        <f ca="1">32613.6932093852*((RANDBETWEEN(2979,3282)))</f>
        <v>97482329.00285247</v>
      </c>
      <c r="B9922">
        <v>195823343.85446894</v>
      </c>
    </row>
    <row r="9923" spans="1:2" x14ac:dyDescent="0.25">
      <c r="A9923">
        <f ca="1">32353.5480686778*((RANDBETWEEN(2979,3282)))</f>
        <v>100684241.58972536</v>
      </c>
      <c r="B9923">
        <v>198062602.42432317</v>
      </c>
    </row>
    <row r="9924" spans="1:2" x14ac:dyDescent="0.25">
      <c r="A9924">
        <f ca="1">29500.269643062*((RANDBETWEEN(2979,3282)))</f>
        <v>91804839.129208788</v>
      </c>
      <c r="B9924">
        <v>183770729.18427834</v>
      </c>
    </row>
    <row r="9925" spans="1:2" x14ac:dyDescent="0.25">
      <c r="A9925">
        <f ca="1">33467.1076253318*((RANDBETWEEN(2979,3282)))</f>
        <v>101238000.56662862</v>
      </c>
      <c r="B9925">
        <v>155689648.29732668</v>
      </c>
    </row>
    <row r="9926" spans="1:2" x14ac:dyDescent="0.25">
      <c r="A9926">
        <f ca="1">32380.5432482704*((RANDBETWEEN(2979,3282)))</f>
        <v>100865392.21836226</v>
      </c>
      <c r="B9926">
        <v>162054888.9608947</v>
      </c>
    </row>
    <row r="9927" spans="1:2" x14ac:dyDescent="0.25">
      <c r="A9927">
        <f ca="1">32964.1321828264*((RANDBETWEEN(2979,3282)))</f>
        <v>99419822.663404465</v>
      </c>
      <c r="B9927">
        <v>149803838.80552125</v>
      </c>
    </row>
    <row r="9928" spans="1:2" x14ac:dyDescent="0.25">
      <c r="A9928">
        <f ca="1">34672.350647319*((RANDBETWEEN(2979,3282)))</f>
        <v>110362092.11041644</v>
      </c>
      <c r="B9928">
        <v>194886216.03581572</v>
      </c>
    </row>
    <row r="9929" spans="1:2" x14ac:dyDescent="0.25">
      <c r="A9929">
        <f ca="1">33000.5306911217*((RANDBETWEEN(2979,3282)))</f>
        <v>99232595.788202971</v>
      </c>
      <c r="B9929">
        <v>142972264.21384275</v>
      </c>
    </row>
    <row r="9930" spans="1:2" x14ac:dyDescent="0.25">
      <c r="A9930">
        <f ca="1">34919.5592559444*((RANDBETWEEN(2979,3282)))</f>
        <v>108669668.40449889</v>
      </c>
      <c r="B9930">
        <v>152125105.47530717</v>
      </c>
    </row>
    <row r="9931" spans="1:2" x14ac:dyDescent="0.25">
      <c r="A9931">
        <f ca="1">31806.2356549563*((RANDBETWEEN(2979,3282)))</f>
        <v>97295274.868511274</v>
      </c>
      <c r="B9931">
        <v>157425666.43575978</v>
      </c>
    </row>
    <row r="9932" spans="1:2" x14ac:dyDescent="0.25">
      <c r="A9932">
        <f ca="1">37307.4881470649*((RANDBETWEEN(2979,3282)))</f>
        <v>112743229.18043025</v>
      </c>
      <c r="B9932">
        <v>177934545.56467375</v>
      </c>
    </row>
    <row r="9933" spans="1:2" x14ac:dyDescent="0.25">
      <c r="A9933">
        <f ca="1">40617.8800581845*((RANDBETWEEN(2979,3282)))</f>
        <v>122219201.0950771</v>
      </c>
      <c r="B9933">
        <v>184491441.2799947</v>
      </c>
    </row>
    <row r="9934" spans="1:2" x14ac:dyDescent="0.25">
      <c r="A9934">
        <f ca="1">32339.9397590364*((RANDBETWEEN(2979,3282)))</f>
        <v>104199285.9036154</v>
      </c>
      <c r="B9934">
        <v>168668140.81315306</v>
      </c>
    </row>
    <row r="9935" spans="1:2" x14ac:dyDescent="0.25">
      <c r="A9935">
        <f ca="1">31822.4360606564*((RANDBETWEEN(2979,3282)))</f>
        <v>99476935.125612006</v>
      </c>
      <c r="B9935">
        <v>154795117.50451767</v>
      </c>
    </row>
    <row r="9936" spans="1:2" x14ac:dyDescent="0.25">
      <c r="A9936">
        <f ca="1">38766.6223202512*((RANDBETWEEN(2979,3282)))</f>
        <v>116222333.71611305</v>
      </c>
      <c r="B9936">
        <v>170273917.31189933</v>
      </c>
    </row>
    <row r="9937" spans="1:2" x14ac:dyDescent="0.25">
      <c r="A9937">
        <f ca="1">32571.6269747282*((RANDBETWEEN(2979,3282)))</f>
        <v>98464028.344603404</v>
      </c>
      <c r="B9937">
        <v>171743399.39577743</v>
      </c>
    </row>
    <row r="9938" spans="1:2" x14ac:dyDescent="0.25">
      <c r="A9938">
        <f ca="1">34762.4184919821*((RANDBETWEEN(2979,3282)))</f>
        <v>110023054.5271235</v>
      </c>
      <c r="B9938">
        <v>148969596.26969638</v>
      </c>
    </row>
    <row r="9939" spans="1:2" x14ac:dyDescent="0.25">
      <c r="A9939">
        <f ca="1">38444.7641796545*((RANDBETWEEN(2979,3282)))</f>
        <v>121639233.86442684</v>
      </c>
      <c r="B9939">
        <v>197137382.97134477</v>
      </c>
    </row>
    <row r="9940" spans="1:2" x14ac:dyDescent="0.25">
      <c r="A9940">
        <f ca="1">40329.7693500025*((RANDBETWEEN(2979,3282)))</f>
        <v>127563060.45405783</v>
      </c>
      <c r="B9940">
        <v>182898294.25319475</v>
      </c>
    </row>
    <row r="9941" spans="1:2" x14ac:dyDescent="0.25">
      <c r="A9941">
        <f ca="1">30527.3013482902*((RANDBETWEEN(2979,3282)))</f>
        <v>94237779.262171924</v>
      </c>
      <c r="B9941">
        <v>151709556.55904445</v>
      </c>
    </row>
    <row r="9942" spans="1:2" x14ac:dyDescent="0.25">
      <c r="A9942">
        <f ca="1">30118.0274285985*((RANDBETWEEN(2979,3282)))</f>
        <v>93064704.754369318</v>
      </c>
      <c r="B9942">
        <v>143800943.25174731</v>
      </c>
    </row>
    <row r="9943" spans="1:2" x14ac:dyDescent="0.25">
      <c r="A9943">
        <f ca="1">41148.3889594051*((RANDBETWEEN(2979,3282)))</f>
        <v>127806896.10791224</v>
      </c>
      <c r="B9943">
        <v>164671719.01994082</v>
      </c>
    </row>
    <row r="9944" spans="1:2" x14ac:dyDescent="0.25">
      <c r="A9944">
        <f ca="1">39540.2395154797*((RANDBETWEEN(2979,3282)))</f>
        <v>119688305.01335713</v>
      </c>
      <c r="B9944">
        <v>179291997.76246965</v>
      </c>
    </row>
    <row r="9945" spans="1:2" x14ac:dyDescent="0.25">
      <c r="A9945">
        <f ca="1">33470.3718194013*((RANDBETWEEN(2979,3282)))</f>
        <v>108510945.43849896</v>
      </c>
      <c r="B9945">
        <v>194728963.22843596</v>
      </c>
    </row>
    <row r="9946" spans="1:2" x14ac:dyDescent="0.25">
      <c r="A9946">
        <f ca="1">34771.587446776*((RANDBETWEEN(2979,3282)))</f>
        <v>105184052.02649751</v>
      </c>
      <c r="B9946">
        <v>159770443.97493631</v>
      </c>
    </row>
    <row r="9947" spans="1:2" x14ac:dyDescent="0.25">
      <c r="A9947">
        <f ca="1">33723.6177794323*((RANDBETWEEN(2979,3282)))</f>
        <v>108590049.24977215</v>
      </c>
      <c r="B9947">
        <v>160513901.05988553</v>
      </c>
    </row>
    <row r="9948" spans="1:2" x14ac:dyDescent="0.25">
      <c r="A9948">
        <f ca="1">29978.6015013028*((RANDBETWEEN(2979,3282)))</f>
        <v>96591054.037197754</v>
      </c>
      <c r="B9948">
        <v>184393073.52342224</v>
      </c>
    </row>
    <row r="9949" spans="1:2" x14ac:dyDescent="0.25">
      <c r="A9949">
        <f ca="1">30340.2883160073*((RANDBETWEEN(2979,3282)))</f>
        <v>91445628.98444593</v>
      </c>
      <c r="B9949">
        <v>143213979.33992875</v>
      </c>
    </row>
    <row r="9950" spans="1:2" x14ac:dyDescent="0.25">
      <c r="A9950">
        <f ca="1">31106.9815019527*((RANDBETWEEN(2979,3282)))</f>
        <v>101564294.60387552</v>
      </c>
      <c r="B9950">
        <v>146363607.53090861</v>
      </c>
    </row>
    <row r="9951" spans="1:2" x14ac:dyDescent="0.25">
      <c r="A9951">
        <f ca="1">42061.2850549155*((RANDBETWEEN(2979,3282)))</f>
        <v>125552935.88892265</v>
      </c>
      <c r="B9951">
        <v>202308650.45218694</v>
      </c>
    </row>
    <row r="9952" spans="1:2" x14ac:dyDescent="0.25">
      <c r="A9952">
        <f ca="1">29449.4584794608*((RANDBETWEEN(2979,3282)))</f>
        <v>92736344.751822054</v>
      </c>
      <c r="B9952">
        <v>177169257.90681905</v>
      </c>
    </row>
    <row r="9953" spans="1:2" x14ac:dyDescent="0.25">
      <c r="A9953">
        <f ca="1">30284.1009464925*((RANDBETWEEN(2979,3282)))</f>
        <v>94244122.145484746</v>
      </c>
      <c r="B9953">
        <v>159044828.25338632</v>
      </c>
    </row>
    <row r="9954" spans="1:2" x14ac:dyDescent="0.25">
      <c r="A9954">
        <f ca="1">32301.5578275124*((RANDBETWEEN(2979,3282)))</f>
        <v>105270776.9598629</v>
      </c>
      <c r="B9954">
        <v>203079390.85058266</v>
      </c>
    </row>
    <row r="9955" spans="1:2" x14ac:dyDescent="0.25">
      <c r="A9955">
        <f ca="1">39652.8178350902*((RANDBETWEEN(2979,3282)))</f>
        <v>119830815.49764247</v>
      </c>
      <c r="B9955">
        <v>182405300.68250757</v>
      </c>
    </row>
    <row r="9956" spans="1:2" x14ac:dyDescent="0.25">
      <c r="A9956">
        <f ca="1">37687.1000304091*((RANDBETWEEN(2979,3282)))</f>
        <v>120146474.89694417</v>
      </c>
      <c r="B9956">
        <v>157483888.10794657</v>
      </c>
    </row>
    <row r="9957" spans="1:2" x14ac:dyDescent="0.25">
      <c r="A9957">
        <f ca="1">31686.1087060996*((RANDBETWEEN(2979,3282)))</f>
        <v>97086237.075489312</v>
      </c>
      <c r="B9957">
        <v>179774117.7819925</v>
      </c>
    </row>
    <row r="9958" spans="1:2" x14ac:dyDescent="0.25">
      <c r="A9958">
        <f ca="1">29818.1934904755*((RANDBETWEEN(2979,3282)))</f>
        <v>92615308.981416762</v>
      </c>
      <c r="B9958">
        <v>175953638.5168367</v>
      </c>
    </row>
    <row r="9959" spans="1:2" x14ac:dyDescent="0.25">
      <c r="A9959">
        <f ca="1">33393.2509637905*((RANDBETWEEN(2979,3282)))</f>
        <v>106591257.0764194</v>
      </c>
      <c r="B9959">
        <v>176160379.80857828</v>
      </c>
    </row>
    <row r="9960" spans="1:2" x14ac:dyDescent="0.25">
      <c r="A9960">
        <f ca="1">37280.1551961969*((RANDBETWEEN(2979,3282)))</f>
        <v>118066251.50635557</v>
      </c>
      <c r="B9960">
        <v>195368720.07755926</v>
      </c>
    </row>
    <row r="9961" spans="1:2" x14ac:dyDescent="0.25">
      <c r="A9961">
        <f ca="1">31549.8219628721*((RANDBETWEEN(2979,3282)))</f>
        <v>94144668.737210199</v>
      </c>
      <c r="B9961">
        <v>163622276.000581</v>
      </c>
    </row>
    <row r="9962" spans="1:2" x14ac:dyDescent="0.25">
      <c r="A9962">
        <f ca="1">31151.1059510471*((RANDBETWEEN(2979,3282)))</f>
        <v>96506126.236343861</v>
      </c>
      <c r="B9962">
        <v>192602265.88592279</v>
      </c>
    </row>
    <row r="9963" spans="1:2" x14ac:dyDescent="0.25">
      <c r="A9963">
        <f ca="1">37074.4432242622*((RANDBETWEEN(2979,3282)))</f>
        <v>120825610.46787062</v>
      </c>
      <c r="B9963">
        <v>155102430.94635871</v>
      </c>
    </row>
    <row r="9964" spans="1:2" x14ac:dyDescent="0.25">
      <c r="A9964">
        <f ca="1">39484.6329189228*((RANDBETWEEN(2979,3282)))</f>
        <v>120388645.76979575</v>
      </c>
      <c r="B9964">
        <v>176850315.59163144</v>
      </c>
    </row>
    <row r="9965" spans="1:2" x14ac:dyDescent="0.25">
      <c r="A9965">
        <f ca="1">28143.3178246922*((RANDBETWEEN(2979,3282)))</f>
        <v>92338225.782815084</v>
      </c>
      <c r="B9965">
        <v>174746377.44037542</v>
      </c>
    </row>
    <row r="9966" spans="1:2" x14ac:dyDescent="0.25">
      <c r="A9966">
        <f ca="1">29495.6899229755*((RANDBETWEEN(2979,3282)))</f>
        <v>91407143.071301162</v>
      </c>
      <c r="B9966">
        <v>159219797.84163007</v>
      </c>
    </row>
    <row r="9967" spans="1:2" x14ac:dyDescent="0.25">
      <c r="A9967">
        <f ca="1">29832.6316697535*((RANDBETWEEN(2979,3282)))</f>
        <v>95315258.184862375</v>
      </c>
      <c r="B9967">
        <v>158438177.41819823</v>
      </c>
    </row>
    <row r="9968" spans="1:2" x14ac:dyDescent="0.25">
      <c r="A9968">
        <f ca="1">35579.0375305779*((RANDBETWEEN(2979,3282)))</f>
        <v>110437332.49491392</v>
      </c>
      <c r="B9968">
        <v>154438997.34585327</v>
      </c>
    </row>
    <row r="9969" spans="1:2" x14ac:dyDescent="0.25">
      <c r="A9969">
        <f ca="1">34730.3921223174*((RANDBETWEEN(2979,3282)))</f>
        <v>108845048.91134259</v>
      </c>
      <c r="B9969">
        <v>146261989.25559494</v>
      </c>
    </row>
    <row r="9970" spans="1:2" x14ac:dyDescent="0.25">
      <c r="A9970">
        <f ca="1">34563.1874885797*((RANDBETWEEN(2979,3282)))</f>
        <v>108943166.96400324</v>
      </c>
      <c r="B9970">
        <v>202369619.75912893</v>
      </c>
    </row>
    <row r="9971" spans="1:2" x14ac:dyDescent="0.25">
      <c r="A9971">
        <f ca="1">34079.9514985164*((RANDBETWEEN(2979,3282)))</f>
        <v>108612805.42577171</v>
      </c>
      <c r="B9971">
        <v>157734688.05507675</v>
      </c>
    </row>
    <row r="9972" spans="1:2" x14ac:dyDescent="0.25">
      <c r="A9972">
        <f ca="1">37358.9480332615*((RANDBETWEEN(2979,3282)))</f>
        <v>113533843.07308182</v>
      </c>
      <c r="B9972">
        <v>195257595.34201324</v>
      </c>
    </row>
    <row r="9973" spans="1:2" x14ac:dyDescent="0.25">
      <c r="A9973">
        <f ca="1">31383.8799309884*((RANDBETWEEN(2979,3282)))</f>
        <v>99361363.861509413</v>
      </c>
      <c r="B9973">
        <v>195349380.37344241</v>
      </c>
    </row>
    <row r="9974" spans="1:2" x14ac:dyDescent="0.25">
      <c r="A9974">
        <f ca="1">30418.3621730414*((RANDBETWEEN(2979,3282)))</f>
        <v>91315923.243470401</v>
      </c>
      <c r="B9974">
        <v>143495879.32260233</v>
      </c>
    </row>
    <row r="9975" spans="1:2" x14ac:dyDescent="0.25">
      <c r="A9975">
        <f ca="1">29368.7141972078*((RANDBETWEEN(2979,3282)))</f>
        <v>95888851.853883326</v>
      </c>
      <c r="B9975">
        <v>153950632.40592018</v>
      </c>
    </row>
    <row r="9976" spans="1:2" x14ac:dyDescent="0.25">
      <c r="A9976">
        <f ca="1">29625.890511187*((RANDBETWEEN(2979,3282)))</f>
        <v>95187986.212443829</v>
      </c>
      <c r="B9976">
        <v>171179451.67365593</v>
      </c>
    </row>
    <row r="9977" spans="1:2" x14ac:dyDescent="0.25">
      <c r="A9977">
        <f ca="1">35418.6720176117*((RANDBETWEEN(2979,3282)))</f>
        <v>109372859.19038504</v>
      </c>
      <c r="B9977">
        <v>149347099.50926864</v>
      </c>
    </row>
    <row r="9978" spans="1:2" x14ac:dyDescent="0.25">
      <c r="A9978">
        <f ca="1">28238.6205514741*((RANDBETWEEN(2979,3282)))</f>
        <v>92255573.341666043</v>
      </c>
      <c r="B9978">
        <v>145866176.13137275</v>
      </c>
    </row>
    <row r="9979" spans="1:2" x14ac:dyDescent="0.25">
      <c r="A9979">
        <f ca="1">32457.4275393564*((RANDBETWEEN(2979,3282)))</f>
        <v>97047708.34267576</v>
      </c>
      <c r="B9979">
        <v>198476146.4997918</v>
      </c>
    </row>
    <row r="9980" spans="1:2" x14ac:dyDescent="0.25">
      <c r="A9980">
        <f ca="1">31416.2986937015*((RANDBETWEEN(2979,3282)))</f>
        <v>97516191.14524956</v>
      </c>
      <c r="B9980">
        <v>158698734.26195133</v>
      </c>
    </row>
    <row r="9981" spans="1:2" x14ac:dyDescent="0.25">
      <c r="A9981">
        <f ca="1">31054.0930618944*((RANDBETWEEN(2979,3282)))</f>
        <v>94621821.559592187</v>
      </c>
      <c r="B9981">
        <v>194992936.06634766</v>
      </c>
    </row>
    <row r="9982" spans="1:2" x14ac:dyDescent="0.25">
      <c r="A9982">
        <f ca="1">33488.6333566849*((RANDBETWEEN(2979,3282)))</f>
        <v>100599854.60348131</v>
      </c>
      <c r="B9982">
        <v>190433423.83552861</v>
      </c>
    </row>
    <row r="9983" spans="1:2" x14ac:dyDescent="0.25">
      <c r="A9983">
        <f ca="1">33616.8013949361*((RANDBETWEEN(2979,3282)))</f>
        <v>105859307.59265366</v>
      </c>
      <c r="B9983">
        <v>169762555.11198243</v>
      </c>
    </row>
    <row r="9984" spans="1:2" x14ac:dyDescent="0.25">
      <c r="A9984">
        <f ca="1">38352.0864177183*((RANDBETWEEN(2979,3282)))</f>
        <v>123647126.61072388</v>
      </c>
      <c r="B9984">
        <v>163645509.34022561</v>
      </c>
    </row>
    <row r="9985" spans="1:2" x14ac:dyDescent="0.25">
      <c r="A9985">
        <f ca="1">28471.8383527515*((RANDBETWEEN(2979,3282)))</f>
        <v>86355085.723895416</v>
      </c>
      <c r="B9985">
        <v>180351296.76604214</v>
      </c>
    </row>
    <row r="9986" spans="1:2" x14ac:dyDescent="0.25">
      <c r="A9986">
        <f ca="1">27531.4920866051*((RANDBETWEEN(2979,3282)))</f>
        <v>86779263.056979418</v>
      </c>
      <c r="B9986">
        <v>162480804.47538978</v>
      </c>
    </row>
    <row r="9987" spans="1:2" x14ac:dyDescent="0.25">
      <c r="A9987">
        <f ca="1">34548.0050986842*((RANDBETWEEN(2979,3282)))</f>
        <v>109378984.14243414</v>
      </c>
      <c r="B9987">
        <v>143827548.57062018</v>
      </c>
    </row>
    <row r="9988" spans="1:2" x14ac:dyDescent="0.25">
      <c r="A9988">
        <f ca="1">31359.3263551037*((RANDBETWEEN(2979,3282)))</f>
        <v>94360213.002506971</v>
      </c>
      <c r="B9988">
        <v>176078260.56183711</v>
      </c>
    </row>
    <row r="9989" spans="1:2" x14ac:dyDescent="0.25">
      <c r="A9989">
        <f ca="1">35039.7449961918*((RANDBETWEEN(2979,3282)))</f>
        <v>105364513.20354879</v>
      </c>
      <c r="B9989">
        <v>191135177.49319696</v>
      </c>
    </row>
    <row r="9990" spans="1:2" x14ac:dyDescent="0.25">
      <c r="A9990">
        <f ca="1">30041.4506369984*((RANDBETWEEN(2979,3282)))</f>
        <v>98265585.033621863</v>
      </c>
      <c r="B9990">
        <v>183559963.54767689</v>
      </c>
    </row>
    <row r="9991" spans="1:2" x14ac:dyDescent="0.25">
      <c r="A9991">
        <f ca="1">30860.0876648221*((RANDBETWEEN(2979,3282)))</f>
        <v>97795617.809821114</v>
      </c>
      <c r="B9991">
        <v>157874956.88305667</v>
      </c>
    </row>
    <row r="9992" spans="1:2" x14ac:dyDescent="0.25">
      <c r="A9992">
        <f ca="1">31668.9825479656*((RANDBETWEEN(2979,3282)))</f>
        <v>100295667.72940709</v>
      </c>
      <c r="B9992">
        <v>150168088.80638564</v>
      </c>
    </row>
    <row r="9993" spans="1:2" x14ac:dyDescent="0.25">
      <c r="A9993">
        <f ca="1">29611.0014239527*((RANDBETWEEN(2979,3282)))</f>
        <v>96679919.649205476</v>
      </c>
      <c r="B9993">
        <v>162044077.4617874</v>
      </c>
    </row>
    <row r="9994" spans="1:2" x14ac:dyDescent="0.25">
      <c r="A9994">
        <f ca="1">34615.4149713464*((RANDBETWEEN(2979,3282)))</f>
        <v>107861633.05071539</v>
      </c>
      <c r="B9994">
        <v>185573075.04142392</v>
      </c>
    </row>
    <row r="9995" spans="1:2" x14ac:dyDescent="0.25">
      <c r="A9995">
        <f ca="1">32527.1645307331*((RANDBETWEEN(2979,3282)))</f>
        <v>98622362.857182816</v>
      </c>
      <c r="B9995">
        <v>182421308.20385721</v>
      </c>
    </row>
    <row r="9996" spans="1:2" x14ac:dyDescent="0.25">
      <c r="A9996">
        <f ca="1">32459.0470627219*((RANDBETWEEN(2979,3282)))</f>
        <v>100136160.18849698</v>
      </c>
      <c r="B9996">
        <v>166885377.61498728</v>
      </c>
    </row>
    <row r="9997" spans="1:2" x14ac:dyDescent="0.25">
      <c r="A9997">
        <f ca="1">28237.6179283702*((RANDBETWEEN(2979,3282)))</f>
        <v>90303902.134927779</v>
      </c>
      <c r="B9997">
        <v>146921732.49213383</v>
      </c>
    </row>
    <row r="9998" spans="1:2" x14ac:dyDescent="0.25">
      <c r="A9998">
        <f ca="1">31052.0095909692*((RANDBETWEEN(2979,3282)))</f>
        <v>99490638.729465261</v>
      </c>
      <c r="B9998">
        <v>144430691.03977156</v>
      </c>
    </row>
    <row r="9999" spans="1:2" x14ac:dyDescent="0.25">
      <c r="A9999">
        <f ca="1">28700.5991335082*((RANDBETWEEN(2979,3282)))</f>
        <v>92272426.214228958</v>
      </c>
      <c r="B9999">
        <v>170576217.26223129</v>
      </c>
    </row>
    <row r="10000" spans="1:2" x14ac:dyDescent="0.25">
      <c r="A10000">
        <f ca="1">32013.8494692511*((RANDBETWEEN(2979,3282)))</f>
        <v>105005426.25914368</v>
      </c>
      <c r="B10000">
        <v>145596112.2559334</v>
      </c>
    </row>
    <row r="10001" spans="1:2" x14ac:dyDescent="0.25">
      <c r="A10001">
        <f ca="1">34636.5020609963*((RANDBETWEEN(2979,3282)))</f>
        <v>106645789.84580755</v>
      </c>
      <c r="B10001">
        <v>153778043.92134789</v>
      </c>
    </row>
    <row r="10002" spans="1:2" x14ac:dyDescent="0.25">
      <c r="A10002">
        <f ca="1">30630.7287512975*((RANDBETWEEN(2979,3282)))</f>
        <v>91402094.593871728</v>
      </c>
      <c r="B10002">
        <v>156730407.99885511</v>
      </c>
    </row>
    <row r="10003" spans="1:2" x14ac:dyDescent="0.25">
      <c r="A10003">
        <f ca="1">41345.0152470865*((RANDBETWEEN(2979,3282)))</f>
        <v>123373525.49730618</v>
      </c>
      <c r="B10003">
        <v>173223255.61955795</v>
      </c>
    </row>
    <row r="10004" spans="1:2" x14ac:dyDescent="0.25">
      <c r="A10004">
        <f ca="1">35004.9897679183*((RANDBETWEEN(2979,3282)))</f>
        <v>106695208.81261498</v>
      </c>
      <c r="B10004">
        <v>156744367.03213632</v>
      </c>
    </row>
    <row r="10005" spans="1:2" x14ac:dyDescent="0.25">
      <c r="A10005">
        <f ca="1">40716.4297174603*((RANDBETWEEN(2979,3282)))</f>
        <v>122637886.30899028</v>
      </c>
      <c r="B10005">
        <v>181854480.16033053</v>
      </c>
    </row>
    <row r="10006" spans="1:2" x14ac:dyDescent="0.25">
      <c r="A10006">
        <f ca="1">39600.7586793064*((RANDBETWEEN(2979,3282)))</f>
        <v>118762675.27923976</v>
      </c>
      <c r="B10006">
        <v>185738759.15112028</v>
      </c>
    </row>
    <row r="10007" spans="1:2" x14ac:dyDescent="0.25">
      <c r="A10007">
        <f ca="1">30324.3086232288*((RANDBETWEEN(2979,3282)))</f>
        <v>91761357.893890306</v>
      </c>
      <c r="B10007">
        <v>174072989.76083234</v>
      </c>
    </row>
    <row r="10008" spans="1:2" x14ac:dyDescent="0.25">
      <c r="A10008">
        <f ca="1">36142.1377378678*((RANDBETWEEN(2979,3282)))</f>
        <v>107775854.7343218</v>
      </c>
      <c r="B10008">
        <v>157003658.35409072</v>
      </c>
    </row>
    <row r="10009" spans="1:2" x14ac:dyDescent="0.25">
      <c r="A10009">
        <f ca="1">29672.1068381161*((RANDBETWEEN(2979,3282)))</f>
        <v>93496808.646903783</v>
      </c>
      <c r="B10009">
        <v>172416117.40583813</v>
      </c>
    </row>
    <row r="10010" spans="1:2" x14ac:dyDescent="0.25">
      <c r="A10010">
        <f ca="1">30441.3455725222*((RANDBETWEEN(2979,3282)))</f>
        <v>91050064.607413948</v>
      </c>
      <c r="B10010">
        <v>155092339.65402597</v>
      </c>
    </row>
    <row r="10011" spans="1:2" x14ac:dyDescent="0.25">
      <c r="A10011">
        <f ca="1">29819.6273861317*((RANDBETWEEN(2979,3282)))</f>
        <v>95303529.126076922</v>
      </c>
      <c r="B10011">
        <v>155248651.63604826</v>
      </c>
    </row>
    <row r="10012" spans="1:2" x14ac:dyDescent="0.25">
      <c r="A10012">
        <f ca="1">31867.2137707341*((RANDBETWEEN(2979,3282)))</f>
        <v>95346703.602036446</v>
      </c>
      <c r="B10012">
        <v>190659461.35215133</v>
      </c>
    </row>
    <row r="10013" spans="1:2" x14ac:dyDescent="0.25">
      <c r="A10013">
        <f ca="1">33380.9318724642*((RANDBETWEEN(2979,3282)))</f>
        <v>102179032.46161294</v>
      </c>
      <c r="B10013">
        <v>192715605.79483125</v>
      </c>
    </row>
    <row r="10014" spans="1:2" x14ac:dyDescent="0.25">
      <c r="A10014">
        <f ca="1">31793.454645983*((RANDBETWEEN(2979,3282)))</f>
        <v>99481719.587280899</v>
      </c>
      <c r="B10014">
        <v>159650610.27331054</v>
      </c>
    </row>
    <row r="10015" spans="1:2" x14ac:dyDescent="0.25">
      <c r="A10015">
        <f ca="1">29254.4783212568*((RANDBETWEEN(2979,3282)))</f>
        <v>89138395.444869384</v>
      </c>
      <c r="B10015">
        <v>146666064.98863041</v>
      </c>
    </row>
    <row r="10016" spans="1:2" x14ac:dyDescent="0.25">
      <c r="A10016">
        <f ca="1">29959.142496498*((RANDBETWEEN(2979,3282)))</f>
        <v>95659541.991318077</v>
      </c>
      <c r="B10016">
        <v>143676301.22790593</v>
      </c>
    </row>
    <row r="10017" spans="1:2" x14ac:dyDescent="0.25">
      <c r="A10017">
        <f ca="1">31521.3704371947*((RANDBETWEEN(2979,3282)))</f>
        <v>93902162.532402888</v>
      </c>
      <c r="B10017">
        <v>166237993.56841844</v>
      </c>
    </row>
    <row r="10018" spans="1:2" x14ac:dyDescent="0.25">
      <c r="A10018">
        <f ca="1">30493.2128989012*((RANDBETWEEN(2979,3282)))</f>
        <v>91418652.270905674</v>
      </c>
      <c r="B10018">
        <v>168512967.52223235</v>
      </c>
    </row>
    <row r="10019" spans="1:2" x14ac:dyDescent="0.25">
      <c r="A10019">
        <f ca="1">30235.2343038154*((RANDBETWEEN(2979,3282)))</f>
        <v>93698991.107523963</v>
      </c>
      <c r="B10019">
        <v>144087083.86207521</v>
      </c>
    </row>
    <row r="10020" spans="1:2" x14ac:dyDescent="0.25">
      <c r="A10020">
        <f ca="1">32650.470981292*((RANDBETWEEN(2979,3282)))</f>
        <v>102522478.88125679</v>
      </c>
      <c r="B10020">
        <v>183128392.9622708</v>
      </c>
    </row>
    <row r="10021" spans="1:2" x14ac:dyDescent="0.25">
      <c r="A10021">
        <f ca="1">30082.63396345*((RANDBETWEEN(2979,3282)))</f>
        <v>91300794.079070702</v>
      </c>
      <c r="B10021">
        <v>168538316.44576439</v>
      </c>
    </row>
    <row r="10022" spans="1:2" x14ac:dyDescent="0.25">
      <c r="A10022">
        <f ca="1">35413.600970649*((RANDBETWEEN(2979,3282)))</f>
        <v>112402769.48083992</v>
      </c>
      <c r="B10022">
        <v>154873137.24793112</v>
      </c>
    </row>
    <row r="10023" spans="1:2" x14ac:dyDescent="0.25">
      <c r="A10023">
        <f ca="1">40079.3168911986*((RANDBETWEEN(2979,3282)))</f>
        <v>121881202.66613506</v>
      </c>
      <c r="B10023">
        <v>168415084.57595822</v>
      </c>
    </row>
    <row r="10024" spans="1:2" x14ac:dyDescent="0.25">
      <c r="A10024">
        <f ca="1">32379.0182109606*((RANDBETWEEN(2979,3282)))</f>
        <v>98335078.30668743</v>
      </c>
      <c r="B10024">
        <v>172249435.37304443</v>
      </c>
    </row>
    <row r="10025" spans="1:2" x14ac:dyDescent="0.25">
      <c r="A10025">
        <f ca="1">35197.1944525754*((RANDBETWEEN(2979,3282)))</f>
        <v>105626780.5521789</v>
      </c>
      <c r="B10025">
        <v>156589206.81257436</v>
      </c>
    </row>
    <row r="10026" spans="1:2" x14ac:dyDescent="0.25">
      <c r="A10026">
        <f ca="1">37751.5834231606*((RANDBETWEEN(2979,3282)))</f>
        <v>122164123.95734763</v>
      </c>
      <c r="B10026">
        <v>169230280.02013031</v>
      </c>
    </row>
    <row r="10027" spans="1:2" x14ac:dyDescent="0.25">
      <c r="A10027">
        <f ca="1">30013.3973368867*((RANDBETWEEN(2979,3282)))</f>
        <v>92801424.565653518</v>
      </c>
      <c r="B10027">
        <v>183163569.53724718</v>
      </c>
    </row>
    <row r="10028" spans="1:2" x14ac:dyDescent="0.25">
      <c r="A10028">
        <f ca="1">33787.5577410148*((RANDBETWEEN(2979,3282)))</f>
        <v>108964873.7147726</v>
      </c>
      <c r="B10028">
        <v>176609586.55456415</v>
      </c>
    </row>
    <row r="10029" spans="1:2" x14ac:dyDescent="0.25">
      <c r="A10029">
        <f ca="1">34173.9377473653*((RANDBETWEEN(2979,3282)))</f>
        <v>110484340.73723197</v>
      </c>
      <c r="B10029">
        <v>155089727.384269</v>
      </c>
    </row>
    <row r="10030" spans="1:2" x14ac:dyDescent="0.25">
      <c r="A10030">
        <f ca="1">30146.3161529544*((RANDBETWEEN(2979,3282)))</f>
        <v>95413090.6241007</v>
      </c>
      <c r="B10030">
        <v>203018213.02690098</v>
      </c>
    </row>
    <row r="10031" spans="1:2" x14ac:dyDescent="0.25">
      <c r="A10031">
        <f ca="1">38690.6108885397*((RANDBETWEEN(2979,3282)))</f>
        <v>122339711.62956253</v>
      </c>
      <c r="B10031">
        <v>167572990.63581717</v>
      </c>
    </row>
    <row r="10032" spans="1:2" x14ac:dyDescent="0.25">
      <c r="A10032">
        <f ca="1">31750.4531881618*((RANDBETWEEN(2979,3282)))</f>
        <v>96013370.441001162</v>
      </c>
      <c r="B10032">
        <v>167471448.61778837</v>
      </c>
    </row>
    <row r="10033" spans="1:2" x14ac:dyDescent="0.25">
      <c r="A10033">
        <f ca="1">29658.2989574014*((RANDBETWEEN(2979,3282)))</f>
        <v>89657037.748224393</v>
      </c>
      <c r="B10033">
        <v>199667730.97576261</v>
      </c>
    </row>
    <row r="10034" spans="1:2" x14ac:dyDescent="0.25">
      <c r="A10034">
        <f ca="1">35988.612373305*((RANDBETWEEN(2979,3282)))</f>
        <v>111996561.70572519</v>
      </c>
      <c r="B10034">
        <v>150351021.94978201</v>
      </c>
    </row>
    <row r="10035" spans="1:2" x14ac:dyDescent="0.25">
      <c r="A10035">
        <f ca="1">31691.8839421487*((RANDBETWEEN(2979,3282)))</f>
        <v>97706078.19364433</v>
      </c>
      <c r="B10035">
        <v>180129384.25583029</v>
      </c>
    </row>
    <row r="10036" spans="1:2" x14ac:dyDescent="0.25">
      <c r="A10036">
        <f ca="1">34577.8619659761*((RANDBETWEEN(2979,3282)))</f>
        <v>110476268.98129374</v>
      </c>
      <c r="B10036">
        <v>161010927.22955635</v>
      </c>
    </row>
    <row r="10037" spans="1:2" x14ac:dyDescent="0.25">
      <c r="A10037">
        <f ca="1">31188.9577458678*((RANDBETWEEN(2979,3282)))</f>
        <v>96779335.885427862</v>
      </c>
      <c r="B10037">
        <v>178167337.81711322</v>
      </c>
    </row>
    <row r="10038" spans="1:2" x14ac:dyDescent="0.25">
      <c r="A10038">
        <f ca="1">32095.5469596798*((RANDBETWEEN(2979,3282)))</f>
        <v>95612634.392886177</v>
      </c>
      <c r="B10038">
        <v>144870784.03927431</v>
      </c>
    </row>
    <row r="10039" spans="1:2" x14ac:dyDescent="0.25">
      <c r="A10039">
        <f ca="1">34319.905692195*((RANDBETWEEN(2979,3282)))</f>
        <v>107798823.77918442</v>
      </c>
      <c r="B10039">
        <v>177121898.8969869</v>
      </c>
    </row>
    <row r="10040" spans="1:2" x14ac:dyDescent="0.25">
      <c r="A10040">
        <f ca="1">31041.1462179194*((RANDBETWEEN(2979,3282)))</f>
        <v>92626780.314271525</v>
      </c>
      <c r="B10040">
        <v>173131877.16947037</v>
      </c>
    </row>
    <row r="10041" spans="1:2" x14ac:dyDescent="0.25">
      <c r="A10041">
        <f ca="1">27864.030340661*((RANDBETWEEN(2979,3282)))</f>
        <v>84734516.265950203</v>
      </c>
      <c r="B10041">
        <v>182285478.88486069</v>
      </c>
    </row>
    <row r="10042" spans="1:2" x14ac:dyDescent="0.25">
      <c r="A10042">
        <f ca="1">29761.953233331*((RANDBETWEEN(2979,3282)))</f>
        <v>90208480.250226393</v>
      </c>
      <c r="B10042">
        <v>199053730.11302191</v>
      </c>
    </row>
    <row r="10043" spans="1:2" x14ac:dyDescent="0.25">
      <c r="A10043">
        <f ca="1">38982.8978123922*((RANDBETWEEN(2979,3282)))</f>
        <v>124979170.38652943</v>
      </c>
      <c r="B10043">
        <v>147584879.29712349</v>
      </c>
    </row>
    <row r="10044" spans="1:2" x14ac:dyDescent="0.25">
      <c r="A10044">
        <f ca="1">39974.6436913537*((RANDBETWEEN(2979,3282)))</f>
        <v>126159975.48991227</v>
      </c>
      <c r="B10044">
        <v>188256213.08740634</v>
      </c>
    </row>
    <row r="10045" spans="1:2" x14ac:dyDescent="0.25">
      <c r="A10045">
        <f ca="1">31552.8456507886*((RANDBETWEEN(2979,3282)))</f>
        <v>101537057.30423783</v>
      </c>
      <c r="B10045">
        <v>149635380.41276628</v>
      </c>
    </row>
    <row r="10046" spans="1:2" x14ac:dyDescent="0.25">
      <c r="A10046">
        <f ca="1">39980.5247860427*((RANDBETWEEN(2979,3282)))</f>
        <v>127937679.3153365</v>
      </c>
      <c r="B10046">
        <v>193126786.82367167</v>
      </c>
    </row>
    <row r="10047" spans="1:2" x14ac:dyDescent="0.25">
      <c r="A10047">
        <f ca="1">32451.4493962785*((RANDBETWEEN(2979,3282)))</f>
        <v>105304953.2909237</v>
      </c>
      <c r="B10047">
        <v>155839792.15295181</v>
      </c>
    </row>
    <row r="10048" spans="1:2" x14ac:dyDescent="0.25">
      <c r="A10048">
        <f ca="1">32191.7714196079*((RANDBETWEEN(2979,3282)))</f>
        <v>100599285.68627454</v>
      </c>
      <c r="B10048">
        <v>164994915.59437937</v>
      </c>
    </row>
    <row r="10049" spans="1:2" x14ac:dyDescent="0.25">
      <c r="A10049">
        <f ca="1">38847.5299894634*((RANDBETWEEN(2979,3282)))</f>
        <v>126681795.2956401</v>
      </c>
      <c r="B10049">
        <v>156751193.21859089</v>
      </c>
    </row>
    <row r="10050" spans="1:2" x14ac:dyDescent="0.25">
      <c r="A10050">
        <f ca="1">38546.1682192247*((RANDBETWEEN(2979,3282)))</f>
        <v>117141805.21822372</v>
      </c>
      <c r="B10050">
        <v>182651928.00628135</v>
      </c>
    </row>
    <row r="10051" spans="1:2" x14ac:dyDescent="0.25">
      <c r="A10051">
        <f ca="1">34266.8844354694*((RANDBETWEEN(2979,3282)))</f>
        <v>109037226.27366365</v>
      </c>
      <c r="B10051">
        <v>176088953.97476035</v>
      </c>
    </row>
    <row r="10052" spans="1:2" x14ac:dyDescent="0.25">
      <c r="A10052">
        <f ca="1">33491.6499045463*((RANDBETWEEN(2979,3282)))</f>
        <v>105833613.69836642</v>
      </c>
      <c r="B10052">
        <v>143013583.76872814</v>
      </c>
    </row>
    <row r="10053" spans="1:2" x14ac:dyDescent="0.25">
      <c r="A10053">
        <f ca="1">35143.4987899971*((RANDBETWEEN(2979,3282)))</f>
        <v>105852218.35547139</v>
      </c>
      <c r="B10053">
        <v>151271060.1076405</v>
      </c>
    </row>
    <row r="10054" spans="1:2" x14ac:dyDescent="0.25">
      <c r="A10054">
        <f ca="1">38983.5222963778*((RANDBETWEEN(2979,3282)))</f>
        <v>125332024.18285453</v>
      </c>
      <c r="B10054">
        <v>187937487.34375989</v>
      </c>
    </row>
    <row r="10055" spans="1:2" x14ac:dyDescent="0.25">
      <c r="A10055">
        <f ca="1">37601.5931332316*((RANDBETWEEN(2979,3282)))</f>
        <v>117467376.9482155</v>
      </c>
      <c r="B10055">
        <v>147412731.01828462</v>
      </c>
    </row>
    <row r="10056" spans="1:2" x14ac:dyDescent="0.25">
      <c r="A10056">
        <f ca="1">29347.9031081471*((RANDBETWEEN(2979,3282)))</f>
        <v>94236116.880260333</v>
      </c>
      <c r="B10056">
        <v>169164620.75603107</v>
      </c>
    </row>
    <row r="10057" spans="1:2" x14ac:dyDescent="0.25">
      <c r="A10057">
        <f ca="1">35565.5946546138*((RANDBETWEEN(2979,3282)))</f>
        <v>115730445.00611338</v>
      </c>
      <c r="B10057">
        <v>177695223.74741748</v>
      </c>
    </row>
    <row r="10058" spans="1:2" x14ac:dyDescent="0.25">
      <c r="A10058">
        <f ca="1">35447.1634724283*((RANDBETWEEN(2979,3282)))</f>
        <v>105774335.80172591</v>
      </c>
      <c r="B10058">
        <v>144430074.60815245</v>
      </c>
    </row>
    <row r="10059" spans="1:2" x14ac:dyDescent="0.25">
      <c r="A10059">
        <f ca="1">34906.0667149163*((RANDBETWEEN(2979,3282)))</f>
        <v>104124797.01059538</v>
      </c>
      <c r="B10059">
        <v>186942311.17663559</v>
      </c>
    </row>
    <row r="10060" spans="1:2" x14ac:dyDescent="0.25">
      <c r="A10060">
        <f ca="1">32498.7043116168*((RANDBETWEEN(2979,3282)))</f>
        <v>101655947.08673744</v>
      </c>
      <c r="B10060">
        <v>166537897.9516657</v>
      </c>
    </row>
    <row r="10061" spans="1:2" x14ac:dyDescent="0.25">
      <c r="A10061">
        <f ca="1">34820.013064912*((RANDBETWEEN(2979,3282)))</f>
        <v>112677562.2780553</v>
      </c>
      <c r="B10061">
        <v>147508263.64584586</v>
      </c>
    </row>
    <row r="10062" spans="1:2" x14ac:dyDescent="0.25">
      <c r="A10062">
        <f ca="1">31304.5217155588*((RANDBETWEEN(2979,3282)))</f>
        <v>94633569.146134257</v>
      </c>
      <c r="B10062">
        <v>150377469.27137929</v>
      </c>
    </row>
    <row r="10063" spans="1:2" x14ac:dyDescent="0.25">
      <c r="A10063">
        <f ca="1">39684.5572435198*((RANDBETWEEN(2979,3282)))</f>
        <v>120680738.57754366</v>
      </c>
      <c r="B10063">
        <v>200227861.76442456</v>
      </c>
    </row>
    <row r="10064" spans="1:2" x14ac:dyDescent="0.25">
      <c r="A10064">
        <f ca="1">30649.9897325794*((RANDBETWEEN(2979,3282)))</f>
        <v>91643469.300412282</v>
      </c>
      <c r="B10064">
        <v>172848699.53479722</v>
      </c>
    </row>
    <row r="10065" spans="1:2" x14ac:dyDescent="0.25">
      <c r="A10065">
        <f ca="1">27372.7306537742*((RANDBETWEEN(2979,3282)))</f>
        <v>88496038.203652084</v>
      </c>
      <c r="B10065">
        <v>149160546.51787966</v>
      </c>
    </row>
    <row r="10066" spans="1:2" x14ac:dyDescent="0.25">
      <c r="A10066">
        <f ca="1">30631.1587829538*((RANDBETWEEN(2979,3282)))</f>
        <v>99244954.45677039</v>
      </c>
      <c r="B10066">
        <v>197824714.94511992</v>
      </c>
    </row>
    <row r="10067" spans="1:2" x14ac:dyDescent="0.25">
      <c r="A10067">
        <f ca="1">33495.1403122717*((RANDBETWEEN(2979,3282)))</f>
        <v>99882508.411194265</v>
      </c>
      <c r="B10067">
        <v>200693372.98707977</v>
      </c>
    </row>
    <row r="10068" spans="1:2" x14ac:dyDescent="0.25">
      <c r="A10068">
        <f ca="1">32228.625413862*((RANDBETWEEN(2979,3282)))</f>
        <v>97459363.251518816</v>
      </c>
      <c r="B10068">
        <v>175553585.01506728</v>
      </c>
    </row>
    <row r="10069" spans="1:2" x14ac:dyDescent="0.25">
      <c r="A10069">
        <f ca="1">29218.9663163144*((RANDBETWEEN(2979,3282)))</f>
        <v>90286605.917411461</v>
      </c>
      <c r="B10069">
        <v>192688061.65440759</v>
      </c>
    </row>
    <row r="10070" spans="1:2" x14ac:dyDescent="0.25">
      <c r="A10070">
        <f ca="1">39182.7701812631*((RANDBETWEEN(2979,3282)))</f>
        <v>118136052.09650837</v>
      </c>
      <c r="B10070">
        <v>173975030.47335762</v>
      </c>
    </row>
    <row r="10071" spans="1:2" x14ac:dyDescent="0.25">
      <c r="A10071">
        <f ca="1">32005.7879349275*((RANDBETWEEN(2979,3282)))</f>
        <v>102450527.17970306</v>
      </c>
      <c r="B10071">
        <v>188735696.01002282</v>
      </c>
    </row>
    <row r="10072" spans="1:2" x14ac:dyDescent="0.25">
      <c r="A10072">
        <f ca="1">30822.7283726789*((RANDBETWEEN(2979,3282)))</f>
        <v>96290203.436248854</v>
      </c>
      <c r="B10072">
        <v>161538503.77803671</v>
      </c>
    </row>
    <row r="10073" spans="1:2" x14ac:dyDescent="0.25">
      <c r="A10073">
        <f ca="1">30307.1188133858*((RANDBETWEEN(2979,3282)))</f>
        <v>97710151.05435589</v>
      </c>
      <c r="B10073">
        <v>168827961.42404991</v>
      </c>
    </row>
    <row r="10074" spans="1:2" x14ac:dyDescent="0.25">
      <c r="A10074">
        <f ca="1">30448.758688737*((RANDBETWEEN(2979,3282)))</f>
        <v>97649169.114779651</v>
      </c>
      <c r="B10074">
        <v>180340378.01388955</v>
      </c>
    </row>
    <row r="10075" spans="1:2" x14ac:dyDescent="0.25">
      <c r="A10075">
        <f ca="1">28382.2007902025*((RANDBETWEEN(2979,3282)))</f>
        <v>93036854.19028379</v>
      </c>
      <c r="B10075">
        <v>179829837.80987233</v>
      </c>
    </row>
    <row r="10076" spans="1:2" x14ac:dyDescent="0.25">
      <c r="A10076">
        <f ca="1">30101.3856196885*((RANDBETWEEN(2979,3282)))</f>
        <v>94428046.688962877</v>
      </c>
      <c r="B10076">
        <v>142987638.77330405</v>
      </c>
    </row>
    <row r="10077" spans="1:2" x14ac:dyDescent="0.25">
      <c r="A10077">
        <f ca="1">36637.6207711674*((RANDBETWEEN(2979,3282)))</f>
        <v>118412790.33241308</v>
      </c>
      <c r="B10077">
        <v>148634404.32948527</v>
      </c>
    </row>
    <row r="10078" spans="1:2" x14ac:dyDescent="0.25">
      <c r="A10078">
        <f ca="1">38755.8514707704*((RANDBETWEEN(2979,3282)))</f>
        <v>120491942.22262529</v>
      </c>
      <c r="B10078">
        <v>159338123.19775382</v>
      </c>
    </row>
    <row r="10079" spans="1:2" x14ac:dyDescent="0.25">
      <c r="A10079">
        <f ca="1">37413.9311655176*((RANDBETWEEN(2979,3282)))</f>
        <v>120173546.90364239</v>
      </c>
      <c r="B10079">
        <v>169007313.71655378</v>
      </c>
    </row>
    <row r="10080" spans="1:2" x14ac:dyDescent="0.25">
      <c r="A10080">
        <f ca="1">33413.4759225684*((RANDBETWEEN(2979,3282)))</f>
        <v>108359902.41688943</v>
      </c>
      <c r="B10080">
        <v>148987275.84464955</v>
      </c>
    </row>
    <row r="10081" spans="1:2" x14ac:dyDescent="0.25">
      <c r="A10081">
        <f ca="1">37915.3021153388*((RANDBETWEEN(2979,3282)))</f>
        <v>118599065.0167798</v>
      </c>
      <c r="B10081">
        <v>167338066.64911351</v>
      </c>
    </row>
    <row r="10082" spans="1:2" x14ac:dyDescent="0.25">
      <c r="A10082">
        <f ca="1">30166.7648059386*((RANDBETWEEN(2979,3282)))</f>
        <v>95538144.140407592</v>
      </c>
      <c r="B10082">
        <v>198621296.63112354</v>
      </c>
    </row>
    <row r="10083" spans="1:2" x14ac:dyDescent="0.25">
      <c r="A10083">
        <f ca="1">35643.687049679*((RANDBETWEEN(2979,3282)))</f>
        <v>116412281.90425174</v>
      </c>
      <c r="B10083">
        <v>194263579.16261554</v>
      </c>
    </row>
    <row r="10084" spans="1:2" x14ac:dyDescent="0.25">
      <c r="A10084">
        <f ca="1">37007.3450993952*((RANDBETWEEN(2979,3282)))</f>
        <v>111059042.64328498</v>
      </c>
      <c r="B10084">
        <v>152078951.36583027</v>
      </c>
    </row>
    <row r="10085" spans="1:2" x14ac:dyDescent="0.25">
      <c r="A10085">
        <f ca="1">31116.5267691169*((RANDBETWEEN(2979,3282)))</f>
        <v>94283076.11042431</v>
      </c>
      <c r="B10085">
        <v>155910526.74021301</v>
      </c>
    </row>
    <row r="10086" spans="1:2" x14ac:dyDescent="0.25">
      <c r="A10086">
        <f ca="1">38894.2813495075*((RANDBETWEEN(2979,3282)))</f>
        <v>124772854.56922019</v>
      </c>
      <c r="B10086">
        <v>151072306.23209134</v>
      </c>
    </row>
    <row r="10087" spans="1:2" x14ac:dyDescent="0.25">
      <c r="A10087">
        <f ca="1">31030.2389600145*((RANDBETWEEN(2979,3282)))</f>
        <v>93897503.093003795</v>
      </c>
      <c r="B10087">
        <v>179901547.80479699</v>
      </c>
    </row>
    <row r="10088" spans="1:2" x14ac:dyDescent="0.25">
      <c r="A10088">
        <f ca="1">27666.4578126013*((RANDBETWEEN(2979,3282)))</f>
        <v>86070350.255002663</v>
      </c>
      <c r="B10088">
        <v>162110416.17933738</v>
      </c>
    </row>
    <row r="10089" spans="1:2" x14ac:dyDescent="0.25">
      <c r="A10089">
        <f ca="1">30400.1411418415*((RANDBETWEEN(2979,3282)))</f>
        <v>92568429.776907265</v>
      </c>
      <c r="B10089">
        <v>170076558.00816381</v>
      </c>
    </row>
    <row r="10090" spans="1:2" x14ac:dyDescent="0.25">
      <c r="A10090">
        <f ca="1">31571.0929982676*((RANDBETWEEN(2979,3282)))</f>
        <v>97270537.527662545</v>
      </c>
      <c r="B10090">
        <v>144307394.02608433</v>
      </c>
    </row>
    <row r="10091" spans="1:2" x14ac:dyDescent="0.25">
      <c r="A10091">
        <f ca="1">30257.3934674386*((RANDBETWEEN(2979,3282)))</f>
        <v>95341046.815898895</v>
      </c>
      <c r="B10091">
        <v>177283381.85242549</v>
      </c>
    </row>
    <row r="10092" spans="1:2" x14ac:dyDescent="0.25">
      <c r="A10092">
        <f ca="1">30327.9798158145*((RANDBETWEEN(2979,3282)))</f>
        <v>97383143.188580215</v>
      </c>
      <c r="B10092">
        <v>161171128.81130546</v>
      </c>
    </row>
    <row r="10093" spans="1:2" x14ac:dyDescent="0.25">
      <c r="A10093">
        <f ca="1">29917.907729373*((RANDBETWEEN(2979,3282)))</f>
        <v>89783641.095848292</v>
      </c>
      <c r="B10093">
        <v>164054853.02834195</v>
      </c>
    </row>
    <row r="10094" spans="1:2" x14ac:dyDescent="0.25">
      <c r="A10094">
        <f ca="1">29894.4820353339*((RANDBETWEEN(2979,3282)))</f>
        <v>93121311.540065125</v>
      </c>
      <c r="B10094">
        <v>176051803.04544279</v>
      </c>
    </row>
    <row r="10095" spans="1:2" x14ac:dyDescent="0.25">
      <c r="A10095">
        <f ca="1">31830.9359633739*((RANDBETWEEN(2979,3282)))</f>
        <v>100776743.26004188</v>
      </c>
      <c r="B10095">
        <v>176837063.99687508</v>
      </c>
    </row>
    <row r="10096" spans="1:2" x14ac:dyDescent="0.25">
      <c r="A10096">
        <f ca="1">42343.5028946043*((RANDBETWEEN(2979,3282)))</f>
        <v>128851279.30828078</v>
      </c>
      <c r="B10096">
        <v>173217581.43418118</v>
      </c>
    </row>
    <row r="10097" spans="1:2" x14ac:dyDescent="0.25">
      <c r="A10097">
        <f ca="1">34145.4438717238*((RANDBETWEEN(2979,3282)))</f>
        <v>107558148.19592993</v>
      </c>
      <c r="B10097">
        <v>164732629.7047838</v>
      </c>
    </row>
    <row r="10098" spans="1:2" x14ac:dyDescent="0.25">
      <c r="A10098">
        <f ca="1">33226.1774577389*((RANDBETWEEN(2979,3282)))</f>
        <v>103300185.7161102</v>
      </c>
      <c r="B10098">
        <v>191365346.30694413</v>
      </c>
    </row>
    <row r="10099" spans="1:2" x14ac:dyDescent="0.25">
      <c r="A10099">
        <f ca="1">28892.0849107663*((RANDBETWEEN(2979,3282)))</f>
        <v>93408110.516507447</v>
      </c>
      <c r="B10099">
        <v>152791867.65590185</v>
      </c>
    </row>
    <row r="10100" spans="1:2" x14ac:dyDescent="0.25">
      <c r="A10100">
        <f ca="1">29526.6499680045*((RANDBETWEEN(2979,3282)))</f>
        <v>89111429.603437454</v>
      </c>
      <c r="B10100">
        <v>169270365.80392191</v>
      </c>
    </row>
    <row r="10101" spans="1:2" x14ac:dyDescent="0.25">
      <c r="A10101">
        <f ca="1">29329.8058128881*((RANDBETWEEN(2979,3282)))</f>
        <v>94236666.076809466</v>
      </c>
      <c r="B10101">
        <v>152472702.60330614</v>
      </c>
    </row>
    <row r="10102" spans="1:2" x14ac:dyDescent="0.25">
      <c r="A10102">
        <f ca="1">31064.8746656359*((RANDBETWEEN(2979,3282)))</f>
        <v>96301111.463471219</v>
      </c>
      <c r="B10102">
        <v>187043925.25783831</v>
      </c>
    </row>
    <row r="10103" spans="1:2" x14ac:dyDescent="0.25">
      <c r="A10103">
        <f ca="1">36569.2859901347*((RANDBETWEEN(2979,3282)))</f>
        <v>115449235.8708552</v>
      </c>
      <c r="B10103">
        <v>147087944.97047809</v>
      </c>
    </row>
    <row r="10104" spans="1:2" x14ac:dyDescent="0.25">
      <c r="A10104">
        <f ca="1">32126.1818722936*((RANDBETWEEN(2979,3282)))</f>
        <v>101165346.71585263</v>
      </c>
      <c r="B10104">
        <v>183888538.80526817</v>
      </c>
    </row>
    <row r="10105" spans="1:2" x14ac:dyDescent="0.25">
      <c r="A10105">
        <f ca="1">31913.5561489333*((RANDBETWEEN(2979,3282)))</f>
        <v>99251159.623182476</v>
      </c>
      <c r="B10105">
        <v>161568916.69575834</v>
      </c>
    </row>
    <row r="10106" spans="1:2" x14ac:dyDescent="0.25">
      <c r="A10106">
        <f ca="1">35528.993243057*((RANDBETWEEN(2979,3282)))</f>
        <v>115469228.03993538</v>
      </c>
      <c r="B10106">
        <v>198476318.79630455</v>
      </c>
    </row>
    <row r="10107" spans="1:2" x14ac:dyDescent="0.25">
      <c r="A10107">
        <f ca="1">32791.7378547373*((RANDBETWEEN(2979,3282)))</f>
        <v>102047888.20394237</v>
      </c>
      <c r="B10107">
        <v>151624944.88683507</v>
      </c>
    </row>
    <row r="10108" spans="1:2" x14ac:dyDescent="0.25">
      <c r="A10108">
        <f ca="1">30899.1162005969*((RANDBETWEEN(2979,3282)))</f>
        <v>95663663.75704813</v>
      </c>
      <c r="B10108">
        <v>154636043.07556254</v>
      </c>
    </row>
    <row r="10109" spans="1:2" x14ac:dyDescent="0.25">
      <c r="A10109">
        <f ca="1">32817.4980161998*((RANDBETWEEN(2979,3282)))</f>
        <v>101110711.38791166</v>
      </c>
      <c r="B10109">
        <v>146154039.22053796</v>
      </c>
    </row>
    <row r="10110" spans="1:2" x14ac:dyDescent="0.25">
      <c r="A10110">
        <f ca="1">39404.3183963766*((RANDBETWEEN(2979,3282)))</f>
        <v>128339865.01699847</v>
      </c>
      <c r="B10110">
        <v>147326785.53655517</v>
      </c>
    </row>
    <row r="10111" spans="1:2" x14ac:dyDescent="0.25">
      <c r="A10111">
        <f ca="1">32300.8799312295*((RANDBETWEEN(2979,3282)))</f>
        <v>104073435.1384214</v>
      </c>
      <c r="B10111">
        <v>173432866.99217585</v>
      </c>
    </row>
    <row r="10112" spans="1:2" x14ac:dyDescent="0.25">
      <c r="A10112">
        <f ca="1">38893.5037305517*((RANDBETWEEN(2979,3282)))</f>
        <v>118080677.3259549</v>
      </c>
      <c r="B10112">
        <v>155582945.55244005</v>
      </c>
    </row>
    <row r="10113" spans="1:2" x14ac:dyDescent="0.25">
      <c r="A10113">
        <f ca="1">36179.1948485886*((RANDBETWEEN(2979,3282)))</f>
        <v>111504278.52334999</v>
      </c>
      <c r="B10113">
        <v>189301364.51001757</v>
      </c>
    </row>
    <row r="10114" spans="1:2" x14ac:dyDescent="0.25">
      <c r="A10114">
        <f ca="1">33526.0672868719*((RANDBETWEEN(2979,3282)))</f>
        <v>103260287.24356531</v>
      </c>
      <c r="B10114">
        <v>153339789.84560353</v>
      </c>
    </row>
    <row r="10115" spans="1:2" x14ac:dyDescent="0.25">
      <c r="A10115">
        <f ca="1">32754.0019432009*((RANDBETWEEN(2979,3282)))</f>
        <v>104190480.18132211</v>
      </c>
      <c r="B10115">
        <v>192203533.9809269</v>
      </c>
    </row>
    <row r="10116" spans="1:2" x14ac:dyDescent="0.25">
      <c r="A10116">
        <f ca="1">35295.7820501173*((RANDBETWEEN(2979,3282)))</f>
        <v>105287317.85550016</v>
      </c>
      <c r="B10116">
        <v>152635222.67277497</v>
      </c>
    </row>
    <row r="10117" spans="1:2" x14ac:dyDescent="0.25">
      <c r="A10117">
        <f ca="1">36093.9040669569*((RANDBETWEEN(2979,3282)))</f>
        <v>115175647.8776594</v>
      </c>
      <c r="B10117">
        <v>176356568.97651836</v>
      </c>
    </row>
    <row r="10118" spans="1:2" x14ac:dyDescent="0.25">
      <c r="A10118">
        <f ca="1">34383.7935236157*((RANDBETWEEN(2979,3282)))</f>
        <v>111265955.84242028</v>
      </c>
      <c r="B10118">
        <v>193193182.54786921</v>
      </c>
    </row>
    <row r="10119" spans="1:2" x14ac:dyDescent="0.25">
      <c r="A10119">
        <f ca="1">28169.5312267895*((RANDBETWEEN(2979,3282)))</f>
        <v>89888974.144685447</v>
      </c>
      <c r="B10119">
        <v>184939166.65341657</v>
      </c>
    </row>
    <row r="10120" spans="1:2" x14ac:dyDescent="0.25">
      <c r="A10120">
        <f ca="1">37044.3099642187*((RANDBETWEEN(2979,3282)))</f>
        <v>113207411.25065237</v>
      </c>
      <c r="B10120">
        <v>174240428.11762264</v>
      </c>
    </row>
    <row r="10121" spans="1:2" x14ac:dyDescent="0.25">
      <c r="A10121">
        <f ca="1">36384.4209879762*((RANDBETWEEN(2979,3282)))</f>
        <v>119195363.15661015</v>
      </c>
      <c r="B10121">
        <v>182001137.11311859</v>
      </c>
    </row>
    <row r="10122" spans="1:2" x14ac:dyDescent="0.25">
      <c r="A10122">
        <f ca="1">30420.7313378748*((RANDBETWEEN(2979,3282)))</f>
        <v>99202004.892809778</v>
      </c>
      <c r="B10122">
        <v>143091786.48658639</v>
      </c>
    </row>
    <row r="10123" spans="1:2" x14ac:dyDescent="0.25">
      <c r="A10123">
        <f ca="1">37638.4952817458*((RANDBETWEEN(2979,3282)))</f>
        <v>121911086.21757475</v>
      </c>
      <c r="B10123">
        <v>159444913.31588316</v>
      </c>
    </row>
    <row r="10124" spans="1:2" x14ac:dyDescent="0.25">
      <c r="A10124">
        <f ca="1">31322.7453272973*((RANDBETWEEN(2979,3282)))</f>
        <v>100013525.83006027</v>
      </c>
      <c r="B10124">
        <v>185306408.66658282</v>
      </c>
    </row>
    <row r="10125" spans="1:2" x14ac:dyDescent="0.25">
      <c r="A10125">
        <f ca="1">40686.5083510703*((RANDBETWEEN(2979,3282)))</f>
        <v>131905660.07416986</v>
      </c>
      <c r="B10125">
        <v>147620608.00822368</v>
      </c>
    </row>
    <row r="10126" spans="1:2" x14ac:dyDescent="0.25">
      <c r="A10126">
        <f ca="1">40461.9523995649*((RANDBETWEEN(2979,3282)))</f>
        <v>122802025.5326795</v>
      </c>
      <c r="B10126">
        <v>165727655.27490026</v>
      </c>
    </row>
    <row r="10127" spans="1:2" x14ac:dyDescent="0.25">
      <c r="A10127">
        <f ca="1">33287.4937228547*((RANDBETWEEN(2979,3282)))</f>
        <v>106786279.86291775</v>
      </c>
      <c r="B10127">
        <v>166622455.03212395</v>
      </c>
    </row>
    <row r="10128" spans="1:2" x14ac:dyDescent="0.25">
      <c r="A10128">
        <f ca="1">38375.646444808*((RANDBETWEEN(2979,3282)))</f>
        <v>122303185.21960315</v>
      </c>
      <c r="B10128">
        <v>183628980.84168994</v>
      </c>
    </row>
    <row r="10129" spans="1:2" x14ac:dyDescent="0.25">
      <c r="A10129">
        <f ca="1">30869.777205181*((RANDBETWEEN(2979,3282)))</f>
        <v>97764584.408808157</v>
      </c>
      <c r="B10129">
        <v>173822619.90896416</v>
      </c>
    </row>
    <row r="10130" spans="1:2" x14ac:dyDescent="0.25">
      <c r="A10130">
        <f ca="1">34673.0156740427*((RANDBETWEEN(2979,3282)))</f>
        <v>109289345.40458252</v>
      </c>
      <c r="B10130">
        <v>191504173.37690768</v>
      </c>
    </row>
    <row r="10131" spans="1:2" x14ac:dyDescent="0.25">
      <c r="A10131">
        <f ca="1">39716.5869123875*((RANDBETWEEN(2979,3282)))</f>
        <v>126417896.14212933</v>
      </c>
      <c r="B10131">
        <v>176863240.21026948</v>
      </c>
    </row>
    <row r="10132" spans="1:2" x14ac:dyDescent="0.25">
      <c r="A10132">
        <f ca="1">30948.9740545111*((RANDBETWEEN(2979,3282)))</f>
        <v>98943870.052272081</v>
      </c>
      <c r="B10132">
        <v>192650214.27150208</v>
      </c>
    </row>
    <row r="10133" spans="1:2" x14ac:dyDescent="0.25">
      <c r="A10133">
        <f ca="1">31239.6290555459*((RANDBETWEEN(2979,3282)))</f>
        <v>93625168.279470995</v>
      </c>
      <c r="B10133">
        <v>178151579.13873067</v>
      </c>
    </row>
    <row r="10134" spans="1:2" x14ac:dyDescent="0.25">
      <c r="A10134">
        <f ca="1">38942.9782612435*((RANDBETWEEN(2979,3282)))</f>
        <v>124189157.67510539</v>
      </c>
      <c r="B10134">
        <v>187673603.20339966</v>
      </c>
    </row>
    <row r="10135" spans="1:2" x14ac:dyDescent="0.25">
      <c r="A10135">
        <f ca="1">31557.9184438656*((RANDBETWEEN(2979,3282)))</f>
        <v>99565232.690396011</v>
      </c>
      <c r="B10135">
        <v>187153495.75114751</v>
      </c>
    </row>
    <row r="10136" spans="1:2" x14ac:dyDescent="0.25">
      <c r="A10136">
        <f ca="1">30905.065528032*((RANDBETWEEN(2979,3282)))</f>
        <v>92777006.7151521</v>
      </c>
      <c r="B10136">
        <v>162191052.25382888</v>
      </c>
    </row>
    <row r="10137" spans="1:2" x14ac:dyDescent="0.25">
      <c r="A10137">
        <f ca="1">38237.8933528944*((RANDBETWEEN(2979,3282)))</f>
        <v>121328835.60873392</v>
      </c>
      <c r="B10137">
        <v>162323150.53981623</v>
      </c>
    </row>
    <row r="10138" spans="1:2" x14ac:dyDescent="0.25">
      <c r="A10138">
        <f ca="1">31555.6627748142*((RANDBETWEEN(2979,3282)))</f>
        <v>96023881.82375972</v>
      </c>
      <c r="B10138">
        <v>156216181.1312542</v>
      </c>
    </row>
    <row r="10139" spans="1:2" x14ac:dyDescent="0.25">
      <c r="A10139">
        <f ca="1">39632.3533329064*((RANDBETWEEN(2979,3282)))</f>
        <v>121750589.43868853</v>
      </c>
      <c r="B10139">
        <v>156627258.67358783</v>
      </c>
    </row>
    <row r="10140" spans="1:2" x14ac:dyDescent="0.25">
      <c r="A10140">
        <f ca="1">32863.7806721073*((RANDBETWEEN(2979,3282)))</f>
        <v>107826064.3851842</v>
      </c>
      <c r="B10140">
        <v>171330747.05934125</v>
      </c>
    </row>
    <row r="10141" spans="1:2" x14ac:dyDescent="0.25">
      <c r="A10141">
        <f ca="1">28918.2018321874*((RANDBETWEEN(2979,3282)))</f>
        <v>86667850.891065627</v>
      </c>
      <c r="B10141">
        <v>168125526.57654732</v>
      </c>
    </row>
    <row r="10142" spans="1:2" x14ac:dyDescent="0.25">
      <c r="A10142">
        <f ca="1">34422.5039761262*((RANDBETWEEN(2979,3282)))</f>
        <v>112699278.01783711</v>
      </c>
      <c r="B10142">
        <v>169705985.64501494</v>
      </c>
    </row>
    <row r="10143" spans="1:2" x14ac:dyDescent="0.25">
      <c r="A10143">
        <f ca="1">34533.0830775203*((RANDBETWEEN(2979,3282)))</f>
        <v>103702848.48179342</v>
      </c>
      <c r="B10143">
        <v>187053199.8135702</v>
      </c>
    </row>
    <row r="10144" spans="1:2" x14ac:dyDescent="0.25">
      <c r="A10144">
        <f ca="1">29623.8852691682*((RANDBETWEEN(2979,3282)))</f>
        <v>96840480.944911167</v>
      </c>
      <c r="B10144">
        <v>143946709.56958759</v>
      </c>
    </row>
    <row r="10145" spans="1:2" x14ac:dyDescent="0.25">
      <c r="A10145">
        <f ca="1">38453.992112532*((RANDBETWEEN(2979,3282)))</f>
        <v>116938590.01420985</v>
      </c>
      <c r="B10145">
        <v>186983142.99882343</v>
      </c>
    </row>
    <row r="10146" spans="1:2" x14ac:dyDescent="0.25">
      <c r="A10146">
        <f ca="1">30175.860911852*((RANDBETWEEN(2979,3282)))</f>
        <v>97226623.857987002</v>
      </c>
      <c r="B10146">
        <v>146484857.82355598</v>
      </c>
    </row>
    <row r="10147" spans="1:2" x14ac:dyDescent="0.25">
      <c r="A10147">
        <f ca="1">39109.5813886628*((RANDBETWEEN(2979,3282)))</f>
        <v>124642235.88566822</v>
      </c>
      <c r="B10147">
        <v>171224745.63626581</v>
      </c>
    </row>
    <row r="10148" spans="1:2" x14ac:dyDescent="0.25">
      <c r="A10148">
        <f ca="1">30414.6630364433*((RANDBETWEEN(2979,3282)))</f>
        <v>90818183.826819792</v>
      </c>
      <c r="B10148">
        <v>150140770.49981043</v>
      </c>
    </row>
    <row r="10149" spans="1:2" x14ac:dyDescent="0.25">
      <c r="A10149">
        <f ca="1">41359.2801743163*((RANDBETWEEN(2979,3282)))</f>
        <v>132391055.83798642</v>
      </c>
      <c r="B10149">
        <v>152743793.08022094</v>
      </c>
    </row>
    <row r="10150" spans="1:2" x14ac:dyDescent="0.25">
      <c r="A10150">
        <f ca="1">29192.2090945752*((RANDBETWEEN(2979,3282)))</f>
        <v>92510110.620708734</v>
      </c>
      <c r="B10150">
        <v>148612156.4005079</v>
      </c>
    </row>
    <row r="10151" spans="1:2" x14ac:dyDescent="0.25">
      <c r="A10151">
        <f ca="1">31388.883846517*((RANDBETWEEN(2979,3282)))</f>
        <v>96395262.292653859</v>
      </c>
      <c r="B10151">
        <v>148803254.00095302</v>
      </c>
    </row>
    <row r="10152" spans="1:2" x14ac:dyDescent="0.25">
      <c r="A10152">
        <f ca="1">31346.5064205646*((RANDBETWEEN(2979,3282)))</f>
        <v>97362248.942273617</v>
      </c>
      <c r="B10152">
        <v>201883474.83394817</v>
      </c>
    </row>
    <row r="10153" spans="1:2" x14ac:dyDescent="0.25">
      <c r="A10153">
        <f ca="1">33555.5342568255*((RANDBETWEEN(2979,3282)))</f>
        <v>100297491.89365134</v>
      </c>
      <c r="B10153">
        <v>154547582.00123125</v>
      </c>
    </row>
    <row r="10154" spans="1:2" x14ac:dyDescent="0.25">
      <c r="A10154">
        <f ca="1">38853.5585407865*((RANDBETWEEN(2979,3282)))</f>
        <v>123554316.15970117</v>
      </c>
      <c r="B10154">
        <v>198742172.7897712</v>
      </c>
    </row>
    <row r="10155" spans="1:2" x14ac:dyDescent="0.25">
      <c r="A10155">
        <f ca="1">37351.8935778278*((RANDBETWEEN(2979,3282)))</f>
        <v>112317143.98852821</v>
      </c>
      <c r="B10155">
        <v>199367361.71215358</v>
      </c>
    </row>
    <row r="10156" spans="1:2" x14ac:dyDescent="0.25">
      <c r="A10156">
        <f ca="1">35776.9433286958*((RANDBETWEEN(2979,3282)))</f>
        <v>117348374.11812232</v>
      </c>
      <c r="B10156">
        <v>152129600.71788627</v>
      </c>
    </row>
    <row r="10157" spans="1:2" x14ac:dyDescent="0.25">
      <c r="A10157">
        <f ca="1">42998.8377644608*((RANDBETWEEN(2979,3282)))</f>
        <v>128609523.75350232</v>
      </c>
      <c r="B10157">
        <v>178263212.82272992</v>
      </c>
    </row>
    <row r="10158" spans="1:2" x14ac:dyDescent="0.25">
      <c r="A10158">
        <f ca="1">38909.2137561311*((RANDBETWEEN(2979,3282)))</f>
        <v>123886936.59952158</v>
      </c>
      <c r="B10158">
        <v>158908234.61763006</v>
      </c>
    </row>
    <row r="10159" spans="1:2" x14ac:dyDescent="0.25">
      <c r="A10159">
        <f ca="1">33694.3984553517*((RANDBETWEEN(2979,3282)))</f>
        <v>105261300.77451864</v>
      </c>
      <c r="B10159">
        <v>167868582.78253213</v>
      </c>
    </row>
    <row r="10160" spans="1:2" x14ac:dyDescent="0.25">
      <c r="A10160">
        <f ca="1">35694.9825016765*((RANDBETWEEN(2979,3282)))</f>
        <v>115865913.20044184</v>
      </c>
      <c r="B10160">
        <v>153402700.99395135</v>
      </c>
    </row>
    <row r="10161" spans="1:2" x14ac:dyDescent="0.25">
      <c r="A10161">
        <f ca="1">38840.9674351403*((RANDBETWEEN(2979,3282)))</f>
        <v>121300341.29994307</v>
      </c>
      <c r="B10161">
        <v>148192843.75260743</v>
      </c>
    </row>
    <row r="10162" spans="1:2" x14ac:dyDescent="0.25">
      <c r="A10162">
        <f ca="1">32919.1285220785*((RANDBETWEEN(2979,3282)))</f>
        <v>101884702.77583304</v>
      </c>
      <c r="B10162">
        <v>143651972.44505414</v>
      </c>
    </row>
    <row r="10163" spans="1:2" x14ac:dyDescent="0.25">
      <c r="A10163">
        <f ca="1">40382.5539692582*((RANDBETWEEN(2979,3282)))</f>
        <v>127891548.42064059</v>
      </c>
      <c r="B10163">
        <v>145442592.11531502</v>
      </c>
    </row>
    <row r="10164" spans="1:2" x14ac:dyDescent="0.25">
      <c r="A10164">
        <f ca="1">33325.3802407185*((RANDBETWEEN(2979,3282)))</f>
        <v>104175138.6324859</v>
      </c>
      <c r="B10164">
        <v>201895023.62204307</v>
      </c>
    </row>
    <row r="10165" spans="1:2" x14ac:dyDescent="0.25">
      <c r="A10165">
        <f ca="1">36039.9406923597*((RANDBETWEEN(2979,3282)))</f>
        <v>109597459.64546579</v>
      </c>
      <c r="B10165">
        <v>197601210.23317772</v>
      </c>
    </row>
    <row r="10166" spans="1:2" x14ac:dyDescent="0.25">
      <c r="A10166">
        <f ca="1">36015.2313987318*((RANDBETWEEN(2979,3282)))</f>
        <v>113339933.21180896</v>
      </c>
      <c r="B10166">
        <v>152249919.00982738</v>
      </c>
    </row>
    <row r="10167" spans="1:2" x14ac:dyDescent="0.25">
      <c r="A10167">
        <f ca="1">28942.3024723593*((RANDBETWEEN(2979,3282)))</f>
        <v>94699213.689559579</v>
      </c>
      <c r="B10167">
        <v>180954358.10568032</v>
      </c>
    </row>
    <row r="10168" spans="1:2" x14ac:dyDescent="0.25">
      <c r="A10168">
        <f ca="1">33666.039732041*((RANDBETWEEN(2979,3282)))</f>
        <v>101536775.83183564</v>
      </c>
      <c r="B10168">
        <v>164434954.50811914</v>
      </c>
    </row>
    <row r="10169" spans="1:2" x14ac:dyDescent="0.25">
      <c r="A10169">
        <f ca="1">36118.7739464696*((RANDBETWEEN(2979,3282)))</f>
        <v>113015643.67850326</v>
      </c>
      <c r="B10169">
        <v>168803763.05788738</v>
      </c>
    </row>
    <row r="10170" spans="1:2" x14ac:dyDescent="0.25">
      <c r="A10170">
        <f ca="1">31190.1162412095*((RANDBETWEEN(2979,3282)))</f>
        <v>96127938.255407766</v>
      </c>
      <c r="B10170">
        <v>151342812.54076022</v>
      </c>
    </row>
    <row r="10171" spans="1:2" x14ac:dyDescent="0.25">
      <c r="A10171">
        <f ca="1">38478.8677620623*((RANDBETWEEN(2979,3282)))</f>
        <v>117206631.20324187</v>
      </c>
      <c r="B10171">
        <v>150661354.45639026</v>
      </c>
    </row>
    <row r="10172" spans="1:2" x14ac:dyDescent="0.25">
      <c r="A10172">
        <f ca="1">31401.9564715331*((RANDBETWEEN(2979,3282)))</f>
        <v>97785692.452354044</v>
      </c>
      <c r="B10172">
        <v>155246584.35535601</v>
      </c>
    </row>
    <row r="10173" spans="1:2" x14ac:dyDescent="0.25">
      <c r="A10173">
        <f ca="1">34780.9238728204*((RANDBETWEEN(2979,3282)))</f>
        <v>109316443.73227465</v>
      </c>
      <c r="B10173">
        <v>160636119.34703439</v>
      </c>
    </row>
    <row r="10174" spans="1:2" x14ac:dyDescent="0.25">
      <c r="A10174">
        <f ca="1">32820.4823996024*((RANDBETWEEN(2979,3282)))</f>
        <v>106732208.76350699</v>
      </c>
      <c r="B10174">
        <v>197465125.44787064</v>
      </c>
    </row>
    <row r="10175" spans="1:2" x14ac:dyDescent="0.25">
      <c r="A10175">
        <f ca="1">32550.9844171805*((RANDBETWEEN(2979,3282)))</f>
        <v>105823250.34025383</v>
      </c>
      <c r="B10175">
        <v>163185580.42134932</v>
      </c>
    </row>
    <row r="10176" spans="1:2" x14ac:dyDescent="0.25">
      <c r="A10176">
        <f ca="1">40187.005471747*((RANDBETWEEN(2979,3282)))</f>
        <v>122972236.74354592</v>
      </c>
      <c r="B10176">
        <v>191439280.08959585</v>
      </c>
    </row>
    <row r="10177" spans="1:2" x14ac:dyDescent="0.25">
      <c r="A10177">
        <f ca="1">33600.9705423132*((RANDBETWEEN(2979,3282)))</f>
        <v>101844541.71375139</v>
      </c>
      <c r="B10177">
        <v>170705450.95003182</v>
      </c>
    </row>
    <row r="10178" spans="1:2" x14ac:dyDescent="0.25">
      <c r="A10178">
        <f ca="1">28245.1066016345*((RANDBETWEEN(2979,3282)))</f>
        <v>85978104.495375291</v>
      </c>
      <c r="B10178">
        <v>158313767.80118436</v>
      </c>
    </row>
    <row r="10179" spans="1:2" x14ac:dyDescent="0.25">
      <c r="A10179">
        <f ca="1">32119.0131790528*((RANDBETWEEN(2979,3282)))</f>
        <v>101849390.79077652</v>
      </c>
      <c r="B10179">
        <v>144281632.37864986</v>
      </c>
    </row>
    <row r="10180" spans="1:2" x14ac:dyDescent="0.25">
      <c r="A10180">
        <f ca="1">31118.6773388845*((RANDBETWEEN(2979,3282)))</f>
        <v>94600779.11020878</v>
      </c>
      <c r="B10180">
        <v>153234621.32904655</v>
      </c>
    </row>
    <row r="10181" spans="1:2" x14ac:dyDescent="0.25">
      <c r="A10181">
        <f ca="1">40286.7558167393*((RANDBETWEEN(2979,3282)))</f>
        <v>121383995.27583544</v>
      </c>
      <c r="B10181">
        <v>181329257.72331402</v>
      </c>
    </row>
    <row r="10182" spans="1:2" x14ac:dyDescent="0.25">
      <c r="A10182">
        <f ca="1">31425.1916334222*((RANDBETWEEN(2979,3282)))</f>
        <v>102791801.83292387</v>
      </c>
      <c r="B10182">
        <v>150285277.25109762</v>
      </c>
    </row>
    <row r="10183" spans="1:2" x14ac:dyDescent="0.25">
      <c r="A10183">
        <f ca="1">33716.8218954016*((RANDBETWEEN(2979,3282)))</f>
        <v>102600289.02770704</v>
      </c>
      <c r="B10183">
        <v>145440208.49085552</v>
      </c>
    </row>
    <row r="10184" spans="1:2" x14ac:dyDescent="0.25">
      <c r="A10184">
        <f ca="1">33390.8886863451*((RANDBETWEEN(2979,3282)))</f>
        <v>103511754.92766973</v>
      </c>
      <c r="B10184">
        <v>189969367.0513663</v>
      </c>
    </row>
    <row r="10185" spans="1:2" x14ac:dyDescent="0.25">
      <c r="A10185">
        <f ca="1">30856.6605006858*((RANDBETWEEN(2979,3282)))</f>
        <v>96951627.293154702</v>
      </c>
      <c r="B10185">
        <v>186215747.56929165</v>
      </c>
    </row>
    <row r="10186" spans="1:2" x14ac:dyDescent="0.25">
      <c r="A10186">
        <f ca="1">32293.1857735532*((RANDBETWEEN(2979,3282)))</f>
        <v>100883912.35658005</v>
      </c>
      <c r="B10186">
        <v>178076305.50061795</v>
      </c>
    </row>
    <row r="10187" spans="1:2" x14ac:dyDescent="0.25">
      <c r="A10187">
        <f ca="1">39825.9298139758*((RANDBETWEEN(2979,3282)))</f>
        <v>126208371.58048929</v>
      </c>
      <c r="B10187">
        <v>160216889.15036005</v>
      </c>
    </row>
    <row r="10188" spans="1:2" x14ac:dyDescent="0.25">
      <c r="A10188">
        <f ca="1">36005.685523886*((RANDBETWEEN(2979,3282)))</f>
        <v>112841818.43185866</v>
      </c>
      <c r="B10188">
        <v>169597279.92714697</v>
      </c>
    </row>
    <row r="10189" spans="1:2" x14ac:dyDescent="0.25">
      <c r="A10189">
        <f ca="1">35104.564469591*((RANDBETWEEN(2979,3282)))</f>
        <v>113808998.01041389</v>
      </c>
      <c r="B10189">
        <v>187927648.62345529</v>
      </c>
    </row>
    <row r="10190" spans="1:2" x14ac:dyDescent="0.25">
      <c r="A10190">
        <f ca="1">38104.7463834191*((RANDBETWEEN(2979,3282)))</f>
        <v>120068055.85415354</v>
      </c>
      <c r="B10190">
        <v>171381970.35209936</v>
      </c>
    </row>
    <row r="10191" spans="1:2" x14ac:dyDescent="0.25">
      <c r="A10191">
        <f ca="1">32647.3510083159*((RANDBETWEEN(2979,3282)))</f>
        <v>101957677.19897042</v>
      </c>
      <c r="B10191">
        <v>159705300.12498784</v>
      </c>
    </row>
    <row r="10192" spans="1:2" x14ac:dyDescent="0.25">
      <c r="A10192">
        <f ca="1">35851.5104992108*((RANDBETWEEN(2979,3282)))</f>
        <v>108558373.79161042</v>
      </c>
      <c r="B10192">
        <v>186863521.51298869</v>
      </c>
    </row>
    <row r="10193" spans="1:2" x14ac:dyDescent="0.25">
      <c r="A10193">
        <f ca="1">37026.4440620826*((RANDBETWEEN(2979,3282)))</f>
        <v>120187837.42552021</v>
      </c>
      <c r="B10193">
        <v>155189568.38886991</v>
      </c>
    </row>
    <row r="10194" spans="1:2" x14ac:dyDescent="0.25">
      <c r="A10194">
        <f ca="1">35699.6976098155*((RANDBETWEEN(2979,3282)))</f>
        <v>109348173.77886488</v>
      </c>
      <c r="B10194">
        <v>175113319.97483119</v>
      </c>
    </row>
    <row r="10195" spans="1:2" x14ac:dyDescent="0.25">
      <c r="A10195">
        <f ca="1">34471.747017417*((RANDBETWEEN(2979,3282)))</f>
        <v>106448754.78978372</v>
      </c>
      <c r="B10195">
        <v>153382005.56838006</v>
      </c>
    </row>
    <row r="10196" spans="1:2" x14ac:dyDescent="0.25">
      <c r="A10196">
        <f ca="1">32104.8318699788*((RANDBETWEEN(2979,3282)))</f>
        <v>102928090.97515202</v>
      </c>
      <c r="B10196">
        <v>143375924.69987321</v>
      </c>
    </row>
    <row r="10197" spans="1:2" x14ac:dyDescent="0.25">
      <c r="A10197">
        <f ca="1">32190.532728015*((RANDBETWEEN(2979,3282)))</f>
        <v>100273509.44776674</v>
      </c>
      <c r="B10197">
        <v>199252457.70364451</v>
      </c>
    </row>
    <row r="10198" spans="1:2" x14ac:dyDescent="0.25">
      <c r="A10198">
        <f ca="1">32960.4048761342*((RANDBETWEEN(2979,3282)))</f>
        <v>103627512.93056579</v>
      </c>
      <c r="B10198">
        <v>146034953.75322855</v>
      </c>
    </row>
    <row r="10199" spans="1:2" x14ac:dyDescent="0.25">
      <c r="A10199">
        <f ca="1">30452.7102573678*((RANDBETWEEN(2979,3282)))</f>
        <v>99154024.597989529</v>
      </c>
      <c r="B10199">
        <v>189996878.85296255</v>
      </c>
    </row>
    <row r="10200" spans="1:2" x14ac:dyDescent="0.25">
      <c r="A10200">
        <f ca="1">29419.7087527711*((RANDBETWEEN(2979,3282)))</f>
        <v>89200556.938401833</v>
      </c>
      <c r="B10200">
        <v>187666220.3024241</v>
      </c>
    </row>
    <row r="10201" spans="1:2" x14ac:dyDescent="0.25">
      <c r="A10201">
        <f ca="1">29800.7229762792*((RANDBETWEEN(2979,3282)))</f>
        <v>95272911.355164513</v>
      </c>
      <c r="B10201">
        <v>176447473.21757242</v>
      </c>
    </row>
    <row r="10202" spans="1:2" x14ac:dyDescent="0.25">
      <c r="A10202">
        <f ca="1">37186.2624078947*((RANDBETWEEN(2979,3282)))</f>
        <v>122008126.96030243</v>
      </c>
      <c r="B10202">
        <v>170718229.72769678</v>
      </c>
    </row>
    <row r="10203" spans="1:2" x14ac:dyDescent="0.25">
      <c r="A10203">
        <f ca="1">32454.8320008833*((RANDBETWEEN(2979,3282)))</f>
        <v>102394994.96278669</v>
      </c>
      <c r="B10203">
        <v>165780445.63402253</v>
      </c>
    </row>
    <row r="10204" spans="1:2" x14ac:dyDescent="0.25">
      <c r="A10204">
        <f ca="1">37754.8371329073*((RANDBETWEEN(2979,3282)))</f>
        <v>116851220.92634809</v>
      </c>
      <c r="B10204">
        <v>191083254.29381856</v>
      </c>
    </row>
    <row r="10205" spans="1:2" x14ac:dyDescent="0.25">
      <c r="A10205">
        <f ca="1">35503.2970137321*((RANDBETWEEN(2979,3282)))</f>
        <v>109669684.47541855</v>
      </c>
      <c r="B10205">
        <v>192648226.75940144</v>
      </c>
    </row>
    <row r="10206" spans="1:2" x14ac:dyDescent="0.25">
      <c r="A10206">
        <f ca="1">30588.4819400176*((RANDBETWEEN(2979,3282)))</f>
        <v>94090170.447494283</v>
      </c>
      <c r="B10206">
        <v>161197764.60069117</v>
      </c>
    </row>
    <row r="10207" spans="1:2" x14ac:dyDescent="0.25">
      <c r="A10207">
        <f ca="1">33394.3488544372*((RANDBETWEEN(2979,3282)))</f>
        <v>101151482.68009041</v>
      </c>
      <c r="B10207">
        <v>190466520.33278823</v>
      </c>
    </row>
    <row r="10208" spans="1:2" x14ac:dyDescent="0.25">
      <c r="A10208">
        <f ca="1">33505.5108794822*((RANDBETWEEN(2979,3282)))</f>
        <v>101287159.38867474</v>
      </c>
      <c r="B10208">
        <v>147365595.85673636</v>
      </c>
    </row>
    <row r="10209" spans="1:2" x14ac:dyDescent="0.25">
      <c r="A10209">
        <f ca="1">32921.8474401731*((RANDBETWEEN(2979,3282)))</f>
        <v>103539210.19934453</v>
      </c>
      <c r="B10209">
        <v>178263394.41344726</v>
      </c>
    </row>
    <row r="10210" spans="1:2" x14ac:dyDescent="0.25">
      <c r="A10210">
        <f ca="1">35281.0804888685*((RANDBETWEEN(2979,3282)))</f>
        <v>113252268.369268</v>
      </c>
      <c r="B10210">
        <v>151590649.3536467</v>
      </c>
    </row>
    <row r="10211" spans="1:2" x14ac:dyDescent="0.25">
      <c r="A10211">
        <f ca="1">37411.0992048885*((RANDBETWEEN(2979,3282)))</f>
        <v>112682230.80512416</v>
      </c>
      <c r="B10211">
        <v>166998066.46197987</v>
      </c>
    </row>
    <row r="10212" spans="1:2" x14ac:dyDescent="0.25">
      <c r="A10212">
        <f ca="1">42910.3123460656*((RANDBETWEEN(2979,3282)))</f>
        <v>137656282.0061785</v>
      </c>
      <c r="B10212">
        <v>160452521.43944612</v>
      </c>
    </row>
    <row r="10213" spans="1:2" x14ac:dyDescent="0.25">
      <c r="A10213">
        <f ca="1">32554.7126383789*((RANDBETWEEN(2979,3282)))</f>
        <v>103523986.19004495</v>
      </c>
      <c r="B10213">
        <v>166492639.94299263</v>
      </c>
    </row>
    <row r="10214" spans="1:2" x14ac:dyDescent="0.25">
      <c r="A10214">
        <f ca="1">40745.5278219899*((RANDBETWEEN(2979,3282)))</f>
        <v>122358820.04943575</v>
      </c>
      <c r="B10214">
        <v>175226798.61292288</v>
      </c>
    </row>
    <row r="10215" spans="1:2" x14ac:dyDescent="0.25">
      <c r="A10215">
        <f ca="1">29316.206746792*((RANDBETWEEN(2979,3282)))</f>
        <v>94837928.825872272</v>
      </c>
      <c r="B10215">
        <v>152086497.96401671</v>
      </c>
    </row>
    <row r="10216" spans="1:2" x14ac:dyDescent="0.25">
      <c r="A10216">
        <f ca="1">30672.9522933861*((RANDBETWEEN(2979,3282)))</f>
        <v>99993824.476438731</v>
      </c>
      <c r="B10216">
        <v>145979833.49360403</v>
      </c>
    </row>
    <row r="10217" spans="1:2" x14ac:dyDescent="0.25">
      <c r="A10217">
        <f ca="1">30084.5304357842*((RANDBETWEEN(2979,3282)))</f>
        <v>92148916.724806905</v>
      </c>
      <c r="B10217">
        <v>153691141.69765362</v>
      </c>
    </row>
    <row r="10218" spans="1:2" x14ac:dyDescent="0.25">
      <c r="A10218">
        <f ca="1">30880.5465605891*((RANDBETWEEN(2979,3282)))</f>
        <v>96501708.001841083</v>
      </c>
      <c r="B10218">
        <v>142974057.68711442</v>
      </c>
    </row>
    <row r="10219" spans="1:2" x14ac:dyDescent="0.25">
      <c r="A10219">
        <f ca="1">35891.9951200548*((RANDBETWEEN(2979,3282)))</f>
        <v>117295040.05233917</v>
      </c>
      <c r="B10219">
        <v>158681520.1802212</v>
      </c>
    </row>
    <row r="10220" spans="1:2" x14ac:dyDescent="0.25">
      <c r="A10220">
        <f ca="1">33949.7861438294*((RANDBETWEEN(2979,3282)))</f>
        <v>105006688.54286419</v>
      </c>
      <c r="B10220">
        <v>165140889.32231882</v>
      </c>
    </row>
    <row r="10221" spans="1:2" x14ac:dyDescent="0.25">
      <c r="A10221">
        <f ca="1">30687.6517635396*((RANDBETWEEN(2979,3282)))</f>
        <v>100379308.91853796</v>
      </c>
      <c r="B10221">
        <v>165259807.47127241</v>
      </c>
    </row>
    <row r="10222" spans="1:2" x14ac:dyDescent="0.25">
      <c r="A10222">
        <f ca="1">41099.1640276698*((RANDBETWEEN(2979,3282)))</f>
        <v>125229152.79230988</v>
      </c>
      <c r="B10222">
        <v>144071659.36613166</v>
      </c>
    </row>
    <row r="10223" spans="1:2" x14ac:dyDescent="0.25">
      <c r="A10223">
        <f ca="1">32643.2818179984*((RANDBETWEEN(2979,3282)))</f>
        <v>102467261.62669709</v>
      </c>
      <c r="B10223">
        <v>162953582.53680229</v>
      </c>
    </row>
    <row r="10224" spans="1:2" x14ac:dyDescent="0.25">
      <c r="A10224">
        <f ca="1">36996.2145162231*((RANDBETWEEN(2979,3282)))</f>
        <v>110766666.26157203</v>
      </c>
      <c r="B10224">
        <v>175427686.00907105</v>
      </c>
    </row>
    <row r="10225" spans="1:2" x14ac:dyDescent="0.25">
      <c r="A10225">
        <f ca="1">40108.5836217749*((RANDBETWEEN(2979,3282)))</f>
        <v>131074851.27596052</v>
      </c>
      <c r="B10225">
        <v>159334405.41968566</v>
      </c>
    </row>
    <row r="10226" spans="1:2" x14ac:dyDescent="0.25">
      <c r="A10226">
        <f ca="1">29686.6315789886*((RANDBETWEEN(2979,3282)))</f>
        <v>91019212.421179071</v>
      </c>
      <c r="B10226">
        <v>174616990.60044232</v>
      </c>
    </row>
    <row r="10227" spans="1:2" x14ac:dyDescent="0.25">
      <c r="A10227">
        <f ca="1">32223.6915176893*((RANDBETWEEN(2979,3282)))</f>
        <v>104243642.05972485</v>
      </c>
      <c r="B10227">
        <v>189489435.4065783</v>
      </c>
    </row>
    <row r="10228" spans="1:2" x14ac:dyDescent="0.25">
      <c r="A10228">
        <f ca="1">31533.0702109981*((RANDBETWEEN(2979,3282)))</f>
        <v>97437186.951984376</v>
      </c>
      <c r="B10228">
        <v>181497483.59902906</v>
      </c>
    </row>
    <row r="10229" spans="1:2" x14ac:dyDescent="0.25">
      <c r="A10229">
        <f ca="1">37036.0337767384*((RANDBETWEEN(2979,3282)))</f>
        <v>115848713.65363757</v>
      </c>
      <c r="B10229">
        <v>158051696.60980648</v>
      </c>
    </row>
    <row r="10230" spans="1:2" x14ac:dyDescent="0.25">
      <c r="A10230">
        <f ca="1">31341.8661142717*((RANDBETWEEN(2979,3282)))</f>
        <v>93743521.547786623</v>
      </c>
      <c r="B10230">
        <v>145792883.19291031</v>
      </c>
    </row>
    <row r="10231" spans="1:2" x14ac:dyDescent="0.25">
      <c r="A10231">
        <f ca="1">31225.1124580275*((RANDBETWEEN(2979,3282)))</f>
        <v>96548047.720220923</v>
      </c>
      <c r="B10231">
        <v>184710291.42976052</v>
      </c>
    </row>
    <row r="10232" spans="1:2" x14ac:dyDescent="0.25">
      <c r="A10232">
        <f ca="1">32347.3881074001*((RANDBETWEEN(2979,3282)))</f>
        <v>98659533.72757034</v>
      </c>
      <c r="B10232">
        <v>173270547.04352531</v>
      </c>
    </row>
    <row r="10233" spans="1:2" x14ac:dyDescent="0.25">
      <c r="A10233">
        <f ca="1">40213.1544070334*((RANDBETWEEN(2979,3282)))</f>
        <v>131336162.29337125</v>
      </c>
      <c r="B10233">
        <v>159508580.88594338</v>
      </c>
    </row>
    <row r="10234" spans="1:2" x14ac:dyDescent="0.25">
      <c r="A10234">
        <f ca="1">38447.5582513901*((RANDBETWEEN(2979,3282)))</f>
        <v>117303500.22499111</v>
      </c>
      <c r="B10234">
        <v>178645722.39497668</v>
      </c>
    </row>
    <row r="10235" spans="1:2" x14ac:dyDescent="0.25">
      <c r="A10235">
        <f ca="1">33774.929375967*((RANDBETWEEN(2979,3282)))</f>
        <v>110376469.20066002</v>
      </c>
      <c r="B10235">
        <v>151201696.44509646</v>
      </c>
    </row>
    <row r="10236" spans="1:2" x14ac:dyDescent="0.25">
      <c r="A10236">
        <f ca="1">38811.1152124883*((RANDBETWEEN(2979,3282)))</f>
        <v>124777735.40814972</v>
      </c>
      <c r="B10236">
        <v>180255226.19100255</v>
      </c>
    </row>
    <row r="10237" spans="1:2" x14ac:dyDescent="0.25">
      <c r="A10237">
        <f ca="1">32105.1069739313*((RANDBETWEEN(2979,3282)))</f>
        <v>104084756.80948529</v>
      </c>
      <c r="B10237">
        <v>165730925.42407179</v>
      </c>
    </row>
    <row r="10238" spans="1:2" x14ac:dyDescent="0.25">
      <c r="A10238">
        <f ca="1">30518.3287043628*((RANDBETWEEN(2979,3282)))</f>
        <v>98360573.414161429</v>
      </c>
      <c r="B10238">
        <v>185436057.71917447</v>
      </c>
    </row>
    <row r="10239" spans="1:2" x14ac:dyDescent="0.25">
      <c r="A10239">
        <f ca="1">33909.6214216115*((RANDBETWEEN(2979,3282)))</f>
        <v>102169689.34331535</v>
      </c>
      <c r="B10239">
        <v>166883094.48265818</v>
      </c>
    </row>
    <row r="10240" spans="1:2" x14ac:dyDescent="0.25">
      <c r="A10240">
        <f ca="1">32936.4142380884*((RANDBETWEEN(2979,3282)))</f>
        <v>103189785.80793098</v>
      </c>
      <c r="B10240">
        <v>144500915.67677164</v>
      </c>
    </row>
    <row r="10241" spans="1:2" x14ac:dyDescent="0.25">
      <c r="A10241">
        <f ca="1">30162.4517185545*((RANDBETWEEN(2979,3282)))</f>
        <v>95433997.237506583</v>
      </c>
      <c r="B10241">
        <v>148941021.96400046</v>
      </c>
    </row>
    <row r="10242" spans="1:2" x14ac:dyDescent="0.25">
      <c r="A10242">
        <f ca="1">29994.910249123*((RANDBETWEEN(2979,3282)))</f>
        <v>97573443.040397033</v>
      </c>
      <c r="B10242">
        <v>148671437.65186918</v>
      </c>
    </row>
    <row r="10243" spans="1:2" x14ac:dyDescent="0.25">
      <c r="A10243">
        <f ca="1">34737.1688454771*((RANDBETWEEN(2979,3282)))</f>
        <v>108171543.78481573</v>
      </c>
      <c r="B10243">
        <v>162395637.33689165</v>
      </c>
    </row>
    <row r="10244" spans="1:2" x14ac:dyDescent="0.25">
      <c r="A10244">
        <f ca="1">41169.8733838369*((RANDBETWEEN(2979,3282)))</f>
        <v>124827056.09979357</v>
      </c>
      <c r="B10244">
        <v>200535388.52277997</v>
      </c>
    </row>
    <row r="10245" spans="1:2" x14ac:dyDescent="0.25">
      <c r="A10245">
        <f ca="1">33277.4645739072*((RANDBETWEEN(2979,3282)))</f>
        <v>108650921.83380705</v>
      </c>
      <c r="B10245">
        <v>146908521.03067073</v>
      </c>
    </row>
    <row r="10246" spans="1:2" x14ac:dyDescent="0.25">
      <c r="A10246">
        <f ca="1">30136.4246909707*((RANDBETWEEN(2979,3282)))</f>
        <v>95170829.174085364</v>
      </c>
      <c r="B10246">
        <v>149591971.71677852</v>
      </c>
    </row>
    <row r="10247" spans="1:2" x14ac:dyDescent="0.25">
      <c r="A10247">
        <f ca="1">28673.4938264395*((RANDBETWEEN(2979,3282)))</f>
        <v>87167421.232375965</v>
      </c>
      <c r="B10247">
        <v>181903639.57951659</v>
      </c>
    </row>
    <row r="10248" spans="1:2" x14ac:dyDescent="0.25">
      <c r="A10248">
        <f ca="1">33104.2838930407*((RANDBETWEEN(2979,3282)))</f>
        <v>107357192.66513093</v>
      </c>
      <c r="B10248">
        <v>190060360.06895846</v>
      </c>
    </row>
    <row r="10249" spans="1:2" x14ac:dyDescent="0.25">
      <c r="A10249">
        <f ca="1">33204.0095044309*((RANDBETWEEN(2979,3282)))</f>
        <v>101139412.95049663</v>
      </c>
      <c r="B10249">
        <v>158848892.97007787</v>
      </c>
    </row>
    <row r="10250" spans="1:2" x14ac:dyDescent="0.25">
      <c r="A10250">
        <f ca="1">40594.2095512641*((RANDBETWEEN(2979,3282)))</f>
        <v>122919266.5212277</v>
      </c>
      <c r="B10250">
        <v>148447844.97522461</v>
      </c>
    </row>
    <row r="10251" spans="1:2" x14ac:dyDescent="0.25">
      <c r="A10251">
        <f ca="1">31708.2274706968*((RANDBETWEEN(2979,3282)))</f>
        <v>100293123.48981409</v>
      </c>
      <c r="B10251">
        <v>165864681.65299875</v>
      </c>
    </row>
    <row r="10252" spans="1:2" x14ac:dyDescent="0.25">
      <c r="A10252">
        <f ca="1">32479.6990274471*((RANDBETWEEN(2979,3282)))</f>
        <v>101856336.15007398</v>
      </c>
      <c r="B10252">
        <v>148192777.90015402</v>
      </c>
    </row>
    <row r="10253" spans="1:2" x14ac:dyDescent="0.25">
      <c r="A10253">
        <f ca="1">32116.5353264952*((RANDBETWEEN(2979,3282)))</f>
        <v>100203590.21866506</v>
      </c>
      <c r="B10253">
        <v>195928694.07376647</v>
      </c>
    </row>
    <row r="10254" spans="1:2" x14ac:dyDescent="0.25">
      <c r="A10254">
        <f ca="1">28179.989776641*((RANDBETWEEN(2979,3282)))</f>
        <v>90655027.111454219</v>
      </c>
      <c r="B10254">
        <v>148674858.90545818</v>
      </c>
    </row>
    <row r="10255" spans="1:2" x14ac:dyDescent="0.25">
      <c r="A10255">
        <f ca="1">27897.4890952497*((RANDBETWEEN(2979,3282)))</f>
        <v>84919956.805940107</v>
      </c>
      <c r="B10255">
        <v>177307185.95485121</v>
      </c>
    </row>
    <row r="10256" spans="1:2" x14ac:dyDescent="0.25">
      <c r="A10256">
        <f ca="1">30924.5698044006*((RANDBETWEEN(2979,3282)))</f>
        <v>99051397.083495066</v>
      </c>
      <c r="B10256">
        <v>183688510.89786401</v>
      </c>
    </row>
    <row r="10257" spans="1:2" x14ac:dyDescent="0.25">
      <c r="A10257">
        <f ca="1">31282.4559851022*((RANDBETWEEN(2979,3282)))</f>
        <v>94066345.147202447</v>
      </c>
      <c r="B10257">
        <v>143848149.51045328</v>
      </c>
    </row>
    <row r="10258" spans="1:2" x14ac:dyDescent="0.25">
      <c r="A10258">
        <f ca="1">32194.4362036573*((RANDBETWEEN(2979,3282)))</f>
        <v>95907225.450695142</v>
      </c>
      <c r="B10258">
        <v>147257840.89194655</v>
      </c>
    </row>
    <row r="10259" spans="1:2" x14ac:dyDescent="0.25">
      <c r="A10259">
        <f ca="1">42392.5535784881*((RANDBETWEEN(2979,3282)))</f>
        <v>133663721.43297304</v>
      </c>
      <c r="B10259">
        <v>145294666.58722925</v>
      </c>
    </row>
    <row r="10260" spans="1:2" x14ac:dyDescent="0.25">
      <c r="A10260">
        <f ca="1">39535.0383647892*((RANDBETWEEN(2979,3282)))</f>
        <v>119712096.16858169</v>
      </c>
      <c r="B10260">
        <v>184686846.65941533</v>
      </c>
    </row>
    <row r="10261" spans="1:2" x14ac:dyDescent="0.25">
      <c r="A10261">
        <f ca="1">31035.165229441*((RANDBETWEEN(2979,3282)))</f>
        <v>99064247.412375689</v>
      </c>
      <c r="B10261">
        <v>151251019.6599544</v>
      </c>
    </row>
    <row r="10262" spans="1:2" x14ac:dyDescent="0.25">
      <c r="A10262">
        <f ca="1">35207.5065709416*((RANDBETWEEN(2979,3282)))</f>
        <v>108755987.79763867</v>
      </c>
      <c r="B10262">
        <v>159608066.85169047</v>
      </c>
    </row>
    <row r="10263" spans="1:2" x14ac:dyDescent="0.25">
      <c r="A10263">
        <f ca="1">30269.8044125974*((RANDBETWEEN(2979,3282)))</f>
        <v>96227708.227647126</v>
      </c>
      <c r="B10263">
        <v>196304797.41449594</v>
      </c>
    </row>
    <row r="10264" spans="1:2" x14ac:dyDescent="0.25">
      <c r="A10264">
        <f ca="1">30599.1391997967*((RANDBETWEEN(2979,3282)))</f>
        <v>93939357.343375877</v>
      </c>
      <c r="B10264">
        <v>175040009.17062122</v>
      </c>
    </row>
    <row r="10265" spans="1:2" x14ac:dyDescent="0.25">
      <c r="A10265">
        <f ca="1">35377.8879583635*((RANDBETWEEN(2979,3282)))</f>
        <v>107973314.04892555</v>
      </c>
      <c r="B10265">
        <v>183156729.66527271</v>
      </c>
    </row>
    <row r="10266" spans="1:2" x14ac:dyDescent="0.25">
      <c r="A10266">
        <f ca="1">38068.1950701104*((RANDBETWEEN(2979,3282)))</f>
        <v>123759702.17292888</v>
      </c>
      <c r="B10266">
        <v>147665580.38216972</v>
      </c>
    </row>
    <row r="10267" spans="1:2" x14ac:dyDescent="0.25">
      <c r="A10267">
        <f ca="1">34819.3875285802*((RANDBETWEEN(2979,3282)))</f>
        <v>110412277.85312793</v>
      </c>
      <c r="B10267">
        <v>158011126.2219063</v>
      </c>
    </row>
    <row r="10268" spans="1:2" x14ac:dyDescent="0.25">
      <c r="A10268">
        <f ca="1">33270.3874688401*((RANDBETWEEN(2979,3282)))</f>
        <v>108095488.8862616</v>
      </c>
      <c r="B10268">
        <v>150110523.66854</v>
      </c>
    </row>
    <row r="10269" spans="1:2" x14ac:dyDescent="0.25">
      <c r="A10269">
        <f ca="1">40035.106115128*((RANDBETWEEN(2979,3282)))</f>
        <v>125910408.73207749</v>
      </c>
      <c r="B10269">
        <v>185242466.88052359</v>
      </c>
    </row>
    <row r="10270" spans="1:2" x14ac:dyDescent="0.25">
      <c r="A10270">
        <f ca="1">33281.7356777965*((RANDBETWEEN(2979,3282)))</f>
        <v>108232204.42419437</v>
      </c>
      <c r="B10270">
        <v>186026435.44455329</v>
      </c>
    </row>
    <row r="10271" spans="1:2" x14ac:dyDescent="0.25">
      <c r="A10271">
        <f ca="1">31662.6270099708*((RANDBETWEEN(2979,3282)))</f>
        <v>97457565.936689988</v>
      </c>
      <c r="B10271">
        <v>150475103.43571907</v>
      </c>
    </row>
    <row r="10272" spans="1:2" x14ac:dyDescent="0.25">
      <c r="A10272">
        <f ca="1">32406.6770061033*((RANDBETWEEN(2979,3282)))</f>
        <v>104835600.11474429</v>
      </c>
      <c r="B10272">
        <v>201874442.8012225</v>
      </c>
    </row>
    <row r="10273" spans="1:2" x14ac:dyDescent="0.25">
      <c r="A10273">
        <f ca="1">30327.8158008019*((RANDBETWEEN(2979,3282)))</f>
        <v>96199831.720143586</v>
      </c>
      <c r="B10273">
        <v>149236322.56880379</v>
      </c>
    </row>
    <row r="10274" spans="1:2" x14ac:dyDescent="0.25">
      <c r="A10274">
        <f ca="1">31546.7456628829*((RANDBETWEEN(2979,3282)))</f>
        <v>101233506.83219136</v>
      </c>
      <c r="B10274">
        <v>144243533.26994681</v>
      </c>
    </row>
    <row r="10275" spans="1:2" x14ac:dyDescent="0.25">
      <c r="A10275">
        <f ca="1">31966.5242587104*((RANDBETWEEN(2979,3282)))</f>
        <v>98137229.474241048</v>
      </c>
      <c r="B10275">
        <v>202435985.32133877</v>
      </c>
    </row>
    <row r="10276" spans="1:2" x14ac:dyDescent="0.25">
      <c r="A10276">
        <f ca="1">40096.1699773335*((RANDBETWEEN(2979,3282)))</f>
        <v>125420819.68909907</v>
      </c>
      <c r="B10276">
        <v>192474932.63676524</v>
      </c>
    </row>
    <row r="10277" spans="1:2" x14ac:dyDescent="0.25">
      <c r="A10277">
        <f ca="1">36540.9112444655*((RANDBETWEEN(2979,3282)))</f>
        <v>112765252.10042043</v>
      </c>
      <c r="B10277">
        <v>175360567.81925029</v>
      </c>
    </row>
    <row r="10278" spans="1:2" x14ac:dyDescent="0.25">
      <c r="A10278">
        <f ca="1">29888.843259436*((RANDBETWEEN(2979,3282)))</f>
        <v>90622972.762609854</v>
      </c>
      <c r="B10278">
        <v>156355225.68589553</v>
      </c>
    </row>
    <row r="10279" spans="1:2" x14ac:dyDescent="0.25">
      <c r="A10279">
        <f ca="1">39463.0476294967*((RANDBETWEEN(2979,3282)))</f>
        <v>125571417.55705857</v>
      </c>
      <c r="B10279">
        <v>167431505.01422226</v>
      </c>
    </row>
    <row r="10280" spans="1:2" x14ac:dyDescent="0.25">
      <c r="A10280">
        <f ca="1">31229.4534589375*((RANDBETWEEN(2979,3282)))</f>
        <v>95530898.130889893</v>
      </c>
      <c r="B10280">
        <v>186698108.39742294</v>
      </c>
    </row>
    <row r="10281" spans="1:2" x14ac:dyDescent="0.25">
      <c r="A10281">
        <f ca="1">33385.4477956118*((RANDBETWEEN(2979,3282)))</f>
        <v>107033745.63273136</v>
      </c>
      <c r="B10281">
        <v>154004627.61297673</v>
      </c>
    </row>
    <row r="10282" spans="1:2" x14ac:dyDescent="0.25">
      <c r="A10282">
        <f ca="1">34301.4506043394*((RANDBETWEEN(2979,3282)))</f>
        <v>111891331.87135516</v>
      </c>
      <c r="B10282">
        <v>181879282.26733381</v>
      </c>
    </row>
    <row r="10283" spans="1:2" x14ac:dyDescent="0.25">
      <c r="A10283">
        <f ca="1">29105.2925723528*((RANDBETWEEN(2979,3282)))</f>
        <v>87024824.791334972</v>
      </c>
      <c r="B10283">
        <v>146231596.09043676</v>
      </c>
    </row>
    <row r="10284" spans="1:2" x14ac:dyDescent="0.25">
      <c r="A10284">
        <f ca="1">32677.6047209156*((RANDBETWEEN(2979,3282)))</f>
        <v>100156858.46960633</v>
      </c>
      <c r="B10284">
        <v>178087467.90734276</v>
      </c>
    </row>
    <row r="10285" spans="1:2" x14ac:dyDescent="0.25">
      <c r="A10285">
        <f ca="1">40078.5853888636*((RANDBETWEEN(2979,3282)))</f>
        <v>125205500.75480981</v>
      </c>
      <c r="B10285">
        <v>182669583.3440972</v>
      </c>
    </row>
    <row r="10286" spans="1:2" x14ac:dyDescent="0.25">
      <c r="A10286">
        <f ca="1">32518.9427969519*((RANDBETWEEN(2979,3282)))</f>
        <v>104028098.00744899</v>
      </c>
      <c r="B10286">
        <v>188956844.56307235</v>
      </c>
    </row>
    <row r="10287" spans="1:2" x14ac:dyDescent="0.25">
      <c r="A10287">
        <f ca="1">32329.0087775383*((RANDBETWEEN(2979,3282)))</f>
        <v>101448429.54391514</v>
      </c>
      <c r="B10287">
        <v>187622588.94149578</v>
      </c>
    </row>
    <row r="10288" spans="1:2" x14ac:dyDescent="0.25">
      <c r="A10288">
        <f ca="1">29623.7921034803*((RANDBETWEEN(2979,3282)))</f>
        <v>93700054.423308194</v>
      </c>
      <c r="B10288">
        <v>195859991.81295341</v>
      </c>
    </row>
    <row r="10289" spans="1:2" x14ac:dyDescent="0.25">
      <c r="A10289">
        <f ca="1">30150.1769281792*((RANDBETWEEN(2979,3282)))</f>
        <v>91174135.030813843</v>
      </c>
      <c r="B10289">
        <v>145823742.89306465</v>
      </c>
    </row>
    <row r="10290" spans="1:2" x14ac:dyDescent="0.25">
      <c r="A10290">
        <f ca="1">28686.4218532219*((RANDBETWEEN(2979,3282)))</f>
        <v>87464900.230473697</v>
      </c>
      <c r="B10290">
        <v>157847290.57185179</v>
      </c>
    </row>
    <row r="10291" spans="1:2" x14ac:dyDescent="0.25">
      <c r="A10291">
        <f ca="1">32701.7483325161*((RANDBETWEEN(2979,3282)))</f>
        <v>97614718.772560641</v>
      </c>
      <c r="B10291">
        <v>173178928.85142916</v>
      </c>
    </row>
    <row r="10292" spans="1:2" x14ac:dyDescent="0.25">
      <c r="A10292">
        <f ca="1">36721.074184364*((RANDBETWEEN(2979,3282)))</f>
        <v>113027466.33947243</v>
      </c>
      <c r="B10292">
        <v>159974867.17891884</v>
      </c>
    </row>
    <row r="10293" spans="1:2" x14ac:dyDescent="0.25">
      <c r="A10293">
        <f ca="1">31983.5947307773*((RANDBETWEEN(2979,3282)))</f>
        <v>104458420.39071871</v>
      </c>
      <c r="B10293">
        <v>186371375.71422896</v>
      </c>
    </row>
    <row r="10294" spans="1:2" x14ac:dyDescent="0.25">
      <c r="A10294">
        <f ca="1">31207.8673261143*((RANDBETWEEN(2979,3282)))</f>
        <v>102236973.36035061</v>
      </c>
      <c r="B10294">
        <v>151936742.46542466</v>
      </c>
    </row>
    <row r="10295" spans="1:2" x14ac:dyDescent="0.25">
      <c r="A10295">
        <f ca="1">30747.4907126517*((RANDBETWEEN(2979,3282)))</f>
        <v>99468132.455428347</v>
      </c>
      <c r="B10295">
        <v>180870561.52588099</v>
      </c>
    </row>
    <row r="10296" spans="1:2" x14ac:dyDescent="0.25">
      <c r="A10296">
        <f ca="1">29222.2718582232*((RANDBETWEEN(2979,3282)))</f>
        <v>89390929.614304662</v>
      </c>
      <c r="B10296">
        <v>147178780.91736096</v>
      </c>
    </row>
    <row r="10297" spans="1:2" x14ac:dyDescent="0.25">
      <c r="A10297">
        <f ca="1">31964.8652432934*((RANDBETWEEN(2979,3282)))</f>
        <v>100785220.11210404</v>
      </c>
      <c r="B10297">
        <v>174741938.49184281</v>
      </c>
    </row>
    <row r="10298" spans="1:2" x14ac:dyDescent="0.25">
      <c r="A10298">
        <f ca="1">28969.2526010443*((RANDBETWEEN(2979,3282)))</f>
        <v>90876545.409475997</v>
      </c>
      <c r="B10298">
        <v>193970736.21917793</v>
      </c>
    </row>
    <row r="10299" spans="1:2" x14ac:dyDescent="0.25">
      <c r="A10299">
        <f ca="1">37081.6290279906*((RANDBETWEEN(2979,3282)))</f>
        <v>117771253.7928983</v>
      </c>
      <c r="B10299">
        <v>149666074.61641231</v>
      </c>
    </row>
    <row r="10300" spans="1:2" x14ac:dyDescent="0.25">
      <c r="A10300">
        <f ca="1">29108.7930414364*((RANDBETWEEN(2979,3282)))</f>
        <v>88199642.915552273</v>
      </c>
      <c r="B10300">
        <v>156586637.97578093</v>
      </c>
    </row>
    <row r="10301" spans="1:2" x14ac:dyDescent="0.25">
      <c r="A10301">
        <f ca="1">31643.5646662837*((RANDBETWEEN(2979,3282)))</f>
        <v>97367248.478155002</v>
      </c>
      <c r="B10301">
        <v>168092402.79082519</v>
      </c>
    </row>
    <row r="10302" spans="1:2" x14ac:dyDescent="0.25">
      <c r="A10302">
        <f ca="1">42282.5923190127*((RANDBETWEEN(2979,3282)))</f>
        <v>135684838.75171191</v>
      </c>
      <c r="B10302">
        <v>170617494.62977922</v>
      </c>
    </row>
    <row r="10303" spans="1:2" x14ac:dyDescent="0.25">
      <c r="A10303">
        <f ca="1">28677.4329142739*((RANDBETWEEN(2979,3282)))</f>
        <v>92685463.178933337</v>
      </c>
      <c r="B10303">
        <v>150076784.00903428</v>
      </c>
    </row>
    <row r="10304" spans="1:2" x14ac:dyDescent="0.25">
      <c r="A10304">
        <f ca="1">30787.1531025817*((RANDBETWEEN(2979,3282)))</f>
        <v>96579299.282798693</v>
      </c>
      <c r="B10304">
        <v>170112871.64591944</v>
      </c>
    </row>
    <row r="10305" spans="1:2" x14ac:dyDescent="0.25">
      <c r="A10305">
        <f ca="1">31246.9551359006*((RANDBETWEEN(2979,3282)))</f>
        <v>99646539.928386971</v>
      </c>
      <c r="B10305">
        <v>155763996.53909096</v>
      </c>
    </row>
    <row r="10306" spans="1:2" x14ac:dyDescent="0.25">
      <c r="A10306">
        <f ca="1">31338.8263302411*((RANDBETWEEN(2979,3282)))</f>
        <v>94580577.864667684</v>
      </c>
      <c r="B10306">
        <v>151934745.04961517</v>
      </c>
    </row>
    <row r="10307" spans="1:2" x14ac:dyDescent="0.25">
      <c r="A10307">
        <f ca="1">35762.9902398747*((RANDBETWEEN(2979,3282)))</f>
        <v>116515822.20151164</v>
      </c>
      <c r="B10307">
        <v>165179358.37762284</v>
      </c>
    </row>
    <row r="10308" spans="1:2" x14ac:dyDescent="0.25">
      <c r="A10308">
        <f ca="1">32075.3504559814*((RANDBETWEEN(2979,3282)))</f>
        <v>103090176.36552423</v>
      </c>
      <c r="B10308">
        <v>166234422.4266817</v>
      </c>
    </row>
    <row r="10309" spans="1:2" x14ac:dyDescent="0.25">
      <c r="A10309">
        <f ca="1">40065.4774781617*((RANDBETWEEN(2979,3282)))</f>
        <v>123321539.67778172</v>
      </c>
      <c r="B10309">
        <v>173466976.83392355</v>
      </c>
    </row>
    <row r="10310" spans="1:2" x14ac:dyDescent="0.25">
      <c r="A10310">
        <f ca="1">33757.7065019631*((RANDBETWEEN(2979,3282)))</f>
        <v>107788356.86076826</v>
      </c>
      <c r="B10310">
        <v>175617585.66016567</v>
      </c>
    </row>
    <row r="10311" spans="1:2" x14ac:dyDescent="0.25">
      <c r="A10311">
        <f ca="1">32322.3217940763*((RANDBETWEEN(2979,3282)))</f>
        <v>100942610.96290028</v>
      </c>
      <c r="B10311">
        <v>148605836.59754112</v>
      </c>
    </row>
    <row r="10312" spans="1:2" x14ac:dyDescent="0.25">
      <c r="A10312">
        <f ca="1">33387.2181224889*((RANDBETWEEN(2979,3282)))</f>
        <v>101196658.12926397</v>
      </c>
      <c r="B10312">
        <v>192794642.51751262</v>
      </c>
    </row>
    <row r="10313" spans="1:2" x14ac:dyDescent="0.25">
      <c r="A10313">
        <f ca="1">36335.2763015758*((RANDBETWEEN(2979,3282)))</f>
        <v>117253936.62518525</v>
      </c>
      <c r="B10313">
        <v>158389152.27766907</v>
      </c>
    </row>
    <row r="10314" spans="1:2" x14ac:dyDescent="0.25">
      <c r="A10314">
        <f ca="1">37714.563477962*((RANDBETWEEN(2979,3282)))</f>
        <v>123666053.64423726</v>
      </c>
      <c r="B10314">
        <v>167655649.89046741</v>
      </c>
    </row>
    <row r="10315" spans="1:2" x14ac:dyDescent="0.25">
      <c r="A10315">
        <f ca="1">40525.2156298153*((RANDBETWEEN(2979,3282)))</f>
        <v>128586509.19340383</v>
      </c>
      <c r="B10315">
        <v>147508368.04633471</v>
      </c>
    </row>
    <row r="10316" spans="1:2" x14ac:dyDescent="0.25">
      <c r="A10316">
        <f ca="1">32055.6043258903*((RANDBETWEEN(2979,3282)))</f>
        <v>97609315.172335818</v>
      </c>
      <c r="B10316">
        <v>184333881.07883269</v>
      </c>
    </row>
    <row r="10317" spans="1:2" x14ac:dyDescent="0.25">
      <c r="A10317">
        <f ca="1">43999.2713965731*((RANDBETWEEN(2979,3282)))</f>
        <v>134241777.03094456</v>
      </c>
      <c r="B10317">
        <v>174403272.78173774</v>
      </c>
    </row>
    <row r="10318" spans="1:2" x14ac:dyDescent="0.25">
      <c r="A10318">
        <f ca="1">40304.2418738036*((RANDBETWEEN(2979,3282)))</f>
        <v>126716536.45123841</v>
      </c>
      <c r="B10318">
        <v>179609132.46600652</v>
      </c>
    </row>
    <row r="10319" spans="1:2" x14ac:dyDescent="0.25">
      <c r="A10319">
        <f ca="1">40875.1815775593*((RANDBETWEEN(2979,3282)))</f>
        <v>125159805.99048673</v>
      </c>
      <c r="B10319">
        <v>167800654.05283624</v>
      </c>
    </row>
    <row r="10320" spans="1:2" x14ac:dyDescent="0.25">
      <c r="A10320">
        <f ca="1">30278.3868935053*((RANDBETWEEN(2979,3282)))</f>
        <v>98162530.308744282</v>
      </c>
      <c r="B10320">
        <v>174333298.20323023</v>
      </c>
    </row>
    <row r="10321" spans="1:2" x14ac:dyDescent="0.25">
      <c r="A10321">
        <f ca="1">32940.8280250382*((RANDBETWEEN(2979,3282)))</f>
        <v>103269495.85849465</v>
      </c>
      <c r="B10321">
        <v>187810459.40276331</v>
      </c>
    </row>
    <row r="10322" spans="1:2" x14ac:dyDescent="0.25">
      <c r="A10322">
        <f ca="1">30645.5579879477*((RANDBETWEEN(2979,3282)))</f>
        <v>92917331.819457456</v>
      </c>
      <c r="B10322">
        <v>200916328.96295971</v>
      </c>
    </row>
    <row r="10323" spans="1:2" x14ac:dyDescent="0.25">
      <c r="A10323">
        <f ca="1">30950.5554454949*((RANDBETWEEN(2979,3282)))</f>
        <v>100805959.08597676</v>
      </c>
      <c r="B10323">
        <v>152479418.49045536</v>
      </c>
    </row>
    <row r="10324" spans="1:2" x14ac:dyDescent="0.25">
      <c r="A10324">
        <f ca="1">31229.2340629976*((RANDBETWEEN(2979,3282)))</f>
        <v>96310957.850284532</v>
      </c>
      <c r="B10324">
        <v>155644127.80918017</v>
      </c>
    </row>
    <row r="10325" spans="1:2" x14ac:dyDescent="0.25">
      <c r="A10325">
        <f ca="1">30405.7662905429*((RANDBETWEEN(2979,3282)))</f>
        <v>95322077.320852011</v>
      </c>
      <c r="B10325">
        <v>201113965.98424354</v>
      </c>
    </row>
    <row r="10326" spans="1:2" x14ac:dyDescent="0.25">
      <c r="A10326">
        <f ca="1">37323.0404409227*((RANDBETWEEN(2979,3282)))</f>
        <v>114768349.35583745</v>
      </c>
      <c r="B10326">
        <v>157691823.28837079</v>
      </c>
    </row>
    <row r="10327" spans="1:2" x14ac:dyDescent="0.25">
      <c r="A10327">
        <f ca="1">32305.2482050476*((RANDBETWEEN(2979,3282)))</f>
        <v>102149194.8243604</v>
      </c>
      <c r="B10327">
        <v>145336710.69803455</v>
      </c>
    </row>
    <row r="10328" spans="1:2" x14ac:dyDescent="0.25">
      <c r="A10328">
        <f ca="1">40611.602925146*((RANDBETWEEN(2979,3282)))</f>
        <v>130119575.7721678</v>
      </c>
      <c r="B10328">
        <v>201254903.99194667</v>
      </c>
    </row>
    <row r="10329" spans="1:2" x14ac:dyDescent="0.25">
      <c r="A10329">
        <f ca="1">31613.8696344608*((RANDBETWEEN(2979,3282)))</f>
        <v>100911471.873199</v>
      </c>
      <c r="B10329">
        <v>166790679.15421835</v>
      </c>
    </row>
    <row r="10330" spans="1:2" x14ac:dyDescent="0.25">
      <c r="A10330">
        <f ca="1">30400.2769053542*((RANDBETWEEN(2979,3282)))</f>
        <v>92964046.776573047</v>
      </c>
      <c r="B10330">
        <v>159406276.93727875</v>
      </c>
    </row>
    <row r="10331" spans="1:2" x14ac:dyDescent="0.25">
      <c r="A10331">
        <f ca="1">38038.8240044066*((RANDBETWEEN(2979,3282)))</f>
        <v>115523908.50138292</v>
      </c>
      <c r="B10331">
        <v>175519817.22645468</v>
      </c>
    </row>
    <row r="10332" spans="1:2" x14ac:dyDescent="0.25">
      <c r="A10332">
        <f ca="1">38239.5727578129*((RANDBETWEEN(2979,3282)))</f>
        <v>118695633.84025134</v>
      </c>
      <c r="B10332">
        <v>174983686.76057154</v>
      </c>
    </row>
    <row r="10333" spans="1:2" x14ac:dyDescent="0.25">
      <c r="A10333">
        <f ca="1">33909.1298012556*((RANDBETWEEN(2979,3282)))</f>
        <v>102236026.35078561</v>
      </c>
      <c r="B10333">
        <v>166007386.9038353</v>
      </c>
    </row>
    <row r="10334" spans="1:2" x14ac:dyDescent="0.25">
      <c r="A10334">
        <f ca="1">36157.1167759767*((RANDBETWEEN(2979,3282)))</f>
        <v>110243049.04995301</v>
      </c>
      <c r="B10334">
        <v>143354688.9001492</v>
      </c>
    </row>
    <row r="10335" spans="1:2" x14ac:dyDescent="0.25">
      <c r="A10335">
        <f ca="1">33152.4332945579*((RANDBETWEEN(2979,3282)))</f>
        <v>108143237.4068478</v>
      </c>
      <c r="B10335">
        <v>173924253.19839859</v>
      </c>
    </row>
    <row r="10336" spans="1:2" x14ac:dyDescent="0.25">
      <c r="A10336">
        <f ca="1">31464.5269568522*((RANDBETWEEN(2979,3282)))</f>
        <v>101284312.27410711</v>
      </c>
      <c r="B10336">
        <v>166331744.82715192</v>
      </c>
    </row>
    <row r="10337" spans="1:2" x14ac:dyDescent="0.25">
      <c r="A10337">
        <f ca="1">33168.4039180888*((RANDBETWEEN(2979,3282)))</f>
        <v>104414135.53414379</v>
      </c>
      <c r="B10337">
        <v>172466764.837116</v>
      </c>
    </row>
    <row r="10338" spans="1:2" x14ac:dyDescent="0.25">
      <c r="A10338">
        <f ca="1">31428.2727786841*((RANDBETWEEN(2979,3282)))</f>
        <v>99030487.525633544</v>
      </c>
      <c r="B10338">
        <v>146847796.50597543</v>
      </c>
    </row>
    <row r="10339" spans="1:2" x14ac:dyDescent="0.25">
      <c r="A10339">
        <f ca="1">30753.1046385035*((RANDBETWEEN(2979,3282)))</f>
        <v>92628351.171172619</v>
      </c>
      <c r="B10339">
        <v>186930553.08975312</v>
      </c>
    </row>
    <row r="10340" spans="1:2" x14ac:dyDescent="0.25">
      <c r="A10340">
        <f ca="1">34410.9644537755*((RANDBETWEEN(2979,3282)))</f>
        <v>112661497.62166111</v>
      </c>
      <c r="B10340">
        <v>164588955.96078476</v>
      </c>
    </row>
    <row r="10341" spans="1:2" x14ac:dyDescent="0.25">
      <c r="A10341">
        <f ca="1">30840.7668274053*((RANDBETWEEN(2979,3282)))</f>
        <v>98536250.013559982</v>
      </c>
      <c r="B10341">
        <v>161484475.2533657</v>
      </c>
    </row>
    <row r="10342" spans="1:2" x14ac:dyDescent="0.25">
      <c r="A10342">
        <f ca="1">37246.0183698358*((RANDBETWEEN(2979,3282)))</f>
        <v>113339633.89941028</v>
      </c>
      <c r="B10342">
        <v>196423278.18430915</v>
      </c>
    </row>
    <row r="10343" spans="1:2" x14ac:dyDescent="0.25">
      <c r="A10343">
        <f ca="1">30074.9030484161*((RANDBETWEEN(2979,3282)))</f>
        <v>97713360.004303753</v>
      </c>
      <c r="B10343">
        <v>158710605.82738912</v>
      </c>
    </row>
    <row r="10344" spans="1:2" x14ac:dyDescent="0.25">
      <c r="A10344">
        <f ca="1">33295.1479184184*((RANDBETWEEN(2979,3282)))</f>
        <v>101583496.29909462</v>
      </c>
      <c r="B10344">
        <v>174343889.55290896</v>
      </c>
    </row>
    <row r="10345" spans="1:2" x14ac:dyDescent="0.25">
      <c r="A10345">
        <f ca="1">33474.602691366*((RANDBETWEEN(2979,3282)))</f>
        <v>101796266.78444408</v>
      </c>
      <c r="B10345">
        <v>164422674.75420976</v>
      </c>
    </row>
    <row r="10346" spans="1:2" x14ac:dyDescent="0.25">
      <c r="A10346">
        <f ca="1">33882.2401924901*((RANDBETWEEN(2979,3282)))</f>
        <v>105102709.0771044</v>
      </c>
      <c r="B10346">
        <v>160648591.71168154</v>
      </c>
    </row>
    <row r="10347" spans="1:2" x14ac:dyDescent="0.25">
      <c r="A10347">
        <f ca="1">34954.9089236015*((RANDBETWEEN(2979,3282)))</f>
        <v>112869400.9143094</v>
      </c>
      <c r="B10347">
        <v>160417507.85925484</v>
      </c>
    </row>
    <row r="10348" spans="1:2" x14ac:dyDescent="0.25">
      <c r="A10348">
        <f ca="1">28962.8123031282*((RANDBETWEEN(2979,3282)))</f>
        <v>94418768.108198076</v>
      </c>
      <c r="B10348">
        <v>151601293.21185175</v>
      </c>
    </row>
    <row r="10349" spans="1:2" x14ac:dyDescent="0.25">
      <c r="A10349">
        <f ca="1">31893.3912406928*((RANDBETWEEN(2979,3282)))</f>
        <v>97848924.326445431</v>
      </c>
      <c r="B10349">
        <v>171842360.87990785</v>
      </c>
    </row>
    <row r="10350" spans="1:2" x14ac:dyDescent="0.25">
      <c r="A10350">
        <f ca="1">31155.8344250412*((RANDBETWEEN(2979,3282)))</f>
        <v>97704696.756929219</v>
      </c>
      <c r="B10350">
        <v>155158076.29594541</v>
      </c>
    </row>
    <row r="10351" spans="1:2" x14ac:dyDescent="0.25">
      <c r="A10351">
        <f ca="1">30584.8128335705*((RANDBETWEEN(2979,3282)))</f>
        <v>96250405.987246439</v>
      </c>
      <c r="B10351">
        <v>150267737.45157039</v>
      </c>
    </row>
    <row r="10352" spans="1:2" x14ac:dyDescent="0.25">
      <c r="A10352">
        <f ca="1">33013.8830184592*((RANDBETWEEN(2979,3282)))</f>
        <v>107163064.27791847</v>
      </c>
      <c r="B10352">
        <v>174086183.36082107</v>
      </c>
    </row>
    <row r="10353" spans="1:2" x14ac:dyDescent="0.25">
      <c r="A10353">
        <f ca="1">27720.5200360988*((RANDBETWEEN(2979,3282)))</f>
        <v>83632808.948910043</v>
      </c>
      <c r="B10353">
        <v>143922711.2573587</v>
      </c>
    </row>
    <row r="10354" spans="1:2" x14ac:dyDescent="0.25">
      <c r="A10354">
        <f ca="1">38261.3916048309*((RANDBETWEEN(2979,3282)))</f>
        <v>120140769.63916904</v>
      </c>
      <c r="B10354">
        <v>159558077.88505983</v>
      </c>
    </row>
    <row r="10355" spans="1:2" x14ac:dyDescent="0.25">
      <c r="A10355">
        <f ca="1">31300.7428383056*((RANDBETWEEN(2979,3282)))</f>
        <v>95185558.971287459</v>
      </c>
      <c r="B10355">
        <v>148922230.99330789</v>
      </c>
    </row>
    <row r="10356" spans="1:2" x14ac:dyDescent="0.25">
      <c r="A10356">
        <f ca="1">36819.3392776454*((RANDBETWEEN(2979,3282)))</f>
        <v>111120765.93993384</v>
      </c>
      <c r="B10356">
        <v>149854001.89124382</v>
      </c>
    </row>
    <row r="10357" spans="1:2" x14ac:dyDescent="0.25">
      <c r="A10357">
        <f ca="1">38263.4449910555*((RANDBETWEEN(2979,3282)))</f>
        <v>121601228.18157449</v>
      </c>
      <c r="B10357">
        <v>187109664.54189041</v>
      </c>
    </row>
    <row r="10358" spans="1:2" x14ac:dyDescent="0.25">
      <c r="A10358">
        <f ca="1">35163.7646123983*((RANDBETWEEN(2979,3282)))</f>
        <v>105948422.77715614</v>
      </c>
      <c r="B10358">
        <v>181624193.48512703</v>
      </c>
    </row>
    <row r="10359" spans="1:2" x14ac:dyDescent="0.25">
      <c r="A10359">
        <f ca="1">34102.0708113178*((RANDBETWEEN(2979,3282)))</f>
        <v>105000276.02804759</v>
      </c>
      <c r="B10359">
        <v>192940830.31012011</v>
      </c>
    </row>
    <row r="10360" spans="1:2" x14ac:dyDescent="0.25">
      <c r="A10360">
        <f ca="1">32197.1849148298*((RANDBETWEEN(2979,3282)))</f>
        <v>105059414.37708978</v>
      </c>
      <c r="B10360">
        <v>145178962.58481362</v>
      </c>
    </row>
    <row r="10361" spans="1:2" x14ac:dyDescent="0.25">
      <c r="A10361">
        <f ca="1">32382.8521206645*((RANDBETWEEN(2979,3282)))</f>
        <v>98184807.629854783</v>
      </c>
      <c r="B10361">
        <v>165425223.83152211</v>
      </c>
    </row>
    <row r="10362" spans="1:2" x14ac:dyDescent="0.25">
      <c r="A10362">
        <f ca="1">32529.9210986059*((RANDBETWEEN(2979,3282)))</f>
        <v>104616226.25311653</v>
      </c>
      <c r="B10362">
        <v>153614204.16468415</v>
      </c>
    </row>
    <row r="10363" spans="1:2" x14ac:dyDescent="0.25">
      <c r="A10363">
        <f ca="1">33284.0006020474*((RANDBETWEEN(2979,3282)))</f>
        <v>102348301.85129572</v>
      </c>
      <c r="B10363">
        <v>180186109.5671275</v>
      </c>
    </row>
    <row r="10364" spans="1:2" x14ac:dyDescent="0.25">
      <c r="A10364">
        <f ca="1">35529.1257344472*((RANDBETWEEN(2979,3282)))</f>
        <v>109607352.89076962</v>
      </c>
      <c r="B10364">
        <v>148218501.3567211</v>
      </c>
    </row>
    <row r="10365" spans="1:2" x14ac:dyDescent="0.25">
      <c r="A10365">
        <f ca="1">29439.5950681558*((RANDBETWEEN(2979,3282)))</f>
        <v>91969294.99291864</v>
      </c>
      <c r="B10365">
        <v>161814125.99489439</v>
      </c>
    </row>
    <row r="10366" spans="1:2" x14ac:dyDescent="0.25">
      <c r="A10366">
        <f ca="1">32135.4667693652*((RANDBETWEEN(2979,3282)))</f>
        <v>105372195.53674839</v>
      </c>
      <c r="B10366">
        <v>164832724.61540461</v>
      </c>
    </row>
    <row r="10367" spans="1:2" x14ac:dyDescent="0.25">
      <c r="A10367">
        <f ca="1">28665.8869899065*((RANDBETWEEN(2979,3282)))</f>
        <v>91988831.350609884</v>
      </c>
      <c r="B10367">
        <v>190988798.38386071</v>
      </c>
    </row>
    <row r="10368" spans="1:2" x14ac:dyDescent="0.25">
      <c r="A10368">
        <f ca="1">31371.4445369672*((RANDBETWEEN(2979,3282)))</f>
        <v>94961362.613399625</v>
      </c>
      <c r="B10368">
        <v>158055156.11822307</v>
      </c>
    </row>
    <row r="10369" spans="1:2" x14ac:dyDescent="0.25">
      <c r="A10369">
        <f ca="1">32002.0977750299*((RANDBETWEEN(2979,3282)))</f>
        <v>98182435.973791793</v>
      </c>
      <c r="B10369">
        <v>184363443.43872201</v>
      </c>
    </row>
    <row r="10370" spans="1:2" x14ac:dyDescent="0.25">
      <c r="A10370">
        <f ca="1">40241.4906935653*((RANDBETWEEN(2979,3282)))</f>
        <v>128893494.69148956</v>
      </c>
      <c r="B10370">
        <v>196150715.33681771</v>
      </c>
    </row>
    <row r="10371" spans="1:2" x14ac:dyDescent="0.25">
      <c r="A10371">
        <f ca="1">30970.9637945383*((RANDBETWEEN(2979,3282)))</f>
        <v>95483481.378561586</v>
      </c>
      <c r="B10371">
        <v>152288389.76713544</v>
      </c>
    </row>
    <row r="10372" spans="1:2" x14ac:dyDescent="0.25">
      <c r="A10372">
        <f ca="1">31000.9504070334*((RANDBETWEEN(2979,3282)))</f>
        <v>95730934.856919035</v>
      </c>
      <c r="B10372">
        <v>168439178.69870996</v>
      </c>
    </row>
    <row r="10373" spans="1:2" x14ac:dyDescent="0.25">
      <c r="A10373">
        <f ca="1">30580.4075805452*((RANDBETWEEN(2979,3282)))</f>
        <v>99141681.376127467</v>
      </c>
      <c r="B10373">
        <v>167012058.49212798</v>
      </c>
    </row>
    <row r="10374" spans="1:2" x14ac:dyDescent="0.25">
      <c r="A10374">
        <f ca="1">34293.399057683*((RANDBETWEEN(2979,3282)))</f>
        <v>110733385.55725825</v>
      </c>
      <c r="B10374">
        <v>169545520.44660372</v>
      </c>
    </row>
    <row r="10375" spans="1:2" x14ac:dyDescent="0.25">
      <c r="A10375">
        <f ca="1">37846.1020491907*((RANDBETWEEN(2979,3282)))</f>
        <v>118761068.23036028</v>
      </c>
      <c r="B10375">
        <v>143062028.47300223</v>
      </c>
    </row>
    <row r="10376" spans="1:2" x14ac:dyDescent="0.25">
      <c r="A10376">
        <f ca="1">31710.6623500124*((RANDBETWEEN(2979,3282)))</f>
        <v>102457150.05289017</v>
      </c>
      <c r="B10376">
        <v>178257190.51127225</v>
      </c>
    </row>
    <row r="10377" spans="1:2" x14ac:dyDescent="0.25">
      <c r="A10377">
        <f ca="1">31421.161731891*((RANDBETWEEN(2979,3282)))</f>
        <v>95834543.282267541</v>
      </c>
      <c r="B10377">
        <v>195242109.22323641</v>
      </c>
    </row>
    <row r="10378" spans="1:2" x14ac:dyDescent="0.25">
      <c r="A10378">
        <f ca="1">29941.785573461*((RANDBETWEEN(2979,3282)))</f>
        <v>95304703.48032628</v>
      </c>
      <c r="B10378">
        <v>192164337.80063623</v>
      </c>
    </row>
    <row r="10379" spans="1:2" x14ac:dyDescent="0.25">
      <c r="A10379">
        <f ca="1">32781.8060339335*((RANDBETWEEN(2979,3282)))</f>
        <v>99984508.4034971</v>
      </c>
      <c r="B10379">
        <v>163691052.39991784</v>
      </c>
    </row>
    <row r="10380" spans="1:2" x14ac:dyDescent="0.25">
      <c r="A10380">
        <f ca="1">34231.3631459797*((RANDBETWEEN(2979,3282)))</f>
        <v>104371426.23209207</v>
      </c>
      <c r="B10380">
        <v>172106593.36060846</v>
      </c>
    </row>
    <row r="10381" spans="1:2" x14ac:dyDescent="0.25">
      <c r="A10381">
        <f ca="1">29974.3624962225*((RANDBETWEEN(2979,3282)))</f>
        <v>96457498.51284413</v>
      </c>
      <c r="B10381">
        <v>190166113.91386449</v>
      </c>
    </row>
    <row r="10382" spans="1:2" x14ac:dyDescent="0.25">
      <c r="A10382">
        <f ca="1">40290.8143271305*((RANDBETWEEN(2979,3282)))</f>
        <v>130663110.86288404</v>
      </c>
      <c r="B10382">
        <v>163011676.02263075</v>
      </c>
    </row>
    <row r="10383" spans="1:2" x14ac:dyDescent="0.25">
      <c r="A10383">
        <f ca="1">31821.1476668778*((RANDBETWEEN(2979,3282)))</f>
        <v>98900126.948656082</v>
      </c>
      <c r="B10383">
        <v>151179306.01162806</v>
      </c>
    </row>
    <row r="10384" spans="1:2" x14ac:dyDescent="0.25">
      <c r="A10384">
        <f ca="1">37604.248198408*((RANDBETWEEN(2979,3282)))</f>
        <v>114316914.52316043</v>
      </c>
      <c r="B10384">
        <v>174345820.23048136</v>
      </c>
    </row>
    <row r="10385" spans="1:2" x14ac:dyDescent="0.25">
      <c r="A10385">
        <f ca="1">32685.3362844277*((RANDBETWEEN(2979,3282)))</f>
        <v>105475580.18984807</v>
      </c>
      <c r="B10385">
        <v>188031788.70248315</v>
      </c>
    </row>
    <row r="10386" spans="1:2" x14ac:dyDescent="0.25">
      <c r="A10386">
        <f ca="1">38491.4024715092*((RANDBETWEEN(2979,3282)))</f>
        <v>124442704.19038928</v>
      </c>
      <c r="B10386">
        <v>195765719.8558597</v>
      </c>
    </row>
    <row r="10387" spans="1:2" x14ac:dyDescent="0.25">
      <c r="A10387">
        <f ca="1">31788.9312960473*((RANDBETWEEN(2979,3282)))</f>
        <v>100007977.85736479</v>
      </c>
      <c r="B10387">
        <v>167872397.45543325</v>
      </c>
    </row>
    <row r="10388" spans="1:2" x14ac:dyDescent="0.25">
      <c r="A10388">
        <f ca="1">31244.1598691258*((RANDBETWEEN(2979,3282)))</f>
        <v>101449787.09505144</v>
      </c>
      <c r="B10388">
        <v>163037019.31199595</v>
      </c>
    </row>
    <row r="10389" spans="1:2" x14ac:dyDescent="0.25">
      <c r="A10389">
        <f ca="1">29781.5612196995*((RANDBETWEEN(2979,3282)))</f>
        <v>96998544.892561167</v>
      </c>
      <c r="B10389">
        <v>192705711.76923314</v>
      </c>
    </row>
    <row r="10390" spans="1:2" x14ac:dyDescent="0.25">
      <c r="A10390">
        <f ca="1">33654.9640448379*((RANDBETWEEN(2979,3282)))</f>
        <v>101032202.06260325</v>
      </c>
      <c r="B10390">
        <v>144562745.40130723</v>
      </c>
    </row>
    <row r="10391" spans="1:2" x14ac:dyDescent="0.25">
      <c r="A10391">
        <f ca="1">32026.859636729*((RANDBETWEEN(2979,3282)))</f>
        <v>104823911.59101415</v>
      </c>
      <c r="B10391">
        <v>199516428.19339523</v>
      </c>
    </row>
    <row r="10392" spans="1:2" x14ac:dyDescent="0.25">
      <c r="A10392">
        <f ca="1">27843.3694108039*((RANDBETWEEN(2979,3282)))</f>
        <v>85841107.893508434</v>
      </c>
      <c r="B10392">
        <v>148579110.44896245</v>
      </c>
    </row>
    <row r="10393" spans="1:2" x14ac:dyDescent="0.25">
      <c r="A10393">
        <f ca="1">36724.4876967802*((RANDBETWEEN(2979,3282)))</f>
        <v>114543677.12625737</v>
      </c>
      <c r="B10393">
        <v>159784697.47562233</v>
      </c>
    </row>
    <row r="10394" spans="1:2" x14ac:dyDescent="0.25">
      <c r="A10394">
        <f ca="1">36245.5091631145*((RANDBETWEEN(2979,3282)))</f>
        <v>116493066.45024997</v>
      </c>
      <c r="B10394">
        <v>180773155.0621365</v>
      </c>
    </row>
    <row r="10395" spans="1:2" x14ac:dyDescent="0.25">
      <c r="A10395">
        <f ca="1">35889.8975770959*((RANDBETWEEN(2979,3282)))</f>
        <v>115601360.09582587</v>
      </c>
      <c r="B10395">
        <v>166982736.79246008</v>
      </c>
    </row>
    <row r="10396" spans="1:2" x14ac:dyDescent="0.25">
      <c r="A10396">
        <f ca="1">31937.5132485427*((RANDBETWEEN(2979,3282)))</f>
        <v>96610977.576841593</v>
      </c>
      <c r="B10396">
        <v>198223623.78273797</v>
      </c>
    </row>
    <row r="10397" spans="1:2" x14ac:dyDescent="0.25">
      <c r="A10397">
        <f ca="1">33051.6364389809*((RANDBETWEEN(2979,3282)))</f>
        <v>100972749.3210865</v>
      </c>
      <c r="B10397">
        <v>178830918.21744958</v>
      </c>
    </row>
    <row r="10398" spans="1:2" x14ac:dyDescent="0.25">
      <c r="A10398">
        <f ca="1">37956.685783029*((RANDBETWEEN(2979,3282)))</f>
        <v>117817552.67052187</v>
      </c>
      <c r="B10398">
        <v>145368932.37458175</v>
      </c>
    </row>
    <row r="10399" spans="1:2" x14ac:dyDescent="0.25">
      <c r="A10399">
        <f ca="1">31058.1334529346*((RANDBETWEEN(2979,3282)))</f>
        <v>99386027.049390838</v>
      </c>
      <c r="B10399">
        <v>197769967.14652199</v>
      </c>
    </row>
    <row r="10400" spans="1:2" x14ac:dyDescent="0.25">
      <c r="A10400">
        <f ca="1">33490.9594862913*((RANDBETWEEN(2979,3282)))</f>
        <v>109515437.52017255</v>
      </c>
      <c r="B10400">
        <v>175598781.0779416</v>
      </c>
    </row>
    <row r="10401" spans="1:2" x14ac:dyDescent="0.25">
      <c r="A10401">
        <f ca="1">31407.8128099762*((RANDBETWEEN(2979,3282)))</f>
        <v>95511158.755137742</v>
      </c>
      <c r="B10401">
        <v>189241142.91199043</v>
      </c>
    </row>
    <row r="10402" spans="1:2" x14ac:dyDescent="0.25">
      <c r="A10402">
        <f ca="1">35338.9638743184*((RANDBETWEEN(2979,3282)))</f>
        <v>115240361.19415219</v>
      </c>
      <c r="B10402">
        <v>169142057.74486712</v>
      </c>
    </row>
    <row r="10403" spans="1:2" x14ac:dyDescent="0.25">
      <c r="A10403">
        <f ca="1">29818.1867170064*((RANDBETWEEN(2979,3282)))</f>
        <v>96491652.216232762</v>
      </c>
      <c r="B10403">
        <v>145320958.63030672</v>
      </c>
    </row>
    <row r="10404" spans="1:2" x14ac:dyDescent="0.25">
      <c r="A10404">
        <f ca="1">32782.3947583537*((RANDBETWEEN(2979,3282)))</f>
        <v>106182176.6223077</v>
      </c>
      <c r="B10404">
        <v>202533638.40791366</v>
      </c>
    </row>
    <row r="10405" spans="1:2" x14ac:dyDescent="0.25">
      <c r="A10405">
        <f ca="1">28614.1136542972*((RANDBETWEEN(2979,3282)))</f>
        <v>92824184.694540128</v>
      </c>
      <c r="B10405">
        <v>197086222.71129766</v>
      </c>
    </row>
    <row r="10406" spans="1:2" x14ac:dyDescent="0.25">
      <c r="A10406">
        <f ca="1">30888.5006298835*((RANDBETWEEN(2979,3282)))</f>
        <v>94518811.927443445</v>
      </c>
      <c r="B10406">
        <v>148969234.586696</v>
      </c>
    </row>
    <row r="10407" spans="1:2" x14ac:dyDescent="0.25">
      <c r="A10407">
        <f ca="1">35502.4265439477*((RANDBETWEEN(2979,3282)))</f>
        <v>112826711.55666591</v>
      </c>
      <c r="B10407">
        <v>156826393.42556831</v>
      </c>
    </row>
    <row r="10408" spans="1:2" x14ac:dyDescent="0.25">
      <c r="A10408">
        <f ca="1">34186.8643458598*((RANDBETWEEN(2979,3282)))</f>
        <v>107346754.04599983</v>
      </c>
      <c r="B10408">
        <v>160760325.57190171</v>
      </c>
    </row>
    <row r="10409" spans="1:2" x14ac:dyDescent="0.25">
      <c r="A10409">
        <f ca="1">30971.1295836812*((RANDBETWEEN(2979,3282)))</f>
        <v>99262470.315698296</v>
      </c>
      <c r="B10409">
        <v>168297462.92931995</v>
      </c>
    </row>
    <row r="10410" spans="1:2" x14ac:dyDescent="0.25">
      <c r="A10410">
        <f ca="1">38435.9828922475*((RANDBETWEEN(2979,3282)))</f>
        <v>122879837.30651537</v>
      </c>
      <c r="B10410">
        <v>164367354.44678554</v>
      </c>
    </row>
    <row r="10411" spans="1:2" x14ac:dyDescent="0.25">
      <c r="A10411">
        <f ca="1">32807.7791908601*((RANDBETWEEN(2979,3282)))</f>
        <v>97964028.663908392</v>
      </c>
      <c r="B10411">
        <v>191207851.70726931</v>
      </c>
    </row>
    <row r="10412" spans="1:2" x14ac:dyDescent="0.25">
      <c r="A10412">
        <f ca="1">39466.158089832*((RANDBETWEEN(2979,3282)))</f>
        <v>126686367.46836062</v>
      </c>
      <c r="B10412">
        <v>150369207.79781461</v>
      </c>
    </row>
    <row r="10413" spans="1:2" x14ac:dyDescent="0.25">
      <c r="A10413">
        <f ca="1">35510.6930632045*((RANDBETWEEN(2979,3282)))</f>
        <v>106887186.12024547</v>
      </c>
      <c r="B10413">
        <v>186739222.69294786</v>
      </c>
    </row>
    <row r="10414" spans="1:2" x14ac:dyDescent="0.25">
      <c r="A10414">
        <f ca="1">28685.0577529348*((RANDBETWEEN(2979,3282)))</f>
        <v>91218483.654332727</v>
      </c>
      <c r="B10414">
        <v>157310232.18072504</v>
      </c>
    </row>
    <row r="10415" spans="1:2" x14ac:dyDescent="0.25">
      <c r="A10415">
        <f ca="1">30711.7703873599*((RANDBETWEEN(2979,3282)))</f>
        <v>98400512.321101055</v>
      </c>
      <c r="B10415">
        <v>167703181.85544935</v>
      </c>
    </row>
    <row r="10416" spans="1:2" x14ac:dyDescent="0.25">
      <c r="A10416">
        <f ca="1">32605.3860625004*((RANDBETWEEN(2979,3282)))</f>
        <v>102935203.79931374</v>
      </c>
      <c r="B10416">
        <v>198714100.17307231</v>
      </c>
    </row>
    <row r="10417" spans="1:2" x14ac:dyDescent="0.25">
      <c r="A10417">
        <f ca="1">30787.5079485196*((RANDBETWEEN(2979,3282)))</f>
        <v>94640799.433749273</v>
      </c>
      <c r="B10417">
        <v>170897567.81970185</v>
      </c>
    </row>
    <row r="10418" spans="1:2" x14ac:dyDescent="0.25">
      <c r="A10418">
        <f ca="1">31403.8474914956*((RANDBETWEEN(2979,3282)))</f>
        <v>96880869.511263892</v>
      </c>
      <c r="B10418">
        <v>162534048.20131558</v>
      </c>
    </row>
    <row r="10419" spans="1:2" x14ac:dyDescent="0.25">
      <c r="A10419">
        <f ca="1">31257.6675814772*((RANDBETWEEN(2979,3282)))</f>
        <v>94429413.763642475</v>
      </c>
      <c r="B10419">
        <v>158308890.47562745</v>
      </c>
    </row>
    <row r="10420" spans="1:2" x14ac:dyDescent="0.25">
      <c r="A10420">
        <f ca="1">29598.6239026268*((RANDBETWEEN(2979,3282)))</f>
        <v>92673291.439124361</v>
      </c>
      <c r="B10420">
        <v>182017441.49897861</v>
      </c>
    </row>
    <row r="10421" spans="1:2" x14ac:dyDescent="0.25">
      <c r="A10421">
        <f ca="1">31446.6917737141*((RANDBETWEEN(2979,3282)))</f>
        <v>96226876.827565029</v>
      </c>
      <c r="B10421">
        <v>151125116.31207132</v>
      </c>
    </row>
    <row r="10422" spans="1:2" x14ac:dyDescent="0.25">
      <c r="A10422">
        <f ca="1">33241.9187380363*((RANDBETWEEN(2979,3282)))</f>
        <v>107371397.52385738</v>
      </c>
      <c r="B10422">
        <v>190957919.21408331</v>
      </c>
    </row>
    <row r="10423" spans="1:2" x14ac:dyDescent="0.25">
      <c r="A10423">
        <f ca="1">40600.2003715413*((RANDBETWEEN(2979,3282)))</f>
        <v>132356653.2112245</v>
      </c>
      <c r="B10423">
        <v>167513856.39514545</v>
      </c>
    </row>
    <row r="10424" spans="1:2" x14ac:dyDescent="0.25">
      <c r="A10424">
        <f ca="1">32696.1980179358*((RANDBETWEEN(2979,3282)))</f>
        <v>102208315.00406736</v>
      </c>
      <c r="B10424">
        <v>176493300.63955182</v>
      </c>
    </row>
    <row r="10425" spans="1:2" x14ac:dyDescent="0.25">
      <c r="A10425">
        <f ca="1">30140.5807549855*((RANDBETWEEN(2979,3282)))</f>
        <v>95515500.412549257</v>
      </c>
      <c r="B10425">
        <v>151278653.55198175</v>
      </c>
    </row>
    <row r="10426" spans="1:2" x14ac:dyDescent="0.25">
      <c r="A10426">
        <f ca="1">30542.8149280383*((RANDBETWEEN(2979,3282)))</f>
        <v>94530012.202278644</v>
      </c>
      <c r="B10426">
        <v>154447242.02475193</v>
      </c>
    </row>
    <row r="10427" spans="1:2" x14ac:dyDescent="0.25">
      <c r="A10427">
        <f ca="1">28835.6201914352*((RANDBETWEEN(2979,3282)))</f>
        <v>88583025.228088886</v>
      </c>
      <c r="B10427">
        <v>148100842.77410978</v>
      </c>
    </row>
    <row r="10428" spans="1:2" x14ac:dyDescent="0.25">
      <c r="A10428">
        <f ca="1">32784.4373657165*((RANDBETWEEN(2979,3282)))</f>
        <v>103074271.07781285</v>
      </c>
      <c r="B10428">
        <v>184605150.85350406</v>
      </c>
    </row>
    <row r="10429" spans="1:2" x14ac:dyDescent="0.25">
      <c r="A10429">
        <f ca="1">38982.3254651881*((RANDBETWEEN(2979,3282)))</f>
        <v>126926451.71465231</v>
      </c>
      <c r="B10429">
        <v>170351584.85823479</v>
      </c>
    </row>
    <row r="10430" spans="1:2" x14ac:dyDescent="0.25">
      <c r="A10430">
        <f ca="1">31854.7331479495*((RANDBETWEEN(2979,3282)))</f>
        <v>97794030.76420486</v>
      </c>
      <c r="B10430">
        <v>147280200.60460395</v>
      </c>
    </row>
    <row r="10431" spans="1:2" x14ac:dyDescent="0.25">
      <c r="A10431">
        <f ca="1">30624.7002075871*((RANDBETWEEN(2979,3282)))</f>
        <v>94079079.037707582</v>
      </c>
      <c r="B10431">
        <v>181383986.33471909</v>
      </c>
    </row>
    <row r="10432" spans="1:2" x14ac:dyDescent="0.25">
      <c r="A10432">
        <f ca="1">33565.2575848621*((RANDBETWEEN(2979,3282)))</f>
        <v>106401866.54401287</v>
      </c>
      <c r="B10432">
        <v>188227037.77359509</v>
      </c>
    </row>
    <row r="10433" spans="1:2" x14ac:dyDescent="0.25">
      <c r="A10433">
        <f ca="1">32180.2312445021*((RANDBETWEEN(2979,3282)))</f>
        <v>98246245.989465058</v>
      </c>
      <c r="B10433">
        <v>156065051.06362471</v>
      </c>
    </row>
    <row r="10434" spans="1:2" x14ac:dyDescent="0.25">
      <c r="A10434">
        <f ca="1">28558.5230396459*((RANDBETWEEN(2979,3282)))</f>
        <v>87988809.485149115</v>
      </c>
      <c r="B10434">
        <v>160103488.50976834</v>
      </c>
    </row>
    <row r="10435" spans="1:2" x14ac:dyDescent="0.25">
      <c r="A10435">
        <f ca="1">39260.6322721308*((RANDBETWEEN(2979,3282)))</f>
        <v>119627146.53318256</v>
      </c>
      <c r="B10435">
        <v>144417666.33071074</v>
      </c>
    </row>
    <row r="10436" spans="1:2" x14ac:dyDescent="0.25">
      <c r="A10436">
        <f ca="1">28980.8367996293*((RANDBETWEEN(2979,3282)))</f>
        <v>95086125.539583758</v>
      </c>
      <c r="B10436">
        <v>166396363.17411682</v>
      </c>
    </row>
    <row r="10437" spans="1:2" x14ac:dyDescent="0.25">
      <c r="A10437">
        <f ca="1">40564.7110361517*((RANDBETWEEN(2979,3282)))</f>
        <v>124128015.77062422</v>
      </c>
      <c r="B10437">
        <v>197224312.92506322</v>
      </c>
    </row>
    <row r="10438" spans="1:2" x14ac:dyDescent="0.25">
      <c r="A10438">
        <f ca="1">41693.6223466828*((RANDBETWEEN(2979,3282)))</f>
        <v>128958373.91828977</v>
      </c>
      <c r="B10438">
        <v>176502718.29460377</v>
      </c>
    </row>
    <row r="10439" spans="1:2" x14ac:dyDescent="0.25">
      <c r="A10439">
        <f ca="1">27506.1361168936*((RANDBETWEEN(2979,3282)))</f>
        <v>85186503.554019526</v>
      </c>
      <c r="B10439">
        <v>157842700.87018824</v>
      </c>
    </row>
    <row r="10440" spans="1:2" x14ac:dyDescent="0.25">
      <c r="A10440">
        <f ca="1">35347.0262338606*((RANDBETWEEN(2979,3282)))</f>
        <v>111590561.82029805</v>
      </c>
      <c r="B10440">
        <v>149765483.2607629</v>
      </c>
    </row>
    <row r="10441" spans="1:2" x14ac:dyDescent="0.25">
      <c r="A10441">
        <f ca="1">33517.4486487844*((RANDBETWEEN(2979,3282)))</f>
        <v>109300400.04368594</v>
      </c>
      <c r="B10441">
        <v>153750123.02422318</v>
      </c>
    </row>
    <row r="10442" spans="1:2" x14ac:dyDescent="0.25">
      <c r="A10442">
        <f ca="1">42766.2710440033*((RANDBETWEEN(2979,3282)))</f>
        <v>129667333.80541791</v>
      </c>
      <c r="B10442">
        <v>184471708.38043392</v>
      </c>
    </row>
    <row r="10443" spans="1:2" x14ac:dyDescent="0.25">
      <c r="A10443">
        <f ca="1">34664.929349307*((RANDBETWEEN(2979,3282)))</f>
        <v>109125197.59161831</v>
      </c>
      <c r="B10443">
        <v>159382911.30643696</v>
      </c>
    </row>
    <row r="10444" spans="1:2" x14ac:dyDescent="0.25">
      <c r="A10444">
        <f ca="1">31697.061385655*((RANDBETWEEN(2979,3282)))</f>
        <v>102413205.3370513</v>
      </c>
      <c r="B10444">
        <v>196872981.4612987</v>
      </c>
    </row>
    <row r="10445" spans="1:2" x14ac:dyDescent="0.25">
      <c r="A10445">
        <f ca="1">38079.3648954918*((RANDBETWEEN(2979,3282)))</f>
        <v>121320856.557037</v>
      </c>
      <c r="B10445">
        <v>185302064.59259367</v>
      </c>
    </row>
    <row r="10446" spans="1:2" x14ac:dyDescent="0.25">
      <c r="A10446">
        <f ca="1">38498.0957331974*((RANDBETWEEN(2979,3282)))</f>
        <v>126158259.71768776</v>
      </c>
      <c r="B10446">
        <v>144001963.47789755</v>
      </c>
    </row>
    <row r="10447" spans="1:2" x14ac:dyDescent="0.25">
      <c r="A10447">
        <f ca="1">28845.3244045949*((RANDBETWEEN(2979,3282)))</f>
        <v>93949221.585765541</v>
      </c>
      <c r="B10447">
        <v>180408501.6866881</v>
      </c>
    </row>
    <row r="10448" spans="1:2" x14ac:dyDescent="0.25">
      <c r="A10448">
        <f ca="1">31194.9725434509*((RANDBETWEEN(2979,3282)))</f>
        <v>97765043.951175109</v>
      </c>
      <c r="B10448">
        <v>152619443.11836398</v>
      </c>
    </row>
    <row r="10449" spans="1:2" x14ac:dyDescent="0.25">
      <c r="A10449">
        <f ca="1">32408.7625329321*((RANDBETWEEN(2979,3282)))</f>
        <v>97647601.511724457</v>
      </c>
      <c r="B10449">
        <v>196931917.79497194</v>
      </c>
    </row>
    <row r="10450" spans="1:2" x14ac:dyDescent="0.25">
      <c r="A10450">
        <f ca="1">32558.3664461682*((RANDBETWEEN(2979,3282)))</f>
        <v>106303066.4467392</v>
      </c>
      <c r="B10450">
        <v>156632020.09609595</v>
      </c>
    </row>
    <row r="10451" spans="1:2" x14ac:dyDescent="0.25">
      <c r="A10451">
        <f ca="1">30499.3430906036*((RANDBETWEEN(2979,3282)))</f>
        <v>93358489.200337768</v>
      </c>
      <c r="B10451">
        <v>154399669.93031272</v>
      </c>
    </row>
    <row r="10452" spans="1:2" x14ac:dyDescent="0.25">
      <c r="A10452">
        <f ca="1">39504.198595901*((RANDBETWEEN(2979,3282)))</f>
        <v>125623351.53496531</v>
      </c>
      <c r="B10452">
        <v>183517695.04710269</v>
      </c>
    </row>
    <row r="10453" spans="1:2" x14ac:dyDescent="0.25">
      <c r="A10453">
        <f ca="1">28970.2325856262*((RANDBETWEEN(2979,3282)))</f>
        <v>92559893.111075684</v>
      </c>
      <c r="B10453">
        <v>178030948.324296</v>
      </c>
    </row>
    <row r="10454" spans="1:2" x14ac:dyDescent="0.25">
      <c r="A10454">
        <f ca="1">37680.5229954337*((RANDBETWEEN(2979,3282)))</f>
        <v>118279161.68266651</v>
      </c>
      <c r="B10454">
        <v>151223083.92589265</v>
      </c>
    </row>
    <row r="10455" spans="1:2" x14ac:dyDescent="0.25">
      <c r="A10455">
        <f ca="1">30818.8507042342*((RANDBETWEEN(2979,3282)))</f>
        <v>93997494.647914439</v>
      </c>
      <c r="B10455">
        <v>199670174.88261148</v>
      </c>
    </row>
    <row r="10456" spans="1:2" x14ac:dyDescent="0.25">
      <c r="A10456">
        <f ca="1">31822.6246249643*((RANDBETWEEN(2979,3282)))</f>
        <v>96836246.733766347</v>
      </c>
      <c r="B10456">
        <v>203425854.47606713</v>
      </c>
    </row>
    <row r="10457" spans="1:2" x14ac:dyDescent="0.25">
      <c r="A10457">
        <f ca="1">31026.3701183414*((RANDBETWEEN(2979,3282)))</f>
        <v>101580335.76744977</v>
      </c>
      <c r="B10457">
        <v>155644131.14235407</v>
      </c>
    </row>
    <row r="10458" spans="1:2" x14ac:dyDescent="0.25">
      <c r="A10458">
        <f ca="1">38211.6131829067*((RANDBETWEEN(2979,3282)))</f>
        <v>124340589.29717852</v>
      </c>
      <c r="B10458">
        <v>196255030.67469314</v>
      </c>
    </row>
    <row r="10459" spans="1:2" x14ac:dyDescent="0.25">
      <c r="A10459">
        <f ca="1">37042.3459862424*((RANDBETWEEN(2979,3282)))</f>
        <v>118794803.57787924</v>
      </c>
      <c r="B10459">
        <v>163265542.14736545</v>
      </c>
    </row>
    <row r="10460" spans="1:2" x14ac:dyDescent="0.25">
      <c r="A10460">
        <f ca="1">37230.5852459881*((RANDBETWEEN(2979,3282)))</f>
        <v>120999402.04946147</v>
      </c>
      <c r="B10460">
        <v>194754251.35083961</v>
      </c>
    </row>
    <row r="10461" spans="1:2" x14ac:dyDescent="0.25">
      <c r="A10461">
        <f ca="1">30008.0388597029*((RANDBETWEEN(2979,3282)))</f>
        <v>92154687.33814767</v>
      </c>
      <c r="B10461">
        <v>161269506.31509155</v>
      </c>
    </row>
    <row r="10462" spans="1:2" x14ac:dyDescent="0.25">
      <c r="A10462">
        <f ca="1">31178.1237189233*((RANDBETWEEN(2979,3282)))</f>
        <v>93503193.033050895</v>
      </c>
      <c r="B10462">
        <v>197437829.29363713</v>
      </c>
    </row>
    <row r="10463" spans="1:2" x14ac:dyDescent="0.25">
      <c r="A10463">
        <f ca="1">29927.61368961*((RANDBETWEEN(2979,3282)))</f>
        <v>90261682.887863755</v>
      </c>
      <c r="B10463">
        <v>174926129.73146182</v>
      </c>
    </row>
    <row r="10464" spans="1:2" x14ac:dyDescent="0.25">
      <c r="A10464">
        <f ca="1">31465.4931969822*((RANDBETWEEN(2979,3282)))</f>
        <v>102262852.89019215</v>
      </c>
      <c r="B10464">
        <v>174918584.78454593</v>
      </c>
    </row>
    <row r="10465" spans="1:2" x14ac:dyDescent="0.25">
      <c r="A10465">
        <f ca="1">35897.8864397704*((RANDBETWEEN(2979,3282)))</f>
        <v>108268025.50234744</v>
      </c>
      <c r="B10465">
        <v>178969015.88792229</v>
      </c>
    </row>
    <row r="10466" spans="1:2" x14ac:dyDescent="0.25">
      <c r="A10466">
        <f ca="1">38057.8720817553*((RANDBETWEEN(2979,3282)))</f>
        <v>120262875.77834667</v>
      </c>
      <c r="B10466">
        <v>179631081.03440335</v>
      </c>
    </row>
    <row r="10467" spans="1:2" x14ac:dyDescent="0.25">
      <c r="A10467">
        <f ca="1">31552.9635806785*((RANDBETWEEN(2979,3282)))</f>
        <v>97183127.828489766</v>
      </c>
      <c r="B10467">
        <v>169220304.43335995</v>
      </c>
    </row>
    <row r="10468" spans="1:2" x14ac:dyDescent="0.25">
      <c r="A10468">
        <f ca="1">29315.1895811425*((RANDBETWEEN(2979,3282)))</f>
        <v>87945568.743427441</v>
      </c>
      <c r="B10468">
        <v>168548640.23920995</v>
      </c>
    </row>
    <row r="10469" spans="1:2" x14ac:dyDescent="0.25">
      <c r="A10469">
        <f ca="1">37506.1824675523*((RANDBETWEEN(2979,3282)))</f>
        <v>120544870.45071293</v>
      </c>
      <c r="B10469">
        <v>154963885.65448225</v>
      </c>
    </row>
    <row r="10470" spans="1:2" x14ac:dyDescent="0.25">
      <c r="A10470">
        <f ca="1">29689.482250665*((RANDBETWEEN(2979,3282)))</f>
        <v>88801241.411739111</v>
      </c>
      <c r="B10470">
        <v>186444586.62119582</v>
      </c>
    </row>
    <row r="10471" spans="1:2" x14ac:dyDescent="0.25">
      <c r="A10471">
        <f ca="1">33463.860735939*((RANDBETWEEN(2979,3282)))</f>
        <v>109627607.77093619</v>
      </c>
      <c r="B10471">
        <v>161852568.29123643</v>
      </c>
    </row>
    <row r="10472" spans="1:2" x14ac:dyDescent="0.25">
      <c r="A10472">
        <f ca="1">38597.2734552939*((RANDBETWEEN(2979,3282)))</f>
        <v>118956796.78921567</v>
      </c>
      <c r="B10472">
        <v>185948069.7321257</v>
      </c>
    </row>
    <row r="10473" spans="1:2" x14ac:dyDescent="0.25">
      <c r="A10473">
        <f ca="1">33618.4000762602*((RANDBETWEEN(2979,3282)))</f>
        <v>109528747.44845571</v>
      </c>
      <c r="B10473">
        <v>179006741.84700644</v>
      </c>
    </row>
    <row r="10474" spans="1:2" x14ac:dyDescent="0.25">
      <c r="A10474">
        <f ca="1">34673.8432482296*((RANDBETWEEN(2979,3282)))</f>
        <v>113140750.51897305</v>
      </c>
      <c r="B10474">
        <v>174996737.53066811</v>
      </c>
    </row>
    <row r="10475" spans="1:2" x14ac:dyDescent="0.25">
      <c r="A10475">
        <f ca="1">37267.2532903919*((RANDBETWEEN(2979,3282)))</f>
        <v>121416711.22009687</v>
      </c>
      <c r="B10475">
        <v>148181867.42421317</v>
      </c>
    </row>
    <row r="10476" spans="1:2" x14ac:dyDescent="0.25">
      <c r="A10476">
        <f ca="1">29551.350903793*((RANDBETWEEN(2979,3282)))</f>
        <v>92998101.294236466</v>
      </c>
      <c r="B10476">
        <v>187177750.10311952</v>
      </c>
    </row>
    <row r="10477" spans="1:2" x14ac:dyDescent="0.25">
      <c r="A10477">
        <f ca="1">34972.3987973001*((RANDBETWEEN(2979,3282)))</f>
        <v>109323718.64036018</v>
      </c>
      <c r="B10477">
        <v>177937652.12277263</v>
      </c>
    </row>
    <row r="10478" spans="1:2" x14ac:dyDescent="0.25">
      <c r="A10478">
        <f ca="1">30786.5105677636*((RANDBETWEEN(2979,3282)))</f>
        <v>92113239.618748665</v>
      </c>
      <c r="B10478">
        <v>164975163.98486915</v>
      </c>
    </row>
    <row r="10479" spans="1:2" x14ac:dyDescent="0.25">
      <c r="A10479">
        <f ca="1">36092.291688208*((RANDBETWEEN(2979,3282)))</f>
        <v>116794655.90304101</v>
      </c>
      <c r="B10479">
        <v>155688736.35877353</v>
      </c>
    </row>
    <row r="10480" spans="1:2" x14ac:dyDescent="0.25">
      <c r="A10480">
        <f ca="1">36957.3881960533*((RANDBETWEEN(2979,3282)))</f>
        <v>111315653.24651244</v>
      </c>
      <c r="B10480">
        <v>171688762.4456012</v>
      </c>
    </row>
    <row r="10481" spans="1:2" x14ac:dyDescent="0.25">
      <c r="A10481">
        <f ca="1">32874.4246281362*((RANDBETWEEN(2979,3282)))</f>
        <v>102732576.96292572</v>
      </c>
      <c r="B10481">
        <v>161813106.40782598</v>
      </c>
    </row>
    <row r="10482" spans="1:2" x14ac:dyDescent="0.25">
      <c r="A10482">
        <f ca="1">36436.8109505143*((RANDBETWEEN(2979,3282)))</f>
        <v>114812391.30507052</v>
      </c>
      <c r="B10482">
        <v>203504105.04559812</v>
      </c>
    </row>
    <row r="10483" spans="1:2" x14ac:dyDescent="0.25">
      <c r="A10483">
        <f ca="1">33082.2469739743*((RANDBETWEEN(2979,3282)))</f>
        <v>108344358.83976573</v>
      </c>
      <c r="B10483">
        <v>147635158.6756275</v>
      </c>
    </row>
    <row r="10484" spans="1:2" x14ac:dyDescent="0.25">
      <c r="A10484">
        <f ca="1">32536.3495456307*((RANDBETWEEN(2979,3282)))</f>
        <v>101448337.88327663</v>
      </c>
      <c r="B10484">
        <v>155377642.20590708</v>
      </c>
    </row>
    <row r="10485" spans="1:2" x14ac:dyDescent="0.25">
      <c r="A10485">
        <f ca="1">38514.9110069864*((RANDBETWEEN(2979,3282)))</f>
        <v>120166522.34179743</v>
      </c>
      <c r="B10485">
        <v>170522449.0109401</v>
      </c>
    </row>
    <row r="10486" spans="1:2" x14ac:dyDescent="0.25">
      <c r="A10486">
        <f ca="1">31369.9943554451*((RANDBETWEEN(2979,3282)))</f>
        <v>96933282.558325395</v>
      </c>
      <c r="B10486">
        <v>157629444.49188533</v>
      </c>
    </row>
    <row r="10487" spans="1:2" x14ac:dyDescent="0.25">
      <c r="A10487">
        <f ca="1">37118.2303415729*((RANDBETWEEN(2979,3282)))</f>
        <v>119632056.3908893</v>
      </c>
      <c r="B10487">
        <v>199137915.81416219</v>
      </c>
    </row>
    <row r="10488" spans="1:2" x14ac:dyDescent="0.25">
      <c r="A10488">
        <f ca="1">31261.986473159*((RANDBETWEEN(2979,3282)))</f>
        <v>99350593.011699304</v>
      </c>
      <c r="B10488">
        <v>187032666.00565398</v>
      </c>
    </row>
    <row r="10489" spans="1:2" x14ac:dyDescent="0.25">
      <c r="A10489">
        <f ca="1">38609.0868712293*((RANDBETWEEN(2979,3282)))</f>
        <v>115093687.96313448</v>
      </c>
      <c r="B10489">
        <v>159517252.65147218</v>
      </c>
    </row>
    <row r="10490" spans="1:2" x14ac:dyDescent="0.25">
      <c r="A10490">
        <f ca="1">29864.725403688*((RANDBETWEEN(2979,3282)))</f>
        <v>97597922.619252473</v>
      </c>
      <c r="B10490">
        <v>167544208.71481144</v>
      </c>
    </row>
    <row r="10491" spans="1:2" x14ac:dyDescent="0.25">
      <c r="A10491">
        <f ca="1">31217.8846380447*((RANDBETWEEN(2979,3282)))</f>
        <v>97587107.378527611</v>
      </c>
      <c r="B10491">
        <v>144343988.00685295</v>
      </c>
    </row>
    <row r="10492" spans="1:2" x14ac:dyDescent="0.25">
      <c r="A10492">
        <f ca="1">37795.5713022315*((RANDBETWEEN(2979,3282)))</f>
        <v>121134806.02365211</v>
      </c>
      <c r="B10492">
        <v>165043538.16148517</v>
      </c>
    </row>
    <row r="10493" spans="1:2" x14ac:dyDescent="0.25">
      <c r="A10493">
        <f ca="1">41125.8964269303*((RANDBETWEEN(2979,3282)))</f>
        <v>134934066.17675829</v>
      </c>
      <c r="B10493">
        <v>188898589.66358453</v>
      </c>
    </row>
    <row r="10494" spans="1:2" x14ac:dyDescent="0.25">
      <c r="A10494">
        <f ca="1">32225.0634051424*((RANDBETWEEN(2979,3282)))</f>
        <v>101702300.10662936</v>
      </c>
      <c r="B10494">
        <v>172405839.11116806</v>
      </c>
    </row>
    <row r="10495" spans="1:2" x14ac:dyDescent="0.25">
      <c r="A10495">
        <f ca="1">31616.5936435517*((RANDBETWEEN(2979,3282)))</f>
        <v>94944630.711585611</v>
      </c>
      <c r="B10495">
        <v>157249754.47430876</v>
      </c>
    </row>
    <row r="10496" spans="1:2" x14ac:dyDescent="0.25">
      <c r="A10496">
        <f ca="1">39933.6502536095*((RANDBETWEEN(2979,3282)))</f>
        <v>130583036.32930295</v>
      </c>
      <c r="B10496">
        <v>145039556.01052791</v>
      </c>
    </row>
    <row r="10497" spans="1:2" x14ac:dyDescent="0.25">
      <c r="A10497">
        <f ca="1">32096.5439321878*((RANDBETWEEN(2979,3282)))</f>
        <v>99980734.348764867</v>
      </c>
      <c r="B10497">
        <v>198747353.47749463</v>
      </c>
    </row>
    <row r="10498" spans="1:2" x14ac:dyDescent="0.25">
      <c r="A10498">
        <f ca="1">32341.2618209271*((RANDBETWEEN(2979,3282)))</f>
        <v>97088467.986423194</v>
      </c>
      <c r="B10498">
        <v>177966645.5883781</v>
      </c>
    </row>
    <row r="10499" spans="1:2" x14ac:dyDescent="0.25">
      <c r="A10499">
        <f ca="1">39823.0373011622*((RANDBETWEEN(2979,3282)))</f>
        <v>129743455.52718645</v>
      </c>
      <c r="B10499">
        <v>192264454.99833071</v>
      </c>
    </row>
    <row r="10500" spans="1:2" x14ac:dyDescent="0.25">
      <c r="A10500">
        <f ca="1">31979.2122064638*((RANDBETWEEN(2979,3282)))</f>
        <v>101885770.08979367</v>
      </c>
      <c r="B10500">
        <v>164780721.3878811</v>
      </c>
    </row>
    <row r="10501" spans="1:2" x14ac:dyDescent="0.25">
      <c r="A10501">
        <f ca="1">32165.6934925238*((RANDBETWEEN(2979,3282)))</f>
        <v>105310480.49452303</v>
      </c>
      <c r="B10501">
        <v>187660777.49177492</v>
      </c>
    </row>
    <row r="10502" spans="1:2" x14ac:dyDescent="0.25">
      <c r="A10502">
        <f ca="1">28712.5970886771*((RANDBETWEEN(2979,3282)))</f>
        <v>87515995.926287785</v>
      </c>
      <c r="B10502">
        <v>181529968.11273861</v>
      </c>
    </row>
    <row r="10503" spans="1:2" x14ac:dyDescent="0.25">
      <c r="A10503">
        <f ca="1">39510.9141182148*((RANDBETWEEN(2979,3282)))</f>
        <v>118848829.66759026</v>
      </c>
      <c r="B10503">
        <v>163862357.66191861</v>
      </c>
    </row>
    <row r="10504" spans="1:2" x14ac:dyDescent="0.25">
      <c r="A10504">
        <f ca="1">37883.8726379478*((RANDBETWEEN(2979,3282)))</f>
        <v>122251257.0026574</v>
      </c>
      <c r="B10504">
        <v>163578721.3467024</v>
      </c>
    </row>
    <row r="10505" spans="1:2" x14ac:dyDescent="0.25">
      <c r="A10505">
        <f ca="1">31043.1081056867*((RANDBETWEEN(2979,3282)))</f>
        <v>97320143.911327869</v>
      </c>
      <c r="B10505">
        <v>147318881.83908689</v>
      </c>
    </row>
    <row r="10506" spans="1:2" x14ac:dyDescent="0.25">
      <c r="A10506">
        <f ca="1">33348.4415392296*((RANDBETWEEN(2979,3282)))</f>
        <v>102679851.49928793</v>
      </c>
      <c r="B10506">
        <v>143098003.58058447</v>
      </c>
    </row>
    <row r="10507" spans="1:2" x14ac:dyDescent="0.25">
      <c r="A10507">
        <f ca="1">37236.9993017144*((RANDBETWEEN(2979,3282)))</f>
        <v>117855102.7899261</v>
      </c>
      <c r="B10507">
        <v>167395148.7740154</v>
      </c>
    </row>
    <row r="10508" spans="1:2" x14ac:dyDescent="0.25">
      <c r="A10508">
        <f ca="1">29900.0413324461*((RANDBETWEEN(2979,3282)))</f>
        <v>92301427.593261018</v>
      </c>
      <c r="B10508">
        <v>155365711.30892012</v>
      </c>
    </row>
    <row r="10509" spans="1:2" x14ac:dyDescent="0.25">
      <c r="A10509">
        <f ca="1">32916.9799397292*((RANDBETWEEN(2979,3282)))</f>
        <v>105038082.98767598</v>
      </c>
      <c r="B10509">
        <v>146140280.26523048</v>
      </c>
    </row>
    <row r="10510" spans="1:2" x14ac:dyDescent="0.25">
      <c r="A10510">
        <f ca="1">30087.0551158509*((RANDBETWEEN(2979,3282)))</f>
        <v>90140817.127089202</v>
      </c>
      <c r="B10510">
        <v>188496925.1179404</v>
      </c>
    </row>
    <row r="10511" spans="1:2" x14ac:dyDescent="0.25">
      <c r="A10511">
        <f ca="1">36130.5422627551*((RANDBETWEEN(2979,3282)))</f>
        <v>113377641.62052563</v>
      </c>
      <c r="B10511">
        <v>160744285.95045671</v>
      </c>
    </row>
    <row r="10512" spans="1:2" x14ac:dyDescent="0.25">
      <c r="A10512">
        <f ca="1">28811.9319332747*((RANDBETWEEN(2979,3282)))</f>
        <v>91621943.547813639</v>
      </c>
      <c r="B10512">
        <v>192635622.49960637</v>
      </c>
    </row>
    <row r="10513" spans="1:2" x14ac:dyDescent="0.25">
      <c r="A10513">
        <f ca="1">31986.605323125*((RANDBETWEEN(2979,3282)))</f>
        <v>95416043.678882003</v>
      </c>
      <c r="B10513">
        <v>160626829.64584604</v>
      </c>
    </row>
    <row r="10514" spans="1:2" x14ac:dyDescent="0.25">
      <c r="A10514">
        <f ca="1">39578.7106271994*((RANDBETWEEN(2979,3282)))</f>
        <v>119804757.06853256</v>
      </c>
      <c r="B10514">
        <v>162887338.24255386</v>
      </c>
    </row>
    <row r="10515" spans="1:2" x14ac:dyDescent="0.25">
      <c r="A10515">
        <f ca="1">31743.0032960974*((RANDBETWEEN(2979,3282)))</f>
        <v>96276528.997063264</v>
      </c>
      <c r="B10515">
        <v>162380466.07060021</v>
      </c>
    </row>
    <row r="10516" spans="1:2" x14ac:dyDescent="0.25">
      <c r="A10516">
        <f ca="1">31230.2707992878*((RANDBETWEEN(2979,3282)))</f>
        <v>101935603.8888755</v>
      </c>
      <c r="B10516">
        <v>202024037.73811913</v>
      </c>
    </row>
    <row r="10517" spans="1:2" x14ac:dyDescent="0.25">
      <c r="A10517">
        <f ca="1">40299.6733963083*((RANDBETWEEN(2979,3282)))</f>
        <v>131618733.31234279</v>
      </c>
      <c r="B10517">
        <v>185319941.21613365</v>
      </c>
    </row>
    <row r="10518" spans="1:2" x14ac:dyDescent="0.25">
      <c r="A10518">
        <f ca="1">32073.1760088734*((RANDBETWEEN(2979,3282)))</f>
        <v>100549406.78781821</v>
      </c>
      <c r="B10518">
        <v>149810942.49279368</v>
      </c>
    </row>
    <row r="10519" spans="1:2" x14ac:dyDescent="0.25">
      <c r="A10519">
        <f ca="1">36765.3229473225*((RANDBETWEEN(2979,3282)))</f>
        <v>110001846.25838892</v>
      </c>
      <c r="B10519">
        <v>193320080.77421999</v>
      </c>
    </row>
    <row r="10520" spans="1:2" x14ac:dyDescent="0.25">
      <c r="A10520">
        <f ca="1">31833.0547323984*((RANDBETWEEN(2979,3282)))</f>
        <v>98714302.725167409</v>
      </c>
      <c r="B10520">
        <v>156051583.86707032</v>
      </c>
    </row>
    <row r="10521" spans="1:2" x14ac:dyDescent="0.25">
      <c r="A10521">
        <f ca="1">40210.334288382*((RANDBETWEEN(2979,3282)))</f>
        <v>123566357.26819791</v>
      </c>
      <c r="B10521">
        <v>161003673.23352784</v>
      </c>
    </row>
    <row r="10522" spans="1:2" x14ac:dyDescent="0.25">
      <c r="A10522">
        <f ca="1">33066.997380603*((RANDBETWEEN(2979,3282)))</f>
        <v>106541865.56030287</v>
      </c>
      <c r="B10522">
        <v>171469528.17992175</v>
      </c>
    </row>
    <row r="10523" spans="1:2" x14ac:dyDescent="0.25">
      <c r="A10523">
        <f ca="1">38066.6210147087*((RANDBETWEEN(2979,3282)))</f>
        <v>117968458.52458225</v>
      </c>
      <c r="B10523">
        <v>148741412.62539977</v>
      </c>
    </row>
    <row r="10524" spans="1:2" x14ac:dyDescent="0.25">
      <c r="A10524">
        <f ca="1">30426.1529003396*((RANDBETWEEN(2979,3282)))</f>
        <v>92647635.581533939</v>
      </c>
      <c r="B10524">
        <v>179963805.42246956</v>
      </c>
    </row>
    <row r="10525" spans="1:2" x14ac:dyDescent="0.25">
      <c r="A10525">
        <f ca="1">31924.1234466121*((RANDBETWEEN(2979,3282)))</f>
        <v>102061422.65881874</v>
      </c>
      <c r="B10525">
        <v>181575933.34432948</v>
      </c>
    </row>
    <row r="10526" spans="1:2" x14ac:dyDescent="0.25">
      <c r="A10526">
        <f ca="1">33336.3462954427*((RANDBETWEEN(2979,3282)))</f>
        <v>109243206.81016557</v>
      </c>
      <c r="B10526">
        <v>145480114.31461298</v>
      </c>
    </row>
    <row r="10527" spans="1:2" x14ac:dyDescent="0.25">
      <c r="A10527">
        <f ca="1">35517.2211622234*((RANDBETWEEN(2979,3282)))</f>
        <v>107368559.57340162</v>
      </c>
      <c r="B10527">
        <v>178985323.45590544</v>
      </c>
    </row>
    <row r="10528" spans="1:2" x14ac:dyDescent="0.25">
      <c r="A10528">
        <f ca="1">31702.3168982225*((RANDBETWEEN(2979,3282)))</f>
        <v>97262708.243746519</v>
      </c>
      <c r="B10528">
        <v>144713152.37927979</v>
      </c>
    </row>
    <row r="10529" spans="1:2" x14ac:dyDescent="0.25">
      <c r="A10529">
        <f ca="1">30122.3764959084*((RANDBETWEEN(2979,3282)))</f>
        <v>93349244.760820076</v>
      </c>
      <c r="B10529">
        <v>145249073.56811249</v>
      </c>
    </row>
    <row r="10530" spans="1:2" x14ac:dyDescent="0.25">
      <c r="A10530">
        <f ca="1">32233.4241266724*((RANDBETWEEN(2979,3282)))</f>
        <v>102373355.02631143</v>
      </c>
      <c r="B10530">
        <v>166650516.94794425</v>
      </c>
    </row>
    <row r="10531" spans="1:2" x14ac:dyDescent="0.25">
      <c r="A10531">
        <f ca="1">30333.0727378665*((RANDBETWEEN(2979,3282)))</f>
        <v>91636212.741094813</v>
      </c>
      <c r="B10531">
        <v>152220824.91349798</v>
      </c>
    </row>
    <row r="10532" spans="1:2" x14ac:dyDescent="0.25">
      <c r="A10532">
        <f ca="1">30318.699616168*((RANDBETWEEN(2979,3282)))</f>
        <v>92077890.734302267</v>
      </c>
      <c r="B10532">
        <v>157936477.98886812</v>
      </c>
    </row>
    <row r="10533" spans="1:2" x14ac:dyDescent="0.25">
      <c r="A10533">
        <f ca="1">30291.9134919693*((RANDBETWEEN(2979,3282)))</f>
        <v>92996174.420345888</v>
      </c>
      <c r="B10533">
        <v>154319834.99249244</v>
      </c>
    </row>
    <row r="10534" spans="1:2" x14ac:dyDescent="0.25">
      <c r="A10534">
        <f ca="1">32773.7606136563*((RANDBETWEEN(2979,3282)))</f>
        <v>99861648.589810789</v>
      </c>
      <c r="B10534">
        <v>174724549.51522559</v>
      </c>
    </row>
    <row r="10535" spans="1:2" x14ac:dyDescent="0.25">
      <c r="A10535">
        <f ca="1">33126.7127678243*((RANDBETWEEN(2979,3282)))</f>
        <v>106634888.39962631</v>
      </c>
      <c r="B10535">
        <v>181134714.96016842</v>
      </c>
    </row>
    <row r="10536" spans="1:2" x14ac:dyDescent="0.25">
      <c r="A10536">
        <f ca="1">38537.4400973513*((RANDBETWEEN(2979,3282)))</f>
        <v>121585623.50714345</v>
      </c>
      <c r="B10536">
        <v>185724693.75890657</v>
      </c>
    </row>
    <row r="10537" spans="1:2" x14ac:dyDescent="0.25">
      <c r="A10537">
        <f ca="1">29847.7218641675*((RANDBETWEEN(2979,3282)))</f>
        <v>97602050.49582766</v>
      </c>
      <c r="B10537">
        <v>167054019.8747521</v>
      </c>
    </row>
    <row r="10538" spans="1:2" x14ac:dyDescent="0.25">
      <c r="A10538">
        <f ca="1">27345.7114471997*((RANDBETWEEN(2979,3282)))</f>
        <v>82447320.013307109</v>
      </c>
      <c r="B10538">
        <v>172650761.99352756</v>
      </c>
    </row>
    <row r="10539" spans="1:2" x14ac:dyDescent="0.25">
      <c r="A10539">
        <f ca="1">30371.0389775747*((RANDBETWEEN(2979,3282)))</f>
        <v>98614763.56018503</v>
      </c>
      <c r="B10539">
        <v>169602617.50621578</v>
      </c>
    </row>
    <row r="10540" spans="1:2" x14ac:dyDescent="0.25">
      <c r="A10540">
        <f ca="1">39476.9458273797*((RANDBETWEEN(2979,3282)))</f>
        <v>125734072.46020448</v>
      </c>
      <c r="B10540">
        <v>172968255.78008869</v>
      </c>
    </row>
    <row r="10541" spans="1:2" x14ac:dyDescent="0.25">
      <c r="A10541">
        <f ca="1">32805.5568016257*((RANDBETWEEN(2979,3282)))</f>
        <v>99827309.34734714</v>
      </c>
      <c r="B10541">
        <v>148276688.13156006</v>
      </c>
    </row>
    <row r="10542" spans="1:2" x14ac:dyDescent="0.25">
      <c r="A10542">
        <f ca="1">30841.9599721076*((RANDBETWEEN(2979,3282)))</f>
        <v>99033533.470437557</v>
      </c>
      <c r="B10542">
        <v>164757733.41924188</v>
      </c>
    </row>
    <row r="10543" spans="1:2" x14ac:dyDescent="0.25">
      <c r="A10543">
        <f ca="1">33077.0170940252*((RANDBETWEEN(2979,3282)))</f>
        <v>108360308.0000267</v>
      </c>
      <c r="B10543">
        <v>158397608.84300637</v>
      </c>
    </row>
    <row r="10544" spans="1:2" x14ac:dyDescent="0.25">
      <c r="A10544">
        <f ca="1">40278.6196399523*((RANDBETWEEN(2979,3282)))</f>
        <v>120151122.38597785</v>
      </c>
      <c r="B10544">
        <v>200923026.75660253</v>
      </c>
    </row>
    <row r="10545" spans="1:2" x14ac:dyDescent="0.25">
      <c r="A10545">
        <f ca="1">35360.8405994773*((RANDBETWEEN(2979,3282)))</f>
        <v>112518194.78753662</v>
      </c>
      <c r="B10545">
        <v>168407452.69861436</v>
      </c>
    </row>
    <row r="10546" spans="1:2" x14ac:dyDescent="0.25">
      <c r="A10546">
        <f ca="1">40258.3114245342*((RANDBETWEEN(2979,3282)))</f>
        <v>123915082.56471613</v>
      </c>
      <c r="B10546">
        <v>183073577.51003006</v>
      </c>
    </row>
    <row r="10547" spans="1:2" x14ac:dyDescent="0.25">
      <c r="A10547">
        <f ca="1">32992.1442686884*((RANDBETWEEN(2979,3282)))</f>
        <v>107158484.5847</v>
      </c>
      <c r="B10547">
        <v>197973471.21221161</v>
      </c>
    </row>
    <row r="10548" spans="1:2" x14ac:dyDescent="0.25">
      <c r="A10548">
        <f ca="1">32353.6077270609*((RANDBETWEEN(2979,3282)))</f>
        <v>101816803.51706074</v>
      </c>
      <c r="B10548">
        <v>195650305.10682744</v>
      </c>
    </row>
    <row r="10549" spans="1:2" x14ac:dyDescent="0.25">
      <c r="A10549">
        <f ca="1">31637.2198788769*((RANDBETWEEN(2979,3282)))</f>
        <v>97853921.085366398</v>
      </c>
      <c r="B10549">
        <v>199640434.08374622</v>
      </c>
    </row>
    <row r="10550" spans="1:2" x14ac:dyDescent="0.25">
      <c r="A10550">
        <f ca="1">28847.2606558905*((RANDBETWEEN(2979,3282)))</f>
        <v>91936219.710323051</v>
      </c>
      <c r="B10550">
        <v>150778220.1827586</v>
      </c>
    </row>
    <row r="10551" spans="1:2" x14ac:dyDescent="0.25">
      <c r="A10551">
        <f ca="1">29633.0562699776*((RANDBETWEEN(2979,3282)))</f>
        <v>91832841.380660579</v>
      </c>
      <c r="B10551">
        <v>197962726.97427353</v>
      </c>
    </row>
    <row r="10552" spans="1:2" x14ac:dyDescent="0.25">
      <c r="A10552">
        <f ca="1">42875.8321161177*((RANDBETWEEN(2979,3282)))</f>
        <v>136216518.63290578</v>
      </c>
      <c r="B10552">
        <v>194529200.23141161</v>
      </c>
    </row>
    <row r="10553" spans="1:2" x14ac:dyDescent="0.25">
      <c r="A10553">
        <f ca="1">35665.5212051701*((RANDBETWEEN(2979,3282)))</f>
        <v>108565846.54853784</v>
      </c>
      <c r="B10553">
        <v>184929147.05730239</v>
      </c>
    </row>
    <row r="10554" spans="1:2" x14ac:dyDescent="0.25">
      <c r="A10554">
        <f ca="1">32043.3849200735*((RANDBETWEEN(2979,3282)))</f>
        <v>98116844.625265032</v>
      </c>
      <c r="B10554">
        <v>173113742.82040781</v>
      </c>
    </row>
    <row r="10555" spans="1:2" x14ac:dyDescent="0.25">
      <c r="A10555">
        <f ca="1">30956.1460351291*((RANDBETWEEN(2979,3282)))</f>
        <v>100607474.61416945</v>
      </c>
      <c r="B10555">
        <v>152941228.06245327</v>
      </c>
    </row>
    <row r="10556" spans="1:2" x14ac:dyDescent="0.25">
      <c r="A10556">
        <f ca="1">30130.8910882328*((RANDBETWEEN(2979,3282)))</f>
        <v>93556416.828962833</v>
      </c>
      <c r="B10556">
        <v>194003939.43445021</v>
      </c>
    </row>
    <row r="10557" spans="1:2" x14ac:dyDescent="0.25">
      <c r="A10557">
        <f ca="1">31315.6240482867*((RANDBETWEEN(2979,3282)))</f>
        <v>98926056.36853753</v>
      </c>
      <c r="B10557">
        <v>172039935.79562783</v>
      </c>
    </row>
    <row r="10558" spans="1:2" x14ac:dyDescent="0.25">
      <c r="A10558">
        <f ca="1">33073.7325568903*((RANDBETWEEN(2979,3282)))</f>
        <v>103090824.37982698</v>
      </c>
      <c r="B10558">
        <v>147816227.15043753</v>
      </c>
    </row>
    <row r="10559" spans="1:2" x14ac:dyDescent="0.25">
      <c r="A10559">
        <f ca="1">30982.7083247425*((RANDBETWEEN(2979,3282)))</f>
        <v>101313456.22190797</v>
      </c>
      <c r="B10559">
        <v>176476075.74225563</v>
      </c>
    </row>
    <row r="10560" spans="1:2" x14ac:dyDescent="0.25">
      <c r="A10560">
        <f ca="1">29042.1213225263*((RANDBETWEEN(2979,3282)))</f>
        <v>93138083.081341803</v>
      </c>
      <c r="B10560">
        <v>145444427.50168622</v>
      </c>
    </row>
    <row r="10561" spans="1:2" x14ac:dyDescent="0.25">
      <c r="A10561">
        <f ca="1">32545.1882261108*((RANDBETWEEN(2979,3282)))</f>
        <v>105218593.53501633</v>
      </c>
      <c r="B10561">
        <v>164973633.13511214</v>
      </c>
    </row>
    <row r="10562" spans="1:2" x14ac:dyDescent="0.25">
      <c r="A10562">
        <f ca="1">30965.332826411*((RANDBETWEEN(2979,3282)))</f>
        <v>94351369.12207447</v>
      </c>
      <c r="B10562">
        <v>151525619.56802943</v>
      </c>
    </row>
    <row r="10563" spans="1:2" x14ac:dyDescent="0.25">
      <c r="A10563">
        <f ca="1">29475.7476253497*((RANDBETWEEN(2979,3282)))</f>
        <v>88574621.614175707</v>
      </c>
      <c r="B10563">
        <v>197194610.75350285</v>
      </c>
    </row>
    <row r="10564" spans="1:2" x14ac:dyDescent="0.25">
      <c r="A10564">
        <f ca="1">38878.8683381604*((RANDBETWEEN(2979,3282)))</f>
        <v>124684530.7604803</v>
      </c>
      <c r="B10564">
        <v>156570300.77293614</v>
      </c>
    </row>
    <row r="10565" spans="1:2" x14ac:dyDescent="0.25">
      <c r="A10565">
        <f ca="1">29796.9901443072*((RANDBETWEEN(2979,3282)))</f>
        <v>90106098.196384922</v>
      </c>
      <c r="B10565">
        <v>152756453.76523209</v>
      </c>
    </row>
    <row r="10566" spans="1:2" x14ac:dyDescent="0.25">
      <c r="A10566">
        <f ca="1">34009.2739360858*((RANDBETWEEN(2979,3282)))</f>
        <v>103320174.21782869</v>
      </c>
      <c r="B10566">
        <v>187369917.26660341</v>
      </c>
    </row>
    <row r="10567" spans="1:2" x14ac:dyDescent="0.25">
      <c r="A10567">
        <f ca="1">39317.4101502703*((RANDBETWEEN(2979,3282)))</f>
        <v>123849841.9733513</v>
      </c>
      <c r="B10567">
        <v>174627353.81402937</v>
      </c>
    </row>
    <row r="10568" spans="1:2" x14ac:dyDescent="0.25">
      <c r="A10568">
        <f ca="1">38191.9917522758*((RANDBETWEEN(2979,3282)))</f>
        <v>115798118.99290022</v>
      </c>
      <c r="B10568">
        <v>151451708.22953841</v>
      </c>
    </row>
    <row r="10569" spans="1:2" x14ac:dyDescent="0.25">
      <c r="A10569">
        <f ca="1">37029.5147820363*((RANDBETWEEN(2979,3282)))</f>
        <v>120419982.07118221</v>
      </c>
      <c r="B10569">
        <v>147581677.62180468</v>
      </c>
    </row>
    <row r="10570" spans="1:2" x14ac:dyDescent="0.25">
      <c r="A10570">
        <f ca="1">39739.3918778012*((RANDBETWEEN(2979,3282)))</f>
        <v>120728272.52475993</v>
      </c>
      <c r="B10570">
        <v>177373434.54103482</v>
      </c>
    </row>
    <row r="10571" spans="1:2" x14ac:dyDescent="0.25">
      <c r="A10571">
        <f ca="1">28550.3824025745*((RANDBETWEEN(2979,3282)))</f>
        <v>91989332.101095155</v>
      </c>
      <c r="B10571">
        <v>158941224.48793271</v>
      </c>
    </row>
    <row r="10572" spans="1:2" x14ac:dyDescent="0.25">
      <c r="A10572">
        <f ca="1">28892.3657255733*((RANDBETWEEN(2979,3282)))</f>
        <v>93871296.242387652</v>
      </c>
      <c r="B10572">
        <v>200132961.33013183</v>
      </c>
    </row>
    <row r="10573" spans="1:2" x14ac:dyDescent="0.25">
      <c r="A10573">
        <f ca="1">31727.431016801*((RANDBETWEEN(2979,3282)))</f>
        <v>101876780.99494796</v>
      </c>
      <c r="B10573">
        <v>162584239.59761056</v>
      </c>
    </row>
    <row r="10574" spans="1:2" x14ac:dyDescent="0.25">
      <c r="A10574">
        <f ca="1">33488.8919504777*((RANDBETWEEN(2979,3282)))</f>
        <v>101672275.96165042</v>
      </c>
      <c r="B10574">
        <v>155754546.37961432</v>
      </c>
    </row>
    <row r="10575" spans="1:2" x14ac:dyDescent="0.25">
      <c r="A10575">
        <f ca="1">36534.7092265078*((RANDBETWEEN(2979,3282)))</f>
        <v>110846307.79322472</v>
      </c>
      <c r="B10575">
        <v>178756564.1185413</v>
      </c>
    </row>
    <row r="10576" spans="1:2" x14ac:dyDescent="0.25">
      <c r="A10576">
        <f ca="1">36686.4696564373*((RANDBETWEEN(2979,3282)))</f>
        <v>119524518.14067274</v>
      </c>
      <c r="B10576">
        <v>199774693.3728846</v>
      </c>
    </row>
    <row r="10577" spans="1:2" x14ac:dyDescent="0.25">
      <c r="A10577">
        <f ca="1">37662.6682057386*((RANDBETWEEN(2979,3282)))</f>
        <v>123608877.05123401</v>
      </c>
      <c r="B10577">
        <v>151281414.06708869</v>
      </c>
    </row>
    <row r="10578" spans="1:2" x14ac:dyDescent="0.25">
      <c r="A10578">
        <f ca="1">38537.3354236057*((RANDBETWEEN(2979,3282)))</f>
        <v>123088249.34299664</v>
      </c>
      <c r="B10578">
        <v>151144196.87275428</v>
      </c>
    </row>
    <row r="10579" spans="1:2" x14ac:dyDescent="0.25">
      <c r="A10579">
        <f ca="1">33393.4403869378*((RANDBETWEEN(2979,3282)))</f>
        <v>101482665.33590405</v>
      </c>
      <c r="B10579">
        <v>148375061.31196761</v>
      </c>
    </row>
    <row r="10580" spans="1:2" x14ac:dyDescent="0.25">
      <c r="A10580">
        <f ca="1">29128.6868625652*((RANDBETWEEN(2979,3282)))</f>
        <v>94930390.485100105</v>
      </c>
      <c r="B10580">
        <v>171513552.7792432</v>
      </c>
    </row>
    <row r="10581" spans="1:2" x14ac:dyDescent="0.25">
      <c r="A10581">
        <f ca="1">30202.1253729466*((RANDBETWEEN(2979,3282)))</f>
        <v>94260833.288966268</v>
      </c>
      <c r="B10581">
        <v>154363756.37681913</v>
      </c>
    </row>
    <row r="10582" spans="1:2" x14ac:dyDescent="0.25">
      <c r="A10582">
        <f ca="1">34840.1369051625*((RANDBETWEEN(2979,3282)))</f>
        <v>106575978.79289208</v>
      </c>
      <c r="B10582">
        <v>185298326.96908844</v>
      </c>
    </row>
    <row r="10583" spans="1:2" x14ac:dyDescent="0.25">
      <c r="A10583">
        <f ca="1">39618.3773484343*((RANDBETWEEN(2979,3282)))</f>
        <v>122024602.23317762</v>
      </c>
      <c r="B10583">
        <v>170766697.433456</v>
      </c>
    </row>
    <row r="10584" spans="1:2" x14ac:dyDescent="0.25">
      <c r="A10584">
        <f ca="1">36643.7100586883*((RANDBETWEEN(2979,3282)))</f>
        <v>118139321.22921114</v>
      </c>
      <c r="B10584">
        <v>159620303.07759354</v>
      </c>
    </row>
    <row r="10585" spans="1:2" x14ac:dyDescent="0.25">
      <c r="A10585">
        <f ca="1">36991.6233121705*((RANDBETWEEN(2979,3282)))</f>
        <v>111270802.92300893</v>
      </c>
      <c r="B10585">
        <v>181704791.06320485</v>
      </c>
    </row>
    <row r="10586" spans="1:2" x14ac:dyDescent="0.25">
      <c r="A10586">
        <f ca="1">28955.8131578213*((RANDBETWEEN(2979,3282)))</f>
        <v>91442457.952399805</v>
      </c>
      <c r="B10586">
        <v>173216888.79154909</v>
      </c>
    </row>
    <row r="10587" spans="1:2" x14ac:dyDescent="0.25">
      <c r="A10587">
        <f ca="1">27933.1637431616*((RANDBETWEEN(2979,3282)))</f>
        <v>83939157.048200697</v>
      </c>
      <c r="B10587">
        <v>148092332.68498307</v>
      </c>
    </row>
    <row r="10588" spans="1:2" x14ac:dyDescent="0.25">
      <c r="A10588">
        <f ca="1">32722.0774719991*((RANDBETWEEN(2979,3282)))</f>
        <v>105103312.84006126</v>
      </c>
      <c r="B10588">
        <v>186579793.45069298</v>
      </c>
    </row>
    <row r="10589" spans="1:2" x14ac:dyDescent="0.25">
      <c r="A10589">
        <f ca="1">31323.1381047701*((RANDBETWEEN(2979,3282)))</f>
        <v>102489307.87880786</v>
      </c>
      <c r="B10589">
        <v>195856304.60953629</v>
      </c>
    </row>
    <row r="10590" spans="1:2" x14ac:dyDescent="0.25">
      <c r="A10590">
        <f ca="1">30710.0114949869*((RANDBETWEEN(2979,3282)))</f>
        <v>93696245.071204945</v>
      </c>
      <c r="B10590">
        <v>157038825.19311398</v>
      </c>
    </row>
    <row r="10591" spans="1:2" x14ac:dyDescent="0.25">
      <c r="A10591">
        <f ca="1">35311.7206270605*((RANDBETWEEN(2979,3282)))</f>
        <v>112326583.3146795</v>
      </c>
      <c r="B10591">
        <v>192232307.98882556</v>
      </c>
    </row>
    <row r="10592" spans="1:2" x14ac:dyDescent="0.25">
      <c r="A10592">
        <f ca="1">29876.6074890078*((RANDBETWEEN(2979,3282)))</f>
        <v>92617483.215924248</v>
      </c>
      <c r="B10592">
        <v>152343550.67015466</v>
      </c>
    </row>
    <row r="10593" spans="1:2" x14ac:dyDescent="0.25">
      <c r="A10593">
        <f ca="1">33640.1078113789*((RANDBETWEEN(2979,3282)))</f>
        <v>106941902.73237346</v>
      </c>
      <c r="B10593">
        <v>159632031.96387184</v>
      </c>
    </row>
    <row r="10594" spans="1:2" x14ac:dyDescent="0.25">
      <c r="A10594">
        <f ca="1">33204.6250003144*((RANDBETWEEN(2979,3282)))</f>
        <v>102303449.6259688</v>
      </c>
      <c r="B10594">
        <v>159666658.60316554</v>
      </c>
    </row>
    <row r="10595" spans="1:2" x14ac:dyDescent="0.25">
      <c r="A10595">
        <f ca="1">29955.612880136*((RANDBETWEEN(2979,3282)))</f>
        <v>89267726.382805154</v>
      </c>
      <c r="B10595">
        <v>144414309.98645914</v>
      </c>
    </row>
    <row r="10596" spans="1:2" x14ac:dyDescent="0.25">
      <c r="A10596">
        <f ca="1">39032.7175140964*((RANDBETWEEN(2979,3282)))</f>
        <v>117722676.02251473</v>
      </c>
      <c r="B10596">
        <v>172586632.02056399</v>
      </c>
    </row>
    <row r="10597" spans="1:2" x14ac:dyDescent="0.25">
      <c r="A10597">
        <f ca="1">33998.9515733675*((RANDBETWEEN(2979,3282)))</f>
        <v>102268846.33268939</v>
      </c>
      <c r="B10597">
        <v>189888878.66218019</v>
      </c>
    </row>
    <row r="10598" spans="1:2" x14ac:dyDescent="0.25">
      <c r="A10598">
        <f ca="1">32264.9106018551*((RANDBETWEEN(2979,3282)))</f>
        <v>101021435.09440824</v>
      </c>
      <c r="B10598">
        <v>200502625.16757563</v>
      </c>
    </row>
    <row r="10599" spans="1:2" x14ac:dyDescent="0.25">
      <c r="A10599">
        <f ca="1">39256.950837345*((RANDBETWEEN(2979,3282)))</f>
        <v>119262616.64385439</v>
      </c>
      <c r="B10599">
        <v>148959575.02548847</v>
      </c>
    </row>
    <row r="10600" spans="1:2" x14ac:dyDescent="0.25">
      <c r="A10600">
        <f ca="1">33038.8207111241*((RANDBETWEEN(2979,3282)))</f>
        <v>99215578.595505714</v>
      </c>
      <c r="B10600">
        <v>143934016.62517831</v>
      </c>
    </row>
    <row r="10601" spans="1:2" x14ac:dyDescent="0.25">
      <c r="A10601">
        <f ca="1">32035.5971352725*((RANDBETWEEN(2979,3282)))</f>
        <v>102802231.20708941</v>
      </c>
      <c r="B10601">
        <v>202115274.40512371</v>
      </c>
    </row>
    <row r="10602" spans="1:2" x14ac:dyDescent="0.25">
      <c r="A10602">
        <f ca="1">36468.0572833921*((RANDBETWEEN(2979,3282)))</f>
        <v>114837912.38540176</v>
      </c>
      <c r="B10602">
        <v>174945198.44138467</v>
      </c>
    </row>
    <row r="10603" spans="1:2" x14ac:dyDescent="0.25">
      <c r="A10603">
        <f ca="1">29742.1177087064*((RANDBETWEEN(2979,3282)))</f>
        <v>94579934.313686445</v>
      </c>
      <c r="B10603">
        <v>143262121.54696682</v>
      </c>
    </row>
    <row r="10604" spans="1:2" x14ac:dyDescent="0.25">
      <c r="A10604">
        <f ca="1">32267.2207988014*((RANDBETWEEN(2979,3282)))</f>
        <v>97479274.033178955</v>
      </c>
      <c r="B10604">
        <v>162114734.44914317</v>
      </c>
    </row>
    <row r="10605" spans="1:2" x14ac:dyDescent="0.25">
      <c r="A10605">
        <f ca="1">38501.704239483*((RANDBETWEEN(2979,3282)))</f>
        <v>115620617.83116734</v>
      </c>
      <c r="B10605">
        <v>144580348.78825837</v>
      </c>
    </row>
    <row r="10606" spans="1:2" x14ac:dyDescent="0.25">
      <c r="A10606">
        <f ca="1">29665.6304094994*((RANDBETWEEN(2979,3282)))</f>
        <v>91518469.813305736</v>
      </c>
      <c r="B10606">
        <v>187457374.44354945</v>
      </c>
    </row>
    <row r="10607" spans="1:2" x14ac:dyDescent="0.25">
      <c r="A10607">
        <f ca="1">31198.7886756121*((RANDBETWEEN(2979,3282)))</f>
        <v>96934636.41512695</v>
      </c>
      <c r="B10607">
        <v>176126338.27570286</v>
      </c>
    </row>
    <row r="10608" spans="1:2" x14ac:dyDescent="0.25">
      <c r="A10608">
        <f ca="1">38820.9271997833*((RANDBETWEEN(2979,3282)))</f>
        <v>116618065.30814901</v>
      </c>
      <c r="B10608">
        <v>143995724.56152189</v>
      </c>
    </row>
    <row r="10609" spans="1:2" x14ac:dyDescent="0.25">
      <c r="A10609">
        <f ca="1">38920.4364440188*((RANDBETWEEN(2979,3282)))</f>
        <v>116411025.40406032</v>
      </c>
      <c r="B10609">
        <v>154182133.6915006</v>
      </c>
    </row>
    <row r="10610" spans="1:2" x14ac:dyDescent="0.25">
      <c r="A10610">
        <f ca="1">29321.4114682206*((RANDBETWEEN(2979,3282)))</f>
        <v>90075376.030373558</v>
      </c>
      <c r="B10610">
        <v>154029165.8786687</v>
      </c>
    </row>
    <row r="10611" spans="1:2" x14ac:dyDescent="0.25">
      <c r="A10611">
        <f ca="1">32831.7698313701*((RANDBETWEEN(2979,3282)))</f>
        <v>101417337.00910209</v>
      </c>
      <c r="B10611">
        <v>164234025.76277655</v>
      </c>
    </row>
    <row r="10612" spans="1:2" x14ac:dyDescent="0.25">
      <c r="A10612">
        <f ca="1">30502.1336919207*((RANDBETWEEN(2979,3282)))</f>
        <v>96173227.530625924</v>
      </c>
      <c r="B10612">
        <v>163713328.44585156</v>
      </c>
    </row>
    <row r="10613" spans="1:2" x14ac:dyDescent="0.25">
      <c r="A10613">
        <f ca="1">31249.7021909048*((RANDBETWEEN(2979,3282)))</f>
        <v>97592819.94219555</v>
      </c>
      <c r="B10613">
        <v>194155983.57552788</v>
      </c>
    </row>
    <row r="10614" spans="1:2" x14ac:dyDescent="0.25">
      <c r="A10614">
        <f ca="1">39000.7424372162*((RANDBETWEEN(2979,3282)))</f>
        <v>121409311.20705418</v>
      </c>
      <c r="B10614">
        <v>174969169.86777097</v>
      </c>
    </row>
    <row r="10615" spans="1:2" x14ac:dyDescent="0.25">
      <c r="A10615">
        <f ca="1">29462.70394942*((RANDBETWEEN(2979,3282)))</f>
        <v>90214799.493124098</v>
      </c>
      <c r="B10615">
        <v>149812196.02656925</v>
      </c>
    </row>
    <row r="10616" spans="1:2" x14ac:dyDescent="0.25">
      <c r="A10616">
        <f ca="1">31654.7989927406*((RANDBETWEEN(2979,3282)))</f>
        <v>96863684.917786345</v>
      </c>
      <c r="B10616">
        <v>164392590.32695705</v>
      </c>
    </row>
    <row r="10617" spans="1:2" x14ac:dyDescent="0.25">
      <c r="A10617">
        <f ca="1">38848.6455093914*((RANDBETWEEN(2979,3282)))</f>
        <v>117284060.79285257</v>
      </c>
      <c r="B10617">
        <v>178498796.92631418</v>
      </c>
    </row>
    <row r="10618" spans="1:2" x14ac:dyDescent="0.25">
      <c r="A10618">
        <f ca="1">32787.5809914354*((RANDBETWEEN(2979,3282)))</f>
        <v>105084197.07755052</v>
      </c>
      <c r="B10618">
        <v>179705766.5425508</v>
      </c>
    </row>
    <row r="10619" spans="1:2" x14ac:dyDescent="0.25">
      <c r="A10619">
        <f ca="1">29626.1477703954*((RANDBETWEEN(2979,3282)))</f>
        <v>94418532.944250032</v>
      </c>
      <c r="B10619">
        <v>184220530.00057983</v>
      </c>
    </row>
    <row r="10620" spans="1:2" x14ac:dyDescent="0.25">
      <c r="A10620">
        <f ca="1">39383.4402037595*((RANDBETWEEN(2979,3282)))</f>
        <v>124648588.24489875</v>
      </c>
      <c r="B10620">
        <v>166716342.30508816</v>
      </c>
    </row>
    <row r="10621" spans="1:2" x14ac:dyDescent="0.25">
      <c r="A10621">
        <f ca="1">32994.2300178692*((RANDBETWEEN(2979,3282)))</f>
        <v>100566413.09446537</v>
      </c>
      <c r="B10621">
        <v>166745441.34379539</v>
      </c>
    </row>
    <row r="10622" spans="1:2" x14ac:dyDescent="0.25">
      <c r="A10622">
        <f ca="1">38135.6933882449*((RANDBETWEEN(2979,3282)))</f>
        <v>124741853.07294919</v>
      </c>
      <c r="B10622">
        <v>162332608.00026155</v>
      </c>
    </row>
    <row r="10623" spans="1:2" x14ac:dyDescent="0.25">
      <c r="A10623">
        <f ca="1">32977.1856338686*((RANDBETWEEN(2979,3282)))</f>
        <v>106219514.92669064</v>
      </c>
      <c r="B10623">
        <v>145960533.81487322</v>
      </c>
    </row>
    <row r="10624" spans="1:2" x14ac:dyDescent="0.25">
      <c r="A10624">
        <f ca="1">32160.0917211693*((RANDBETWEEN(2979,3282)))</f>
        <v>100275165.98660578</v>
      </c>
      <c r="B10624">
        <v>197325506.61443996</v>
      </c>
    </row>
    <row r="10625" spans="1:2" x14ac:dyDescent="0.25">
      <c r="A10625">
        <f ca="1">31185.057317332*((RANDBETWEEN(2979,3282)))</f>
        <v>96642492.626411721</v>
      </c>
      <c r="B10625">
        <v>179811583.07036874</v>
      </c>
    </row>
    <row r="10626" spans="1:2" x14ac:dyDescent="0.25">
      <c r="A10626">
        <f ca="1">32354.2513047337*((RANDBETWEEN(2979,3282)))</f>
        <v>101624703.34816863</v>
      </c>
      <c r="B10626">
        <v>196354807.79334563</v>
      </c>
    </row>
    <row r="10627" spans="1:2" x14ac:dyDescent="0.25">
      <c r="A10627">
        <f ca="1">33578.4193453196*((RANDBETWEEN(2979,3282)))</f>
        <v>105973491.45382877</v>
      </c>
      <c r="B10627">
        <v>179593609.3532832</v>
      </c>
    </row>
    <row r="10628" spans="1:2" x14ac:dyDescent="0.25">
      <c r="A10628">
        <f ca="1">38159.3231388679*((RANDBETWEEN(2979,3282)))</f>
        <v>119629478.04035085</v>
      </c>
      <c r="B10628">
        <v>162445143.64385229</v>
      </c>
    </row>
    <row r="10629" spans="1:2" x14ac:dyDescent="0.25">
      <c r="A10629">
        <f ca="1">37589.5673586213*((RANDBETWEEN(2979,3282)))</f>
        <v>120173846.8455126</v>
      </c>
      <c r="B10629">
        <v>162406547.76994234</v>
      </c>
    </row>
    <row r="10630" spans="1:2" x14ac:dyDescent="0.25">
      <c r="A10630">
        <f ca="1">30889.1918796349*((RANDBETWEEN(2979,3282)))</f>
        <v>97393621.99648875</v>
      </c>
      <c r="B10630">
        <v>155960088.32931194</v>
      </c>
    </row>
    <row r="10631" spans="1:2" x14ac:dyDescent="0.25">
      <c r="A10631">
        <f ca="1">30590.4952468808*((RANDBETWEEN(2979,3282)))</f>
        <v>98287261.228228003</v>
      </c>
      <c r="B10631">
        <v>151812107.34069008</v>
      </c>
    </row>
    <row r="10632" spans="1:2" x14ac:dyDescent="0.25">
      <c r="A10632">
        <f ca="1">29498.4397709188*((RANDBETWEEN(2979,3282)))</f>
        <v>89675256.903593004</v>
      </c>
      <c r="B10632">
        <v>177071180.87678802</v>
      </c>
    </row>
    <row r="10633" spans="1:2" x14ac:dyDescent="0.25">
      <c r="A10633">
        <f ca="1">34305.7396040504*((RANDBETWEEN(2979,3282)))</f>
        <v>106244875.55374423</v>
      </c>
      <c r="B10633">
        <v>145688235.52108511</v>
      </c>
    </row>
    <row r="10634" spans="1:2" x14ac:dyDescent="0.25">
      <c r="A10634">
        <f ca="1">27286.7693376298*((RANDBETWEEN(2979,3282)))</f>
        <v>87317661.880415276</v>
      </c>
      <c r="B10634">
        <v>167523004.83698323</v>
      </c>
    </row>
    <row r="10635" spans="1:2" x14ac:dyDescent="0.25">
      <c r="A10635">
        <f ca="1">34622.7847659171*((RANDBETWEEN(2979,3282)))</f>
        <v>112558673.27399652</v>
      </c>
      <c r="B10635">
        <v>164357248.62619856</v>
      </c>
    </row>
    <row r="10636" spans="1:2" x14ac:dyDescent="0.25">
      <c r="A10636">
        <f ca="1">40190.5737229469*((RANDBETWEEN(2979,3282)))</f>
        <v>126519926.07983696</v>
      </c>
      <c r="B10636">
        <v>151032767.52349854</v>
      </c>
    </row>
    <row r="10637" spans="1:2" x14ac:dyDescent="0.25">
      <c r="A10637">
        <f ca="1">34274.353771515*((RANDBETWEEN(2979,3282)))</f>
        <v>110774711.38953651</v>
      </c>
      <c r="B10637">
        <v>194549344.30484524</v>
      </c>
    </row>
    <row r="10638" spans="1:2" x14ac:dyDescent="0.25">
      <c r="A10638">
        <f ca="1">32027.07137244*((RANDBETWEEN(2979,3282)))</f>
        <v>99604191.968288451</v>
      </c>
      <c r="B10638">
        <v>165302448.84122524</v>
      </c>
    </row>
    <row r="10639" spans="1:2" x14ac:dyDescent="0.25">
      <c r="A10639">
        <f ca="1">30412.884192086*((RANDBETWEEN(2979,3282)))</f>
        <v>99450131.308121249</v>
      </c>
      <c r="B10639">
        <v>183272459.93691036</v>
      </c>
    </row>
    <row r="10640" spans="1:2" x14ac:dyDescent="0.25">
      <c r="A10640">
        <f ca="1">32093.4026203987*((RANDBETWEEN(2979,3282)))</f>
        <v>104431932.12677741</v>
      </c>
      <c r="B10640">
        <v>156492641.47393593</v>
      </c>
    </row>
    <row r="10641" spans="1:2" x14ac:dyDescent="0.25">
      <c r="A10641">
        <f ca="1">39999.6965316505*((RANDBETWEEN(2979,3282)))</f>
        <v>121159080.79436925</v>
      </c>
      <c r="B10641">
        <v>174751562.36352336</v>
      </c>
    </row>
    <row r="10642" spans="1:2" x14ac:dyDescent="0.25">
      <c r="A10642">
        <f ca="1">36339.5621099359*((RANDBETWEEN(2979,3282)))</f>
        <v>108437253.33604868</v>
      </c>
      <c r="B10642">
        <v>173941107.76650825</v>
      </c>
    </row>
    <row r="10643" spans="1:2" x14ac:dyDescent="0.25">
      <c r="A10643">
        <f ca="1">29686.0818232305*((RANDBETWEEN(2979,3282)))</f>
        <v>96064160.77997382</v>
      </c>
      <c r="B10643">
        <v>164717532.91093141</v>
      </c>
    </row>
    <row r="10644" spans="1:2" x14ac:dyDescent="0.25">
      <c r="A10644">
        <f ca="1">36528.7759563596*((RANDBETWEEN(2979,3282)))</f>
        <v>109549799.09312235</v>
      </c>
      <c r="B10644">
        <v>144512906.51409936</v>
      </c>
    </row>
    <row r="10645" spans="1:2" x14ac:dyDescent="0.25">
      <c r="A10645">
        <f ca="1">33116.8584323346*((RANDBETWEEN(2979,3282)))</f>
        <v>107861607.91411394</v>
      </c>
      <c r="B10645">
        <v>159051624.38896155</v>
      </c>
    </row>
    <row r="10646" spans="1:2" x14ac:dyDescent="0.25">
      <c r="A10646">
        <f ca="1">35351.5797857515*((RANDBETWEEN(2979,3282)))</f>
        <v>106266848.83596891</v>
      </c>
      <c r="B10646">
        <v>167945494.43726248</v>
      </c>
    </row>
    <row r="10647" spans="1:2" x14ac:dyDescent="0.25">
      <c r="A10647">
        <f ca="1">36793.8116698961*((RANDBETWEEN(2979,3282)))</f>
        <v>118328898.330386</v>
      </c>
      <c r="B10647">
        <v>176318403.67559683</v>
      </c>
    </row>
    <row r="10648" spans="1:2" x14ac:dyDescent="0.25">
      <c r="A10648">
        <f ca="1">29935.7633005264*((RANDBETWEEN(2979,3282)))</f>
        <v>95255598.822275028</v>
      </c>
      <c r="B10648">
        <v>145257489.41586244</v>
      </c>
    </row>
    <row r="10649" spans="1:2" x14ac:dyDescent="0.25">
      <c r="A10649">
        <f ca="1">36595.0085612408*((RANDBETWEEN(2979,3282)))</f>
        <v>112346676.28300931</v>
      </c>
      <c r="B10649">
        <v>145895903.78749612</v>
      </c>
    </row>
    <row r="10650" spans="1:2" x14ac:dyDescent="0.25">
      <c r="A10650">
        <f ca="1">39456.5037274375*((RANDBETWEEN(2979,3282)))</f>
        <v>125590051.36443354</v>
      </c>
      <c r="B10650">
        <v>181986283.34464595</v>
      </c>
    </row>
    <row r="10651" spans="1:2" x14ac:dyDescent="0.25">
      <c r="A10651">
        <f ca="1">38060.2024007321*((RANDBETWEEN(2979,3282)))</f>
        <v>117644085.62066279</v>
      </c>
      <c r="B10651">
        <v>143090610.90224403</v>
      </c>
    </row>
    <row r="10652" spans="1:2" x14ac:dyDescent="0.25">
      <c r="A10652">
        <f ca="1">35208.9316101993*((RANDBETWEEN(2979,3282)))</f>
        <v>109570195.17094012</v>
      </c>
      <c r="B10652">
        <v>161325590.02597129</v>
      </c>
    </row>
    <row r="10653" spans="1:2" x14ac:dyDescent="0.25">
      <c r="A10653">
        <f ca="1">31772.5301282421*((RANDBETWEEN(2979,3282)))</f>
        <v>103387813.03729978</v>
      </c>
      <c r="B10653">
        <v>179844856.57991415</v>
      </c>
    </row>
    <row r="10654" spans="1:2" x14ac:dyDescent="0.25">
      <c r="A10654">
        <f ca="1">38887.8349778523*((RANDBETWEEN(2979,3282)))</f>
        <v>122963334.19996901</v>
      </c>
      <c r="B10654">
        <v>169497804.78109241</v>
      </c>
    </row>
    <row r="10655" spans="1:2" x14ac:dyDescent="0.25">
      <c r="A10655">
        <f ca="1">31975.8207223308*((RANDBETWEEN(2979,3282)))</f>
        <v>104401054.65840991</v>
      </c>
      <c r="B10655">
        <v>146091859.16711795</v>
      </c>
    </row>
    <row r="10656" spans="1:2" x14ac:dyDescent="0.25">
      <c r="A10656">
        <f ca="1">43014.0346925977*((RANDBETWEEN(2979,3282)))</f>
        <v>131063763.70834513</v>
      </c>
      <c r="B10656">
        <v>200663758.65894341</v>
      </c>
    </row>
    <row r="10657" spans="1:2" x14ac:dyDescent="0.25">
      <c r="A10657">
        <f ca="1">30153.476553589*((RANDBETWEEN(2979,3282)))</f>
        <v>98149566.181932285</v>
      </c>
      <c r="B10657">
        <v>151182555.05019361</v>
      </c>
    </row>
    <row r="10658" spans="1:2" x14ac:dyDescent="0.25">
      <c r="A10658">
        <f ca="1">30513.8712474411*((RANDBETWEEN(2979,3282)))</f>
        <v>95660986.360727936</v>
      </c>
      <c r="B10658">
        <v>190071928.05371022</v>
      </c>
    </row>
    <row r="10659" spans="1:2" x14ac:dyDescent="0.25">
      <c r="A10659">
        <f ca="1">30243.0217305219*((RANDBETWEEN(2979,3282)))</f>
        <v>98259577.602465704</v>
      </c>
      <c r="B10659">
        <v>172568742.64502952</v>
      </c>
    </row>
    <row r="10660" spans="1:2" x14ac:dyDescent="0.25">
      <c r="A10660">
        <f ca="1">32359.9684410789*((RANDBETWEEN(2979,3282)))</f>
        <v>103325379.23236488</v>
      </c>
      <c r="B10660">
        <v>177709063.14654213</v>
      </c>
    </row>
    <row r="10661" spans="1:2" x14ac:dyDescent="0.25">
      <c r="A10661">
        <f ca="1">32455.0288327931*((RANDBETWEEN(2979,3282)))</f>
        <v>97202811.35421519</v>
      </c>
      <c r="B10661">
        <v>155006724.65139109</v>
      </c>
    </row>
    <row r="10662" spans="1:2" x14ac:dyDescent="0.25">
      <c r="A10662">
        <f ca="1">37084.5682044046*((RANDBETWEEN(2979,3282)))</f>
        <v>118411026.27666377</v>
      </c>
      <c r="B10662">
        <v>166381652.28783143</v>
      </c>
    </row>
    <row r="10663" spans="1:2" x14ac:dyDescent="0.25">
      <c r="A10663">
        <f ca="1">32192.7143537897*((RANDBETWEEN(2979,3282)))</f>
        <v>103789311.07661796</v>
      </c>
      <c r="B10663">
        <v>155763793.64776999</v>
      </c>
    </row>
    <row r="10664" spans="1:2" x14ac:dyDescent="0.25">
      <c r="A10664">
        <f ca="1">28085.9002687497*((RANDBETWEEN(2979,3282)))</f>
        <v>88498671.74683027</v>
      </c>
      <c r="B10664">
        <v>149545439.01897895</v>
      </c>
    </row>
    <row r="10665" spans="1:2" x14ac:dyDescent="0.25">
      <c r="A10665">
        <f ca="1">31374.6316378573*((RANDBETWEEN(2979,3282)))</f>
        <v>98484968.711233929</v>
      </c>
      <c r="B10665">
        <v>174963358.92645544</v>
      </c>
    </row>
    <row r="10666" spans="1:2" x14ac:dyDescent="0.25">
      <c r="A10666">
        <f ca="1">29403.7626816831*((RANDBETWEEN(2979,3282)))</f>
        <v>95944477.630331948</v>
      </c>
      <c r="B10666">
        <v>191117043.24865285</v>
      </c>
    </row>
    <row r="10667" spans="1:2" x14ac:dyDescent="0.25">
      <c r="A10667">
        <f ca="1">30490.9037367659*((RANDBETWEEN(2979,3282)))</f>
        <v>93363147.241977081</v>
      </c>
      <c r="B10667">
        <v>146897992.61773503</v>
      </c>
    </row>
    <row r="10668" spans="1:2" x14ac:dyDescent="0.25">
      <c r="A10668">
        <f ca="1">30289.6849622034*((RANDBETWEEN(2979,3282)))</f>
        <v>94715844.876809999</v>
      </c>
      <c r="B10668">
        <v>156378080.3763001</v>
      </c>
    </row>
    <row r="10669" spans="1:2" x14ac:dyDescent="0.25">
      <c r="A10669">
        <f ca="1">30322.3299768523*((RANDBETWEEN(2979,3282)))</f>
        <v>98426283.104862615</v>
      </c>
      <c r="B10669">
        <v>156652840.55207258</v>
      </c>
    </row>
    <row r="10670" spans="1:2" x14ac:dyDescent="0.25">
      <c r="A10670">
        <f ca="1">36683.2408246084*((RANDBETWEEN(2979,3282)))</f>
        <v>113718046.55628599</v>
      </c>
      <c r="B10670">
        <v>169705848.62059766</v>
      </c>
    </row>
    <row r="10671" spans="1:2" x14ac:dyDescent="0.25">
      <c r="A10671">
        <f ca="1">31881.9551757725*((RANDBETWEEN(2979,3282)))</f>
        <v>97112435.465402931</v>
      </c>
      <c r="B10671">
        <v>146650263.61469918</v>
      </c>
    </row>
    <row r="10672" spans="1:2" x14ac:dyDescent="0.25">
      <c r="A10672">
        <f ca="1">30189.2013877756*((RANDBETWEEN(2979,3282)))</f>
        <v>96696012.045045286</v>
      </c>
      <c r="B10672">
        <v>160513858.2587212</v>
      </c>
    </row>
    <row r="10673" spans="1:2" x14ac:dyDescent="0.25">
      <c r="A10673">
        <f ca="1">31050.5055761767*((RANDBETWEEN(2979,3282)))</f>
        <v>98585355.204361096</v>
      </c>
      <c r="B10673">
        <v>164206986.43890506</v>
      </c>
    </row>
    <row r="10674" spans="1:2" x14ac:dyDescent="0.25">
      <c r="A10674">
        <f ca="1">30929.1325182331*((RANDBETWEEN(2979,3282)))</f>
        <v>92972972.349808663</v>
      </c>
      <c r="B10674">
        <v>195640939.41275513</v>
      </c>
    </row>
    <row r="10675" spans="1:2" x14ac:dyDescent="0.25">
      <c r="A10675">
        <f ca="1">37617.4799494745*((RANDBETWEEN(2979,3282)))</f>
        <v>122256809.83579199</v>
      </c>
      <c r="B10675">
        <v>178512322.21842536</v>
      </c>
    </row>
    <row r="10676" spans="1:2" x14ac:dyDescent="0.25">
      <c r="A10676">
        <f ca="1">33271.534244405*((RANDBETWEEN(2979,3282)))</f>
        <v>104805332.86987559</v>
      </c>
      <c r="B10676">
        <v>164264273.49385166</v>
      </c>
    </row>
    <row r="10677" spans="1:2" x14ac:dyDescent="0.25">
      <c r="A10677">
        <f ca="1">30366.8693830871*((RANDBETWEEN(2979,3282)))</f>
        <v>96050407.858704433</v>
      </c>
      <c r="B10677">
        <v>145680287.77626377</v>
      </c>
    </row>
    <row r="10678" spans="1:2" x14ac:dyDescent="0.25">
      <c r="A10678">
        <f ca="1">37110.9489312717*((RANDBETWEEN(2979,3282)))</f>
        <v>117159265.77602486</v>
      </c>
      <c r="B10678">
        <v>185550084.20578349</v>
      </c>
    </row>
    <row r="10679" spans="1:2" x14ac:dyDescent="0.25">
      <c r="A10679">
        <f ca="1">28390.436413063*((RANDBETWEEN(2979,3282)))</f>
        <v>92808336.63430278</v>
      </c>
      <c r="B10679">
        <v>160473251.7432301</v>
      </c>
    </row>
    <row r="10680" spans="1:2" x14ac:dyDescent="0.25">
      <c r="A10680">
        <f ca="1">37506.6305508168*((RANDBETWEEN(2979,3282)))</f>
        <v>115782968.51037133</v>
      </c>
      <c r="B10680">
        <v>177147002.04413587</v>
      </c>
    </row>
    <row r="10681" spans="1:2" x14ac:dyDescent="0.25">
      <c r="A10681">
        <f ca="1">29741.814217708*((RANDBETWEEN(2979,3282)))</f>
        <v>96363478.065373883</v>
      </c>
      <c r="B10681">
        <v>142935339.00730264</v>
      </c>
    </row>
    <row r="10682" spans="1:2" x14ac:dyDescent="0.25">
      <c r="A10682">
        <f ca="1">36632.4855299419*((RANDBETWEEN(2979,3282)))</f>
        <v>113414175.20069999</v>
      </c>
      <c r="B10682">
        <v>173253729.90073222</v>
      </c>
    </row>
    <row r="10683" spans="1:2" x14ac:dyDescent="0.25">
      <c r="A10683">
        <f ca="1">32648.1399206406*((RANDBETWEEN(2979,3282)))</f>
        <v>106824713.82033594</v>
      </c>
      <c r="B10683">
        <v>165786018.19182912</v>
      </c>
    </row>
    <row r="10684" spans="1:2" x14ac:dyDescent="0.25">
      <c r="A10684">
        <f ca="1">31871.471758786*((RANDBETWEEN(2979,3282)))</f>
        <v>102562396.11977349</v>
      </c>
      <c r="B10684">
        <v>145537882.06730881</v>
      </c>
    </row>
    <row r="10685" spans="1:2" x14ac:dyDescent="0.25">
      <c r="A10685">
        <f ca="1">30199.6867407446*((RANDBETWEEN(2979,3282)))</f>
        <v>92018445.49904868</v>
      </c>
      <c r="B10685">
        <v>150146885.68108898</v>
      </c>
    </row>
    <row r="10686" spans="1:2" x14ac:dyDescent="0.25">
      <c r="A10686">
        <f ca="1">41609.8872870827*((RANDBETWEEN(2979,3282)))</f>
        <v>129365139.57553999</v>
      </c>
      <c r="B10686">
        <v>178740956.29684684</v>
      </c>
    </row>
    <row r="10687" spans="1:2" x14ac:dyDescent="0.25">
      <c r="A10687">
        <f ca="1">32139.2030335628*((RANDBETWEEN(2979,3282)))</f>
        <v>103841765.00144143</v>
      </c>
      <c r="B10687">
        <v>162052043.0576281</v>
      </c>
    </row>
    <row r="10688" spans="1:2" x14ac:dyDescent="0.25">
      <c r="A10688">
        <f ca="1">30809.3756462014*((RANDBETWEEN(2979,3282)))</f>
        <v>100192089.601447</v>
      </c>
      <c r="B10688">
        <v>158425889.23340917</v>
      </c>
    </row>
    <row r="10689" spans="1:2" x14ac:dyDescent="0.25">
      <c r="A10689">
        <f ca="1">39478.3708756128*((RANDBETWEEN(2979,3282)))</f>
        <v>122935646.90665834</v>
      </c>
      <c r="B10689">
        <v>170021465.21516445</v>
      </c>
    </row>
    <row r="10690" spans="1:2" x14ac:dyDescent="0.25">
      <c r="A10690">
        <f ca="1">29011.4248842597*((RANDBETWEEN(2979,3282)))</f>
        <v>88484845.896992147</v>
      </c>
      <c r="B10690">
        <v>178218387.72311524</v>
      </c>
    </row>
    <row r="10691" spans="1:2" x14ac:dyDescent="0.25">
      <c r="A10691">
        <f ca="1">31833.6923674306*((RANDBETWEEN(2979,3282)))</f>
        <v>101549478.65210372</v>
      </c>
      <c r="B10691">
        <v>178664777.7965565</v>
      </c>
    </row>
    <row r="10692" spans="1:2" x14ac:dyDescent="0.25">
      <c r="A10692">
        <f ca="1">30059.6000998478*((RANDBETWEEN(2979,3282)))</f>
        <v>90689813.5012407</v>
      </c>
      <c r="B10692">
        <v>167147929.20196167</v>
      </c>
    </row>
    <row r="10693" spans="1:2" x14ac:dyDescent="0.25">
      <c r="A10693">
        <f ca="1">31588.2082430367*((RANDBETWEEN(2979,3282)))</f>
        <v>103135499.91351472</v>
      </c>
      <c r="B10693">
        <v>148266206.33150437</v>
      </c>
    </row>
    <row r="10694" spans="1:2" x14ac:dyDescent="0.25">
      <c r="A10694">
        <f ca="1">31264.8179643661*((RANDBETWEEN(2979,3282)))</f>
        <v>96889670.871570468</v>
      </c>
      <c r="B10694">
        <v>144974405.44466746</v>
      </c>
    </row>
    <row r="10695" spans="1:2" x14ac:dyDescent="0.25">
      <c r="A10695">
        <f ca="1">30737.0093021857*((RANDBETWEEN(2979,3282)))</f>
        <v>93286823.232133478</v>
      </c>
      <c r="B10695">
        <v>188810883.37283203</v>
      </c>
    </row>
    <row r="10696" spans="1:2" x14ac:dyDescent="0.25">
      <c r="A10696">
        <f ca="1">33070.1099556889*((RANDBETWEEN(2979,3282)))</f>
        <v>104369267.02015418</v>
      </c>
      <c r="B10696">
        <v>155345050.33651173</v>
      </c>
    </row>
    <row r="10697" spans="1:2" x14ac:dyDescent="0.25">
      <c r="A10697">
        <f ca="1">37653.7415524243*((RANDBETWEEN(2979,3282)))</f>
        <v>117517327.38511619</v>
      </c>
      <c r="B10697">
        <v>178239327.46316785</v>
      </c>
    </row>
    <row r="10698" spans="1:2" x14ac:dyDescent="0.25">
      <c r="A10698">
        <f ca="1">40754.5267408153*((RANDBETWEEN(2979,3282)))</f>
        <v>124056779.39904173</v>
      </c>
      <c r="B10698">
        <v>167245687.48385921</v>
      </c>
    </row>
    <row r="10699" spans="1:2" x14ac:dyDescent="0.25">
      <c r="A10699">
        <f ca="1">29979.7578198776*((RANDBETWEEN(2979,3282)))</f>
        <v>89489577.092334554</v>
      </c>
      <c r="B10699">
        <v>162380338.15718728</v>
      </c>
    </row>
    <row r="10700" spans="1:2" x14ac:dyDescent="0.25">
      <c r="A10700">
        <f ca="1">33958.4406209699*((RANDBETWEEN(2979,3282)))</f>
        <v>103641160.77520007</v>
      </c>
      <c r="B10700">
        <v>183050166.55179334</v>
      </c>
    </row>
    <row r="10701" spans="1:2" x14ac:dyDescent="0.25">
      <c r="A10701">
        <f ca="1">36272.8428115027*((RANDBETWEEN(2979,3282)))</f>
        <v>109398893.91949216</v>
      </c>
      <c r="B10701">
        <v>162848885.53365004</v>
      </c>
    </row>
    <row r="10702" spans="1:2" x14ac:dyDescent="0.25">
      <c r="A10702">
        <f ca="1">28864.4957247325*((RANDBETWEEN(2979,3282)))</f>
        <v>87257370.575866237</v>
      </c>
      <c r="B10702">
        <v>163183390.7573536</v>
      </c>
    </row>
    <row r="10703" spans="1:2" x14ac:dyDescent="0.25">
      <c r="A10703">
        <f ca="1">42441.4692322234*((RANDBETWEEN(2979,3282)))</f>
        <v>129488922.62751368</v>
      </c>
      <c r="B10703">
        <v>164693265.21135169</v>
      </c>
    </row>
    <row r="10704" spans="1:2" x14ac:dyDescent="0.25">
      <c r="A10704">
        <f ca="1">34640.6794952655*((RANDBETWEEN(2979,3282)))</f>
        <v>110365204.87191604</v>
      </c>
      <c r="B10704">
        <v>196647350.43108466</v>
      </c>
    </row>
    <row r="10705" spans="1:2" x14ac:dyDescent="0.25">
      <c r="A10705">
        <f ca="1">32206.2106640608*((RANDBETWEEN(2979,3282)))</f>
        <v>105668577.18878336</v>
      </c>
      <c r="B10705">
        <v>199243789.09807938</v>
      </c>
    </row>
    <row r="10706" spans="1:2" x14ac:dyDescent="0.25">
      <c r="A10706">
        <f ca="1">30649.5305310563*((RANDBETWEEN(2979,3282)))</f>
        <v>94461853.09671545</v>
      </c>
      <c r="B10706">
        <v>160933788.32240346</v>
      </c>
    </row>
    <row r="10707" spans="1:2" x14ac:dyDescent="0.25">
      <c r="A10707">
        <f ca="1">32942.6614067171*((RANDBETWEEN(2979,3282)))</f>
        <v>98696213.574524477</v>
      </c>
      <c r="B10707">
        <v>194474221.40184388</v>
      </c>
    </row>
    <row r="10708" spans="1:2" x14ac:dyDescent="0.25">
      <c r="A10708">
        <f ca="1">31788.6422750091*((RANDBETWEEN(2979,3282)))</f>
        <v>101373980.21500407</v>
      </c>
      <c r="B10708">
        <v>181250384.02348712</v>
      </c>
    </row>
    <row r="10709" spans="1:2" x14ac:dyDescent="0.25">
      <c r="A10709">
        <f ca="1">30120.5701750991*((RANDBETWEEN(2979,3282)))</f>
        <v>95030398.902437791</v>
      </c>
      <c r="B10709">
        <v>196110953.51432613</v>
      </c>
    </row>
    <row r="10710" spans="1:2" x14ac:dyDescent="0.25">
      <c r="A10710">
        <f ca="1">29512.7886935764*((RANDBETWEEN(2979,3282)))</f>
        <v>89364724.164149314</v>
      </c>
      <c r="B10710">
        <v>162508267.1916146</v>
      </c>
    </row>
    <row r="10711" spans="1:2" x14ac:dyDescent="0.25">
      <c r="A10711">
        <f ca="1">29725.9322952299*((RANDBETWEEN(2979,3282)))</f>
        <v>88642730.104375452</v>
      </c>
      <c r="B10711">
        <v>153444077.65651685</v>
      </c>
    </row>
    <row r="10712" spans="1:2" x14ac:dyDescent="0.25">
      <c r="A10712">
        <f ca="1">34252.6720020139*((RANDBETWEEN(2979,3282)))</f>
        <v>102209973.25400952</v>
      </c>
      <c r="B10712">
        <v>188218849.32854712</v>
      </c>
    </row>
    <row r="10713" spans="1:2" x14ac:dyDescent="0.25">
      <c r="A10713">
        <f ca="1">34268.3009309559*((RANDBETWEEN(2979,3282)))</f>
        <v>107568196.62227045</v>
      </c>
      <c r="B10713">
        <v>150304585.17813846</v>
      </c>
    </row>
    <row r="10714" spans="1:2" x14ac:dyDescent="0.25">
      <c r="A10714">
        <f ca="1">29403.7954237036*((RANDBETWEEN(2979,3282)))</f>
        <v>93386454.265682504</v>
      </c>
      <c r="B10714">
        <v>179230432.09796938</v>
      </c>
    </row>
    <row r="10715" spans="1:2" x14ac:dyDescent="0.25">
      <c r="A10715">
        <f ca="1">34104.3080208315*((RANDBETWEEN(2979,3282)))</f>
        <v>110532062.29551475</v>
      </c>
      <c r="B10715">
        <v>171395106.28001696</v>
      </c>
    </row>
    <row r="10716" spans="1:2" x14ac:dyDescent="0.25">
      <c r="A10716">
        <f ca="1">32296.3251373767*((RANDBETWEEN(2979,3282)))</f>
        <v>99860237.324768633</v>
      </c>
      <c r="B10716">
        <v>159894186.09586191</v>
      </c>
    </row>
    <row r="10717" spans="1:2" x14ac:dyDescent="0.25">
      <c r="A10717">
        <f ca="1">39807.5120540793*((RANDBETWEEN(2979,3282)))</f>
        <v>125433470.48240387</v>
      </c>
      <c r="B10717">
        <v>157911289.96841535</v>
      </c>
    </row>
    <row r="10718" spans="1:2" x14ac:dyDescent="0.25">
      <c r="A10718">
        <f ca="1">30101.6648939971*((RANDBETWEEN(2979,3282)))</f>
        <v>94158007.788422853</v>
      </c>
      <c r="B10718">
        <v>168668339.95821881</v>
      </c>
    </row>
    <row r="10719" spans="1:2" x14ac:dyDescent="0.25">
      <c r="A10719">
        <f ca="1">34317.5360402621*((RANDBETWEEN(2979,3282)))</f>
        <v>104462579.70655784</v>
      </c>
      <c r="B10719">
        <v>200138115.54532158</v>
      </c>
    </row>
    <row r="10720" spans="1:2" x14ac:dyDescent="0.25">
      <c r="A10720">
        <f ca="1">32877.1938722613*((RANDBETWEEN(2979,3282)))</f>
        <v>103497406.3098785</v>
      </c>
      <c r="B10720">
        <v>148783868.54885796</v>
      </c>
    </row>
    <row r="10721" spans="1:2" x14ac:dyDescent="0.25">
      <c r="A10721">
        <f ca="1">40483.0696528801*((RANDBETWEEN(2979,3282)))</f>
        <v>121489692.02829333</v>
      </c>
      <c r="B10721">
        <v>161561106.81919855</v>
      </c>
    </row>
    <row r="10722" spans="1:2" x14ac:dyDescent="0.25">
      <c r="A10722">
        <f ca="1">35720.7479323325*((RANDBETWEEN(2979,3282)))</f>
        <v>113520536.92895262</v>
      </c>
      <c r="B10722">
        <v>152318270.7940743</v>
      </c>
    </row>
    <row r="10723" spans="1:2" x14ac:dyDescent="0.25">
      <c r="A10723">
        <f ca="1">26627.0684958739*((RANDBETWEEN(2979,3282)))</f>
        <v>80600136.337010235</v>
      </c>
      <c r="B10723">
        <v>144717569.59323448</v>
      </c>
    </row>
    <row r="10724" spans="1:2" x14ac:dyDescent="0.25">
      <c r="A10724">
        <f ca="1">31232.6141929276*((RANDBETWEEN(2979,3282)))</f>
        <v>96633708.312918082</v>
      </c>
      <c r="B10724">
        <v>192367248.00970298</v>
      </c>
    </row>
    <row r="10725" spans="1:2" x14ac:dyDescent="0.25">
      <c r="A10725">
        <f ca="1">35546.6103659138*((RANDBETWEEN(2979,3282)))</f>
        <v>109661292.97884412</v>
      </c>
      <c r="B10725">
        <v>144860710.42151731</v>
      </c>
    </row>
    <row r="10726" spans="1:2" x14ac:dyDescent="0.25">
      <c r="A10726">
        <f ca="1">30474.9961836983*((RANDBETWEEN(2979,3282)))</f>
        <v>97245712.822181314</v>
      </c>
      <c r="B10726">
        <v>151945063.17892057</v>
      </c>
    </row>
    <row r="10727" spans="1:2" x14ac:dyDescent="0.25">
      <c r="A10727">
        <f ca="1">32591.5231267112*((RANDBETWEEN(2979,3282)))</f>
        <v>97872343.949513733</v>
      </c>
      <c r="B10727">
        <v>144079624.93577045</v>
      </c>
    </row>
    <row r="10728" spans="1:2" x14ac:dyDescent="0.25">
      <c r="A10728">
        <f ca="1">40375.9711938675*((RANDBETWEEN(2979,3282)))</f>
        <v>130535514.86977361</v>
      </c>
      <c r="B10728">
        <v>157616166.83206132</v>
      </c>
    </row>
    <row r="10729" spans="1:2" x14ac:dyDescent="0.25">
      <c r="A10729">
        <f ca="1">35776.2877010219*((RANDBETWEEN(2979,3282)))</f>
        <v>110226742.40684855</v>
      </c>
      <c r="B10729">
        <v>147021423.66328371</v>
      </c>
    </row>
    <row r="10730" spans="1:2" x14ac:dyDescent="0.25">
      <c r="A10730">
        <f ca="1">31224.1404631012*((RANDBETWEEN(2979,3282)))</f>
        <v>101259887.52183723</v>
      </c>
      <c r="B10730">
        <v>156787082.70918</v>
      </c>
    </row>
    <row r="10731" spans="1:2" x14ac:dyDescent="0.25">
      <c r="A10731">
        <f ca="1">39670.3251706738*((RANDBETWEEN(2979,3282)))</f>
        <v>119685371.03992286</v>
      </c>
      <c r="B10731">
        <v>177572232.36162668</v>
      </c>
    </row>
    <row r="10732" spans="1:2" x14ac:dyDescent="0.25">
      <c r="A10732">
        <f ca="1">34168.4629727646*((RANDBETWEEN(2979,3282)))</f>
        <v>110979167.7355395</v>
      </c>
      <c r="B10732">
        <v>150403176.63049871</v>
      </c>
    </row>
    <row r="10733" spans="1:2" x14ac:dyDescent="0.25">
      <c r="A10733">
        <f ca="1">32756.1385347921*((RANDBETWEEN(2979,3282)))</f>
        <v>104917911.72693916</v>
      </c>
      <c r="B10733">
        <v>188121309.08585244</v>
      </c>
    </row>
    <row r="10734" spans="1:2" x14ac:dyDescent="0.25">
      <c r="A10734">
        <f ca="1">31986.4706324924*((RANDBETWEEN(2979,3282)))</f>
        <v>96279276.603802085</v>
      </c>
      <c r="B10734">
        <v>166701950.76418704</v>
      </c>
    </row>
    <row r="10735" spans="1:2" x14ac:dyDescent="0.25">
      <c r="A10735">
        <f ca="1">36148.6026847283*((RANDBETWEEN(2979,3282)))</f>
        <v>117374512.91731279</v>
      </c>
      <c r="B10735">
        <v>170708702.24854928</v>
      </c>
    </row>
    <row r="10736" spans="1:2" x14ac:dyDescent="0.25">
      <c r="A10736">
        <f ca="1">38941.9160386439*((RANDBETWEEN(2979,3282)))</f>
        <v>122667035.52172828</v>
      </c>
      <c r="B10736">
        <v>190587428.47910774</v>
      </c>
    </row>
    <row r="10737" spans="1:2" x14ac:dyDescent="0.25">
      <c r="A10737">
        <f ca="1">31507.8386577847*((RANDBETWEEN(2979,3282)))</f>
        <v>94492008.134696215</v>
      </c>
      <c r="B10737">
        <v>166303551.9381865</v>
      </c>
    </row>
    <row r="10738" spans="1:2" x14ac:dyDescent="0.25">
      <c r="A10738">
        <f ca="1">30606.0054134316*((RANDBETWEEN(2979,3282)))</f>
        <v>93868618.60299474</v>
      </c>
      <c r="B10738">
        <v>172468668.57434124</v>
      </c>
    </row>
    <row r="10739" spans="1:2" x14ac:dyDescent="0.25">
      <c r="A10739">
        <f ca="1">30769.0049997174*((RANDBETWEEN(2979,3282)))</f>
        <v>93599313.209140196</v>
      </c>
      <c r="B10739">
        <v>172291149.38446218</v>
      </c>
    </row>
    <row r="10740" spans="1:2" x14ac:dyDescent="0.25">
      <c r="A10740">
        <f ca="1">30275.4968813721*((RANDBETWEEN(2979,3282)))</f>
        <v>94610927.75428772</v>
      </c>
      <c r="B10740">
        <v>152718805.90700638</v>
      </c>
    </row>
    <row r="10741" spans="1:2" x14ac:dyDescent="0.25">
      <c r="A10741">
        <f ca="1">34410.607395334*((RANDBETWEEN(2979,3282)))</f>
        <v>109322499.69497611</v>
      </c>
      <c r="B10741">
        <v>165748191.4912405</v>
      </c>
    </row>
    <row r="10742" spans="1:2" x14ac:dyDescent="0.25">
      <c r="A10742">
        <f ca="1">38329.9744553176*((RANDBETWEEN(2979,3282)))</f>
        <v>123499177.69503342</v>
      </c>
      <c r="B10742">
        <v>166417534.91762608</v>
      </c>
    </row>
    <row r="10743" spans="1:2" x14ac:dyDescent="0.25">
      <c r="A10743">
        <f ca="1">31608.3742705797*((RANDBETWEEN(2979,3282)))</f>
        <v>98997428.215455458</v>
      </c>
      <c r="B10743">
        <v>144294576.90624934</v>
      </c>
    </row>
    <row r="10744" spans="1:2" x14ac:dyDescent="0.25">
      <c r="A10744">
        <f ca="1">31006.8625832332*((RANDBETWEEN(2979,3282)))</f>
        <v>100617269.08259173</v>
      </c>
      <c r="B10744">
        <v>161565884.92344326</v>
      </c>
    </row>
    <row r="10745" spans="1:2" x14ac:dyDescent="0.25">
      <c r="A10745">
        <f ca="1">34515.5783250933*((RANDBETWEEN(2979,3282)))</f>
        <v>108482462.67576824</v>
      </c>
      <c r="B10745">
        <v>180193080.6972661</v>
      </c>
    </row>
    <row r="10746" spans="1:2" x14ac:dyDescent="0.25">
      <c r="A10746">
        <f ca="1">33918.6653604772*((RANDBETWEEN(2979,3282)))</f>
        <v>107318657.20054981</v>
      </c>
      <c r="B10746">
        <v>203097761.83620104</v>
      </c>
    </row>
    <row r="10747" spans="1:2" x14ac:dyDescent="0.25">
      <c r="A10747">
        <f ca="1">33264.3673024691*((RANDBETWEEN(2979,3282)))</f>
        <v>102254665.08778991</v>
      </c>
      <c r="B10747">
        <v>171701145.11125979</v>
      </c>
    </row>
    <row r="10748" spans="1:2" x14ac:dyDescent="0.25">
      <c r="A10748">
        <f ca="1">31687.6468613297*((RANDBETWEEN(2979,3282)))</f>
        <v>98802082.91362609</v>
      </c>
      <c r="B10748">
        <v>170111064.85465121</v>
      </c>
    </row>
    <row r="10749" spans="1:2" x14ac:dyDescent="0.25">
      <c r="A10749">
        <f ca="1">38762.8515881453*((RANDBETWEEN(2979,3282)))</f>
        <v>122684425.27647999</v>
      </c>
      <c r="B10749">
        <v>193543454.46338624</v>
      </c>
    </row>
    <row r="10750" spans="1:2" x14ac:dyDescent="0.25">
      <c r="A10750">
        <f ca="1">29299.7203247552*((RANDBETWEEN(2979,3282)))</f>
        <v>94227900.564412698</v>
      </c>
      <c r="B10750">
        <v>154308224.88180733</v>
      </c>
    </row>
    <row r="10751" spans="1:2" x14ac:dyDescent="0.25">
      <c r="A10751">
        <f ca="1">31876.5406528963*((RANDBETWEEN(2979,3282)))</f>
        <v>99614189.540300876</v>
      </c>
      <c r="B10751">
        <v>164602110.17071036</v>
      </c>
    </row>
    <row r="10752" spans="1:2" x14ac:dyDescent="0.25">
      <c r="A10752">
        <f ca="1">32706.5079325694*((RANDBETWEEN(2979,3282)))</f>
        <v>104006695.22557056</v>
      </c>
      <c r="B10752">
        <v>189598442.52539992</v>
      </c>
    </row>
    <row r="10753" spans="1:2" x14ac:dyDescent="0.25">
      <c r="A10753">
        <f ca="1">28912.348105531*((RANDBETWEEN(2979,3282)))</f>
        <v>88356135.810502857</v>
      </c>
      <c r="B10753">
        <v>152313464.0764021</v>
      </c>
    </row>
    <row r="10754" spans="1:2" x14ac:dyDescent="0.25">
      <c r="A10754">
        <f ca="1">30992.8440847013*((RANDBETWEEN(2979,3282)))</f>
        <v>93474417.759459063</v>
      </c>
      <c r="B10754">
        <v>170514529.78547949</v>
      </c>
    </row>
    <row r="10755" spans="1:2" x14ac:dyDescent="0.25">
      <c r="A10755">
        <f ca="1">31248.5242643477*((RANDBETWEEN(2979,3282)))</f>
        <v>94651779.996709287</v>
      </c>
      <c r="B10755">
        <v>159350165.62087131</v>
      </c>
    </row>
    <row r="10756" spans="1:2" x14ac:dyDescent="0.25">
      <c r="A10756">
        <f ca="1">29336.9978521947*((RANDBETWEEN(2979,3282)))</f>
        <v>94083752.111988395</v>
      </c>
      <c r="B10756">
        <v>168816504.94895363</v>
      </c>
    </row>
    <row r="10757" spans="1:2" x14ac:dyDescent="0.25">
      <c r="A10757">
        <f ca="1">31230.9991907126*((RANDBETWEEN(2979,3282)))</f>
        <v>96941021.487971842</v>
      </c>
      <c r="B10757">
        <v>161568021.25632793</v>
      </c>
    </row>
    <row r="10758" spans="1:2" x14ac:dyDescent="0.25">
      <c r="A10758">
        <f ca="1">32526.0178940347*((RANDBETWEEN(2979,3282)))</f>
        <v>99724770.863110512</v>
      </c>
      <c r="B10758">
        <v>170176894.60313594</v>
      </c>
    </row>
    <row r="10759" spans="1:2" x14ac:dyDescent="0.25">
      <c r="A10759">
        <f ca="1">29921.8811088012*((RANDBETWEEN(2979,3282)))</f>
        <v>89645955.801968485</v>
      </c>
      <c r="B10759">
        <v>164920506.55248666</v>
      </c>
    </row>
    <row r="10760" spans="1:2" x14ac:dyDescent="0.25">
      <c r="A10760">
        <f ca="1">32589.0036958665*((RANDBETWEEN(2979,3282)))</f>
        <v>101612513.52371179</v>
      </c>
      <c r="B10760">
        <v>158909924.4624036</v>
      </c>
    </row>
    <row r="10761" spans="1:2" x14ac:dyDescent="0.25">
      <c r="A10761">
        <f ca="1">37838.1494229077*((RANDBETWEEN(2979,3282)))</f>
        <v>120665858.50965279</v>
      </c>
      <c r="B10761">
        <v>172355828.74862641</v>
      </c>
    </row>
    <row r="10762" spans="1:2" x14ac:dyDescent="0.25">
      <c r="A10762">
        <f ca="1">35814.9753336499*((RANDBETWEEN(2979,3282)))</f>
        <v>114822810.91968171</v>
      </c>
      <c r="B10762">
        <v>168189309.70529523</v>
      </c>
    </row>
    <row r="10763" spans="1:2" x14ac:dyDescent="0.25">
      <c r="A10763">
        <f ca="1">30088.1012489081*((RANDBETWEEN(2979,3282)))</f>
        <v>93002320.960374877</v>
      </c>
      <c r="B10763">
        <v>149110338.51180798</v>
      </c>
    </row>
    <row r="10764" spans="1:2" x14ac:dyDescent="0.25">
      <c r="A10764">
        <f ca="1">30520.4883958343*((RANDBETWEEN(2979,3282)))</f>
        <v>96902550.656773895</v>
      </c>
      <c r="B10764">
        <v>153517891.79643795</v>
      </c>
    </row>
    <row r="10765" spans="1:2" x14ac:dyDescent="0.25">
      <c r="A10765">
        <f ca="1">31477.798836921*((RANDBETWEEN(2979,3282)))</f>
        <v>95346252.677033752</v>
      </c>
      <c r="B10765">
        <v>186033232.74949518</v>
      </c>
    </row>
    <row r="10766" spans="1:2" x14ac:dyDescent="0.25">
      <c r="A10766">
        <f ca="1">30586.4731606867*((RANDBETWEEN(2979,3282)))</f>
        <v>91331208.857810378</v>
      </c>
      <c r="B10766">
        <v>173842256.68497011</v>
      </c>
    </row>
    <row r="10767" spans="1:2" x14ac:dyDescent="0.25">
      <c r="A10767">
        <f ca="1">38738.8736787445*((RANDBETWEEN(2979,3282)))</f>
        <v>116758965.26773579</v>
      </c>
      <c r="B10767">
        <v>196689535.35136515</v>
      </c>
    </row>
    <row r="10768" spans="1:2" x14ac:dyDescent="0.25">
      <c r="A10768">
        <f ca="1">30126.3608282594*((RANDBETWEEN(2979,3282)))</f>
        <v>92939823.155180365</v>
      </c>
      <c r="B10768">
        <v>195948803.51629373</v>
      </c>
    </row>
    <row r="10769" spans="1:2" x14ac:dyDescent="0.25">
      <c r="A10769">
        <f ca="1">36122.7691572924*((RANDBETWEEN(2979,3282)))</f>
        <v>114725914.84356059</v>
      </c>
      <c r="B10769">
        <v>152880487.77721411</v>
      </c>
    </row>
    <row r="10770" spans="1:2" x14ac:dyDescent="0.25">
      <c r="A10770">
        <f ca="1">34085.1465403991*((RANDBETWEEN(2979,3282)))</f>
        <v>106754678.96453004</v>
      </c>
      <c r="B10770">
        <v>176111609.95013994</v>
      </c>
    </row>
    <row r="10771" spans="1:2" x14ac:dyDescent="0.25">
      <c r="A10771">
        <f ca="1">31059.5531271845*((RANDBETWEEN(2979,3282)))</f>
        <v>92526408.765882626</v>
      </c>
      <c r="B10771">
        <v>178113855.13937292</v>
      </c>
    </row>
    <row r="10772" spans="1:2" x14ac:dyDescent="0.25">
      <c r="A10772">
        <f ca="1">39510.1937715495*((RANDBETWEEN(2979,3282)))</f>
        <v>126748701.61913078</v>
      </c>
      <c r="B10772">
        <v>147547537.62206638</v>
      </c>
    </row>
    <row r="10773" spans="1:2" x14ac:dyDescent="0.25">
      <c r="A10773">
        <f ca="1">30488.728067785*((RANDBETWEEN(2979,3282)))</f>
        <v>95673628.676709324</v>
      </c>
      <c r="B10773">
        <v>170135984.74587423</v>
      </c>
    </row>
    <row r="10774" spans="1:2" x14ac:dyDescent="0.25">
      <c r="A10774">
        <f ca="1">32397.7111464384*((RANDBETWEEN(2979,3282)))</f>
        <v>100918870.22115552</v>
      </c>
      <c r="B10774">
        <v>150552059.23978707</v>
      </c>
    </row>
    <row r="10775" spans="1:2" x14ac:dyDescent="0.25">
      <c r="A10775">
        <f ca="1">30971.8932271004*((RANDBETWEEN(2979,3282)))</f>
        <v>99822411.87094447</v>
      </c>
      <c r="B10775">
        <v>203331921.9811708</v>
      </c>
    </row>
    <row r="10776" spans="1:2" x14ac:dyDescent="0.25">
      <c r="A10776">
        <f ca="1">32044.5721533549*((RANDBETWEEN(2979,3282)))</f>
        <v>102734898.32365583</v>
      </c>
      <c r="B10776">
        <v>174462060.35122222</v>
      </c>
    </row>
    <row r="10777" spans="1:2" x14ac:dyDescent="0.25">
      <c r="A10777">
        <f ca="1">34707.1382167294*((RANDBETWEEN(2979,3282)))</f>
        <v>113527049.10692187</v>
      </c>
      <c r="B10777">
        <v>193059421.0002847</v>
      </c>
    </row>
    <row r="10778" spans="1:2" x14ac:dyDescent="0.25">
      <c r="A10778">
        <f ca="1">30610.5468556671*((RANDBETWEEN(2979,3282)))</f>
        <v>91403092.911021978</v>
      </c>
      <c r="B10778">
        <v>158866758.72378898</v>
      </c>
    </row>
    <row r="10779" spans="1:2" x14ac:dyDescent="0.25">
      <c r="A10779">
        <f ca="1">39592.6503695596*((RANDBETWEEN(2979,3282)))</f>
        <v>123291513.25080845</v>
      </c>
      <c r="B10779">
        <v>184576594.73544523</v>
      </c>
    </row>
    <row r="10780" spans="1:2" x14ac:dyDescent="0.25">
      <c r="A10780">
        <f ca="1">32370.7977701505*((RANDBETWEEN(2979,3282)))</f>
        <v>98892787.187809885</v>
      </c>
      <c r="B10780">
        <v>147700986.30212581</v>
      </c>
    </row>
    <row r="10781" spans="1:2" x14ac:dyDescent="0.25">
      <c r="A10781">
        <f ca="1">29928.9982063858*((RANDBETWEEN(2979,3282)))</f>
        <v>94994640.307068482</v>
      </c>
      <c r="B10781">
        <v>146214618.96675488</v>
      </c>
    </row>
    <row r="10782" spans="1:2" x14ac:dyDescent="0.25">
      <c r="A10782">
        <f ca="1">37923.458788746*((RANDBETWEEN(2979,3282)))</f>
        <v>114111687.49533676</v>
      </c>
      <c r="B10782">
        <v>188017310.00067776</v>
      </c>
    </row>
    <row r="10783" spans="1:2" x14ac:dyDescent="0.25">
      <c r="A10783">
        <f ca="1">31600.3889156931*((RANDBETWEEN(2979,3282)))</f>
        <v>100836841.02997662</v>
      </c>
      <c r="B10783">
        <v>199728995.379695</v>
      </c>
    </row>
    <row r="10784" spans="1:2" x14ac:dyDescent="0.25">
      <c r="A10784">
        <f ca="1">35430.9741336613*((RANDBETWEEN(2979,3282)))</f>
        <v>111926447.28823602</v>
      </c>
      <c r="B10784">
        <v>145585288.02398944</v>
      </c>
    </row>
    <row r="10785" spans="1:2" x14ac:dyDescent="0.25">
      <c r="A10785">
        <f ca="1">30657.3263345469*((RANDBETWEEN(2979,3282)))</f>
        <v>99421709.302935556</v>
      </c>
      <c r="B10785">
        <v>159587032.35704154</v>
      </c>
    </row>
    <row r="10786" spans="1:2" x14ac:dyDescent="0.25">
      <c r="A10786">
        <f ca="1">31624.3359711369*((RANDBETWEEN(2979,3282)))</f>
        <v>100976504.75584006</v>
      </c>
      <c r="B10786">
        <v>171785554.97283286</v>
      </c>
    </row>
    <row r="10787" spans="1:2" x14ac:dyDescent="0.25">
      <c r="A10787">
        <f ca="1">30772.0650252147*((RANDBETWEEN(2979,3282)))</f>
        <v>94962592.66781272</v>
      </c>
      <c r="B10787">
        <v>188857679.89414918</v>
      </c>
    </row>
    <row r="10788" spans="1:2" x14ac:dyDescent="0.25">
      <c r="A10788">
        <f ca="1">41159.7838984208*((RANDBETWEEN(2979,3282)))</f>
        <v>124714145.21221508</v>
      </c>
      <c r="B10788">
        <v>148234936.09633815</v>
      </c>
    </row>
    <row r="10789" spans="1:2" x14ac:dyDescent="0.25">
      <c r="A10789">
        <f ca="1">29799.2101104281*((RANDBETWEEN(2979,3282)))</f>
        <v>92705342.653541699</v>
      </c>
      <c r="B10789">
        <v>145065943.29015544</v>
      </c>
    </row>
    <row r="10790" spans="1:2" x14ac:dyDescent="0.25">
      <c r="A10790">
        <f ca="1">33632.435285681*((RANDBETWEEN(2979,3282)))</f>
        <v>103285208.76232646</v>
      </c>
      <c r="B10790">
        <v>152416826.69994304</v>
      </c>
    </row>
    <row r="10791" spans="1:2" x14ac:dyDescent="0.25">
      <c r="A10791">
        <f ca="1">41443.2744029443*((RANDBETWEEN(2979,3282)))</f>
        <v>128391264.10032131</v>
      </c>
      <c r="B10791">
        <v>146024217.59922236</v>
      </c>
    </row>
    <row r="10792" spans="1:2" x14ac:dyDescent="0.25">
      <c r="A10792">
        <f ca="1">41225.7708663796*((RANDBETWEEN(2979,3282)))</f>
        <v>124666731.0999319</v>
      </c>
      <c r="B10792">
        <v>179407692.20736074</v>
      </c>
    </row>
    <row r="10793" spans="1:2" x14ac:dyDescent="0.25">
      <c r="A10793">
        <f ca="1">30535.3561296577*((RANDBETWEEN(2979,3282)))</f>
        <v>96980291.067792803</v>
      </c>
      <c r="B10793">
        <v>152710320.29791519</v>
      </c>
    </row>
    <row r="10794" spans="1:2" x14ac:dyDescent="0.25">
      <c r="A10794">
        <f ca="1">36599.8295579857*((RANDBETWEEN(2979,3282)))</f>
        <v>117192654.24467033</v>
      </c>
      <c r="B10794">
        <v>160086693.61190936</v>
      </c>
    </row>
    <row r="10795" spans="1:2" x14ac:dyDescent="0.25">
      <c r="A10795">
        <f ca="1">33301.1799104614*((RANDBETWEEN(2979,3282)))</f>
        <v>99404022.032727376</v>
      </c>
      <c r="B10795">
        <v>144204142.9101904</v>
      </c>
    </row>
    <row r="10796" spans="1:2" x14ac:dyDescent="0.25">
      <c r="A10796">
        <f ca="1">31136.9945467323*((RANDBETWEEN(2979,3282)))</f>
        <v>95652847.247561648</v>
      </c>
      <c r="B10796">
        <v>195369481.86128947</v>
      </c>
    </row>
    <row r="10797" spans="1:2" x14ac:dyDescent="0.25">
      <c r="A10797">
        <f ca="1">31171.0214874216*((RANDBETWEEN(2979,3282)))</f>
        <v>100183663.06057303</v>
      </c>
      <c r="B10797">
        <v>161591601.98928192</v>
      </c>
    </row>
    <row r="10798" spans="1:2" x14ac:dyDescent="0.25">
      <c r="A10798">
        <f ca="1">30571.3877677323*((RANDBETWEEN(2979,3282)))</f>
        <v>100274151.87816204</v>
      </c>
      <c r="B10798">
        <v>144524669.86911082</v>
      </c>
    </row>
    <row r="10799" spans="1:2" x14ac:dyDescent="0.25">
      <c r="A10799">
        <f ca="1">29695.6263433662*((RANDBETWEEN(2979,3282)))</f>
        <v>93541222.981603503</v>
      </c>
      <c r="B10799">
        <v>151010290.11703089</v>
      </c>
    </row>
    <row r="10800" spans="1:2" x14ac:dyDescent="0.25">
      <c r="A10800">
        <f ca="1">34312.6590879284*((RANDBETWEEN(2979,3282)))</f>
        <v>106883933.058897</v>
      </c>
      <c r="B10800">
        <v>154493441.72356093</v>
      </c>
    </row>
    <row r="10801" spans="1:2" x14ac:dyDescent="0.25">
      <c r="A10801">
        <f ca="1">29806.3269709009*((RANDBETWEEN(2979,3282)))</f>
        <v>89091111.316022784</v>
      </c>
      <c r="B10801">
        <v>195768100.42451748</v>
      </c>
    </row>
    <row r="10802" spans="1:2" x14ac:dyDescent="0.25">
      <c r="A10802">
        <f ca="1">33080.7489019843*((RANDBETWEEN(2979,3282)))</f>
        <v>100433153.66642435</v>
      </c>
      <c r="B10802">
        <v>143685775.67419308</v>
      </c>
    </row>
    <row r="10803" spans="1:2" x14ac:dyDescent="0.25">
      <c r="A10803">
        <f ca="1">34920.9376140092*((RANDBETWEEN(2979,3282)))</f>
        <v>105985045.65851794</v>
      </c>
      <c r="B10803">
        <v>174169355.18931103</v>
      </c>
    </row>
    <row r="10804" spans="1:2" x14ac:dyDescent="0.25">
      <c r="A10804">
        <f ca="1">34039.1586859071*((RANDBETWEEN(2979,3282)))</f>
        <v>110627265.72919801</v>
      </c>
      <c r="B10804">
        <v>149471825.14252913</v>
      </c>
    </row>
    <row r="10805" spans="1:2" x14ac:dyDescent="0.25">
      <c r="A10805">
        <f ca="1">41640.8147154383*((RANDBETWEEN(2979,3282)))</f>
        <v>134166705.01314236</v>
      </c>
      <c r="B10805">
        <v>149455779.27774927</v>
      </c>
    </row>
    <row r="10806" spans="1:2" x14ac:dyDescent="0.25">
      <c r="A10806">
        <f ca="1">32292.4119104549*((RANDBETWEEN(2979,3282)))</f>
        <v>98007470.148230731</v>
      </c>
      <c r="B10806">
        <v>155432945.53563103</v>
      </c>
    </row>
    <row r="10807" spans="1:2" x14ac:dyDescent="0.25">
      <c r="A10807">
        <f ca="1">28232.7470006249*((RANDBETWEEN(2979,3282)))</f>
        <v>87013326.255925998</v>
      </c>
      <c r="B10807">
        <v>171339059.44316748</v>
      </c>
    </row>
    <row r="10808" spans="1:2" x14ac:dyDescent="0.25">
      <c r="A10808">
        <f ca="1">31661.4017867606*((RANDBETWEEN(2979,3282)))</f>
        <v>95142512.369215548</v>
      </c>
      <c r="B10808">
        <v>179513538.74222633</v>
      </c>
    </row>
    <row r="10809" spans="1:2" x14ac:dyDescent="0.25">
      <c r="A10809">
        <f ca="1">38624.2004428312*((RANDBETWEEN(2979,3282)))</f>
        <v>119696397.172334</v>
      </c>
      <c r="B10809">
        <v>152296398.48745865</v>
      </c>
    </row>
    <row r="10810" spans="1:2" x14ac:dyDescent="0.25">
      <c r="A10810">
        <f ca="1">31773.5175683223*((RANDBETWEEN(2979,3282)))</f>
        <v>101516388.63078977</v>
      </c>
      <c r="B10810">
        <v>165778357.64812288</v>
      </c>
    </row>
    <row r="10811" spans="1:2" x14ac:dyDescent="0.25">
      <c r="A10811">
        <f ca="1">33002.0327522335*((RANDBETWEEN(2979,3282)))</f>
        <v>106629567.82246658</v>
      </c>
      <c r="B10811">
        <v>169084871.47948086</v>
      </c>
    </row>
    <row r="10812" spans="1:2" x14ac:dyDescent="0.25">
      <c r="A10812">
        <f ca="1">32887.7998377466*((RANDBETWEEN(2979,3282)))</f>
        <v>98433184.914375544</v>
      </c>
      <c r="B10812">
        <v>161301408.90130991</v>
      </c>
    </row>
    <row r="10813" spans="1:2" x14ac:dyDescent="0.25">
      <c r="A10813">
        <f ca="1">30403.1438329124*((RANDBETWEEN(2979,3282)))</f>
        <v>90601368.622078925</v>
      </c>
      <c r="B10813">
        <v>158619537.032547</v>
      </c>
    </row>
    <row r="10814" spans="1:2" x14ac:dyDescent="0.25">
      <c r="A10814">
        <f ca="1">42839.7245859301*((RANDBETWEEN(2979,3282)))</f>
        <v>127919417.61358716</v>
      </c>
      <c r="B10814">
        <v>175713696.64864963</v>
      </c>
    </row>
    <row r="10815" spans="1:2" x14ac:dyDescent="0.25">
      <c r="A10815">
        <f ca="1">35019.4944512934*((RANDBETWEEN(2979,3282)))</f>
        <v>113708298.48334961</v>
      </c>
      <c r="B10815">
        <v>143071572.94275078</v>
      </c>
    </row>
    <row r="10816" spans="1:2" x14ac:dyDescent="0.25">
      <c r="A10816">
        <f ca="1">35879.1751739921*((RANDBETWEEN(2979,3282)))</f>
        <v>110830772.11246155</v>
      </c>
      <c r="B10816">
        <v>164416994.78837097</v>
      </c>
    </row>
    <row r="10817" spans="1:2" x14ac:dyDescent="0.25">
      <c r="A10817">
        <f ca="1">33549.424629609*((RANDBETWEEN(2979,3282)))</f>
        <v>105345193.33697221</v>
      </c>
      <c r="B10817">
        <v>163396934.13518077</v>
      </c>
    </row>
    <row r="10818" spans="1:2" x14ac:dyDescent="0.25">
      <c r="A10818">
        <f ca="1">30063.7283204793*((RANDBETWEEN(2979,3282)))</f>
        <v>95362146.232560202</v>
      </c>
      <c r="B10818">
        <v>195084972.4721055</v>
      </c>
    </row>
    <row r="10819" spans="1:2" x14ac:dyDescent="0.25">
      <c r="A10819">
        <f ca="1">33082.0551380845*((RANDBETWEEN(2979,3282)))</f>
        <v>107781335.63987939</v>
      </c>
      <c r="B10819">
        <v>162117468.40240443</v>
      </c>
    </row>
    <row r="10820" spans="1:2" x14ac:dyDescent="0.25">
      <c r="A10820">
        <f ca="1">34021.2389843194*((RANDBETWEEN(2979,3282)))</f>
        <v>105329755.89545299</v>
      </c>
      <c r="B10820">
        <v>179885887.19951308</v>
      </c>
    </row>
    <row r="10821" spans="1:2" x14ac:dyDescent="0.25">
      <c r="A10821">
        <f ca="1">32037.012538164*((RANDBETWEEN(2979,3282)))</f>
        <v>103607698.54842246</v>
      </c>
      <c r="B10821">
        <v>170552557.94585729</v>
      </c>
    </row>
    <row r="10822" spans="1:2" x14ac:dyDescent="0.25">
      <c r="A10822">
        <f ca="1">32149.3022755829*((RANDBETWEEN(2979,3282)))</f>
        <v>99148448.217897668</v>
      </c>
      <c r="B10822">
        <v>162254615.58400214</v>
      </c>
    </row>
    <row r="10823" spans="1:2" x14ac:dyDescent="0.25">
      <c r="A10823">
        <f ca="1">30615.5416348397*((RANDBETWEEN(2979,3282)))</f>
        <v>94050943.902227521</v>
      </c>
      <c r="B10823">
        <v>184593619.78156298</v>
      </c>
    </row>
    <row r="10824" spans="1:2" x14ac:dyDescent="0.25">
      <c r="A10824">
        <f ca="1">38032.2000947673*((RANDBETWEEN(2979,3282)))</f>
        <v>123262360.50714085</v>
      </c>
      <c r="B10824">
        <v>150098774.38127607</v>
      </c>
    </row>
    <row r="10825" spans="1:2" x14ac:dyDescent="0.25">
      <c r="A10825">
        <f ca="1">31892.0048095088*((RANDBETWEEN(2979,3282)))</f>
        <v>95357094.380431265</v>
      </c>
      <c r="B10825">
        <v>148608110.02040109</v>
      </c>
    </row>
    <row r="10826" spans="1:2" x14ac:dyDescent="0.25">
      <c r="A10826">
        <f ca="1">29526.1040089861*((RANDBETWEEN(2979,3282)))</f>
        <v>95103581.012944102</v>
      </c>
      <c r="B10826">
        <v>172837949.41827551</v>
      </c>
    </row>
    <row r="10827" spans="1:2" x14ac:dyDescent="0.25">
      <c r="A10827">
        <f ca="1">31774.1404407507*((RANDBETWEEN(2979,3282)))</f>
        <v>95322421.322252125</v>
      </c>
      <c r="B10827">
        <v>175305478.15079835</v>
      </c>
    </row>
    <row r="10828" spans="1:2" x14ac:dyDescent="0.25">
      <c r="A10828">
        <f ca="1">31877.3265873571*((RANDBETWEEN(2979,3282)))</f>
        <v>103951962.00137156</v>
      </c>
      <c r="B10828">
        <v>147406982.12619823</v>
      </c>
    </row>
    <row r="10829" spans="1:2" x14ac:dyDescent="0.25">
      <c r="A10829">
        <f ca="1">33749.9179442689*((RANDBETWEEN(2979,3282)))</f>
        <v>107898487.66782779</v>
      </c>
      <c r="B10829">
        <v>160520990.4237414</v>
      </c>
    </row>
    <row r="10830" spans="1:2" x14ac:dyDescent="0.25">
      <c r="A10830">
        <f ca="1">35573.7105846628*((RANDBETWEEN(2979,3282)))</f>
        <v>107254737.4127584</v>
      </c>
      <c r="B10830">
        <v>166821057.12351009</v>
      </c>
    </row>
    <row r="10831" spans="1:2" x14ac:dyDescent="0.25">
      <c r="A10831">
        <f ca="1">31474.4305322162*((RANDBETWEEN(2979,3282)))</f>
        <v>96374706.289645955</v>
      </c>
      <c r="B10831">
        <v>197691419.43068138</v>
      </c>
    </row>
    <row r="10832" spans="1:2" x14ac:dyDescent="0.25">
      <c r="A10832">
        <f ca="1">31703.8574992422*((RANDBETWEEN(2979,3282)))</f>
        <v>99074554.685131833</v>
      </c>
      <c r="B10832">
        <v>191588103.83996969</v>
      </c>
    </row>
    <row r="10833" spans="1:2" x14ac:dyDescent="0.25">
      <c r="A10833">
        <f ca="1">32263.3219727338*((RANDBETWEEN(2979,3282)))</f>
        <v>98080498.797110885</v>
      </c>
      <c r="B10833">
        <v>156025079.34860522</v>
      </c>
    </row>
    <row r="10834" spans="1:2" x14ac:dyDescent="0.25">
      <c r="A10834">
        <f ca="1">30533.507219432*((RANDBETWEEN(2979,3282)))</f>
        <v>96394282.291746929</v>
      </c>
      <c r="B10834">
        <v>193861557.23066097</v>
      </c>
    </row>
    <row r="10835" spans="1:2" x14ac:dyDescent="0.25">
      <c r="A10835">
        <f ca="1">40363.7470103542*((RANDBETWEEN(2979,3282)))</f>
        <v>121575605.99518676</v>
      </c>
      <c r="B10835">
        <v>144961055.22721744</v>
      </c>
    </row>
    <row r="10836" spans="1:2" x14ac:dyDescent="0.25">
      <c r="A10836">
        <f ca="1">31914.4892239598*((RANDBETWEEN(2979,3282)))</f>
        <v>98775344.148155525</v>
      </c>
      <c r="B10836">
        <v>149509046.2269415</v>
      </c>
    </row>
    <row r="10837" spans="1:2" x14ac:dyDescent="0.25">
      <c r="A10837">
        <f ca="1">32524.4614665222*((RANDBETWEEN(2979,3282)))</f>
        <v>96890370.70876953</v>
      </c>
      <c r="B10837">
        <v>175835039.72679698</v>
      </c>
    </row>
    <row r="10838" spans="1:2" x14ac:dyDescent="0.25">
      <c r="A10838">
        <f ca="1">30066.9654775997*((RANDBETWEEN(2979,3282)))</f>
        <v>95402481.460423842</v>
      </c>
      <c r="B10838">
        <v>143082080.91043818</v>
      </c>
    </row>
    <row r="10839" spans="1:2" x14ac:dyDescent="0.25">
      <c r="A10839">
        <f ca="1">40443.4636035079*((RANDBETWEEN(2979,3282)))</f>
        <v>132007465.20184994</v>
      </c>
      <c r="B10839">
        <v>174617507.19400147</v>
      </c>
    </row>
    <row r="10840" spans="1:2" x14ac:dyDescent="0.25">
      <c r="A10840">
        <f ca="1">37395.5543842216*((RANDBETWEEN(2979,3282)))</f>
        <v>117758600.75591391</v>
      </c>
      <c r="B10840">
        <v>151278787.29340714</v>
      </c>
    </row>
    <row r="10841" spans="1:2" x14ac:dyDescent="0.25">
      <c r="A10841">
        <f ca="1">31008.7853961782*((RANDBETWEEN(2979,3282)))</f>
        <v>101770833.67025685</v>
      </c>
      <c r="B10841">
        <v>155609718.19701019</v>
      </c>
    </row>
    <row r="10842" spans="1:2" x14ac:dyDescent="0.25">
      <c r="A10842">
        <f ca="1">31059.4618878953*((RANDBETWEEN(2979,3282)))</f>
        <v>101875034.99229667</v>
      </c>
      <c r="B10842">
        <v>197661308.5951463</v>
      </c>
    </row>
    <row r="10843" spans="1:2" x14ac:dyDescent="0.25">
      <c r="A10843">
        <f ca="1">30927.2841897717*((RANDBETWEEN(2979,3282)))</f>
        <v>95410671.725445822</v>
      </c>
      <c r="B10843">
        <v>143724164.01381013</v>
      </c>
    </row>
    <row r="10844" spans="1:2" x14ac:dyDescent="0.25">
      <c r="A10844">
        <f ca="1">35032.8200777184*((RANDBETWEEN(2979,3282)))</f>
        <v>109968022.22395806</v>
      </c>
      <c r="B10844">
        <v>168985631.58588979</v>
      </c>
    </row>
    <row r="10845" spans="1:2" x14ac:dyDescent="0.25">
      <c r="A10845">
        <f ca="1">36620.8752116983*((RANDBETWEEN(2979,3282)))</f>
        <v>114000784.53401668</v>
      </c>
      <c r="B10845">
        <v>185081252.86459297</v>
      </c>
    </row>
    <row r="10846" spans="1:2" x14ac:dyDescent="0.25">
      <c r="A10846">
        <f ca="1">31301.5525817789*((RANDBETWEEN(2979,3282)))</f>
        <v>94123768.613409176</v>
      </c>
      <c r="B10846">
        <v>169422040.10323572</v>
      </c>
    </row>
    <row r="10847" spans="1:2" x14ac:dyDescent="0.25">
      <c r="A10847">
        <f ca="1">40623.1821038476*((RANDBETWEEN(2979,3282)))</f>
        <v>130441037.73545462</v>
      </c>
      <c r="B10847">
        <v>196220077.82674325</v>
      </c>
    </row>
    <row r="10848" spans="1:2" x14ac:dyDescent="0.25">
      <c r="A10848">
        <f ca="1">29973.4234858774*((RANDBETWEEN(2979,3282)))</f>
        <v>91748649.290270895</v>
      </c>
      <c r="B10848">
        <v>177055267.81179628</v>
      </c>
    </row>
    <row r="10849" spans="1:2" x14ac:dyDescent="0.25">
      <c r="A10849">
        <f ca="1">35381.5055562651*((RANDBETWEEN(2979,3282)))</f>
        <v>114494551.98007382</v>
      </c>
      <c r="B10849">
        <v>153843474.48003682</v>
      </c>
    </row>
    <row r="10850" spans="1:2" x14ac:dyDescent="0.25">
      <c r="A10850">
        <f ca="1">29704.8654666558*((RANDBETWEEN(2979,3282)))</f>
        <v>94134718.663832337</v>
      </c>
      <c r="B10850">
        <v>168883807.78501979</v>
      </c>
    </row>
    <row r="10851" spans="1:2" x14ac:dyDescent="0.25">
      <c r="A10851">
        <f ca="1">32905.0726377766*((RANDBETWEEN(2979,3282)))</f>
        <v>104078744.75328724</v>
      </c>
      <c r="B10851">
        <v>173079088.6476078</v>
      </c>
    </row>
    <row r="10852" spans="1:2" x14ac:dyDescent="0.25">
      <c r="A10852">
        <f ca="1">30478.9194450201*((RANDBETWEEN(2979,3282)))</f>
        <v>96343864.36570853</v>
      </c>
      <c r="B10852">
        <v>175584684.8168315</v>
      </c>
    </row>
    <row r="10853" spans="1:2" x14ac:dyDescent="0.25">
      <c r="A10853">
        <f ca="1">29322.4941558387*((RANDBETWEEN(2979,3282)))</f>
        <v>95444718.477255046</v>
      </c>
      <c r="B10853">
        <v>147740826.37937051</v>
      </c>
    </row>
    <row r="10854" spans="1:2" x14ac:dyDescent="0.25">
      <c r="A10854">
        <f ca="1">30913.7298839646*((RANDBETWEEN(2979,3282)))</f>
        <v>95801648.910406217</v>
      </c>
      <c r="B10854">
        <v>197881149.90712622</v>
      </c>
    </row>
    <row r="10855" spans="1:2" x14ac:dyDescent="0.25">
      <c r="A10855">
        <f ca="1">34966.9319134665*((RANDBETWEEN(2979,3282)))</f>
        <v>113502660.99111223</v>
      </c>
      <c r="B10855">
        <v>160228685.75849521</v>
      </c>
    </row>
    <row r="10856" spans="1:2" x14ac:dyDescent="0.25">
      <c r="A10856">
        <f ca="1">34009.9713969352*((RANDBETWEEN(2979,3282)))</f>
        <v>102846153.5043319</v>
      </c>
      <c r="B10856">
        <v>157130059.79420283</v>
      </c>
    </row>
    <row r="10857" spans="1:2" x14ac:dyDescent="0.25">
      <c r="A10857">
        <f ca="1">35616.5451849165*((RANDBETWEEN(2979,3282)))</f>
        <v>115255140.2183899</v>
      </c>
      <c r="B10857">
        <v>182503804.28300607</v>
      </c>
    </row>
    <row r="10858" spans="1:2" x14ac:dyDescent="0.25">
      <c r="A10858">
        <f ca="1">40375.1214680322*((RANDBETWEEN(2979,3282)))</f>
        <v>125849253.61585623</v>
      </c>
      <c r="B10858">
        <v>184560384.29538363</v>
      </c>
    </row>
    <row r="10859" spans="1:2" x14ac:dyDescent="0.25">
      <c r="A10859">
        <f ca="1">31265.448869474*((RANDBETWEEN(2979,3282)))</f>
        <v>94265328.341464072</v>
      </c>
      <c r="B10859">
        <v>188090170.86638629</v>
      </c>
    </row>
    <row r="10860" spans="1:2" x14ac:dyDescent="0.25">
      <c r="A10860">
        <f ca="1">28064.3755960612*((RANDBETWEEN(2979,3282)))</f>
        <v>91966958.828292564</v>
      </c>
      <c r="B10860">
        <v>177084341.23438883</v>
      </c>
    </row>
    <row r="10861" spans="1:2" x14ac:dyDescent="0.25">
      <c r="A10861">
        <f ca="1">40263.6988307796*((RANDBETWEEN(2979,3282)))</f>
        <v>130857021.20003358</v>
      </c>
      <c r="B10861">
        <v>188723873.63465455</v>
      </c>
    </row>
    <row r="10862" spans="1:2" x14ac:dyDescent="0.25">
      <c r="A10862">
        <f ca="1">31065.1239118558*((RANDBETWEEN(2979,3282)))</f>
        <v>95742711.89633961</v>
      </c>
      <c r="B10862">
        <v>191962483.82293278</v>
      </c>
    </row>
    <row r="10863" spans="1:2" x14ac:dyDescent="0.25">
      <c r="A10863">
        <f ca="1">41440.2113267823*((RANDBETWEEN(2979,3282)))</f>
        <v>129790741.87548222</v>
      </c>
      <c r="B10863">
        <v>176311266.15635931</v>
      </c>
    </row>
    <row r="10864" spans="1:2" x14ac:dyDescent="0.25">
      <c r="A10864">
        <f ca="1">33358.2831402532*((RANDBETWEEN(2979,3282)))</f>
        <v>108414420.20582284</v>
      </c>
      <c r="B10864">
        <v>182806968.60141206</v>
      </c>
    </row>
    <row r="10865" spans="1:2" x14ac:dyDescent="0.25">
      <c r="A10865">
        <f ca="1">29569.108355771*((RANDBETWEEN(2979,3282)))</f>
        <v>92344325.395072877</v>
      </c>
      <c r="B10865">
        <v>147651465.18833125</v>
      </c>
    </row>
    <row r="10866" spans="1:2" x14ac:dyDescent="0.25">
      <c r="A10866">
        <f ca="1">32695.145839402*((RANDBETWEEN(2979,3282)))</f>
        <v>103022404.53995562</v>
      </c>
      <c r="B10866">
        <v>172276001.15455568</v>
      </c>
    </row>
    <row r="10867" spans="1:2" x14ac:dyDescent="0.25">
      <c r="A10867">
        <f ca="1">30076.6185980114*((RANDBETWEEN(2979,3282)))</f>
        <v>96425639.22522445</v>
      </c>
      <c r="B10867">
        <v>162508224.34941587</v>
      </c>
    </row>
    <row r="10868" spans="1:2" x14ac:dyDescent="0.25">
      <c r="A10868">
        <f ca="1">32235.9676616319*((RANDBETWEEN(2979,3282)))</f>
        <v>101059758.61921586</v>
      </c>
      <c r="B10868">
        <v>198352982.55266365</v>
      </c>
    </row>
    <row r="10869" spans="1:2" x14ac:dyDescent="0.25">
      <c r="A10869">
        <f ca="1">30837.4939633295*((RANDBETWEEN(2979,3282)))</f>
        <v>100591905.30838069</v>
      </c>
      <c r="B10869">
        <v>184914423.13239115</v>
      </c>
    </row>
    <row r="10870" spans="1:2" x14ac:dyDescent="0.25">
      <c r="A10870">
        <f ca="1">29782.550392654*((RANDBETWEEN(2979,3282)))</f>
        <v>88930695.47246483</v>
      </c>
      <c r="B10870">
        <v>172218762.24160737</v>
      </c>
    </row>
    <row r="10871" spans="1:2" x14ac:dyDescent="0.25">
      <c r="A10871">
        <f ca="1">35110.0226861982*((RANDBETWEEN(2979,3282)))</f>
        <v>109718820.89436929</v>
      </c>
      <c r="B10871">
        <v>144346617.38445738</v>
      </c>
    </row>
    <row r="10872" spans="1:2" x14ac:dyDescent="0.25">
      <c r="A10872">
        <f ca="1">37731.302766228*((RANDBETWEEN(2979,3282)))</f>
        <v>114212653.47337218</v>
      </c>
      <c r="B10872">
        <v>145727154.50742605</v>
      </c>
    </row>
    <row r="10873" spans="1:2" x14ac:dyDescent="0.25">
      <c r="A10873">
        <f ca="1">35271.3251908592*((RANDBETWEEN(2979,3282)))</f>
        <v>106977929.303876</v>
      </c>
      <c r="B10873">
        <v>189778442.26970971</v>
      </c>
    </row>
    <row r="10874" spans="1:2" x14ac:dyDescent="0.25">
      <c r="A10874">
        <f ca="1">28751.5328052659*((RANDBETWEEN(2979,3282)))</f>
        <v>90394819.13975589</v>
      </c>
      <c r="B10874">
        <v>146485105.50381312</v>
      </c>
    </row>
    <row r="10875" spans="1:2" x14ac:dyDescent="0.25">
      <c r="A10875">
        <f ca="1">29491.6633644274*((RANDBETWEEN(2979,3282)))</f>
        <v>91719073.063369334</v>
      </c>
      <c r="B10875">
        <v>153836680.62547556</v>
      </c>
    </row>
    <row r="10876" spans="1:2" x14ac:dyDescent="0.25">
      <c r="A10876">
        <f ca="1">34320.2574518362*((RANDBETWEEN(2979,3282)))</f>
        <v>102686210.29589395</v>
      </c>
      <c r="B10876">
        <v>154630912.77669954</v>
      </c>
    </row>
    <row r="10877" spans="1:2" x14ac:dyDescent="0.25">
      <c r="A10877">
        <f ca="1">37423.3310304135*((RANDBETWEEN(2979,3282)))</f>
        <v>118519689.37331967</v>
      </c>
      <c r="B10877">
        <v>201709308.82612997</v>
      </c>
    </row>
    <row r="10878" spans="1:2" x14ac:dyDescent="0.25">
      <c r="A10878">
        <f ca="1">28135.1018050151*((RANDBETWEEN(2979,3282)))</f>
        <v>85080547.858365655</v>
      </c>
      <c r="B10878">
        <v>150500708.80702379</v>
      </c>
    </row>
    <row r="10879" spans="1:2" x14ac:dyDescent="0.25">
      <c r="A10879">
        <f ca="1">30087.5680223807*((RANDBETWEEN(2979,3282)))</f>
        <v>91255593.811880603</v>
      </c>
      <c r="B10879">
        <v>148721288.17111838</v>
      </c>
    </row>
    <row r="10880" spans="1:2" x14ac:dyDescent="0.25">
      <c r="A10880">
        <f ca="1">32858.6360104043*((RANDBETWEEN(2979,3282)))</f>
        <v>104424745.24106495</v>
      </c>
      <c r="B10880">
        <v>187043979.56493533</v>
      </c>
    </row>
    <row r="10881" spans="1:2" x14ac:dyDescent="0.25">
      <c r="A10881">
        <f ca="1">30593.2276120792*((RANDBETWEEN(2979,3282)))</f>
        <v>99978667.836274981</v>
      </c>
      <c r="B10881">
        <v>156674841.67426902</v>
      </c>
    </row>
    <row r="10882" spans="1:2" x14ac:dyDescent="0.25">
      <c r="A10882">
        <f ca="1">30741.1768214803*((RANDBETWEEN(2979,3282)))</f>
        <v>96404330.512162149</v>
      </c>
      <c r="B10882">
        <v>147755614.94821161</v>
      </c>
    </row>
    <row r="10883" spans="1:2" x14ac:dyDescent="0.25">
      <c r="A10883">
        <f ca="1">36098.1073080368*((RANDBETWEEN(2979,3282)))</f>
        <v>116849573.35611539</v>
      </c>
      <c r="B10883">
        <v>189452247.06164947</v>
      </c>
    </row>
    <row r="10884" spans="1:2" x14ac:dyDescent="0.25">
      <c r="A10884">
        <f ca="1">30302.2983586406*((RANDBETWEEN(2979,3282)))</f>
        <v>90634174.390694126</v>
      </c>
      <c r="B10884">
        <v>199047546.74610621</v>
      </c>
    </row>
    <row r="10885" spans="1:2" x14ac:dyDescent="0.25">
      <c r="A10885">
        <f ca="1">32230.0224416775*((RANDBETWEEN(2979,3282)))</f>
        <v>96722297.347474217</v>
      </c>
      <c r="B10885">
        <v>187084445.75333413</v>
      </c>
    </row>
    <row r="10886" spans="1:2" x14ac:dyDescent="0.25">
      <c r="A10886">
        <f ca="1">30230.0478659206*((RANDBETWEEN(2979,3282)))</f>
        <v>93985218.815147206</v>
      </c>
      <c r="B10886">
        <v>146538857.22981161</v>
      </c>
    </row>
    <row r="10887" spans="1:2" x14ac:dyDescent="0.25">
      <c r="A10887">
        <f ca="1">30996.5383875038*((RANDBETWEEN(2979,3282)))</f>
        <v>93671539.007036343</v>
      </c>
      <c r="B10887">
        <v>194488698.27346525</v>
      </c>
    </row>
    <row r="10888" spans="1:2" x14ac:dyDescent="0.25">
      <c r="A10888">
        <f ca="1">31820.3004662034*((RANDBETWEEN(2979,3282)))</f>
        <v>98547470.54383184</v>
      </c>
      <c r="B10888">
        <v>148271370.20005864</v>
      </c>
    </row>
    <row r="10889" spans="1:2" x14ac:dyDescent="0.25">
      <c r="A10889">
        <f ca="1">32679.7620134397*((RANDBETWEEN(2979,3282)))</f>
        <v>98006606.27830565</v>
      </c>
      <c r="B10889">
        <v>150531385.70183623</v>
      </c>
    </row>
    <row r="10890" spans="1:2" x14ac:dyDescent="0.25">
      <c r="A10890">
        <f ca="1">31783.6014173313*((RANDBETWEEN(2979,3282)))</f>
        <v>97861708.763962969</v>
      </c>
      <c r="B10890">
        <v>143508027.41639379</v>
      </c>
    </row>
    <row r="10891" spans="1:2" x14ac:dyDescent="0.25">
      <c r="A10891">
        <f ca="1">29069.356608396*((RANDBETWEEN(2979,3282)))</f>
        <v>88835953.795258224</v>
      </c>
      <c r="B10891">
        <v>145723510.26368582</v>
      </c>
    </row>
    <row r="10892" spans="1:2" x14ac:dyDescent="0.25">
      <c r="A10892">
        <f ca="1">37914.1322974056*((RANDBETWEEN(2979,3282)))</f>
        <v>122841788.64359409</v>
      </c>
      <c r="B10892">
        <v>146885054.59739363</v>
      </c>
    </row>
    <row r="10893" spans="1:2" x14ac:dyDescent="0.25">
      <c r="A10893">
        <f ca="1">34261.6133784973*((RANDBETWEEN(2979,3282)))</f>
        <v>109020453.77037852</v>
      </c>
      <c r="B10893">
        <v>143270715.98614317</v>
      </c>
    </row>
    <row r="10894" spans="1:2" x14ac:dyDescent="0.25">
      <c r="A10894">
        <f ca="1">30017.0308908022*((RANDBETWEEN(2979,3282)))</f>
        <v>92512489.205452308</v>
      </c>
      <c r="B10894">
        <v>154762693.0571335</v>
      </c>
    </row>
    <row r="10895" spans="1:2" x14ac:dyDescent="0.25">
      <c r="A10895">
        <f ca="1">31351.4417683896*((RANDBETWEEN(2979,3282)))</f>
        <v>94430542.606389388</v>
      </c>
      <c r="B10895">
        <v>168773258.71288314</v>
      </c>
    </row>
    <row r="10896" spans="1:2" x14ac:dyDescent="0.25">
      <c r="A10896">
        <f ca="1">37252.6266818132*((RANDBETWEEN(2979,3282)))</f>
        <v>112018648.4322124</v>
      </c>
      <c r="B10896">
        <v>189957116.53040698</v>
      </c>
    </row>
    <row r="10897" spans="1:2" x14ac:dyDescent="0.25">
      <c r="A10897">
        <f ca="1">28898.9349799104*((RANDBETWEEN(2979,3282)))</f>
        <v>92678884.480572537</v>
      </c>
      <c r="B10897">
        <v>148538428.59913477</v>
      </c>
    </row>
    <row r="10898" spans="1:2" x14ac:dyDescent="0.25">
      <c r="A10898">
        <f ca="1">34915.0024821357*((RANDBETWEEN(2979,3282)))</f>
        <v>104954497.46129999</v>
      </c>
      <c r="B10898">
        <v>171579749.00609398</v>
      </c>
    </row>
    <row r="10899" spans="1:2" x14ac:dyDescent="0.25">
      <c r="A10899">
        <f ca="1">29084.2246429224*((RANDBETWEEN(2979,3282)))</f>
        <v>91237212.704847723</v>
      </c>
      <c r="B10899">
        <v>154589959.29476187</v>
      </c>
    </row>
    <row r="10900" spans="1:2" x14ac:dyDescent="0.25">
      <c r="A10900">
        <f ca="1">37386.9575801757*((RANDBETWEEN(2979,3282)))</f>
        <v>112908611.89213057</v>
      </c>
      <c r="B10900">
        <v>180296584.7484442</v>
      </c>
    </row>
    <row r="10901" spans="1:2" x14ac:dyDescent="0.25">
      <c r="A10901">
        <f ca="1">29231.9125847999*((RANDBETWEEN(2979,3282)))</f>
        <v>91437422.565254107</v>
      </c>
      <c r="B10901">
        <v>173597501.01263174</v>
      </c>
    </row>
    <row r="10902" spans="1:2" x14ac:dyDescent="0.25">
      <c r="A10902">
        <f ca="1">40691.2987871667*((RANDBETWEEN(2979,3282)))</f>
        <v>131025982.09467691</v>
      </c>
      <c r="B10902">
        <v>151114250.75977206</v>
      </c>
    </row>
    <row r="10903" spans="1:2" x14ac:dyDescent="0.25">
      <c r="A10903">
        <f ca="1">37582.8960444633*((RANDBETWEEN(2979,3282)))</f>
        <v>122708155.58517271</v>
      </c>
      <c r="B10903">
        <v>143164953.19812781</v>
      </c>
    </row>
    <row r="10904" spans="1:2" x14ac:dyDescent="0.25">
      <c r="A10904">
        <f ca="1">32152.3328099139*((RANDBETWEEN(2979,3282)))</f>
        <v>101312000.68403867</v>
      </c>
      <c r="B10904">
        <v>165211014.11294264</v>
      </c>
    </row>
    <row r="10905" spans="1:2" x14ac:dyDescent="0.25">
      <c r="A10905">
        <f ca="1">39003.926789709*((RANDBETWEEN(2979,3282)))</f>
        <v>127035789.55408205</v>
      </c>
      <c r="B10905">
        <v>177945241.65168205</v>
      </c>
    </row>
    <row r="10906" spans="1:2" x14ac:dyDescent="0.25">
      <c r="A10906">
        <f ca="1">29492.4767922165*((RANDBETWEEN(2979,3282)))</f>
        <v>92134497.49888432</v>
      </c>
      <c r="B10906">
        <v>174846925.12937135</v>
      </c>
    </row>
    <row r="10907" spans="1:2" x14ac:dyDescent="0.25">
      <c r="A10907">
        <f ca="1">31229.2961036275*((RANDBETWEEN(2979,3282)))</f>
        <v>100527104.15757681</v>
      </c>
      <c r="B10907">
        <v>161934875.54489556</v>
      </c>
    </row>
    <row r="10908" spans="1:2" x14ac:dyDescent="0.25">
      <c r="A10908">
        <f ca="1">36219.5839604564*((RANDBETWEEN(2979,3282)))</f>
        <v>114888520.32256773</v>
      </c>
      <c r="B10908">
        <v>200466999.00465524</v>
      </c>
    </row>
    <row r="10909" spans="1:2" x14ac:dyDescent="0.25">
      <c r="A10909">
        <f ca="1">30318.0091324157*((RANDBETWEEN(2979,3282)))</f>
        <v>98654801.716880783</v>
      </c>
      <c r="B10909">
        <v>178651891.67657217</v>
      </c>
    </row>
    <row r="10910" spans="1:2" x14ac:dyDescent="0.25">
      <c r="A10910">
        <f ca="1">31119.898392768*((RANDBETWEEN(2979,3282)))</f>
        <v>94573371.215621918</v>
      </c>
      <c r="B10910">
        <v>146977697.58726239</v>
      </c>
    </row>
    <row r="10911" spans="1:2" x14ac:dyDescent="0.25">
      <c r="A10911">
        <f ca="1">29535.4192424384*((RANDBETWEEN(2979,3282)))</f>
        <v>95133585.379894033</v>
      </c>
      <c r="B10911">
        <v>177967864.19428337</v>
      </c>
    </row>
    <row r="10912" spans="1:2" x14ac:dyDescent="0.25">
      <c r="A10912">
        <f ca="1">30964.0170514502*((RANDBETWEEN(2979,3282)))</f>
        <v>94749892.177437723</v>
      </c>
      <c r="B10912">
        <v>150164691.83804578</v>
      </c>
    </row>
    <row r="10913" spans="1:2" x14ac:dyDescent="0.25">
      <c r="A10913">
        <f ca="1">32562.4765849406*((RANDBETWEEN(2979,3282)))</f>
        <v>98078179.473841056</v>
      </c>
      <c r="B10913">
        <v>197118994.49756357</v>
      </c>
    </row>
    <row r="10914" spans="1:2" x14ac:dyDescent="0.25">
      <c r="A10914">
        <f ca="1">30504.4629323435*((RANDBETWEEN(2979,3282)))</f>
        <v>98864964.363725215</v>
      </c>
      <c r="B10914">
        <v>187427867.63311538</v>
      </c>
    </row>
    <row r="10915" spans="1:2" x14ac:dyDescent="0.25">
      <c r="A10915">
        <f ca="1">32126.9554758018*((RANDBETWEEN(2979,3282)))</f>
        <v>102003083.63567077</v>
      </c>
      <c r="B10915">
        <v>155474373.48270792</v>
      </c>
    </row>
    <row r="10916" spans="1:2" x14ac:dyDescent="0.25">
      <c r="A10916">
        <f ca="1">36385.7557510011*((RANDBETWEEN(2979,3282)))</f>
        <v>109957753.87952535</v>
      </c>
      <c r="B10916">
        <v>144399551.1873832</v>
      </c>
    </row>
    <row r="10917" spans="1:2" x14ac:dyDescent="0.25">
      <c r="A10917">
        <f ca="1">30194.1795526401*((RANDBETWEEN(2979,3282)))</f>
        <v>92062053.455999777</v>
      </c>
      <c r="B10917">
        <v>151034818.91552424</v>
      </c>
    </row>
    <row r="10918" spans="1:2" x14ac:dyDescent="0.25">
      <c r="A10918">
        <f ca="1">29971.1338563576*((RANDBETWEEN(2979,3282)))</f>
        <v>97196387.096167818</v>
      </c>
      <c r="B10918">
        <v>178927876.20020023</v>
      </c>
    </row>
    <row r="10919" spans="1:2" x14ac:dyDescent="0.25">
      <c r="A10919">
        <f ca="1">31172.5985029974*((RANDBETWEEN(2979,3282)))</f>
        <v>93642485.903004095</v>
      </c>
      <c r="B10919">
        <v>159535494.26346114</v>
      </c>
    </row>
    <row r="10920" spans="1:2" x14ac:dyDescent="0.25">
      <c r="A10920">
        <f ca="1">31238.3900408116*((RANDBETWEEN(2979,3282)))</f>
        <v>99306841.939739943</v>
      </c>
      <c r="B10920">
        <v>173971771.15757889</v>
      </c>
    </row>
    <row r="10921" spans="1:2" x14ac:dyDescent="0.25">
      <c r="A10921">
        <f ca="1">29644.6853151591*((RANDBETWEEN(2979,3282)))</f>
        <v>95159439.861660793</v>
      </c>
      <c r="B10921">
        <v>178414115.92204392</v>
      </c>
    </row>
    <row r="10922" spans="1:2" x14ac:dyDescent="0.25">
      <c r="A10922">
        <f ca="1">34308.5965641781*((RANDBETWEEN(2979,3282)))</f>
        <v>109032719.88095789</v>
      </c>
      <c r="B10922">
        <v>172651537.90337873</v>
      </c>
    </row>
    <row r="10923" spans="1:2" x14ac:dyDescent="0.25">
      <c r="A10923">
        <f ca="1">31527.83195082*((RANDBETWEEN(2979,3282)))</f>
        <v>97830862.543394431</v>
      </c>
      <c r="B10923">
        <v>165537464.32547843</v>
      </c>
    </row>
    <row r="10924" spans="1:2" x14ac:dyDescent="0.25">
      <c r="A10924">
        <f ca="1">29460.9460728551*((RANDBETWEEN(2979,3282)))</f>
        <v>89767502.683989584</v>
      </c>
      <c r="B10924">
        <v>155587839.70648682</v>
      </c>
    </row>
    <row r="10925" spans="1:2" x14ac:dyDescent="0.25">
      <c r="A10925">
        <f ca="1">41627.1968734344*((RANDBETWEEN(2979,3282)))</f>
        <v>132749130.82938229</v>
      </c>
      <c r="B10925">
        <v>148272408.06266272</v>
      </c>
    </row>
    <row r="10926" spans="1:2" x14ac:dyDescent="0.25">
      <c r="A10926">
        <f ca="1">30960.7292657398*((RANDBETWEEN(2979,3282)))</f>
        <v>100312762.82099696</v>
      </c>
      <c r="B10926">
        <v>144793062.90770194</v>
      </c>
    </row>
    <row r="10927" spans="1:2" x14ac:dyDescent="0.25">
      <c r="A10927">
        <f ca="1">30587.2424680555*((RANDBETWEEN(2979,3282)))</f>
        <v>98368571.777266413</v>
      </c>
      <c r="B10927">
        <v>173948102.43842107</v>
      </c>
    </row>
    <row r="10928" spans="1:2" x14ac:dyDescent="0.25">
      <c r="A10928">
        <f ca="1">37230.8410513363*((RANDBETWEEN(2979,3282)))</f>
        <v>112697755.86239493</v>
      </c>
      <c r="B10928">
        <v>148665560.19928485</v>
      </c>
    </row>
    <row r="10929" spans="1:2" x14ac:dyDescent="0.25">
      <c r="A10929">
        <f ca="1">31193.0776851888*((RANDBETWEEN(2979,3282)))</f>
        <v>93080143.81260331</v>
      </c>
      <c r="B10929">
        <v>148337403.45770997</v>
      </c>
    </row>
    <row r="10930" spans="1:2" x14ac:dyDescent="0.25">
      <c r="A10930">
        <f ca="1">35265.714373714*((RANDBETWEEN(2979,3282)))</f>
        <v>107701491.69732259</v>
      </c>
      <c r="B10930">
        <v>158072172.91654426</v>
      </c>
    </row>
    <row r="10931" spans="1:2" x14ac:dyDescent="0.25">
      <c r="A10931">
        <f ca="1">33414.2934318074*((RANDBETWEEN(2979,3282)))</f>
        <v>99808494.48080869</v>
      </c>
      <c r="B10931">
        <v>157257346.72707164</v>
      </c>
    </row>
    <row r="10932" spans="1:2" x14ac:dyDescent="0.25">
      <c r="A10932">
        <f ca="1">41585.8804994852*((RANDBETWEEN(2979,3282)))</f>
        <v>130704422.40988196</v>
      </c>
      <c r="B10932">
        <v>155722768.98373818</v>
      </c>
    </row>
    <row r="10933" spans="1:2" x14ac:dyDescent="0.25">
      <c r="A10933">
        <f ca="1">32043.8546132336*((RANDBETWEEN(2979,3282)))</f>
        <v>97733756.570362389</v>
      </c>
      <c r="B10933">
        <v>159497035.74893087</v>
      </c>
    </row>
    <row r="10934" spans="1:2" x14ac:dyDescent="0.25">
      <c r="A10934">
        <f ca="1">39610.7390405756*((RANDBETWEEN(2979,3282)))</f>
        <v>123664727.28467709</v>
      </c>
      <c r="B10934">
        <v>202870439.54647136</v>
      </c>
    </row>
    <row r="10935" spans="1:2" x14ac:dyDescent="0.25">
      <c r="A10935">
        <f ca="1">33022.9540850262*((RANDBETWEEN(2979,3282)))</f>
        <v>104583695.58727804</v>
      </c>
      <c r="B10935">
        <v>169238870.11465505</v>
      </c>
    </row>
    <row r="10936" spans="1:2" x14ac:dyDescent="0.25">
      <c r="A10936">
        <f ca="1">30754.1957099682*((RANDBETWEEN(2979,3282)))</f>
        <v>92662391.674134105</v>
      </c>
      <c r="B10936">
        <v>178010994.12199566</v>
      </c>
    </row>
    <row r="10937" spans="1:2" x14ac:dyDescent="0.25">
      <c r="A10937">
        <f ca="1">31136.704727743*((RANDBETWEEN(2979,3282)))</f>
        <v>94375352.029788986</v>
      </c>
      <c r="B10937">
        <v>184320074.8198109</v>
      </c>
    </row>
    <row r="10938" spans="1:2" x14ac:dyDescent="0.25">
      <c r="A10938">
        <f ca="1">37406.4756994701*((RANDBETWEEN(2979,3282)))</f>
        <v>119401470.43270855</v>
      </c>
      <c r="B10938">
        <v>167040018.50900045</v>
      </c>
    </row>
    <row r="10939" spans="1:2" x14ac:dyDescent="0.25">
      <c r="A10939">
        <f ca="1">34910.6316017883*((RANDBETWEEN(2979,3282)))</f>
        <v>107385102.80710073</v>
      </c>
      <c r="B10939">
        <v>194703193.82075706</v>
      </c>
    </row>
    <row r="10940" spans="1:2" x14ac:dyDescent="0.25">
      <c r="A10940">
        <f ca="1">37002.7916365022*((RANDBETWEEN(2979,3282)))</f>
        <v>115337701.53097723</v>
      </c>
      <c r="B10940">
        <v>173144694.67645502</v>
      </c>
    </row>
    <row r="10941" spans="1:2" x14ac:dyDescent="0.25">
      <c r="A10941">
        <f ca="1">30856.6667669141*((RANDBETWEEN(2979,3282)))</f>
        <v>97599636.983749285</v>
      </c>
      <c r="B10941">
        <v>152592587.13962498</v>
      </c>
    </row>
    <row r="10942" spans="1:2" x14ac:dyDescent="0.25">
      <c r="A10942">
        <f ca="1">32945.7228250519*((RANDBETWEEN(2979,3282)))</f>
        <v>99232517.149056286</v>
      </c>
      <c r="B10942">
        <v>150843087.66885248</v>
      </c>
    </row>
    <row r="10943" spans="1:2" x14ac:dyDescent="0.25">
      <c r="A10943">
        <f ca="1">29927.2315032346*((RANDBETWEEN(2979,3282)))</f>
        <v>94151070.309176117</v>
      </c>
      <c r="B10943">
        <v>144654280.17821252</v>
      </c>
    </row>
    <row r="10944" spans="1:2" x14ac:dyDescent="0.25">
      <c r="A10944">
        <f ca="1">31917.7752155244*((RANDBETWEEN(2979,3282)))</f>
        <v>95274559.018340483</v>
      </c>
      <c r="B10944">
        <v>183555683.7448577</v>
      </c>
    </row>
    <row r="10945" spans="1:2" x14ac:dyDescent="0.25">
      <c r="A10945">
        <f ca="1">39198.3545851504*((RANDBETWEEN(2979,3282)))</f>
        <v>125630726.44540732</v>
      </c>
      <c r="B10945">
        <v>148720461.03391969</v>
      </c>
    </row>
    <row r="10946" spans="1:2" x14ac:dyDescent="0.25">
      <c r="A10946">
        <f ca="1">31707.1502078284*((RANDBETWEEN(2979,3282)))</f>
        <v>98989722.94884041</v>
      </c>
      <c r="B10946">
        <v>160800467.17144069</v>
      </c>
    </row>
    <row r="10947" spans="1:2" x14ac:dyDescent="0.25">
      <c r="A10947">
        <f ca="1">34085.6538374137*((RANDBETWEEN(2979,3282)))</f>
        <v>106790353.47261718</v>
      </c>
      <c r="B10947">
        <v>183683246.69489008</v>
      </c>
    </row>
    <row r="10948" spans="1:2" x14ac:dyDescent="0.25">
      <c r="A10948">
        <f ca="1">31171.3773082611*((RANDBETWEEN(2979,3282)))</f>
        <v>97192354.447158128</v>
      </c>
      <c r="B10948">
        <v>159481496.03370199</v>
      </c>
    </row>
    <row r="10949" spans="1:2" x14ac:dyDescent="0.25">
      <c r="A10949">
        <f ca="1">31603.3481018825*((RANDBETWEEN(2979,3282)))</f>
        <v>94557217.520832479</v>
      </c>
      <c r="B10949">
        <v>195973437.32444358</v>
      </c>
    </row>
    <row r="10950" spans="1:2" x14ac:dyDescent="0.25">
      <c r="A10950">
        <f ca="1">31870.6406991833*((RANDBETWEEN(2979,3282)))</f>
        <v>95229474.40915966</v>
      </c>
      <c r="B10950">
        <v>164791044.15299681</v>
      </c>
    </row>
    <row r="10951" spans="1:2" x14ac:dyDescent="0.25">
      <c r="A10951">
        <f ca="1">32107.7256077104*((RANDBETWEEN(2979,3282)))</f>
        <v>97479054.945008859</v>
      </c>
      <c r="B10951">
        <v>181853777.31347618</v>
      </c>
    </row>
    <row r="10952" spans="1:2" x14ac:dyDescent="0.25">
      <c r="A10952">
        <f ca="1">28687.4336490114*((RANDBETWEEN(2979,3282)))</f>
        <v>85947551.212438226</v>
      </c>
      <c r="B10952">
        <v>143054873.73238355</v>
      </c>
    </row>
    <row r="10953" spans="1:2" x14ac:dyDescent="0.25">
      <c r="A10953">
        <f ca="1">29086.0934454602*((RANDBETWEEN(2979,3282)))</f>
        <v>91679366.540090427</v>
      </c>
      <c r="B10953">
        <v>173395312.98695564</v>
      </c>
    </row>
    <row r="10954" spans="1:2" x14ac:dyDescent="0.25">
      <c r="A10954">
        <f ca="1">30046.3388228362*((RANDBETWEEN(2979,3282)))</f>
        <v>91851657.781410307</v>
      </c>
      <c r="B10954">
        <v>162768993.01680067</v>
      </c>
    </row>
    <row r="10955" spans="1:2" x14ac:dyDescent="0.25">
      <c r="A10955">
        <f ca="1">30793.2996453501*((RANDBETWEEN(2979,3282)))</f>
        <v>100293776.94490512</v>
      </c>
      <c r="B10955">
        <v>193030425.43953866</v>
      </c>
    </row>
    <row r="10956" spans="1:2" x14ac:dyDescent="0.25">
      <c r="A10956">
        <f ca="1">29010.5525729795*((RANDBETWEEN(2979,3282)))</f>
        <v>87234731.586949289</v>
      </c>
      <c r="B10956">
        <v>197048862.05570671</v>
      </c>
    </row>
    <row r="10957" spans="1:2" x14ac:dyDescent="0.25">
      <c r="A10957">
        <f ca="1">31297.4680891838*((RANDBETWEEN(2979,3282)))</f>
        <v>93673321.990927115</v>
      </c>
      <c r="B10957">
        <v>145494781.13631737</v>
      </c>
    </row>
    <row r="10958" spans="1:2" x14ac:dyDescent="0.25">
      <c r="A10958">
        <f ca="1">33563.9936235742*((RANDBETWEEN(2979,3282)))</f>
        <v>105424503.97164658</v>
      </c>
      <c r="B10958">
        <v>158964359.28426933</v>
      </c>
    </row>
    <row r="10959" spans="1:2" x14ac:dyDescent="0.25">
      <c r="A10959">
        <f ca="1">33480.8667985403*((RANDBETWEEN(2979,3282)))</f>
        <v>101011775.13119598</v>
      </c>
      <c r="B10959">
        <v>168232195.16231161</v>
      </c>
    </row>
    <row r="10960" spans="1:2" x14ac:dyDescent="0.25">
      <c r="A10960">
        <f ca="1">33927.2281422221*((RANDBETWEEN(2979,3282)))</f>
        <v>110365273.1466486</v>
      </c>
      <c r="B10960">
        <v>155064594.52376878</v>
      </c>
    </row>
    <row r="10961" spans="1:2" x14ac:dyDescent="0.25">
      <c r="A10961">
        <f ca="1">37645.9447215879*((RANDBETWEEN(2979,3282)))</f>
        <v>119601166.3804847</v>
      </c>
      <c r="B10961">
        <v>143011518.96813038</v>
      </c>
    </row>
    <row r="10962" spans="1:2" x14ac:dyDescent="0.25">
      <c r="A10962">
        <f ca="1">32577.6037313991*((RANDBETWEEN(2979,3282)))</f>
        <v>97928276.816585809</v>
      </c>
      <c r="B10962">
        <v>152914759.72500458</v>
      </c>
    </row>
    <row r="10963" spans="1:2" x14ac:dyDescent="0.25">
      <c r="A10963">
        <f ca="1">30034.8302036643*((RANDBETWEEN(2979,3282)))</f>
        <v>97673267.822316363</v>
      </c>
      <c r="B10963">
        <v>155806593.77241999</v>
      </c>
    </row>
    <row r="10964" spans="1:2" x14ac:dyDescent="0.25">
      <c r="A10964">
        <f ca="1">33928.1083747803*((RANDBETWEEN(2979,3282)))</f>
        <v>101105762.95684527</v>
      </c>
      <c r="B10964">
        <v>160810634.71305859</v>
      </c>
    </row>
    <row r="10965" spans="1:2" x14ac:dyDescent="0.25">
      <c r="A10965">
        <f ca="1">32047.5959068335*((RANDBETWEEN(2979,3282)))</f>
        <v>96911930.022264406</v>
      </c>
      <c r="B10965">
        <v>162731379.24585217</v>
      </c>
    </row>
    <row r="10966" spans="1:2" x14ac:dyDescent="0.25">
      <c r="A10966">
        <f ca="1">33710.8669280317*((RANDBETWEEN(2979,3282)))</f>
        <v>102379902.86043219</v>
      </c>
      <c r="B10966">
        <v>179275847.57567203</v>
      </c>
    </row>
    <row r="10967" spans="1:2" x14ac:dyDescent="0.25">
      <c r="A10967">
        <f ca="1">30081.1226695689*((RANDBETWEEN(2979,3282)))</f>
        <v>92830344.558289558</v>
      </c>
      <c r="B10967">
        <v>202342703.79262331</v>
      </c>
    </row>
    <row r="10968" spans="1:2" x14ac:dyDescent="0.25">
      <c r="A10968">
        <f ca="1">33282.9071192701*((RANDBETWEEN(2979,3282)))</f>
        <v>108502277.2088206</v>
      </c>
      <c r="B10968">
        <v>178656087.52641565</v>
      </c>
    </row>
    <row r="10969" spans="1:2" x14ac:dyDescent="0.25">
      <c r="A10969">
        <f ca="1">31429.1180213943*((RANDBETWEEN(2979,3282)))</f>
        <v>97775986.164557546</v>
      </c>
      <c r="B10969">
        <v>148612320.43686125</v>
      </c>
    </row>
    <row r="10970" spans="1:2" x14ac:dyDescent="0.25">
      <c r="A10970">
        <f ca="1">32635.3337151456*((RANDBETWEEN(2979,3282)))</f>
        <v>102311771.19698133</v>
      </c>
      <c r="B10970">
        <v>163335719.67733195</v>
      </c>
    </row>
    <row r="10971" spans="1:2" x14ac:dyDescent="0.25">
      <c r="A10971">
        <f ca="1">33003.5277732826*((RANDBETWEEN(2979,3282)))</f>
        <v>104291147.76357308</v>
      </c>
      <c r="B10971">
        <v>197099816.74241146</v>
      </c>
    </row>
    <row r="10972" spans="1:2" x14ac:dyDescent="0.25">
      <c r="A10972">
        <f ca="1">28333.0698933497*((RANDBETWEEN(2979,3282)))</f>
        <v>84602546.701542154</v>
      </c>
      <c r="B10972">
        <v>147085819.38937825</v>
      </c>
    </row>
    <row r="10973" spans="1:2" x14ac:dyDescent="0.25">
      <c r="A10973">
        <f ca="1">32522.0393848422*((RANDBETWEEN(2979,3282)))</f>
        <v>106119414.51273997</v>
      </c>
      <c r="B10973">
        <v>157999439.27755988</v>
      </c>
    </row>
    <row r="10974" spans="1:2" x14ac:dyDescent="0.25">
      <c r="A10974">
        <f ca="1">39982.9129853108*((RANDBETWEEN(2979,3282)))</f>
        <v>121228192.17146245</v>
      </c>
      <c r="B10974">
        <v>169863318.38933763</v>
      </c>
    </row>
    <row r="10975" spans="1:2" x14ac:dyDescent="0.25">
      <c r="A10975">
        <f ca="1">33020.7959961022*((RANDBETWEEN(2979,3282)))</f>
        <v>108143106.88723467</v>
      </c>
      <c r="B10975">
        <v>159838296.43007523</v>
      </c>
    </row>
    <row r="10976" spans="1:2" x14ac:dyDescent="0.25">
      <c r="A10976">
        <f ca="1">30733.8984447305*((RANDBETWEEN(2979,3282)))</f>
        <v>94199398.733099133</v>
      </c>
      <c r="B10976">
        <v>151202893.85719281</v>
      </c>
    </row>
    <row r="10977" spans="1:2" x14ac:dyDescent="0.25">
      <c r="A10977">
        <f ca="1">29781.9635470298*((RANDBETWEEN(2979,3282)))</f>
        <v>91996485.396775052</v>
      </c>
      <c r="B10977">
        <v>166704280.08444709</v>
      </c>
    </row>
    <row r="10978" spans="1:2" x14ac:dyDescent="0.25">
      <c r="A10978">
        <f ca="1">32932.8718748096*((RANDBETWEEN(2979,3282)))</f>
        <v>103079888.96815416</v>
      </c>
      <c r="B10978">
        <v>195012442.88051999</v>
      </c>
    </row>
    <row r="10979" spans="1:2" x14ac:dyDescent="0.25">
      <c r="A10979">
        <f ca="1">30746.1967093521*((RANDBETWEEN(2979,3282)))</f>
        <v>94729032.061513811</v>
      </c>
      <c r="B10979">
        <v>145108855.46861881</v>
      </c>
    </row>
    <row r="10980" spans="1:2" x14ac:dyDescent="0.25">
      <c r="A10980">
        <f ca="1">29235.5858724844*((RANDBETWEEN(2979,3282)))</f>
        <v>92706042.801648021</v>
      </c>
      <c r="B10980">
        <v>179939253.70582736</v>
      </c>
    </row>
    <row r="10981" spans="1:2" x14ac:dyDescent="0.25">
      <c r="A10981">
        <f ca="1">29743.7354192392*((RANDBETWEEN(2979,3282)))</f>
        <v>95507134.431176975</v>
      </c>
      <c r="B10981">
        <v>154378012.10355592</v>
      </c>
    </row>
    <row r="10982" spans="1:2" x14ac:dyDescent="0.25">
      <c r="A10982">
        <f ca="1">32416.9048247464*((RANDBETWEEN(2979,3282)))</f>
        <v>102858839.00892037</v>
      </c>
      <c r="B10982">
        <v>169267594.64587179</v>
      </c>
    </row>
    <row r="10983" spans="1:2" x14ac:dyDescent="0.25">
      <c r="A10983">
        <f ca="1">34101.5432877782*((RANDBETWEEN(2979,3282)))</f>
        <v>109397750.86719246</v>
      </c>
      <c r="B10983">
        <v>157596357.77561429</v>
      </c>
    </row>
    <row r="10984" spans="1:2" x14ac:dyDescent="0.25">
      <c r="A10984">
        <f ca="1">31229.392294655*((RANDBETWEEN(2979,3282)))</f>
        <v>95561940.421644181</v>
      </c>
      <c r="B10984">
        <v>145803491.95476562</v>
      </c>
    </row>
    <row r="10985" spans="1:2" x14ac:dyDescent="0.25">
      <c r="A10985">
        <f ca="1">34800.4537606129*((RANDBETWEEN(2979,3282)))</f>
        <v>112718669.73062529</v>
      </c>
      <c r="B10985">
        <v>151371387.22242853</v>
      </c>
    </row>
    <row r="10986" spans="1:2" x14ac:dyDescent="0.25">
      <c r="A10986">
        <f ca="1">38601.3788038099*((RANDBETWEEN(2979,3282)))</f>
        <v>118043016.3820506</v>
      </c>
      <c r="B10986">
        <v>168709646.7026256</v>
      </c>
    </row>
    <row r="10987" spans="1:2" x14ac:dyDescent="0.25">
      <c r="A10987">
        <f ca="1">32366.4392130552*((RANDBETWEEN(2979,3282)))</f>
        <v>97746646.423426792</v>
      </c>
      <c r="B10987">
        <v>157470830.15825412</v>
      </c>
    </row>
    <row r="10988" spans="1:2" x14ac:dyDescent="0.25">
      <c r="A10988">
        <f ca="1">30322.6892407153*((RANDBETWEEN(2979,3282)))</f>
        <v>98245513.139917716</v>
      </c>
      <c r="B10988">
        <v>146437570.58066159</v>
      </c>
    </row>
    <row r="10989" spans="1:2" x14ac:dyDescent="0.25">
      <c r="A10989">
        <f ca="1">30672.0105529084*((RANDBETWEEN(2979,3282)))</f>
        <v>97690353.611013129</v>
      </c>
      <c r="B10989">
        <v>145186943.48045808</v>
      </c>
    </row>
    <row r="10990" spans="1:2" x14ac:dyDescent="0.25">
      <c r="A10990">
        <f ca="1">35626.0040014636*((RANDBETWEEN(2979,3282)))</f>
        <v>108481182.18445656</v>
      </c>
      <c r="B10990">
        <v>162389909.0657168</v>
      </c>
    </row>
    <row r="10991" spans="1:2" x14ac:dyDescent="0.25">
      <c r="A10991">
        <f ca="1">34013.6043534408*((RANDBETWEEN(2979,3282)))</f>
        <v>105918363.95661463</v>
      </c>
      <c r="B10991">
        <v>183532337.18878645</v>
      </c>
    </row>
    <row r="10992" spans="1:2" x14ac:dyDescent="0.25">
      <c r="A10992">
        <f ca="1">29942.5904902281*((RANDBETWEEN(2979,3282)))</f>
        <v>95037782.215983883</v>
      </c>
      <c r="B10992">
        <v>165019670.34857112</v>
      </c>
    </row>
    <row r="10993" spans="1:2" x14ac:dyDescent="0.25">
      <c r="A10993">
        <f ca="1">32233.3272646794*((RANDBETWEEN(2979,3282)))</f>
        <v>104790546.93747263</v>
      </c>
      <c r="B10993">
        <v>175216365.35969445</v>
      </c>
    </row>
    <row r="10994" spans="1:2" x14ac:dyDescent="0.25">
      <c r="A10994">
        <f ca="1">29809.038800403*((RANDBETWEEN(2979,3282)))</f>
        <v>95359115.122489229</v>
      </c>
      <c r="B10994">
        <v>151400141.56269646</v>
      </c>
    </row>
    <row r="10995" spans="1:2" x14ac:dyDescent="0.25">
      <c r="A10995">
        <f ca="1">36163.6983360495*((RANDBETWEEN(2979,3282)))</f>
        <v>108816568.29317285</v>
      </c>
      <c r="B10995">
        <v>158847502.56113866</v>
      </c>
    </row>
    <row r="10996" spans="1:2" x14ac:dyDescent="0.25">
      <c r="A10996">
        <f ca="1">34647.9821994701*((RANDBETWEEN(2979,3282)))</f>
        <v>107200856.92516056</v>
      </c>
      <c r="B10996">
        <v>194316251.74599889</v>
      </c>
    </row>
    <row r="10997" spans="1:2" x14ac:dyDescent="0.25">
      <c r="A10997">
        <f ca="1">29869.3738957185*((RANDBETWEEN(2979,3282)))</f>
        <v>96209253.318109363</v>
      </c>
      <c r="B10997">
        <v>162899331.2787292</v>
      </c>
    </row>
    <row r="10998" spans="1:2" x14ac:dyDescent="0.25">
      <c r="A10998">
        <f ca="1">39151.3692424607*((RANDBETWEEN(2979,3282)))</f>
        <v>117963075.52753422</v>
      </c>
      <c r="B10998">
        <v>182355981.35964924</v>
      </c>
    </row>
    <row r="10999" spans="1:2" x14ac:dyDescent="0.25">
      <c r="A10999">
        <f ca="1">33269.097555615*((RANDBETWEEN(2979,3282)))</f>
        <v>101071518.37395839</v>
      </c>
      <c r="B10999">
        <v>164294214.68576011</v>
      </c>
    </row>
    <row r="11000" spans="1:2" x14ac:dyDescent="0.25">
      <c r="A11000">
        <f ca="1">30356.3169332476*((RANDBETWEEN(2979,3282)))</f>
        <v>92677835.597204864</v>
      </c>
      <c r="B11000">
        <v>160879064.51029173</v>
      </c>
    </row>
    <row r="11001" spans="1:2" x14ac:dyDescent="0.25">
      <c r="A11001">
        <f ca="1">34245.7391271947*((RANDBETWEEN(2979,3282)))</f>
        <v>102976937.5554745</v>
      </c>
      <c r="B11001">
        <v>172396603.81945026</v>
      </c>
    </row>
    <row r="11002" spans="1:2" x14ac:dyDescent="0.25">
      <c r="A11002">
        <f ca="1">32536.8663774971*((RANDBETWEEN(2979,3282)))</f>
        <v>98098652.128153846</v>
      </c>
      <c r="B11002">
        <v>189854586.83811527</v>
      </c>
    </row>
    <row r="11003" spans="1:2" x14ac:dyDescent="0.25">
      <c r="A11003">
        <f ca="1">29255.4693186073*((RANDBETWEEN(2979,3282)))</f>
        <v>88293006.403556943</v>
      </c>
      <c r="B11003">
        <v>186796601.02558449</v>
      </c>
    </row>
    <row r="11004" spans="1:2" x14ac:dyDescent="0.25">
      <c r="A11004">
        <f ca="1">39147.9926552832*((RANDBETWEEN(2979,3282)))</f>
        <v>125665056.42345904</v>
      </c>
      <c r="B11004">
        <v>165228258.36204129</v>
      </c>
    </row>
    <row r="11005" spans="1:2" x14ac:dyDescent="0.25">
      <c r="A11005">
        <f ca="1">40165.9850691591*((RANDBETWEEN(2979,3282)))</f>
        <v>124353889.77411684</v>
      </c>
      <c r="B11005">
        <v>150424911.19700551</v>
      </c>
    </row>
    <row r="11006" spans="1:2" x14ac:dyDescent="0.25">
      <c r="A11006">
        <f ca="1">28601.1249267405*((RANDBETWEEN(2979,3282)))</f>
        <v>92353032.388445124</v>
      </c>
      <c r="B11006">
        <v>187090587.6992746</v>
      </c>
    </row>
    <row r="11007" spans="1:2" x14ac:dyDescent="0.25">
      <c r="A11007">
        <f ca="1">32613.7692298583*((RANDBETWEEN(2979,3282)))</f>
        <v>98395741.766482547</v>
      </c>
      <c r="B11007">
        <v>195345136.12220359</v>
      </c>
    </row>
    <row r="11008" spans="1:2" x14ac:dyDescent="0.25">
      <c r="A11008">
        <f ca="1">29197.1302824257*((RANDBETWEEN(2979,3282)))</f>
        <v>90773878.048061773</v>
      </c>
      <c r="B11008">
        <v>178656135.1881327</v>
      </c>
    </row>
    <row r="11009" spans="1:2" x14ac:dyDescent="0.25">
      <c r="A11009">
        <f ca="1">33553.0183928355*((RANDBETWEEN(2979,3282)))</f>
        <v>103846591.92582577</v>
      </c>
      <c r="B11009">
        <v>143164077.97273123</v>
      </c>
    </row>
    <row r="11010" spans="1:2" x14ac:dyDescent="0.25">
      <c r="A11010">
        <f ca="1">39678.5908535835*((RANDBETWEEN(2979,3282)))</f>
        <v>122289417.01074442</v>
      </c>
      <c r="B11010">
        <v>151187433.67594057</v>
      </c>
    </row>
    <row r="11011" spans="1:2" x14ac:dyDescent="0.25">
      <c r="A11011">
        <f ca="1">31087.2184522599*((RANDBETWEEN(2979,3282)))</f>
        <v>101188896.06210606</v>
      </c>
      <c r="B11011">
        <v>164370584.3301442</v>
      </c>
    </row>
    <row r="11012" spans="1:2" x14ac:dyDescent="0.25">
      <c r="A11012">
        <f ca="1">29120.5154181987*((RANDBETWEEN(2979,3282)))</f>
        <v>95136723.871255189</v>
      </c>
      <c r="B11012">
        <v>146597585.4504773</v>
      </c>
    </row>
    <row r="11013" spans="1:2" x14ac:dyDescent="0.25">
      <c r="A11013">
        <f ca="1">41809.6210428336*((RANDBETWEEN(2979,3282)))</f>
        <v>135923078.01025206</v>
      </c>
      <c r="B11013">
        <v>167173895.78575915</v>
      </c>
    </row>
    <row r="11014" spans="1:2" x14ac:dyDescent="0.25">
      <c r="A11014">
        <f ca="1">33916.3245470736*((RANDBETWEEN(2979,3282)))</f>
        <v>107039920.27056442</v>
      </c>
      <c r="B11014">
        <v>155993401.55861172</v>
      </c>
    </row>
    <row r="11015" spans="1:2" x14ac:dyDescent="0.25">
      <c r="A11015">
        <f ca="1">30867.0643073192*((RANDBETWEEN(2979,3282)))</f>
        <v>100626629.64186047</v>
      </c>
      <c r="B11015">
        <v>194162666.73112699</v>
      </c>
    </row>
    <row r="11016" spans="1:2" x14ac:dyDescent="0.25">
      <c r="A11016">
        <f ca="1">30554.4725860908*((RANDBETWEEN(2979,3282)))</f>
        <v>97346549.659285411</v>
      </c>
      <c r="B11016">
        <v>148419697.0376983</v>
      </c>
    </row>
    <row r="11017" spans="1:2" x14ac:dyDescent="0.25">
      <c r="A11017">
        <f ca="1">32182.960975437*((RANDBETWEEN(2979,3282)))</f>
        <v>103178572.88725103</v>
      </c>
      <c r="B11017">
        <v>181360428.21694949</v>
      </c>
    </row>
    <row r="11018" spans="1:2" x14ac:dyDescent="0.25">
      <c r="A11018">
        <f ca="1">29614.5893783288*((RANDBETWEEN(2979,3282)))</f>
        <v>95240519.440705314</v>
      </c>
      <c r="B11018">
        <v>197467497.85851949</v>
      </c>
    </row>
    <row r="11019" spans="1:2" x14ac:dyDescent="0.25">
      <c r="A11019">
        <f ca="1">32311.3983019466*((RANDBETWEEN(2979,3282)))</f>
        <v>97838914.058294192</v>
      </c>
      <c r="B11019">
        <v>154748652.28653216</v>
      </c>
    </row>
    <row r="11020" spans="1:2" x14ac:dyDescent="0.25">
      <c r="A11020">
        <f ca="1">27617.2786577754*((RANDBETWEEN(2979,3282)))</f>
        <v>82465194.072117299</v>
      </c>
      <c r="B11020">
        <v>153719511.7174021</v>
      </c>
    </row>
    <row r="11021" spans="1:2" x14ac:dyDescent="0.25">
      <c r="A11021">
        <f ca="1">32380.3249027987*((RANDBETWEEN(2979,3282)))</f>
        <v>105009393.65977606</v>
      </c>
      <c r="B11021">
        <v>196645375.87822282</v>
      </c>
    </row>
    <row r="11022" spans="1:2" x14ac:dyDescent="0.25">
      <c r="A11022">
        <f ca="1">32519.1883198346*((RANDBETWEEN(2979,3282)))</f>
        <v>99248562.752135262</v>
      </c>
      <c r="B11022">
        <v>176354483.32658705</v>
      </c>
    </row>
    <row r="11023" spans="1:2" x14ac:dyDescent="0.25">
      <c r="A11023">
        <f ca="1">33030.9700003424*((RANDBETWEEN(2979,3282)))</f>
        <v>102230852.15105984</v>
      </c>
      <c r="B11023">
        <v>151695769.63081771</v>
      </c>
    </row>
    <row r="11024" spans="1:2" x14ac:dyDescent="0.25">
      <c r="A11024">
        <f ca="1">39567.4404833678*((RANDBETWEEN(2979,3282)))</f>
        <v>122540363.17699009</v>
      </c>
      <c r="B11024">
        <v>172882949.01995534</v>
      </c>
    </row>
    <row r="11025" spans="1:2" x14ac:dyDescent="0.25">
      <c r="A11025">
        <f ca="1">29203.6715632476*((RANDBETWEEN(2979,3282)))</f>
        <v>92400416.826115415</v>
      </c>
      <c r="B11025">
        <v>203250049.77840161</v>
      </c>
    </row>
    <row r="11026" spans="1:2" x14ac:dyDescent="0.25">
      <c r="A11026">
        <f ca="1">38632.5007226349*((RANDBETWEEN(2979,3282)))</f>
        <v>121962804.78135844</v>
      </c>
      <c r="B11026">
        <v>178620898.00137776</v>
      </c>
    </row>
    <row r="11027" spans="1:2" x14ac:dyDescent="0.25">
      <c r="A11027">
        <f ca="1">32824.1647712888*((RANDBETWEEN(2979,3282)))</f>
        <v>101492317.47282489</v>
      </c>
      <c r="B11027">
        <v>163558029.00167727</v>
      </c>
    </row>
    <row r="11028" spans="1:2" x14ac:dyDescent="0.25">
      <c r="A11028">
        <f ca="1">28654.0300630841*((RANDBETWEEN(2979,3282)))</f>
        <v>87538061.842722014</v>
      </c>
      <c r="B11028">
        <v>168384007.48565453</v>
      </c>
    </row>
    <row r="11029" spans="1:2" x14ac:dyDescent="0.25">
      <c r="A11029">
        <f ca="1">30150.7255037847*((RANDBETWEEN(2979,3282)))</f>
        <v>98080310.063811615</v>
      </c>
      <c r="B11029">
        <v>179166278.49235052</v>
      </c>
    </row>
    <row r="11030" spans="1:2" x14ac:dyDescent="0.25">
      <c r="A11030">
        <f ca="1">31849.7512681322*((RANDBETWEEN(2979,3282)))</f>
        <v>103225043.86001648</v>
      </c>
      <c r="B11030">
        <v>191701730.1537891</v>
      </c>
    </row>
    <row r="11031" spans="1:2" x14ac:dyDescent="0.25">
      <c r="A11031">
        <f ca="1">39162.6952039631*((RANDBETWEEN(2979,3282)))</f>
        <v>121130216.26585789</v>
      </c>
      <c r="B11031">
        <v>145638114.43342942</v>
      </c>
    </row>
    <row r="11032" spans="1:2" x14ac:dyDescent="0.25">
      <c r="A11032">
        <f ca="1">40933.978698451*((RANDBETWEEN(2979,3282)))</f>
        <v>130906863.87764618</v>
      </c>
      <c r="B11032">
        <v>179363512.67195475</v>
      </c>
    </row>
    <row r="11033" spans="1:2" x14ac:dyDescent="0.25">
      <c r="A11033">
        <f ca="1">29343.3897662478*((RANDBETWEEN(2979,3282)))</f>
        <v>91463345.901394472</v>
      </c>
      <c r="B11033">
        <v>158903716.74204335</v>
      </c>
    </row>
    <row r="11034" spans="1:2" x14ac:dyDescent="0.25">
      <c r="A11034">
        <f ca="1">40468.8085146002*((RANDBETWEEN(2979,3282)))</f>
        <v>125979400.90595032</v>
      </c>
      <c r="B11034">
        <v>159429488.41348231</v>
      </c>
    </row>
    <row r="11035" spans="1:2" x14ac:dyDescent="0.25">
      <c r="A11035">
        <f ca="1">42313.8541367105*((RANDBETWEEN(2979,3282)))</f>
        <v>138662500.00600025</v>
      </c>
      <c r="B11035">
        <v>196444429.07507786</v>
      </c>
    </row>
    <row r="11036" spans="1:2" x14ac:dyDescent="0.25">
      <c r="A11036">
        <f ca="1">36969.0729470935*((RANDBETWEEN(2979,3282)))</f>
        <v>118190126.21185777</v>
      </c>
      <c r="B11036">
        <v>167397481.93293199</v>
      </c>
    </row>
    <row r="11037" spans="1:2" x14ac:dyDescent="0.25">
      <c r="A11037">
        <f ca="1">37054.2224432493*((RANDBETWEEN(2979,3282)))</f>
        <v>113941734.01299161</v>
      </c>
      <c r="B11037">
        <v>196394105.77321553</v>
      </c>
    </row>
    <row r="11038" spans="1:2" x14ac:dyDescent="0.25">
      <c r="A11038">
        <f ca="1">36875.6348111942*((RANDBETWEEN(2979,3282)))</f>
        <v>111659422.20829593</v>
      </c>
      <c r="B11038">
        <v>147282109.21345231</v>
      </c>
    </row>
    <row r="11039" spans="1:2" x14ac:dyDescent="0.25">
      <c r="A11039">
        <f ca="1">33950.4262347178*((RANDBETWEEN(2979,3282)))</f>
        <v>109490124.6069648</v>
      </c>
      <c r="B11039">
        <v>155668068.55352205</v>
      </c>
    </row>
    <row r="11040" spans="1:2" x14ac:dyDescent="0.25">
      <c r="A11040">
        <f ca="1">30110.1886047336*((RANDBETWEEN(2979,3282)))</f>
        <v>92588829.959555671</v>
      </c>
      <c r="B11040">
        <v>203475018.78013679</v>
      </c>
    </row>
    <row r="11041" spans="1:2" x14ac:dyDescent="0.25">
      <c r="A11041">
        <f ca="1">32463.975725333*((RANDBETWEEN(2979,3282)))</f>
        <v>98852806.083638936</v>
      </c>
      <c r="B11041">
        <v>165720383.7654002</v>
      </c>
    </row>
    <row r="11042" spans="1:2" x14ac:dyDescent="0.25">
      <c r="A11042">
        <f ca="1">31075.0463008938*((RANDBETWEEN(2979,3282)))</f>
        <v>97886395.847815618</v>
      </c>
      <c r="B11042">
        <v>143181130.14689302</v>
      </c>
    </row>
    <row r="11043" spans="1:2" x14ac:dyDescent="0.25">
      <c r="A11043">
        <f ca="1">31857.0822540548*((RANDBETWEEN(2979,3282)))</f>
        <v>96367673.818515703</v>
      </c>
      <c r="B11043">
        <v>160951225.77411816</v>
      </c>
    </row>
    <row r="11044" spans="1:2" x14ac:dyDescent="0.25">
      <c r="A11044">
        <f ca="1">38264.9259535472*((RANDBETWEEN(2979,3282)))</f>
        <v>122792147.38493297</v>
      </c>
      <c r="B11044">
        <v>176568579.41528422</v>
      </c>
    </row>
    <row r="11045" spans="1:2" x14ac:dyDescent="0.25">
      <c r="A11045">
        <f ca="1">33081.6812067351*((RANDBETWEEN(2979,3282)))</f>
        <v>107350055.51585542</v>
      </c>
      <c r="B11045">
        <v>192917454.61951873</v>
      </c>
    </row>
    <row r="11046" spans="1:2" x14ac:dyDescent="0.25">
      <c r="A11046">
        <f ca="1">39520.0374172367*((RANDBETWEEN(2979,3282)))</f>
        <v>118441552.13945833</v>
      </c>
      <c r="B11046">
        <v>154843251.83925498</v>
      </c>
    </row>
    <row r="11047" spans="1:2" x14ac:dyDescent="0.25">
      <c r="A11047">
        <f ca="1">34672.9023987594*((RANDBETWEEN(2979,3282)))</f>
        <v>107971418.06973678</v>
      </c>
      <c r="B11047">
        <v>148861469.877498</v>
      </c>
    </row>
    <row r="11048" spans="1:2" x14ac:dyDescent="0.25">
      <c r="A11048">
        <f ca="1">33991.4406948876*((RANDBETWEEN(2979,3282)))</f>
        <v>102382219.37300156</v>
      </c>
      <c r="B11048">
        <v>154648238.84726012</v>
      </c>
    </row>
    <row r="11049" spans="1:2" x14ac:dyDescent="0.25">
      <c r="A11049">
        <f ca="1">37350.2407335287*((RANDBETWEEN(2979,3282)))</f>
        <v>118587014.32895368</v>
      </c>
      <c r="B11049">
        <v>149660116.43142673</v>
      </c>
    </row>
    <row r="11050" spans="1:2" x14ac:dyDescent="0.25">
      <c r="A11050">
        <f ca="1">36037.0170443683*((RANDBETWEEN(2979,3282)))</f>
        <v>110273272.15576701</v>
      </c>
      <c r="B11050">
        <v>191924151.65390754</v>
      </c>
    </row>
    <row r="11051" spans="1:2" x14ac:dyDescent="0.25">
      <c r="A11051">
        <f ca="1">38562.4388373974*((RANDBETWEEN(2979,3282)))</f>
        <v>126291987.1924766</v>
      </c>
      <c r="B11051">
        <v>158101664.98944402</v>
      </c>
    </row>
    <row r="11052" spans="1:2" x14ac:dyDescent="0.25">
      <c r="A11052">
        <f ca="1">34242.3068374208*((RANDBETWEEN(2979,3282)))</f>
        <v>105226608.91139406</v>
      </c>
      <c r="B11052">
        <v>163676687.51308918</v>
      </c>
    </row>
    <row r="11053" spans="1:2" x14ac:dyDescent="0.25">
      <c r="A11053">
        <f ca="1">31572.9297792722*((RANDBETWEEN(2979,3282)))</f>
        <v>98097092.824198842</v>
      </c>
      <c r="B11053">
        <v>146845180.99611241</v>
      </c>
    </row>
    <row r="11054" spans="1:2" x14ac:dyDescent="0.25">
      <c r="A11054">
        <f ca="1">31431.5824625703*((RANDBETWEEN(2979,3282)))</f>
        <v>101901190.34365281</v>
      </c>
      <c r="B11054">
        <v>149613097.16450661</v>
      </c>
    </row>
    <row r="11055" spans="1:2" x14ac:dyDescent="0.25">
      <c r="A11055">
        <f ca="1">29276.5125372098*((RANDBETWEEN(2979,3282)))</f>
        <v>91430548.653706104</v>
      </c>
      <c r="B11055">
        <v>180558293.87128443</v>
      </c>
    </row>
    <row r="11056" spans="1:2" x14ac:dyDescent="0.25">
      <c r="A11056">
        <f ca="1">30461.7925340758*((RANDBETWEEN(2979,3282)))</f>
        <v>98696207.810405746</v>
      </c>
      <c r="B11056">
        <v>173604988.48557431</v>
      </c>
    </row>
    <row r="11057" spans="1:2" x14ac:dyDescent="0.25">
      <c r="A11057">
        <f ca="1">31808.8250949163*((RANDBETWEEN(2979,3282)))</f>
        <v>104396563.96151537</v>
      </c>
      <c r="B11057">
        <v>162993609.19955355</v>
      </c>
    </row>
    <row r="11058" spans="1:2" x14ac:dyDescent="0.25">
      <c r="A11058">
        <f ca="1">38320.6395330276*((RANDBETWEEN(2979,3282)))</f>
        <v>120173525.57557459</v>
      </c>
      <c r="B11058">
        <v>147150798.12515455</v>
      </c>
    </row>
    <row r="11059" spans="1:2" x14ac:dyDescent="0.25">
      <c r="A11059">
        <f ca="1">30456.7964282056*((RANDBETWEEN(2979,3282)))</f>
        <v>95634340.784565568</v>
      </c>
      <c r="B11059">
        <v>160640564.8779223</v>
      </c>
    </row>
    <row r="11060" spans="1:2" x14ac:dyDescent="0.25">
      <c r="A11060">
        <f ca="1">38530.5219252422*((RANDBETWEEN(2979,3282)))</f>
        <v>116824542.47733425</v>
      </c>
      <c r="B11060">
        <v>189405478.50001279</v>
      </c>
    </row>
    <row r="11061" spans="1:2" x14ac:dyDescent="0.25">
      <c r="A11061">
        <f ca="1">31106.2817884784*((RANDBETWEEN(2979,3282)))</f>
        <v>100939884.40361252</v>
      </c>
      <c r="B11061">
        <v>161605554.26506442</v>
      </c>
    </row>
    <row r="11062" spans="1:2" x14ac:dyDescent="0.25">
      <c r="A11062">
        <f ca="1">31936.4337243654*((RANDBETWEEN(2979,3282)))</f>
        <v>95617682.570750117</v>
      </c>
      <c r="B11062">
        <v>156468014.59909549</v>
      </c>
    </row>
    <row r="11063" spans="1:2" x14ac:dyDescent="0.25">
      <c r="A11063">
        <f ca="1">35623.9234149382*((RANDBETWEEN(2979,3282)))</f>
        <v>115777751.09854908</v>
      </c>
      <c r="B11063">
        <v>144664460.74930149</v>
      </c>
    </row>
    <row r="11064" spans="1:2" x14ac:dyDescent="0.25">
      <c r="A11064">
        <f ca="1">30019.4879375986*((RANDBETWEEN(2979,3282)))</f>
        <v>94681464.955186099</v>
      </c>
      <c r="B11064">
        <v>186672542.15843207</v>
      </c>
    </row>
    <row r="11065" spans="1:2" x14ac:dyDescent="0.25">
      <c r="A11065">
        <f ca="1">41912.5618553702*((RANDBETWEEN(2979,3282)))</f>
        <v>127498013.16403617</v>
      </c>
      <c r="B11065">
        <v>175283876.58704579</v>
      </c>
    </row>
    <row r="11066" spans="1:2" x14ac:dyDescent="0.25">
      <c r="A11066">
        <f ca="1">31556.6297250007*((RANDBETWEEN(2979,3282)))</f>
        <v>100002959.5985271</v>
      </c>
      <c r="B11066">
        <v>192191628.77148589</v>
      </c>
    </row>
    <row r="11067" spans="1:2" x14ac:dyDescent="0.25">
      <c r="A11067">
        <f ca="1">30051.7085060668*((RANDBETWEEN(2979,3282)))</f>
        <v>93701227.121916339</v>
      </c>
      <c r="B11067">
        <v>147317713.61587581</v>
      </c>
    </row>
    <row r="11068" spans="1:2" x14ac:dyDescent="0.25">
      <c r="A11068">
        <f ca="1">29026.1543620319*((RANDBETWEEN(2979,3282)))</f>
        <v>92535380.106157601</v>
      </c>
      <c r="B11068">
        <v>193730987.39855352</v>
      </c>
    </row>
    <row r="11069" spans="1:2" x14ac:dyDescent="0.25">
      <c r="A11069">
        <f ca="1">37581.622582027*((RANDBETWEEN(2979,3282)))</f>
        <v>122703997.73031802</v>
      </c>
      <c r="B11069">
        <v>162323499.25236839</v>
      </c>
    </row>
    <row r="11070" spans="1:2" x14ac:dyDescent="0.25">
      <c r="A11070">
        <f ca="1">33492.2274165892*((RANDBETWEEN(2979,3282)))</f>
        <v>104060350.58334267</v>
      </c>
      <c r="B11070">
        <v>171552284.31454629</v>
      </c>
    </row>
    <row r="11071" spans="1:2" x14ac:dyDescent="0.25">
      <c r="A11071">
        <f ca="1">34185.840102543*((RANDBETWEEN(2979,3282)))</f>
        <v>103343794.62998751</v>
      </c>
      <c r="B11071">
        <v>173678984.97557443</v>
      </c>
    </row>
    <row r="11072" spans="1:2" x14ac:dyDescent="0.25">
      <c r="A11072">
        <f ca="1">29809.8970972921*((RANDBETWEEN(2979,3282)))</f>
        <v>92231821.619021699</v>
      </c>
      <c r="B11072">
        <v>202524532.17230046</v>
      </c>
    </row>
    <row r="11073" spans="1:2" x14ac:dyDescent="0.25">
      <c r="A11073">
        <f ca="1">35546.9663539918*((RANDBETWEEN(2979,3282)))</f>
        <v>110088954.79831272</v>
      </c>
      <c r="B11073">
        <v>156783102.80665213</v>
      </c>
    </row>
    <row r="11074" spans="1:2" x14ac:dyDescent="0.25">
      <c r="A11074">
        <f ca="1">31311.3978997932*((RANDBETWEEN(2979,3282)))</f>
        <v>97942052.630553246</v>
      </c>
      <c r="B11074">
        <v>200895689.45615169</v>
      </c>
    </row>
    <row r="11075" spans="1:2" x14ac:dyDescent="0.25">
      <c r="A11075">
        <f ca="1">31587.9524366289*((RANDBETWEEN(2979,3282)))</f>
        <v>101650030.94107167</v>
      </c>
      <c r="B11075">
        <v>172763603.42276996</v>
      </c>
    </row>
    <row r="11076" spans="1:2" x14ac:dyDescent="0.25">
      <c r="A11076">
        <f ca="1">30425.9367666618*((RANDBETWEEN(2979,3282)))</f>
        <v>97515127.337150931</v>
      </c>
      <c r="B11076">
        <v>179700827.69212443</v>
      </c>
    </row>
    <row r="11077" spans="1:2" x14ac:dyDescent="0.25">
      <c r="A11077">
        <f ca="1">38343.4622895736*((RANDBETWEEN(2979,3282)))</f>
        <v>121587118.92023803</v>
      </c>
      <c r="B11077">
        <v>170313698.43444401</v>
      </c>
    </row>
    <row r="11078" spans="1:2" x14ac:dyDescent="0.25">
      <c r="A11078">
        <f ca="1">38756.2855272502*((RANDBETWEEN(2979,3282)))</f>
        <v>122586131.1226923</v>
      </c>
      <c r="B11078">
        <v>147795264.79901776</v>
      </c>
    </row>
    <row r="11079" spans="1:2" x14ac:dyDescent="0.25">
      <c r="A11079">
        <f ca="1">29014.9903603625*((RANDBETWEEN(2979,3282)))</f>
        <v>88292615.666583046</v>
      </c>
      <c r="B11079">
        <v>149597503.33489445</v>
      </c>
    </row>
    <row r="11080" spans="1:2" x14ac:dyDescent="0.25">
      <c r="A11080">
        <f ca="1">34775.0007510134*((RANDBETWEEN(2979,3282)))</f>
        <v>109889002.37320235</v>
      </c>
      <c r="B11080">
        <v>171059534.22169787</v>
      </c>
    </row>
    <row r="11081" spans="1:2" x14ac:dyDescent="0.25">
      <c r="A11081">
        <f ca="1">30459.4464853256*((RANDBETWEEN(2979,3282)))</f>
        <v>98475390.48705779</v>
      </c>
      <c r="B11081">
        <v>151073495.71598595</v>
      </c>
    </row>
    <row r="11082" spans="1:2" x14ac:dyDescent="0.25">
      <c r="A11082">
        <f ca="1">34155.8556591143*((RANDBETWEEN(2979,3282)))</f>
        <v>105029256.15177645</v>
      </c>
      <c r="B11082">
        <v>170581858.37737298</v>
      </c>
    </row>
    <row r="11083" spans="1:2" x14ac:dyDescent="0.25">
      <c r="A11083">
        <f ca="1">30019.2116576611*((RANDBETWEEN(2979,3282)))</f>
        <v>97862630.003975317</v>
      </c>
      <c r="B11083">
        <v>167309749.12799764</v>
      </c>
    </row>
    <row r="11084" spans="1:2" x14ac:dyDescent="0.25">
      <c r="A11084">
        <f ca="1">32764.747160845*((RANDBETWEEN(2979,3282)))</f>
        <v>99277183.897360489</v>
      </c>
      <c r="B11084">
        <v>171230584.15125525</v>
      </c>
    </row>
    <row r="11085" spans="1:2" x14ac:dyDescent="0.25">
      <c r="A11085">
        <f ca="1">37622.0747759406*((RANDBETWEEN(2979,3282)))</f>
        <v>114258241.09453154</v>
      </c>
      <c r="B11085">
        <v>196742730.13428012</v>
      </c>
    </row>
    <row r="11086" spans="1:2" x14ac:dyDescent="0.25">
      <c r="A11086">
        <f ca="1">38429.7940896624*((RANDBETWEEN(2979,3282)))</f>
        <v>118017897.64935325</v>
      </c>
      <c r="B11086">
        <v>166145668.84544671</v>
      </c>
    </row>
    <row r="11087" spans="1:2" x14ac:dyDescent="0.25">
      <c r="A11087">
        <f ca="1">29676.5308959366*((RANDBETWEEN(2979,3282)))</f>
        <v>96389372.350001946</v>
      </c>
      <c r="B11087">
        <v>151557852.95426971</v>
      </c>
    </row>
    <row r="11088" spans="1:2" x14ac:dyDescent="0.25">
      <c r="A11088">
        <f ca="1">31019.6231531386*((RANDBETWEEN(2979,3282)))</f>
        <v>98394244.641755596</v>
      </c>
      <c r="B11088">
        <v>181641732.09399641</v>
      </c>
    </row>
    <row r="11089" spans="1:2" x14ac:dyDescent="0.25">
      <c r="A11089">
        <f ca="1">39953.2345036643*((RANDBETWEEN(2979,3282)))</f>
        <v>126172314.56257188</v>
      </c>
      <c r="B11089">
        <v>165130433.04080054</v>
      </c>
    </row>
    <row r="11090" spans="1:2" x14ac:dyDescent="0.25">
      <c r="A11090">
        <f ca="1">37623.7094365738*((RANDBETWEEN(2979,3282)))</f>
        <v>115768153.93633761</v>
      </c>
      <c r="B11090">
        <v>164980811.86881176</v>
      </c>
    </row>
    <row r="11091" spans="1:2" x14ac:dyDescent="0.25">
      <c r="A11091">
        <f ca="1">32344.1121074409*((RANDBETWEEN(2979,3282)))</f>
        <v>104115696.87385221</v>
      </c>
      <c r="B11091">
        <v>186084756.9499591</v>
      </c>
    </row>
    <row r="11092" spans="1:2" x14ac:dyDescent="0.25">
      <c r="A11092">
        <f ca="1">41838.0836217289*((RANDBETWEEN(2979,3282)))</f>
        <v>136182962.1887275</v>
      </c>
      <c r="B11092">
        <v>145909119.80555132</v>
      </c>
    </row>
    <row r="11093" spans="1:2" x14ac:dyDescent="0.25">
      <c r="A11093">
        <f ca="1">41395.3783983223*((RANDBETWEEN(2979,3282)))</f>
        <v>132299629.36103794</v>
      </c>
      <c r="B11093">
        <v>163310460.13969302</v>
      </c>
    </row>
    <row r="11094" spans="1:2" x14ac:dyDescent="0.25">
      <c r="A11094">
        <f ca="1">31530.7693814687*((RANDBETWEEN(2979,3282)))</f>
        <v>96704869.69296436</v>
      </c>
      <c r="B11094">
        <v>162526677.33708945</v>
      </c>
    </row>
    <row r="11095" spans="1:2" x14ac:dyDescent="0.25">
      <c r="A11095">
        <f ca="1">30715.9051866498*((RANDBETWEEN(2979,3282)))</f>
        <v>91809840.602896482</v>
      </c>
      <c r="B11095">
        <v>186533330.03468865</v>
      </c>
    </row>
    <row r="11096" spans="1:2" x14ac:dyDescent="0.25">
      <c r="A11096">
        <f ca="1">29823.5605529832*((RANDBETWEEN(2979,3282)))</f>
        <v>97851102.174338013</v>
      </c>
      <c r="B11096">
        <v>165283172.3989265</v>
      </c>
    </row>
    <row r="11097" spans="1:2" x14ac:dyDescent="0.25">
      <c r="A11097">
        <f ca="1">32460.4082021173*((RANDBETWEEN(2979,3282)))</f>
        <v>104912039.30924299</v>
      </c>
      <c r="B11097">
        <v>156366812.81759277</v>
      </c>
    </row>
    <row r="11098" spans="1:2" x14ac:dyDescent="0.25">
      <c r="A11098">
        <f ca="1">31041.0667570124*((RANDBETWEEN(2979,3282)))</f>
        <v>98710592.287299395</v>
      </c>
      <c r="B11098">
        <v>200592344.56638163</v>
      </c>
    </row>
    <row r="11099" spans="1:2" x14ac:dyDescent="0.25">
      <c r="A11099">
        <f ca="1">40459.6354189571*((RANDBETWEEN(2979,3282)))</f>
        <v>126840957.03843047</v>
      </c>
      <c r="B11099">
        <v>168065844.18635827</v>
      </c>
    </row>
    <row r="11100" spans="1:2" x14ac:dyDescent="0.25">
      <c r="A11100">
        <f ca="1">29942.6818993326*((RANDBETWEEN(2979,3282)))</f>
        <v>96445378.397750184</v>
      </c>
      <c r="B11100">
        <v>162113301.46893167</v>
      </c>
    </row>
    <row r="11101" spans="1:2" x14ac:dyDescent="0.25">
      <c r="A11101">
        <f ca="1">32450.864900672*((RANDBETWEEN(2979,3282)))</f>
        <v>101895715.78811018</v>
      </c>
      <c r="B11101">
        <v>151476702.84876162</v>
      </c>
    </row>
    <row r="11102" spans="1:2" x14ac:dyDescent="0.25">
      <c r="A11102">
        <f ca="1">37320.8616742425*((RANDBETWEEN(2979,3282)))</f>
        <v>120882270.96287142</v>
      </c>
      <c r="B11102">
        <v>162779079.64926553</v>
      </c>
    </row>
    <row r="11103" spans="1:2" x14ac:dyDescent="0.25">
      <c r="A11103">
        <f ca="1">32182.1729491529*((RANDBETWEEN(2979,3282)))</f>
        <v>102918589.09139086</v>
      </c>
      <c r="B11103">
        <v>183851305.30380177</v>
      </c>
    </row>
    <row r="11104" spans="1:2" x14ac:dyDescent="0.25">
      <c r="A11104">
        <f ca="1">38029.6167910812*((RANDBETWEEN(2979,3282)))</f>
        <v>121884921.81541513</v>
      </c>
      <c r="B11104">
        <v>144556481.04005238</v>
      </c>
    </row>
    <row r="11105" spans="1:2" x14ac:dyDescent="0.25">
      <c r="A11105">
        <f ca="1">30909.1496282225*((RANDBETWEEN(2979,3282)))</f>
        <v>94489270.413476199</v>
      </c>
      <c r="B11105">
        <v>149225570.31658548</v>
      </c>
    </row>
    <row r="11106" spans="1:2" x14ac:dyDescent="0.25">
      <c r="A11106">
        <f ca="1">33392.3668088011*((RANDBETWEEN(2979,3282)))</f>
        <v>103917045.5089891</v>
      </c>
      <c r="B11106">
        <v>148262772.19398993</v>
      </c>
    </row>
    <row r="11107" spans="1:2" x14ac:dyDescent="0.25">
      <c r="A11107">
        <f ca="1">35831.786850248*((RANDBETWEEN(2979,3282)))</f>
        <v>112440147.13607837</v>
      </c>
      <c r="B11107">
        <v>181101184.92336965</v>
      </c>
    </row>
    <row r="11108" spans="1:2" x14ac:dyDescent="0.25">
      <c r="A11108">
        <f ca="1">31061.5026588757*((RANDBETWEEN(2979,3282)))</f>
        <v>96508088.761126772</v>
      </c>
      <c r="B11108">
        <v>152847975.54686671</v>
      </c>
    </row>
    <row r="11109" spans="1:2" x14ac:dyDescent="0.25">
      <c r="A11109">
        <f ca="1">33225.8069820755*((RANDBETWEEN(2979,3282)))</f>
        <v>99245485.455459699</v>
      </c>
      <c r="B11109">
        <v>149793026.27001217</v>
      </c>
    </row>
    <row r="11110" spans="1:2" x14ac:dyDescent="0.25">
      <c r="A11110">
        <f ca="1">31387.2202048281*((RANDBETWEEN(2979,3282)))</f>
        <v>94538307.256942317</v>
      </c>
      <c r="B11110">
        <v>164746538.50497434</v>
      </c>
    </row>
    <row r="11111" spans="1:2" x14ac:dyDescent="0.25">
      <c r="A11111">
        <f ca="1">29428.0557362673*((RANDBETWEEN(2979,3282)))</f>
        <v>96524022.814956829</v>
      </c>
      <c r="B11111">
        <v>147807548.45126337</v>
      </c>
    </row>
    <row r="11112" spans="1:2" x14ac:dyDescent="0.25">
      <c r="A11112">
        <f ca="1">33541.0879744758*((RANDBETWEEN(2979,3282)))</f>
        <v>105117769.71200727</v>
      </c>
      <c r="B11112">
        <v>155072266.87025762</v>
      </c>
    </row>
    <row r="11113" spans="1:2" x14ac:dyDescent="0.25">
      <c r="A11113">
        <f ca="1">42012.2222452249*((RANDBETWEEN(2979,3282)))</f>
        <v>135699477.85207638</v>
      </c>
      <c r="B11113">
        <v>155625695.63375545</v>
      </c>
    </row>
    <row r="11114" spans="1:2" x14ac:dyDescent="0.25">
      <c r="A11114">
        <f ca="1">32725.932734085*((RANDBETWEEN(2979,3282)))</f>
        <v>104101192.02712452</v>
      </c>
      <c r="B11114">
        <v>158905765.20589665</v>
      </c>
    </row>
    <row r="11115" spans="1:2" x14ac:dyDescent="0.25">
      <c r="A11115">
        <f ca="1">29637.2943025748*((RANDBETWEEN(2979,3282)))</f>
        <v>96469392.954881057</v>
      </c>
      <c r="B11115">
        <v>168254243.67569908</v>
      </c>
    </row>
    <row r="11116" spans="1:2" x14ac:dyDescent="0.25">
      <c r="A11116">
        <f ca="1">30393.6162753346*((RANDBETWEEN(2979,3282)))</f>
        <v>94037848.755885258</v>
      </c>
      <c r="B11116">
        <v>173086843.37779582</v>
      </c>
    </row>
    <row r="11117" spans="1:2" x14ac:dyDescent="0.25">
      <c r="A11117">
        <f ca="1">37228.3301907772*((RANDBETWEEN(2979,3282)))</f>
        <v>120508104.82754585</v>
      </c>
      <c r="B11117">
        <v>152687920.96160376</v>
      </c>
    </row>
    <row r="11118" spans="1:2" x14ac:dyDescent="0.25">
      <c r="A11118">
        <f ca="1">31829.4504842622*((RANDBETWEEN(2979,3282)))</f>
        <v>97748242.43716909</v>
      </c>
      <c r="B11118">
        <v>162125179.63019702</v>
      </c>
    </row>
    <row r="11119" spans="1:2" x14ac:dyDescent="0.25">
      <c r="A11119">
        <f ca="1">32587.7546982991*((RANDBETWEEN(2979,3282)))</f>
        <v>105616912.97718744</v>
      </c>
      <c r="B11119">
        <v>169779428.23382014</v>
      </c>
    </row>
    <row r="11120" spans="1:2" x14ac:dyDescent="0.25">
      <c r="A11120">
        <f ca="1">34985.8694034175*((RANDBETWEEN(2979,3282)))</f>
        <v>112409598.39318033</v>
      </c>
      <c r="B11120">
        <v>199451059.96927226</v>
      </c>
    </row>
    <row r="11121" spans="1:2" x14ac:dyDescent="0.25">
      <c r="A11121">
        <f ca="1">40596.0871654332*((RANDBETWEEN(2979,3282)))</f>
        <v>129136153.27324301</v>
      </c>
      <c r="B11121">
        <v>157176651.69292209</v>
      </c>
    </row>
    <row r="11122" spans="1:2" x14ac:dyDescent="0.25">
      <c r="A11122">
        <f ca="1">34687.5004373823*((RANDBETWEEN(2979,3282)))</f>
        <v>108814688.87206821</v>
      </c>
      <c r="B11122">
        <v>148798093.05855447</v>
      </c>
    </row>
    <row r="11123" spans="1:2" x14ac:dyDescent="0.25">
      <c r="A11123">
        <f ca="1">32769.3379757362*((RANDBETWEEN(2979,3282)))</f>
        <v>104534188.14259841</v>
      </c>
      <c r="B11123">
        <v>200456549.73034686</v>
      </c>
    </row>
    <row r="11124" spans="1:2" x14ac:dyDescent="0.25">
      <c r="A11124">
        <f ca="1">30395.1984879709*((RANDBETWEEN(2979,3282)))</f>
        <v>92918121.777726904</v>
      </c>
      <c r="B11124">
        <v>164728673.82184577</v>
      </c>
    </row>
    <row r="11125" spans="1:2" x14ac:dyDescent="0.25">
      <c r="A11125">
        <f ca="1">30173.3113344222*((RANDBETWEEN(2979,3282)))</f>
        <v>92782932.353348404</v>
      </c>
      <c r="B11125">
        <v>159036531.08625025</v>
      </c>
    </row>
    <row r="11126" spans="1:2" x14ac:dyDescent="0.25">
      <c r="A11126">
        <f ca="1">29663.1428683647*((RANDBETWEEN(2979,3282)))</f>
        <v>94121152.321321085</v>
      </c>
      <c r="B11126">
        <v>203604533.9914251</v>
      </c>
    </row>
    <row r="11127" spans="1:2" x14ac:dyDescent="0.25">
      <c r="A11127">
        <f ca="1">28189.8699101214*((RANDBETWEEN(2979,3282)))</f>
        <v>92350013.825557783</v>
      </c>
      <c r="B11127">
        <v>144205118.79586005</v>
      </c>
    </row>
    <row r="11128" spans="1:2" x14ac:dyDescent="0.25">
      <c r="A11128">
        <f ca="1">32033.2984079571*((RANDBETWEEN(2979,3282)))</f>
        <v>99303225.064667091</v>
      </c>
      <c r="B11128">
        <v>147017091.51564038</v>
      </c>
    </row>
    <row r="11129" spans="1:2" x14ac:dyDescent="0.25">
      <c r="A11129">
        <f ca="1">40053.4720885999*((RANDBETWEEN(2979,3282)))</f>
        <v>120641057.93086298</v>
      </c>
      <c r="B11129">
        <v>166579849.33209187</v>
      </c>
    </row>
    <row r="11130" spans="1:2" x14ac:dyDescent="0.25">
      <c r="A11130">
        <f ca="1">29254.0792385853*((RANDBETWEEN(2979,3282)))</f>
        <v>88376573.379766345</v>
      </c>
      <c r="B11130">
        <v>177967590.48165339</v>
      </c>
    </row>
    <row r="11131" spans="1:2" x14ac:dyDescent="0.25">
      <c r="A11131">
        <f ca="1">36512.1449107428*((RANDBETWEEN(2979,3282)))</f>
        <v>108806191.83401352</v>
      </c>
      <c r="B11131">
        <v>149245272.66019565</v>
      </c>
    </row>
    <row r="11132" spans="1:2" x14ac:dyDescent="0.25">
      <c r="A11132">
        <f ca="1">31174.0240671873*((RANDBETWEEN(2979,3282)))</f>
        <v>101689666.50716512</v>
      </c>
      <c r="B11132">
        <v>158222845.51902327</v>
      </c>
    </row>
    <row r="11133" spans="1:2" x14ac:dyDescent="0.25">
      <c r="A11133">
        <f ca="1">30509.1127262287*((RANDBETWEEN(2979,3282)))</f>
        <v>99063089.022064626</v>
      </c>
      <c r="B11133">
        <v>156412491.23315352</v>
      </c>
    </row>
    <row r="11134" spans="1:2" x14ac:dyDescent="0.25">
      <c r="A11134">
        <f ca="1">31073.0352842554*((RANDBETWEEN(2979,3282)))</f>
        <v>95269926.181527197</v>
      </c>
      <c r="B11134">
        <v>144950794.59561449</v>
      </c>
    </row>
    <row r="11135" spans="1:2" x14ac:dyDescent="0.25">
      <c r="A11135">
        <f ca="1">40440.7984222439*((RANDBETWEEN(2979,3282)))</f>
        <v>127995127.006402</v>
      </c>
      <c r="B11135">
        <v>196084674.49890706</v>
      </c>
    </row>
    <row r="11136" spans="1:2" x14ac:dyDescent="0.25">
      <c r="A11136">
        <f ca="1">35013.400974074*((RANDBETWEEN(2979,3282)))</f>
        <v>113898593.36866261</v>
      </c>
      <c r="B11136">
        <v>166556263.72049472</v>
      </c>
    </row>
    <row r="11137" spans="1:2" x14ac:dyDescent="0.25">
      <c r="A11137">
        <f ca="1">33085.2212806455*((RANDBETWEEN(2979,3282)))</f>
        <v>100215135.25907528</v>
      </c>
      <c r="B11137">
        <v>200961669.56580564</v>
      </c>
    </row>
    <row r="11138" spans="1:2" x14ac:dyDescent="0.25">
      <c r="A11138">
        <f ca="1">28716.0552151436*((RANDBETWEEN(2979,3282)))</f>
        <v>85688708.76198864</v>
      </c>
      <c r="B11138">
        <v>148694199.24476638</v>
      </c>
    </row>
    <row r="11139" spans="1:2" x14ac:dyDescent="0.25">
      <c r="A11139">
        <f ca="1">31280.9064147569*((RANDBETWEEN(2979,3282)))</f>
        <v>94280651.934077203</v>
      </c>
      <c r="B11139">
        <v>152117146.70760182</v>
      </c>
    </row>
    <row r="11140" spans="1:2" x14ac:dyDescent="0.25">
      <c r="A11140">
        <f ca="1">29591.970422676*((RANDBETWEEN(2979,3282)))</f>
        <v>92563683.482130617</v>
      </c>
      <c r="B11140">
        <v>148435108.57388988</v>
      </c>
    </row>
    <row r="11141" spans="1:2" x14ac:dyDescent="0.25">
      <c r="A11141">
        <f ca="1">35346.7233808718*((RANDBETWEEN(2979,3282)))</f>
        <v>105297888.95161718</v>
      </c>
      <c r="B11141">
        <v>159559716.64981505</v>
      </c>
    </row>
    <row r="11142" spans="1:2" x14ac:dyDescent="0.25">
      <c r="A11142">
        <f ca="1">27889.8635233165*((RANDBETWEEN(2979,3282)))</f>
        <v>88801325.458239838</v>
      </c>
      <c r="B11142">
        <v>174570140.15048912</v>
      </c>
    </row>
    <row r="11143" spans="1:2" x14ac:dyDescent="0.25">
      <c r="A11143">
        <f ca="1">32262.7285465561*((RANDBETWEEN(2979,3282)))</f>
        <v>100143509.40851</v>
      </c>
      <c r="B11143">
        <v>144458226.47108543</v>
      </c>
    </row>
    <row r="11144" spans="1:2" x14ac:dyDescent="0.25">
      <c r="A11144">
        <f ca="1">35899.8755816566*((RANDBETWEEN(2979,3282)))</f>
        <v>116710495.51596567</v>
      </c>
      <c r="B11144">
        <v>155141549.8293449</v>
      </c>
    </row>
    <row r="11145" spans="1:2" x14ac:dyDescent="0.25">
      <c r="A11145">
        <f ca="1">29849.703511984*((RANDBETWEEN(2979,3282)))</f>
        <v>90981896.304527149</v>
      </c>
      <c r="B11145">
        <v>163113425.27215859</v>
      </c>
    </row>
    <row r="11146" spans="1:2" x14ac:dyDescent="0.25">
      <c r="A11146">
        <f ca="1">38783.1801756739*((RANDBETWEEN(2979,3282)))</f>
        <v>122167017.55337265</v>
      </c>
      <c r="B11146">
        <v>199472715.7828694</v>
      </c>
    </row>
    <row r="11147" spans="1:2" x14ac:dyDescent="0.25">
      <c r="A11147">
        <f ca="1">37220.0693154473*((RANDBETWEEN(2979,3282)))</f>
        <v>117131558.13571259</v>
      </c>
      <c r="B11147">
        <v>151820951.43436152</v>
      </c>
    </row>
    <row r="11148" spans="1:2" x14ac:dyDescent="0.25">
      <c r="A11148">
        <f ca="1">35922.837526771*((RANDBETWEEN(2979,3282)))</f>
        <v>108953966.21869642</v>
      </c>
      <c r="B11148">
        <v>165798162.55656821</v>
      </c>
    </row>
    <row r="11149" spans="1:2" x14ac:dyDescent="0.25">
      <c r="A11149">
        <f ca="1">33851.5617436524*((RANDBETWEEN(2979,3282)))</f>
        <v>108561958.51189312</v>
      </c>
      <c r="B11149">
        <v>155029404.67236066</v>
      </c>
    </row>
    <row r="11150" spans="1:2" x14ac:dyDescent="0.25">
      <c r="A11150">
        <f ca="1">37787.0120603821*((RANDBETWEEN(2979,3282)))</f>
        <v>117177524.39924486</v>
      </c>
      <c r="B11150">
        <v>177692918.33434576</v>
      </c>
    </row>
    <row r="11151" spans="1:2" x14ac:dyDescent="0.25">
      <c r="A11151">
        <f ca="1">30564.8501255545*((RANDBETWEEN(2979,3282)))</f>
        <v>94689905.688967913</v>
      </c>
      <c r="B11151">
        <v>149924605.481282</v>
      </c>
    </row>
    <row r="11152" spans="1:2" x14ac:dyDescent="0.25">
      <c r="A11152">
        <f ca="1">32104.1330739223*((RANDBETWEEN(2979,3282)))</f>
        <v>103664245.69569518</v>
      </c>
      <c r="B11152">
        <v>147548203.2277154</v>
      </c>
    </row>
    <row r="11153" spans="1:2" x14ac:dyDescent="0.25">
      <c r="A11153">
        <f ca="1">32816.5695154515*((RANDBETWEEN(2979,3282)))</f>
        <v>104980205.8799292</v>
      </c>
      <c r="B11153">
        <v>146756892.16466409</v>
      </c>
    </row>
    <row r="11154" spans="1:2" x14ac:dyDescent="0.25">
      <c r="A11154">
        <f ca="1">36090.8942357427*((RANDBETWEEN(2979,3282)))</f>
        <v>111629135.87115228</v>
      </c>
      <c r="B11154">
        <v>150358817.51486132</v>
      </c>
    </row>
    <row r="11155" spans="1:2" x14ac:dyDescent="0.25">
      <c r="A11155">
        <f ca="1">29594.0773017657*((RANDBETWEEN(2979,3282)))</f>
        <v>92984590.882147938</v>
      </c>
      <c r="B11155">
        <v>169290361.20783502</v>
      </c>
    </row>
    <row r="11156" spans="1:2" x14ac:dyDescent="0.25">
      <c r="A11156">
        <f ca="1">33918.1151445697*((RANDBETWEEN(2979,3282)))</f>
        <v>102297035.27602236</v>
      </c>
      <c r="B11156">
        <v>143659803.49972647</v>
      </c>
    </row>
    <row r="11157" spans="1:2" x14ac:dyDescent="0.25">
      <c r="A11157">
        <f ca="1">30310.7548869158*((RANDBETWEEN(2979,3282)))</f>
        <v>94721109.021611929</v>
      </c>
      <c r="B11157">
        <v>158850882.46597961</v>
      </c>
    </row>
    <row r="11158" spans="1:2" x14ac:dyDescent="0.25">
      <c r="A11158">
        <f ca="1">38683.0333649069*((RANDBETWEEN(2979,3282)))</f>
        <v>122431800.59993039</v>
      </c>
      <c r="B11158">
        <v>177578501.36146611</v>
      </c>
    </row>
    <row r="11159" spans="1:2" x14ac:dyDescent="0.25">
      <c r="A11159">
        <f ca="1">30648.6491944083*((RANDBETWEEN(2979,3282)))</f>
        <v>98198272.018884107</v>
      </c>
      <c r="B11159">
        <v>161894969.43258682</v>
      </c>
    </row>
    <row r="11160" spans="1:2" x14ac:dyDescent="0.25">
      <c r="A11160">
        <f ca="1">32417.9796472226*((RANDBETWEEN(2979,3282)))</f>
        <v>102116635.88875125</v>
      </c>
      <c r="B11160">
        <v>149237788.24703526</v>
      </c>
    </row>
    <row r="11161" spans="1:2" x14ac:dyDescent="0.25">
      <c r="A11161">
        <f ca="1">35873.5793754268*((RANDBETWEEN(2979,3282)))</f>
        <v>117270730.97827007</v>
      </c>
      <c r="B11161">
        <v>193152695.60551918</v>
      </c>
    </row>
    <row r="11162" spans="1:2" x14ac:dyDescent="0.25">
      <c r="A11162">
        <f ca="1">42217.6997967061*((RANDBETWEEN(2979,3282)))</f>
        <v>128848419.77954707</v>
      </c>
      <c r="B11162">
        <v>199392645.84321067</v>
      </c>
    </row>
    <row r="11163" spans="1:2" x14ac:dyDescent="0.25">
      <c r="A11163">
        <f ca="1">37187.6461993561*((RANDBETWEEN(2979,3282)))</f>
        <v>111637313.89046712</v>
      </c>
      <c r="B11163">
        <v>181004620.31266582</v>
      </c>
    </row>
    <row r="11164" spans="1:2" x14ac:dyDescent="0.25">
      <c r="A11164">
        <f ca="1">39057.5784415596*((RANDBETWEEN(2979,3282)))</f>
        <v>121820587.15922441</v>
      </c>
      <c r="B11164">
        <v>159917270.47899875</v>
      </c>
    </row>
    <row r="11165" spans="1:2" x14ac:dyDescent="0.25">
      <c r="A11165">
        <f ca="1">31484.2116238177*((RANDBETWEEN(2979,3282)))</f>
        <v>94735992.776067555</v>
      </c>
      <c r="B11165">
        <v>183309476.6315355</v>
      </c>
    </row>
    <row r="11166" spans="1:2" x14ac:dyDescent="0.25">
      <c r="A11166">
        <f ca="1">31974.2862845833*((RANDBETWEEN(2979,3282)))</f>
        <v>103500764.70319603</v>
      </c>
      <c r="B11166">
        <v>147333298.75587296</v>
      </c>
    </row>
    <row r="11167" spans="1:2" x14ac:dyDescent="0.25">
      <c r="A11167">
        <f ca="1">30091.7765524334*((RANDBETWEEN(2979,3282)))</f>
        <v>94458086.598088354</v>
      </c>
      <c r="B11167">
        <v>175271226.49799478</v>
      </c>
    </row>
    <row r="11168" spans="1:2" x14ac:dyDescent="0.25">
      <c r="A11168">
        <f ca="1">37074.3808859277*((RANDBETWEEN(2979,3282)))</f>
        <v>120232217.21306352</v>
      </c>
      <c r="B11168">
        <v>172001186.94422272</v>
      </c>
    </row>
    <row r="11169" spans="1:2" x14ac:dyDescent="0.25">
      <c r="A11169">
        <f ca="1">34197.7236149586*((RANDBETWEEN(2979,3282)))</f>
        <v>109774692.80401707</v>
      </c>
      <c r="B11169">
        <v>165197206.78027451</v>
      </c>
    </row>
    <row r="11170" spans="1:2" x14ac:dyDescent="0.25">
      <c r="A11170">
        <f ca="1">39092.3835828111*((RANDBETWEEN(2979,3282)))</f>
        <v>122554622.53211276</v>
      </c>
      <c r="B11170">
        <v>155387631.94476944</v>
      </c>
    </row>
    <row r="11171" spans="1:2" x14ac:dyDescent="0.25">
      <c r="A11171">
        <f ca="1">29577.4408570495*((RANDBETWEEN(2979,3282)))</f>
        <v>94825275.387700841</v>
      </c>
      <c r="B11171">
        <v>160760358.37184814</v>
      </c>
    </row>
    <row r="11172" spans="1:2" x14ac:dyDescent="0.25">
      <c r="A11172">
        <f ca="1">29755.5786819286*((RANDBETWEEN(2979,3282)))</f>
        <v>91081826.345383495</v>
      </c>
      <c r="B11172">
        <v>165561643.15282935</v>
      </c>
    </row>
    <row r="11173" spans="1:2" x14ac:dyDescent="0.25">
      <c r="A11173">
        <f ca="1">30324.4098751878*((RANDBETWEEN(2979,3282)))</f>
        <v>95643188.746342391</v>
      </c>
      <c r="B11173">
        <v>163567497.9346275</v>
      </c>
    </row>
    <row r="11174" spans="1:2" x14ac:dyDescent="0.25">
      <c r="A11174">
        <f ca="1">41540.9479844278*((RANDBETWEEN(2979,3282)))</f>
        <v>126824514.19645818</v>
      </c>
      <c r="B11174">
        <v>151991300.59075454</v>
      </c>
    </row>
    <row r="11175" spans="1:2" x14ac:dyDescent="0.25">
      <c r="A11175">
        <f ca="1">40487.5485513801*((RANDBETWEEN(2979,3282)))</f>
        <v>121503133.20269178</v>
      </c>
      <c r="B11175">
        <v>156550032.87296957</v>
      </c>
    </row>
    <row r="11176" spans="1:2" x14ac:dyDescent="0.25">
      <c r="A11176">
        <f ca="1">39877.8961263996*((RANDBETWEEN(2979,3282)))</f>
        <v>120311612.61334765</v>
      </c>
      <c r="B11176">
        <v>157092713.5306766</v>
      </c>
    </row>
    <row r="11177" spans="1:2" x14ac:dyDescent="0.25">
      <c r="A11177">
        <f ca="1">33803.2673949717*((RANDBETWEEN(2979,3282)))</f>
        <v>102998555.75247884</v>
      </c>
      <c r="B11177">
        <v>191239300.43719548</v>
      </c>
    </row>
    <row r="11178" spans="1:2" x14ac:dyDescent="0.25">
      <c r="A11178">
        <f ca="1">37537.0013971516*((RANDBETWEEN(2979,3282)))</f>
        <v>118616924.41499911</v>
      </c>
      <c r="B11178">
        <v>171928974.91749218</v>
      </c>
    </row>
    <row r="11179" spans="1:2" x14ac:dyDescent="0.25">
      <c r="A11179">
        <f ca="1">32397.8308483421*((RANDBETWEEN(2979,3282)))</f>
        <v>99364147.211865321</v>
      </c>
      <c r="B11179">
        <v>200590305.25599983</v>
      </c>
    </row>
    <row r="11180" spans="1:2" x14ac:dyDescent="0.25">
      <c r="A11180">
        <f ca="1">32088.3195279263*((RANDBETWEEN(2979,3282)))</f>
        <v>97484314.725840002</v>
      </c>
      <c r="B11180">
        <v>152863338.18928289</v>
      </c>
    </row>
    <row r="11181" spans="1:2" x14ac:dyDescent="0.25">
      <c r="A11181">
        <f ca="1">34797.3430774622*((RANDBETWEEN(2979,3282)))</f>
        <v>107419398.08012591</v>
      </c>
      <c r="B11181">
        <v>172078893.50527504</v>
      </c>
    </row>
    <row r="11182" spans="1:2" x14ac:dyDescent="0.25">
      <c r="A11182">
        <f ca="1">30738.8891003976*((RANDBETWEEN(2979,3282)))</f>
        <v>96274200.662445247</v>
      </c>
      <c r="B11182">
        <v>163765895.76778626</v>
      </c>
    </row>
    <row r="11183" spans="1:2" x14ac:dyDescent="0.25">
      <c r="A11183">
        <f ca="1">34346.280561477*((RANDBETWEEN(2979,3282)))</f>
        <v>110595023.40795581</v>
      </c>
      <c r="B11183">
        <v>201647495.32486069</v>
      </c>
    </row>
    <row r="11184" spans="1:2" x14ac:dyDescent="0.25">
      <c r="A11184">
        <f ca="1">40608.0950890694*((RANDBETWEEN(2979,3282)))</f>
        <v>130311377.14082378</v>
      </c>
      <c r="B11184">
        <v>193839655.64345506</v>
      </c>
    </row>
    <row r="11185" spans="1:2" x14ac:dyDescent="0.25">
      <c r="A11185">
        <f ca="1">36815.4009119242*((RANDBETWEEN(2979,3282)))</f>
        <v>117993359.92271702</v>
      </c>
      <c r="B11185">
        <v>179998193.5043878</v>
      </c>
    </row>
    <row r="11186" spans="1:2" x14ac:dyDescent="0.25">
      <c r="A11186">
        <f ca="1">29175.0811807386*((RANDBETWEEN(2979,3282)))</f>
        <v>93097684.047736913</v>
      </c>
      <c r="B11186">
        <v>148865819.59419453</v>
      </c>
    </row>
    <row r="11187" spans="1:2" x14ac:dyDescent="0.25">
      <c r="A11187">
        <f ca="1">31803.2318937897*((RANDBETWEEN(2979,3282)))</f>
        <v>102024767.91527721</v>
      </c>
      <c r="B11187">
        <v>152615780.7734811</v>
      </c>
    </row>
    <row r="11188" spans="1:2" x14ac:dyDescent="0.25">
      <c r="A11188">
        <f ca="1">35830.41321679*((RANDBETWEEN(2979,3282)))</f>
        <v>116377182.12813407</v>
      </c>
      <c r="B11188">
        <v>186611042.08639413</v>
      </c>
    </row>
    <row r="11189" spans="1:2" x14ac:dyDescent="0.25">
      <c r="A11189">
        <f ca="1">35696.6686080404*((RANDBETWEEN(2979,3282)))</f>
        <v>116156959.65056352</v>
      </c>
      <c r="B11189">
        <v>173471102.5176158</v>
      </c>
    </row>
    <row r="11190" spans="1:2" x14ac:dyDescent="0.25">
      <c r="A11190">
        <f ca="1">29146.5504138958*((RANDBETWEEN(2979,3282)))</f>
        <v>90325159.732663214</v>
      </c>
      <c r="B11190">
        <v>143541336.50823987</v>
      </c>
    </row>
    <row r="11191" spans="1:2" x14ac:dyDescent="0.25">
      <c r="A11191">
        <f ca="1">34455.1936320088*((RANDBETWEEN(2979,3282)))</f>
        <v>107327928.16370745</v>
      </c>
      <c r="B11191">
        <v>149616153.35186464</v>
      </c>
    </row>
    <row r="11192" spans="1:2" x14ac:dyDescent="0.25">
      <c r="A11192">
        <f ca="1">33145.6507302229*((RANDBETWEEN(2979,3282)))</f>
        <v>106099227.98744336</v>
      </c>
      <c r="B11192">
        <v>167109264.5080131</v>
      </c>
    </row>
    <row r="11193" spans="1:2" x14ac:dyDescent="0.25">
      <c r="A11193">
        <f ca="1">38864.8695538081*((RANDBETWEEN(2979,3282)))</f>
        <v>118887635.96509905</v>
      </c>
      <c r="B11193">
        <v>145474172.6190905</v>
      </c>
    </row>
    <row r="11194" spans="1:2" x14ac:dyDescent="0.25">
      <c r="A11194">
        <f ca="1">35048.9316744896*((RANDBETWEEN(2979,3282)))</f>
        <v>109177422.16603519</v>
      </c>
      <c r="B11194">
        <v>148313677.87630191</v>
      </c>
    </row>
    <row r="11195" spans="1:2" x14ac:dyDescent="0.25">
      <c r="A11195">
        <f ca="1">30924.5758478154*((RANDBETWEEN(2979,3282)))</f>
        <v>99855455.412595987</v>
      </c>
      <c r="B11195">
        <v>152660627.79824045</v>
      </c>
    </row>
    <row r="11196" spans="1:2" x14ac:dyDescent="0.25">
      <c r="A11196">
        <f ca="1">31923.6348521384*((RANDBETWEEN(2979,3282)))</f>
        <v>96377453.618605748</v>
      </c>
      <c r="B11196">
        <v>165791828.41324344</v>
      </c>
    </row>
    <row r="11197" spans="1:2" x14ac:dyDescent="0.25">
      <c r="A11197">
        <f ca="1">32454.3788105812*((RANDBETWEEN(2979,3282)))</f>
        <v>106385453.7410851</v>
      </c>
      <c r="B11197">
        <v>199141288.66563106</v>
      </c>
    </row>
    <row r="11198" spans="1:2" x14ac:dyDescent="0.25">
      <c r="A11198">
        <f ca="1">41288.6195391385*((RANDBETWEEN(2979,3282)))</f>
        <v>132041005.28616485</v>
      </c>
      <c r="B11198">
        <v>156057423.12711754</v>
      </c>
    </row>
    <row r="11199" spans="1:2" x14ac:dyDescent="0.25">
      <c r="A11199">
        <f ca="1">31680.588866916*((RANDBETWEEN(2979,3282)))</f>
        <v>94724960.712078914</v>
      </c>
      <c r="B11199">
        <v>165969238.14542657</v>
      </c>
    </row>
    <row r="11200" spans="1:2" x14ac:dyDescent="0.25">
      <c r="A11200">
        <f ca="1">31132.029315184*((RANDBETWEEN(2979,3282)))</f>
        <v>94080992.590485945</v>
      </c>
      <c r="B11200">
        <v>145064596.58100447</v>
      </c>
    </row>
    <row r="11201" spans="1:2" x14ac:dyDescent="0.25">
      <c r="A11201">
        <f ca="1">30124.1718999478*((RANDBETWEEN(2979,3282)))</f>
        <v>91336489.200641736</v>
      </c>
      <c r="B11201">
        <v>145530936.13877675</v>
      </c>
    </row>
    <row r="11202" spans="1:2" x14ac:dyDescent="0.25">
      <c r="A11202">
        <f ca="1">29696.2719533673*((RANDBETWEEN(2979,3282)))</f>
        <v>92622672.222552761</v>
      </c>
      <c r="B11202">
        <v>154589871.47056615</v>
      </c>
    </row>
    <row r="11203" spans="1:2" x14ac:dyDescent="0.25">
      <c r="A11203">
        <f ca="1">34627.4367109145*((RANDBETWEEN(2979,3282)))</f>
        <v>109111053.07609157</v>
      </c>
      <c r="B11203">
        <v>194257015.26592505</v>
      </c>
    </row>
    <row r="11204" spans="1:2" x14ac:dyDescent="0.25">
      <c r="A11204">
        <f ca="1">33338.5215627988*((RANDBETWEEN(2979,3282)))</f>
        <v>107816778.73409158</v>
      </c>
      <c r="B11204">
        <v>165851842.34097642</v>
      </c>
    </row>
    <row r="11205" spans="1:2" x14ac:dyDescent="0.25">
      <c r="A11205">
        <f ca="1">30088.5258029312*((RANDBETWEEN(2979,3282)))</f>
        <v>95049653.011459604</v>
      </c>
      <c r="B11205">
        <v>165978104.56454933</v>
      </c>
    </row>
    <row r="11206" spans="1:2" x14ac:dyDescent="0.25">
      <c r="A11206">
        <f ca="1">31040.7523719024*((RANDBETWEEN(2979,3282)))</f>
        <v>97685247.714376941</v>
      </c>
      <c r="B11206">
        <v>180302935.53001016</v>
      </c>
    </row>
    <row r="11207" spans="1:2" x14ac:dyDescent="0.25">
      <c r="A11207">
        <f ca="1">32254.4814463587*((RANDBETWEEN(2979,3282)))</f>
        <v>105826953.6255029</v>
      </c>
      <c r="B11207">
        <v>156890004.45140606</v>
      </c>
    </row>
    <row r="11208" spans="1:2" x14ac:dyDescent="0.25">
      <c r="A11208">
        <f ca="1">28374.7196933141*((RANDBETWEEN(2979,3282)))</f>
        <v>92615085.078977108</v>
      </c>
      <c r="B11208">
        <v>166438884.28006291</v>
      </c>
    </row>
    <row r="11209" spans="1:2" x14ac:dyDescent="0.25">
      <c r="A11209">
        <f ca="1">31661.0272490806*((RANDBETWEEN(2979,3282)))</f>
        <v>97674269.063413724</v>
      </c>
      <c r="B11209">
        <v>144540581.77291557</v>
      </c>
    </row>
    <row r="11210" spans="1:2" x14ac:dyDescent="0.25">
      <c r="A11210">
        <f ca="1">28846.6489584515*((RANDBETWEEN(2979,3282)))</f>
        <v>92107350.1243359</v>
      </c>
      <c r="B11210">
        <v>147048545.88092908</v>
      </c>
    </row>
    <row r="11211" spans="1:2" x14ac:dyDescent="0.25">
      <c r="A11211">
        <f ca="1">33853.5090613815*((RANDBETWEEN(2979,3282)))</f>
        <v>110599414.10353324</v>
      </c>
      <c r="B11211">
        <v>199290309.32107151</v>
      </c>
    </row>
    <row r="11212" spans="1:2" x14ac:dyDescent="0.25">
      <c r="A11212">
        <f ca="1">37280.4033723935*((RANDBETWEEN(2979,3282)))</f>
        <v>116836784.16908111</v>
      </c>
      <c r="B11212">
        <v>178585976.85328513</v>
      </c>
    </row>
    <row r="11213" spans="1:2" x14ac:dyDescent="0.25">
      <c r="A11213">
        <f ca="1">29363.8591190525*((RANDBETWEEN(2979,3282)))</f>
        <v>94786537.236301318</v>
      </c>
      <c r="B11213">
        <v>197075807.13110065</v>
      </c>
    </row>
    <row r="11214" spans="1:2" x14ac:dyDescent="0.25">
      <c r="A11214">
        <f ca="1">38864.9359245244*((RANDBETWEEN(2979,3282)))</f>
        <v>123473901.43221408</v>
      </c>
      <c r="B11214">
        <v>143804700.85856128</v>
      </c>
    </row>
    <row r="11215" spans="1:2" x14ac:dyDescent="0.25">
      <c r="A11215">
        <f ca="1">40999.7424911752*((RANDBETWEEN(2979,3282)))</f>
        <v>133823159.49119598</v>
      </c>
      <c r="B11215">
        <v>178836905.10833353</v>
      </c>
    </row>
    <row r="11216" spans="1:2" x14ac:dyDescent="0.25">
      <c r="A11216">
        <f ca="1">38504.1615292599*((RANDBETWEEN(2979,3282)))</f>
        <v>123136308.57057345</v>
      </c>
      <c r="B11216">
        <v>154147489.44328508</v>
      </c>
    </row>
    <row r="11217" spans="1:2" x14ac:dyDescent="0.25">
      <c r="A11217">
        <f ca="1">32350.5519490223*((RANDBETWEEN(2979,3282)))</f>
        <v>104524633.34729093</v>
      </c>
      <c r="B11217">
        <v>157188941.66974518</v>
      </c>
    </row>
    <row r="11218" spans="1:2" x14ac:dyDescent="0.25">
      <c r="A11218">
        <f ca="1">32832.2393305478*((RANDBETWEEN(2979,3282)))</f>
        <v>106343623.19164447</v>
      </c>
      <c r="B11218">
        <v>177127834.05916911</v>
      </c>
    </row>
    <row r="11219" spans="1:2" x14ac:dyDescent="0.25">
      <c r="A11219">
        <f ca="1">31697.1296139103*((RANDBETWEEN(2979,3282)))</f>
        <v>99243712.82115303</v>
      </c>
      <c r="B11219">
        <v>165323714.71453327</v>
      </c>
    </row>
    <row r="11220" spans="1:2" x14ac:dyDescent="0.25">
      <c r="A11220">
        <f ca="1">30339.1967941743*((RANDBETWEEN(2979,3282)))</f>
        <v>97237125.725328758</v>
      </c>
      <c r="B11220">
        <v>154723446.24902821</v>
      </c>
    </row>
    <row r="11221" spans="1:2" x14ac:dyDescent="0.25">
      <c r="A11221">
        <f ca="1">36470.0005829683*((RANDBETWEEN(2979,3282)))</f>
        <v>118016921.88648529</v>
      </c>
      <c r="B11221">
        <v>188135204.06436554</v>
      </c>
    </row>
    <row r="11222" spans="1:2" x14ac:dyDescent="0.25">
      <c r="A11222">
        <f ca="1">36996.3317788078*((RANDBETWEEN(2979,3282)))</f>
        <v>116242474.44901425</v>
      </c>
      <c r="B11222">
        <v>200994984.48199433</v>
      </c>
    </row>
    <row r="11223" spans="1:2" x14ac:dyDescent="0.25">
      <c r="A11223">
        <f ca="1">40845.9044491263*((RANDBETWEEN(2979,3282)))</f>
        <v>129032212.15478992</v>
      </c>
      <c r="B11223">
        <v>193726609.00737792</v>
      </c>
    </row>
    <row r="11224" spans="1:2" x14ac:dyDescent="0.25">
      <c r="A11224">
        <f ca="1">30348.4724437697*((RANDBETWEEN(2979,3282)))</f>
        <v>90438447.882433787</v>
      </c>
      <c r="B11224">
        <v>173024039.62239462</v>
      </c>
    </row>
    <row r="11225" spans="1:2" x14ac:dyDescent="0.25">
      <c r="A11225">
        <f ca="1">32380.6808584279*((RANDBETWEEN(2979,3282)))</f>
        <v>97983940.277602807</v>
      </c>
      <c r="B11225">
        <v>164343130.70967233</v>
      </c>
    </row>
    <row r="11226" spans="1:2" x14ac:dyDescent="0.25">
      <c r="A11226">
        <f ca="1">36780.1247108434*((RANDBETWEEN(2979,3282)))</f>
        <v>112179380.36807238</v>
      </c>
      <c r="B11226">
        <v>160297705.06048617</v>
      </c>
    </row>
    <row r="11227" spans="1:2" x14ac:dyDescent="0.25">
      <c r="A11227">
        <f ca="1">31918.8339673091*((RANDBETWEEN(2979,3282)))</f>
        <v>99586761.978004396</v>
      </c>
      <c r="B11227">
        <v>179209380.48795351</v>
      </c>
    </row>
    <row r="11228" spans="1:2" x14ac:dyDescent="0.25">
      <c r="A11228">
        <f ca="1">31292.9567241733*((RANDBETWEEN(2979,3282)))</f>
        <v>100919785.43545885</v>
      </c>
      <c r="B11228">
        <v>192442647.27142969</v>
      </c>
    </row>
    <row r="11229" spans="1:2" x14ac:dyDescent="0.25">
      <c r="A11229">
        <f ca="1">40196.6016744544*((RANDBETWEEN(2979,3282)))</f>
        <v>126981064.68960153</v>
      </c>
      <c r="B11229">
        <v>178842709.13639885</v>
      </c>
    </row>
    <row r="11230" spans="1:2" x14ac:dyDescent="0.25">
      <c r="A11230">
        <f ca="1">28526.6094868812*((RANDBETWEEN(2979,3282)))</f>
        <v>89630607.007780701</v>
      </c>
      <c r="B11230">
        <v>152967582.78847069</v>
      </c>
    </row>
    <row r="11231" spans="1:2" x14ac:dyDescent="0.25">
      <c r="A11231">
        <f ca="1">30205.1266239573*((RANDBETWEEN(2979,3282)))</f>
        <v>90524764.491999984</v>
      </c>
      <c r="B11231">
        <v>145738488.68274829</v>
      </c>
    </row>
    <row r="11232" spans="1:2" x14ac:dyDescent="0.25">
      <c r="A11232">
        <f ca="1">33638.012418048*((RANDBETWEEN(2979,3282)))</f>
        <v>103134146.07373518</v>
      </c>
      <c r="B11232">
        <v>144032968.11500466</v>
      </c>
    </row>
    <row r="11233" spans="1:2" x14ac:dyDescent="0.25">
      <c r="A11233">
        <f ca="1">32921.2591757338*((RANDBETWEEN(2979,3282)))</f>
        <v>104557919.14213042</v>
      </c>
      <c r="B11233">
        <v>182746181.69572365</v>
      </c>
    </row>
    <row r="11234" spans="1:2" x14ac:dyDescent="0.25">
      <c r="A11234">
        <f ca="1">30342.7720832878*((RANDBETWEEN(2979,3282)))</f>
        <v>93698480.193192735</v>
      </c>
      <c r="B11234">
        <v>176961738.5899027</v>
      </c>
    </row>
    <row r="11235" spans="1:2" x14ac:dyDescent="0.25">
      <c r="A11235">
        <f ca="1">39913.3409491921*((RANDBETWEEN(2979,3282)))</f>
        <v>128401217.83355123</v>
      </c>
      <c r="B11235">
        <v>150651066.9651432</v>
      </c>
    </row>
    <row r="11236" spans="1:2" x14ac:dyDescent="0.25">
      <c r="A11236">
        <f ca="1">30887.6736506001*((RANDBETWEEN(2979,3282)))</f>
        <v>94639832.065438777</v>
      </c>
      <c r="B11236">
        <v>190085233.47361034</v>
      </c>
    </row>
    <row r="11237" spans="1:2" x14ac:dyDescent="0.25">
      <c r="A11237">
        <f ca="1">32366.3013041871*((RANDBETWEEN(2979,3282)))</f>
        <v>103377966.3655737</v>
      </c>
      <c r="B11237">
        <v>194960431.7273846</v>
      </c>
    </row>
    <row r="11238" spans="1:2" x14ac:dyDescent="0.25">
      <c r="A11238">
        <f ca="1">31819.2632514649*((RANDBETWEEN(2979,3282)))</f>
        <v>100930703.03364678</v>
      </c>
      <c r="B11238">
        <v>177897009.21539092</v>
      </c>
    </row>
    <row r="11239" spans="1:2" x14ac:dyDescent="0.25">
      <c r="A11239">
        <f ca="1">37153.8863532444*((RANDBETWEEN(2979,3282)))</f>
        <v>110755735.21902162</v>
      </c>
      <c r="B11239">
        <v>178749799.83942735</v>
      </c>
    </row>
    <row r="11240" spans="1:2" x14ac:dyDescent="0.25">
      <c r="A11240">
        <f ca="1">33273.475422577*((RANDBETWEEN(2979,3282)))</f>
        <v>107706239.94288187</v>
      </c>
      <c r="B11240">
        <v>148820541.15282583</v>
      </c>
    </row>
    <row r="11241" spans="1:2" x14ac:dyDescent="0.25">
      <c r="A11241">
        <f ca="1">31035.208074762*((RANDBETWEEN(2979,3282)))</f>
        <v>98691961.677743137</v>
      </c>
      <c r="B11241">
        <v>147092065.66882309</v>
      </c>
    </row>
    <row r="11242" spans="1:2" x14ac:dyDescent="0.25">
      <c r="A11242">
        <f ca="1">31916.5744131179*((RANDBETWEEN(2979,3282)))</f>
        <v>95749723.239353582</v>
      </c>
      <c r="B11242">
        <v>175383994.33910894</v>
      </c>
    </row>
    <row r="11243" spans="1:2" x14ac:dyDescent="0.25">
      <c r="A11243">
        <f ca="1">30525.4159846096*((RANDBETWEEN(2979,3282)))</f>
        <v>99543381.525811911</v>
      </c>
      <c r="B11243">
        <v>197060699.04632491</v>
      </c>
    </row>
    <row r="11244" spans="1:2" x14ac:dyDescent="0.25">
      <c r="A11244">
        <f ca="1">31183.3100847063*((RANDBETWEEN(2979,3282)))</f>
        <v>100566175.02317767</v>
      </c>
      <c r="B11244">
        <v>164904818.60207468</v>
      </c>
    </row>
    <row r="11245" spans="1:2" x14ac:dyDescent="0.25">
      <c r="A11245">
        <f ca="1">34231.9758940336*((RANDBETWEEN(2979,3282)))</f>
        <v>109063075.19839095</v>
      </c>
      <c r="B11245">
        <v>148819719.67135578</v>
      </c>
    </row>
    <row r="11246" spans="1:2" x14ac:dyDescent="0.25">
      <c r="A11246">
        <f ca="1">38005.6514351798*((RANDBETWEEN(2979,3282)))</f>
        <v>122530220.22701971</v>
      </c>
      <c r="B11246">
        <v>147258975.46493846</v>
      </c>
    </row>
    <row r="11247" spans="1:2" x14ac:dyDescent="0.25">
      <c r="A11247">
        <f ca="1">32695.8346486081*((RANDBETWEEN(2979,3282)))</f>
        <v>102239874.94619747</v>
      </c>
      <c r="B11247">
        <v>144115305.31700248</v>
      </c>
    </row>
    <row r="11248" spans="1:2" x14ac:dyDescent="0.25">
      <c r="A11248">
        <f ca="1">30237.7073090809*((RANDBETWEEN(2979,3282)))</f>
        <v>96337335.486731663</v>
      </c>
      <c r="B11248">
        <v>166365925.01536307</v>
      </c>
    </row>
    <row r="11249" spans="1:2" x14ac:dyDescent="0.25">
      <c r="A11249">
        <f ca="1">32686.2486331131*((RANDBETWEEN(2979,3282)))</f>
        <v>105609269.33358829</v>
      </c>
      <c r="B11249">
        <v>158161411.90897727</v>
      </c>
    </row>
    <row r="11250" spans="1:2" x14ac:dyDescent="0.25">
      <c r="A11250">
        <f ca="1">32763.2610347026*((RANDBETWEEN(2979,3282)))</f>
        <v>105858096.40312415</v>
      </c>
      <c r="B11250">
        <v>153677120.53388926</v>
      </c>
    </row>
    <row r="11251" spans="1:2" x14ac:dyDescent="0.25">
      <c r="A11251">
        <f ca="1">31246.8308318224*((RANDBETWEEN(2979,3282)))</f>
        <v>97302631.210294992</v>
      </c>
      <c r="B11251">
        <v>159224865.08328724</v>
      </c>
    </row>
    <row r="11252" spans="1:2" x14ac:dyDescent="0.25">
      <c r="A11252">
        <f ca="1">37082.4903924923*((RANDBETWEEN(2979,3282)))</f>
        <v>112842018.26435395</v>
      </c>
      <c r="B11252">
        <v>202488146.35224614</v>
      </c>
    </row>
    <row r="11253" spans="1:2" x14ac:dyDescent="0.25">
      <c r="A11253">
        <f ca="1">37072.194575915*((RANDBETWEEN(2979,3282)))</f>
        <v>119669044.09105377</v>
      </c>
      <c r="B11253">
        <v>199329570.43963972</v>
      </c>
    </row>
    <row r="11254" spans="1:2" x14ac:dyDescent="0.25">
      <c r="A11254">
        <f ca="1">40084.6359776673*((RANDBETWEEN(2979,3282)))</f>
        <v>125224402.79423268</v>
      </c>
      <c r="B11254">
        <v>172225410.72628087</v>
      </c>
    </row>
    <row r="11255" spans="1:2" x14ac:dyDescent="0.25">
      <c r="A11255">
        <f ca="1">33853.8022374348*((RANDBETWEEN(2979,3282)))</f>
        <v>102001506.14139092</v>
      </c>
      <c r="B11255">
        <v>190110919.58189136</v>
      </c>
    </row>
    <row r="11256" spans="1:2" x14ac:dyDescent="0.25">
      <c r="A11256">
        <f ca="1">29634.6605266958*((RANDBETWEEN(2979,3282)))</f>
        <v>91748908.990650281</v>
      </c>
      <c r="B11256">
        <v>155974337.12852255</v>
      </c>
    </row>
    <row r="11257" spans="1:2" x14ac:dyDescent="0.25">
      <c r="A11257">
        <f ca="1">34411.4015297947*((RANDBETWEEN(2979,3282)))</f>
        <v>103853609.81692028</v>
      </c>
      <c r="B11257">
        <v>159200500.85520467</v>
      </c>
    </row>
    <row r="11258" spans="1:2" x14ac:dyDescent="0.25">
      <c r="A11258">
        <f ca="1">38629.5366859383*((RANDBETWEEN(2979,3282)))</f>
        <v>124387108.12872146</v>
      </c>
      <c r="B11258">
        <v>179442493.27709985</v>
      </c>
    </row>
    <row r="11259" spans="1:2" x14ac:dyDescent="0.25">
      <c r="A11259">
        <f ca="1">31812.7442409094*((RANDBETWEEN(2979,3282)))</f>
        <v>103105104.08478731</v>
      </c>
      <c r="B11259">
        <v>176065557.6420368</v>
      </c>
    </row>
    <row r="11260" spans="1:2" x14ac:dyDescent="0.25">
      <c r="A11260">
        <f ca="1">35402.0241321155*((RANDBETWEEN(2979,3282)))</f>
        <v>113888311.63301545</v>
      </c>
      <c r="B11260">
        <v>180051337.68983856</v>
      </c>
    </row>
    <row r="11261" spans="1:2" x14ac:dyDescent="0.25">
      <c r="A11261">
        <f ca="1">29851.6584500684*((RANDBETWEEN(2979,3282)))</f>
        <v>92868509.438162774</v>
      </c>
      <c r="B11261">
        <v>146262940.38722152</v>
      </c>
    </row>
    <row r="11262" spans="1:2" x14ac:dyDescent="0.25">
      <c r="A11262">
        <f ca="1">31087.3501041868*((RANDBETWEEN(2979,3282)))</f>
        <v>92982264.161622792</v>
      </c>
      <c r="B11262">
        <v>182286485.5539726</v>
      </c>
    </row>
    <row r="11263" spans="1:2" x14ac:dyDescent="0.25">
      <c r="A11263">
        <f ca="1">35253.8914754352*((RANDBETWEEN(2979,3282)))</f>
        <v>108652493.52729131</v>
      </c>
      <c r="B11263">
        <v>190683551.88688511</v>
      </c>
    </row>
    <row r="11264" spans="1:2" x14ac:dyDescent="0.25">
      <c r="A11264">
        <f ca="1">36833.9618373259*((RANDBETWEEN(2979,3282)))</f>
        <v>113743274.15366229</v>
      </c>
      <c r="B11264">
        <v>182236569.46278962</v>
      </c>
    </row>
    <row r="11265" spans="1:2" x14ac:dyDescent="0.25">
      <c r="A11265">
        <f ca="1">32740.6272736254*((RANDBETWEEN(2979,3282)))</f>
        <v>100710169.49367163</v>
      </c>
      <c r="B11265">
        <v>203451476.39576015</v>
      </c>
    </row>
    <row r="11266" spans="1:2" x14ac:dyDescent="0.25">
      <c r="A11266">
        <f ca="1">31618.150122058*((RANDBETWEEN(2979,3282)))</f>
        <v>99186136.932896093</v>
      </c>
      <c r="B11266">
        <v>196883025.38257325</v>
      </c>
    </row>
    <row r="11267" spans="1:2" x14ac:dyDescent="0.25">
      <c r="A11267">
        <f ca="1">33245.6393318735*((RANDBETWEEN(2979,3282)))</f>
        <v>108646749.33656257</v>
      </c>
      <c r="B11267">
        <v>202573172.53536829</v>
      </c>
    </row>
    <row r="11268" spans="1:2" x14ac:dyDescent="0.25">
      <c r="A11268">
        <f ca="1">35503.7731082752*((RANDBETWEEN(2979,3282)))</f>
        <v>108499530.618889</v>
      </c>
      <c r="B11268">
        <v>163419337.05756894</v>
      </c>
    </row>
    <row r="11269" spans="1:2" x14ac:dyDescent="0.25">
      <c r="A11269">
        <f ca="1">31408.4812836854*((RANDBETWEEN(2979,3282)))</f>
        <v>99816153.51955232</v>
      </c>
      <c r="B11269">
        <v>156786784.19623268</v>
      </c>
    </row>
    <row r="11270" spans="1:2" x14ac:dyDescent="0.25">
      <c r="A11270">
        <f ca="1">31176.8934545797*((RANDBETWEEN(2979,3282)))</f>
        <v>97583676.5128344</v>
      </c>
      <c r="B11270">
        <v>174403428.96144715</v>
      </c>
    </row>
    <row r="11271" spans="1:2" x14ac:dyDescent="0.25">
      <c r="A11271">
        <f ca="1">31367.5319038049*((RANDBETWEEN(2979,3282)))</f>
        <v>99874221.581714928</v>
      </c>
      <c r="B11271">
        <v>156392460.60907346</v>
      </c>
    </row>
    <row r="11272" spans="1:2" x14ac:dyDescent="0.25">
      <c r="A11272">
        <f ca="1">33489.0961690049*((RANDBETWEEN(2979,3282)))</f>
        <v>106562304.00977345</v>
      </c>
      <c r="B11272">
        <v>156743486.43159661</v>
      </c>
    </row>
    <row r="11273" spans="1:2" x14ac:dyDescent="0.25">
      <c r="A11273">
        <f ca="1">37002.2435097983*((RANDBETWEEN(2979,3282)))</f>
        <v>117963152.30923706</v>
      </c>
      <c r="B11273">
        <v>151624407.02250877</v>
      </c>
    </row>
    <row r="11274" spans="1:2" x14ac:dyDescent="0.25">
      <c r="A11274">
        <f ca="1">29534.382027424*((RANDBETWEEN(2979,3282)))</f>
        <v>94244213.049509853</v>
      </c>
      <c r="B11274">
        <v>203072156.68305638</v>
      </c>
    </row>
    <row r="11275" spans="1:2" x14ac:dyDescent="0.25">
      <c r="A11275">
        <f ca="1">30892.3920640196*((RANDBETWEEN(2979,3282)))</f>
        <v>96106231.711164996</v>
      </c>
      <c r="B11275">
        <v>147385356.81265199</v>
      </c>
    </row>
    <row r="11276" spans="1:2" x14ac:dyDescent="0.25">
      <c r="A11276">
        <f ca="1">33668.2757339606*((RANDBETWEEN(2979,3282)))</f>
        <v>104034972.0179382</v>
      </c>
      <c r="B11276">
        <v>157229509.70960474</v>
      </c>
    </row>
    <row r="11277" spans="1:2" x14ac:dyDescent="0.25">
      <c r="A11277">
        <f ca="1">27708.0517009373*((RANDBETWEEN(2979,3282)))</f>
        <v>86338289.100120604</v>
      </c>
      <c r="B11277">
        <v>175979334.98323023</v>
      </c>
    </row>
    <row r="11278" spans="1:2" x14ac:dyDescent="0.25">
      <c r="A11278">
        <f ca="1">29833.7354325437*((RANDBETWEEN(2979,3282)))</f>
        <v>95139782.294381738</v>
      </c>
      <c r="B11278">
        <v>174103599.60998642</v>
      </c>
    </row>
    <row r="11279" spans="1:2" x14ac:dyDescent="0.25">
      <c r="A11279">
        <f ca="1">30112.6273702919*((RANDBETWEEN(2979,3282)))</f>
        <v>90849796.776170731</v>
      </c>
      <c r="B11279">
        <v>167946691.57572657</v>
      </c>
    </row>
    <row r="11280" spans="1:2" x14ac:dyDescent="0.25">
      <c r="A11280">
        <f ca="1">32902.4833799619*((RANDBETWEEN(2979,3282)))</f>
        <v>102655748.14548127</v>
      </c>
      <c r="B11280">
        <v>153347329.82272783</v>
      </c>
    </row>
    <row r="11281" spans="1:2" x14ac:dyDescent="0.25">
      <c r="A11281">
        <f ca="1">31060.2402439895*((RANDBETWEEN(2979,3282)))</f>
        <v>92932238.810016647</v>
      </c>
      <c r="B11281">
        <v>178931828.99332422</v>
      </c>
    </row>
    <row r="11282" spans="1:2" x14ac:dyDescent="0.25">
      <c r="A11282">
        <f ca="1">32936.9498840336*((RANDBETWEEN(2979,3282)))</f>
        <v>102038670.74073623</v>
      </c>
      <c r="B11282">
        <v>156520258.86163679</v>
      </c>
    </row>
    <row r="11283" spans="1:2" x14ac:dyDescent="0.25">
      <c r="A11283">
        <f ca="1">29310.1785341463*((RANDBETWEEN(2979,3282)))</f>
        <v>89659836.135953516</v>
      </c>
      <c r="B11283">
        <v>145859919.84699744</v>
      </c>
    </row>
    <row r="11284" spans="1:2" x14ac:dyDescent="0.25">
      <c r="A11284">
        <f ca="1">30353.915398338*((RANDBETWEEN(2979,3282)))</f>
        <v>93823952.496262729</v>
      </c>
      <c r="B11284">
        <v>171346171.0515129</v>
      </c>
    </row>
    <row r="11285" spans="1:2" x14ac:dyDescent="0.25">
      <c r="A11285">
        <f ca="1">33458.1614456343*((RANDBETWEEN(2979,3282)))</f>
        <v>99839153.753772706</v>
      </c>
      <c r="B11285">
        <v>155095072.95393905</v>
      </c>
    </row>
    <row r="11286" spans="1:2" x14ac:dyDescent="0.25">
      <c r="A11286">
        <f ca="1">39450.119200665*((RANDBETWEEN(2979,3282)))</f>
        <v>126043130.84612459</v>
      </c>
      <c r="B11286">
        <v>151052517.93385869</v>
      </c>
    </row>
    <row r="11287" spans="1:2" x14ac:dyDescent="0.25">
      <c r="A11287">
        <f ca="1">30208.9664914523*((RANDBETWEEN(2979,3282)))</f>
        <v>92983198.860690251</v>
      </c>
      <c r="B11287">
        <v>189638352.03532717</v>
      </c>
    </row>
    <row r="11288" spans="1:2" x14ac:dyDescent="0.25">
      <c r="A11288">
        <f ca="1">30643.8660090264*((RANDBETWEEN(2979,3282)))</f>
        <v>98795824.013101101</v>
      </c>
      <c r="B11288">
        <v>172899285.83766633</v>
      </c>
    </row>
    <row r="11289" spans="1:2" x14ac:dyDescent="0.25">
      <c r="A11289">
        <f ca="1">38150.3336914916*((RANDBETWEEN(2979,3282)))</f>
        <v>116129615.75690047</v>
      </c>
      <c r="B11289">
        <v>161743310.81337231</v>
      </c>
    </row>
    <row r="11290" spans="1:2" x14ac:dyDescent="0.25">
      <c r="A11290">
        <f ca="1">32744.6787269578*((RANDBETWEEN(2979,3282)))</f>
        <v>98365014.895781234</v>
      </c>
      <c r="B11290">
        <v>166016251.8248353</v>
      </c>
    </row>
    <row r="11291" spans="1:2" x14ac:dyDescent="0.25">
      <c r="A11291">
        <f ca="1">34279.3403545983*((RANDBETWEEN(2979,3282)))</f>
        <v>111099342.08925293</v>
      </c>
      <c r="B11291">
        <v>154200213.77497357</v>
      </c>
    </row>
    <row r="11292" spans="1:2" x14ac:dyDescent="0.25">
      <c r="A11292">
        <f ca="1">34589.0992349361*((RANDBETWEEN(2979,3282)))</f>
        <v>103871065.00251313</v>
      </c>
      <c r="B11292">
        <v>194855046.87679183</v>
      </c>
    </row>
    <row r="11293" spans="1:2" x14ac:dyDescent="0.25">
      <c r="A11293">
        <f ca="1">31423.137697682*((RANDBETWEEN(2979,3282)))</f>
        <v>99611346.501651883</v>
      </c>
      <c r="B11293">
        <v>147473651.08009464</v>
      </c>
    </row>
    <row r="11294" spans="1:2" x14ac:dyDescent="0.25">
      <c r="A11294">
        <f ca="1">30184.2657611921*((RANDBETWEEN(2979,3282)))</f>
        <v>94235277.706441849</v>
      </c>
      <c r="B11294">
        <v>191000855.74765962</v>
      </c>
    </row>
    <row r="11295" spans="1:2" x14ac:dyDescent="0.25">
      <c r="A11295">
        <f ca="1">30538.6087760652*((RANDBETWEEN(2979,3282)))</f>
        <v>93845144.768848449</v>
      </c>
      <c r="B11295">
        <v>189637768.32946917</v>
      </c>
    </row>
    <row r="11296" spans="1:2" x14ac:dyDescent="0.25">
      <c r="A11296">
        <f ca="1">38087.3018289378*((RANDBETWEEN(2979,3282)))</f>
        <v>120774834.09956188</v>
      </c>
      <c r="B11296">
        <v>146427958.91366458</v>
      </c>
    </row>
    <row r="11297" spans="1:2" x14ac:dyDescent="0.25">
      <c r="A11297">
        <f ca="1">34236.2847251264*((RANDBETWEEN(2979,3282)))</f>
        <v>105892828.65481608</v>
      </c>
      <c r="B11297">
        <v>172435701.01076877</v>
      </c>
    </row>
    <row r="11298" spans="1:2" x14ac:dyDescent="0.25">
      <c r="A11298">
        <f ca="1">38751.0571537119*((RANDBETWEEN(2979,3282)))</f>
        <v>115555652.43236887</v>
      </c>
      <c r="B11298">
        <v>159464138.16703373</v>
      </c>
    </row>
    <row r="11299" spans="1:2" x14ac:dyDescent="0.25">
      <c r="A11299">
        <f ca="1">34397.756400526*((RANDBETWEEN(2979,3282)))</f>
        <v>110038422.72528255</v>
      </c>
      <c r="B11299">
        <v>153747118.74743301</v>
      </c>
    </row>
    <row r="11300" spans="1:2" x14ac:dyDescent="0.25">
      <c r="A11300">
        <f ca="1">34911.511809834*((RANDBETWEEN(2979,3282)))</f>
        <v>106096084.39008567</v>
      </c>
      <c r="B11300">
        <v>152162773.84917325</v>
      </c>
    </row>
    <row r="11301" spans="1:2" x14ac:dyDescent="0.25">
      <c r="A11301">
        <f ca="1">40182.1016108872*((RANDBETWEEN(2979,3282)))</f>
        <v>126131616.9565749</v>
      </c>
      <c r="B11301">
        <v>152637867.93193012</v>
      </c>
    </row>
    <row r="11302" spans="1:2" x14ac:dyDescent="0.25">
      <c r="A11302">
        <f ca="1">40006.9726858208*((RANDBETWEEN(2979,3282)))</f>
        <v>123181468.89964227</v>
      </c>
      <c r="B11302">
        <v>194796440.84994435</v>
      </c>
    </row>
    <row r="11303" spans="1:2" x14ac:dyDescent="0.25">
      <c r="A11303">
        <f ca="1">36371.0097434766*((RANDBETWEEN(2979,3282)))</f>
        <v>113586663.42887728</v>
      </c>
      <c r="B11303">
        <v>149630994.06524226</v>
      </c>
    </row>
    <row r="11304" spans="1:2" x14ac:dyDescent="0.25">
      <c r="A11304">
        <f ca="1">31287.7342449072*((RANDBETWEEN(2979,3282)))</f>
        <v>96053344.131864995</v>
      </c>
      <c r="B11304">
        <v>195993164.33959854</v>
      </c>
    </row>
    <row r="11305" spans="1:2" x14ac:dyDescent="0.25">
      <c r="A11305">
        <f ca="1">31213.0062053877*((RANDBETWEEN(2979,3282)))</f>
        <v>94419343.771297723</v>
      </c>
      <c r="B11305">
        <v>165014047.50319886</v>
      </c>
    </row>
    <row r="11306" spans="1:2" x14ac:dyDescent="0.25">
      <c r="A11306">
        <f ca="1">39731.2164573215*((RANDBETWEEN(2979,3282)))</f>
        <v>126305537.11782506</v>
      </c>
      <c r="B11306">
        <v>146310867.36598575</v>
      </c>
    </row>
    <row r="11307" spans="1:2" x14ac:dyDescent="0.25">
      <c r="A11307">
        <f ca="1">31112.4601915993*((RANDBETWEEN(2979,3282)))</f>
        <v>93368493.034989491</v>
      </c>
      <c r="B11307">
        <v>184702113.03461719</v>
      </c>
    </row>
    <row r="11308" spans="1:2" x14ac:dyDescent="0.25">
      <c r="A11308">
        <f ca="1">31052.5919651037*((RANDBETWEEN(2979,3282)))</f>
        <v>93344091.447101608</v>
      </c>
      <c r="B11308">
        <v>190956752.82619137</v>
      </c>
    </row>
    <row r="11309" spans="1:2" x14ac:dyDescent="0.25">
      <c r="A11309">
        <f ca="1">36615.2627807324*((RANDBETWEEN(2979,3282)))</f>
        <v>116363305.11716755</v>
      </c>
      <c r="B11309">
        <v>149412479.27296424</v>
      </c>
    </row>
    <row r="11310" spans="1:2" x14ac:dyDescent="0.25">
      <c r="A11310">
        <f ca="1">31539.1256082805*((RANDBETWEEN(2979,3282)))</f>
        <v>97361280.752761886</v>
      </c>
      <c r="B11310">
        <v>153033117.25587305</v>
      </c>
    </row>
    <row r="11311" spans="1:2" x14ac:dyDescent="0.25">
      <c r="A11311">
        <f ca="1">28993.8226299036*((RANDBETWEEN(2979,3282)))</f>
        <v>90054813.088480681</v>
      </c>
      <c r="B11311">
        <v>170352313.28599954</v>
      </c>
    </row>
    <row r="11312" spans="1:2" x14ac:dyDescent="0.25">
      <c r="A11312">
        <f ca="1">40847.701762205*((RANDBETWEEN(2979,3282)))</f>
        <v>122583952.98837711</v>
      </c>
      <c r="B11312">
        <v>166491564.04954043</v>
      </c>
    </row>
    <row r="11313" spans="1:2" x14ac:dyDescent="0.25">
      <c r="A11313">
        <f ca="1">34772.325240088*((RANDBETWEEN(2979,3282)))</f>
        <v>107655118.94331241</v>
      </c>
      <c r="B11313">
        <v>156657149.00017405</v>
      </c>
    </row>
    <row r="11314" spans="1:2" x14ac:dyDescent="0.25">
      <c r="A11314">
        <f ca="1">32740.2616849292*((RANDBETWEEN(2979,3282)))</f>
        <v>101167408.6064311</v>
      </c>
      <c r="B11314">
        <v>163335915.88139576</v>
      </c>
    </row>
    <row r="11315" spans="1:2" x14ac:dyDescent="0.25">
      <c r="A11315">
        <f ca="1">29650.2687888288*((RANDBETWEEN(2979,3282)))</f>
        <v>89128707.979219452</v>
      </c>
      <c r="B11315">
        <v>144878714.99980298</v>
      </c>
    </row>
    <row r="11316" spans="1:2" x14ac:dyDescent="0.25">
      <c r="A11316">
        <f ca="1">31941.8793898073*((RANDBETWEEN(2979,3282)))</f>
        <v>97326906.500742838</v>
      </c>
      <c r="B11316">
        <v>163581348.38253146</v>
      </c>
    </row>
    <row r="11317" spans="1:2" x14ac:dyDescent="0.25">
      <c r="A11317">
        <f ca="1">31549.0863565721*((RANDBETWEEN(2979,3282)))</f>
        <v>98338502.173435077</v>
      </c>
      <c r="B11317">
        <v>188057192.59450141</v>
      </c>
    </row>
    <row r="11318" spans="1:2" x14ac:dyDescent="0.25">
      <c r="A11318">
        <f ca="1">29110.2221421732*((RANDBETWEEN(2979,3282)))</f>
        <v>86777572.205818281</v>
      </c>
      <c r="B11318">
        <v>158942426.89133912</v>
      </c>
    </row>
    <row r="11319" spans="1:2" x14ac:dyDescent="0.25">
      <c r="A11319">
        <f ca="1">39180.5385166772*((RANDBETWEEN(2979,3282)))</f>
        <v>123026890.94236639</v>
      </c>
      <c r="B11319">
        <v>146498688.30699843</v>
      </c>
    </row>
    <row r="11320" spans="1:2" x14ac:dyDescent="0.25">
      <c r="A11320">
        <f ca="1">29918.5295723071*((RANDBETWEEN(2979,3282)))</f>
        <v>90802737.251952007</v>
      </c>
      <c r="B11320">
        <v>160766230.57497901</v>
      </c>
    </row>
    <row r="11321" spans="1:2" x14ac:dyDescent="0.25">
      <c r="A11321">
        <f ca="1">30662.0597814584*((RANDBETWEEN(2979,3282)))</f>
        <v>94500468.246454671</v>
      </c>
      <c r="B11321">
        <v>168468813.73389912</v>
      </c>
    </row>
    <row r="11322" spans="1:2" x14ac:dyDescent="0.25">
      <c r="A11322">
        <f ca="1">34719.6935255483*((RANDBETWEEN(2979,3282)))</f>
        <v>103742444.25433837</v>
      </c>
      <c r="B11322">
        <v>145266614.03417152</v>
      </c>
    </row>
    <row r="11323" spans="1:2" x14ac:dyDescent="0.25">
      <c r="A11323">
        <f ca="1">39792.56036927*((RANDBETWEEN(2979,3282)))</f>
        <v>119735814.15113334</v>
      </c>
      <c r="B11323">
        <v>150580456.61598587</v>
      </c>
    </row>
    <row r="11324" spans="1:2" x14ac:dyDescent="0.25">
      <c r="A11324">
        <f ca="1">32793.8714125338*((RANDBETWEEN(2979,3282)))</f>
        <v>106219349.50519681</v>
      </c>
      <c r="B11324">
        <v>192468829.74494588</v>
      </c>
    </row>
    <row r="11325" spans="1:2" x14ac:dyDescent="0.25">
      <c r="A11325">
        <f ca="1">32245.4593981225*((RANDBETWEEN(2979,3282)))</f>
        <v>101347478.88829896</v>
      </c>
      <c r="B11325">
        <v>183077626.34344068</v>
      </c>
    </row>
    <row r="11326" spans="1:2" x14ac:dyDescent="0.25">
      <c r="A11326">
        <f ca="1">35163.3942225798*((RANDBETWEEN(2979,3282)))</f>
        <v>108619724.75354905</v>
      </c>
      <c r="B11326">
        <v>166373313.17581967</v>
      </c>
    </row>
    <row r="11327" spans="1:2" x14ac:dyDescent="0.25">
      <c r="A11327">
        <f ca="1">31347.7433977126*((RANDBETWEEN(2979,3282)))</f>
        <v>102224991.21994089</v>
      </c>
      <c r="B11327">
        <v>172704649.37712562</v>
      </c>
    </row>
    <row r="11328" spans="1:2" x14ac:dyDescent="0.25">
      <c r="A11328">
        <f ca="1">28102.5528633782*((RANDBETWEEN(2979,3282)))</f>
        <v>89000784.918318823</v>
      </c>
      <c r="B11328">
        <v>150465402.02674735</v>
      </c>
    </row>
    <row r="11329" spans="1:2" x14ac:dyDescent="0.25">
      <c r="A11329">
        <f ca="1">29693.5618249524*((RANDBETWEEN(2979,3282)))</f>
        <v>97038560.043944463</v>
      </c>
      <c r="B11329">
        <v>151994937.91269428</v>
      </c>
    </row>
    <row r="11330" spans="1:2" x14ac:dyDescent="0.25">
      <c r="A11330">
        <f ca="1">29765.8778067451*((RANDBETWEEN(2979,3282)))</f>
        <v>89178569.90900825</v>
      </c>
      <c r="B11330">
        <v>168701438.04952615</v>
      </c>
    </row>
    <row r="11331" spans="1:2" x14ac:dyDescent="0.25">
      <c r="A11331">
        <f ca="1">33578.8742913045*((RANDBETWEEN(2979,3282)))</f>
        <v>104698930.04028736</v>
      </c>
      <c r="B11331">
        <v>180068696.48603499</v>
      </c>
    </row>
    <row r="11332" spans="1:2" x14ac:dyDescent="0.25">
      <c r="A11332">
        <f ca="1">34269.4246062248*((RANDBETWEEN(2979,3282)))</f>
        <v>106303755.12850925</v>
      </c>
      <c r="B11332">
        <v>186769789.88493195</v>
      </c>
    </row>
    <row r="11333" spans="1:2" x14ac:dyDescent="0.25">
      <c r="A11333">
        <f ca="1">31822.2493135186*((RANDBETWEEN(2979,3282)))</f>
        <v>95212169.946047768</v>
      </c>
      <c r="B11333">
        <v>166911429.37939996</v>
      </c>
    </row>
    <row r="11334" spans="1:2" x14ac:dyDescent="0.25">
      <c r="A11334">
        <f ca="1">33933.182973458*((RANDBETWEEN(2979,3282)))</f>
        <v>104140938.54554266</v>
      </c>
      <c r="B11334">
        <v>170051941.33983001</v>
      </c>
    </row>
    <row r="11335" spans="1:2" x14ac:dyDescent="0.25">
      <c r="A11335">
        <f ca="1">27026.1113044651*((RANDBETWEEN(2979,3282)))</f>
        <v>87915940.073424891</v>
      </c>
      <c r="B11335">
        <v>199739281.43605995</v>
      </c>
    </row>
    <row r="11336" spans="1:2" x14ac:dyDescent="0.25">
      <c r="A11336">
        <f ca="1">34135.6351768998*((RANDBETWEEN(2979,3282)))</f>
        <v>104420908.0061364</v>
      </c>
      <c r="B11336">
        <v>184222919.08194762</v>
      </c>
    </row>
    <row r="11337" spans="1:2" x14ac:dyDescent="0.25">
      <c r="A11337">
        <f ca="1">31823.2587051518*((RANDBETWEEN(2979,3282)))</f>
        <v>96710883.204956353</v>
      </c>
      <c r="B11337">
        <v>203239639.39375508</v>
      </c>
    </row>
    <row r="11338" spans="1:2" x14ac:dyDescent="0.25">
      <c r="A11338">
        <f ca="1">30927.4598006452*((RANDBETWEEN(2979,3282)))</f>
        <v>92565887.183331043</v>
      </c>
      <c r="B11338">
        <v>148107608.1658476</v>
      </c>
    </row>
    <row r="11339" spans="1:2" x14ac:dyDescent="0.25">
      <c r="A11339">
        <f ca="1">34469.6928681848*((RANDBETWEEN(2979,3282)))</f>
        <v>112578016.9074917</v>
      </c>
      <c r="B11339">
        <v>161727118.70806456</v>
      </c>
    </row>
    <row r="11340" spans="1:2" x14ac:dyDescent="0.25">
      <c r="A11340">
        <f ca="1">31888.9462045525*((RANDBETWEEN(2979,3282)))</f>
        <v>103415852.54136366</v>
      </c>
      <c r="B11340">
        <v>182756599.59629184</v>
      </c>
    </row>
    <row r="11341" spans="1:2" x14ac:dyDescent="0.25">
      <c r="A11341">
        <f ca="1">32579.4706805409*((RANDBETWEEN(2979,3282)))</f>
        <v>101256994.87512109</v>
      </c>
      <c r="B11341">
        <v>164903342.39481378</v>
      </c>
    </row>
    <row r="11342" spans="1:2" x14ac:dyDescent="0.25">
      <c r="A11342">
        <f ca="1">36013.7902742987*((RANDBETWEEN(2979,3282)))</f>
        <v>111894846.38224615</v>
      </c>
      <c r="B11342">
        <v>183917557.51718411</v>
      </c>
    </row>
    <row r="11343" spans="1:2" x14ac:dyDescent="0.25">
      <c r="A11343">
        <f ca="1">37775.195155469*((RANDBETWEEN(2979,3282)))</f>
        <v>123109361.01167336</v>
      </c>
      <c r="B11343">
        <v>183073960.3842366</v>
      </c>
    </row>
    <row r="11344" spans="1:2" x14ac:dyDescent="0.25">
      <c r="A11344">
        <f ca="1">36050.3891153624*((RANDBETWEEN(2979,3282)))</f>
        <v>112224861.31612331</v>
      </c>
      <c r="B11344">
        <v>177793960.53484654</v>
      </c>
    </row>
    <row r="11345" spans="1:2" x14ac:dyDescent="0.25">
      <c r="A11345">
        <f ca="1">30054.5707763477*((RANDBETWEEN(2979,3282)))</f>
        <v>91997041.146400452</v>
      </c>
      <c r="B11345">
        <v>169908188.80437961</v>
      </c>
    </row>
    <row r="11346" spans="1:2" x14ac:dyDescent="0.25">
      <c r="A11346">
        <f ca="1">33073.7890571857*((RANDBETWEEN(2979,3282)))</f>
        <v>103752476.27239144</v>
      </c>
      <c r="B11346">
        <v>201860442.58124104</v>
      </c>
    </row>
    <row r="11347" spans="1:2" x14ac:dyDescent="0.25">
      <c r="A11347">
        <f ca="1">39230.1854445741*((RANDBETWEEN(2979,3282)))</f>
        <v>125458133.05174796</v>
      </c>
      <c r="B11347">
        <v>174046904.41929793</v>
      </c>
    </row>
    <row r="11348" spans="1:2" x14ac:dyDescent="0.25">
      <c r="A11348">
        <f ca="1">31823.3018301899*((RANDBETWEEN(2979,3282)))</f>
        <v>97379303.600381047</v>
      </c>
      <c r="B11348">
        <v>196223850.79130736</v>
      </c>
    </row>
    <row r="11349" spans="1:2" x14ac:dyDescent="0.25">
      <c r="A11349">
        <f ca="1">32457.7490995872*((RANDBETWEEN(2979,3282)))</f>
        <v>101917332.1727037</v>
      </c>
      <c r="B11349">
        <v>176536456.82023436</v>
      </c>
    </row>
    <row r="11350" spans="1:2" x14ac:dyDescent="0.25">
      <c r="A11350">
        <f ca="1">33443.2423835034*((RANDBETWEEN(2979,3282)))</f>
        <v>99727748.787607133</v>
      </c>
      <c r="B11350">
        <v>168342141.15272126</v>
      </c>
    </row>
    <row r="11351" spans="1:2" x14ac:dyDescent="0.25">
      <c r="A11351">
        <f ca="1">33311.804595123*((RANDBETWEEN(2979,3282)))</f>
        <v>104898872.67004217</v>
      </c>
      <c r="B11351">
        <v>198677174.20546502</v>
      </c>
    </row>
    <row r="11352" spans="1:2" x14ac:dyDescent="0.25">
      <c r="A11352">
        <f ca="1">39799.130382516*((RANDBETWEEN(2979,3282)))</f>
        <v>118840203.32219267</v>
      </c>
      <c r="B11352">
        <v>163439523.09079146</v>
      </c>
    </row>
    <row r="11353" spans="1:2" x14ac:dyDescent="0.25">
      <c r="A11353">
        <f ca="1">34889.290373432*((RANDBETWEEN(2979,3282)))</f>
        <v>105574992.6700052</v>
      </c>
      <c r="B11353">
        <v>162867183.86152896</v>
      </c>
    </row>
    <row r="11354" spans="1:2" x14ac:dyDescent="0.25">
      <c r="A11354">
        <f ca="1">34690.3991577649*((RANDBETWEEN(2979,3282)))</f>
        <v>107748379.78401786</v>
      </c>
      <c r="B11354">
        <v>173403628.65242925</v>
      </c>
    </row>
    <row r="11355" spans="1:2" x14ac:dyDescent="0.25">
      <c r="A11355">
        <f ca="1">38956.8789167059*((RANDBETWEEN(2979,3282)))</f>
        <v>118584739.42245264</v>
      </c>
      <c r="B11355">
        <v>194297545.02375215</v>
      </c>
    </row>
    <row r="11356" spans="1:2" x14ac:dyDescent="0.25">
      <c r="A11356">
        <f ca="1">30654.1815494879*((RANDBETWEEN(2979,3282)))</f>
        <v>100484407.11922127</v>
      </c>
      <c r="B11356">
        <v>146205414.07416981</v>
      </c>
    </row>
    <row r="11357" spans="1:2" x14ac:dyDescent="0.25">
      <c r="A11357">
        <f ca="1">32071.6801496214*((RANDBETWEEN(2979,3282)))</f>
        <v>98011054.537243038</v>
      </c>
      <c r="B11357">
        <v>153564575.56501037</v>
      </c>
    </row>
    <row r="11358" spans="1:2" x14ac:dyDescent="0.25">
      <c r="A11358">
        <f ca="1">37891.4343847724*((RANDBETWEEN(2979,3282)))</f>
        <v>122995596.01297104</v>
      </c>
      <c r="B11358">
        <v>165762218.00269878</v>
      </c>
    </row>
    <row r="11359" spans="1:2" x14ac:dyDescent="0.25">
      <c r="A11359">
        <f ca="1">30446.1964757251*((RANDBETWEEN(2979,3282)))</f>
        <v>93408930.787524626</v>
      </c>
      <c r="B11359">
        <v>171158517.8505314</v>
      </c>
    </row>
    <row r="11360" spans="1:2" x14ac:dyDescent="0.25">
      <c r="A11360">
        <f ca="1">38577.5378891086*((RANDBETWEEN(2979,3282)))</f>
        <v>126380014.12471992</v>
      </c>
      <c r="B11360">
        <v>169050554.36523163</v>
      </c>
    </row>
    <row r="11361" spans="1:2" x14ac:dyDescent="0.25">
      <c r="A11361">
        <f ca="1">31704.375834895*((RANDBETWEEN(2979,3282)))</f>
        <v>96666641.920594871</v>
      </c>
      <c r="B11361">
        <v>164534366.04447633</v>
      </c>
    </row>
    <row r="11362" spans="1:2" x14ac:dyDescent="0.25">
      <c r="A11362">
        <f ca="1">35857.2848561187*((RANDBETWEEN(2979,3282)))</f>
        <v>109149575.10202536</v>
      </c>
      <c r="B11362">
        <v>199556017.77983791</v>
      </c>
    </row>
    <row r="11363" spans="1:2" x14ac:dyDescent="0.25">
      <c r="A11363">
        <f ca="1">33939.1206856991*((RANDBETWEEN(2979,3282)))</f>
        <v>104464613.47058192</v>
      </c>
      <c r="B11363">
        <v>187284664.31245744</v>
      </c>
    </row>
    <row r="11364" spans="1:2" x14ac:dyDescent="0.25">
      <c r="A11364">
        <f ca="1">34620.830050911*((RANDBETWEEN(2979,3282)))</f>
        <v>104831873.39415854</v>
      </c>
      <c r="B11364">
        <v>152079174.35294849</v>
      </c>
    </row>
    <row r="11365" spans="1:2" x14ac:dyDescent="0.25">
      <c r="A11365">
        <f ca="1">32362.6377552321*((RANDBETWEEN(2979,3282)))</f>
        <v>102751374.87286188</v>
      </c>
      <c r="B11365">
        <v>158319339.21776044</v>
      </c>
    </row>
    <row r="11366" spans="1:2" x14ac:dyDescent="0.25">
      <c r="A11366">
        <f ca="1">38844.3472322413*((RANDBETWEEN(2979,3282)))</f>
        <v>125622618.94906849</v>
      </c>
      <c r="B11366">
        <v>198040449.92849067</v>
      </c>
    </row>
    <row r="11367" spans="1:2" x14ac:dyDescent="0.25">
      <c r="A11367">
        <f ca="1">30903.7540808265*((RANDBETWEEN(2979,3282)))</f>
        <v>93082107.291449293</v>
      </c>
      <c r="B11367">
        <v>188680455.54103407</v>
      </c>
    </row>
    <row r="11368" spans="1:2" x14ac:dyDescent="0.25">
      <c r="A11368">
        <f ca="1">35116.0890088111*((RANDBETWEEN(2979,3282)))</f>
        <v>105523847.47147743</v>
      </c>
      <c r="B11368">
        <v>153630941.73534715</v>
      </c>
    </row>
    <row r="11369" spans="1:2" x14ac:dyDescent="0.25">
      <c r="A11369">
        <f ca="1">33370.2409565059*((RANDBETWEEN(2979,3282)))</f>
        <v>106050625.75977577</v>
      </c>
      <c r="B11369">
        <v>154498045.90383515</v>
      </c>
    </row>
    <row r="11370" spans="1:2" x14ac:dyDescent="0.25">
      <c r="A11370">
        <f ca="1">29403.7427158443*((RANDBETWEEN(2979,3282)))</f>
        <v>93356883.122805536</v>
      </c>
      <c r="B11370">
        <v>146290839.38941455</v>
      </c>
    </row>
    <row r="11371" spans="1:2" x14ac:dyDescent="0.25">
      <c r="A11371">
        <f ca="1">30032.0594529232*((RANDBETWEEN(2979,3282)))</f>
        <v>93219512.541873753</v>
      </c>
      <c r="B11371">
        <v>173820519.93106657</v>
      </c>
    </row>
    <row r="11372" spans="1:2" x14ac:dyDescent="0.25">
      <c r="A11372">
        <f ca="1">30506.2382165067*((RANDBETWEEN(2979,3282)))</f>
        <v>99938436.397275999</v>
      </c>
      <c r="B11372">
        <v>186437451.65424898</v>
      </c>
    </row>
    <row r="11373" spans="1:2" x14ac:dyDescent="0.25">
      <c r="A11373">
        <f ca="1">32994.5672425644*((RANDBETWEEN(2979,3282)))</f>
        <v>98719745.189752728</v>
      </c>
      <c r="B11373">
        <v>146176185.43308198</v>
      </c>
    </row>
    <row r="11374" spans="1:2" x14ac:dyDescent="0.25">
      <c r="A11374">
        <f ca="1">30936.8691542143*((RANDBETWEEN(2979,3282)))</f>
        <v>96028041.854681477</v>
      </c>
      <c r="B11374">
        <v>155324864.90087995</v>
      </c>
    </row>
    <row r="11375" spans="1:2" x14ac:dyDescent="0.25">
      <c r="A11375">
        <f ca="1">31307.802288693*((RANDBETWEEN(2979,3282)))</f>
        <v>95394873.573647439</v>
      </c>
      <c r="B11375">
        <v>165495393.72924381</v>
      </c>
    </row>
    <row r="11376" spans="1:2" x14ac:dyDescent="0.25">
      <c r="A11376">
        <f ca="1">35216.8508793754*((RANDBETWEEN(2979,3282)))</f>
        <v>109665273.63837504</v>
      </c>
      <c r="B11376">
        <v>169376787.8092868</v>
      </c>
    </row>
    <row r="11377" spans="1:2" x14ac:dyDescent="0.25">
      <c r="A11377">
        <f ca="1">37327.7448846735*((RANDBETWEEN(2979,3282)))</f>
        <v>119299472.65141648</v>
      </c>
      <c r="B11377">
        <v>151684220.23654193</v>
      </c>
    </row>
    <row r="11378" spans="1:2" x14ac:dyDescent="0.25">
      <c r="A11378">
        <f ca="1">31280.3069700018*((RANDBETWEEN(2979,3282)))</f>
        <v>93496837.533335492</v>
      </c>
      <c r="B11378">
        <v>167664136.12443319</v>
      </c>
    </row>
    <row r="11379" spans="1:2" x14ac:dyDescent="0.25">
      <c r="A11379">
        <f ca="1">38080.5192279858*((RANDBETWEEN(2979,3282)))</f>
        <v>114698523.91469337</v>
      </c>
      <c r="B11379">
        <v>164464479.53725049</v>
      </c>
    </row>
    <row r="11380" spans="1:2" x14ac:dyDescent="0.25">
      <c r="A11380">
        <f ca="1">33348.183026704*((RANDBETWEEN(2979,3282)))</f>
        <v>102312225.52592784</v>
      </c>
      <c r="B11380">
        <v>182170318.54894647</v>
      </c>
    </row>
    <row r="11381" spans="1:2" x14ac:dyDescent="0.25">
      <c r="A11381">
        <f ca="1">32196.6259724976*((RANDBETWEEN(2979,3282)))</f>
        <v>101451568.43933979</v>
      </c>
      <c r="B11381">
        <v>187888638.73980814</v>
      </c>
    </row>
    <row r="11382" spans="1:2" x14ac:dyDescent="0.25">
      <c r="A11382">
        <f ca="1">38655.3335547711*((RANDBETWEEN(2979,3282)))</f>
        <v>123349169.37327455</v>
      </c>
      <c r="B11382">
        <v>151286683.77951324</v>
      </c>
    </row>
    <row r="11383" spans="1:2" x14ac:dyDescent="0.25">
      <c r="A11383">
        <f ca="1">29654.8970111372*((RANDBETWEEN(2979,3282)))</f>
        <v>93650164.761171177</v>
      </c>
      <c r="B11383">
        <v>172023226.81886515</v>
      </c>
    </row>
    <row r="11384" spans="1:2" x14ac:dyDescent="0.25">
      <c r="A11384">
        <f ca="1">35771.0597550044*((RANDBETWEEN(2979,3282)))</f>
        <v>117221762.81714948</v>
      </c>
      <c r="B11384">
        <v>172132479.16971123</v>
      </c>
    </row>
    <row r="11385" spans="1:2" x14ac:dyDescent="0.25">
      <c r="A11385">
        <f ca="1">36945.38654496*((RANDBETWEEN(2979,3282)))</f>
        <v>110245033.4501605</v>
      </c>
      <c r="B11385">
        <v>181063800.63383502</v>
      </c>
    </row>
    <row r="11386" spans="1:2" x14ac:dyDescent="0.25">
      <c r="A11386">
        <f ca="1">37786.7760165709*((RANDBETWEEN(2979,3282)))</f>
        <v>121862352.65344116</v>
      </c>
      <c r="B11386">
        <v>157111778.41679275</v>
      </c>
    </row>
    <row r="11387" spans="1:2" x14ac:dyDescent="0.25">
      <c r="A11387">
        <f ca="1">34929.258204564*((RANDBETWEEN(2979,3282)))</f>
        <v>112367423.64408232</v>
      </c>
      <c r="B11387">
        <v>180709124.57706296</v>
      </c>
    </row>
    <row r="11388" spans="1:2" x14ac:dyDescent="0.25">
      <c r="A11388">
        <f ca="1">33451.0789145186*((RANDBETWEEN(2979,3282)))</f>
        <v>103296931.6880336</v>
      </c>
      <c r="B11388">
        <v>165707377.22041416</v>
      </c>
    </row>
    <row r="11389" spans="1:2" x14ac:dyDescent="0.25">
      <c r="A11389">
        <f ca="1">41865.0030110122*((RANDBETWEEN(2979,3282)))</f>
        <v>129572184.31908263</v>
      </c>
      <c r="B11389">
        <v>156831625.8325223</v>
      </c>
    </row>
    <row r="11390" spans="1:2" x14ac:dyDescent="0.25">
      <c r="A11390">
        <f ca="1">35749.1931040174*((RANDBETWEEN(2979,3282)))</f>
        <v>117257353.38117698</v>
      </c>
      <c r="B11390">
        <v>195706002.60080606</v>
      </c>
    </row>
    <row r="11391" spans="1:2" x14ac:dyDescent="0.25">
      <c r="A11391">
        <f ca="1">28365.4594181105*((RANDBETWEEN(2979,3282)))</f>
        <v>87507442.304870859</v>
      </c>
      <c r="B11391">
        <v>181852984.66089141</v>
      </c>
    </row>
    <row r="11392" spans="1:2" x14ac:dyDescent="0.25">
      <c r="A11392">
        <f ca="1">38433.7023994343*((RANDBETWEEN(2979,3282)))</f>
        <v>115877612.73429452</v>
      </c>
      <c r="B11392">
        <v>178084219.35425913</v>
      </c>
    </row>
    <row r="11393" spans="1:2" x14ac:dyDescent="0.25">
      <c r="A11393">
        <f ca="1">37490.3469386746*((RANDBETWEEN(2979,3282)))</f>
        <v>117269805.22417425</v>
      </c>
      <c r="B11393">
        <v>155860385.67743975</v>
      </c>
    </row>
    <row r="11394" spans="1:2" x14ac:dyDescent="0.25">
      <c r="A11394">
        <f ca="1">29983.3482569448*((RANDBETWEEN(2979,3282)))</f>
        <v>91958929.104049668</v>
      </c>
      <c r="B11394">
        <v>148743570.44840926</v>
      </c>
    </row>
    <row r="11395" spans="1:2" x14ac:dyDescent="0.25">
      <c r="A11395">
        <f ca="1">38397.473696161*((RANDBETWEEN(2979,3282)))</f>
        <v>119992105.30050302</v>
      </c>
      <c r="B11395">
        <v>157069902.77634606</v>
      </c>
    </row>
    <row r="11396" spans="1:2" x14ac:dyDescent="0.25">
      <c r="A11396">
        <f ca="1">35360.4868951444*((RANDBETWEEN(2979,3282)))</f>
        <v>106824030.91023128</v>
      </c>
      <c r="B11396">
        <v>148995970.24274006</v>
      </c>
    </row>
    <row r="11397" spans="1:2" x14ac:dyDescent="0.25">
      <c r="A11397">
        <f ca="1">29910.8330498127*((RANDBETWEEN(2979,3282)))</f>
        <v>89582944.984189078</v>
      </c>
      <c r="B11397">
        <v>168850498.49740738</v>
      </c>
    </row>
    <row r="11398" spans="1:2" x14ac:dyDescent="0.25">
      <c r="A11398">
        <f ca="1">31975.8039944873*((RANDBETWEEN(2979,3282)))</f>
        <v>99892411.67877844</v>
      </c>
      <c r="B11398">
        <v>174282370.16127181</v>
      </c>
    </row>
    <row r="11399" spans="1:2" x14ac:dyDescent="0.25">
      <c r="A11399">
        <f ca="1">31397.3903180182*((RANDBETWEEN(2979,3282)))</f>
        <v>94411952.686280802</v>
      </c>
      <c r="B11399">
        <v>184061372.71800783</v>
      </c>
    </row>
    <row r="11400" spans="1:2" x14ac:dyDescent="0.25">
      <c r="A11400">
        <f ca="1">32315.3683673246*((RANDBETWEEN(2979,3282)))</f>
        <v>98044827.626462966</v>
      </c>
      <c r="B11400">
        <v>145360624.95627034</v>
      </c>
    </row>
    <row r="11401" spans="1:2" x14ac:dyDescent="0.25">
      <c r="A11401">
        <f ca="1">38484.0494634179*((RANDBETWEEN(2979,3282)))</f>
        <v>116683637.97308306</v>
      </c>
      <c r="B11401">
        <v>165256164.51079065</v>
      </c>
    </row>
    <row r="11402" spans="1:2" x14ac:dyDescent="0.25">
      <c r="A11402">
        <f ca="1">39921.6053000211*((RANDBETWEEN(2979,3282)))</f>
        <v>120044267.13716342</v>
      </c>
      <c r="B11402">
        <v>198517079.19735757</v>
      </c>
    </row>
    <row r="11403" spans="1:2" x14ac:dyDescent="0.25">
      <c r="A11403">
        <f ca="1">32062.1525971082*((RANDBETWEEN(2979,3282)))</f>
        <v>99328548.745841101</v>
      </c>
      <c r="B11403">
        <v>188692556.9836669</v>
      </c>
    </row>
    <row r="11404" spans="1:2" x14ac:dyDescent="0.25">
      <c r="A11404">
        <f ca="1">33867.6747683005*((RANDBETWEEN(2979,3282)))</f>
        <v>105294600.85464616</v>
      </c>
      <c r="B11404">
        <v>155685904.03347725</v>
      </c>
    </row>
    <row r="11405" spans="1:2" x14ac:dyDescent="0.25">
      <c r="A11405">
        <f ca="1">35264.4137860869*((RANDBETWEEN(2979,3282)))</f>
        <v>105581654.87554431</v>
      </c>
      <c r="B11405">
        <v>162740228.16964841</v>
      </c>
    </row>
    <row r="11406" spans="1:2" x14ac:dyDescent="0.25">
      <c r="A11406">
        <f ca="1">29764.2194656812*((RANDBETWEEN(2979,3282)))</f>
        <v>97031355.458120659</v>
      </c>
      <c r="B11406">
        <v>187899343.03265512</v>
      </c>
    </row>
    <row r="11407" spans="1:2" x14ac:dyDescent="0.25">
      <c r="A11407">
        <f ca="1">31934.3541301503*((RANDBETWEEN(2979,3282)))</f>
        <v>96793027.368485495</v>
      </c>
      <c r="B11407">
        <v>179112086.99534896</v>
      </c>
    </row>
    <row r="11408" spans="1:2" x14ac:dyDescent="0.25">
      <c r="A11408">
        <f ca="1">29588.6673590301*((RANDBETWEEN(2979,3282)))</f>
        <v>89150654.752757609</v>
      </c>
      <c r="B11408">
        <v>190303598.28522515</v>
      </c>
    </row>
    <row r="11409" spans="1:2" x14ac:dyDescent="0.25">
      <c r="A11409">
        <f ca="1">39396.9004158209*((RANDBETWEEN(2979,3282)))</f>
        <v>119412005.16035318</v>
      </c>
      <c r="B11409">
        <v>169564544.09246123</v>
      </c>
    </row>
    <row r="11410" spans="1:2" x14ac:dyDescent="0.25">
      <c r="A11410">
        <f ca="1">36762.4004585267*((RANDBETWEEN(2979,3282)))</f>
        <v>114735451.83106177</v>
      </c>
      <c r="B11410">
        <v>161125375.1780979</v>
      </c>
    </row>
    <row r="11411" spans="1:2" x14ac:dyDescent="0.25">
      <c r="A11411">
        <f ca="1">31071.7031610856*((RANDBETWEEN(2979,3282)))</f>
        <v>99336235.00599052</v>
      </c>
      <c r="B11411">
        <v>189137531.08158514</v>
      </c>
    </row>
    <row r="11412" spans="1:2" x14ac:dyDescent="0.25">
      <c r="A11412">
        <f ca="1">31976.3360770097*((RANDBETWEEN(2979,3282)))</f>
        <v>97911541.067803681</v>
      </c>
      <c r="B11412">
        <v>151909039.8610357</v>
      </c>
    </row>
    <row r="11413" spans="1:2" x14ac:dyDescent="0.25">
      <c r="A11413">
        <f ca="1">36039.6659076919*((RANDBETWEEN(2979,3282)))</f>
        <v>110317417.34344482</v>
      </c>
      <c r="B11413">
        <v>175837181.45003864</v>
      </c>
    </row>
    <row r="11414" spans="1:2" x14ac:dyDescent="0.25">
      <c r="A11414">
        <f ca="1">32669.5638825113*((RANDBETWEEN(2979,3282)))</f>
        <v>106698795.64028196</v>
      </c>
      <c r="B11414">
        <v>163904698.87147695</v>
      </c>
    </row>
    <row r="11415" spans="1:2" x14ac:dyDescent="0.25">
      <c r="A11415">
        <f ca="1">33553.9943987296*((RANDBETWEEN(2979,3282)))</f>
        <v>104554246.54644157</v>
      </c>
      <c r="B11415">
        <v>155979450.32695824</v>
      </c>
    </row>
    <row r="11416" spans="1:2" x14ac:dyDescent="0.25">
      <c r="A11416">
        <f ca="1">33634.7284708249*((RANDBETWEEN(2979,3282)))</f>
        <v>107900208.93440628</v>
      </c>
      <c r="B11416">
        <v>161048533.15441236</v>
      </c>
    </row>
    <row r="11417" spans="1:2" x14ac:dyDescent="0.25">
      <c r="A11417">
        <f ca="1">31823.0647878492*((RANDBETWEEN(2979,3282)))</f>
        <v>99128846.814150259</v>
      </c>
      <c r="B11417">
        <v>199460036.63576844</v>
      </c>
    </row>
    <row r="11418" spans="1:2" x14ac:dyDescent="0.25">
      <c r="A11418">
        <f ca="1">33730.1857266048*((RANDBETWEEN(2979,3282)))</f>
        <v>104293734.26666205</v>
      </c>
      <c r="B11418">
        <v>159614527.0334928</v>
      </c>
    </row>
    <row r="11419" spans="1:2" x14ac:dyDescent="0.25">
      <c r="A11419">
        <f ca="1">29914.4544453644*((RANDBETWEEN(2979,3282)))</f>
        <v>91149342.69502531</v>
      </c>
      <c r="B11419">
        <v>155697655.11623478</v>
      </c>
    </row>
    <row r="11420" spans="1:2" x14ac:dyDescent="0.25">
      <c r="A11420">
        <f ca="1">41600.9757604153*((RANDBETWEEN(2979,3282)))</f>
        <v>131375881.45139165</v>
      </c>
      <c r="B11420">
        <v>151553993.57783264</v>
      </c>
    </row>
    <row r="11421" spans="1:2" x14ac:dyDescent="0.25">
      <c r="A11421">
        <f ca="1">38176.5529823267*((RANDBETWEEN(2979,3282)))</f>
        <v>114376952.73505066</v>
      </c>
      <c r="B11421">
        <v>180129313.3492406</v>
      </c>
    </row>
    <row r="11422" spans="1:2" x14ac:dyDescent="0.25">
      <c r="A11422">
        <f ca="1">29463.9269091348*((RANDBETWEEN(2979,3282)))</f>
        <v>91279245.564499527</v>
      </c>
      <c r="B11422">
        <v>182676497.97166198</v>
      </c>
    </row>
    <row r="11423" spans="1:2" x14ac:dyDescent="0.25">
      <c r="A11423">
        <f ca="1">36858.3217052858*((RANDBETWEEN(2979,3282)))</f>
        <v>116435438.26699774</v>
      </c>
      <c r="B11423">
        <v>187948349.40255052</v>
      </c>
    </row>
    <row r="11424" spans="1:2" x14ac:dyDescent="0.25">
      <c r="A11424">
        <f ca="1">38795.9561044982*((RANDBETWEEN(2979,3282)))</f>
        <v>125349734.17363358</v>
      </c>
      <c r="B11424">
        <v>191935414.09944299</v>
      </c>
    </row>
    <row r="11425" spans="1:2" x14ac:dyDescent="0.25">
      <c r="A11425">
        <f ca="1">35864.5910157739*((RANDBETWEEN(2979,3282)))</f>
        <v>112112711.51530923</v>
      </c>
      <c r="B11425">
        <v>184847561.80244973</v>
      </c>
    </row>
    <row r="11426" spans="1:2" x14ac:dyDescent="0.25">
      <c r="A11426">
        <f ca="1">33106.9391673716*((RANDBETWEEN(2979,3282)))</f>
        <v>100611988.12964228</v>
      </c>
      <c r="B11426">
        <v>156781779.93357706</v>
      </c>
    </row>
    <row r="11427" spans="1:2" x14ac:dyDescent="0.25">
      <c r="A11427">
        <f ca="1">35416.0232527796*((RANDBETWEEN(2979,3282)))</f>
        <v>110037584.24638636</v>
      </c>
      <c r="B11427">
        <v>169208484.3570646</v>
      </c>
    </row>
    <row r="11428" spans="1:2" x14ac:dyDescent="0.25">
      <c r="A11428">
        <f ca="1">31710.3805214934*((RANDBETWEEN(2979,3282)))</f>
        <v>103692944.30528335</v>
      </c>
      <c r="B11428">
        <v>190503340.12724584</v>
      </c>
    </row>
    <row r="11429" spans="1:2" x14ac:dyDescent="0.25">
      <c r="A11429">
        <f ca="1">39584.253815374*((RANDBETWEEN(2979,3282)))</f>
        <v>122473681.3047673</v>
      </c>
      <c r="B11429">
        <v>151393093.91752815</v>
      </c>
    </row>
    <row r="11430" spans="1:2" x14ac:dyDescent="0.25">
      <c r="A11430">
        <f ca="1">36293.7046617659*((RANDBETWEEN(2979,3282)))</f>
        <v>115341393.41509201</v>
      </c>
      <c r="B11430">
        <v>146897470.24163094</v>
      </c>
    </row>
    <row r="11431" spans="1:2" x14ac:dyDescent="0.25">
      <c r="A11431">
        <f ca="1">34031.6621476911*((RANDBETWEEN(2979,3282)))</f>
        <v>105396057.67139925</v>
      </c>
      <c r="B11431">
        <v>151502183.01928768</v>
      </c>
    </row>
    <row r="11432" spans="1:2" x14ac:dyDescent="0.25">
      <c r="A11432">
        <f ca="1">41640.5308617665*((RANDBETWEEN(2979,3282)))</f>
        <v>126670494.88149363</v>
      </c>
      <c r="B11432">
        <v>168932916.10337016</v>
      </c>
    </row>
    <row r="11433" spans="1:2" x14ac:dyDescent="0.25">
      <c r="A11433">
        <f ca="1">29603.8216125164*((RANDBETWEEN(2979,3282)))</f>
        <v>92541546.360726193</v>
      </c>
      <c r="B11433">
        <v>156197790.2865392</v>
      </c>
    </row>
    <row r="11434" spans="1:2" x14ac:dyDescent="0.25">
      <c r="A11434">
        <f ca="1">40078.0924634621*((RANDBETWEEN(2979,3282)))</f>
        <v>125805132.24280748</v>
      </c>
      <c r="B11434">
        <v>156736114.88010478</v>
      </c>
    </row>
    <row r="11435" spans="1:2" x14ac:dyDescent="0.25">
      <c r="A11435">
        <f ca="1">32784.4711136615*((RANDBETWEEN(2979,3282)))</f>
        <v>102385903.28796473</v>
      </c>
      <c r="B11435">
        <v>158279090.34128872</v>
      </c>
    </row>
    <row r="11436" spans="1:2" x14ac:dyDescent="0.25">
      <c r="A11436">
        <f ca="1">36433.847737863*((RANDBETWEEN(2979,3282)))</f>
        <v>119138682.10281213</v>
      </c>
      <c r="B11436">
        <v>172150688.83937502</v>
      </c>
    </row>
    <row r="11437" spans="1:2" x14ac:dyDescent="0.25">
      <c r="A11437">
        <f ca="1">39379.9344942568*((RANDBETWEEN(2979,3282)))</f>
        <v>127197188.41644932</v>
      </c>
      <c r="B11437">
        <v>167369829.64750445</v>
      </c>
    </row>
    <row r="11438" spans="1:2" x14ac:dyDescent="0.25">
      <c r="A11438">
        <f ca="1">31102.3709317432*((RANDBETWEEN(2979,3282)))</f>
        <v>96479554.630267516</v>
      </c>
      <c r="B11438">
        <v>155119451.18312994</v>
      </c>
    </row>
    <row r="11439" spans="1:2" x14ac:dyDescent="0.25">
      <c r="A11439">
        <f ca="1">32640.5494351922*((RANDBETWEEN(2979,3282)))</f>
        <v>97529961.712354243</v>
      </c>
      <c r="B11439">
        <v>187020502.35522768</v>
      </c>
    </row>
    <row r="11440" spans="1:2" x14ac:dyDescent="0.25">
      <c r="A11440">
        <f ca="1">39157.6108485775*((RANDBETWEEN(2979,3282)))</f>
        <v>123072370.89707907</v>
      </c>
      <c r="B11440">
        <v>167008889.12519324</v>
      </c>
    </row>
    <row r="11441" spans="1:2" x14ac:dyDescent="0.25">
      <c r="A11441">
        <f ca="1">33095.0062204601*((RANDBETWEEN(2979,3282)))</f>
        <v>104381649.61933102</v>
      </c>
      <c r="B11441">
        <v>165543708.44943735</v>
      </c>
    </row>
    <row r="11442" spans="1:2" x14ac:dyDescent="0.25">
      <c r="A11442">
        <f ca="1">35974.3878704437*((RANDBETWEEN(2979,3282)))</f>
        <v>112096192.6043026</v>
      </c>
      <c r="B11442">
        <v>174298472.02007833</v>
      </c>
    </row>
    <row r="11443" spans="1:2" x14ac:dyDescent="0.25">
      <c r="A11443">
        <f ca="1">36394.138009161*((RANDBETWEEN(2979,3282)))</f>
        <v>110128661.61572109</v>
      </c>
      <c r="B11443">
        <v>166480593.08809659</v>
      </c>
    </row>
    <row r="11444" spans="1:2" x14ac:dyDescent="0.25">
      <c r="A11444">
        <f ca="1">41465.9888938756*((RANDBETWEEN(2979,3282)))</f>
        <v>126346868.15963893</v>
      </c>
      <c r="B11444">
        <v>201303896.74278206</v>
      </c>
    </row>
    <row r="11445" spans="1:2" x14ac:dyDescent="0.25">
      <c r="A11445">
        <f ca="1">40449.3333802864*((RANDBETWEEN(2979,3282)))</f>
        <v>130651346.81832495</v>
      </c>
      <c r="B11445">
        <v>147441090.16001111</v>
      </c>
    </row>
    <row r="11446" spans="1:2" x14ac:dyDescent="0.25">
      <c r="A11446">
        <f ca="1">34419.0795737216*((RANDBETWEEN(2979,3282)))</f>
        <v>104358649.26752399</v>
      </c>
      <c r="B11446">
        <v>191869340.18412951</v>
      </c>
    </row>
    <row r="11447" spans="1:2" x14ac:dyDescent="0.25">
      <c r="A11447">
        <f ca="1">29163.8664537642*((RANDBETWEEN(2979,3282)))</f>
        <v>90407986.006668895</v>
      </c>
      <c r="B11447">
        <v>177775092.04898307</v>
      </c>
    </row>
    <row r="11448" spans="1:2" x14ac:dyDescent="0.25">
      <c r="A11448">
        <f ca="1">31399.4108194283*((RANDBETWEEN(2979,3282)))</f>
        <v>94261031.279923707</v>
      </c>
      <c r="B11448">
        <v>196804676.25060067</v>
      </c>
    </row>
    <row r="11449" spans="1:2" x14ac:dyDescent="0.25">
      <c r="A11449">
        <f ca="1">37628.6559682581*((RANDBETWEEN(2979,3282)))</f>
        <v>119433354.0432512</v>
      </c>
      <c r="B11449">
        <v>144069036.62534302</v>
      </c>
    </row>
    <row r="11450" spans="1:2" x14ac:dyDescent="0.25">
      <c r="A11450">
        <f ca="1">29250.0489788447*((RANDBETWEEN(2979,3282)))</f>
        <v>94974909.034308866</v>
      </c>
      <c r="B11450">
        <v>161957374.26969624</v>
      </c>
    </row>
    <row r="11451" spans="1:2" x14ac:dyDescent="0.25">
      <c r="A11451">
        <f ca="1">33381.2909832111*((RANDBETWEEN(2979,3282)))</f>
        <v>106452936.94546023</v>
      </c>
      <c r="B11451">
        <v>143441409.1535719</v>
      </c>
    </row>
    <row r="11452" spans="1:2" x14ac:dyDescent="0.25">
      <c r="A11452">
        <f ca="1">38831.0090144333*((RANDBETWEEN(2979,3282)))</f>
        <v>125967793.24282148</v>
      </c>
      <c r="B11452">
        <v>196274724.95091134</v>
      </c>
    </row>
    <row r="11453" spans="1:2" x14ac:dyDescent="0.25">
      <c r="A11453">
        <f ca="1">31157.1294853922*((RANDBETWEEN(2979,3282)))</f>
        <v>101821499.15826167</v>
      </c>
      <c r="B11453">
        <v>176967865.61788386</v>
      </c>
    </row>
    <row r="11454" spans="1:2" x14ac:dyDescent="0.25">
      <c r="A11454">
        <f ca="1">35845.4036544832*((RANDBETWEEN(2979,3282)))</f>
        <v>114203456.04318342</v>
      </c>
      <c r="B11454">
        <v>198647436.77061388</v>
      </c>
    </row>
    <row r="11455" spans="1:2" x14ac:dyDescent="0.25">
      <c r="A11455">
        <f ca="1">40144.5363826181*((RANDBETWEEN(2979,3282)))</f>
        <v>124488207.32249874</v>
      </c>
      <c r="B11455">
        <v>157016489.22573197</v>
      </c>
    </row>
    <row r="11456" spans="1:2" x14ac:dyDescent="0.25">
      <c r="A11456">
        <f ca="1">37530.5350956098*((RANDBETWEEN(2979,3282)))</f>
        <v>120998445.14824608</v>
      </c>
      <c r="B11456">
        <v>187152957.99445516</v>
      </c>
    </row>
    <row r="11457" spans="1:2" x14ac:dyDescent="0.25">
      <c r="A11457">
        <f ca="1">33354.5966754522*((RANDBETWEEN(2979,3282)))</f>
        <v>99596825.672900215</v>
      </c>
      <c r="B11457">
        <v>180492137.33894786</v>
      </c>
    </row>
    <row r="11458" spans="1:2" x14ac:dyDescent="0.25">
      <c r="A11458">
        <f ca="1">32175.4944745925*((RANDBETWEEN(2979,3282)))</f>
        <v>103186810.78001826</v>
      </c>
      <c r="B11458">
        <v>163018737.29483753</v>
      </c>
    </row>
    <row r="11459" spans="1:2" x14ac:dyDescent="0.25">
      <c r="A11459">
        <f ca="1">39344.8160657596*((RANDBETWEEN(2979,3282)))</f>
        <v>127831307.39765288</v>
      </c>
      <c r="B11459">
        <v>179086150.35633543</v>
      </c>
    </row>
    <row r="11460" spans="1:2" x14ac:dyDescent="0.25">
      <c r="A11460">
        <f ca="1">29541.6907023315*((RANDBETWEEN(2979,3282)))</f>
        <v>91963283.156358004</v>
      </c>
      <c r="B11460">
        <v>161648299.2145721</v>
      </c>
    </row>
    <row r="11461" spans="1:2" x14ac:dyDescent="0.25">
      <c r="A11461">
        <f ca="1">38046.3204815443*((RANDBETWEEN(2979,3282)))</f>
        <v>124677792.2180208</v>
      </c>
      <c r="B11461">
        <v>190788629.5207262</v>
      </c>
    </row>
    <row r="11462" spans="1:2" x14ac:dyDescent="0.25">
      <c r="A11462">
        <f ca="1">36673.2316280209*((RANDBETWEEN(2979,3282)))</f>
        <v>119884794.19200031</v>
      </c>
      <c r="B11462">
        <v>169045270.29376304</v>
      </c>
    </row>
    <row r="11463" spans="1:2" x14ac:dyDescent="0.25">
      <c r="A11463">
        <f ca="1">40712.2755288133*((RANDBETWEEN(2979,3282)))</f>
        <v>129627885.28374147</v>
      </c>
      <c r="B11463">
        <v>149894092.73675993</v>
      </c>
    </row>
    <row r="11464" spans="1:2" x14ac:dyDescent="0.25">
      <c r="A11464">
        <f ca="1">31891.8136417487*((RANDBETWEEN(2979,3282)))</f>
        <v>99757593.071389809</v>
      </c>
      <c r="B11464">
        <v>150040247.77047083</v>
      </c>
    </row>
    <row r="11465" spans="1:2" x14ac:dyDescent="0.25">
      <c r="A11465">
        <f ca="1">40108.2139558963*((RANDBETWEEN(2979,3282)))</f>
        <v>130111046.07292765</v>
      </c>
      <c r="B11465">
        <v>147501217.02398431</v>
      </c>
    </row>
    <row r="11466" spans="1:2" x14ac:dyDescent="0.25">
      <c r="A11466">
        <f ca="1">37142.1104236729*((RANDBETWEEN(2979,3282)))</f>
        <v>121566127.41668154</v>
      </c>
      <c r="B11466">
        <v>191967344.46190083</v>
      </c>
    </row>
    <row r="11467" spans="1:2" x14ac:dyDescent="0.25">
      <c r="A11467">
        <f ca="1">30230.8646598834*((RANDBETWEEN(2979,3282)))</f>
        <v>95650455.783871129</v>
      </c>
      <c r="B11467">
        <v>148054772.62249202</v>
      </c>
    </row>
    <row r="11468" spans="1:2" x14ac:dyDescent="0.25">
      <c r="A11468">
        <f ca="1">30625.0607618454*((RANDBETWEEN(2979,3282)))</f>
        <v>95121438.72629182</v>
      </c>
      <c r="B11468">
        <v>155659363.59012252</v>
      </c>
    </row>
    <row r="11469" spans="1:2" x14ac:dyDescent="0.25">
      <c r="A11469">
        <f ca="1">29933.1811839019*((RANDBETWEEN(2979,3282)))</f>
        <v>97222972.48531349</v>
      </c>
      <c r="B11469">
        <v>167891711.29660326</v>
      </c>
    </row>
    <row r="11470" spans="1:2" x14ac:dyDescent="0.25">
      <c r="A11470">
        <f ca="1">33005.4121276484*((RANDBETWEEN(2979,3282)))</f>
        <v>107861686.83315487</v>
      </c>
      <c r="B11470">
        <v>185789457.35202625</v>
      </c>
    </row>
    <row r="11471" spans="1:2" x14ac:dyDescent="0.25">
      <c r="A11471">
        <f ca="1">38696.1639155132*((RANDBETWEEN(2979,3282)))</f>
        <v>122744231.94000791</v>
      </c>
      <c r="B11471">
        <v>154997776.36265278</v>
      </c>
    </row>
    <row r="11472" spans="1:2" x14ac:dyDescent="0.25">
      <c r="A11472">
        <f ca="1">30654.4068175059*((RANDBETWEEN(2979,3282)))</f>
        <v>94170337.743378162</v>
      </c>
      <c r="B11472">
        <v>151185674.65334457</v>
      </c>
    </row>
    <row r="11473" spans="1:2" x14ac:dyDescent="0.25">
      <c r="A11473">
        <f ca="1">32175.6065175268*((RANDBETWEEN(2979,3282)))</f>
        <v>103637628.59295397</v>
      </c>
      <c r="B11473">
        <v>176378093.82496029</v>
      </c>
    </row>
    <row r="11474" spans="1:2" x14ac:dyDescent="0.25">
      <c r="A11474">
        <f ca="1">30485.3443718659*((RANDBETWEEN(2979,3282)))</f>
        <v>95388642.539568275</v>
      </c>
      <c r="B11474">
        <v>183404022.43215713</v>
      </c>
    </row>
    <row r="11475" spans="1:2" x14ac:dyDescent="0.25">
      <c r="A11475">
        <f ca="1">39647.7773308559*((RANDBETWEEN(2979,3282)))</f>
        <v>119022627.54722933</v>
      </c>
      <c r="B11475">
        <v>158907290.41678289</v>
      </c>
    </row>
    <row r="11476" spans="1:2" x14ac:dyDescent="0.25">
      <c r="A11476">
        <f ca="1">30986.9798513836*((RANDBETWEEN(2979,3282)))</f>
        <v>97732934.45126383</v>
      </c>
      <c r="B11476">
        <v>194605693.03171912</v>
      </c>
    </row>
    <row r="11477" spans="1:2" x14ac:dyDescent="0.25">
      <c r="A11477">
        <f ca="1">28111.9534788705*((RANDBETWEEN(2979,3282)))</f>
        <v>91223289.038934767</v>
      </c>
      <c r="B11477">
        <v>151738990.78446501</v>
      </c>
    </row>
    <row r="11478" spans="1:2" x14ac:dyDescent="0.25">
      <c r="A11478">
        <f ca="1">29033.2762040639*((RANDBETWEEN(2979,3282)))</f>
        <v>91048354.175944328</v>
      </c>
      <c r="B11478">
        <v>155275089.24188679</v>
      </c>
    </row>
    <row r="11479" spans="1:2" x14ac:dyDescent="0.25">
      <c r="A11479">
        <f ca="1">31836.9578337183*((RANDBETWEEN(2979,3282)))</f>
        <v>102960721.63424498</v>
      </c>
      <c r="B11479">
        <v>164683602.26173237</v>
      </c>
    </row>
    <row r="11480" spans="1:2" x14ac:dyDescent="0.25">
      <c r="A11480">
        <f ca="1">31167.2400292106*((RANDBETWEEN(2979,3282)))</f>
        <v>96930116.490845039</v>
      </c>
      <c r="B11480">
        <v>173014847.00971264</v>
      </c>
    </row>
    <row r="11481" spans="1:2" x14ac:dyDescent="0.25">
      <c r="A11481">
        <f ca="1">29138.9722939854*((RANDBETWEEN(2979,3282)))</f>
        <v>88553336.801421702</v>
      </c>
      <c r="B11481">
        <v>152873990.19256243</v>
      </c>
    </row>
    <row r="11482" spans="1:2" x14ac:dyDescent="0.25">
      <c r="A11482">
        <f ca="1">34156.1665796404*((RANDBETWEEN(2979,3282)))</f>
        <v>108479985.05693793</v>
      </c>
      <c r="B11482">
        <v>156305787.90768465</v>
      </c>
    </row>
    <row r="11483" spans="1:2" x14ac:dyDescent="0.25">
      <c r="A11483">
        <f ca="1">37232.4458197439*((RANDBETWEEN(2979,3282)))</f>
        <v>112702613.49636488</v>
      </c>
      <c r="B11483">
        <v>195123234.23418194</v>
      </c>
    </row>
    <row r="11484" spans="1:2" x14ac:dyDescent="0.25">
      <c r="A11484">
        <f ca="1">27618.1597256953*((RANDBETWEEN(2979,3282)))</f>
        <v>87825747.92771098</v>
      </c>
      <c r="B11484">
        <v>162497312.30418169</v>
      </c>
    </row>
    <row r="11485" spans="1:2" x14ac:dyDescent="0.25">
      <c r="A11485">
        <f ca="1">37354.629428508*((RANDBETWEEN(2979,3282)))</f>
        <v>119422750.28294</v>
      </c>
      <c r="B11485">
        <v>184085478.89426947</v>
      </c>
    </row>
    <row r="11486" spans="1:2" x14ac:dyDescent="0.25">
      <c r="A11486">
        <f ca="1">28773.595912753*((RANDBETWEEN(2979,3282)))</f>
        <v>93485413.120534495</v>
      </c>
      <c r="B11486">
        <v>143950619.77834934</v>
      </c>
    </row>
    <row r="11487" spans="1:2" x14ac:dyDescent="0.25">
      <c r="A11487">
        <f ca="1">34946.4283879874*((RANDBETWEEN(2979,3282)))</f>
        <v>106167249.44270577</v>
      </c>
      <c r="B11487">
        <v>145280213.76220563</v>
      </c>
    </row>
    <row r="11488" spans="1:2" x14ac:dyDescent="0.25">
      <c r="A11488">
        <f ca="1">35681.6704477601*((RANDBETWEEN(2979,3282)))</f>
        <v>112539988.59223527</v>
      </c>
      <c r="B11488">
        <v>188980996.8892532</v>
      </c>
    </row>
    <row r="11489" spans="1:2" x14ac:dyDescent="0.25">
      <c r="A11489">
        <f ca="1">29276.1201995434*((RANDBETWEEN(2979,3282)))</f>
        <v>89819136.772199169</v>
      </c>
      <c r="B11489">
        <v>174222264.74274364</v>
      </c>
    </row>
    <row r="11490" spans="1:2" x14ac:dyDescent="0.25">
      <c r="A11490">
        <f ca="1">31044.3111921695*((RANDBETWEEN(2979,3282)))</f>
        <v>96982428.16433765</v>
      </c>
      <c r="B11490">
        <v>183864001.98506144</v>
      </c>
    </row>
    <row r="11491" spans="1:2" x14ac:dyDescent="0.25">
      <c r="A11491">
        <f ca="1">40853.5010590678*((RANDBETWEEN(2979,3282)))</f>
        <v>132528757.43561599</v>
      </c>
      <c r="B11491">
        <v>163021209.2271497</v>
      </c>
    </row>
    <row r="11492" spans="1:2" x14ac:dyDescent="0.25">
      <c r="A11492">
        <f ca="1">30103.0089744564*((RANDBETWEEN(2979,3282)))</f>
        <v>90369232.941318214</v>
      </c>
      <c r="B11492">
        <v>154632151.06531736</v>
      </c>
    </row>
    <row r="11493" spans="1:2" x14ac:dyDescent="0.25">
      <c r="A11493">
        <f ca="1">29183.5016065134*((RANDBETWEEN(2979,3282)))</f>
        <v>93620673.153694883</v>
      </c>
      <c r="B11493">
        <v>188582680.84107995</v>
      </c>
    </row>
    <row r="11494" spans="1:2" x14ac:dyDescent="0.25">
      <c r="A11494">
        <f ca="1">31399.0450719968*((RANDBETWEEN(2979,3282)))</f>
        <v>95986880.785094351</v>
      </c>
      <c r="B11494">
        <v>171582818.92040133</v>
      </c>
    </row>
    <row r="11495" spans="1:2" x14ac:dyDescent="0.25">
      <c r="A11495">
        <f ca="1">37617.426260586*((RANDBETWEEN(2979,3282)))</f>
        <v>113529392.45444851</v>
      </c>
      <c r="B11495">
        <v>182260274.09176201</v>
      </c>
    </row>
    <row r="11496" spans="1:2" x14ac:dyDescent="0.25">
      <c r="A11496">
        <f ca="1">30077.1768297935*((RANDBETWEEN(2979,3282)))</f>
        <v>95705576.672402978</v>
      </c>
      <c r="B11496">
        <v>150023484.87785348</v>
      </c>
    </row>
    <row r="11497" spans="1:2" x14ac:dyDescent="0.25">
      <c r="A11497">
        <f ca="1">29643.1702638704*((RANDBETWEEN(2979,3282)))</f>
        <v>94769215.333593547</v>
      </c>
      <c r="B11497">
        <v>166424683.6666576</v>
      </c>
    </row>
    <row r="11498" spans="1:2" x14ac:dyDescent="0.25">
      <c r="A11498">
        <f ca="1">29571.9158747606*((RANDBETWEEN(2979,3282)))</f>
        <v>93949976.734114587</v>
      </c>
      <c r="B11498">
        <v>167958831.24877042</v>
      </c>
    </row>
    <row r="11499" spans="1:2" x14ac:dyDescent="0.25">
      <c r="A11499">
        <f ca="1">33261.6769310576*((RANDBETWEEN(2979,3282)))</f>
        <v>106237796.1177981</v>
      </c>
      <c r="B11499">
        <v>177101756.83372977</v>
      </c>
    </row>
    <row r="11500" spans="1:2" x14ac:dyDescent="0.25">
      <c r="A11500">
        <f ca="1">37668.5500803854*((RANDBETWEEN(2979,3282)))</f>
        <v>113608347.04244222</v>
      </c>
      <c r="B11500">
        <v>144874176.98102641</v>
      </c>
    </row>
    <row r="11501" spans="1:2" x14ac:dyDescent="0.25">
      <c r="A11501">
        <f ca="1">36403.4411282755*((RANDBETWEEN(2979,3282)))</f>
        <v>110775671.35334241</v>
      </c>
      <c r="B11501">
        <v>202241998.45280084</v>
      </c>
    </row>
    <row r="11502" spans="1:2" x14ac:dyDescent="0.25">
      <c r="A11502">
        <f ca="1">32888.079280764*((RANDBETWEEN(2979,3282)))</f>
        <v>102249038.48389521</v>
      </c>
      <c r="B11502">
        <v>182327114.82191706</v>
      </c>
    </row>
    <row r="11503" spans="1:2" x14ac:dyDescent="0.25">
      <c r="A11503">
        <f ca="1">32707.5320406742*((RANDBETWEEN(2979,3282)))</f>
        <v>103453923.84465253</v>
      </c>
      <c r="B11503">
        <v>186508329.10914508</v>
      </c>
    </row>
    <row r="11504" spans="1:2" x14ac:dyDescent="0.25">
      <c r="A11504">
        <f ca="1">34175.5889265566*((RANDBETWEEN(2979,3282)))</f>
        <v>107174646.87368155</v>
      </c>
      <c r="B11504">
        <v>151463170.4911527</v>
      </c>
    </row>
    <row r="11505" spans="1:2" x14ac:dyDescent="0.25">
      <c r="A11505">
        <f ca="1">31472.4171859044*((RANDBETWEEN(2979,3282)))</f>
        <v>96714738.012284338</v>
      </c>
      <c r="B11505">
        <v>161255985.86969432</v>
      </c>
    </row>
    <row r="11506" spans="1:2" x14ac:dyDescent="0.25">
      <c r="A11506">
        <f ca="1">33186.798616374*((RANDBETWEEN(2979,3282)))</f>
        <v>99593582.647738412</v>
      </c>
      <c r="B11506">
        <v>194588602.03189135</v>
      </c>
    </row>
    <row r="11507" spans="1:2" x14ac:dyDescent="0.25">
      <c r="A11507">
        <f ca="1">34792.1504255644*((RANDBETWEEN(2979,3282)))</f>
        <v>110291116.84903909</v>
      </c>
      <c r="B11507">
        <v>154499162.81428081</v>
      </c>
    </row>
    <row r="11508" spans="1:2" x14ac:dyDescent="0.25">
      <c r="A11508">
        <f ca="1">39231.2847212679*((RANDBETWEEN(2979,3282)))</f>
        <v>127030899.92746541</v>
      </c>
      <c r="B11508">
        <v>179782973.24892598</v>
      </c>
    </row>
    <row r="11509" spans="1:2" x14ac:dyDescent="0.25">
      <c r="A11509">
        <f ca="1">31391.4628379084*((RANDBETWEEN(2979,3282)))</f>
        <v>96026484.821161896</v>
      </c>
      <c r="B11509">
        <v>180047998.30007401</v>
      </c>
    </row>
    <row r="11510" spans="1:2" x14ac:dyDescent="0.25">
      <c r="A11510">
        <f ca="1">34201.1990976113*((RANDBETWEEN(2979,3282)))</f>
        <v>105305492.02154525</v>
      </c>
      <c r="B11510">
        <v>150366974.44468671</v>
      </c>
    </row>
    <row r="11511" spans="1:2" x14ac:dyDescent="0.25">
      <c r="A11511">
        <f ca="1">29756.679646981*((RANDBETWEEN(2979,3282)))</f>
        <v>91710086.671995327</v>
      </c>
      <c r="B11511">
        <v>168893546.9900606</v>
      </c>
    </row>
    <row r="11512" spans="1:2" x14ac:dyDescent="0.25">
      <c r="A11512">
        <f ca="1">31156.2277299697*((RANDBETWEEN(2979,3282)))</f>
        <v>96428524.824256301</v>
      </c>
      <c r="B11512">
        <v>174684939.80899847</v>
      </c>
    </row>
    <row r="11513" spans="1:2" x14ac:dyDescent="0.25">
      <c r="A11513">
        <f ca="1">31687.706730378*((RANDBETWEEN(2979,3282)))</f>
        <v>102699857.51315521</v>
      </c>
      <c r="B11513">
        <v>158771492.43422437</v>
      </c>
    </row>
    <row r="11514" spans="1:2" x14ac:dyDescent="0.25">
      <c r="A11514">
        <f ca="1">31387.9081346137*((RANDBETWEEN(2979,3282)))</f>
        <v>97396678.94170627</v>
      </c>
      <c r="B11514">
        <v>148778568.55401397</v>
      </c>
    </row>
    <row r="11515" spans="1:2" x14ac:dyDescent="0.25">
      <c r="A11515">
        <f ca="1">33251.0393421164*((RANDBETWEEN(2979,3282)))</f>
        <v>99819620.105033472</v>
      </c>
      <c r="B11515">
        <v>168294631.25202584</v>
      </c>
    </row>
    <row r="11516" spans="1:2" x14ac:dyDescent="0.25">
      <c r="A11516">
        <f ca="1">31262.5597302458*((RANDBETWEEN(2979,3282)))</f>
        <v>93475053.593434989</v>
      </c>
      <c r="B11516">
        <v>146922244.64044359</v>
      </c>
    </row>
    <row r="11517" spans="1:2" x14ac:dyDescent="0.25">
      <c r="A11517">
        <f ca="1">30253.2069449517*((RANDBETWEEN(2979,3282)))</f>
        <v>91788229.870983437</v>
      </c>
      <c r="B11517">
        <v>150569247.67380956</v>
      </c>
    </row>
    <row r="11518" spans="1:2" x14ac:dyDescent="0.25">
      <c r="A11518">
        <f ca="1">41052.7719731953*((RANDBETWEEN(2979,3282)))</f>
        <v>125210954.51824577</v>
      </c>
      <c r="B11518">
        <v>166228932.35291588</v>
      </c>
    </row>
    <row r="11519" spans="1:2" x14ac:dyDescent="0.25">
      <c r="A11519">
        <f ca="1">33910.6222292855*((RANDBETWEEN(2979,3282)))</f>
        <v>103698682.77715494</v>
      </c>
      <c r="B11519">
        <v>192552355.77598214</v>
      </c>
    </row>
    <row r="11520" spans="1:2" x14ac:dyDescent="0.25">
      <c r="A11520">
        <f ca="1">32921.768760837*((RANDBETWEEN(2979,3282)))</f>
        <v>104032789.284245</v>
      </c>
      <c r="B11520">
        <v>168934420.52288395</v>
      </c>
    </row>
    <row r="11521" spans="1:2" x14ac:dyDescent="0.25">
      <c r="A11521">
        <f ca="1">31140.9171272874*((RANDBETWEEN(2979,3282)))</f>
        <v>93765301.470262304</v>
      </c>
      <c r="B11521">
        <v>159029795.89173281</v>
      </c>
    </row>
    <row r="11522" spans="1:2" x14ac:dyDescent="0.25">
      <c r="A11522">
        <f ca="1">30714.8170598957*((RANDBETWEEN(2979,3282)))</f>
        <v>99454577.639942154</v>
      </c>
      <c r="B11522">
        <v>175880717.90910858</v>
      </c>
    </row>
    <row r="11523" spans="1:2" x14ac:dyDescent="0.25">
      <c r="A11523">
        <f ca="1">30232.0847820044*((RANDBETWEEN(2979,3282)))</f>
        <v>97891490.524130359</v>
      </c>
      <c r="B11523">
        <v>180437874.37745664</v>
      </c>
    </row>
    <row r="11524" spans="1:2" x14ac:dyDescent="0.25">
      <c r="A11524">
        <f ca="1">37232.1176923983*((RANDBETWEEN(2979,3282)))</f>
        <v>114414297.66874</v>
      </c>
      <c r="B11524">
        <v>164902175.94822499</v>
      </c>
    </row>
    <row r="11525" spans="1:2" x14ac:dyDescent="0.25">
      <c r="A11525">
        <f ca="1">30994.0792461677*((RANDBETWEEN(2979,3282)))</f>
        <v>101164674.65949139</v>
      </c>
      <c r="B11525">
        <v>162271317.65963796</v>
      </c>
    </row>
    <row r="11526" spans="1:2" x14ac:dyDescent="0.25">
      <c r="A11526">
        <f ca="1">30974.0909915663*((RANDBETWEEN(2979,3282)))</f>
        <v>98745402.081113219</v>
      </c>
      <c r="B11526">
        <v>157835058.12558377</v>
      </c>
    </row>
    <row r="11527" spans="1:2" x14ac:dyDescent="0.25">
      <c r="A11527">
        <f ca="1">31809.1794527226*((RANDBETWEEN(2979,3282)))</f>
        <v>103093550.60627387</v>
      </c>
      <c r="B11527">
        <v>201563312.79639572</v>
      </c>
    </row>
    <row r="11528" spans="1:2" x14ac:dyDescent="0.25">
      <c r="A11528">
        <f ca="1">38258.2374489692*((RANDBETWEEN(2979,3282)))</f>
        <v>123803656.38486424</v>
      </c>
      <c r="B11528">
        <v>201204788.48349392</v>
      </c>
    </row>
    <row r="11529" spans="1:2" x14ac:dyDescent="0.25">
      <c r="A11529">
        <f ca="1">33873.1559062621*((RANDBETWEEN(2979,3282)))</f>
        <v>108597337.83547632</v>
      </c>
      <c r="B11529">
        <v>167789396.6421282</v>
      </c>
    </row>
    <row r="11530" spans="1:2" x14ac:dyDescent="0.25">
      <c r="A11530">
        <f ca="1">34855.5313283359*((RANDBETWEEN(2979,3282)))</f>
        <v>112548510.6591965</v>
      </c>
      <c r="B11530">
        <v>157491238.69317505</v>
      </c>
    </row>
    <row r="11531" spans="1:2" x14ac:dyDescent="0.25">
      <c r="A11531">
        <f ca="1">32813.2774700044*((RANDBETWEEN(2979,3282)))</f>
        <v>102114919.48665364</v>
      </c>
      <c r="B11531">
        <v>174101717.36425394</v>
      </c>
    </row>
    <row r="11532" spans="1:2" x14ac:dyDescent="0.25">
      <c r="A11532">
        <f ca="1">30399.969108169*((RANDBETWEEN(2979,3282)))</f>
        <v>90743907.787884414</v>
      </c>
      <c r="B11532">
        <v>154143330.32525641</v>
      </c>
    </row>
    <row r="11533" spans="1:2" x14ac:dyDescent="0.25">
      <c r="A11533">
        <f ca="1">38963.4813954535*((RANDBETWEEN(2979,3282)))</f>
        <v>116305991.96542867</v>
      </c>
      <c r="B11533">
        <v>150144204.02946532</v>
      </c>
    </row>
    <row r="11534" spans="1:2" x14ac:dyDescent="0.25">
      <c r="A11534">
        <f ca="1">35323.9901842148*((RANDBETWEEN(2979,3282)))</f>
        <v>105300814.73914437</v>
      </c>
      <c r="B11534">
        <v>153115471.86278635</v>
      </c>
    </row>
    <row r="11535" spans="1:2" x14ac:dyDescent="0.25">
      <c r="A11535">
        <f ca="1">30299.633260787*((RANDBETWEEN(2979,3282)))</f>
        <v>90323206.750405937</v>
      </c>
      <c r="B11535">
        <v>168550288.63756388</v>
      </c>
    </row>
    <row r="11536" spans="1:2" x14ac:dyDescent="0.25">
      <c r="A11536">
        <f ca="1">30352.3551641802*((RANDBETWEEN(2979,3282)))</f>
        <v>98705858.993914053</v>
      </c>
      <c r="B11536">
        <v>151548794.51164114</v>
      </c>
    </row>
    <row r="11537" spans="1:2" x14ac:dyDescent="0.25">
      <c r="A11537">
        <f ca="1">40560.751551684*((RANDBETWEEN(2979,3282)))</f>
        <v>129632161.95918213</v>
      </c>
      <c r="B11537">
        <v>149947201.09843025</v>
      </c>
    </row>
    <row r="11538" spans="1:2" x14ac:dyDescent="0.25">
      <c r="A11538">
        <f ca="1">32579.1892400874*((RANDBETWEEN(2979,3282)))</f>
        <v>97085983.935460389</v>
      </c>
      <c r="B11538">
        <v>162307866.52478358</v>
      </c>
    </row>
    <row r="11539" spans="1:2" x14ac:dyDescent="0.25">
      <c r="A11539">
        <f ca="1">32148.5489298081*((RANDBETWEEN(2979,3282)))</f>
        <v>101846603.00963217</v>
      </c>
      <c r="B11539">
        <v>152336355.70799658</v>
      </c>
    </row>
    <row r="11540" spans="1:2" x14ac:dyDescent="0.25">
      <c r="A11540">
        <f ca="1">29140.2461034279*((RANDBETWEEN(2979,3282)))</f>
        <v>90888427.596591607</v>
      </c>
      <c r="B11540">
        <v>154705031.77253574</v>
      </c>
    </row>
    <row r="11541" spans="1:2" x14ac:dyDescent="0.25">
      <c r="A11541">
        <f ca="1">29183.1881266676*((RANDBETWEEN(2979,3282)))</f>
        <v>89037906.974462971</v>
      </c>
      <c r="B11541">
        <v>167416980.41204694</v>
      </c>
    </row>
    <row r="11542" spans="1:2" x14ac:dyDescent="0.25">
      <c r="A11542">
        <f ca="1">29616.717442176*((RANDBETWEEN(2979,3282)))</f>
        <v>93470360.247507393</v>
      </c>
      <c r="B11542">
        <v>151067851.52753136</v>
      </c>
    </row>
    <row r="11543" spans="1:2" x14ac:dyDescent="0.25">
      <c r="A11543">
        <f ca="1">31083.0052503773*((RANDBETWEEN(2979,3282)))</f>
        <v>97662802.496685579</v>
      </c>
      <c r="B11543">
        <v>143778113.47595909</v>
      </c>
    </row>
    <row r="11544" spans="1:2" x14ac:dyDescent="0.25">
      <c r="A11544">
        <f ca="1">39748.5930881023*((RANDBETWEEN(2979,3282)))</f>
        <v>121908935.00120981</v>
      </c>
      <c r="B11544">
        <v>176805258.81373137</v>
      </c>
    </row>
    <row r="11545" spans="1:2" x14ac:dyDescent="0.25">
      <c r="A11545">
        <f ca="1">41533.4270703042*((RANDBETWEEN(2979,3282)))</f>
        <v>135731239.66575408</v>
      </c>
      <c r="B11545">
        <v>170761798.14458793</v>
      </c>
    </row>
    <row r="11546" spans="1:2" x14ac:dyDescent="0.25">
      <c r="A11546">
        <f ca="1">41265.0647005851*((RANDBETWEEN(2979,3282)))</f>
        <v>123134953.06654608</v>
      </c>
      <c r="B11546">
        <v>179168387.49700603</v>
      </c>
    </row>
    <row r="11547" spans="1:2" x14ac:dyDescent="0.25">
      <c r="A11547">
        <f ca="1">33577.6271688368*((RANDBETWEEN(2979,3282)))</f>
        <v>101639477.44006903</v>
      </c>
      <c r="B11547">
        <v>178002208.35564488</v>
      </c>
    </row>
    <row r="11548" spans="1:2" x14ac:dyDescent="0.25">
      <c r="A11548">
        <f ca="1">34891.3012413849*((RANDBETWEEN(2979,3282)))</f>
        <v>109105098.9818106</v>
      </c>
      <c r="B11548">
        <v>178823040.48131341</v>
      </c>
    </row>
    <row r="11549" spans="1:2" x14ac:dyDescent="0.25">
      <c r="A11549">
        <f ca="1">36680.111657624*((RANDBETWEEN(2979,3282)))</f>
        <v>114038467.14355293</v>
      </c>
      <c r="B11549">
        <v>143695607.18479145</v>
      </c>
    </row>
    <row r="11550" spans="1:2" x14ac:dyDescent="0.25">
      <c r="A11550">
        <f ca="1">37902.1027191441*((RANDBETWEEN(2979,3282)))</f>
        <v>117951343.66197647</v>
      </c>
      <c r="B11550">
        <v>199568851.25642464</v>
      </c>
    </row>
    <row r="11551" spans="1:2" x14ac:dyDescent="0.25">
      <c r="A11551">
        <f ca="1">29067.8922942937*((RANDBETWEEN(2979,3282)))</f>
        <v>87668763.159589693</v>
      </c>
      <c r="B11551">
        <v>144631678.62374997</v>
      </c>
    </row>
    <row r="11552" spans="1:2" x14ac:dyDescent="0.25">
      <c r="A11552">
        <f ca="1">35985.094807745*((RANDBETWEEN(2979,3282)))</f>
        <v>116231856.22901626</v>
      </c>
      <c r="B11552">
        <v>150154942.22793838</v>
      </c>
    </row>
    <row r="11553" spans="1:2" x14ac:dyDescent="0.25">
      <c r="A11553">
        <f ca="1">30782.0436181324*((RANDBETWEEN(2979,3282)))</f>
        <v>93208028.075704888</v>
      </c>
      <c r="B11553">
        <v>178582879.34942549</v>
      </c>
    </row>
    <row r="11554" spans="1:2" x14ac:dyDescent="0.25">
      <c r="A11554">
        <f ca="1">30059.3952938238*((RANDBETWEEN(2979,3282)))</f>
        <v>92973709.64379704</v>
      </c>
      <c r="B11554">
        <v>170980343.69226208</v>
      </c>
    </row>
    <row r="11555" spans="1:2" x14ac:dyDescent="0.25">
      <c r="A11555">
        <f ca="1">29709.240224869*((RANDBETWEEN(2979,3282)))</f>
        <v>90969693.568548858</v>
      </c>
      <c r="B11555">
        <v>173885735.89045337</v>
      </c>
    </row>
    <row r="11556" spans="1:2" x14ac:dyDescent="0.25">
      <c r="A11556">
        <f ca="1">32624.3640058353*((RANDBETWEEN(2979,3282)))</f>
        <v>99275939.669756785</v>
      </c>
      <c r="B11556">
        <v>184555791.41417736</v>
      </c>
    </row>
    <row r="11557" spans="1:2" x14ac:dyDescent="0.25">
      <c r="A11557">
        <f ca="1">32429.7574963433*((RANDBETWEEN(2979,3282)))</f>
        <v>98359454.486409187</v>
      </c>
      <c r="B11557">
        <v>147524234.72284728</v>
      </c>
    </row>
    <row r="11558" spans="1:2" x14ac:dyDescent="0.25">
      <c r="A11558">
        <f ca="1">30698.8482427551*((RANDBETWEEN(2979,3282)))</f>
        <v>98082820.135602474</v>
      </c>
      <c r="B11558">
        <v>155153537.83027762</v>
      </c>
    </row>
    <row r="11559" spans="1:2" x14ac:dyDescent="0.25">
      <c r="A11559">
        <f ca="1">30261.6842883614*((RANDBETWEEN(2979,3282)))</f>
        <v>92540230.553809047</v>
      </c>
      <c r="B11559">
        <v>146704959.61963421</v>
      </c>
    </row>
    <row r="11560" spans="1:2" x14ac:dyDescent="0.25">
      <c r="A11560">
        <f ca="1">31804.175199988*((RANDBETWEEN(2979,3282)))</f>
        <v>100819235.38396199</v>
      </c>
      <c r="B11560">
        <v>172747767.67511207</v>
      </c>
    </row>
    <row r="11561" spans="1:2" x14ac:dyDescent="0.25">
      <c r="A11561">
        <f ca="1">32104.1376454717*((RANDBETWEEN(2979,3282)))</f>
        <v>101802220.47379069</v>
      </c>
      <c r="B11561">
        <v>163326441.50313163</v>
      </c>
    </row>
    <row r="11562" spans="1:2" x14ac:dyDescent="0.25">
      <c r="A11562">
        <f ca="1">28995.4752408912*((RANDBETWEEN(2979,3282)))</f>
        <v>94815204.037714139</v>
      </c>
      <c r="B11562">
        <v>145935659.44990426</v>
      </c>
    </row>
    <row r="11563" spans="1:2" x14ac:dyDescent="0.25">
      <c r="A11563">
        <f ca="1">32305.1306300063*((RANDBETWEEN(2979,3282)))</f>
        <v>98239902.245849237</v>
      </c>
      <c r="B11563">
        <v>203235663.24792689</v>
      </c>
    </row>
    <row r="11564" spans="1:2" x14ac:dyDescent="0.25">
      <c r="A11564">
        <f ca="1">31945.8147679852*((RANDBETWEEN(2979,3282)))</f>
        <v>101396016.07358493</v>
      </c>
      <c r="B11564">
        <v>159961455.26365098</v>
      </c>
    </row>
    <row r="11565" spans="1:2" x14ac:dyDescent="0.25">
      <c r="A11565">
        <f ca="1">35162.843534049*((RANDBETWEEN(2979,3282)))</f>
        <v>113611147.45851235</v>
      </c>
      <c r="B11565">
        <v>177145275.03371596</v>
      </c>
    </row>
    <row r="11566" spans="1:2" x14ac:dyDescent="0.25">
      <c r="A11566">
        <f ca="1">29943.1323180908*((RANDBETWEEN(2979,3282)))</f>
        <v>93452515.964761525</v>
      </c>
      <c r="B11566">
        <v>193202499.56914985</v>
      </c>
    </row>
    <row r="11567" spans="1:2" x14ac:dyDescent="0.25">
      <c r="A11567">
        <f ca="1">36551.9576094046*((RANDBETWEEN(2979,3282)))</f>
        <v>114151763.61417054</v>
      </c>
      <c r="B11567">
        <v>173802939.52410465</v>
      </c>
    </row>
    <row r="11568" spans="1:2" x14ac:dyDescent="0.25">
      <c r="A11568">
        <f ca="1">29227.6099837635*((RANDBETWEEN(2979,3282)))</f>
        <v>89933355.920040295</v>
      </c>
      <c r="B11568">
        <v>186330416.6738885</v>
      </c>
    </row>
    <row r="11569" spans="1:2" x14ac:dyDescent="0.25">
      <c r="A11569">
        <f ca="1">36895.0951830975*((RANDBETWEEN(2979,3282)))</f>
        <v>111644558.02405304</v>
      </c>
      <c r="B11569">
        <v>145104375.67625147</v>
      </c>
    </row>
    <row r="11570" spans="1:2" x14ac:dyDescent="0.25">
      <c r="A11570">
        <f ca="1">29244.9621636648*((RANDBETWEEN(2979,3282)))</f>
        <v>95631026.27518405</v>
      </c>
      <c r="B11570">
        <v>157454630.31680447</v>
      </c>
    </row>
    <row r="11571" spans="1:2" x14ac:dyDescent="0.25">
      <c r="A11571">
        <f ca="1">30272.7882739045*((RANDBETWEEN(2979,3282)))</f>
        <v>92210913.082312986</v>
      </c>
      <c r="B11571">
        <v>194722707.95969191</v>
      </c>
    </row>
    <row r="11572" spans="1:2" x14ac:dyDescent="0.25">
      <c r="A11572">
        <f ca="1">30899.6263395293*((RANDBETWEEN(2979,3282)))</f>
        <v>95047250.620391995</v>
      </c>
      <c r="B11572">
        <v>145724540.54675114</v>
      </c>
    </row>
    <row r="11573" spans="1:2" x14ac:dyDescent="0.25">
      <c r="A11573">
        <f ca="1">30876.4656712524*((RANDBETWEEN(2979,3282)))</f>
        <v>95964055.30625248</v>
      </c>
      <c r="B11573">
        <v>203290281.77520198</v>
      </c>
    </row>
    <row r="11574" spans="1:2" x14ac:dyDescent="0.25">
      <c r="A11574">
        <f ca="1">31550.2947664889*((RANDBETWEEN(2979,3282)))</f>
        <v>97111807.291252807</v>
      </c>
      <c r="B11574">
        <v>165030872.6897552</v>
      </c>
    </row>
    <row r="11575" spans="1:2" x14ac:dyDescent="0.25">
      <c r="A11575">
        <f ca="1">34677.651779791*((RANDBETWEEN(2979,3282)))</f>
        <v>110725742.13287257</v>
      </c>
      <c r="B11575">
        <v>160100628.37079</v>
      </c>
    </row>
    <row r="11576" spans="1:2" x14ac:dyDescent="0.25">
      <c r="A11576">
        <f ca="1">34668.0085256613*((RANDBETWEEN(2979,3282)))</f>
        <v>106742798.2505112</v>
      </c>
      <c r="B11576">
        <v>178024955.14644814</v>
      </c>
    </row>
    <row r="11577" spans="1:2" x14ac:dyDescent="0.25">
      <c r="A11577">
        <f ca="1">30927.9638064597*((RANDBETWEEN(2979,3282)))</f>
        <v>95505552.234347418</v>
      </c>
      <c r="B11577">
        <v>190568269.25226605</v>
      </c>
    </row>
    <row r="11578" spans="1:2" x14ac:dyDescent="0.25">
      <c r="A11578">
        <f ca="1">31476.3384163441*((RANDBETWEEN(2979,3282)))</f>
        <v>101888907.45370601</v>
      </c>
      <c r="B11578">
        <v>160775965.40790588</v>
      </c>
    </row>
    <row r="11579" spans="1:2" x14ac:dyDescent="0.25">
      <c r="A11579">
        <f ca="1">35904.9145344278*((RANDBETWEEN(2979,3282)))</f>
        <v>111197520.31312287</v>
      </c>
      <c r="B11579">
        <v>161530832.39035022</v>
      </c>
    </row>
    <row r="11580" spans="1:2" x14ac:dyDescent="0.25">
      <c r="A11580">
        <f ca="1">31154.20918404*((RANDBETWEEN(2979,3282)))</f>
        <v>100628095.6644491</v>
      </c>
      <c r="B11580">
        <v>190923651.82395461</v>
      </c>
    </row>
    <row r="11581" spans="1:2" x14ac:dyDescent="0.25">
      <c r="A11581">
        <f ca="1">28932.7795302844*((RANDBETWEEN(2979,3282)))</f>
        <v>86624741.913671628</v>
      </c>
      <c r="B11581">
        <v>159092567.8319281</v>
      </c>
    </row>
    <row r="11582" spans="1:2" x14ac:dyDescent="0.25">
      <c r="A11582">
        <f ca="1">33547.4375389761*((RANDBETWEEN(2979,3282)))</f>
        <v>102017757.55602629</v>
      </c>
      <c r="B11582">
        <v>164485989.82868549</v>
      </c>
    </row>
    <row r="11583" spans="1:2" x14ac:dyDescent="0.25">
      <c r="A11583">
        <f ca="1">32399.4480063755*((RANDBETWEEN(2979,3282)))</f>
        <v>102803448.5242295</v>
      </c>
      <c r="B11583">
        <v>192610175.86175719</v>
      </c>
    </row>
    <row r="11584" spans="1:2" x14ac:dyDescent="0.25">
      <c r="A11584">
        <f ca="1">36168.2179772016*((RANDBETWEEN(2979,3282)))</f>
        <v>115340447.12929593</v>
      </c>
      <c r="B11584">
        <v>156516666.01894885</v>
      </c>
    </row>
    <row r="11585" spans="1:2" x14ac:dyDescent="0.25">
      <c r="A11585">
        <f ca="1">31717.8936621748*((RANDBETWEEN(2979,3282)))</f>
        <v>101402106.03797287</v>
      </c>
      <c r="B11585">
        <v>187787674.95249909</v>
      </c>
    </row>
    <row r="11586" spans="1:2" x14ac:dyDescent="0.25">
      <c r="A11586">
        <f ca="1">29336.0054857129*((RANDBETWEEN(2979,3282)))</f>
        <v>94168577.60913828</v>
      </c>
      <c r="B11586">
        <v>155468658.10086057</v>
      </c>
    </row>
    <row r="11587" spans="1:2" x14ac:dyDescent="0.25">
      <c r="A11587">
        <f ca="1">39372.1187980093*((RANDBETWEEN(2979,3282)))</f>
        <v>123037871.24377911</v>
      </c>
      <c r="B11587">
        <v>157274148.40838918</v>
      </c>
    </row>
    <row r="11588" spans="1:2" x14ac:dyDescent="0.25">
      <c r="A11588">
        <f ca="1">39520.3663529267*((RANDBETWEEN(2979,3282)))</f>
        <v>121762248.73336715</v>
      </c>
      <c r="B11588">
        <v>184768195.73250479</v>
      </c>
    </row>
    <row r="11589" spans="1:2" x14ac:dyDescent="0.25">
      <c r="A11589">
        <f ca="1">32706.5224480505*((RANDBETWEEN(2979,3282)))</f>
        <v>97432730.372742474</v>
      </c>
      <c r="B11589">
        <v>147819576.64615405</v>
      </c>
    </row>
    <row r="11590" spans="1:2" x14ac:dyDescent="0.25">
      <c r="A11590">
        <f ca="1">31167.2783399841*((RANDBETWEEN(2979,3282)))</f>
        <v>93252496.793232486</v>
      </c>
      <c r="B11590">
        <v>164375761.0943898</v>
      </c>
    </row>
    <row r="11591" spans="1:2" x14ac:dyDescent="0.25">
      <c r="A11591">
        <f ca="1">40235.8377392021*((RANDBETWEEN(2979,3282)))</f>
        <v>131048123.51658128</v>
      </c>
      <c r="B11591">
        <v>144794234.38287273</v>
      </c>
    </row>
    <row r="11592" spans="1:2" x14ac:dyDescent="0.25">
      <c r="A11592">
        <f ca="1">32355.5607874481*((RANDBETWEEN(2979,3282)))</f>
        <v>98846238.205653816</v>
      </c>
      <c r="B11592">
        <v>172679075.84295845</v>
      </c>
    </row>
    <row r="11593" spans="1:2" x14ac:dyDescent="0.25">
      <c r="A11593">
        <f ca="1">35489.9097171623*((RANDBETWEEN(2979,3282)))</f>
        <v>107250507.16526438</v>
      </c>
      <c r="B11593">
        <v>201218632.13607019</v>
      </c>
    </row>
    <row r="11594" spans="1:2" x14ac:dyDescent="0.25">
      <c r="A11594">
        <f ca="1">31156.9896705618*((RANDBETWEEN(2979,3282)))</f>
        <v>96742452.927094534</v>
      </c>
      <c r="B11594">
        <v>143588862.80302432</v>
      </c>
    </row>
    <row r="11595" spans="1:2" x14ac:dyDescent="0.25">
      <c r="A11595">
        <f ca="1">33587.7342448715*((RANDBETWEEN(2979,3282)))</f>
        <v>104424265.76730546</v>
      </c>
      <c r="B11595">
        <v>146892079.86994693</v>
      </c>
    </row>
    <row r="11596" spans="1:2" x14ac:dyDescent="0.25">
      <c r="A11596">
        <f ca="1">31407.4755241854*((RANDBETWEEN(2979,3282)))</f>
        <v>94976205.985136732</v>
      </c>
      <c r="B11596">
        <v>152645275.89364153</v>
      </c>
    </row>
    <row r="11597" spans="1:2" x14ac:dyDescent="0.25">
      <c r="A11597">
        <f ca="1">34010.5679313264*((RANDBETWEEN(2979,3282)))</f>
        <v>103834263.89433935</v>
      </c>
      <c r="B11597">
        <v>146460559.14047313</v>
      </c>
    </row>
    <row r="11598" spans="1:2" x14ac:dyDescent="0.25">
      <c r="A11598">
        <f ca="1">30978.0064099605*((RANDBETWEEN(2979,3282)))</f>
        <v>94637809.582429186</v>
      </c>
      <c r="B11598">
        <v>164747858.7689718</v>
      </c>
    </row>
    <row r="11599" spans="1:2" x14ac:dyDescent="0.25">
      <c r="A11599">
        <f ca="1">29450.0486331496*((RANDBETWEEN(2979,3282)))</f>
        <v>92267002.367657557</v>
      </c>
      <c r="B11599">
        <v>196331085.59993768</v>
      </c>
    </row>
    <row r="11600" spans="1:2" x14ac:dyDescent="0.25">
      <c r="A11600">
        <f ca="1">33537.894966861*((RANDBETWEEN(2979,3282)))</f>
        <v>103632095.44760051</v>
      </c>
      <c r="B11600">
        <v>158009128.63194552</v>
      </c>
    </row>
    <row r="11601" spans="1:2" x14ac:dyDescent="0.25">
      <c r="A11601">
        <f ca="1">32118.7561823892*((RANDBETWEEN(2979,3282)))</f>
        <v>100660181.87560765</v>
      </c>
      <c r="B11601">
        <v>147570703.62062103</v>
      </c>
    </row>
    <row r="11602" spans="1:2" x14ac:dyDescent="0.25">
      <c r="A11602">
        <f ca="1">31481.7073641493*((RANDBETWEEN(2979,3282)))</f>
        <v>99671085.514896795</v>
      </c>
      <c r="B11602">
        <v>156553204.42915004</v>
      </c>
    </row>
    <row r="11603" spans="1:2" x14ac:dyDescent="0.25">
      <c r="A11603">
        <f ca="1">35728.8937056727*((RANDBETWEEN(2979,3282)))</f>
        <v>114975579.94485487</v>
      </c>
      <c r="B11603">
        <v>178474427.2564449</v>
      </c>
    </row>
    <row r="11604" spans="1:2" x14ac:dyDescent="0.25">
      <c r="A11604">
        <f ca="1">30480.379794761*((RANDBETWEEN(2979,3282)))</f>
        <v>98573548.256257117</v>
      </c>
      <c r="B11604">
        <v>175510996.47293347</v>
      </c>
    </row>
    <row r="11605" spans="1:2" x14ac:dyDescent="0.25">
      <c r="A11605">
        <f ca="1">38533.5413902437*((RANDBETWEEN(2979,3282)))</f>
        <v>122844929.95209682</v>
      </c>
      <c r="B11605">
        <v>170142869.90115657</v>
      </c>
    </row>
    <row r="11606" spans="1:2" x14ac:dyDescent="0.25">
      <c r="A11606">
        <f ca="1">31462.7674531285*((RANDBETWEEN(2979,3282)))</f>
        <v>97691892.941963956</v>
      </c>
      <c r="B11606">
        <v>148505077.71859145</v>
      </c>
    </row>
    <row r="11607" spans="1:2" x14ac:dyDescent="0.25">
      <c r="A11607">
        <f ca="1">40971.1265021047*((RANDBETWEEN(2979,3282)))</f>
        <v>126641752.01800561</v>
      </c>
      <c r="B11607">
        <v>182604682.35502386</v>
      </c>
    </row>
    <row r="11608" spans="1:2" x14ac:dyDescent="0.25">
      <c r="A11608">
        <f ca="1">31186.3414613641*((RANDBETWEEN(2979,3282)))</f>
        <v>95149527.798621789</v>
      </c>
      <c r="B11608">
        <v>152191534.56777596</v>
      </c>
    </row>
    <row r="11609" spans="1:2" x14ac:dyDescent="0.25">
      <c r="A11609">
        <f ca="1">31113.9827014815*((RANDBETWEEN(2979,3282)))</f>
        <v>100031454.38526316</v>
      </c>
      <c r="B11609">
        <v>201244381.04555485</v>
      </c>
    </row>
    <row r="11610" spans="1:2" x14ac:dyDescent="0.25">
      <c r="A11610">
        <f ca="1">27899.5952671455*((RANDBETWEEN(2979,3282)))</f>
        <v>85707556.660670921</v>
      </c>
      <c r="B11610">
        <v>171050336.54082009</v>
      </c>
    </row>
    <row r="11611" spans="1:2" x14ac:dyDescent="0.25">
      <c r="A11611">
        <f ca="1">36790.6826347777*((RANDBETWEEN(2979,3282)))</f>
        <v>114345441.62888902</v>
      </c>
      <c r="B11611">
        <v>203440019.68961537</v>
      </c>
    </row>
    <row r="11612" spans="1:2" x14ac:dyDescent="0.25">
      <c r="A11612">
        <f ca="1">31528.9580986407*((RANDBETWEEN(2979,3282)))</f>
        <v>95185924.499796346</v>
      </c>
      <c r="B11612">
        <v>177480876.15887582</v>
      </c>
    </row>
    <row r="11613" spans="1:2" x14ac:dyDescent="0.25">
      <c r="A11613">
        <f ca="1">31258.3119558481*((RANDBETWEEN(2979,3282)))</f>
        <v>95056526.657733992</v>
      </c>
      <c r="B11613">
        <v>158806437.21051377</v>
      </c>
    </row>
    <row r="11614" spans="1:2" x14ac:dyDescent="0.25">
      <c r="A11614">
        <f ca="1">39106.3077389284*((RANDBETWEEN(2979,3282)))</f>
        <v>125218397.38004865</v>
      </c>
      <c r="B11614">
        <v>170340160.34764132</v>
      </c>
    </row>
    <row r="11615" spans="1:2" x14ac:dyDescent="0.25">
      <c r="A11615">
        <f ca="1">28742.5294575296*((RANDBETWEEN(2979,3282)))</f>
        <v>90280285.026100516</v>
      </c>
      <c r="B11615">
        <v>174478061.75958368</v>
      </c>
    </row>
    <row r="11616" spans="1:2" x14ac:dyDescent="0.25">
      <c r="A11616">
        <f ca="1">29315.8274328988*((RANDBETWEEN(2979,3282)))</f>
        <v>88944220.431415007</v>
      </c>
      <c r="B11616">
        <v>175078581.84154665</v>
      </c>
    </row>
    <row r="11617" spans="1:2" x14ac:dyDescent="0.25">
      <c r="A11617">
        <f ca="1">32011.4632775551*((RANDBETWEEN(2979,3282)))</f>
        <v>100451971.76496793</v>
      </c>
      <c r="B11617">
        <v>197155991.46012571</v>
      </c>
    </row>
    <row r="11618" spans="1:2" x14ac:dyDescent="0.25">
      <c r="A11618">
        <f ca="1">38527.2196193279*((RANDBETWEEN(2979,3282)))</f>
        <v>119357326.38067779</v>
      </c>
      <c r="B11618">
        <v>163879341.49680173</v>
      </c>
    </row>
    <row r="11619" spans="1:2" x14ac:dyDescent="0.25">
      <c r="A11619">
        <f ca="1">32736.2788351093*((RANDBETWEEN(2979,3282)))</f>
        <v>105934598.31041363</v>
      </c>
      <c r="B11619">
        <v>152283792.49978235</v>
      </c>
    </row>
    <row r="11620" spans="1:2" x14ac:dyDescent="0.25">
      <c r="A11620">
        <f ca="1">36335.0783597199*((RANDBETWEEN(2979,3282)))</f>
        <v>112965758.62036927</v>
      </c>
      <c r="B11620">
        <v>187148250.7489053</v>
      </c>
    </row>
    <row r="11621" spans="1:2" x14ac:dyDescent="0.25">
      <c r="A11621">
        <f ca="1">31470.0056155546*((RANDBETWEEN(2979,3282)))</f>
        <v>102151638.22809038</v>
      </c>
      <c r="B11621">
        <v>155154654.66019428</v>
      </c>
    </row>
    <row r="11622" spans="1:2" x14ac:dyDescent="0.25">
      <c r="A11622">
        <f ca="1">34354.704573596*((RANDBETWEEN(2979,3282)))</f>
        <v>107221032.97419325</v>
      </c>
      <c r="B11622">
        <v>151963467.13293907</v>
      </c>
    </row>
    <row r="11623" spans="1:2" x14ac:dyDescent="0.25">
      <c r="A11623">
        <f ca="1">39140.6158093339*((RANDBETWEEN(2979,3282)))</f>
        <v>124310595.81044443</v>
      </c>
      <c r="B11623">
        <v>153254168.68458891</v>
      </c>
    </row>
    <row r="11624" spans="1:2" x14ac:dyDescent="0.25">
      <c r="A11624">
        <f ca="1">31239.66358479*((RANDBETWEEN(2979,3282)))</f>
        <v>100935353.04245634</v>
      </c>
      <c r="B11624">
        <v>143507203.95503628</v>
      </c>
    </row>
    <row r="11625" spans="1:2" x14ac:dyDescent="0.25">
      <c r="A11625">
        <f ca="1">32395.8498341738*((RANDBETWEEN(2979,3282)))</f>
        <v>105189324.41156222</v>
      </c>
      <c r="B11625">
        <v>187397995.98584369</v>
      </c>
    </row>
    <row r="11626" spans="1:2" x14ac:dyDescent="0.25">
      <c r="A11626">
        <f ca="1">30712.605434149*((RANDBETWEEN(2979,3282)))</f>
        <v>100737345.82400888</v>
      </c>
      <c r="B11626">
        <v>162740122.9776997</v>
      </c>
    </row>
    <row r="11627" spans="1:2" x14ac:dyDescent="0.25">
      <c r="A11627">
        <f ca="1">35119.8409425483*((RANDBETWEEN(2979,3282)))</f>
        <v>115228198.13250087</v>
      </c>
      <c r="B11627">
        <v>150996568.42983407</v>
      </c>
    </row>
    <row r="11628" spans="1:2" x14ac:dyDescent="0.25">
      <c r="A11628">
        <f ca="1">38434.7806156393*((RANDBETWEEN(2979,3282)))</f>
        <v>114843124.47953025</v>
      </c>
      <c r="B11628">
        <v>146410883.31804976</v>
      </c>
    </row>
    <row r="11629" spans="1:2" x14ac:dyDescent="0.25">
      <c r="A11629">
        <f ca="1">31328.4146838151*((RANDBETWEEN(2979,3282)))</f>
        <v>101504063.57556076</v>
      </c>
      <c r="B11629">
        <v>147838246.49798387</v>
      </c>
    </row>
    <row r="11630" spans="1:2" x14ac:dyDescent="0.25">
      <c r="A11630">
        <f ca="1">29791.3491314402*((RANDBETWEEN(2979,3282)))</f>
        <v>91340276.436995775</v>
      </c>
      <c r="B11630">
        <v>148539520.251908</v>
      </c>
    </row>
    <row r="11631" spans="1:2" x14ac:dyDescent="0.25">
      <c r="A11631">
        <f ca="1">32486.5878295663*((RANDBETWEEN(2979,3282)))</f>
        <v>97622196.427846685</v>
      </c>
      <c r="B11631">
        <v>202913490.40889364</v>
      </c>
    </row>
    <row r="11632" spans="1:2" x14ac:dyDescent="0.25">
      <c r="A11632">
        <f ca="1">31533.2330249016*((RANDBETWEEN(2979,3282)))</f>
        <v>94126700.579331189</v>
      </c>
      <c r="B11632">
        <v>199917148.43565425</v>
      </c>
    </row>
    <row r="11633" spans="1:2" x14ac:dyDescent="0.25">
      <c r="A11633">
        <f ca="1">40951.3362642752*((RANDBETWEEN(2979,3282)))</f>
        <v>123959694.87196095</v>
      </c>
      <c r="B11633">
        <v>147157573.70910192</v>
      </c>
    </row>
    <row r="11634" spans="1:2" x14ac:dyDescent="0.25">
      <c r="A11634">
        <f ca="1">39160.3125713004*((RANDBETWEEN(2979,3282)))</f>
        <v>118969029.59161052</v>
      </c>
      <c r="B11634">
        <v>193017877.05823612</v>
      </c>
    </row>
    <row r="11635" spans="1:2" x14ac:dyDescent="0.25">
      <c r="A11635">
        <f ca="1">43010.6288019935*((RANDBETWEEN(2979,3282)))</f>
        <v>135397459.46867546</v>
      </c>
      <c r="B11635">
        <v>177853357.68611979</v>
      </c>
    </row>
    <row r="11636" spans="1:2" x14ac:dyDescent="0.25">
      <c r="A11636">
        <f ca="1">32241.8439634185*((RANDBETWEEN(2979,3282)))</f>
        <v>105656522.66812231</v>
      </c>
      <c r="B11636">
        <v>196386324.15707654</v>
      </c>
    </row>
    <row r="11637" spans="1:2" x14ac:dyDescent="0.25">
      <c r="A11637">
        <f ca="1">32332.570988013*((RANDBETWEEN(2979,3282)))</f>
        <v>103852218.01349781</v>
      </c>
      <c r="B11637">
        <v>184806878.09671691</v>
      </c>
    </row>
    <row r="11638" spans="1:2" x14ac:dyDescent="0.25">
      <c r="A11638">
        <f ca="1">34981.5613596092*((RANDBETWEEN(2979,3282)))</f>
        <v>112080922.59618792</v>
      </c>
      <c r="B11638">
        <v>171439192.72265086</v>
      </c>
    </row>
    <row r="11639" spans="1:2" x14ac:dyDescent="0.25">
      <c r="A11639">
        <f ca="1">31738.3733466353*((RANDBETWEEN(2979,3282)))</f>
        <v>100705858.62887369</v>
      </c>
      <c r="B11639">
        <v>171755467.39534166</v>
      </c>
    </row>
    <row r="11640" spans="1:2" x14ac:dyDescent="0.25">
      <c r="A11640">
        <f ca="1">32008.7401203465*((RANDBETWEEN(2979,3282)))</f>
        <v>98618928.310787544</v>
      </c>
      <c r="B11640">
        <v>152989421.41344905</v>
      </c>
    </row>
    <row r="11641" spans="1:2" x14ac:dyDescent="0.25">
      <c r="A11641">
        <f ca="1">30895.2499322181*((RANDBETWEEN(2979,3282)))</f>
        <v>92747540.296518728</v>
      </c>
      <c r="B11641">
        <v>144323033.88389257</v>
      </c>
    </row>
    <row r="11642" spans="1:2" x14ac:dyDescent="0.25">
      <c r="A11642">
        <f ca="1">31963.7192976328*((RANDBETWEEN(2979,3282)))</f>
        <v>97393452.699887156</v>
      </c>
      <c r="B11642">
        <v>179887172.35642391</v>
      </c>
    </row>
    <row r="11643" spans="1:2" x14ac:dyDescent="0.25">
      <c r="A11643">
        <f ca="1">39183.9949903276*((RANDBETWEEN(2979,3282)))</f>
        <v>126250831.85883558</v>
      </c>
      <c r="B11643">
        <v>183253132.5705204</v>
      </c>
    </row>
    <row r="11644" spans="1:2" x14ac:dyDescent="0.25">
      <c r="A11644">
        <f ca="1">40524.0018580787*((RANDBETWEEN(2979,3282)))</f>
        <v>131297766.02017501</v>
      </c>
      <c r="B11644">
        <v>190608754.0712643</v>
      </c>
    </row>
    <row r="11645" spans="1:2" x14ac:dyDescent="0.25">
      <c r="A11645">
        <f ca="1">36642.3342389185*((RANDBETWEEN(2979,3282)))</f>
        <v>109707148.7113221</v>
      </c>
      <c r="B11645">
        <v>145967267.14763102</v>
      </c>
    </row>
    <row r="11646" spans="1:2" x14ac:dyDescent="0.25">
      <c r="A11646">
        <f ca="1">29312.6305156342*((RANDBETWEEN(2979,3282)))</f>
        <v>89901837.791450039</v>
      </c>
      <c r="B11646">
        <v>151993133.56571633</v>
      </c>
    </row>
    <row r="11647" spans="1:2" x14ac:dyDescent="0.25">
      <c r="A11647">
        <f ca="1">32556.0327840673*((RANDBETWEEN(2979,3282)))</f>
        <v>98254106.942315057</v>
      </c>
      <c r="B11647">
        <v>155856140.78753313</v>
      </c>
    </row>
    <row r="11648" spans="1:2" x14ac:dyDescent="0.25">
      <c r="A11648">
        <f ca="1">32591.622602381*((RANDBETWEEN(2979,3282)))</f>
        <v>99111124.333840609</v>
      </c>
      <c r="B11648">
        <v>162855093.62246895</v>
      </c>
    </row>
    <row r="11649" spans="1:2" x14ac:dyDescent="0.25">
      <c r="A11649">
        <f ca="1">30040.9832022795*((RANDBETWEEN(2979,3282)))</f>
        <v>96491638.045721665</v>
      </c>
      <c r="B11649">
        <v>151861057.11125037</v>
      </c>
    </row>
    <row r="11650" spans="1:2" x14ac:dyDescent="0.25">
      <c r="A11650">
        <f ca="1">39634.9657682706*((RANDBETWEEN(2979,3282)))</f>
        <v>121560440.01128611</v>
      </c>
      <c r="B11650">
        <v>170255916.93613338</v>
      </c>
    </row>
    <row r="11651" spans="1:2" x14ac:dyDescent="0.25">
      <c r="A11651">
        <f ca="1">35060.3854817244*((RANDBETWEEN(2979,3282)))</f>
        <v>108652134.60786387</v>
      </c>
      <c r="B11651">
        <v>155933191.60584986</v>
      </c>
    </row>
    <row r="11652" spans="1:2" x14ac:dyDescent="0.25">
      <c r="A11652">
        <f ca="1">35429.6054539027*((RANDBETWEEN(2979,3282)))</f>
        <v>111390679.54707015</v>
      </c>
      <c r="B11652">
        <v>159980632.07092607</v>
      </c>
    </row>
    <row r="11653" spans="1:2" x14ac:dyDescent="0.25">
      <c r="A11653">
        <f ca="1">32003.7426730898*((RANDBETWEEN(2979,3282)))</f>
        <v>98091471.293020293</v>
      </c>
      <c r="B11653">
        <v>144069264.7674363</v>
      </c>
    </row>
    <row r="11654" spans="1:2" x14ac:dyDescent="0.25">
      <c r="A11654">
        <f ca="1">30883.5624391957*((RANDBETWEEN(2979,3282)))</f>
        <v>92218317.443438277</v>
      </c>
      <c r="B11654">
        <v>172669995.50139761</v>
      </c>
    </row>
    <row r="11655" spans="1:2" x14ac:dyDescent="0.25">
      <c r="A11655">
        <f ca="1">36553.1635695248*((RANDBETWEEN(2979,3282)))</f>
        <v>115836975.35182397</v>
      </c>
      <c r="B11655">
        <v>157161193.68854681</v>
      </c>
    </row>
    <row r="11656" spans="1:2" x14ac:dyDescent="0.25">
      <c r="A11656">
        <f ca="1">38132.3245772204*((RANDBETWEEN(2979,3282)))</f>
        <v>123396202.33188534</v>
      </c>
      <c r="B11656">
        <v>185937792.66816437</v>
      </c>
    </row>
    <row r="11657" spans="1:2" x14ac:dyDescent="0.25">
      <c r="A11657">
        <f ca="1">31929.9552544088*((RANDBETWEEN(2979,3282)))</f>
        <v>99749180.214773148</v>
      </c>
      <c r="B11657">
        <v>194730687.17898983</v>
      </c>
    </row>
    <row r="11658" spans="1:2" x14ac:dyDescent="0.25">
      <c r="A11658">
        <f ca="1">31683.8442439523*((RANDBETWEEN(2979,3282)))</f>
        <v>102814074.57162538</v>
      </c>
      <c r="B11658">
        <v>163538188.28491041</v>
      </c>
    </row>
    <row r="11659" spans="1:2" x14ac:dyDescent="0.25">
      <c r="A11659">
        <f ca="1">31188.2938918837*((RANDBETWEEN(2979,3282)))</f>
        <v>101517896.61808145</v>
      </c>
      <c r="B11659">
        <v>199977033.78719014</v>
      </c>
    </row>
    <row r="11660" spans="1:2" x14ac:dyDescent="0.25">
      <c r="A11660">
        <f ca="1">37893.3422506353*((RANDBETWEEN(2979,3282)))</f>
        <v>115498907.17993626</v>
      </c>
      <c r="B11660">
        <v>176470253.17659605</v>
      </c>
    </row>
    <row r="11661" spans="1:2" x14ac:dyDescent="0.25">
      <c r="A11661">
        <f ca="1">36640.2225184894*((RANDBETWEEN(2979,3282)))</f>
        <v>118128077.39960991</v>
      </c>
      <c r="B11661">
        <v>166832802.77737981</v>
      </c>
    </row>
    <row r="11662" spans="1:2" x14ac:dyDescent="0.25">
      <c r="A11662">
        <f ca="1">36165.4699412223*((RANDBETWEEN(2979,3282)))</f>
        <v>116633640.56044187</v>
      </c>
      <c r="B11662">
        <v>186502158.82316881</v>
      </c>
    </row>
    <row r="11663" spans="1:2" x14ac:dyDescent="0.25">
      <c r="A11663">
        <f ca="1">32955.6031511693*((RANDBETWEEN(2979,3282)))</f>
        <v>104996551.63962562</v>
      </c>
      <c r="B11663">
        <v>149231250.02622384</v>
      </c>
    </row>
    <row r="11664" spans="1:2" x14ac:dyDescent="0.25">
      <c r="A11664">
        <f ca="1">32784.0080487442*((RANDBETWEEN(2979,3282)))</f>
        <v>105793993.97329757</v>
      </c>
      <c r="B11664">
        <v>173424251.37890607</v>
      </c>
    </row>
    <row r="11665" spans="1:2" x14ac:dyDescent="0.25">
      <c r="A11665">
        <f ca="1">33423.7080540672*((RANDBETWEEN(2979,3282)))</f>
        <v>99970310.789715141</v>
      </c>
      <c r="B11665">
        <v>176376031.69961333</v>
      </c>
    </row>
    <row r="11666" spans="1:2" x14ac:dyDescent="0.25">
      <c r="A11666">
        <f ca="1">30429.3169514696*((RANDBETWEEN(2979,3282)))</f>
        <v>96704369.271770537</v>
      </c>
      <c r="B11666">
        <v>199267026.63444391</v>
      </c>
    </row>
    <row r="11667" spans="1:2" x14ac:dyDescent="0.25">
      <c r="A11667">
        <f ca="1">28459.1242708233*((RANDBETWEEN(2979,3282)))</f>
        <v>84950485.948407605</v>
      </c>
      <c r="B11667">
        <v>159432558.20503694</v>
      </c>
    </row>
    <row r="11668" spans="1:2" x14ac:dyDescent="0.25">
      <c r="A11668">
        <f ca="1">37368.690257334*((RANDBETWEEN(2979,3282)))</f>
        <v>122232985.83173946</v>
      </c>
      <c r="B11668">
        <v>190666785.55768147</v>
      </c>
    </row>
    <row r="11669" spans="1:2" x14ac:dyDescent="0.25">
      <c r="A11669">
        <f ca="1">35300.1637341359*((RANDBETWEEN(2979,3282)))</f>
        <v>110842514.12518659</v>
      </c>
      <c r="B11669">
        <v>158660246.58165863</v>
      </c>
    </row>
    <row r="11670" spans="1:2" x14ac:dyDescent="0.25">
      <c r="A11670">
        <f ca="1">37043.2855380931*((RANDBETWEEN(2979,3282)))</f>
        <v>120835197.42525966</v>
      </c>
      <c r="B11670">
        <v>145780732.55227616</v>
      </c>
    </row>
    <row r="11671" spans="1:2" x14ac:dyDescent="0.25">
      <c r="A11671">
        <f ca="1">28464.0329662402*((RANDBETWEEN(2979,3282)))</f>
        <v>92963531.667740464</v>
      </c>
      <c r="B11671">
        <v>145362931.85205677</v>
      </c>
    </row>
    <row r="11672" spans="1:2" x14ac:dyDescent="0.25">
      <c r="A11672">
        <f ca="1">31260.7406664362*((RANDBETWEEN(2979,3282)))</f>
        <v>101566146.42525133</v>
      </c>
      <c r="B11672">
        <v>168783495.82104358</v>
      </c>
    </row>
    <row r="11673" spans="1:2" x14ac:dyDescent="0.25">
      <c r="A11673">
        <f ca="1">41616.1710298876*((RANDBETWEEN(2979,3282)))</f>
        <v>133962454.54520825</v>
      </c>
      <c r="B11673">
        <v>190091834.93240309</v>
      </c>
    </row>
    <row r="11674" spans="1:2" x14ac:dyDescent="0.25">
      <c r="A11674">
        <f ca="1">29125.4814333913*((RANDBETWEEN(2979,3282)))</f>
        <v>93521920.88261947</v>
      </c>
      <c r="B11674">
        <v>159970275.98905528</v>
      </c>
    </row>
    <row r="11675" spans="1:2" x14ac:dyDescent="0.25">
      <c r="A11675">
        <f ca="1">31001.6105677427*((RANDBETWEEN(2979,3282)))</f>
        <v>97717076.509525031</v>
      </c>
      <c r="B11675">
        <v>150000521.41275918</v>
      </c>
    </row>
    <row r="11676" spans="1:2" x14ac:dyDescent="0.25">
      <c r="A11676">
        <f ca="1">33064.2203754362*((RANDBETWEEN(2979,3282)))</f>
        <v>98564440.939175278</v>
      </c>
      <c r="B11676">
        <v>185568054.30254266</v>
      </c>
    </row>
    <row r="11677" spans="1:2" x14ac:dyDescent="0.25">
      <c r="A11677">
        <f ca="1">36705.4131755707*((RANDBETWEEN(2979,3282)))</f>
        <v>111143991.09562814</v>
      </c>
      <c r="B11677">
        <v>147130027.16635334</v>
      </c>
    </row>
    <row r="11678" spans="1:2" x14ac:dyDescent="0.25">
      <c r="A11678">
        <f ca="1">41781.2461191015*((RANDBETWEEN(2979,3282)))</f>
        <v>126137582.03356737</v>
      </c>
      <c r="B11678">
        <v>158079742.37590548</v>
      </c>
    </row>
    <row r="11679" spans="1:2" x14ac:dyDescent="0.25">
      <c r="A11679">
        <f ca="1">38393.6706645372*((RANDBETWEEN(2979,3282)))</f>
        <v>125316941.04904956</v>
      </c>
      <c r="B11679">
        <v>142940480.20148107</v>
      </c>
    </row>
    <row r="11680" spans="1:2" x14ac:dyDescent="0.25">
      <c r="A11680">
        <f ca="1">32730.5621756021*((RANDBETWEEN(2979,3282)))</f>
        <v>102839426.35574168</v>
      </c>
      <c r="B11680">
        <v>153924269.10506433</v>
      </c>
    </row>
    <row r="11681" spans="1:2" x14ac:dyDescent="0.25">
      <c r="A11681">
        <f ca="1">28844.6275378303*((RANDBETWEEN(2979,3282)))</f>
        <v>88899142.071592927</v>
      </c>
      <c r="B11681">
        <v>178556072.48664525</v>
      </c>
    </row>
    <row r="11682" spans="1:2" x14ac:dyDescent="0.25">
      <c r="A11682">
        <f ca="1">32654.1458620879*((RANDBETWEEN(2979,3282)))</f>
        <v>100052302.92143734</v>
      </c>
      <c r="B11682">
        <v>164119429.91860372</v>
      </c>
    </row>
    <row r="11683" spans="1:2" x14ac:dyDescent="0.25">
      <c r="A11683">
        <f ca="1">28381.8304529486*((RANDBETWEEN(2979,3282)))</f>
        <v>89431147.757241011</v>
      </c>
      <c r="B11683">
        <v>176894712.82652065</v>
      </c>
    </row>
    <row r="11684" spans="1:2" x14ac:dyDescent="0.25">
      <c r="A11684">
        <f ca="1">32051.146874927*((RANDBETWEEN(2979,3282)))</f>
        <v>97275230.765403435</v>
      </c>
      <c r="B11684">
        <v>148801887.55348542</v>
      </c>
    </row>
    <row r="11685" spans="1:2" x14ac:dyDescent="0.25">
      <c r="A11685">
        <f ca="1">29121.7685315035*((RANDBETWEEN(2979,3282)))</f>
        <v>95082574.255358949</v>
      </c>
      <c r="B11685">
        <v>172588593.83651951</v>
      </c>
    </row>
    <row r="11686" spans="1:2" x14ac:dyDescent="0.25">
      <c r="A11686">
        <f ca="1">35417.8635626602*((RANDBETWEEN(2979,3282)))</f>
        <v>113230909.80982479</v>
      </c>
      <c r="B11686">
        <v>173369031.22082171</v>
      </c>
    </row>
    <row r="11687" spans="1:2" x14ac:dyDescent="0.25">
      <c r="A11687">
        <f ca="1">28864.283733001*((RANDBETWEEN(2979,3282)))</f>
        <v>92625486.499200121</v>
      </c>
      <c r="B11687">
        <v>165503814.16350549</v>
      </c>
    </row>
    <row r="11688" spans="1:2" x14ac:dyDescent="0.25">
      <c r="A11688">
        <f ca="1">37148.7692360424*((RANDBETWEEN(2979,3282)))</f>
        <v>119098954.17075199</v>
      </c>
      <c r="B11688">
        <v>187903388.8869625</v>
      </c>
    </row>
    <row r="11689" spans="1:2" x14ac:dyDescent="0.25">
      <c r="A11689">
        <f ca="1">33094.6404727858*((RANDBETWEEN(2979,3282)))</f>
        <v>102229344.42043534</v>
      </c>
      <c r="B11689">
        <v>151456934.92711809</v>
      </c>
    </row>
    <row r="11690" spans="1:2" x14ac:dyDescent="0.25">
      <c r="A11690">
        <f ca="1">33556.6180764944*((RANDBETWEEN(2979,3282)))</f>
        <v>107112724.90017027</v>
      </c>
      <c r="B11690">
        <v>148566215.49814749</v>
      </c>
    </row>
    <row r="11691" spans="1:2" x14ac:dyDescent="0.25">
      <c r="A11691">
        <f ca="1">35824.8908441041*((RANDBETWEEN(2979,3282)))</f>
        <v>115105374.2821064</v>
      </c>
      <c r="B11691">
        <v>186057422.28594711</v>
      </c>
    </row>
    <row r="11692" spans="1:2" x14ac:dyDescent="0.25">
      <c r="A11692">
        <f ca="1">30504.1827636408*((RANDBETWEEN(2979,3282)))</f>
        <v>99321619.07841444</v>
      </c>
      <c r="B11692">
        <v>158055552.74298444</v>
      </c>
    </row>
    <row r="11693" spans="1:2" x14ac:dyDescent="0.25">
      <c r="A11693">
        <f ca="1">29754.9647168358*((RANDBETWEEN(2979,3282)))</f>
        <v>93579364.034448683</v>
      </c>
      <c r="B11693">
        <v>143722814.04638258</v>
      </c>
    </row>
    <row r="11694" spans="1:2" x14ac:dyDescent="0.25">
      <c r="A11694">
        <f ca="1">34277.4846584196*((RANDBETWEEN(2979,3282)))</f>
        <v>105746040.17122455</v>
      </c>
      <c r="B11694">
        <v>193687674.38439086</v>
      </c>
    </row>
    <row r="11695" spans="1:2" x14ac:dyDescent="0.25">
      <c r="A11695">
        <f ca="1">37351.8037526535*((RANDBETWEEN(2979,3282)))</f>
        <v>119861938.24226496</v>
      </c>
      <c r="B11695">
        <v>147773626.99388933</v>
      </c>
    </row>
    <row r="11696" spans="1:2" x14ac:dyDescent="0.25">
      <c r="A11696">
        <f ca="1">39475.7241694377*((RANDBETWEEN(2979,3282)))</f>
        <v>119058784.0950242</v>
      </c>
      <c r="B11696">
        <v>147906595.83258933</v>
      </c>
    </row>
    <row r="11697" spans="1:2" x14ac:dyDescent="0.25">
      <c r="A11697">
        <f ca="1">31441.3119221871*((RANDBETWEEN(2979,3282)))</f>
        <v>102530118.17825215</v>
      </c>
      <c r="B11697">
        <v>147598046.77977923</v>
      </c>
    </row>
    <row r="11698" spans="1:2" x14ac:dyDescent="0.25">
      <c r="A11698">
        <f ca="1">30220.3736893707*((RANDBETWEEN(2979,3282)))</f>
        <v>95466160.484722078</v>
      </c>
      <c r="B11698">
        <v>168691975.56871918</v>
      </c>
    </row>
    <row r="11699" spans="1:2" x14ac:dyDescent="0.25">
      <c r="A11699">
        <f ca="1">32634.196496648*((RANDBETWEEN(2979,3282)))</f>
        <v>105702162.45264301</v>
      </c>
      <c r="B11699">
        <v>178696585.24524415</v>
      </c>
    </row>
    <row r="11700" spans="1:2" x14ac:dyDescent="0.25">
      <c r="A11700">
        <f ca="1">37618.4525185049*((RANDBETWEEN(2979,3282)))</f>
        <v>115639123.04188402</v>
      </c>
      <c r="B11700">
        <v>147341447.09840289</v>
      </c>
    </row>
    <row r="11701" spans="1:2" x14ac:dyDescent="0.25">
      <c r="A11701">
        <f ca="1">29703.6313159565*((RANDBETWEEN(2979,3282)))</f>
        <v>94041696.746318191</v>
      </c>
      <c r="B11701">
        <v>146539158.89291114</v>
      </c>
    </row>
    <row r="11702" spans="1:2" x14ac:dyDescent="0.25">
      <c r="A11702">
        <f ca="1">38084.1454000219*((RANDBETWEEN(2979,3282)))</f>
        <v>114023931.32766554</v>
      </c>
      <c r="B11702">
        <v>152821450.87563452</v>
      </c>
    </row>
    <row r="11703" spans="1:2" x14ac:dyDescent="0.25">
      <c r="A11703">
        <f ca="1">28187.6647369812*((RANDBETWEEN(2979,3282)))</f>
        <v>88565642.603594854</v>
      </c>
      <c r="B11703">
        <v>184586109.14071751</v>
      </c>
    </row>
    <row r="11704" spans="1:2" x14ac:dyDescent="0.25">
      <c r="A11704">
        <f ca="1">31969.416889024*((RANDBETWEEN(2979,3282)))</f>
        <v>96419761.337296382</v>
      </c>
      <c r="B11704">
        <v>153433424.0290381</v>
      </c>
    </row>
    <row r="11705" spans="1:2" x14ac:dyDescent="0.25">
      <c r="A11705">
        <f ca="1">31323.9773735482*((RANDBETWEEN(2979,3282)))</f>
        <v>95757398.830936939</v>
      </c>
      <c r="B11705">
        <v>185033947.33925685</v>
      </c>
    </row>
    <row r="11706" spans="1:2" x14ac:dyDescent="0.25">
      <c r="A11706">
        <f ca="1">42758.3824271865*((RANDBETWEEN(2979,3282)))</f>
        <v>129771690.6665111</v>
      </c>
      <c r="B11706">
        <v>167683400.58725667</v>
      </c>
    </row>
    <row r="11707" spans="1:2" x14ac:dyDescent="0.25">
      <c r="A11707">
        <f ca="1">31761.4129542951*((RANDBETWEEN(2979,3282)))</f>
        <v>95570091.579474032</v>
      </c>
      <c r="B11707">
        <v>180972543.71725863</v>
      </c>
    </row>
    <row r="11708" spans="1:2" x14ac:dyDescent="0.25">
      <c r="A11708">
        <f ca="1">30815.3590477803*((RANDBETWEEN(2979,3282)))</f>
        <v>96513704.537647754</v>
      </c>
      <c r="B11708">
        <v>190071482.53123176</v>
      </c>
    </row>
    <row r="11709" spans="1:2" x14ac:dyDescent="0.25">
      <c r="A11709">
        <f ca="1">42201.1117745338*((RANDBETWEEN(2979,3282)))</f>
        <v>134326138.778341</v>
      </c>
      <c r="B11709">
        <v>169722918.6976862</v>
      </c>
    </row>
    <row r="11710" spans="1:2" x14ac:dyDescent="0.25">
      <c r="A11710">
        <f ca="1">31475.9001854833*((RANDBETWEEN(2979,3282)))</f>
        <v>100187790.29039332</v>
      </c>
      <c r="B11710">
        <v>165677869.07473081</v>
      </c>
    </row>
    <row r="11711" spans="1:2" x14ac:dyDescent="0.25">
      <c r="A11711">
        <f ca="1">32751.1637789367*((RANDBETWEEN(2979,3282)))</f>
        <v>97565716.897452354</v>
      </c>
      <c r="B11711">
        <v>159993321.21827912</v>
      </c>
    </row>
    <row r="11712" spans="1:2" x14ac:dyDescent="0.25">
      <c r="A11712">
        <f ca="1">33429.5657414418*((RANDBETWEEN(2979,3282)))</f>
        <v>107710060.81892532</v>
      </c>
      <c r="B11712">
        <v>150327811.686961</v>
      </c>
    </row>
    <row r="11713" spans="1:2" x14ac:dyDescent="0.25">
      <c r="A11713">
        <f ca="1">36778.7567033788*((RANDBETWEEN(2979,3282)))</f>
        <v>113241791.88970327</v>
      </c>
      <c r="B11713">
        <v>172324707.5265657</v>
      </c>
    </row>
    <row r="11714" spans="1:2" x14ac:dyDescent="0.25">
      <c r="A11714">
        <f ca="1">31832.7111555974*((RANDBETWEEN(2979,3282)))</f>
        <v>100113876.5843537</v>
      </c>
      <c r="B11714">
        <v>148837537.03258976</v>
      </c>
    </row>
    <row r="11715" spans="1:2" x14ac:dyDescent="0.25">
      <c r="A11715">
        <f ca="1">33332.0218002759*((RANDBETWEEN(2979,3282)))</f>
        <v>99562749.11742422</v>
      </c>
      <c r="B11715">
        <v>171083257.68782672</v>
      </c>
    </row>
    <row r="11716" spans="1:2" x14ac:dyDescent="0.25">
      <c r="A11716">
        <f ca="1">27027.5128605512*((RANDBETWEEN(2979,3282)))</f>
        <v>85515050.690783888</v>
      </c>
      <c r="B11716">
        <v>169508987.35132509</v>
      </c>
    </row>
    <row r="11717" spans="1:2" x14ac:dyDescent="0.25">
      <c r="A11717">
        <f ca="1">30078.359540298*((RANDBETWEEN(2979,3282)))</f>
        <v>89934295.025490999</v>
      </c>
      <c r="B11717">
        <v>199970055.03249934</v>
      </c>
    </row>
    <row r="11718" spans="1:2" x14ac:dyDescent="0.25">
      <c r="A11718">
        <f ca="1">32447.9599955023*((RANDBETWEEN(2979,3282)))</f>
        <v>100329092.30609334</v>
      </c>
      <c r="B11718">
        <v>170446308.81437421</v>
      </c>
    </row>
    <row r="11719" spans="1:2" x14ac:dyDescent="0.25">
      <c r="A11719">
        <f ca="1">29757.2344476729*((RANDBETWEEN(2979,3282)))</f>
        <v>94925577.888076648</v>
      </c>
      <c r="B11719">
        <v>154678183.92691952</v>
      </c>
    </row>
    <row r="11720" spans="1:2" x14ac:dyDescent="0.25">
      <c r="A11720">
        <f ca="1">38156.8096354219*((RANDBETWEEN(2979,3282)))</f>
        <v>124734610.69819431</v>
      </c>
      <c r="B11720">
        <v>157201706.42918885</v>
      </c>
    </row>
    <row r="11721" spans="1:2" x14ac:dyDescent="0.25">
      <c r="A11721">
        <f ca="1">32677.1137055907*((RANDBETWEEN(2979,3282)))</f>
        <v>102606137.03555486</v>
      </c>
      <c r="B11721">
        <v>172156465.21797112</v>
      </c>
    </row>
    <row r="11722" spans="1:2" x14ac:dyDescent="0.25">
      <c r="A11722">
        <f ca="1">34743.5614831285*((RANDBETWEEN(2979,3282)))</f>
        <v>112464908.5208869</v>
      </c>
      <c r="B11722">
        <v>187831060.05809233</v>
      </c>
    </row>
    <row r="11723" spans="1:2" x14ac:dyDescent="0.25">
      <c r="A11723">
        <f ca="1">35722.4810316578*((RANDBETWEEN(2979,3282)))</f>
        <v>113776102.08583018</v>
      </c>
      <c r="B11723">
        <v>181261393.76891214</v>
      </c>
    </row>
    <row r="11724" spans="1:2" x14ac:dyDescent="0.25">
      <c r="A11724">
        <f ca="1">33578.8925603475*((RANDBETWEEN(2979,3282)))</f>
        <v>105605617.10229294</v>
      </c>
      <c r="B11724">
        <v>171546879.10492668</v>
      </c>
    </row>
    <row r="11725" spans="1:2" x14ac:dyDescent="0.25">
      <c r="A11725">
        <f ca="1">37381.7328734932*((RANDBETWEEN(2979,3282)))</f>
        <v>117154350.82552771</v>
      </c>
      <c r="B11725">
        <v>160418737.89838263</v>
      </c>
    </row>
    <row r="11726" spans="1:2" x14ac:dyDescent="0.25">
      <c r="A11726">
        <f ca="1">30166.5240826812*((RANDBETWEEN(2979,3282)))</f>
        <v>98403201.557706237</v>
      </c>
      <c r="B11726">
        <v>145567252.40089574</v>
      </c>
    </row>
    <row r="11727" spans="1:2" x14ac:dyDescent="0.25">
      <c r="A11727">
        <f ca="1">30612.7574715923*((RANDBETWEEN(2979,3282)))</f>
        <v>99399623.510260284</v>
      </c>
      <c r="B11727">
        <v>178811113.32799816</v>
      </c>
    </row>
    <row r="11728" spans="1:2" x14ac:dyDescent="0.25">
      <c r="A11728">
        <f ca="1">31456.5706809499*((RANDBETWEEN(2979,3282)))</f>
        <v>99528589.634525523</v>
      </c>
      <c r="B11728">
        <v>144895834.37017888</v>
      </c>
    </row>
    <row r="11729" spans="1:2" x14ac:dyDescent="0.25">
      <c r="A11729">
        <f ca="1">31784.1718836386*((RANDBETWEEN(2979,3282)))</f>
        <v>103997810.40326551</v>
      </c>
      <c r="B11729">
        <v>193222371.62670386</v>
      </c>
    </row>
    <row r="11730" spans="1:2" x14ac:dyDescent="0.25">
      <c r="A11730">
        <f ca="1">29640.626040664*((RANDBETWEEN(2979,3282)))</f>
        <v>93012284.515603706</v>
      </c>
      <c r="B11730">
        <v>152820804.80422404</v>
      </c>
    </row>
    <row r="11731" spans="1:2" x14ac:dyDescent="0.25">
      <c r="A11731">
        <f ca="1">35404.7054805234*((RANDBETWEEN(2979,3282)))</f>
        <v>112339130.48970087</v>
      </c>
      <c r="B11731">
        <v>147011913.29021677</v>
      </c>
    </row>
    <row r="11732" spans="1:2" x14ac:dyDescent="0.25">
      <c r="A11732">
        <f ca="1">27889.7490807686*((RANDBETWEEN(2979,3282)))</f>
        <v>88047937.847986445</v>
      </c>
      <c r="B11732">
        <v>162720156.95889515</v>
      </c>
    </row>
    <row r="11733" spans="1:2" x14ac:dyDescent="0.25">
      <c r="A11733">
        <f ca="1">27469.9788126904*((RANDBETWEEN(2979,3282)))</f>
        <v>83371385.696515307</v>
      </c>
      <c r="B11733">
        <v>170464323.98756438</v>
      </c>
    </row>
    <row r="11734" spans="1:2" x14ac:dyDescent="0.25">
      <c r="A11734">
        <f ca="1">31120.5857172973*((RANDBETWEEN(2979,3282)))</f>
        <v>101204144.75265068</v>
      </c>
      <c r="B11734">
        <v>170354124.46669009</v>
      </c>
    </row>
    <row r="11735" spans="1:2" x14ac:dyDescent="0.25">
      <c r="A11735">
        <f ca="1">30550.0513160769*((RANDBETWEEN(2979,3282)))</f>
        <v>98493365.443031862</v>
      </c>
      <c r="B11735">
        <v>143830369.52530733</v>
      </c>
    </row>
    <row r="11736" spans="1:2" x14ac:dyDescent="0.25">
      <c r="A11736">
        <f ca="1">28972.0854031582*((RANDBETWEEN(2979,3282)))</f>
        <v>89205050.956324071</v>
      </c>
      <c r="B11736">
        <v>202842303.64142895</v>
      </c>
    </row>
    <row r="11737" spans="1:2" x14ac:dyDescent="0.25">
      <c r="A11737">
        <f ca="1">30662.7924478857*((RANDBETWEEN(2979,3282)))</f>
        <v>92693621.569958389</v>
      </c>
      <c r="B11737">
        <v>194105354.84854028</v>
      </c>
    </row>
    <row r="11738" spans="1:2" x14ac:dyDescent="0.25">
      <c r="A11738">
        <f ca="1">30233.3273321637*((RANDBETWEEN(2979,3282)))</f>
        <v>96928047.426916704</v>
      </c>
      <c r="B11738">
        <v>202094118.89475262</v>
      </c>
    </row>
    <row r="11739" spans="1:2" x14ac:dyDescent="0.25">
      <c r="A11739">
        <f ca="1">30264.6967414497*((RANDBETWEEN(2979,3282)))</f>
        <v>93941618.685459718</v>
      </c>
      <c r="B11739">
        <v>196517690.31642985</v>
      </c>
    </row>
    <row r="11740" spans="1:2" x14ac:dyDescent="0.25">
      <c r="A11740">
        <f ca="1">30634.5228687501*((RANDBETWEEN(2979,3282)))</f>
        <v>91382781.717481449</v>
      </c>
      <c r="B11740">
        <v>184729958.64531571</v>
      </c>
    </row>
    <row r="11741" spans="1:2" x14ac:dyDescent="0.25">
      <c r="A11741">
        <f ca="1">30637.2213705212*((RANDBETWEEN(2979,3282)))</f>
        <v>98621215.591707706</v>
      </c>
      <c r="B11741">
        <v>163098647.19942853</v>
      </c>
    </row>
    <row r="11742" spans="1:2" x14ac:dyDescent="0.25">
      <c r="A11742">
        <f ca="1">32491.7677455506*((RANDBETWEEN(2979,3282)))</f>
        <v>101016905.92091687</v>
      </c>
      <c r="B11742">
        <v>160687463.52443343</v>
      </c>
    </row>
    <row r="11743" spans="1:2" x14ac:dyDescent="0.25">
      <c r="A11743">
        <f ca="1">39854.0821290432*((RANDBETWEEN(2979,3282)))</f>
        <v>123348384.18938857</v>
      </c>
      <c r="B11743">
        <v>162579062.81813288</v>
      </c>
    </row>
    <row r="11744" spans="1:2" x14ac:dyDescent="0.25">
      <c r="A11744">
        <f ca="1">32005.198749018*((RANDBETWEEN(2979,3282)))</f>
        <v>104624994.71053971</v>
      </c>
      <c r="B11744">
        <v>171956420.51685745</v>
      </c>
    </row>
    <row r="11745" spans="1:2" x14ac:dyDescent="0.25">
      <c r="A11745">
        <f ca="1">35796.0379061252*((RANDBETWEEN(2979,3282)))</f>
        <v>116408715.27071926</v>
      </c>
      <c r="B11745">
        <v>151785230.05148613</v>
      </c>
    </row>
    <row r="11746" spans="1:2" x14ac:dyDescent="0.25">
      <c r="A11746">
        <f ca="1">35623.4766334025*((RANDBETWEEN(2979,3282)))</f>
        <v>112213951.3952179</v>
      </c>
      <c r="B11746">
        <v>174753842.18202847</v>
      </c>
    </row>
    <row r="11747" spans="1:2" x14ac:dyDescent="0.25">
      <c r="A11747">
        <f ca="1">32628.1519542185*((RANDBETWEEN(2979,3282)))</f>
        <v>100462079.86703888</v>
      </c>
      <c r="B11747">
        <v>152927770.68890351</v>
      </c>
    </row>
    <row r="11748" spans="1:2" x14ac:dyDescent="0.25">
      <c r="A11748">
        <f ca="1">32156.8949402905*((RANDBETWEEN(2979,3282)))</f>
        <v>104284810.29136215</v>
      </c>
      <c r="B11748">
        <v>158763349.90200809</v>
      </c>
    </row>
    <row r="11749" spans="1:2" x14ac:dyDescent="0.25">
      <c r="A11749">
        <f ca="1">34161.5392990402*((RANDBETWEEN(2979,3282)))</f>
        <v>107403879.55618235</v>
      </c>
      <c r="B11749">
        <v>154835103.58693397</v>
      </c>
    </row>
    <row r="11750" spans="1:2" x14ac:dyDescent="0.25">
      <c r="A11750">
        <f ca="1">33346.1816579215*((RANDBETWEEN(2979,3282)))</f>
        <v>103673278.7744779</v>
      </c>
      <c r="B11750">
        <v>154413747.37535554</v>
      </c>
    </row>
    <row r="11751" spans="1:2" x14ac:dyDescent="0.25">
      <c r="A11751">
        <f ca="1">37032.9578001387*((RANDBETWEEN(2979,3282)))</f>
        <v>116838981.85943754</v>
      </c>
      <c r="B11751">
        <v>156698279.39608604</v>
      </c>
    </row>
    <row r="11752" spans="1:2" x14ac:dyDescent="0.25">
      <c r="A11752">
        <f ca="1">35682.3037979188*((RANDBETWEEN(2979,3282)))</f>
        <v>107546463.64692713</v>
      </c>
      <c r="B11752">
        <v>166341017.04742926</v>
      </c>
    </row>
    <row r="11753" spans="1:2" x14ac:dyDescent="0.25">
      <c r="A11753">
        <f ca="1">35377.3330283595*((RANDBETWEEN(2979,3282)))</f>
        <v>114056521.68343107</v>
      </c>
      <c r="B11753">
        <v>164215252.90418929</v>
      </c>
    </row>
    <row r="11754" spans="1:2" x14ac:dyDescent="0.25">
      <c r="A11754">
        <f ca="1">31261.4303715945*((RANDBETWEEN(2979,3282)))</f>
        <v>94940964.038532525</v>
      </c>
      <c r="B11754">
        <v>157634728.3528192</v>
      </c>
    </row>
    <row r="11755" spans="1:2" x14ac:dyDescent="0.25">
      <c r="A11755">
        <f ca="1">33710.8002481962*((RANDBETWEEN(2979,3282)))</f>
        <v>105312539.97536501</v>
      </c>
      <c r="B11755">
        <v>190510902.52290517</v>
      </c>
    </row>
    <row r="11756" spans="1:2" x14ac:dyDescent="0.25">
      <c r="A11756">
        <f ca="1">34628.1731948233*((RANDBETWEEN(2979,3282)))</f>
        <v>109875193.54717438</v>
      </c>
      <c r="B11756">
        <v>152079323.81562558</v>
      </c>
    </row>
    <row r="11757" spans="1:2" x14ac:dyDescent="0.25">
      <c r="A11757">
        <f ca="1">28011.7531172532*((RANDBETWEEN(2979,3282)))</f>
        <v>90898138.865486532</v>
      </c>
      <c r="B11757">
        <v>143281420.63267612</v>
      </c>
    </row>
    <row r="11758" spans="1:2" x14ac:dyDescent="0.25">
      <c r="A11758">
        <f ca="1">31880.1162779643*((RANDBETWEEN(2979,3282)))</f>
        <v>101187489.06625876</v>
      </c>
      <c r="B11758">
        <v>149492434.1770519</v>
      </c>
    </row>
    <row r="11759" spans="1:2" x14ac:dyDescent="0.25">
      <c r="A11759">
        <f ca="1">30680.3218111469*((RANDBETWEEN(2979,3282)))</f>
        <v>100416693.28788389</v>
      </c>
      <c r="B11759">
        <v>165456580.70113471</v>
      </c>
    </row>
    <row r="11760" spans="1:2" x14ac:dyDescent="0.25">
      <c r="A11760">
        <f ca="1">34573.3271620161*((RANDBETWEEN(2979,3282)))</f>
        <v>111326113.46169211</v>
      </c>
      <c r="B11760">
        <v>165058061.0398117</v>
      </c>
    </row>
    <row r="11761" spans="1:2" x14ac:dyDescent="0.25">
      <c r="A11761">
        <f ca="1">34303.1894699961*((RANDBETWEEN(2979,3282)))</f>
        <v>105653823.56758805</v>
      </c>
      <c r="B11761">
        <v>149647482.51621675</v>
      </c>
    </row>
    <row r="11762" spans="1:2" x14ac:dyDescent="0.25">
      <c r="A11762">
        <f ca="1">32489.0421150289*((RANDBETWEEN(2979,3282)))</f>
        <v>97856994.850467131</v>
      </c>
      <c r="B11762">
        <v>161444419.77813068</v>
      </c>
    </row>
    <row r="11763" spans="1:2" x14ac:dyDescent="0.25">
      <c r="A11763">
        <f ca="1">39044.878939394*((RANDBETWEEN(2979,3282)))</f>
        <v>126232093.61106074</v>
      </c>
      <c r="B11763">
        <v>202528275.14176607</v>
      </c>
    </row>
    <row r="11764" spans="1:2" x14ac:dyDescent="0.25">
      <c r="A11764">
        <f ca="1">32954.8734282493*((RANDBETWEEN(2979,3282)))</f>
        <v>101336235.79186673</v>
      </c>
      <c r="B11764">
        <v>148301582.08993012</v>
      </c>
    </row>
    <row r="11765" spans="1:2" x14ac:dyDescent="0.25">
      <c r="A11765">
        <f ca="1">38725.5711137829*((RANDBETWEEN(2979,3282)))</f>
        <v>122760060.43069193</v>
      </c>
      <c r="B11765">
        <v>174665879.95636663</v>
      </c>
    </row>
    <row r="11766" spans="1:2" x14ac:dyDescent="0.25">
      <c r="A11766">
        <f ca="1">40073.7731120028*((RANDBETWEEN(2979,3282)))</f>
        <v>126232385.30280884</v>
      </c>
      <c r="B11766">
        <v>165163972.15464208</v>
      </c>
    </row>
    <row r="11767" spans="1:2" x14ac:dyDescent="0.25">
      <c r="A11767">
        <f ca="1">30500.3571709166*((RANDBETWEEN(2979,3282)))</f>
        <v>95710120.802336335</v>
      </c>
      <c r="B11767">
        <v>144840851.85791489</v>
      </c>
    </row>
    <row r="11768" spans="1:2" x14ac:dyDescent="0.25">
      <c r="A11768">
        <f ca="1">33770.7889562649*((RANDBETWEEN(2979,3282)))</f>
        <v>105803881.79997787</v>
      </c>
      <c r="B11768">
        <v>143702677.45432165</v>
      </c>
    </row>
    <row r="11769" spans="1:2" x14ac:dyDescent="0.25">
      <c r="A11769">
        <f ca="1">33726.2793671966*((RANDBETWEEN(2979,3282)))</f>
        <v>109003334.91477938</v>
      </c>
      <c r="B11769">
        <v>151985129.41358447</v>
      </c>
    </row>
    <row r="11770" spans="1:2" x14ac:dyDescent="0.25">
      <c r="A11770">
        <f ca="1">36547.0527087282*((RANDBETWEEN(2979,3282)))</f>
        <v>115525233.61228979</v>
      </c>
      <c r="B11770">
        <v>152142879.5092026</v>
      </c>
    </row>
    <row r="11771" spans="1:2" x14ac:dyDescent="0.25">
      <c r="A11771">
        <f ca="1">32844.7848383592*((RANDBETWEEN(2979,3282)))</f>
        <v>104446415.78598228</v>
      </c>
      <c r="B11771">
        <v>183134429.39687252</v>
      </c>
    </row>
    <row r="11772" spans="1:2" x14ac:dyDescent="0.25">
      <c r="A11772">
        <f ca="1">37666.7208337078*((RANDBETWEEN(2979,3282)))</f>
        <v>122567509.59288532</v>
      </c>
      <c r="B11772">
        <v>191964538.00646472</v>
      </c>
    </row>
    <row r="11773" spans="1:2" x14ac:dyDescent="0.25">
      <c r="A11773">
        <f ca="1">33979.2358767491*((RANDBETWEEN(2979,3282)))</f>
        <v>110772308.95820202</v>
      </c>
      <c r="B11773">
        <v>149376943.75877252</v>
      </c>
    </row>
    <row r="11774" spans="1:2" x14ac:dyDescent="0.25">
      <c r="A11774">
        <f ca="1">33271.9792936032*((RANDBETWEEN(2979,3282)))</f>
        <v>104141295.18897787</v>
      </c>
      <c r="B11774">
        <v>153487875.1592046</v>
      </c>
    </row>
    <row r="11775" spans="1:2" x14ac:dyDescent="0.25">
      <c r="A11775">
        <f ca="1">31001.3612571092*((RANDBETWEEN(2979,3282)))</f>
        <v>101343449.94949012</v>
      </c>
      <c r="B11775">
        <v>150316163.58445895</v>
      </c>
    </row>
    <row r="11776" spans="1:2" x14ac:dyDescent="0.25">
      <c r="A11776">
        <f ca="1">38878.1610735717*((RANDBETWEEN(2979,3282)))</f>
        <v>120677811.97236659</v>
      </c>
      <c r="B11776">
        <v>159969266.89987409</v>
      </c>
    </row>
    <row r="11777" spans="1:2" x14ac:dyDescent="0.25">
      <c r="A11777">
        <f ca="1">37358.1490315735*((RANDBETWEEN(2979,3282)))</f>
        <v>118686839.47330903</v>
      </c>
      <c r="B11777">
        <v>186541633.27783629</v>
      </c>
    </row>
    <row r="11778" spans="1:2" x14ac:dyDescent="0.25">
      <c r="A11778">
        <f ca="1">42626.4868858777*((RANDBETWEEN(2979,3282)))</f>
        <v>127367942.81500266</v>
      </c>
      <c r="B11778">
        <v>149320272.30118603</v>
      </c>
    </row>
    <row r="11779" spans="1:2" x14ac:dyDescent="0.25">
      <c r="A11779">
        <f ca="1">30754.2663478966*((RANDBETWEEN(2979,3282)))</f>
        <v>100843239.35475308</v>
      </c>
      <c r="B11779">
        <v>196617368.08603451</v>
      </c>
    </row>
    <row r="11780" spans="1:2" x14ac:dyDescent="0.25">
      <c r="A11780">
        <f ca="1">33246.2076262202*((RANDBETWEEN(2979,3282)))</f>
        <v>106288125.78102605</v>
      </c>
      <c r="B11780">
        <v>167276409.53022066</v>
      </c>
    </row>
    <row r="11781" spans="1:2" x14ac:dyDescent="0.25">
      <c r="A11781">
        <f ca="1">31612.5931586172*((RANDBETWEEN(2979,3282)))</f>
        <v>101950612.93654048</v>
      </c>
      <c r="B11781">
        <v>159912908.67410004</v>
      </c>
    </row>
    <row r="11782" spans="1:2" x14ac:dyDescent="0.25">
      <c r="A11782">
        <f ca="1">32566.1269113764*((RANDBETWEEN(2979,3282)))</f>
        <v>100271104.76012793</v>
      </c>
      <c r="B11782">
        <v>144655205.75173128</v>
      </c>
    </row>
    <row r="11783" spans="1:2" x14ac:dyDescent="0.25">
      <c r="A11783">
        <f ca="1">33017.1145255455*((RANDBETWEEN(2979,3282)))</f>
        <v>101494610.05152673</v>
      </c>
      <c r="B11783">
        <v>162570428.52345121</v>
      </c>
    </row>
    <row r="11784" spans="1:2" x14ac:dyDescent="0.25">
      <c r="A11784">
        <f ca="1">39414.2436750149*((RANDBETWEEN(2979,3282)))</f>
        <v>119267501.36059521</v>
      </c>
      <c r="B11784">
        <v>177755381.73800024</v>
      </c>
    </row>
    <row r="11785" spans="1:2" x14ac:dyDescent="0.25">
      <c r="A11785">
        <f ca="1">39913.0394615858*((RANDBETWEEN(2979,3282)))</f>
        <v>128599813.14522943</v>
      </c>
      <c r="B11785">
        <v>150522183.82519829</v>
      </c>
    </row>
    <row r="11786" spans="1:2" x14ac:dyDescent="0.25">
      <c r="A11786">
        <f ca="1">28161.7619373522*((RANDBETWEEN(2979,3282)))</f>
        <v>88963005.960095614</v>
      </c>
      <c r="B11786">
        <v>176993842.26692224</v>
      </c>
    </row>
    <row r="11787" spans="1:2" x14ac:dyDescent="0.25">
      <c r="A11787">
        <f ca="1">31700.5290580048*((RANDBETWEEN(2979,3282)))</f>
        <v>95323490.87742053</v>
      </c>
      <c r="B11787">
        <v>188993466.49545571</v>
      </c>
    </row>
    <row r="11788" spans="1:2" x14ac:dyDescent="0.25">
      <c r="A11788">
        <f ca="1">29316.0591339762*((RANDBETWEEN(2979,3282)))</f>
        <v>88886291.294215932</v>
      </c>
      <c r="B11788">
        <v>169859265.36207747</v>
      </c>
    </row>
    <row r="11789" spans="1:2" x14ac:dyDescent="0.25">
      <c r="A11789">
        <f ca="1">29090.5991692719*((RANDBETWEEN(2979,3282)))</f>
        <v>86835438.520276606</v>
      </c>
      <c r="B11789">
        <v>152648116.10595059</v>
      </c>
    </row>
    <row r="11790" spans="1:2" x14ac:dyDescent="0.25">
      <c r="A11790">
        <f ca="1">32138.4952797528*((RANDBETWEEN(2979,3282)))</f>
        <v>97990272.107966244</v>
      </c>
      <c r="B11790">
        <v>188139528.07107225</v>
      </c>
    </row>
    <row r="11791" spans="1:2" x14ac:dyDescent="0.25">
      <c r="A11791">
        <f ca="1">30652.0201743713*((RANDBETWEEN(2979,3282)))</f>
        <v>97105599.912408397</v>
      </c>
      <c r="B11791">
        <v>155607596.43606913</v>
      </c>
    </row>
    <row r="11792" spans="1:2" x14ac:dyDescent="0.25">
      <c r="A11792">
        <f ca="1">29296.4136091637*((RANDBETWEEN(2979,3282)))</f>
        <v>95301233.470609561</v>
      </c>
      <c r="B11792">
        <v>185879459.09839261</v>
      </c>
    </row>
    <row r="11793" spans="1:2" x14ac:dyDescent="0.25">
      <c r="A11793">
        <f ca="1">36907.8505152932*((RANDBETWEEN(2979,3282)))</f>
        <v>118363476.60254538</v>
      </c>
      <c r="B11793">
        <v>188832254.39406082</v>
      </c>
    </row>
    <row r="11794" spans="1:2" x14ac:dyDescent="0.25">
      <c r="A11794">
        <f ca="1">30726.5507947438*((RANDBETWEEN(2979,3282)))</f>
        <v>92671277.196947247</v>
      </c>
      <c r="B11794">
        <v>149416688.26488334</v>
      </c>
    </row>
    <row r="11795" spans="1:2" x14ac:dyDescent="0.25">
      <c r="A11795">
        <f ca="1">38352.8208784857*((RANDBETWEEN(2979,3282)))</f>
        <v>125145254.52649893</v>
      </c>
      <c r="B11795">
        <v>151534430.25059831</v>
      </c>
    </row>
    <row r="11796" spans="1:2" x14ac:dyDescent="0.25">
      <c r="A11796">
        <f ca="1">39846.5362374026*((RANDBETWEEN(2979,3282)))</f>
        <v>122966410.82862434</v>
      </c>
      <c r="B11796">
        <v>159730642.77998412</v>
      </c>
    </row>
    <row r="11797" spans="1:2" x14ac:dyDescent="0.25">
      <c r="A11797">
        <f ca="1">32174.7958033218*((RANDBETWEEN(2979,3282)))</f>
        <v>99162720.665837646</v>
      </c>
      <c r="B11797">
        <v>186569950.49438041</v>
      </c>
    </row>
    <row r="11798" spans="1:2" x14ac:dyDescent="0.25">
      <c r="A11798">
        <f ca="1">29986.3833483079*((RANDBETWEEN(2979,3282)))</f>
        <v>89929163.661575288</v>
      </c>
      <c r="B11798">
        <v>155153789.07871351</v>
      </c>
    </row>
    <row r="11799" spans="1:2" x14ac:dyDescent="0.25">
      <c r="A11799">
        <f ca="1">28615.6826115014*((RANDBETWEEN(2979,3282)))</f>
        <v>85274734.182274222</v>
      </c>
      <c r="B11799">
        <v>153399185.32984957</v>
      </c>
    </row>
    <row r="11800" spans="1:2" x14ac:dyDescent="0.25">
      <c r="A11800">
        <f ca="1">40208.0122032609*((RANDBETWEEN(2979,3282)))</f>
        <v>119819876.36571746</v>
      </c>
      <c r="B11800">
        <v>150936664.94173574</v>
      </c>
    </row>
    <row r="11801" spans="1:2" x14ac:dyDescent="0.25">
      <c r="A11801">
        <f ca="1">33440.2160135617*((RANDBETWEEN(2979,3282)))</f>
        <v>108446620.5319806</v>
      </c>
      <c r="B11801">
        <v>189934991.89335221</v>
      </c>
    </row>
    <row r="11802" spans="1:2" x14ac:dyDescent="0.25">
      <c r="A11802">
        <f ca="1">33902.1256190961*((RANDBETWEEN(2979,3282)))</f>
        <v>107062912.70510557</v>
      </c>
      <c r="B11802">
        <v>177969455.95542431</v>
      </c>
    </row>
    <row r="11803" spans="1:2" x14ac:dyDescent="0.25">
      <c r="A11803">
        <f ca="1">34192.2183322285*((RANDBETWEEN(2979,3282)))</f>
        <v>107021643.37987523</v>
      </c>
      <c r="B11803">
        <v>146807658.7580322</v>
      </c>
    </row>
    <row r="11804" spans="1:2" x14ac:dyDescent="0.25">
      <c r="A11804">
        <f ca="1">32818.949526042*((RANDBETWEEN(2979,3282)))</f>
        <v>98095840.13333945</v>
      </c>
      <c r="B11804">
        <v>183400353.36763206</v>
      </c>
    </row>
    <row r="11805" spans="1:2" x14ac:dyDescent="0.25">
      <c r="A11805">
        <f ca="1">30168.2082533216*((RANDBETWEEN(2979,3282)))</f>
        <v>91560512.04883112</v>
      </c>
      <c r="B11805">
        <v>163035834.24426782</v>
      </c>
    </row>
    <row r="11806" spans="1:2" x14ac:dyDescent="0.25">
      <c r="A11806">
        <f ca="1">31459.5847028112*((RANDBETWEEN(2979,3282)))</f>
        <v>97430333.824606404</v>
      </c>
      <c r="B11806">
        <v>150366975.60301483</v>
      </c>
    </row>
    <row r="11807" spans="1:2" x14ac:dyDescent="0.25">
      <c r="A11807">
        <f ca="1">29432.6715329734*((RANDBETWEEN(2979,3282)))</f>
        <v>92271425.255871624</v>
      </c>
      <c r="B11807">
        <v>162968171.57418197</v>
      </c>
    </row>
    <row r="11808" spans="1:2" x14ac:dyDescent="0.25">
      <c r="A11808">
        <f ca="1">28659.7900841682*((RANDBETWEEN(2979,3282)))</f>
        <v>93086998.193378285</v>
      </c>
      <c r="B11808">
        <v>176794955.66107208</v>
      </c>
    </row>
    <row r="11809" spans="1:2" x14ac:dyDescent="0.25">
      <c r="A11809">
        <f ca="1">35570.0109472504*((RANDBETWEEN(2979,3282)))</f>
        <v>112009964.47289144</v>
      </c>
      <c r="B11809">
        <v>168960155.69286686</v>
      </c>
    </row>
    <row r="11810" spans="1:2" x14ac:dyDescent="0.25">
      <c r="A11810">
        <f ca="1">29354.0690587156*((RANDBETWEEN(2979,3282)))</f>
        <v>90792135.598607361</v>
      </c>
      <c r="B11810">
        <v>174841921.07060006</v>
      </c>
    </row>
    <row r="11811" spans="1:2" x14ac:dyDescent="0.25">
      <c r="A11811">
        <f ca="1">40022.0795581602*((RANDBETWEEN(2979,3282)))</f>
        <v>122027320.57283054</v>
      </c>
      <c r="B11811">
        <v>199170678.88159865</v>
      </c>
    </row>
    <row r="11812" spans="1:2" x14ac:dyDescent="0.25">
      <c r="A11812">
        <f ca="1">32957.0517504357*((RANDBETWEEN(2979,3282)))</f>
        <v>106187620.73990384</v>
      </c>
      <c r="B11812">
        <v>148457483.76569223</v>
      </c>
    </row>
    <row r="11813" spans="1:2" x14ac:dyDescent="0.25">
      <c r="A11813">
        <f ca="1">34642.3922508579*((RANDBETWEEN(2979,3282)))</f>
        <v>104654666.98984173</v>
      </c>
      <c r="B11813">
        <v>159137443.08705181</v>
      </c>
    </row>
    <row r="11814" spans="1:2" x14ac:dyDescent="0.25">
      <c r="A11814">
        <f ca="1">30699.3583223311*((RANDBETWEEN(2979,3282)))</f>
        <v>97409063.956756607</v>
      </c>
      <c r="B11814">
        <v>181152760.24340183</v>
      </c>
    </row>
    <row r="11815" spans="1:2" x14ac:dyDescent="0.25">
      <c r="A11815">
        <f ca="1">32448.4370498274*((RANDBETWEEN(2979,3282)))</f>
        <v>100849742.35086362</v>
      </c>
      <c r="B11815">
        <v>151328564.24893302</v>
      </c>
    </row>
    <row r="11816" spans="1:2" x14ac:dyDescent="0.25">
      <c r="A11816">
        <f ca="1">32856.4156575042*((RANDBETWEEN(2979,3282)))</f>
        <v>106849063.71820356</v>
      </c>
      <c r="B11816">
        <v>182796055.06206912</v>
      </c>
    </row>
    <row r="11817" spans="1:2" x14ac:dyDescent="0.25">
      <c r="A11817">
        <f ca="1">31229.4866454454*((RANDBETWEEN(2979,3282)))</f>
        <v>101277225.19117947</v>
      </c>
      <c r="B11817">
        <v>145922509.3476454</v>
      </c>
    </row>
    <row r="11818" spans="1:2" x14ac:dyDescent="0.25">
      <c r="A11818">
        <f ca="1">34990.7821725702*((RANDBETWEEN(2979,3282)))</f>
        <v>104622438.695985</v>
      </c>
      <c r="B11818">
        <v>197455176.66953963</v>
      </c>
    </row>
    <row r="11819" spans="1:2" x14ac:dyDescent="0.25">
      <c r="A11819">
        <f ca="1">31862.9108531798*((RANDBETWEEN(2979,3282)))</f>
        <v>95907361.668071404</v>
      </c>
      <c r="B11819">
        <v>159891314.32715645</v>
      </c>
    </row>
    <row r="11820" spans="1:2" x14ac:dyDescent="0.25">
      <c r="A11820">
        <f ca="1">29707.5156904533*((RANDBETWEEN(2979,3282)))</f>
        <v>93667796.971999258</v>
      </c>
      <c r="B11820">
        <v>147241439.82035938</v>
      </c>
    </row>
    <row r="11821" spans="1:2" x14ac:dyDescent="0.25">
      <c r="A11821">
        <f ca="1">38539.6832981051*((RANDBETWEEN(2979,3282)))</f>
        <v>118316827.72518262</v>
      </c>
      <c r="B11821">
        <v>152855110.47633457</v>
      </c>
    </row>
    <row r="11822" spans="1:2" x14ac:dyDescent="0.25">
      <c r="A11822">
        <f ca="1">36847.6287862749*((RANDBETWEEN(2979,3282)))</f>
        <v>113674934.80565818</v>
      </c>
      <c r="B11822">
        <v>173982884.11001796</v>
      </c>
    </row>
    <row r="11823" spans="1:2" x14ac:dyDescent="0.25">
      <c r="A11823">
        <f ca="1">30696.1683619545*((RANDBETWEEN(2979,3282)))</f>
        <v>96600841.835070729</v>
      </c>
      <c r="B11823">
        <v>181051640.67038131</v>
      </c>
    </row>
    <row r="11824" spans="1:2" x14ac:dyDescent="0.25">
      <c r="A11824">
        <f ca="1">33993.2010911513*((RANDBETWEEN(2979,3282)))</f>
        <v>109900019.12769231</v>
      </c>
      <c r="B11824">
        <v>152354916.63988692</v>
      </c>
    </row>
    <row r="11825" spans="1:2" x14ac:dyDescent="0.25">
      <c r="A11825">
        <f ca="1">28983.9993859031*((RANDBETWEEN(2979,3282)))</f>
        <v>93270510.023836151</v>
      </c>
      <c r="B11825">
        <v>158928703.09323663</v>
      </c>
    </row>
    <row r="11826" spans="1:2" x14ac:dyDescent="0.25">
      <c r="A11826">
        <f ca="1">31038.6338698197*((RANDBETWEEN(2979,3282)))</f>
        <v>97678580.788322642</v>
      </c>
      <c r="B11826">
        <v>183027770.60983711</v>
      </c>
    </row>
    <row r="11827" spans="1:2" x14ac:dyDescent="0.25">
      <c r="A11827">
        <f ca="1">40891.0024402969*((RANDBETWEEN(2979,3282)))</f>
        <v>130687643.7991889</v>
      </c>
      <c r="B11827">
        <v>144008722.00885072</v>
      </c>
    </row>
    <row r="11828" spans="1:2" x14ac:dyDescent="0.25">
      <c r="A11828">
        <f ca="1">33857.5869962167*((RANDBETWEEN(2979,3282)))</f>
        <v>105466383.49321492</v>
      </c>
      <c r="B11828">
        <v>164413579.28643996</v>
      </c>
    </row>
    <row r="11829" spans="1:2" x14ac:dyDescent="0.25">
      <c r="A11829">
        <f ca="1">32475.9381564143*((RANDBETWEEN(2979,3282)))</f>
        <v>103435863.02817956</v>
      </c>
      <c r="B11829">
        <v>184283586.50875112</v>
      </c>
    </row>
    <row r="11830" spans="1:2" x14ac:dyDescent="0.25">
      <c r="A11830">
        <f ca="1">32556.9423209441*((RANDBETWEEN(2979,3282)))</f>
        <v>103824089.0614908</v>
      </c>
      <c r="B11830">
        <v>169719334.83541703</v>
      </c>
    </row>
    <row r="11831" spans="1:2" x14ac:dyDescent="0.25">
      <c r="A11831">
        <f ca="1">40052.561964684*((RANDBETWEEN(2979,3282)))</f>
        <v>121279157.62906323</v>
      </c>
      <c r="B11831">
        <v>163945767.63503778</v>
      </c>
    </row>
    <row r="11832" spans="1:2" x14ac:dyDescent="0.25">
      <c r="A11832">
        <f ca="1">28984.9603670049*((RANDBETWEEN(2979,3282)))</f>
        <v>88809918.564503074</v>
      </c>
      <c r="B11832">
        <v>180971899.45614213</v>
      </c>
    </row>
    <row r="11833" spans="1:2" x14ac:dyDescent="0.25">
      <c r="A11833">
        <f ca="1">41509.0165290557*((RANDBETWEEN(2979,3282)))</f>
        <v>135900520.11612841</v>
      </c>
      <c r="B11833">
        <v>190447526.27304488</v>
      </c>
    </row>
    <row r="11834" spans="1:2" x14ac:dyDescent="0.25">
      <c r="A11834">
        <f ca="1">37175.8281422881*((RANDBETWEEN(2979,3282)))</f>
        <v>111824891.05200271</v>
      </c>
      <c r="B11834">
        <v>199188795.7500169</v>
      </c>
    </row>
    <row r="11835" spans="1:2" x14ac:dyDescent="0.25">
      <c r="A11835">
        <f ca="1">30008.3006759944*((RANDBETWEEN(2979,3282)))</f>
        <v>97707027.001037896</v>
      </c>
      <c r="B11835">
        <v>192145940.05920237</v>
      </c>
    </row>
    <row r="11836" spans="1:2" x14ac:dyDescent="0.25">
      <c r="A11836">
        <f ca="1">32398.7038436555*((RANDBETWEEN(2979,3282)))</f>
        <v>106332546.01487748</v>
      </c>
      <c r="B11836">
        <v>158064775.38118112</v>
      </c>
    </row>
    <row r="11837" spans="1:2" x14ac:dyDescent="0.25">
      <c r="A11837">
        <f ca="1">39065.1142719085*((RANDBETWEEN(2979,3282)))</f>
        <v>126258449.32680826</v>
      </c>
      <c r="B11837">
        <v>175924209.7533659</v>
      </c>
    </row>
    <row r="11838" spans="1:2" x14ac:dyDescent="0.25">
      <c r="A11838">
        <f ca="1">29030.6292329839*((RANDBETWEEN(2979,3282)))</f>
        <v>89153062.374493524</v>
      </c>
      <c r="B11838">
        <v>167521053.91173404</v>
      </c>
    </row>
    <row r="11839" spans="1:2" x14ac:dyDescent="0.25">
      <c r="A11839">
        <f ca="1">29975.4404283872*((RANDBETWEEN(2979,3282)))</f>
        <v>91634921.389579773</v>
      </c>
      <c r="B11839">
        <v>154697016.29357293</v>
      </c>
    </row>
    <row r="11840" spans="1:2" x14ac:dyDescent="0.25">
      <c r="A11840">
        <f ca="1">35820.8961129456*((RANDBETWEEN(2979,3282)))</f>
        <v>109217912.24837115</v>
      </c>
      <c r="B11840">
        <v>172441737.79323232</v>
      </c>
    </row>
    <row r="11841" spans="1:2" x14ac:dyDescent="0.25">
      <c r="A11841">
        <f ca="1">36575.606288883*((RANDBETWEEN(2979,3282)))</f>
        <v>115469189.05400372</v>
      </c>
      <c r="B11841">
        <v>175490694.40286556</v>
      </c>
    </row>
    <row r="11842" spans="1:2" x14ac:dyDescent="0.25">
      <c r="A11842">
        <f ca="1">31495.3567841319*((RANDBETWEEN(2979,3282)))</f>
        <v>98863924.94539009</v>
      </c>
      <c r="B11842">
        <v>187255601.26218274</v>
      </c>
    </row>
    <row r="11843" spans="1:2" x14ac:dyDescent="0.25">
      <c r="A11843">
        <f ca="1">39809.7668216815*((RANDBETWEEN(2979,3282)))</f>
        <v>119150632.09729284</v>
      </c>
      <c r="B11843">
        <v>175237060.05701149</v>
      </c>
    </row>
    <row r="11844" spans="1:2" x14ac:dyDescent="0.25">
      <c r="A11844">
        <f ca="1">41586.1630555962*((RANDBETWEEN(2979,3282)))</f>
        <v>131245930.60346171</v>
      </c>
      <c r="B11844">
        <v>173275985.1350562</v>
      </c>
    </row>
    <row r="11845" spans="1:2" x14ac:dyDescent="0.25">
      <c r="A11845">
        <f ca="1">38149.3758889194*((RANDBETWEEN(2979,3282)))</f>
        <v>120132384.67420709</v>
      </c>
      <c r="B11845">
        <v>154855258.25211605</v>
      </c>
    </row>
    <row r="11846" spans="1:2" x14ac:dyDescent="0.25">
      <c r="A11846">
        <f ca="1">29866.1903138423*((RANDBETWEEN(2979,3282)))</f>
        <v>96826188.997476697</v>
      </c>
      <c r="B11846">
        <v>155199688.32041022</v>
      </c>
    </row>
    <row r="11847" spans="1:2" x14ac:dyDescent="0.25">
      <c r="A11847">
        <f ca="1">33050.593198721*((RANDBETWEEN(2979,3282)))</f>
        <v>99184830.189361855</v>
      </c>
      <c r="B11847">
        <v>190282899.30791438</v>
      </c>
    </row>
    <row r="11848" spans="1:2" x14ac:dyDescent="0.25">
      <c r="A11848">
        <f ca="1">32234.45255545*((RANDBETWEEN(2979,3282)))</f>
        <v>97702625.695568845</v>
      </c>
      <c r="B11848">
        <v>173243414.85796818</v>
      </c>
    </row>
    <row r="11849" spans="1:2" x14ac:dyDescent="0.25">
      <c r="A11849">
        <f ca="1">34508.9459673262*((RANDBETWEEN(2979,3282)))</f>
        <v>109358849.77045663</v>
      </c>
      <c r="B11849">
        <v>196644624.51109105</v>
      </c>
    </row>
    <row r="11850" spans="1:2" x14ac:dyDescent="0.25">
      <c r="A11850">
        <f ca="1">34786.7548151743*((RANDBETWEEN(2979,3282)))</f>
        <v>105508227.35442378</v>
      </c>
      <c r="B11850">
        <v>150632791.16059101</v>
      </c>
    </row>
    <row r="11851" spans="1:2" x14ac:dyDescent="0.25">
      <c r="A11851">
        <f ca="1">30525.9396171538*((RANDBETWEEN(2979,3282)))</f>
        <v>95943028.216714278</v>
      </c>
      <c r="B11851">
        <v>151162622.13496903</v>
      </c>
    </row>
    <row r="11852" spans="1:2" x14ac:dyDescent="0.25">
      <c r="A11852">
        <f ca="1">38400.3500865097*((RANDBETWEEN(2979,3282)))</f>
        <v>119156286.31843944</v>
      </c>
      <c r="B11852">
        <v>172495904.73431972</v>
      </c>
    </row>
    <row r="11853" spans="1:2" x14ac:dyDescent="0.25">
      <c r="A11853">
        <f ca="1">35556.4935705361*((RANDBETWEEN(2979,3282)))</f>
        <v>107380610.58301899</v>
      </c>
      <c r="B11853">
        <v>197932485.13564026</v>
      </c>
    </row>
    <row r="11854" spans="1:2" x14ac:dyDescent="0.25">
      <c r="A11854">
        <f ca="1">40778.7412059118*((RANDBETWEEN(2979,3282)))</f>
        <v>132490130.17800748</v>
      </c>
      <c r="B11854">
        <v>156164401.94674209</v>
      </c>
    </row>
    <row r="11855" spans="1:2" x14ac:dyDescent="0.25">
      <c r="A11855">
        <f ca="1">33323.3169263965*((RANDBETWEEN(2979,3282)))</f>
        <v>106667937.48139507</v>
      </c>
      <c r="B11855">
        <v>143001543.82074332</v>
      </c>
    </row>
    <row r="11856" spans="1:2" x14ac:dyDescent="0.25">
      <c r="A11856">
        <f ca="1">36896.0574568607*((RANDBETWEEN(2979,3282)))</f>
        <v>113270896.39256243</v>
      </c>
      <c r="B11856">
        <v>154179419.08607277</v>
      </c>
    </row>
    <row r="11857" spans="1:2" x14ac:dyDescent="0.25">
      <c r="A11857">
        <f ca="1">38897.913270411*((RANDBETWEEN(2979,3282)))</f>
        <v>117821779.29607502</v>
      </c>
      <c r="B11857">
        <v>201263393.09023359</v>
      </c>
    </row>
    <row r="11858" spans="1:2" x14ac:dyDescent="0.25">
      <c r="A11858">
        <f ca="1">35360.7911034184*((RANDBETWEEN(2979,3282)))</f>
        <v>111068244.85583732</v>
      </c>
      <c r="B11858">
        <v>169949298.05927053</v>
      </c>
    </row>
    <row r="11859" spans="1:2" x14ac:dyDescent="0.25">
      <c r="A11859">
        <f ca="1">34384.7813487277*((RANDBETWEEN(2979,3282)))</f>
        <v>109446759.03300016</v>
      </c>
      <c r="B11859">
        <v>154402804.74632967</v>
      </c>
    </row>
    <row r="11860" spans="1:2" x14ac:dyDescent="0.25">
      <c r="A11860">
        <f ca="1">31864.8625148983*((RANDBETWEEN(2979,3282)))</f>
        <v>104389289.59880677</v>
      </c>
      <c r="B11860">
        <v>179020174.49678499</v>
      </c>
    </row>
    <row r="11861" spans="1:2" x14ac:dyDescent="0.25">
      <c r="A11861">
        <f ca="1">30271.5385001014*((RANDBETWEEN(2979,3282)))</f>
        <v>93993127.042814955</v>
      </c>
      <c r="B11861">
        <v>156899862.95662546</v>
      </c>
    </row>
    <row r="11862" spans="1:2" x14ac:dyDescent="0.25">
      <c r="A11862">
        <f ca="1">32194.8106257652*((RANDBETWEEN(2979,3282)))</f>
        <v>101059510.55427696</v>
      </c>
      <c r="B11862">
        <v>184134842.78449261</v>
      </c>
    </row>
    <row r="11863" spans="1:2" x14ac:dyDescent="0.25">
      <c r="A11863">
        <f ca="1">33528.5548535517*((RANDBETWEEN(2979,3282)))</f>
        <v>103703820.16203532</v>
      </c>
      <c r="B11863">
        <v>185947144.14074582</v>
      </c>
    </row>
    <row r="11864" spans="1:2" x14ac:dyDescent="0.25">
      <c r="A11864">
        <f ca="1">31477.0593074197*((RANDBETWEEN(2979,3282)))</f>
        <v>98523195.632223591</v>
      </c>
      <c r="B11864">
        <v>151451535.40384075</v>
      </c>
    </row>
    <row r="11865" spans="1:2" x14ac:dyDescent="0.25">
      <c r="A11865">
        <f ca="1">32195.4603946803*((RANDBETWEEN(2979,3282)))</f>
        <v>103701577.93126531</v>
      </c>
      <c r="B11865">
        <v>176797440.5893245</v>
      </c>
    </row>
    <row r="11866" spans="1:2" x14ac:dyDescent="0.25">
      <c r="A11866">
        <f ca="1">29210.2069917054*((RANDBETWEEN(2979,3282)))</f>
        <v>94144497.134266481</v>
      </c>
      <c r="B11866">
        <v>197902734.32653871</v>
      </c>
    </row>
    <row r="11867" spans="1:2" x14ac:dyDescent="0.25">
      <c r="A11867">
        <f ca="1">32095.3874284728*((RANDBETWEEN(2979,3282)))</f>
        <v>101999141.24768642</v>
      </c>
      <c r="B11867">
        <v>153849195.31702754</v>
      </c>
    </row>
    <row r="11868" spans="1:2" x14ac:dyDescent="0.25">
      <c r="A11868">
        <f ca="1">38831.4066312497*((RANDBETWEEN(2979,3282)))</f>
        <v>117736824.90594919</v>
      </c>
      <c r="B11868">
        <v>167053024.48741895</v>
      </c>
    </row>
    <row r="11869" spans="1:2" x14ac:dyDescent="0.25">
      <c r="A11869">
        <f ca="1">30126.9735505848*((RANDBETWEEN(2979,3282)))</f>
        <v>93423744.980363369</v>
      </c>
      <c r="B11869">
        <v>166082514.46285635</v>
      </c>
    </row>
    <row r="11870" spans="1:2" x14ac:dyDescent="0.25">
      <c r="A11870">
        <f ca="1">30322.95533308*((RANDBETWEEN(2979,3282)))</f>
        <v>99368324.626503259</v>
      </c>
      <c r="B11870">
        <v>190277011.64657888</v>
      </c>
    </row>
    <row r="11871" spans="1:2" x14ac:dyDescent="0.25">
      <c r="A11871">
        <f ca="1">31802.2995219779*((RANDBETWEEN(2979,3282)))</f>
        <v>98968756.112395212</v>
      </c>
      <c r="B11871">
        <v>178683038.49246925</v>
      </c>
    </row>
    <row r="11872" spans="1:2" x14ac:dyDescent="0.25">
      <c r="A11872">
        <f ca="1">31164.9361933545*((RANDBETWEEN(2979,3282)))</f>
        <v>94429756.665864021</v>
      </c>
      <c r="B11872">
        <v>183696758.93949533</v>
      </c>
    </row>
    <row r="11873" spans="1:2" x14ac:dyDescent="0.25">
      <c r="A11873">
        <f ca="1">36340.6116055585*((RANDBETWEEN(2979,3282)))</f>
        <v>115236079.40122591</v>
      </c>
      <c r="B11873">
        <v>146081404.97669536</v>
      </c>
    </row>
    <row r="11874" spans="1:2" x14ac:dyDescent="0.25">
      <c r="A11874">
        <f ca="1">33439.337546355*((RANDBETWEEN(2979,3282)))</f>
        <v>107039319.48588222</v>
      </c>
      <c r="B11874">
        <v>159997446.40896583</v>
      </c>
    </row>
    <row r="11875" spans="1:2" x14ac:dyDescent="0.25">
      <c r="A11875">
        <f ca="1">28110.0826022496*((RANDBETWEEN(2979,3282)))</f>
        <v>89783603.831585333</v>
      </c>
      <c r="B11875">
        <v>159357530.79383355</v>
      </c>
    </row>
    <row r="11876" spans="1:2" x14ac:dyDescent="0.25">
      <c r="A11876">
        <f ca="1">31630.9489757076*((RANDBETWEEN(2979,3282)))</f>
        <v>96885596.712592334</v>
      </c>
      <c r="B11876">
        <v>167449619.16605118</v>
      </c>
    </row>
    <row r="11877" spans="1:2" x14ac:dyDescent="0.25">
      <c r="A11877">
        <f ca="1">38479.7057842427*((RANDBETWEEN(2979,3282)))</f>
        <v>122981139.68643972</v>
      </c>
      <c r="B11877">
        <v>175529950.79679853</v>
      </c>
    </row>
    <row r="11878" spans="1:2" x14ac:dyDescent="0.25">
      <c r="A11878">
        <f ca="1">35790.5304203972*((RANDBETWEEN(2979,3282)))</f>
        <v>111881198.0941616</v>
      </c>
      <c r="B11878">
        <v>162087103.37083778</v>
      </c>
    </row>
    <row r="11879" spans="1:2" x14ac:dyDescent="0.25">
      <c r="A11879">
        <f ca="1">32296.9566362038*((RANDBETWEEN(2979,3282)))</f>
        <v>105320375.59066071</v>
      </c>
      <c r="B11879">
        <v>144332511.45118928</v>
      </c>
    </row>
    <row r="11880" spans="1:2" x14ac:dyDescent="0.25">
      <c r="A11880">
        <f ca="1">29721.4828405899*((RANDBETWEEN(2979,3282)))</f>
        <v>91363838.251973405</v>
      </c>
      <c r="B11880">
        <v>153050480.22322673</v>
      </c>
    </row>
    <row r="11881" spans="1:2" x14ac:dyDescent="0.25">
      <c r="A11881">
        <f ca="1">42071.6251636393*((RANDBETWEEN(2979,3282)))</f>
        <v>131852473.26284564</v>
      </c>
      <c r="B11881">
        <v>159053936.43758944</v>
      </c>
    </row>
    <row r="11882" spans="1:2" x14ac:dyDescent="0.25">
      <c r="A11882">
        <f ca="1">37677.8937174846*((RANDBETWEEN(2979,3282)))</f>
        <v>114126340.07026072</v>
      </c>
      <c r="B11882">
        <v>151186466.38292256</v>
      </c>
    </row>
    <row r="11883" spans="1:2" x14ac:dyDescent="0.25">
      <c r="A11883">
        <f ca="1">31454.4092761846*((RANDBETWEEN(2979,3282)))</f>
        <v>101849377.23628569</v>
      </c>
      <c r="B11883">
        <v>152364019.44347656</v>
      </c>
    </row>
    <row r="11884" spans="1:2" x14ac:dyDescent="0.25">
      <c r="A11884">
        <f ca="1">34429.4626283341*((RANDBETWEEN(2979,3282)))</f>
        <v>110174280.41066903</v>
      </c>
      <c r="B11884">
        <v>186150117.49828899</v>
      </c>
    </row>
    <row r="11885" spans="1:2" x14ac:dyDescent="0.25">
      <c r="A11885">
        <f ca="1">32448.7731136386*((RANDBETWEEN(2979,3282)))</f>
        <v>100331606.46737061</v>
      </c>
      <c r="B11885">
        <v>144918589.76338536</v>
      </c>
    </row>
    <row r="11886" spans="1:2" x14ac:dyDescent="0.25">
      <c r="A11886">
        <f ca="1">32192.5872348418*((RANDBETWEEN(2979,3282)))</f>
        <v>99764827.84077473</v>
      </c>
      <c r="B11886">
        <v>146322577.23753726</v>
      </c>
    </row>
    <row r="11887" spans="1:2" x14ac:dyDescent="0.25">
      <c r="A11887">
        <f ca="1">29853.5047207679*((RANDBETWEEN(2979,3282)))</f>
        <v>96546234.266963452</v>
      </c>
      <c r="B11887">
        <v>147848804.09743634</v>
      </c>
    </row>
    <row r="11888" spans="1:2" x14ac:dyDescent="0.25">
      <c r="A11888">
        <f ca="1">38144.6151683821*((RANDBETWEEN(2979,3282)))</f>
        <v>124046288.52757862</v>
      </c>
      <c r="B11888">
        <v>169203813.83751351</v>
      </c>
    </row>
    <row r="11889" spans="1:2" x14ac:dyDescent="0.25">
      <c r="A11889">
        <f ca="1">32064.7512199395*((RANDBETWEEN(2979,3282)))</f>
        <v>100971901.59158961</v>
      </c>
      <c r="B11889">
        <v>171151171.12405905</v>
      </c>
    </row>
    <row r="11890" spans="1:2" x14ac:dyDescent="0.25">
      <c r="A11890">
        <f ca="1">31237.3801429928*((RANDBETWEEN(2979,3282)))</f>
        <v>100240752.87886405</v>
      </c>
      <c r="B11890">
        <v>187989586.99694347</v>
      </c>
    </row>
    <row r="11891" spans="1:2" x14ac:dyDescent="0.25">
      <c r="A11891">
        <f ca="1">30042.0363860194*((RANDBETWEEN(2979,3282)))</f>
        <v>96284726.617192075</v>
      </c>
      <c r="B11891">
        <v>178489890.80526745</v>
      </c>
    </row>
    <row r="11892" spans="1:2" x14ac:dyDescent="0.25">
      <c r="A11892">
        <f ca="1">33279.7415858892*((RANDBETWEEN(2979,3282)))</f>
        <v>106395333.85008763</v>
      </c>
      <c r="B11892">
        <v>188934288.93822786</v>
      </c>
    </row>
    <row r="11893" spans="1:2" x14ac:dyDescent="0.25">
      <c r="A11893">
        <f ca="1">30987.9512553897*((RANDBETWEEN(2979,3282)))</f>
        <v>94358311.572661489</v>
      </c>
      <c r="B11893">
        <v>162817235.38967562</v>
      </c>
    </row>
    <row r="11894" spans="1:2" x14ac:dyDescent="0.25">
      <c r="A11894">
        <f ca="1">29979.487834381*((RANDBETWEEN(2979,3282)))</f>
        <v>90148319.917983755</v>
      </c>
      <c r="B11894">
        <v>153704514.86455548</v>
      </c>
    </row>
    <row r="11895" spans="1:2" x14ac:dyDescent="0.25">
      <c r="A11895">
        <f ca="1">37758.5041590665*((RANDBETWEEN(2979,3282)))</f>
        <v>115994124.7766524</v>
      </c>
      <c r="B11895">
        <v>182643330.5736258</v>
      </c>
    </row>
    <row r="11896" spans="1:2" x14ac:dyDescent="0.25">
      <c r="A11896">
        <f ca="1">32956.933094547*((RANDBETWEEN(2979,3282)))</f>
        <v>102199449.52619031</v>
      </c>
      <c r="B11896">
        <v>196569993.3813155</v>
      </c>
    </row>
    <row r="11897" spans="1:2" x14ac:dyDescent="0.25">
      <c r="A11897">
        <f ca="1">30725.5385073286*((RANDBETWEEN(2979,3282)))</f>
        <v>99335665.994193316</v>
      </c>
      <c r="B11897">
        <v>145312510.33315176</v>
      </c>
    </row>
    <row r="11898" spans="1:2" x14ac:dyDescent="0.25">
      <c r="A11898">
        <f ca="1">32157.4306476196*((RANDBETWEEN(2979,3282)))</f>
        <v>103643398.97727782</v>
      </c>
      <c r="B11898">
        <v>176424011.62237757</v>
      </c>
    </row>
    <row r="11899" spans="1:2" x14ac:dyDescent="0.25">
      <c r="A11899">
        <f ca="1">31735.7991989587*((RANDBETWEEN(2979,3282)))</f>
        <v>95715170.384059519</v>
      </c>
      <c r="B11899">
        <v>153665184.73342961</v>
      </c>
    </row>
    <row r="11900" spans="1:2" x14ac:dyDescent="0.25">
      <c r="A11900">
        <f ca="1">31662.1756907332*((RANDBETWEEN(2979,3282)))</f>
        <v>101952205.724161</v>
      </c>
      <c r="B11900">
        <v>180181998.2111643</v>
      </c>
    </row>
    <row r="11901" spans="1:2" x14ac:dyDescent="0.25">
      <c r="A11901">
        <f ca="1">34443.6796133982*((RANDBETWEEN(2979,3282)))</f>
        <v>105810983.77235934</v>
      </c>
      <c r="B11901">
        <v>192013607.3662613</v>
      </c>
    </row>
    <row r="11902" spans="1:2" x14ac:dyDescent="0.25">
      <c r="A11902">
        <f ca="1">30072.5997717255*((RANDBETWEEN(2979,3282)))</f>
        <v>91330485.506730199</v>
      </c>
      <c r="B11902">
        <v>172749042.21947244</v>
      </c>
    </row>
    <row r="11903" spans="1:2" x14ac:dyDescent="0.25">
      <c r="A11903">
        <f ca="1">36534.6705346219*((RANDBETWEEN(2979,3282)))</f>
        <v>109019456.87531182</v>
      </c>
      <c r="B11903">
        <v>156620599.94467524</v>
      </c>
    </row>
    <row r="11904" spans="1:2" x14ac:dyDescent="0.25">
      <c r="A11904">
        <f ca="1">31323.2885791204*((RANDBETWEEN(2979,3282)))</f>
        <v>97885276.809751183</v>
      </c>
      <c r="B11904">
        <v>186094713.07411185</v>
      </c>
    </row>
    <row r="11905" spans="1:2" x14ac:dyDescent="0.25">
      <c r="A11905">
        <f ca="1">31546.1086289644*((RANDBETWEEN(2979,3282)))</f>
        <v>102745675.80453716</v>
      </c>
      <c r="B11905">
        <v>154850961.69408381</v>
      </c>
    </row>
    <row r="11906" spans="1:2" x14ac:dyDescent="0.25">
      <c r="A11906">
        <f ca="1">32882.5145810306*((RANDBETWEEN(2979,3282)))</f>
        <v>98121423.509795442</v>
      </c>
      <c r="B11906">
        <v>147105904.6297155</v>
      </c>
    </row>
    <row r="11907" spans="1:2" x14ac:dyDescent="0.25">
      <c r="A11907">
        <f ca="1">29548.6484234825*((RANDBETWEEN(2979,3282)))</f>
        <v>91659907.409642667</v>
      </c>
      <c r="B11907">
        <v>182319190.02187961</v>
      </c>
    </row>
    <row r="11908" spans="1:2" x14ac:dyDescent="0.25">
      <c r="A11908">
        <f ca="1">38798.7929053822*((RANDBETWEEN(2979,3282)))</f>
        <v>116784366.6452003</v>
      </c>
      <c r="B11908">
        <v>147927349.9576925</v>
      </c>
    </row>
    <row r="11909" spans="1:2" x14ac:dyDescent="0.25">
      <c r="A11909">
        <f ca="1">31419.7574939639*((RANDBETWEEN(2979,3282)))</f>
        <v>99066495.378468245</v>
      </c>
      <c r="B11909">
        <v>183152707.14726764</v>
      </c>
    </row>
    <row r="11910" spans="1:2" x14ac:dyDescent="0.25">
      <c r="A11910">
        <f ca="1">33112.9743055866*((RANDBETWEEN(2979,3282)))</f>
        <v>103742948.49940285</v>
      </c>
      <c r="B11910">
        <v>143553794.87421086</v>
      </c>
    </row>
    <row r="11911" spans="1:2" x14ac:dyDescent="0.25">
      <c r="A11911">
        <f ca="1">32694.1280595026*((RANDBETWEEN(2979,3282)))</f>
        <v>98997819.764173895</v>
      </c>
      <c r="B11911">
        <v>167422734.8460632</v>
      </c>
    </row>
    <row r="11912" spans="1:2" x14ac:dyDescent="0.25">
      <c r="A11912">
        <f ca="1">40023.8664473244*((RANDBETWEEN(2979,3282)))</f>
        <v>126915680.5044657</v>
      </c>
      <c r="B11912">
        <v>148509628.24390706</v>
      </c>
    </row>
    <row r="11913" spans="1:2" x14ac:dyDescent="0.25">
      <c r="A11913">
        <f ca="1">30574.3879689899*((RANDBETWEEN(2979,3282)))</f>
        <v>98357806.09624061</v>
      </c>
      <c r="B11913">
        <v>151767470.15970668</v>
      </c>
    </row>
    <row r="11914" spans="1:2" x14ac:dyDescent="0.25">
      <c r="A11914">
        <f ca="1">31613.8647751363*((RANDBETWEEN(2979,3282)))</f>
        <v>98287505.585898608</v>
      </c>
      <c r="B11914">
        <v>180532541.1293695</v>
      </c>
    </row>
    <row r="11915" spans="1:2" x14ac:dyDescent="0.25">
      <c r="A11915">
        <f ca="1">27411.7585737067*((RANDBETWEEN(2979,3282)))</f>
        <v>86703392.368634328</v>
      </c>
      <c r="B11915">
        <v>188723794.67705137</v>
      </c>
    </row>
    <row r="11916" spans="1:2" x14ac:dyDescent="0.25">
      <c r="A11916">
        <f ca="1">32916.3826093616*((RANDBETWEEN(2979,3282)))</f>
        <v>103719521.60209848</v>
      </c>
      <c r="B11916">
        <v>153649676.30123693</v>
      </c>
    </row>
    <row r="11917" spans="1:2" x14ac:dyDescent="0.25">
      <c r="A11917">
        <f ca="1">31367.6340095015*((RANDBETWEEN(2979,3282)))</f>
        <v>94416578.368599385</v>
      </c>
      <c r="B11917">
        <v>165995230.64548019</v>
      </c>
    </row>
    <row r="11918" spans="1:2" x14ac:dyDescent="0.25">
      <c r="A11918">
        <f ca="1">32267.2356841749*((RANDBETWEEN(2979,3282)))</f>
        <v>100738309.80599411</v>
      </c>
      <c r="B11918">
        <v>192387975.5702942</v>
      </c>
    </row>
    <row r="11919" spans="1:2" x14ac:dyDescent="0.25">
      <c r="A11919">
        <f ca="1">30530.9816193139*((RANDBETWEEN(2979,3282)))</f>
        <v>93424803.755100638</v>
      </c>
      <c r="B11919">
        <v>198646674.49553794</v>
      </c>
    </row>
    <row r="11920" spans="1:2" x14ac:dyDescent="0.25">
      <c r="A11920">
        <f ca="1">32992.6231245508*((RANDBETWEEN(2979,3282)))</f>
        <v>102046183.32423565</v>
      </c>
      <c r="B11920">
        <v>148907523.56072453</v>
      </c>
    </row>
    <row r="11921" spans="1:2" x14ac:dyDescent="0.25">
      <c r="A11921">
        <f ca="1">29888.0590659897*((RANDBETWEEN(2979,3282)))</f>
        <v>92174774.159512371</v>
      </c>
      <c r="B11921">
        <v>199863925.14837107</v>
      </c>
    </row>
    <row r="11922" spans="1:2" x14ac:dyDescent="0.25">
      <c r="A11922">
        <f ca="1">32440.1018170174*((RANDBETWEEN(2979,3282)))</f>
        <v>102413401.43632397</v>
      </c>
      <c r="B11922">
        <v>154104582.97962219</v>
      </c>
    </row>
    <row r="11923" spans="1:2" x14ac:dyDescent="0.25">
      <c r="A11923">
        <f ca="1">37727.0264466578*((RANDBETWEEN(2979,3282)))</f>
        <v>115444700.92677276</v>
      </c>
      <c r="B11923">
        <v>167073588.12206745</v>
      </c>
    </row>
    <row r="11924" spans="1:2" x14ac:dyDescent="0.25">
      <c r="A11924">
        <f ca="1">32586.2343033821*((RANDBETWEEN(2979,3282)))</f>
        <v>105481640.44004785</v>
      </c>
      <c r="B11924">
        <v>186563514.13103226</v>
      </c>
    </row>
    <row r="11925" spans="1:2" x14ac:dyDescent="0.25">
      <c r="A11925">
        <f ca="1">28090.5494026934*((RANDBETWEEN(2979,3282)))</f>
        <v>84608734.800912559</v>
      </c>
      <c r="B11925">
        <v>148668821.34034887</v>
      </c>
    </row>
    <row r="11926" spans="1:2" x14ac:dyDescent="0.25">
      <c r="A11926">
        <f ca="1">34843.281652953*((RANDBETWEEN(2979,3282)))</f>
        <v>104320785.26894122</v>
      </c>
      <c r="B11926">
        <v>160986813.38528585</v>
      </c>
    </row>
    <row r="11927" spans="1:2" x14ac:dyDescent="0.25">
      <c r="A11927">
        <f ca="1">29954.8259037651*((RANDBETWEEN(2979,3282)))</f>
        <v>94118062.989629909</v>
      </c>
      <c r="B11927">
        <v>147806555.81299579</v>
      </c>
    </row>
    <row r="11928" spans="1:2" x14ac:dyDescent="0.25">
      <c r="A11928">
        <f ca="1">30718.1644191658*((RANDBETWEEN(2979,3282)))</f>
        <v>100755579.29486369</v>
      </c>
      <c r="B11928">
        <v>168917316.75323558</v>
      </c>
    </row>
    <row r="11929" spans="1:2" x14ac:dyDescent="0.25">
      <c r="A11929">
        <f ca="1">42290.4405020344*((RANDBETWEEN(2979,3282)))</f>
        <v>133933825.0699431</v>
      </c>
      <c r="B11929">
        <v>156474256.99022454</v>
      </c>
    </row>
    <row r="11930" spans="1:2" x14ac:dyDescent="0.25">
      <c r="A11930">
        <f ca="1">38640.0212145798*((RANDBETWEEN(2979,3282)))</f>
        <v>125270948.77766781</v>
      </c>
      <c r="B11930">
        <v>161059176.26192766</v>
      </c>
    </row>
    <row r="11931" spans="1:2" x14ac:dyDescent="0.25">
      <c r="A11931">
        <f ca="1">31528.6298966422*((RANDBETWEEN(2979,3282)))</f>
        <v>101616774.15687793</v>
      </c>
      <c r="B11931">
        <v>191269956.70669687</v>
      </c>
    </row>
    <row r="11932" spans="1:2" x14ac:dyDescent="0.25">
      <c r="A11932">
        <f ca="1">31619.9192518702*((RANDBETWEEN(2979,3282)))</f>
        <v>97768790.326782599</v>
      </c>
      <c r="B11932">
        <v>145090636.09818232</v>
      </c>
    </row>
    <row r="11933" spans="1:2" x14ac:dyDescent="0.25">
      <c r="A11933">
        <f ca="1">38720.3270355237*((RANDBETWEEN(2979,3282)))</f>
        <v>116006099.79842904</v>
      </c>
      <c r="B11933">
        <v>203303979.20655027</v>
      </c>
    </row>
    <row r="11934" spans="1:2" x14ac:dyDescent="0.25">
      <c r="A11934">
        <f ca="1">38118.2045507324*((RANDBETWEEN(2979,3282)))</f>
        <v>115002623.12955952</v>
      </c>
      <c r="B11934">
        <v>149232559.31562787</v>
      </c>
    </row>
    <row r="11935" spans="1:2" x14ac:dyDescent="0.25">
      <c r="A11935">
        <f ca="1">29208.0015379855*((RANDBETWEEN(2979,3282)))</f>
        <v>89288860.701621622</v>
      </c>
      <c r="B11935">
        <v>147546718.63830227</v>
      </c>
    </row>
    <row r="11936" spans="1:2" x14ac:dyDescent="0.25">
      <c r="A11936">
        <f ca="1">32231.1294249125*((RANDBETWEEN(2979,3282)))</f>
        <v>105685873.38428795</v>
      </c>
      <c r="B11936">
        <v>169105628.46298501</v>
      </c>
    </row>
    <row r="11937" spans="1:2" x14ac:dyDescent="0.25">
      <c r="A11937">
        <f ca="1">31066.3188422011*((RANDBETWEEN(2979,3282)))</f>
        <v>95653195.715137213</v>
      </c>
      <c r="B11937">
        <v>159287330.78116688</v>
      </c>
    </row>
    <row r="11938" spans="1:2" x14ac:dyDescent="0.25">
      <c r="A11938">
        <f ca="1">29787.5847104413*((RANDBETWEEN(2979,3282)))</f>
        <v>97316039.249011591</v>
      </c>
      <c r="B11938">
        <v>176992408.17705598</v>
      </c>
    </row>
    <row r="11939" spans="1:2" x14ac:dyDescent="0.25">
      <c r="A11939">
        <f ca="1">34125.5252203613*((RANDBETWEEN(2979,3282)))</f>
        <v>103843973.24555932</v>
      </c>
      <c r="B11939">
        <v>189303312.0933699</v>
      </c>
    </row>
    <row r="11940" spans="1:2" x14ac:dyDescent="0.25">
      <c r="A11940">
        <f ca="1">32451.2214106411*((RANDBETWEEN(2979,3282)))</f>
        <v>96704639.803710356</v>
      </c>
      <c r="B11940">
        <v>144196499.05945998</v>
      </c>
    </row>
    <row r="11941" spans="1:2" x14ac:dyDescent="0.25">
      <c r="A11941">
        <f ca="1">27874.3459691321*((RANDBETWEEN(2979,3282)))</f>
        <v>87748441.110827968</v>
      </c>
      <c r="B11941">
        <v>145425311.76300329</v>
      </c>
    </row>
    <row r="11942" spans="1:2" x14ac:dyDescent="0.25">
      <c r="A11942">
        <f ca="1">31209.8565253525*((RANDBETWEEN(2979,3282)))</f>
        <v>95876679.245882809</v>
      </c>
      <c r="B11942">
        <v>151912052.17925566</v>
      </c>
    </row>
    <row r="11943" spans="1:2" x14ac:dyDescent="0.25">
      <c r="A11943">
        <f ca="1">28362.3900402862*((RANDBETWEEN(2979,3282)))</f>
        <v>90164037.938069895</v>
      </c>
      <c r="B11943">
        <v>163096702.56351021</v>
      </c>
    </row>
    <row r="11944" spans="1:2" x14ac:dyDescent="0.25">
      <c r="A11944">
        <f ca="1">39378.0148815905*((RANDBETWEEN(2979,3282)))</f>
        <v>117543374.42154777</v>
      </c>
      <c r="B11944">
        <v>186607979.70048076</v>
      </c>
    </row>
    <row r="11945" spans="1:2" x14ac:dyDescent="0.25">
      <c r="A11945">
        <f ca="1">33686.4714655366*((RANDBETWEEN(2979,3282)))</f>
        <v>103619586.22799061</v>
      </c>
      <c r="B11945">
        <v>156467045.08651191</v>
      </c>
    </row>
    <row r="11946" spans="1:2" x14ac:dyDescent="0.25">
      <c r="A11946">
        <f ca="1">29332.8708271548*((RANDBETWEEN(2979,3282)))</f>
        <v>93806520.905240998</v>
      </c>
      <c r="B11946">
        <v>190384548.42853409</v>
      </c>
    </row>
    <row r="11947" spans="1:2" x14ac:dyDescent="0.25">
      <c r="A11947">
        <f ca="1">29023.6305192691*((RANDBETWEEN(2979,3282)))</f>
        <v>92121003.268159971</v>
      </c>
      <c r="B11947">
        <v>167417318.33798593</v>
      </c>
    </row>
    <row r="11948" spans="1:2" x14ac:dyDescent="0.25">
      <c r="A11948">
        <f ca="1">34173.3333885037*((RANDBETWEEN(2979,3282)))</f>
        <v>105971506.83775011</v>
      </c>
      <c r="B11948">
        <v>156479707.42570233</v>
      </c>
    </row>
    <row r="11949" spans="1:2" x14ac:dyDescent="0.25">
      <c r="A11949">
        <f ca="1">38116.3959224206*((RANDBETWEEN(2979,3282)))</f>
        <v>121400721.01290961</v>
      </c>
      <c r="B11949">
        <v>144265475.23761809</v>
      </c>
    </row>
    <row r="11950" spans="1:2" x14ac:dyDescent="0.25">
      <c r="A11950">
        <f ca="1">30381.4374393881*((RANDBETWEEN(2979,3282)))</f>
        <v>98891578.865208238</v>
      </c>
      <c r="B11950">
        <v>151187629.73639566</v>
      </c>
    </row>
    <row r="11951" spans="1:2" x14ac:dyDescent="0.25">
      <c r="A11951">
        <f ca="1">32407.2617502152*((RANDBETWEEN(2979,3282)))</f>
        <v>99814366.190662876</v>
      </c>
      <c r="B11951">
        <v>160588404.67640415</v>
      </c>
    </row>
    <row r="11952" spans="1:2" x14ac:dyDescent="0.25">
      <c r="A11952">
        <f ca="1">34358.7248763188*((RANDBETWEEN(2979,3282)))</f>
        <v>110738170.27637541</v>
      </c>
      <c r="B11952">
        <v>172921943.0053561</v>
      </c>
    </row>
    <row r="11953" spans="1:2" x14ac:dyDescent="0.25">
      <c r="A11953">
        <f ca="1">36671.8312416538*((RANDBETWEEN(2979,3282)))</f>
        <v>115846314.89238423</v>
      </c>
      <c r="B11953">
        <v>191905065.5436849</v>
      </c>
    </row>
    <row r="11954" spans="1:2" x14ac:dyDescent="0.25">
      <c r="A11954">
        <f ca="1">32177.9061901036*((RANDBETWEEN(2979,3282)))</f>
        <v>102872766.08976117</v>
      </c>
      <c r="B11954">
        <v>182360428.45389792</v>
      </c>
    </row>
    <row r="11955" spans="1:2" x14ac:dyDescent="0.25">
      <c r="A11955">
        <f ca="1">41596.0369395532*((RANDBETWEEN(2979,3282)))</f>
        <v>133689662.72372408</v>
      </c>
      <c r="B11955">
        <v>158728279.96359953</v>
      </c>
    </row>
    <row r="11956" spans="1:2" x14ac:dyDescent="0.25">
      <c r="A11956">
        <f ca="1">31545.0967016976*((RANDBETWEEN(2979,3282)))</f>
        <v>103373281.89146319</v>
      </c>
      <c r="B11956">
        <v>191613059.77390409</v>
      </c>
    </row>
    <row r="11957" spans="1:2" x14ac:dyDescent="0.25">
      <c r="A11957">
        <f ca="1">38471.2225430912*((RANDBETWEEN(2979,3282)))</f>
        <v>118606779.10035042</v>
      </c>
      <c r="B11957">
        <v>145689335.52461851</v>
      </c>
    </row>
    <row r="11958" spans="1:2" x14ac:dyDescent="0.25">
      <c r="A11958">
        <f ca="1">31391.4329433698*((RANDBETWEEN(2979,3282)))</f>
        <v>99699191.028142378</v>
      </c>
      <c r="B11958">
        <v>173375239.55516607</v>
      </c>
    </row>
    <row r="11959" spans="1:2" x14ac:dyDescent="0.25">
      <c r="A11959">
        <f ca="1">30521.9266908372*((RANDBETWEEN(2979,3282)))</f>
        <v>96418766.416354701</v>
      </c>
      <c r="B11959">
        <v>193940923.68258482</v>
      </c>
    </row>
    <row r="11960" spans="1:2" x14ac:dyDescent="0.25">
      <c r="A11960">
        <f ca="1">37310.0100543249*((RANDBETWEEN(2979,3282)))</f>
        <v>117414601.64096045</v>
      </c>
      <c r="B11960">
        <v>190316069.86781791</v>
      </c>
    </row>
    <row r="11961" spans="1:2" x14ac:dyDescent="0.25">
      <c r="A11961">
        <f ca="1">28932.8117683608*((RANDBETWEEN(2979,3282)))</f>
        <v>94841756.976686656</v>
      </c>
      <c r="B11961">
        <v>144742874.00676152</v>
      </c>
    </row>
    <row r="11962" spans="1:2" x14ac:dyDescent="0.25">
      <c r="A11962">
        <f ca="1">30034.3347677366*((RANDBETWEEN(2979,3282)))</f>
        <v>96410214.604434535</v>
      </c>
      <c r="B11962">
        <v>161546803.43605217</v>
      </c>
    </row>
    <row r="11963" spans="1:2" x14ac:dyDescent="0.25">
      <c r="A11963">
        <f ca="1">38377.9289014865*((RANDBETWEEN(2979,3282)))</f>
        <v>121581278.75990918</v>
      </c>
      <c r="B11963">
        <v>147840615.57264367</v>
      </c>
    </row>
    <row r="11964" spans="1:2" x14ac:dyDescent="0.25">
      <c r="A11964">
        <f ca="1">37367.4543110267*((RANDBETWEEN(2979,3282)))</f>
        <v>115988578.18142703</v>
      </c>
      <c r="B11964">
        <v>157212011.56722301</v>
      </c>
    </row>
    <row r="11965" spans="1:2" x14ac:dyDescent="0.25">
      <c r="A11965">
        <f ca="1">37052.7138628159*((RANDBETWEEN(2979,3282)))</f>
        <v>120347214.62642616</v>
      </c>
      <c r="B11965">
        <v>142914973.16308242</v>
      </c>
    </row>
    <row r="11966" spans="1:2" x14ac:dyDescent="0.25">
      <c r="A11966">
        <f ca="1">30485.4418654531*((RANDBETWEEN(2979,3282)))</f>
        <v>93834190.061864689</v>
      </c>
      <c r="B11966">
        <v>170096108.11728406</v>
      </c>
    </row>
    <row r="11967" spans="1:2" x14ac:dyDescent="0.25">
      <c r="A11967">
        <f ca="1">34398.6156748509*((RANDBETWEEN(2979,3282)))</f>
        <v>104640588.88289635</v>
      </c>
      <c r="B11967">
        <v>162429301.45715511</v>
      </c>
    </row>
    <row r="11968" spans="1:2" x14ac:dyDescent="0.25">
      <c r="A11968">
        <f ca="1">30511.7268104461*((RANDBETWEEN(2979,3282)))</f>
        <v>92633602.596514255</v>
      </c>
      <c r="B11968">
        <v>168540278.51705953</v>
      </c>
    </row>
    <row r="11969" spans="1:2" x14ac:dyDescent="0.25">
      <c r="A11969">
        <f ca="1">31036.537166232*((RANDBETWEEN(2979,3282)))</f>
        <v>93047538.424363509</v>
      </c>
      <c r="B11969">
        <v>148703849.54150158</v>
      </c>
    </row>
    <row r="11970" spans="1:2" x14ac:dyDescent="0.25">
      <c r="A11970">
        <f ca="1">32905.7115628789*((RANDBETWEEN(2979,3282)))</f>
        <v>105660239.8284042</v>
      </c>
      <c r="B11970">
        <v>175829542.1702362</v>
      </c>
    </row>
    <row r="11971" spans="1:2" x14ac:dyDescent="0.25">
      <c r="A11971">
        <f ca="1">31589.5746448802*((RANDBETWEEN(2979,3282)))</f>
        <v>100391668.22142918</v>
      </c>
      <c r="B11971">
        <v>162582494.3702465</v>
      </c>
    </row>
    <row r="11972" spans="1:2" x14ac:dyDescent="0.25">
      <c r="A11972">
        <f ca="1">31467.0774288644*((RANDBETWEEN(2979,3282)))</f>
        <v>94621501.828595161</v>
      </c>
      <c r="B11972">
        <v>180561568.48045611</v>
      </c>
    </row>
    <row r="11973" spans="1:2" x14ac:dyDescent="0.25">
      <c r="A11973">
        <f ca="1">32441.663503141*((RANDBETWEEN(2979,3282)))</f>
        <v>101445081.774322</v>
      </c>
      <c r="B11973">
        <v>203303250.25460359</v>
      </c>
    </row>
    <row r="11974" spans="1:2" x14ac:dyDescent="0.25">
      <c r="A11974">
        <f ca="1">27661.9171217106*((RANDBETWEEN(2979,3282)))</f>
        <v>85364676.237598777</v>
      </c>
      <c r="B11974">
        <v>182474316.37565714</v>
      </c>
    </row>
    <row r="11975" spans="1:2" x14ac:dyDescent="0.25">
      <c r="A11975">
        <f ca="1">32227.0598973245*((RANDBETWEEN(2979,3282)))</f>
        <v>100645108.05934449</v>
      </c>
      <c r="B11975">
        <v>193435136.68364713</v>
      </c>
    </row>
    <row r="11976" spans="1:2" x14ac:dyDescent="0.25">
      <c r="A11976">
        <f ca="1">32145.3382985454*((RANDBETWEEN(2979,3282)))</f>
        <v>101097088.94892535</v>
      </c>
      <c r="B11976">
        <v>151879272.93971923</v>
      </c>
    </row>
    <row r="11977" spans="1:2" x14ac:dyDescent="0.25">
      <c r="A11977">
        <f ca="1">30697.3249139059*((RANDBETWEEN(2979,3282)))</f>
        <v>95008220.608538702</v>
      </c>
      <c r="B11977">
        <v>180499716.05647871</v>
      </c>
    </row>
    <row r="11978" spans="1:2" x14ac:dyDescent="0.25">
      <c r="A11978">
        <f ca="1">31516.3103608944*((RANDBETWEEN(2979,3282)))</f>
        <v>93981637.496187165</v>
      </c>
      <c r="B11978">
        <v>145586598.01418543</v>
      </c>
    </row>
    <row r="11979" spans="1:2" x14ac:dyDescent="0.25">
      <c r="A11979">
        <f ca="1">32060.5296382401*((RANDBETWEEN(2979,3282)))</f>
        <v>104581447.67993906</v>
      </c>
      <c r="B11979">
        <v>178746890.22573596</v>
      </c>
    </row>
    <row r="11980" spans="1:2" x14ac:dyDescent="0.25">
      <c r="A11980">
        <f ca="1">32625.0356184089*((RANDBETWEEN(2979,3282)))</f>
        <v>99114858.208726287</v>
      </c>
      <c r="B11980">
        <v>178260893.50616148</v>
      </c>
    </row>
    <row r="11981" spans="1:2" x14ac:dyDescent="0.25">
      <c r="A11981">
        <f ca="1">37302.5105109738*((RANDBETWEEN(2979,3282)))</f>
        <v>115413967.52095285</v>
      </c>
      <c r="B11981">
        <v>174430876.19864318</v>
      </c>
    </row>
    <row r="11982" spans="1:2" x14ac:dyDescent="0.25">
      <c r="A11982">
        <f ca="1">30356.0948788277*((RANDBETWEEN(2979,3282)))</f>
        <v>92980718.613849252</v>
      </c>
      <c r="B11982">
        <v>193978887.15079054</v>
      </c>
    </row>
    <row r="11983" spans="1:2" x14ac:dyDescent="0.25">
      <c r="A11983">
        <f ca="1">30806.1107000086*((RANDBETWEEN(2979,3282)))</f>
        <v>92757199.317725793</v>
      </c>
      <c r="B11983">
        <v>169950044.365475</v>
      </c>
    </row>
    <row r="11984" spans="1:2" x14ac:dyDescent="0.25">
      <c r="A11984">
        <f ca="1">33515.5253235562*((RANDBETWEEN(2979,3282)))</f>
        <v>104333830.3322306</v>
      </c>
      <c r="B11984">
        <v>196334658.17162728</v>
      </c>
    </row>
    <row r="11985" spans="1:2" x14ac:dyDescent="0.25">
      <c r="A11985">
        <f ca="1">36759.3983475871*((RANDBETWEEN(2979,3282)))</f>
        <v>119909157.40982907</v>
      </c>
      <c r="B11985">
        <v>201627689.11998713</v>
      </c>
    </row>
    <row r="11986" spans="1:2" x14ac:dyDescent="0.25">
      <c r="A11986">
        <f ca="1">32474.9925928845*((RANDBETWEEN(2979,3282)))</f>
        <v>102426126.63795778</v>
      </c>
      <c r="B11986">
        <v>200121059.9032926</v>
      </c>
    </row>
    <row r="11987" spans="1:2" x14ac:dyDescent="0.25">
      <c r="A11987">
        <f ca="1">32752.2894708084*((RANDBETWEEN(2979,3282)))</f>
        <v>102023381.70156829</v>
      </c>
      <c r="B11987">
        <v>149264857.77002233</v>
      </c>
    </row>
    <row r="11988" spans="1:2" x14ac:dyDescent="0.25">
      <c r="A11988">
        <f ca="1">30841.792391546*((RANDBETWEEN(2979,3282)))</f>
        <v>93820732.455082938</v>
      </c>
      <c r="B11988">
        <v>171716108.12398964</v>
      </c>
    </row>
    <row r="11989" spans="1:2" x14ac:dyDescent="0.25">
      <c r="A11989">
        <f ca="1">41931.5202423154*((RANDBETWEEN(2979,3282)))</f>
        <v>128855561.70463513</v>
      </c>
      <c r="B11989">
        <v>179070499.02146214</v>
      </c>
    </row>
    <row r="11990" spans="1:2" x14ac:dyDescent="0.25">
      <c r="A11990">
        <f ca="1">32310.6956147402*((RANDBETWEEN(2979,3282)))</f>
        <v>99290767.624096632</v>
      </c>
      <c r="B11990">
        <v>188019604.58912739</v>
      </c>
    </row>
    <row r="11991" spans="1:2" x14ac:dyDescent="0.25">
      <c r="A11991">
        <f ca="1">31639.8702975445*((RANDBETWEEN(2979,3282)))</f>
        <v>96185205.704535127</v>
      </c>
      <c r="B11991">
        <v>147918005.66026723</v>
      </c>
    </row>
    <row r="11992" spans="1:2" x14ac:dyDescent="0.25">
      <c r="A11992">
        <f ca="1">28489.8295507524*((RANDBETWEEN(2979,3282)))</f>
        <v>87463776.720809892</v>
      </c>
      <c r="B11992">
        <v>143265328.96207649</v>
      </c>
    </row>
    <row r="11993" spans="1:2" x14ac:dyDescent="0.25">
      <c r="A11993">
        <f ca="1">30551.9229835844*((RANDBETWEEN(2979,3282)))</f>
        <v>91747424.719703913</v>
      </c>
      <c r="B11993">
        <v>177791275.57012519</v>
      </c>
    </row>
    <row r="11994" spans="1:2" x14ac:dyDescent="0.25">
      <c r="A11994">
        <f ca="1">29430.2126170148*((RANDBETWEEN(2979,3282)))</f>
        <v>90733345.498256698</v>
      </c>
      <c r="B11994">
        <v>149760452.05368182</v>
      </c>
    </row>
    <row r="11995" spans="1:2" x14ac:dyDescent="0.25">
      <c r="A11995">
        <f ca="1">31649.7680977985*((RANDBETWEEN(2979,3282)))</f>
        <v>95867147.568231806</v>
      </c>
      <c r="B11995">
        <v>165999108.54472139</v>
      </c>
    </row>
    <row r="11996" spans="1:2" x14ac:dyDescent="0.25">
      <c r="A11996">
        <f ca="1">31576.4984170578*((RANDBETWEEN(2979,3282)))</f>
        <v>96434626.165694565</v>
      </c>
      <c r="B11996">
        <v>169968457.91430882</v>
      </c>
    </row>
    <row r="11997" spans="1:2" x14ac:dyDescent="0.25">
      <c r="A11997">
        <f ca="1">32142.5750347287*((RANDBETWEEN(2979,3282)))</f>
        <v>97456287.505297437</v>
      </c>
      <c r="B11997">
        <v>145305920.0206174</v>
      </c>
    </row>
    <row r="11998" spans="1:2" x14ac:dyDescent="0.25">
      <c r="A11998">
        <f ca="1">31804.8418676007*((RANDBETWEEN(2979,3282)))</f>
        <v>101521055.24138157</v>
      </c>
      <c r="B11998">
        <v>148224868.62425694</v>
      </c>
    </row>
    <row r="11999" spans="1:2" x14ac:dyDescent="0.25">
      <c r="A11999">
        <f ca="1">30789.1487743347*((RANDBETWEEN(2979,3282)))</f>
        <v>92305868.025455281</v>
      </c>
      <c r="B11999">
        <v>174873709.27688175</v>
      </c>
    </row>
    <row r="12000" spans="1:2" x14ac:dyDescent="0.25">
      <c r="A12000">
        <f ca="1">32538.5221331345*((RANDBETWEEN(2979,3282)))</f>
        <v>104546271.61376116</v>
      </c>
      <c r="B12000">
        <v>143796511.39575142</v>
      </c>
    </row>
    <row r="12001" spans="1:2" x14ac:dyDescent="0.25">
      <c r="A12001">
        <f ca="1">30856.3410953506*((RANDBETWEEN(2979,3282)))</f>
        <v>95716370.07777752</v>
      </c>
      <c r="B12001">
        <v>154910805.69294709</v>
      </c>
    </row>
    <row r="12002" spans="1:2" x14ac:dyDescent="0.25">
      <c r="A12002">
        <f ca="1">39638.0691842462*((RANDBETWEEN(2979,3282)))</f>
        <v>123551861.64729553</v>
      </c>
      <c r="B12002">
        <v>150560774.0279364</v>
      </c>
    </row>
    <row r="12003" spans="1:2" x14ac:dyDescent="0.25">
      <c r="A12003">
        <f ca="1">33269.4707636628*((RANDBETWEEN(2979,3282)))</f>
        <v>103734209.84110062</v>
      </c>
      <c r="B12003">
        <v>189539170.80993816</v>
      </c>
    </row>
    <row r="12004" spans="1:2" x14ac:dyDescent="0.25">
      <c r="A12004">
        <f ca="1">31810.3976370462*((RANDBETWEEN(2979,3282)))</f>
        <v>101284306.07635498</v>
      </c>
      <c r="B12004">
        <v>158142788.8709166</v>
      </c>
    </row>
    <row r="12005" spans="1:2" x14ac:dyDescent="0.25">
      <c r="A12005">
        <f ca="1">35950.6217860395*((RANDBETWEEN(2979,3282)))</f>
        <v>111770483.13279669</v>
      </c>
      <c r="B12005">
        <v>143074989.99635908</v>
      </c>
    </row>
    <row r="12006" spans="1:2" x14ac:dyDescent="0.25">
      <c r="A12006">
        <f ca="1">30188.1785563934*((RANDBETWEEN(2979,3282)))</f>
        <v>91500369.20442833</v>
      </c>
      <c r="B12006">
        <v>160749101.34715986</v>
      </c>
    </row>
    <row r="12007" spans="1:2" x14ac:dyDescent="0.25">
      <c r="A12007">
        <f ca="1">29510.2257056207*((RANDBETWEEN(2979,3282)))</f>
        <v>91157087.204662189</v>
      </c>
      <c r="B12007">
        <v>149881955.54197645</v>
      </c>
    </row>
    <row r="12008" spans="1:2" x14ac:dyDescent="0.25">
      <c r="A12008">
        <f ca="1">39625.3167221442*((RANDBETWEEN(2979,3282)))</f>
        <v>122085600.82092623</v>
      </c>
      <c r="B12008">
        <v>174465005.39550662</v>
      </c>
    </row>
    <row r="12009" spans="1:2" x14ac:dyDescent="0.25">
      <c r="A12009">
        <f ca="1">35912.1693134075*((RANDBETWEEN(2979,3282)))</f>
        <v>107808332.27884936</v>
      </c>
      <c r="B12009">
        <v>145227761.97655341</v>
      </c>
    </row>
    <row r="12010" spans="1:2" x14ac:dyDescent="0.25">
      <c r="A12010">
        <f ca="1">28827.45630508*((RANDBETWEEN(2979,3282)))</f>
        <v>92795581.846052662</v>
      </c>
      <c r="B12010">
        <v>154791942.8442651</v>
      </c>
    </row>
    <row r="12011" spans="1:2" x14ac:dyDescent="0.25">
      <c r="A12011">
        <f ca="1">31324.4159846787*((RANDBETWEEN(2979,3282)))</f>
        <v>102054947.27808307</v>
      </c>
      <c r="B12011">
        <v>150738872.81045035</v>
      </c>
    </row>
    <row r="12012" spans="1:2" x14ac:dyDescent="0.25">
      <c r="A12012">
        <f ca="1">34683.2393244676*((RANDBETWEEN(2979,3282)))</f>
        <v>108940054.71815287</v>
      </c>
      <c r="B12012">
        <v>153180858.28144836</v>
      </c>
    </row>
    <row r="12013" spans="1:2" x14ac:dyDescent="0.25">
      <c r="A12013">
        <f ca="1">30054.8532832198*((RANDBETWEEN(2979,3282)))</f>
        <v>96115420.799737066</v>
      </c>
      <c r="B12013">
        <v>180744180.93475837</v>
      </c>
    </row>
    <row r="12014" spans="1:2" x14ac:dyDescent="0.25">
      <c r="A12014">
        <f ca="1">35354.3365962115*((RANDBETWEEN(2979,3282)))</f>
        <v>115785452.3525928</v>
      </c>
      <c r="B12014">
        <v>147550744.74890703</v>
      </c>
    </row>
    <row r="12015" spans="1:2" x14ac:dyDescent="0.25">
      <c r="A12015">
        <f ca="1">30054.7372657784*((RANDBETWEEN(2979,3282)))</f>
        <v>94251656.065481007</v>
      </c>
      <c r="B12015">
        <v>189687061.67871282</v>
      </c>
    </row>
    <row r="12016" spans="1:2" x14ac:dyDescent="0.25">
      <c r="A12016">
        <f ca="1">30403.4622085115*((RANDBETWEEN(2979,3282)))</f>
        <v>98324796.782326281</v>
      </c>
      <c r="B12016">
        <v>190901346.26289946</v>
      </c>
    </row>
    <row r="12017" spans="1:2" x14ac:dyDescent="0.25">
      <c r="A12017">
        <f ca="1">35406.4294412254*((RANDBETWEEN(2979,3282)))</f>
        <v>110892937.00991784</v>
      </c>
      <c r="B12017">
        <v>203522170.42299283</v>
      </c>
    </row>
    <row r="12018" spans="1:2" x14ac:dyDescent="0.25">
      <c r="A12018">
        <f ca="1">30628.8082598855*((RANDBETWEEN(2979,3282)))</f>
        <v>91335106.230978549</v>
      </c>
      <c r="B12018">
        <v>149390090.96331769</v>
      </c>
    </row>
    <row r="12019" spans="1:2" x14ac:dyDescent="0.25">
      <c r="A12019">
        <f ca="1">34870.3076453836*((RANDBETWEEN(2979,3282)))</f>
        <v>111933687.54168144</v>
      </c>
      <c r="B12019">
        <v>157577104.21757889</v>
      </c>
    </row>
    <row r="12020" spans="1:2" x14ac:dyDescent="0.25">
      <c r="A12020">
        <f ca="1">38193.7199336621*((RANDBETWEEN(2979,3282)))</f>
        <v>117942207.15514861</v>
      </c>
      <c r="B12020">
        <v>163101980.45921749</v>
      </c>
    </row>
    <row r="12021" spans="1:2" x14ac:dyDescent="0.25">
      <c r="A12021">
        <f ca="1">38261.7421126893*((RANDBETWEEN(2979,3282)))</f>
        <v>124541970.57680352</v>
      </c>
      <c r="B12021">
        <v>176501770.70860526</v>
      </c>
    </row>
    <row r="12022" spans="1:2" x14ac:dyDescent="0.25">
      <c r="A12022">
        <f ca="1">31729.4586477358*((RANDBETWEEN(2979,3282)))</f>
        <v>95093187.567264318</v>
      </c>
      <c r="B12022">
        <v>145575178.06518245</v>
      </c>
    </row>
    <row r="12023" spans="1:2" x14ac:dyDescent="0.25">
      <c r="A12023">
        <f ca="1">38481.5793492901*((RANDBETWEEN(2979,3282)))</f>
        <v>116252851.21420527</v>
      </c>
      <c r="B12023">
        <v>169166536.81520954</v>
      </c>
    </row>
    <row r="12024" spans="1:2" x14ac:dyDescent="0.25">
      <c r="A12024">
        <f ca="1">32927.8935629998*((RANDBETWEEN(2979,3282)))</f>
        <v>103821648.40413842</v>
      </c>
      <c r="B12024">
        <v>143998286.52080381</v>
      </c>
    </row>
    <row r="12025" spans="1:2" x14ac:dyDescent="0.25">
      <c r="A12025">
        <f ca="1">30707.6521767925*((RANDBETWEEN(2979,3282)))</f>
        <v>99093593.574509472</v>
      </c>
      <c r="B12025">
        <v>149402803.73530811</v>
      </c>
    </row>
    <row r="12026" spans="1:2" x14ac:dyDescent="0.25">
      <c r="A12026">
        <f ca="1">29929.5707362178*((RANDBETWEEN(2979,3282)))</f>
        <v>95774626.355897024</v>
      </c>
      <c r="B12026">
        <v>167256658.88371933</v>
      </c>
    </row>
    <row r="12027" spans="1:2" x14ac:dyDescent="0.25">
      <c r="A12027">
        <f ca="1">29778.6803643479*((RANDBETWEEN(2979,3282)))</f>
        <v>92403245.170571581</v>
      </c>
      <c r="B12027">
        <v>163509120.41502184</v>
      </c>
    </row>
    <row r="12028" spans="1:2" x14ac:dyDescent="0.25">
      <c r="A12028">
        <f ca="1">38917.757407868*((RANDBETWEEN(2979,3282)))</f>
        <v>121073143.29587723</v>
      </c>
      <c r="B12028">
        <v>143373236.40152958</v>
      </c>
    </row>
    <row r="12029" spans="1:2" x14ac:dyDescent="0.25">
      <c r="A12029">
        <f ca="1">31766.5166594014*((RANDBETWEEN(2979,3282)))</f>
        <v>98222069.510869235</v>
      </c>
      <c r="B12029">
        <v>192710336.78167629</v>
      </c>
    </row>
    <row r="12030" spans="1:2" x14ac:dyDescent="0.25">
      <c r="A12030">
        <f ca="1">31435.524440522*((RANDBETWEEN(2979,3282)))</f>
        <v>97387254.716737047</v>
      </c>
      <c r="B12030">
        <v>190485437.04058111</v>
      </c>
    </row>
    <row r="12031" spans="1:2" x14ac:dyDescent="0.25">
      <c r="A12031">
        <f ca="1">33596.7724046358*((RANDBETWEEN(2979,3282)))</f>
        <v>104821929.90246378</v>
      </c>
      <c r="B12031">
        <v>146421220.76588365</v>
      </c>
    </row>
    <row r="12032" spans="1:2" x14ac:dyDescent="0.25">
      <c r="A12032">
        <f ca="1">34058.690232974*((RANDBETWEEN(2979,3282)))</f>
        <v>109498689.0990113</v>
      </c>
      <c r="B12032">
        <v>162105868.3306064</v>
      </c>
    </row>
    <row r="12033" spans="1:2" x14ac:dyDescent="0.25">
      <c r="A12033">
        <f ca="1">33254.0262788725*((RANDBETWEEN(2979,3282)))</f>
        <v>103752561.99008211</v>
      </c>
      <c r="B12033">
        <v>194074830.95981941</v>
      </c>
    </row>
    <row r="12034" spans="1:2" x14ac:dyDescent="0.25">
      <c r="A12034">
        <f ca="1">33502.4888170379*((RANDBETWEEN(2979,3282)))</f>
        <v>106973446.79280189</v>
      </c>
      <c r="B12034">
        <v>203092989.60049921</v>
      </c>
    </row>
    <row r="12035" spans="1:2" x14ac:dyDescent="0.25">
      <c r="A12035">
        <f ca="1">33701.7354010565*((RANDBETWEEN(2979,3282)))</f>
        <v>100835592.3199611</v>
      </c>
      <c r="B12035">
        <v>184140821.41105077</v>
      </c>
    </row>
    <row r="12036" spans="1:2" x14ac:dyDescent="0.25">
      <c r="A12036">
        <f ca="1">31483.8954798154*((RANDBETWEEN(2979,3282)))</f>
        <v>97977882.733185634</v>
      </c>
      <c r="B12036">
        <v>172863957.61960244</v>
      </c>
    </row>
    <row r="12037" spans="1:2" x14ac:dyDescent="0.25">
      <c r="A12037">
        <f ca="1">31223.687791727*((RANDBETWEEN(2979,3282)))</f>
        <v>94576550.321141198</v>
      </c>
      <c r="B12037">
        <v>190161208.39948294</v>
      </c>
    </row>
    <row r="12038" spans="1:2" x14ac:dyDescent="0.25">
      <c r="A12038">
        <f ca="1">33603.2228598867*((RANDBETWEEN(2979,3282)))</f>
        <v>102489829.72265439</v>
      </c>
      <c r="B12038">
        <v>174453407.34643909</v>
      </c>
    </row>
    <row r="12039" spans="1:2" x14ac:dyDescent="0.25">
      <c r="A12039">
        <f ca="1">31429.5630907399*((RANDBETWEEN(2979,3282)))</f>
        <v>99600285.43455486</v>
      </c>
      <c r="B12039">
        <v>150498168.84294701</v>
      </c>
    </row>
    <row r="12040" spans="1:2" x14ac:dyDescent="0.25">
      <c r="A12040">
        <f ca="1">40427.2771545676*((RANDBETWEEN(2979,3282)))</f>
        <v>130216259.71486215</v>
      </c>
      <c r="B12040">
        <v>159579318.78022075</v>
      </c>
    </row>
    <row r="12041" spans="1:2" x14ac:dyDescent="0.25">
      <c r="A12041">
        <f ca="1">32639.3251030865*((RANDBETWEEN(2979,3282)))</f>
        <v>102944431.37513477</v>
      </c>
      <c r="B12041">
        <v>184350979.09245968</v>
      </c>
    </row>
    <row r="12042" spans="1:2" x14ac:dyDescent="0.25">
      <c r="A12042">
        <f ca="1">30991.5404772123*((RANDBETWEEN(2979,3282)))</f>
        <v>98181200.231808424</v>
      </c>
      <c r="B12042">
        <v>149192319.97729939</v>
      </c>
    </row>
    <row r="12043" spans="1:2" x14ac:dyDescent="0.25">
      <c r="A12043">
        <f ca="1">36298.2891597186*((RANDBETWEEN(2979,3282)))</f>
        <v>114884085.1905093</v>
      </c>
      <c r="B12043">
        <v>143906395.68929079</v>
      </c>
    </row>
    <row r="12044" spans="1:2" x14ac:dyDescent="0.25">
      <c r="A12044">
        <f ca="1">32227.0877505406*((RANDBETWEEN(2979,3282)))</f>
        <v>96068948.584361553</v>
      </c>
      <c r="B12044">
        <v>146281616.93243283</v>
      </c>
    </row>
    <row r="12045" spans="1:2" x14ac:dyDescent="0.25">
      <c r="A12045">
        <f ca="1">34637.702590847*((RANDBETWEEN(2979,3282)))</f>
        <v>113334562.87725125</v>
      </c>
      <c r="B12045">
        <v>173970657.37797248</v>
      </c>
    </row>
    <row r="12046" spans="1:2" x14ac:dyDescent="0.25">
      <c r="A12046">
        <f ca="1">35669.6154585765*((RANDBETWEEN(2979,3282)))</f>
        <v>107579560.22306673</v>
      </c>
      <c r="B12046">
        <v>187280119.97383374</v>
      </c>
    </row>
    <row r="12047" spans="1:2" x14ac:dyDescent="0.25">
      <c r="A12047">
        <f ca="1">32308.2031878699*((RANDBETWEEN(2979,3282)))</f>
        <v>100575436.52383886</v>
      </c>
      <c r="B12047">
        <v>196151861.65695634</v>
      </c>
    </row>
    <row r="12048" spans="1:2" x14ac:dyDescent="0.25">
      <c r="A12048">
        <f ca="1">32931.8561986178*((RANDBETWEEN(2979,3282)))</f>
        <v>107259055.63889812</v>
      </c>
      <c r="B12048">
        <v>180524123.03120399</v>
      </c>
    </row>
    <row r="12049" spans="1:2" x14ac:dyDescent="0.25">
      <c r="A12049">
        <f ca="1">38646.8854669819*((RANDBETWEEN(2979,3282)))</f>
        <v>118143528.87256373</v>
      </c>
      <c r="B12049">
        <v>174535959.14196655</v>
      </c>
    </row>
    <row r="12050" spans="1:2" x14ac:dyDescent="0.25">
      <c r="A12050">
        <f ca="1">29768.8620157745*((RANDBETWEEN(2979,3282)))</f>
        <v>95379433.898541495</v>
      </c>
      <c r="B12050">
        <v>177221295.66712585</v>
      </c>
    </row>
    <row r="12051" spans="1:2" x14ac:dyDescent="0.25">
      <c r="A12051">
        <f ca="1">31815.38130594*((RANDBETWEEN(2979,3282)))</f>
        <v>98818574.336249694</v>
      </c>
      <c r="B12051">
        <v>151856639.38526738</v>
      </c>
    </row>
    <row r="12052" spans="1:2" x14ac:dyDescent="0.25">
      <c r="A12052">
        <f ca="1">36908.7922304545*((RANDBETWEEN(2979,3282)))</f>
        <v>121097747.30812126</v>
      </c>
      <c r="B12052">
        <v>144550379.06437868</v>
      </c>
    </row>
    <row r="12053" spans="1:2" x14ac:dyDescent="0.25">
      <c r="A12053">
        <f ca="1">35148.2519452647*((RANDBETWEEN(2979,3282)))</f>
        <v>112579850.98068269</v>
      </c>
      <c r="B12053">
        <v>143195436.54438537</v>
      </c>
    </row>
    <row r="12054" spans="1:2" x14ac:dyDescent="0.25">
      <c r="A12054">
        <f ca="1">31442.7419345086*((RANDBETWEEN(2979,3282)))</f>
        <v>94925637.900281519</v>
      </c>
      <c r="B12054">
        <v>145616518.5322549</v>
      </c>
    </row>
    <row r="12055" spans="1:2" x14ac:dyDescent="0.25">
      <c r="A12055">
        <f ca="1">29071.5453143388*((RANDBETWEEN(2979,3282)))</f>
        <v>94889523.906001955</v>
      </c>
      <c r="B12055">
        <v>175759425.8586413</v>
      </c>
    </row>
    <row r="12056" spans="1:2" x14ac:dyDescent="0.25">
      <c r="A12056">
        <f ca="1">34602.2960616406*((RANDBETWEEN(2979,3282)))</f>
        <v>105467798.39588061</v>
      </c>
      <c r="B12056">
        <v>177700194.48908728</v>
      </c>
    </row>
    <row r="12057" spans="1:2" x14ac:dyDescent="0.25">
      <c r="A12057">
        <f ca="1">34567.8225800729*((RANDBETWEEN(2979,3282)))</f>
        <v>110167650.56269249</v>
      </c>
      <c r="B12057">
        <v>157624888.50782585</v>
      </c>
    </row>
    <row r="12058" spans="1:2" x14ac:dyDescent="0.25">
      <c r="A12058">
        <f ca="1">32878.2173579093*((RANDBETWEEN(2979,3282)))</f>
        <v>104651365.85022523</v>
      </c>
      <c r="B12058">
        <v>147796123.75059703</v>
      </c>
    </row>
    <row r="12059" spans="1:2" x14ac:dyDescent="0.25">
      <c r="A12059">
        <f ca="1">30918.6632948613*((RANDBETWEEN(2979,3282)))</f>
        <v>98692373.237197265</v>
      </c>
      <c r="B12059">
        <v>147561097.86641246</v>
      </c>
    </row>
    <row r="12060" spans="1:2" x14ac:dyDescent="0.25">
      <c r="A12060">
        <f ca="1">33237.2058344599*((RANDBETWEEN(2979,3282)))</f>
        <v>102536779.99930875</v>
      </c>
      <c r="B12060">
        <v>202123328.02430469</v>
      </c>
    </row>
    <row r="12061" spans="1:2" x14ac:dyDescent="0.25">
      <c r="A12061">
        <f ca="1">31580.323059703*((RANDBETWEEN(2979,3282)))</f>
        <v>102541308.97485578</v>
      </c>
      <c r="B12061">
        <v>202482757.1436573</v>
      </c>
    </row>
    <row r="12062" spans="1:2" x14ac:dyDescent="0.25">
      <c r="A12062">
        <f ca="1">28474.1073648872*((RANDBETWEEN(2979,3282)))</f>
        <v>85422322.094661608</v>
      </c>
      <c r="B12062">
        <v>169738359.95452997</v>
      </c>
    </row>
    <row r="12063" spans="1:2" x14ac:dyDescent="0.25">
      <c r="A12063">
        <f ca="1">37111.1795762253*((RANDBETWEEN(2979,3282)))</f>
        <v>112780874.73214883</v>
      </c>
      <c r="B12063">
        <v>175008155.34756321</v>
      </c>
    </row>
    <row r="12064" spans="1:2" x14ac:dyDescent="0.25">
      <c r="A12064">
        <f ca="1">33824.6344578463*((RANDBETWEEN(2979,3282)))</f>
        <v>102759239.48293711</v>
      </c>
      <c r="B12064">
        <v>180655114.65524483</v>
      </c>
    </row>
    <row r="12065" spans="1:2" x14ac:dyDescent="0.25">
      <c r="A12065">
        <f ca="1">38799.6658234235*((RANDBETWEEN(2979,3282)))</f>
        <v>125051322.94889383</v>
      </c>
      <c r="B12065">
        <v>146622687.75749362</v>
      </c>
    </row>
    <row r="12066" spans="1:2" x14ac:dyDescent="0.25">
      <c r="A12066">
        <f ca="1">31096.4913508223*((RANDBETWEEN(2979,3282)))</f>
        <v>96554605.644303158</v>
      </c>
      <c r="B12066">
        <v>181416836.32244903</v>
      </c>
    </row>
    <row r="12067" spans="1:2" x14ac:dyDescent="0.25">
      <c r="A12067">
        <f ca="1">30433.0448872926*((RANDBETWEEN(2979,3282)))</f>
        <v>98116136.716631383</v>
      </c>
      <c r="B12067">
        <v>147213478.9012697</v>
      </c>
    </row>
    <row r="12068" spans="1:2" x14ac:dyDescent="0.25">
      <c r="A12068">
        <f ca="1">30945.0271079801*((RANDBETWEEN(2979,3282)))</f>
        <v>96579429.604005858</v>
      </c>
      <c r="B12068">
        <v>203338740.2583178</v>
      </c>
    </row>
    <row r="12069" spans="1:2" x14ac:dyDescent="0.25">
      <c r="A12069">
        <f ca="1">31923.029272689*((RANDBETWEEN(2979,3282)))</f>
        <v>98386776.21842742</v>
      </c>
      <c r="B12069">
        <v>171189430.84896305</v>
      </c>
    </row>
    <row r="12070" spans="1:2" x14ac:dyDescent="0.25">
      <c r="A12070">
        <f ca="1">30837.6843263731*((RANDBETWEEN(2979,3282)))</f>
        <v>97231218.681054488</v>
      </c>
      <c r="B12070">
        <v>162277948.19939056</v>
      </c>
    </row>
    <row r="12071" spans="1:2" x14ac:dyDescent="0.25">
      <c r="A12071">
        <f ca="1">30212.1245212059*((RANDBETWEEN(2979,3282)))</f>
        <v>92630373.782017261</v>
      </c>
      <c r="B12071">
        <v>152702851.40357471</v>
      </c>
    </row>
    <row r="12072" spans="1:2" x14ac:dyDescent="0.25">
      <c r="A12072">
        <f ca="1">29052.6822034607*((RANDBETWEEN(2979,3282)))</f>
        <v>88552575.356148109</v>
      </c>
      <c r="B12072">
        <v>179365626.77843964</v>
      </c>
    </row>
    <row r="12073" spans="1:2" x14ac:dyDescent="0.25">
      <c r="A12073">
        <f ca="1">34721.6506348941*((RANDBETWEEN(2979,3282)))</f>
        <v>112880086.21404076</v>
      </c>
      <c r="B12073">
        <v>156545622.75046325</v>
      </c>
    </row>
    <row r="12074" spans="1:2" x14ac:dyDescent="0.25">
      <c r="A12074">
        <f ca="1">30585.6942727024*((RANDBETWEEN(2979,3282)))</f>
        <v>95702637.379285902</v>
      </c>
      <c r="B12074">
        <v>149980386.44789076</v>
      </c>
    </row>
    <row r="12075" spans="1:2" x14ac:dyDescent="0.25">
      <c r="A12075">
        <f ca="1">31497.0329277906*((RANDBETWEEN(2979,3282)))</f>
        <v>102837812.50923616</v>
      </c>
      <c r="B12075">
        <v>174585952.00196168</v>
      </c>
    </row>
    <row r="12076" spans="1:2" x14ac:dyDescent="0.25">
      <c r="A12076">
        <f ca="1">31788.9378739222*((RANDBETWEEN(2979,3282)))</f>
        <v>97433094.583571643</v>
      </c>
      <c r="B12076">
        <v>164249222.51322758</v>
      </c>
    </row>
    <row r="12077" spans="1:2" x14ac:dyDescent="0.25">
      <c r="A12077">
        <f ca="1">29882.8660220644*((RANDBETWEEN(2979,3282)))</f>
        <v>92039227.347958341</v>
      </c>
      <c r="B12077">
        <v>147226562.18628764</v>
      </c>
    </row>
    <row r="12078" spans="1:2" x14ac:dyDescent="0.25">
      <c r="A12078">
        <f ca="1">31948.9512901278*((RANDBETWEEN(2979,3282)))</f>
        <v>104536968.62129816</v>
      </c>
      <c r="B12078">
        <v>159218322.02869645</v>
      </c>
    </row>
    <row r="12079" spans="1:2" x14ac:dyDescent="0.25">
      <c r="A12079">
        <f ca="1">30387.4294305602*((RANDBETWEEN(2979,3282)))</f>
        <v>98029847.34298721</v>
      </c>
      <c r="B12079">
        <v>158500642.21954042</v>
      </c>
    </row>
    <row r="12080" spans="1:2" x14ac:dyDescent="0.25">
      <c r="A12080">
        <f ca="1">32762.9991432929*((RANDBETWEEN(2979,3282)))</f>
        <v>99009783.411031172</v>
      </c>
      <c r="B12080">
        <v>170015066.10523269</v>
      </c>
    </row>
    <row r="12081" spans="1:2" x14ac:dyDescent="0.25">
      <c r="A12081">
        <f ca="1">30830.5218796048*((RANDBETWEEN(2979,3282)))</f>
        <v>98596008.970976189</v>
      </c>
      <c r="B12081">
        <v>166267316.83273125</v>
      </c>
    </row>
    <row r="12082" spans="1:2" x14ac:dyDescent="0.25">
      <c r="A12082">
        <f ca="1">30792.5227237902*((RANDBETWEEN(2979,3282)))</f>
        <v>100845511.9204129</v>
      </c>
      <c r="B12082">
        <v>159431096.15482116</v>
      </c>
    </row>
    <row r="12083" spans="1:2" x14ac:dyDescent="0.25">
      <c r="A12083">
        <f ca="1">37659.3823798662*((RANDBETWEEN(2979,3282)))</f>
        <v>122392992.73456526</v>
      </c>
      <c r="B12083">
        <v>174973885.20183757</v>
      </c>
    </row>
    <row r="12084" spans="1:2" x14ac:dyDescent="0.25">
      <c r="A12084">
        <f ca="1">30441.3646888696*((RANDBETWEEN(2979,3282)))</f>
        <v>91232769.972542226</v>
      </c>
      <c r="B12084">
        <v>187750918.95600918</v>
      </c>
    </row>
    <row r="12085" spans="1:2" x14ac:dyDescent="0.25">
      <c r="A12085">
        <f ca="1">32636.2249109168*((RANDBETWEEN(2979,3282)))</f>
        <v>97908674.732750401</v>
      </c>
      <c r="B12085">
        <v>148258176.33232087</v>
      </c>
    </row>
    <row r="12086" spans="1:2" x14ac:dyDescent="0.25">
      <c r="A12086">
        <f ca="1">31827.162932653*((RANDBETWEEN(2979,3282)))</f>
        <v>99746328.630934402</v>
      </c>
      <c r="B12086">
        <v>148733710.23151836</v>
      </c>
    </row>
    <row r="12087" spans="1:2" x14ac:dyDescent="0.25">
      <c r="A12087">
        <f ca="1">30587.0678735044*((RANDBETWEEN(2979,3282)))</f>
        <v>95370477.629586771</v>
      </c>
      <c r="B12087">
        <v>148951584.65030444</v>
      </c>
    </row>
    <row r="12088" spans="1:2" x14ac:dyDescent="0.25">
      <c r="A12088">
        <f ca="1">30032.3078546134*((RANDBETWEEN(2979,3282)))</f>
        <v>93160218.965010926</v>
      </c>
      <c r="B12088">
        <v>150436520.89424175</v>
      </c>
    </row>
    <row r="12089" spans="1:2" x14ac:dyDescent="0.25">
      <c r="A12089">
        <f ca="1">39034.5653507095*((RANDBETWEEN(2979,3282)))</f>
        <v>117298868.87888211</v>
      </c>
      <c r="B12089">
        <v>184484308.65714449</v>
      </c>
    </row>
    <row r="12090" spans="1:2" x14ac:dyDescent="0.25">
      <c r="A12090">
        <f ca="1">39902.0612778458*((RANDBETWEEN(2979,3282)))</f>
        <v>121980601.32637455</v>
      </c>
      <c r="B12090">
        <v>158700263.26183474</v>
      </c>
    </row>
    <row r="12091" spans="1:2" x14ac:dyDescent="0.25">
      <c r="A12091">
        <f ca="1">33655.4313591973*((RANDBETWEEN(2979,3282)))</f>
        <v>107731035.78079061</v>
      </c>
      <c r="B12091">
        <v>203208045.23470721</v>
      </c>
    </row>
    <row r="12092" spans="1:2" x14ac:dyDescent="0.25">
      <c r="A12092">
        <f ca="1">31978.0503071021*((RANDBETWEEN(2979,3282)))</f>
        <v>101146573.12136379</v>
      </c>
      <c r="B12092">
        <v>154637006.09754258</v>
      </c>
    </row>
    <row r="12093" spans="1:2" x14ac:dyDescent="0.25">
      <c r="A12093">
        <f ca="1">37670.9573439644*((RANDBETWEEN(2979,3282)))</f>
        <v>114595052.24033958</v>
      </c>
      <c r="B12093">
        <v>144930695.39624292</v>
      </c>
    </row>
    <row r="12094" spans="1:2" x14ac:dyDescent="0.25">
      <c r="A12094">
        <f ca="1">32544.2304294016*((RANDBETWEEN(2979,3282)))</f>
        <v>98934460.50538078</v>
      </c>
      <c r="B12094">
        <v>143283973.93463963</v>
      </c>
    </row>
    <row r="12095" spans="1:2" x14ac:dyDescent="0.25">
      <c r="A12095">
        <f ca="1">36070.401462176*((RANDBETWEEN(2979,3282)))</f>
        <v>110591850.88303164</v>
      </c>
      <c r="B12095">
        <v>146804029.83274567</v>
      </c>
    </row>
    <row r="12096" spans="1:2" x14ac:dyDescent="0.25">
      <c r="A12096">
        <f ca="1">40980.9776182327*((RANDBETWEEN(2979,3282)))</f>
        <v>127409859.41508541</v>
      </c>
      <c r="B12096">
        <v>144171956.20848358</v>
      </c>
    </row>
    <row r="12097" spans="1:2" x14ac:dyDescent="0.25">
      <c r="A12097">
        <f ca="1">39008.6528967837*((RANDBETWEEN(2979,3282)))</f>
        <v>123423377.7654237</v>
      </c>
      <c r="B12097">
        <v>199469968.52863434</v>
      </c>
    </row>
    <row r="12098" spans="1:2" x14ac:dyDescent="0.25">
      <c r="A12098">
        <f ca="1">34641.486718563*((RANDBETWEEN(2979,3282)))</f>
        <v>109813512.89784482</v>
      </c>
      <c r="B12098">
        <v>182194293.27859965</v>
      </c>
    </row>
    <row r="12099" spans="1:2" x14ac:dyDescent="0.25">
      <c r="A12099">
        <f ca="1">33315.6393470774*((RANDBETWEEN(2979,3282)))</f>
        <v>99647077.287108526</v>
      </c>
      <c r="B12099">
        <v>154231910.33089456</v>
      </c>
    </row>
    <row r="12100" spans="1:2" x14ac:dyDescent="0.25">
      <c r="A12100">
        <f ca="1">31906.3608685709*((RANDBETWEEN(2979,3282)))</f>
        <v>99994534.962101117</v>
      </c>
      <c r="B12100">
        <v>161725771.11582971</v>
      </c>
    </row>
    <row r="12101" spans="1:2" x14ac:dyDescent="0.25">
      <c r="A12101">
        <f ca="1">34723.2942209207*((RANDBETWEEN(2979,3282)))</f>
        <v>106461620.08134294</v>
      </c>
      <c r="B12101">
        <v>167385150.61267453</v>
      </c>
    </row>
    <row r="12102" spans="1:2" x14ac:dyDescent="0.25">
      <c r="A12102">
        <f ca="1">33873.4101382273*((RANDBETWEEN(2979,3282)))</f>
        <v>102026711.3363407</v>
      </c>
      <c r="B12102">
        <v>170348324.1297732</v>
      </c>
    </row>
    <row r="12103" spans="1:2" x14ac:dyDescent="0.25">
      <c r="A12103">
        <f ca="1">29395.9960023955*((RANDBETWEEN(2979,3282)))</f>
        <v>89540203.823296696</v>
      </c>
      <c r="B12103">
        <v>154610033.98760951</v>
      </c>
    </row>
    <row r="12104" spans="1:2" x14ac:dyDescent="0.25">
      <c r="A12104">
        <f ca="1">38047.2304345253*((RANDBETWEEN(2979,3282)))</f>
        <v>120457531.5557071</v>
      </c>
      <c r="B12104">
        <v>179748388.08623815</v>
      </c>
    </row>
    <row r="12105" spans="1:2" x14ac:dyDescent="0.25">
      <c r="A12105">
        <f ca="1">30238.5991302436*((RANDBETWEEN(2979,3282)))</f>
        <v>91108899.179423988</v>
      </c>
      <c r="B12105">
        <v>193978224.9191699</v>
      </c>
    </row>
    <row r="12106" spans="1:2" x14ac:dyDescent="0.25">
      <c r="A12106">
        <f ca="1">28846.0508214988*((RANDBETWEEN(2979,3282)))</f>
        <v>86336230.108746052</v>
      </c>
      <c r="B12106">
        <v>195309392.77565259</v>
      </c>
    </row>
    <row r="12107" spans="1:2" x14ac:dyDescent="0.25">
      <c r="A12107">
        <f ca="1">29659.6961455888*((RANDBETWEEN(2979,3282)))</f>
        <v>95563540.981087163</v>
      </c>
      <c r="B12107">
        <v>147422294.87456718</v>
      </c>
    </row>
    <row r="12108" spans="1:2" x14ac:dyDescent="0.25">
      <c r="A12108">
        <f ca="1">31968.3527769283*((RANDBETWEEN(2979,3282)))</f>
        <v>96928045.619646654</v>
      </c>
      <c r="B12108">
        <v>168989711.75877902</v>
      </c>
    </row>
    <row r="12109" spans="1:2" x14ac:dyDescent="0.25">
      <c r="A12109">
        <f ca="1">37487.0323712901*((RANDBETWEEN(2979,3282)))</f>
        <v>114597857.95903386</v>
      </c>
      <c r="B12109">
        <v>172737489.88537502</v>
      </c>
    </row>
    <row r="12110" spans="1:2" x14ac:dyDescent="0.25">
      <c r="A12110">
        <f ca="1">34521.7264544813*((RANDBETWEEN(2979,3282)))</f>
        <v>108260134.16125336</v>
      </c>
      <c r="B12110">
        <v>168141647.32624397</v>
      </c>
    </row>
    <row r="12111" spans="1:2" x14ac:dyDescent="0.25">
      <c r="A12111">
        <f ca="1">34655.1038437615*((RANDBETWEEN(2979,3282)))</f>
        <v>109302197.52322362</v>
      </c>
      <c r="B12111">
        <v>151020041.92289865</v>
      </c>
    </row>
    <row r="12112" spans="1:2" x14ac:dyDescent="0.25">
      <c r="A12112">
        <f ca="1">32936.6290724086*((RANDBETWEEN(2979,3282)))</f>
        <v>104804353.70840418</v>
      </c>
      <c r="B12112">
        <v>150965067.16080794</v>
      </c>
    </row>
    <row r="12113" spans="1:2" x14ac:dyDescent="0.25">
      <c r="A12113">
        <f ca="1">41330.0210407423*((RANDBETWEEN(2979,3282)))</f>
        <v>135562469.01363459</v>
      </c>
      <c r="B12113">
        <v>182831747.76878163</v>
      </c>
    </row>
    <row r="12114" spans="1:2" x14ac:dyDescent="0.25">
      <c r="A12114">
        <f ca="1">32558.6004872669*((RANDBETWEEN(2979,3282)))</f>
        <v>104480548.96363953</v>
      </c>
      <c r="B12114">
        <v>161006153.34759873</v>
      </c>
    </row>
    <row r="12115" spans="1:2" x14ac:dyDescent="0.25">
      <c r="A12115">
        <f ca="1">30272.3137566925*((RANDBETWEEN(2979,3282)))</f>
        <v>99202372.180681422</v>
      </c>
      <c r="B12115">
        <v>145429164.89597881</v>
      </c>
    </row>
    <row r="12116" spans="1:2" x14ac:dyDescent="0.25">
      <c r="A12116">
        <f ca="1">33838.6928217433*((RANDBETWEEN(2979,3282)))</f>
        <v>101617594.54369511</v>
      </c>
      <c r="B12116">
        <v>145567824.37195989</v>
      </c>
    </row>
    <row r="12117" spans="1:2" x14ac:dyDescent="0.25">
      <c r="A12117">
        <f ca="1">31389.5208948737*((RANDBETWEEN(2979,3282)))</f>
        <v>96365829.147262216</v>
      </c>
      <c r="B12117">
        <v>185435292.65167511</v>
      </c>
    </row>
    <row r="12118" spans="1:2" x14ac:dyDescent="0.25">
      <c r="A12118">
        <f ca="1">34020.8769285403*((RANDBETWEEN(2979,3282)))</f>
        <v>106961637.06333078</v>
      </c>
      <c r="B12118">
        <v>195091963.21766526</v>
      </c>
    </row>
    <row r="12119" spans="1:2" x14ac:dyDescent="0.25">
      <c r="A12119">
        <f ca="1">30094.6414820352*((RANDBETWEEN(2979,3282)))</f>
        <v>92330360.066884056</v>
      </c>
      <c r="B12119">
        <v>169019019.71181458</v>
      </c>
    </row>
    <row r="12120" spans="1:2" x14ac:dyDescent="0.25">
      <c r="A12120">
        <f ca="1">32095.5288878914*((RANDBETWEEN(2979,3282)))</f>
        <v>96735924.068104729</v>
      </c>
      <c r="B12120">
        <v>148579215.35046205</v>
      </c>
    </row>
    <row r="12121" spans="1:2" x14ac:dyDescent="0.25">
      <c r="A12121">
        <f ca="1">38004.7499637987*((RANDBETWEEN(2979,3282)))</f>
        <v>118688834.1369433</v>
      </c>
      <c r="B12121">
        <v>144567283.61036259</v>
      </c>
    </row>
    <row r="12122" spans="1:2" x14ac:dyDescent="0.25">
      <c r="A12122">
        <f ca="1">36152.879671057*((RANDBETWEEN(2979,3282)))</f>
        <v>113520042.16711898</v>
      </c>
      <c r="B12122">
        <v>187929129.11040413</v>
      </c>
    </row>
    <row r="12123" spans="1:2" x14ac:dyDescent="0.25">
      <c r="A12123">
        <f ca="1">30878.6572996929*((RANDBETWEEN(2979,3282)))</f>
        <v>98780824.701717556</v>
      </c>
      <c r="B12123">
        <v>144675278.79893425</v>
      </c>
    </row>
    <row r="12124" spans="1:2" x14ac:dyDescent="0.25">
      <c r="A12124">
        <f ca="1">31781.3457697109*((RANDBETWEEN(2979,3282)))</f>
        <v>96647072.485690787</v>
      </c>
      <c r="B12124">
        <v>182594030.14158079</v>
      </c>
    </row>
    <row r="12125" spans="1:2" x14ac:dyDescent="0.25">
      <c r="A12125">
        <f ca="1">31017.9065617062*((RANDBETWEEN(2979,3282)))</f>
        <v>93860185.255723029</v>
      </c>
      <c r="B12125">
        <v>185902661.55807129</v>
      </c>
    </row>
    <row r="12126" spans="1:2" x14ac:dyDescent="0.25">
      <c r="A12126">
        <f ca="1">32762.9813192638*((RANDBETWEEN(2979,3282)))</f>
        <v>98288943.957791448</v>
      </c>
      <c r="B12126">
        <v>200298589.84132624</v>
      </c>
    </row>
    <row r="12127" spans="1:2" x14ac:dyDescent="0.25">
      <c r="A12127">
        <f ca="1">39640.594875885*((RANDBETWEEN(2979,3282)))</f>
        <v>128078762.04398458</v>
      </c>
      <c r="B12127">
        <v>188782653.52029476</v>
      </c>
    </row>
    <row r="12128" spans="1:2" x14ac:dyDescent="0.25">
      <c r="A12128">
        <f ca="1">41107.1229753428*((RANDBETWEEN(2979,3282)))</f>
        <v>127349866.97761212</v>
      </c>
      <c r="B12128">
        <v>149468522.16478133</v>
      </c>
    </row>
    <row r="12129" spans="1:2" x14ac:dyDescent="0.25">
      <c r="A12129">
        <f ca="1">31819.3683445947*((RANDBETWEEN(2979,3282)))</f>
        <v>96476324.820811033</v>
      </c>
      <c r="B12129">
        <v>172790505.70599908</v>
      </c>
    </row>
    <row r="12130" spans="1:2" x14ac:dyDescent="0.25">
      <c r="A12130">
        <f ca="1">38900.9010884812*((RANDBETWEEN(2979,3282)))</f>
        <v>117441820.38612469</v>
      </c>
      <c r="B12130">
        <v>192016511.36514291</v>
      </c>
    </row>
    <row r="12131" spans="1:2" x14ac:dyDescent="0.25">
      <c r="A12131">
        <f ca="1">31462.1317511618*((RANDBETWEEN(2979,3282)))</f>
        <v>102503625.24528523</v>
      </c>
      <c r="B12131">
        <v>162637712.80681133</v>
      </c>
    </row>
    <row r="12132" spans="1:2" x14ac:dyDescent="0.25">
      <c r="A12132">
        <f ca="1">31010.1732266315*((RANDBETWEEN(2979,3282)))</f>
        <v>94829109.727039233</v>
      </c>
      <c r="B12132">
        <v>155397711.41201437</v>
      </c>
    </row>
    <row r="12133" spans="1:2" x14ac:dyDescent="0.25">
      <c r="A12133">
        <f ca="1">37930.3671386666*((RANDBETWEEN(2979,3282)))</f>
        <v>115611759.03865589</v>
      </c>
      <c r="B12133">
        <v>169401684.00822133</v>
      </c>
    </row>
    <row r="12134" spans="1:2" x14ac:dyDescent="0.25">
      <c r="A12134">
        <f ca="1">26590.8441333621*((RANDBETWEEN(2979,3282)))</f>
        <v>80251167.594486937</v>
      </c>
      <c r="B12134">
        <v>147340943.43318409</v>
      </c>
    </row>
    <row r="12135" spans="1:2" x14ac:dyDescent="0.25">
      <c r="A12135">
        <f ca="1">33443.639881812*((RANDBETWEEN(2979,3282)))</f>
        <v>109661695.17246142</v>
      </c>
      <c r="B12135">
        <v>145502158.41392058</v>
      </c>
    </row>
    <row r="12136" spans="1:2" x14ac:dyDescent="0.25">
      <c r="A12136">
        <f ca="1">40229.1894891301*((RANDBETWEEN(2979,3282)))</f>
        <v>121130089.55177081</v>
      </c>
      <c r="B12136">
        <v>183033549.88481444</v>
      </c>
    </row>
    <row r="12137" spans="1:2" x14ac:dyDescent="0.25">
      <c r="A12137">
        <f ca="1">31390.8917158239*((RANDBETWEEN(2979,3282)))</f>
        <v>98190709.287097052</v>
      </c>
      <c r="B12137">
        <v>143788115.23503754</v>
      </c>
    </row>
    <row r="12138" spans="1:2" x14ac:dyDescent="0.25">
      <c r="A12138">
        <f ca="1">29901.0041240223*((RANDBETWEEN(2979,3282)))</f>
        <v>96909154.365956306</v>
      </c>
      <c r="B12138">
        <v>177380790.77629882</v>
      </c>
    </row>
    <row r="12139" spans="1:2" x14ac:dyDescent="0.25">
      <c r="A12139">
        <f ca="1">30057.0262706169*((RANDBETWEEN(2979,3282)))</f>
        <v>93146724.412641928</v>
      </c>
      <c r="B12139">
        <v>181876949.4184714</v>
      </c>
    </row>
    <row r="12140" spans="1:2" x14ac:dyDescent="0.25">
      <c r="A12140">
        <f ca="1">31373.6520788765*((RANDBETWEEN(2979,3282)))</f>
        <v>101587885.43140209</v>
      </c>
      <c r="B12140">
        <v>186522472.14626846</v>
      </c>
    </row>
    <row r="12141" spans="1:2" x14ac:dyDescent="0.25">
      <c r="A12141">
        <f ca="1">40295.3981105815*((RANDBETWEEN(2979,3282)))</f>
        <v>122618896.4504994</v>
      </c>
      <c r="B12141">
        <v>184980393.93279967</v>
      </c>
    </row>
    <row r="12142" spans="1:2" x14ac:dyDescent="0.25">
      <c r="A12142">
        <f ca="1">32968.3255633541*((RANDBETWEEN(2979,3282)))</f>
        <v>103157890.68773499</v>
      </c>
      <c r="B12142">
        <v>166505819.97117552</v>
      </c>
    </row>
    <row r="12143" spans="1:2" x14ac:dyDescent="0.25">
      <c r="A12143">
        <f ca="1">30472.1081992282*((RANDBETWEEN(2979,3282)))</f>
        <v>95164393.90618977</v>
      </c>
      <c r="B12143">
        <v>159283399.46704549</v>
      </c>
    </row>
    <row r="12144" spans="1:2" x14ac:dyDescent="0.25">
      <c r="A12144">
        <f ca="1">31101.4531243876*((RANDBETWEEN(2979,3282)))</f>
        <v>93801982.623152971</v>
      </c>
      <c r="B12144">
        <v>177452897.67129827</v>
      </c>
    </row>
    <row r="12145" spans="1:2" x14ac:dyDescent="0.25">
      <c r="A12145">
        <f ca="1">29355.7925311342*((RANDBETWEEN(2979,3282)))</f>
        <v>91590072.697138846</v>
      </c>
      <c r="B12145">
        <v>144242001.52483067</v>
      </c>
    </row>
    <row r="12146" spans="1:2" x14ac:dyDescent="0.25">
      <c r="A12146">
        <f ca="1">33649.8720143376*((RANDBETWEEN(2979,3282)))</f>
        <v>109294784.30256838</v>
      </c>
      <c r="B12146">
        <v>149309172.93265021</v>
      </c>
    </row>
    <row r="12147" spans="1:2" x14ac:dyDescent="0.25">
      <c r="A12147">
        <f ca="1">32326.278288266*((RANDBETWEEN(2979,3282)))</f>
        <v>100728683.14623684</v>
      </c>
      <c r="B12147">
        <v>143942765.38296315</v>
      </c>
    </row>
    <row r="12148" spans="1:2" x14ac:dyDescent="0.25">
      <c r="A12148">
        <f ca="1">31191.2871343165*((RANDBETWEEN(2979,3282)))</f>
        <v>94603173.878381908</v>
      </c>
      <c r="B12148">
        <v>156213155.71313655</v>
      </c>
    </row>
    <row r="12149" spans="1:2" x14ac:dyDescent="0.25">
      <c r="A12149">
        <f ca="1">34238.342060389*((RANDBETWEEN(2979,3282)))</f>
        <v>106823627.22841363</v>
      </c>
      <c r="B12149">
        <v>155716129.17103362</v>
      </c>
    </row>
    <row r="12150" spans="1:2" x14ac:dyDescent="0.25">
      <c r="A12150">
        <f ca="1">36437.6468686274*((RANDBETWEEN(2979,3282)))</f>
        <v>109750192.36830561</v>
      </c>
      <c r="B12150">
        <v>154991666.08553666</v>
      </c>
    </row>
    <row r="12151" spans="1:2" x14ac:dyDescent="0.25">
      <c r="A12151">
        <f ca="1">30783.7126812058*((RANDBETWEEN(2979,3282)))</f>
        <v>93982674.815721437</v>
      </c>
      <c r="B12151">
        <v>154852435.49241704</v>
      </c>
    </row>
    <row r="12152" spans="1:2" x14ac:dyDescent="0.25">
      <c r="A12152">
        <f ca="1">35644.2162670833*((RANDBETWEEN(2979,3282)))</f>
        <v>107645533.12659171</v>
      </c>
      <c r="B12152">
        <v>203190035.76240331</v>
      </c>
    </row>
    <row r="12153" spans="1:2" x14ac:dyDescent="0.25">
      <c r="A12153">
        <f ca="1">30078.9803324962*((RANDBETWEEN(2979,3282)))</f>
        <v>90477572.840148434</v>
      </c>
      <c r="B12153">
        <v>181281502.17876559</v>
      </c>
    </row>
    <row r="12154" spans="1:2" x14ac:dyDescent="0.25">
      <c r="A12154">
        <f ca="1">38671.0654358827*((RANDBETWEEN(2979,3282)))</f>
        <v>116477249.09287883</v>
      </c>
      <c r="B12154">
        <v>160612483.78624165</v>
      </c>
    </row>
    <row r="12155" spans="1:2" x14ac:dyDescent="0.25">
      <c r="A12155">
        <f ca="1">31569.5440093241*((RANDBETWEEN(2979,3282)))</f>
        <v>99444063.629370973</v>
      </c>
      <c r="B12155">
        <v>161442123.96067673</v>
      </c>
    </row>
    <row r="12156" spans="1:2" x14ac:dyDescent="0.25">
      <c r="A12156">
        <f ca="1">31128.7257668826*((RANDBETWEEN(2979,3282)))</f>
        <v>94288910.347887442</v>
      </c>
      <c r="B12156">
        <v>186898975.32341111</v>
      </c>
    </row>
    <row r="12157" spans="1:2" x14ac:dyDescent="0.25">
      <c r="A12157">
        <f ca="1">39111.1372187159*((RANDBETWEEN(2979,3282)))</f>
        <v>119992968.98702045</v>
      </c>
      <c r="B12157">
        <v>192653082.31116503</v>
      </c>
    </row>
    <row r="12158" spans="1:2" x14ac:dyDescent="0.25">
      <c r="A12158">
        <f ca="1">30581.1394195343*((RANDBETWEEN(2979,3282)))</f>
        <v>94709788.782297626</v>
      </c>
      <c r="B12158">
        <v>171138817.60198963</v>
      </c>
    </row>
    <row r="12159" spans="1:2" x14ac:dyDescent="0.25">
      <c r="A12159">
        <f ca="1">27496.2505055945*((RANDBETWEEN(2979,3282)))</f>
        <v>89692769.149249405</v>
      </c>
      <c r="B12159">
        <v>149556372.17014548</v>
      </c>
    </row>
    <row r="12160" spans="1:2" x14ac:dyDescent="0.25">
      <c r="A12160">
        <f ca="1">32914.2413865899*((RANDBETWEEN(2979,3282)))</f>
        <v>104700201.85074233</v>
      </c>
      <c r="B12160">
        <v>175262686.46266133</v>
      </c>
    </row>
    <row r="12161" spans="1:2" x14ac:dyDescent="0.25">
      <c r="A12161">
        <f ca="1">30907.1225478633*((RANDBETWEEN(2979,3282)))</f>
        <v>96213872.491498411</v>
      </c>
      <c r="B12161">
        <v>169384258.79661411</v>
      </c>
    </row>
    <row r="12162" spans="1:2" x14ac:dyDescent="0.25">
      <c r="A12162">
        <f ca="1">38514.7689315327*((RANDBETWEEN(2979,3282)))</f>
        <v>124633792.2624397</v>
      </c>
      <c r="B12162">
        <v>175434584.28238299</v>
      </c>
    </row>
    <row r="12163" spans="1:2" x14ac:dyDescent="0.25">
      <c r="A12163">
        <f ca="1">35781.6169929117*((RANDBETWEEN(2979,3282)))</f>
        <v>109599092.84928839</v>
      </c>
      <c r="B12163">
        <v>150324721.42076707</v>
      </c>
    </row>
    <row r="12164" spans="1:2" x14ac:dyDescent="0.25">
      <c r="A12164">
        <f ca="1">32340.2535428556*((RANDBETWEEN(2979,3282)))</f>
        <v>102259881.70250943</v>
      </c>
      <c r="B12164">
        <v>179807525.74757493</v>
      </c>
    </row>
    <row r="12165" spans="1:2" x14ac:dyDescent="0.25">
      <c r="A12165">
        <f ca="1">30854.9730992273*((RANDBETWEEN(2979,3282)))</f>
        <v>100216952.62629034</v>
      </c>
      <c r="B12165">
        <v>152872512.42938352</v>
      </c>
    </row>
    <row r="12166" spans="1:2" x14ac:dyDescent="0.25">
      <c r="A12166">
        <f ca="1">33056.1299313404*((RANDBETWEEN(2979,3282)))</f>
        <v>106407682.24898466</v>
      </c>
      <c r="B12166">
        <v>145894639.02844286</v>
      </c>
    </row>
    <row r="12167" spans="1:2" x14ac:dyDescent="0.25">
      <c r="A12167">
        <f ca="1">32016.1872920639*((RANDBETWEEN(2979,3282)))</f>
        <v>100338730.97332837</v>
      </c>
      <c r="B12167">
        <v>166489645.82928994</v>
      </c>
    </row>
    <row r="12168" spans="1:2" x14ac:dyDescent="0.25">
      <c r="A12168">
        <f ca="1">33096.394061285*((RANDBETWEEN(2979,3282)))</f>
        <v>100745423.52255149</v>
      </c>
      <c r="B12168">
        <v>173899603.11011344</v>
      </c>
    </row>
    <row r="12169" spans="1:2" x14ac:dyDescent="0.25">
      <c r="A12169">
        <f ca="1">32308.3826737639*((RANDBETWEEN(2979,3282)))</f>
        <v>101577555.12631376</v>
      </c>
      <c r="B12169">
        <v>188459778.32730708</v>
      </c>
    </row>
    <row r="12170" spans="1:2" x14ac:dyDescent="0.25">
      <c r="A12170">
        <f ca="1">31140.4242671784*((RANDBETWEEN(2979,3282)))</f>
        <v>101860327.77794056</v>
      </c>
      <c r="B12170">
        <v>143223200.65691125</v>
      </c>
    </row>
    <row r="12171" spans="1:2" x14ac:dyDescent="0.25">
      <c r="A12171">
        <f ca="1">37012.1494404758*((RANDBETWEEN(2979,3282)))</f>
        <v>117624610.92183213</v>
      </c>
      <c r="B12171">
        <v>144419218.60532722</v>
      </c>
    </row>
    <row r="12172" spans="1:2" x14ac:dyDescent="0.25">
      <c r="A12172">
        <f ca="1">39058.6335180331*((RANDBETWEEN(2979,3282)))</f>
        <v>116707196.95188285</v>
      </c>
      <c r="B12172">
        <v>153897017.89134356</v>
      </c>
    </row>
    <row r="12173" spans="1:2" x14ac:dyDescent="0.25">
      <c r="A12173">
        <f ca="1">33784.0838377989*((RANDBETWEEN(2979,3282)))</f>
        <v>101521171.93258585</v>
      </c>
      <c r="B12173">
        <v>144291034.94963807</v>
      </c>
    </row>
    <row r="12174" spans="1:2" x14ac:dyDescent="0.25">
      <c r="A12174">
        <f ca="1">32411.5072213277*((RANDBETWEEN(2979,3282)))</f>
        <v>104591933.80322446</v>
      </c>
      <c r="B12174">
        <v>148170320.89578113</v>
      </c>
    </row>
    <row r="12175" spans="1:2" x14ac:dyDescent="0.25">
      <c r="A12175">
        <f ca="1">36518.0425032261*((RANDBETWEEN(2979,3282)))</f>
        <v>112183426.56991065</v>
      </c>
      <c r="B12175">
        <v>151540873.86234313</v>
      </c>
    </row>
    <row r="12176" spans="1:2" x14ac:dyDescent="0.25">
      <c r="A12176">
        <f ca="1">29825.7815071273*((RANDBETWEEN(2979,3282)))</f>
        <v>95472326.604314417</v>
      </c>
      <c r="B12176">
        <v>144248563.7686688</v>
      </c>
    </row>
    <row r="12177" spans="1:2" x14ac:dyDescent="0.25">
      <c r="A12177">
        <f ca="1">38450.7443526112*((RANDBETWEEN(2979,3282)))</f>
        <v>123888298.30411339</v>
      </c>
      <c r="B12177">
        <v>162825121.68909734</v>
      </c>
    </row>
    <row r="12178" spans="1:2" x14ac:dyDescent="0.25">
      <c r="A12178">
        <f ca="1">33327.1171777253*((RANDBETWEEN(2979,3282)))</f>
        <v>107013373.25767586</v>
      </c>
      <c r="B12178">
        <v>183493661.16176552</v>
      </c>
    </row>
    <row r="12179" spans="1:2" x14ac:dyDescent="0.25">
      <c r="A12179">
        <f ca="1">31474.4875497557*((RANDBETWEEN(2979,3282)))</f>
        <v>94675258.549665198</v>
      </c>
      <c r="B12179">
        <v>191311431.26765364</v>
      </c>
    </row>
    <row r="12180" spans="1:2" x14ac:dyDescent="0.25">
      <c r="A12180">
        <f ca="1">31852.7746270115*((RANDBETWEEN(2979,3282)))</f>
        <v>101737762.15867469</v>
      </c>
      <c r="B12180">
        <v>151644838.99346668</v>
      </c>
    </row>
    <row r="12181" spans="1:2" x14ac:dyDescent="0.25">
      <c r="A12181">
        <f ca="1">38444.4901513547*((RANDBETWEEN(2979,3282)))</f>
        <v>119408586.41010766</v>
      </c>
      <c r="B12181">
        <v>148709219.71388981</v>
      </c>
    </row>
    <row r="12182" spans="1:2" x14ac:dyDescent="0.25">
      <c r="A12182">
        <f ca="1">31537.9049239507*((RANDBETWEEN(2979,3282)))</f>
        <v>101741281.28466505</v>
      </c>
      <c r="B12182">
        <v>174257788.09665978</v>
      </c>
    </row>
    <row r="12183" spans="1:2" x14ac:dyDescent="0.25">
      <c r="A12183">
        <f ca="1">37714.152431608*((RANDBETWEEN(2979,3282)))</f>
        <v>116612159.3185319</v>
      </c>
      <c r="B12183">
        <v>148152077.79919446</v>
      </c>
    </row>
    <row r="12184" spans="1:2" x14ac:dyDescent="0.25">
      <c r="A12184">
        <f ca="1">32892.4685968196*((RANDBETWEEN(2979,3282)))</f>
        <v>105815071.47596875</v>
      </c>
      <c r="B12184">
        <v>168750631.58344212</v>
      </c>
    </row>
    <row r="12185" spans="1:2" x14ac:dyDescent="0.25">
      <c r="A12185">
        <f ca="1">33660.9946289929*((RANDBETWEEN(2979,3282)))</f>
        <v>108624029.66776021</v>
      </c>
      <c r="B12185">
        <v>180648205.44707084</v>
      </c>
    </row>
    <row r="12186" spans="1:2" x14ac:dyDescent="0.25">
      <c r="A12186">
        <f ca="1">31452.6665972317*((RANDBETWEEN(2979,3282)))</f>
        <v>96748402.453084618</v>
      </c>
      <c r="B12186">
        <v>156445525.15057632</v>
      </c>
    </row>
    <row r="12187" spans="1:2" x14ac:dyDescent="0.25">
      <c r="A12187">
        <f ca="1">27243.5125271704*((RANDBETWEEN(2979,3282)))</f>
        <v>88595902.738358214</v>
      </c>
      <c r="B12187">
        <v>151082251.73827592</v>
      </c>
    </row>
    <row r="12188" spans="1:2" x14ac:dyDescent="0.25">
      <c r="A12188">
        <f ca="1">35753.777733034*((RANDBETWEEN(2979,3282)))</f>
        <v>116199777.63236061</v>
      </c>
      <c r="B12188">
        <v>145621847.58898097</v>
      </c>
    </row>
    <row r="12189" spans="1:2" x14ac:dyDescent="0.25">
      <c r="A12189">
        <f ca="1">32076.4186874624*((RANDBETWEEN(2979,3282)))</f>
        <v>102163393.51956777</v>
      </c>
      <c r="B12189">
        <v>150857985.26335448</v>
      </c>
    </row>
    <row r="12190" spans="1:2" x14ac:dyDescent="0.25">
      <c r="A12190">
        <f ca="1">33750.5244537192*((RANDBETWEEN(2979,3282)))</f>
        <v>103985365.84190874</v>
      </c>
      <c r="B12190">
        <v>144662435.50162202</v>
      </c>
    </row>
    <row r="12191" spans="1:2" x14ac:dyDescent="0.25">
      <c r="A12191">
        <f ca="1">29990.2823032262*((RANDBETWEEN(2979,3282)))</f>
        <v>97318466.073968977</v>
      </c>
      <c r="B12191">
        <v>158348598.69259021</v>
      </c>
    </row>
    <row r="12192" spans="1:2" x14ac:dyDescent="0.25">
      <c r="A12192">
        <f ca="1">29354.1659405136*((RANDBETWEEN(2979,3282)))</f>
        <v>91174039.411235124</v>
      </c>
      <c r="B12192">
        <v>183788304.64513361</v>
      </c>
    </row>
    <row r="12193" spans="1:2" x14ac:dyDescent="0.25">
      <c r="A12193">
        <f ca="1">30954.3193428437*((RANDBETWEEN(2979,3282)))</f>
        <v>94596399.911730349</v>
      </c>
      <c r="B12193">
        <v>162296012.81668675</v>
      </c>
    </row>
    <row r="12194" spans="1:2" x14ac:dyDescent="0.25">
      <c r="A12194">
        <f ca="1">32477.8423311093*((RANDBETWEEN(2979,3282)))</f>
        <v>100941133.96508779</v>
      </c>
      <c r="B12194">
        <v>143792067.60756031</v>
      </c>
    </row>
    <row r="12195" spans="1:2" x14ac:dyDescent="0.25">
      <c r="A12195">
        <f ca="1">27338.4167328846*((RANDBETWEEN(2979,3282)))</f>
        <v>89533314.800196901</v>
      </c>
      <c r="B12195">
        <v>162488734.24571007</v>
      </c>
    </row>
    <row r="12196" spans="1:2" x14ac:dyDescent="0.25">
      <c r="A12196">
        <f ca="1">35679.3102634154*((RANDBETWEEN(2979,3282)))</f>
        <v>116742703.18189509</v>
      </c>
      <c r="B12196">
        <v>151463321.40372673</v>
      </c>
    </row>
    <row r="12197" spans="1:2" x14ac:dyDescent="0.25">
      <c r="A12197">
        <f ca="1">31284.4397000268*((RANDBETWEEN(2979,3282)))</f>
        <v>101080024.6707865</v>
      </c>
      <c r="B12197">
        <v>188949520.43782559</v>
      </c>
    </row>
    <row r="12198" spans="1:2" x14ac:dyDescent="0.25">
      <c r="A12198">
        <f ca="1">38158.1585074723*((RANDBETWEEN(2979,3282)))</f>
        <v>120694255.35913497</v>
      </c>
      <c r="B12198">
        <v>156751749.35425147</v>
      </c>
    </row>
    <row r="12199" spans="1:2" x14ac:dyDescent="0.25">
      <c r="A12199">
        <f ca="1">29046.5976954719*((RANDBETWEEN(2979,3282)))</f>
        <v>94604768.694152057</v>
      </c>
      <c r="B12199">
        <v>170725395.44125286</v>
      </c>
    </row>
    <row r="12200" spans="1:2" x14ac:dyDescent="0.25">
      <c r="A12200">
        <f ca="1">35858.1957023789*((RANDBETWEEN(2979,3282)))</f>
        <v>108363467.41258903</v>
      </c>
      <c r="B12200">
        <v>144014738.32260233</v>
      </c>
    </row>
    <row r="12201" spans="1:2" x14ac:dyDescent="0.25">
      <c r="A12201">
        <f ca="1">29829.377012038*((RANDBETWEEN(2979,3282)))</f>
        <v>91039258.640740097</v>
      </c>
      <c r="B12201">
        <v>143107671.89215165</v>
      </c>
    </row>
    <row r="12202" spans="1:2" x14ac:dyDescent="0.25">
      <c r="A12202">
        <f ca="1">32617.9489148372*((RANDBETWEEN(2979,3282)))</f>
        <v>101637528.81863259</v>
      </c>
      <c r="B12202">
        <v>152848755.35657799</v>
      </c>
    </row>
    <row r="12203" spans="1:2" x14ac:dyDescent="0.25">
      <c r="A12203">
        <f ca="1">39840.9356228517*((RANDBETWEEN(2979,3282)))</f>
        <v>122829604.52525176</v>
      </c>
      <c r="B12203">
        <v>146193036.52654245</v>
      </c>
    </row>
    <row r="12204" spans="1:2" x14ac:dyDescent="0.25">
      <c r="A12204">
        <f ca="1">30824.8201952823*((RANDBETWEEN(2979,3282)))</f>
        <v>97190658.075724959</v>
      </c>
      <c r="B12204">
        <v>182994535.5106889</v>
      </c>
    </row>
    <row r="12205" spans="1:2" x14ac:dyDescent="0.25">
      <c r="A12205">
        <f ca="1">31730.0209973211*((RANDBETWEEN(2979,3282)))</f>
        <v>98109224.923716992</v>
      </c>
      <c r="B12205">
        <v>181372993.61006355</v>
      </c>
    </row>
    <row r="12206" spans="1:2" x14ac:dyDescent="0.25">
      <c r="A12206">
        <f ca="1">35540.4280606618*((RANDBETWEEN(2979,3282)))</f>
        <v>115861795.47775751</v>
      </c>
      <c r="B12206">
        <v>181317529.4451791</v>
      </c>
    </row>
    <row r="12207" spans="1:2" x14ac:dyDescent="0.25">
      <c r="A12207">
        <f ca="1">40940.5442249452*((RANDBETWEEN(2979,3282)))</f>
        <v>122535048.86526108</v>
      </c>
      <c r="B12207">
        <v>187785847.64694971</v>
      </c>
    </row>
    <row r="12208" spans="1:2" x14ac:dyDescent="0.25">
      <c r="A12208">
        <f ca="1">41524.8873936406*((RANDBETWEEN(2979,3282)))</f>
        <v>135038933.8041192</v>
      </c>
      <c r="B12208">
        <v>159578377.57440531</v>
      </c>
    </row>
    <row r="12209" spans="1:2" x14ac:dyDescent="0.25">
      <c r="A12209">
        <f ca="1">27919.6922778273*((RANDBETWEEN(2979,3282)))</f>
        <v>87165279.291376784</v>
      </c>
      <c r="B12209">
        <v>164667623.79531318</v>
      </c>
    </row>
    <row r="12210" spans="1:2" x14ac:dyDescent="0.25">
      <c r="A12210">
        <f ca="1">29995.3510561912*((RANDBETWEEN(2979,3282)))</f>
        <v>91815769.583001286</v>
      </c>
      <c r="B12210">
        <v>176948922.9256072</v>
      </c>
    </row>
    <row r="12211" spans="1:2" x14ac:dyDescent="0.25">
      <c r="A12211">
        <f ca="1">32125.0726268515*((RANDBETWEEN(2979,3282)))</f>
        <v>99748350.506373793</v>
      </c>
      <c r="B12211">
        <v>199390588.44663817</v>
      </c>
    </row>
    <row r="12212" spans="1:2" x14ac:dyDescent="0.25">
      <c r="A12212">
        <f ca="1">35937.9930142987*((RANDBETWEEN(2979,3282)))</f>
        <v>114031251.8343697</v>
      </c>
      <c r="B12212">
        <v>197240725.06666973</v>
      </c>
    </row>
    <row r="12213" spans="1:2" x14ac:dyDescent="0.25">
      <c r="A12213">
        <f ca="1">32729.881446424*((RANDBETWEEN(2979,3282)))</f>
        <v>103328235.72636059</v>
      </c>
      <c r="B12213">
        <v>188883957.86216632</v>
      </c>
    </row>
    <row r="12214" spans="1:2" x14ac:dyDescent="0.25">
      <c r="A12214">
        <f ca="1">34235.5747979933*((RANDBETWEEN(2979,3282)))</f>
        <v>107123113.54292116</v>
      </c>
      <c r="B12214">
        <v>168129671.26601738</v>
      </c>
    </row>
    <row r="12215" spans="1:2" x14ac:dyDescent="0.25">
      <c r="A12215">
        <f ca="1">38093.6361715389*((RANDBETWEEN(2979,3282)))</f>
        <v>116299871.23170815</v>
      </c>
      <c r="B12215">
        <v>174050677.8915714</v>
      </c>
    </row>
    <row r="12216" spans="1:2" x14ac:dyDescent="0.25">
      <c r="A12216">
        <f ca="1">32945.6512630889*((RANDBETWEEN(2979,3282)))</f>
        <v>100780747.21378909</v>
      </c>
      <c r="B12216">
        <v>187979398.59775826</v>
      </c>
    </row>
    <row r="12217" spans="1:2" x14ac:dyDescent="0.25">
      <c r="A12217">
        <f ca="1">34103.5294471428*((RANDBETWEEN(2979,3282)))</f>
        <v>107937670.7002071</v>
      </c>
      <c r="B12217">
        <v>168137238.075014</v>
      </c>
    </row>
    <row r="12218" spans="1:2" x14ac:dyDescent="0.25">
      <c r="A12218">
        <f ca="1">31128.7465772882*((RANDBETWEEN(2979,3282)))</f>
        <v>100016662.75282703</v>
      </c>
      <c r="B12218">
        <v>151468518.97841394</v>
      </c>
    </row>
    <row r="12219" spans="1:2" x14ac:dyDescent="0.25">
      <c r="A12219">
        <f ca="1">32757.9022833531*((RANDBETWEEN(2979,3282)))</f>
        <v>100959854.83729431</v>
      </c>
      <c r="B12219">
        <v>159014277.68878669</v>
      </c>
    </row>
    <row r="12220" spans="1:2" x14ac:dyDescent="0.25">
      <c r="A12220">
        <f ca="1">39996.9733367735*((RANDBETWEEN(2979,3282)))</f>
        <v>120510880.66369854</v>
      </c>
      <c r="B12220">
        <v>150714493.9549067</v>
      </c>
    </row>
    <row r="12221" spans="1:2" x14ac:dyDescent="0.25">
      <c r="A12221">
        <f ca="1">34577.5596842252*((RANDBETWEEN(2979,3282)))</f>
        <v>103248593.2170964</v>
      </c>
      <c r="B12221">
        <v>173562858.90048528</v>
      </c>
    </row>
    <row r="12222" spans="1:2" x14ac:dyDescent="0.25">
      <c r="A12222">
        <f ca="1">31440.2279849167*((RANDBETWEEN(2979,3282)))</f>
        <v>94383564.410719857</v>
      </c>
      <c r="B12222">
        <v>149309167.16072893</v>
      </c>
    </row>
    <row r="12223" spans="1:2" x14ac:dyDescent="0.25">
      <c r="A12223">
        <f ca="1">36274.2376152711*((RANDBETWEEN(2979,3282)))</f>
        <v>117528529.87347849</v>
      </c>
      <c r="B12223">
        <v>147202444.89148167</v>
      </c>
    </row>
    <row r="12224" spans="1:2" x14ac:dyDescent="0.25">
      <c r="A12224">
        <f ca="1">30521.8943488186*((RANDBETWEEN(2979,3282)))</f>
        <v>91840380.095595196</v>
      </c>
      <c r="B12224">
        <v>186450641.82571307</v>
      </c>
    </row>
    <row r="12225" spans="1:2" x14ac:dyDescent="0.25">
      <c r="A12225">
        <f ca="1">32339.4178123*((RANDBETWEEN(2979,3282)))</f>
        <v>100931322.99218819</v>
      </c>
      <c r="B12225">
        <v>183747058.28818557</v>
      </c>
    </row>
    <row r="12226" spans="1:2" x14ac:dyDescent="0.25">
      <c r="A12226">
        <f ca="1">37803.6808801424*((RANDBETWEEN(2979,3282)))</f>
        <v>123164392.307504</v>
      </c>
      <c r="B12226">
        <v>190768418.47338206</v>
      </c>
    </row>
    <row r="12227" spans="1:2" x14ac:dyDescent="0.25">
      <c r="A12227">
        <f ca="1">31088.9730939022*((RANDBETWEEN(2979,3282)))</f>
        <v>98303332.922918856</v>
      </c>
      <c r="B12227">
        <v>149697183.32477593</v>
      </c>
    </row>
    <row r="12228" spans="1:2" x14ac:dyDescent="0.25">
      <c r="A12228">
        <f ca="1">29112.9315358411*((RANDBETWEEN(2979,3282)))</f>
        <v>93743639.545408323</v>
      </c>
      <c r="B12228">
        <v>177208418.30883393</v>
      </c>
    </row>
    <row r="12229" spans="1:2" x14ac:dyDescent="0.25">
      <c r="A12229">
        <f ca="1">30822.7654049361*((RANDBETWEEN(2979,3282)))</f>
        <v>93208042.584526852</v>
      </c>
      <c r="B12229">
        <v>162432084.07135409</v>
      </c>
    </row>
    <row r="12230" spans="1:2" x14ac:dyDescent="0.25">
      <c r="A12230">
        <f ca="1">40205.8374977223*((RANDBETWEEN(2979,3282)))</f>
        <v>126246329.74284808</v>
      </c>
      <c r="B12230">
        <v>170676319.23187149</v>
      </c>
    </row>
    <row r="12231" spans="1:2" x14ac:dyDescent="0.25">
      <c r="A12231">
        <f ca="1">38361.1446468164*((RANDBETWEEN(2979,3282)))</f>
        <v>117538547.19784534</v>
      </c>
      <c r="B12231">
        <v>202242891.049564</v>
      </c>
    </row>
    <row r="12232" spans="1:2" x14ac:dyDescent="0.25">
      <c r="A12232">
        <f ca="1">30354.9237958052*((RANDBETWEEN(2979,3282)))</f>
        <v>94039553.919404596</v>
      </c>
      <c r="B12232">
        <v>164495262.84885052</v>
      </c>
    </row>
    <row r="12233" spans="1:2" x14ac:dyDescent="0.25">
      <c r="A12233">
        <f ca="1">27457.8932766528*((RANDBETWEEN(2979,3282)))</f>
        <v>82703174.549278349</v>
      </c>
      <c r="B12233">
        <v>162519535.56255352</v>
      </c>
    </row>
    <row r="12234" spans="1:2" x14ac:dyDescent="0.25">
      <c r="A12234">
        <f ca="1">29638.0391765167*((RANDBETWEEN(2979,3282)))</f>
        <v>92203939.878143325</v>
      </c>
      <c r="B12234">
        <v>168045918.71640831</v>
      </c>
    </row>
    <row r="12235" spans="1:2" x14ac:dyDescent="0.25">
      <c r="A12235">
        <f ca="1">32761.9547929248*((RANDBETWEEN(2979,3282)))</f>
        <v>98285864.378774449</v>
      </c>
      <c r="B12235">
        <v>197220125.32187307</v>
      </c>
    </row>
    <row r="12236" spans="1:2" x14ac:dyDescent="0.25">
      <c r="A12236">
        <f ca="1">32615.1963101973*((RANDBETWEEN(2979,3282)))</f>
        <v>103161865.92915416</v>
      </c>
      <c r="B12236">
        <v>143389688.76162463</v>
      </c>
    </row>
    <row r="12237" spans="1:2" x14ac:dyDescent="0.25">
      <c r="A12237">
        <f ca="1">32701.8272660912*((RANDBETWEEN(2979,3282)))</f>
        <v>106575255.06019129</v>
      </c>
      <c r="B12237">
        <v>164333146.31528693</v>
      </c>
    </row>
    <row r="12238" spans="1:2" x14ac:dyDescent="0.25">
      <c r="A12238">
        <f ca="1">31963.3524275563*((RANDBETWEEN(2979,3282)))</f>
        <v>95698277.168103442</v>
      </c>
      <c r="B12238">
        <v>190547923.87329012</v>
      </c>
    </row>
    <row r="12239" spans="1:2" x14ac:dyDescent="0.25">
      <c r="A12239">
        <f ca="1">29160.6815371375*((RANDBETWEEN(2979,3282)))</f>
        <v>87890294.152932495</v>
      </c>
      <c r="B12239">
        <v>160920401.27992398</v>
      </c>
    </row>
    <row r="12240" spans="1:2" x14ac:dyDescent="0.25">
      <c r="A12240">
        <f ca="1">30780.1699351067*((RANDBETWEEN(2979,3282)))</f>
        <v>99696970.419810623</v>
      </c>
      <c r="B12240">
        <v>142981713.55809394</v>
      </c>
    </row>
    <row r="12241" spans="1:2" x14ac:dyDescent="0.25">
      <c r="A12241">
        <f ca="1">32052.0603949182*((RANDBETWEEN(2979,3282)))</f>
        <v>103079426.23005703</v>
      </c>
      <c r="B12241">
        <v>198517588.97440833</v>
      </c>
    </row>
    <row r="12242" spans="1:2" x14ac:dyDescent="0.25">
      <c r="A12242">
        <f ca="1">36841.6686810917*((RANDBETWEEN(2979,3282)))</f>
        <v>118224914.79762322</v>
      </c>
      <c r="B12242">
        <v>183566620.28072232</v>
      </c>
    </row>
    <row r="12243" spans="1:2" x14ac:dyDescent="0.25">
      <c r="A12243">
        <f ca="1">31948.7976546583*((RANDBETWEEN(2979,3282)))</f>
        <v>103354360.41281945</v>
      </c>
      <c r="B12243">
        <v>167601738.35764968</v>
      </c>
    </row>
    <row r="12244" spans="1:2" x14ac:dyDescent="0.25">
      <c r="A12244">
        <f ca="1">29177.8070115441*((RANDBETWEEN(2979,3282)))</f>
        <v>94681983.752460524</v>
      </c>
      <c r="B12244">
        <v>176187769.58990961</v>
      </c>
    </row>
    <row r="12245" spans="1:2" x14ac:dyDescent="0.25">
      <c r="A12245">
        <f ca="1">31318.9120550744*((RANDBETWEEN(2979,3282)))</f>
        <v>99280951.214585811</v>
      </c>
      <c r="B12245">
        <v>161995869.55880764</v>
      </c>
    </row>
    <row r="12246" spans="1:2" x14ac:dyDescent="0.25">
      <c r="A12246">
        <f ca="1">30036.8367676953*((RANDBETWEEN(2979,3282)))</f>
        <v>96268061.840463281</v>
      </c>
      <c r="B12246">
        <v>164238620.36505836</v>
      </c>
    </row>
    <row r="12247" spans="1:2" x14ac:dyDescent="0.25">
      <c r="A12247">
        <f ca="1">30945.0202025161*((RANDBETWEEN(2979,3282)))</f>
        <v>93639631.132813603</v>
      </c>
      <c r="B12247">
        <v>159238077.98065373</v>
      </c>
    </row>
    <row r="12248" spans="1:2" x14ac:dyDescent="0.25">
      <c r="A12248">
        <f ca="1">41663.6379086841*((RANDBETWEEN(2979,3282)))</f>
        <v>127199086.53521259</v>
      </c>
      <c r="B12248">
        <v>148117493.46432713</v>
      </c>
    </row>
    <row r="12249" spans="1:2" x14ac:dyDescent="0.25">
      <c r="A12249">
        <f ca="1">30866.8487859032*((RANDBETWEEN(2979,3282)))</f>
        <v>92137543.625921026</v>
      </c>
      <c r="B12249">
        <v>161007072.4738096</v>
      </c>
    </row>
    <row r="12250" spans="1:2" x14ac:dyDescent="0.25">
      <c r="A12250">
        <f ca="1">30836.7637720256*((RANDBETWEEN(2979,3282)))</f>
        <v>92016903.095724493</v>
      </c>
      <c r="B12250">
        <v>172993669.48324805</v>
      </c>
    </row>
    <row r="12251" spans="1:2" x14ac:dyDescent="0.25">
      <c r="A12251">
        <f ca="1">31457.1316463984*((RANDBETWEEN(2979,3282)))</f>
        <v>100536992.74188933</v>
      </c>
      <c r="B12251">
        <v>171833761.38986668</v>
      </c>
    </row>
    <row r="12252" spans="1:2" x14ac:dyDescent="0.25">
      <c r="A12252">
        <f ca="1">32227.8493013297*((RANDBETWEEN(2979,3282)))</f>
        <v>98166028.971850172</v>
      </c>
      <c r="B12252">
        <v>198545493.3643555</v>
      </c>
    </row>
    <row r="12253" spans="1:2" x14ac:dyDescent="0.25">
      <c r="A12253">
        <f ca="1">32039.1464925347*((RANDBETWEEN(2979,3282)))</f>
        <v>97366966.190813079</v>
      </c>
      <c r="B12253">
        <v>168924993.13190189</v>
      </c>
    </row>
    <row r="12254" spans="1:2" x14ac:dyDescent="0.25">
      <c r="A12254">
        <f ca="1">39465.2876569146*((RANDBETWEEN(2979,3282)))</f>
        <v>118987842.28559762</v>
      </c>
      <c r="B12254">
        <v>165008888.90110832</v>
      </c>
    </row>
    <row r="12255" spans="1:2" x14ac:dyDescent="0.25">
      <c r="A12255">
        <f ca="1">42976.5712852045*((RANDBETWEEN(2979,3282)))</f>
        <v>134258808.69497874</v>
      </c>
      <c r="B12255">
        <v>183786691.465406</v>
      </c>
    </row>
    <row r="12256" spans="1:2" x14ac:dyDescent="0.25">
      <c r="A12256">
        <f ca="1">29311.5893991413*((RANDBETWEEN(2979,3282)))</f>
        <v>90221072.170556918</v>
      </c>
      <c r="B12256">
        <v>148821202.84354836</v>
      </c>
    </row>
    <row r="12257" spans="1:2" x14ac:dyDescent="0.25">
      <c r="A12257">
        <f ca="1">37264.0737045271*((RANDBETWEEN(2979,3282)))</f>
        <v>118238905.86446458</v>
      </c>
      <c r="B12257">
        <v>156173311.16964161</v>
      </c>
    </row>
    <row r="12258" spans="1:2" x14ac:dyDescent="0.25">
      <c r="A12258">
        <f ca="1">37069.3921194086*((RANDBETWEEN(2979,3282)))</f>
        <v>117843597.54759979</v>
      </c>
      <c r="B12258">
        <v>161746582.53605279</v>
      </c>
    </row>
    <row r="12259" spans="1:2" x14ac:dyDescent="0.25">
      <c r="A12259">
        <f ca="1">39974.915619797*((RANDBETWEEN(2979,3282)))</f>
        <v>130078375.42681937</v>
      </c>
      <c r="B12259">
        <v>147881991.52867872</v>
      </c>
    </row>
    <row r="12260" spans="1:2" x14ac:dyDescent="0.25">
      <c r="A12260">
        <f ca="1">38437.0886665596*((RANDBETWEEN(2979,3282)))</f>
        <v>122806498.28965807</v>
      </c>
      <c r="B12260">
        <v>154946163.2460081</v>
      </c>
    </row>
    <row r="12261" spans="1:2" x14ac:dyDescent="0.25">
      <c r="A12261">
        <f ca="1">29575.7197511623*((RANDBETWEEN(2979,3282)))</f>
        <v>94021213.088944986</v>
      </c>
      <c r="B12261">
        <v>158424162.10201213</v>
      </c>
    </row>
    <row r="12262" spans="1:2" x14ac:dyDescent="0.25">
      <c r="A12262">
        <f ca="1">34069.4848409061*((RANDBETWEEN(2979,3282)))</f>
        <v>105547264.03712697</v>
      </c>
      <c r="B12262">
        <v>178975219.39860833</v>
      </c>
    </row>
    <row r="12263" spans="1:2" x14ac:dyDescent="0.25">
      <c r="A12263">
        <f ca="1">30614.4595291908*((RANDBETWEEN(2979,3282)))</f>
        <v>93710860.618852913</v>
      </c>
      <c r="B12263">
        <v>172195215.52447987</v>
      </c>
    </row>
    <row r="12264" spans="1:2" x14ac:dyDescent="0.25">
      <c r="A12264">
        <f ca="1">39909.033721039*((RANDBETWEEN(2979,3282)))</f>
        <v>126870818.19918309</v>
      </c>
      <c r="B12264">
        <v>143017913.39514744</v>
      </c>
    </row>
    <row r="12265" spans="1:2" x14ac:dyDescent="0.25">
      <c r="A12265">
        <f ca="1">30286.8219975049*((RANDBETWEEN(2979,3282)))</f>
        <v>98916760.643850923</v>
      </c>
      <c r="B12265">
        <v>162429068.82892817</v>
      </c>
    </row>
    <row r="12266" spans="1:2" x14ac:dyDescent="0.25">
      <c r="A12266">
        <f ca="1">31369.5163834987*((RANDBETWEEN(2979,3282)))</f>
        <v>99504105.968457863</v>
      </c>
      <c r="B12266">
        <v>192090784.8389827</v>
      </c>
    </row>
    <row r="12267" spans="1:2" x14ac:dyDescent="0.25">
      <c r="A12267">
        <f ca="1">29314.7003253152*((RANDBETWEEN(2979,3282)))</f>
        <v>89702982.995464593</v>
      </c>
      <c r="B12267">
        <v>158713653.46143153</v>
      </c>
    </row>
    <row r="12268" spans="1:2" x14ac:dyDescent="0.25">
      <c r="A12268">
        <f ca="1">32356.055350553*((RANDBETWEEN(2979,3282)))</f>
        <v>98394764.321031764</v>
      </c>
      <c r="B12268">
        <v>175418052.15169618</v>
      </c>
    </row>
    <row r="12269" spans="1:2" x14ac:dyDescent="0.25">
      <c r="A12269">
        <f ca="1">32474.0021728613*((RANDBETWEEN(2979,3282)))</f>
        <v>102390528.85103171</v>
      </c>
      <c r="B12269">
        <v>157084821.98005754</v>
      </c>
    </row>
    <row r="12270" spans="1:2" x14ac:dyDescent="0.25">
      <c r="A12270">
        <f ca="1">36086.588134971*((RANDBETWEEN(2979,3282)))</f>
        <v>114430570.97599302</v>
      </c>
      <c r="B12270">
        <v>192927518.14222306</v>
      </c>
    </row>
    <row r="12271" spans="1:2" x14ac:dyDescent="0.25">
      <c r="A12271">
        <f ca="1">30685.8779197495*((RANDBETWEEN(2979,3282)))</f>
        <v>96691201.325130597</v>
      </c>
      <c r="B12271">
        <v>182681493.8155883</v>
      </c>
    </row>
    <row r="12272" spans="1:2" x14ac:dyDescent="0.25">
      <c r="A12272">
        <f ca="1">33636.9327835524*((RANDBETWEEN(2979,3282)))</f>
        <v>100708976.75395593</v>
      </c>
      <c r="B12272">
        <v>187813726.096466</v>
      </c>
    </row>
    <row r="12273" spans="1:2" x14ac:dyDescent="0.25">
      <c r="A12273">
        <f ca="1">30700.7369967344*((RANDBETWEEN(2979,3282)))</f>
        <v>96277511.221759215</v>
      </c>
      <c r="B12273">
        <v>165315960.22866255</v>
      </c>
    </row>
    <row r="12274" spans="1:2" x14ac:dyDescent="0.25">
      <c r="A12274">
        <f ca="1">30286.652103577*((RANDBETWEEN(2979,3282)))</f>
        <v>94433781.258953184</v>
      </c>
      <c r="B12274">
        <v>184189136.48520523</v>
      </c>
    </row>
    <row r="12275" spans="1:2" x14ac:dyDescent="0.25">
      <c r="A12275">
        <f ca="1">32578.351275199*((RANDBETWEEN(2979,3282)))</f>
        <v>106270581.85969903</v>
      </c>
      <c r="B12275">
        <v>167126079.62399346</v>
      </c>
    </row>
    <row r="12276" spans="1:2" x14ac:dyDescent="0.25">
      <c r="A12276">
        <f ca="1">32212.4015671723*((RANDBETWEEN(2979,3282)))</f>
        <v>99407471.236293599</v>
      </c>
      <c r="B12276">
        <v>196359754.23455101</v>
      </c>
    </row>
    <row r="12277" spans="1:2" x14ac:dyDescent="0.25">
      <c r="A12277">
        <f ca="1">38699.4570405087*((RANDBETWEEN(2979,3282)))</f>
        <v>123451267.95922261</v>
      </c>
      <c r="B12277">
        <v>158735653.18055579</v>
      </c>
    </row>
    <row r="12278" spans="1:2" x14ac:dyDescent="0.25">
      <c r="A12278">
        <f ca="1">31436.5629978307*((RANDBETWEEN(2979,3282)))</f>
        <v>95881517.143383741</v>
      </c>
      <c r="B12278">
        <v>147203114.39572048</v>
      </c>
    </row>
    <row r="12279" spans="1:2" x14ac:dyDescent="0.25">
      <c r="A12279">
        <f ca="1">30022.9110937905*((RANDBETWEEN(2979,3282)))</f>
        <v>94662238.678721547</v>
      </c>
      <c r="B12279">
        <v>182317798.02046713</v>
      </c>
    </row>
    <row r="12280" spans="1:2" x14ac:dyDescent="0.25">
      <c r="A12280">
        <f ca="1">30445.1699582198*((RANDBETWEEN(2979,3282)))</f>
        <v>97759440.735843748</v>
      </c>
      <c r="B12280">
        <v>186174488.44434664</v>
      </c>
    </row>
    <row r="12281" spans="1:2" x14ac:dyDescent="0.25">
      <c r="A12281">
        <f ca="1">29875.532667878*((RANDBETWEEN(2979,3282)))</f>
        <v>94705438.557173207</v>
      </c>
      <c r="B12281">
        <v>162060539.69110966</v>
      </c>
    </row>
    <row r="12282" spans="1:2" x14ac:dyDescent="0.25">
      <c r="A12282">
        <f ca="1">32979.4545723484*((RANDBETWEEN(2979,3282)))</f>
        <v>107776857.54243468</v>
      </c>
      <c r="B12282">
        <v>143262812.90936333</v>
      </c>
    </row>
    <row r="12283" spans="1:2" x14ac:dyDescent="0.25">
      <c r="A12283">
        <f ca="1">32387.7346895615*((RANDBETWEEN(2979,3282)))</f>
        <v>98782590.803162605</v>
      </c>
      <c r="B12283">
        <v>159443124.37328881</v>
      </c>
    </row>
    <row r="12284" spans="1:2" x14ac:dyDescent="0.25">
      <c r="A12284">
        <f ca="1">32812.5856274624*((RANDBETWEEN(2979,3282)))</f>
        <v>98765882.7386619</v>
      </c>
      <c r="B12284">
        <v>143354543.46132088</v>
      </c>
    </row>
    <row r="12285" spans="1:2" x14ac:dyDescent="0.25">
      <c r="A12285">
        <f ca="1">38423.5370777869*((RANDBETWEEN(2979,3282)))</f>
        <v>124415413.0578739</v>
      </c>
      <c r="B12285">
        <v>179306568.76151979</v>
      </c>
    </row>
    <row r="12286" spans="1:2" x14ac:dyDescent="0.25">
      <c r="A12286">
        <f ca="1">32075.9630408051*((RANDBETWEEN(2979,3282)))</f>
        <v>96676952.604986638</v>
      </c>
      <c r="B12286">
        <v>195701670.68004322</v>
      </c>
    </row>
    <row r="12287" spans="1:2" x14ac:dyDescent="0.25">
      <c r="A12287">
        <f ca="1">33404.4149494784*((RANDBETWEEN(2979,3282)))</f>
        <v>101516017.03146473</v>
      </c>
      <c r="B12287">
        <v>179782221.26207095</v>
      </c>
    </row>
    <row r="12288" spans="1:2" x14ac:dyDescent="0.25">
      <c r="A12288">
        <f ca="1">30277.6070960245*((RANDBETWEEN(2979,3282)))</f>
        <v>98614166.311751798</v>
      </c>
      <c r="B12288">
        <v>157916673.66085145</v>
      </c>
    </row>
    <row r="12289" spans="1:2" x14ac:dyDescent="0.25">
      <c r="A12289">
        <f ca="1">37294.5901493038*((RANDBETWEEN(2979,3282)))</f>
        <v>121170123.39508803</v>
      </c>
      <c r="B12289">
        <v>154038935.50293052</v>
      </c>
    </row>
    <row r="12290" spans="1:2" x14ac:dyDescent="0.25">
      <c r="A12290">
        <f ca="1">32612.4976494957*((RANDBETWEEN(2979,3282)))</f>
        <v>100152980.28160128</v>
      </c>
      <c r="B12290">
        <v>189279772.44004571</v>
      </c>
    </row>
    <row r="12291" spans="1:2" x14ac:dyDescent="0.25">
      <c r="A12291">
        <f ca="1">30100.1191262282*((RANDBETWEEN(2979,3282)))</f>
        <v>97855487.27936773</v>
      </c>
      <c r="B12291">
        <v>192733859.70205459</v>
      </c>
    </row>
    <row r="12292" spans="1:2" x14ac:dyDescent="0.25">
      <c r="A12292">
        <f ca="1">29631.2480572114*((RANDBETWEEN(2979,3282)))</f>
        <v>89604894.125007346</v>
      </c>
      <c r="B12292">
        <v>150753101.57202691</v>
      </c>
    </row>
    <row r="12293" spans="1:2" x14ac:dyDescent="0.25">
      <c r="A12293">
        <f ca="1">33825.0957378121*((RANDBETWEEN(2979,3282)))</f>
        <v>104587196.02131499</v>
      </c>
      <c r="B12293">
        <v>183983677.77710348</v>
      </c>
    </row>
    <row r="12294" spans="1:2" x14ac:dyDescent="0.25">
      <c r="A12294">
        <f ca="1">37202.9867419515*((RANDBETWEEN(2979,3282)))</f>
        <v>116296536.55534033</v>
      </c>
      <c r="B12294">
        <v>149385292.82340607</v>
      </c>
    </row>
    <row r="12295" spans="1:2" x14ac:dyDescent="0.25">
      <c r="A12295">
        <f ca="1">35563.3544529105*((RANDBETWEEN(2979,3282)))</f>
        <v>116612239.25109364</v>
      </c>
      <c r="B12295">
        <v>169273670.82470888</v>
      </c>
    </row>
    <row r="12296" spans="1:2" x14ac:dyDescent="0.25">
      <c r="A12296">
        <f ca="1">34298.351661503*((RANDBETWEEN(2979,3282)))</f>
        <v>111572537.95486939</v>
      </c>
      <c r="B12296">
        <v>164940113.59727502</v>
      </c>
    </row>
    <row r="12297" spans="1:2" x14ac:dyDescent="0.25">
      <c r="A12297">
        <f ca="1">39506.584973621*((RANDBETWEEN(2979,3282)))</f>
        <v>127408736.53992787</v>
      </c>
      <c r="B12297">
        <v>161019588.29174721</v>
      </c>
    </row>
    <row r="12298" spans="1:2" x14ac:dyDescent="0.25">
      <c r="A12298">
        <f ca="1">31088.6640381897*((RANDBETWEEN(2979,3282)))</f>
        <v>99794611.562588975</v>
      </c>
      <c r="B12298">
        <v>177112407.90948835</v>
      </c>
    </row>
    <row r="12299" spans="1:2" x14ac:dyDescent="0.25">
      <c r="A12299">
        <f ca="1">38143.2324672781*((RANDBETWEEN(2979,3282)))</f>
        <v>114582270.33170335</v>
      </c>
      <c r="B12299">
        <v>171422988.03877747</v>
      </c>
    </row>
    <row r="12300" spans="1:2" x14ac:dyDescent="0.25">
      <c r="A12300">
        <f ca="1">31572.6426313744*((RANDBETWEEN(2979,3282)))</f>
        <v>99295961.075672537</v>
      </c>
      <c r="B12300">
        <v>156202299.64611107</v>
      </c>
    </row>
    <row r="12301" spans="1:2" x14ac:dyDescent="0.25">
      <c r="A12301">
        <f ca="1">29191.9637002826*((RANDBETWEEN(2979,3282)))</f>
        <v>94727922.207416952</v>
      </c>
      <c r="B12301">
        <v>160486364.61007509</v>
      </c>
    </row>
    <row r="12302" spans="1:2" x14ac:dyDescent="0.25">
      <c r="A12302">
        <f ca="1">32640.7980407639*((RANDBETWEEN(2979,3282)))</f>
        <v>103046999.41469173</v>
      </c>
      <c r="B12302">
        <v>153939962.58837873</v>
      </c>
    </row>
    <row r="12303" spans="1:2" x14ac:dyDescent="0.25">
      <c r="A12303">
        <f ca="1">41478.9699519849*((RANDBETWEEN(2979,3282)))</f>
        <v>130119528.73937671</v>
      </c>
      <c r="B12303">
        <v>188872434.41780394</v>
      </c>
    </row>
    <row r="12304" spans="1:2" x14ac:dyDescent="0.25">
      <c r="A12304">
        <f ca="1">32975.6400416599*((RANDBETWEEN(2979,3282)))</f>
        <v>100707604.68722947</v>
      </c>
      <c r="B12304">
        <v>193313094.52922732</v>
      </c>
    </row>
    <row r="12305" spans="1:2" x14ac:dyDescent="0.25">
      <c r="A12305">
        <f ca="1">37910.6466903509*((RANDBETWEEN(2979,3282)))</f>
        <v>117409272.80001664</v>
      </c>
      <c r="B12305">
        <v>162094107.61908638</v>
      </c>
    </row>
    <row r="12306" spans="1:2" x14ac:dyDescent="0.25">
      <c r="A12306">
        <f ca="1">36543.4833925234*((RANDBETWEEN(2979,3282)))</f>
        <v>118547060.12534593</v>
      </c>
      <c r="B12306">
        <v>188259749.19479924</v>
      </c>
    </row>
    <row r="12307" spans="1:2" x14ac:dyDescent="0.25">
      <c r="A12307">
        <f ca="1">31218.8202789111*((RANDBETWEEN(2979,3282)))</f>
        <v>101586041.18757658</v>
      </c>
      <c r="B12307">
        <v>164176746.42815363</v>
      </c>
    </row>
    <row r="12308" spans="1:2" x14ac:dyDescent="0.25">
      <c r="A12308">
        <f ca="1">41832.7458049683*((RANDBETWEEN(2979,3282)))</f>
        <v>126083895.85617447</v>
      </c>
      <c r="B12308">
        <v>174481541.94513276</v>
      </c>
    </row>
    <row r="12309" spans="1:2" x14ac:dyDescent="0.25">
      <c r="A12309">
        <f ca="1">32990.39247133*((RANDBETWEEN(2979,3282)))</f>
        <v>100125841.15048657</v>
      </c>
      <c r="B12309">
        <v>148612070.21003246</v>
      </c>
    </row>
    <row r="12310" spans="1:2" x14ac:dyDescent="0.25">
      <c r="A12310">
        <f ca="1">39519.6996331262*((RANDBETWEEN(2979,3282)))</f>
        <v>126976794.92123438</v>
      </c>
      <c r="B12310">
        <v>147133798.25430238</v>
      </c>
    </row>
    <row r="12311" spans="1:2" x14ac:dyDescent="0.25">
      <c r="A12311">
        <f ca="1">32247.6879646997*((RANDBETWEEN(2979,3282)))</f>
        <v>96807559.270028532</v>
      </c>
      <c r="B12311">
        <v>202003161.41809496</v>
      </c>
    </row>
    <row r="12312" spans="1:2" x14ac:dyDescent="0.25">
      <c r="A12312">
        <f ca="1">27694.4754325595*((RANDBETWEEN(2979,3282)))</f>
        <v>85160511.95512037</v>
      </c>
      <c r="B12312">
        <v>143644147.6458548</v>
      </c>
    </row>
    <row r="12313" spans="1:2" x14ac:dyDescent="0.25">
      <c r="A12313">
        <f ca="1">30036.0677994747*((RANDBETWEEN(2979,3282)))</f>
        <v>97316859.67029798</v>
      </c>
      <c r="B12313">
        <v>198165055.50152594</v>
      </c>
    </row>
    <row r="12314" spans="1:2" x14ac:dyDescent="0.25">
      <c r="A12314">
        <f ca="1">41993.8390175054*((RANDBETWEEN(2979,3282)))</f>
        <v>130012925.59819685</v>
      </c>
      <c r="B12314">
        <v>176091463.48220223</v>
      </c>
    </row>
    <row r="12315" spans="1:2" x14ac:dyDescent="0.25">
      <c r="A12315">
        <f ca="1">31011.0659533979*((RANDBETWEEN(2979,3282)))</f>
        <v>97684857.753203258</v>
      </c>
      <c r="B12315">
        <v>144223512.98136061</v>
      </c>
    </row>
    <row r="12316" spans="1:2" x14ac:dyDescent="0.25">
      <c r="A12316">
        <f ca="1">31185.8339816684*((RANDBETWEEN(2979,3282)))</f>
        <v>97019129.516970336</v>
      </c>
      <c r="B12316">
        <v>162025395.87684959</v>
      </c>
    </row>
    <row r="12317" spans="1:2" x14ac:dyDescent="0.25">
      <c r="A12317">
        <f ca="1">36133.394372242*((RANDBETWEEN(2979,3282)))</f>
        <v>108111115.96174809</v>
      </c>
      <c r="B12317">
        <v>155353303.72677159</v>
      </c>
    </row>
    <row r="12318" spans="1:2" x14ac:dyDescent="0.25">
      <c r="A12318">
        <f ca="1">34435.1436762589*((RANDBETWEEN(2979,3282)))</f>
        <v>110330200.33873366</v>
      </c>
      <c r="B12318">
        <v>167028542.33216923</v>
      </c>
    </row>
    <row r="12319" spans="1:2" x14ac:dyDescent="0.25">
      <c r="A12319">
        <f ca="1">30659.0792822653*((RANDBETWEEN(2979,3282)))</f>
        <v>95503031.964256272</v>
      </c>
      <c r="B12319">
        <v>148900204.25896394</v>
      </c>
    </row>
    <row r="12320" spans="1:2" x14ac:dyDescent="0.25">
      <c r="A12320">
        <f ca="1">32844.1027923025*((RANDBETWEEN(2979,3282)))</f>
        <v>107334527.9252447</v>
      </c>
      <c r="B12320">
        <v>148809820.08943626</v>
      </c>
    </row>
    <row r="12321" spans="1:2" x14ac:dyDescent="0.25">
      <c r="A12321">
        <f ca="1">39253.6986796626*((RANDBETWEEN(2979,3282)))</f>
        <v>117447066.44955038</v>
      </c>
      <c r="B12321">
        <v>163617823.85555673</v>
      </c>
    </row>
    <row r="12322" spans="1:2" x14ac:dyDescent="0.25">
      <c r="A12322">
        <f ca="1">29622.1662417859*((RANDBETWEEN(2979,3282)))</f>
        <v>90466095.702414021</v>
      </c>
      <c r="B12322">
        <v>185031011.90008795</v>
      </c>
    </row>
    <row r="12323" spans="1:2" x14ac:dyDescent="0.25">
      <c r="A12323">
        <f ca="1">29776.2803797963*((RANDBETWEEN(2979,3282)))</f>
        <v>96028504.224842995</v>
      </c>
      <c r="B12323">
        <v>183932460.38243249</v>
      </c>
    </row>
    <row r="12324" spans="1:2" x14ac:dyDescent="0.25">
      <c r="A12324">
        <f ca="1">32737.6834950499*((RANDBETWEEN(2979,3282)))</f>
        <v>100177311.49485268</v>
      </c>
      <c r="B12324">
        <v>166267824.22669369</v>
      </c>
    </row>
    <row r="12325" spans="1:2" x14ac:dyDescent="0.25">
      <c r="A12325">
        <f ca="1">38469.5904884285*((RANDBETWEEN(2979,3282)))</f>
        <v>124872290.72543879</v>
      </c>
      <c r="B12325">
        <v>175339254.40578949</v>
      </c>
    </row>
    <row r="12326" spans="1:2" x14ac:dyDescent="0.25">
      <c r="A12326">
        <f ca="1">33981.8439352393*((RANDBETWEEN(2979,3282)))</f>
        <v>102047477.33752356</v>
      </c>
      <c r="B12326">
        <v>153967557.77306825</v>
      </c>
    </row>
    <row r="12327" spans="1:2" x14ac:dyDescent="0.25">
      <c r="A12327">
        <f ca="1">37505.8121574223*((RANDBETWEEN(2979,3282)))</f>
        <v>112442424.84795208</v>
      </c>
      <c r="B12327">
        <v>182614726.92231965</v>
      </c>
    </row>
    <row r="12328" spans="1:2" x14ac:dyDescent="0.25">
      <c r="A12328">
        <f ca="1">30809.2784361769*((RANDBETWEEN(2979,3282)))</f>
        <v>95046623.975605592</v>
      </c>
      <c r="B12328">
        <v>182248754.88017428</v>
      </c>
    </row>
    <row r="12329" spans="1:2" x14ac:dyDescent="0.25">
      <c r="A12329">
        <f ca="1">40943.0885327088*((RANDBETWEEN(2979,3282)))</f>
        <v>128888842.70096743</v>
      </c>
      <c r="B12329">
        <v>169228860.52159423</v>
      </c>
    </row>
    <row r="12330" spans="1:2" x14ac:dyDescent="0.25">
      <c r="A12330">
        <f ca="1">41028.4504864674*((RANDBETWEEN(2979,3282)))</f>
        <v>125957342.99345486</v>
      </c>
      <c r="B12330">
        <v>188386425.14794892</v>
      </c>
    </row>
    <row r="12331" spans="1:2" x14ac:dyDescent="0.25">
      <c r="A12331">
        <f ca="1">29246.1025271183*((RANDBETWEEN(2979,3282)))</f>
        <v>90399702.911322564</v>
      </c>
      <c r="B12331">
        <v>150888546.76918605</v>
      </c>
    </row>
    <row r="12332" spans="1:2" x14ac:dyDescent="0.25">
      <c r="A12332">
        <f ca="1">27491.0810951523*((RANDBETWEEN(2979,3282)))</f>
        <v>82528225.447647214</v>
      </c>
      <c r="B12332">
        <v>154284652.2301819</v>
      </c>
    </row>
    <row r="12333" spans="1:2" x14ac:dyDescent="0.25">
      <c r="A12333">
        <f ca="1">42709.0046627977*((RANDBETWEEN(2979,3282)))</f>
        <v>127828050.95575349</v>
      </c>
      <c r="B12333">
        <v>188931502.68921697</v>
      </c>
    </row>
    <row r="12334" spans="1:2" x14ac:dyDescent="0.25">
      <c r="A12334">
        <f ca="1">33801.1623401422*((RANDBETWEEN(2979,3282)))</f>
        <v>102349919.56595048</v>
      </c>
      <c r="B12334">
        <v>173378369.23569477</v>
      </c>
    </row>
    <row r="12335" spans="1:2" x14ac:dyDescent="0.25">
      <c r="A12335">
        <f ca="1">31149.8082195375*((RANDBETWEEN(2979,3282)))</f>
        <v>94165870.247661963</v>
      </c>
      <c r="B12335">
        <v>157429943.83113551</v>
      </c>
    </row>
    <row r="12336" spans="1:2" x14ac:dyDescent="0.25">
      <c r="A12336">
        <f ca="1">30419.2294765387*((RANDBETWEEN(2979,3282)))</f>
        <v>97250276.636494309</v>
      </c>
      <c r="B12336">
        <v>145748574.45011327</v>
      </c>
    </row>
    <row r="12337" spans="1:2" x14ac:dyDescent="0.25">
      <c r="A12337">
        <f ca="1">34602.7189037383*((RANDBETWEEN(2979,3282)))</f>
        <v>112355028.28043839</v>
      </c>
      <c r="B12337">
        <v>144316084.88904604</v>
      </c>
    </row>
    <row r="12338" spans="1:2" x14ac:dyDescent="0.25">
      <c r="A12338">
        <f ca="1">30041.0331101596*((RANDBETWEEN(2979,3282)))</f>
        <v>91865479.250868022</v>
      </c>
      <c r="B12338">
        <v>176889599.35865498</v>
      </c>
    </row>
    <row r="12339" spans="1:2" x14ac:dyDescent="0.25">
      <c r="A12339">
        <f ca="1">36574.4159291849*((RANDBETWEEN(2979,3282)))</f>
        <v>117477023.96454194</v>
      </c>
      <c r="B12339">
        <v>175459913.65999487</v>
      </c>
    </row>
    <row r="12340" spans="1:2" x14ac:dyDescent="0.25">
      <c r="A12340">
        <f ca="1">27486.3444233393*((RANDBETWEEN(2979,3282)))</f>
        <v>86554498.589095592</v>
      </c>
      <c r="B12340">
        <v>162248361.22313064</v>
      </c>
    </row>
    <row r="12341" spans="1:2" x14ac:dyDescent="0.25">
      <c r="A12341">
        <f ca="1">39331.4452220538*((RANDBETWEEN(2979,3282)))</f>
        <v>127394551.07423212</v>
      </c>
      <c r="B12341">
        <v>163718617.94695333</v>
      </c>
    </row>
    <row r="12342" spans="1:2" x14ac:dyDescent="0.25">
      <c r="A12342">
        <f ca="1">41420.6798841121*((RANDBETWEEN(2979,3282)))</f>
        <v>132629016.98892684</v>
      </c>
      <c r="B12342">
        <v>173246178.99230492</v>
      </c>
    </row>
    <row r="12343" spans="1:2" x14ac:dyDescent="0.25">
      <c r="A12343">
        <f ca="1">31739.8215605246*((RANDBETWEEN(2979,3282)))</f>
        <v>98964763.625715658</v>
      </c>
      <c r="B12343">
        <v>164452655.88287473</v>
      </c>
    </row>
    <row r="12344" spans="1:2" x14ac:dyDescent="0.25">
      <c r="A12344">
        <f ca="1">34489.9110065684*((RANDBETWEEN(2979,3282)))</f>
        <v>108988118.78075635</v>
      </c>
      <c r="B12344">
        <v>202424685.11935443</v>
      </c>
    </row>
    <row r="12345" spans="1:2" x14ac:dyDescent="0.25">
      <c r="A12345">
        <f ca="1">32712.1295615026*((RANDBETWEEN(2979,3282)))</f>
        <v>105692890.613215</v>
      </c>
      <c r="B12345">
        <v>179074818.71979499</v>
      </c>
    </row>
    <row r="12346" spans="1:2" x14ac:dyDescent="0.25">
      <c r="A12346">
        <f ca="1">38663.6019991939*((RANDBETWEEN(2979,3282)))</f>
        <v>123568871.98942371</v>
      </c>
      <c r="B12346">
        <v>174583196.96149153</v>
      </c>
    </row>
    <row r="12347" spans="1:2" x14ac:dyDescent="0.25">
      <c r="A12347">
        <f ca="1">29591.8551207783*((RANDBETWEEN(2979,3282)))</f>
        <v>95285773.488906011</v>
      </c>
      <c r="B12347">
        <v>144621801.37061602</v>
      </c>
    </row>
    <row r="12348" spans="1:2" x14ac:dyDescent="0.25">
      <c r="A12348">
        <f ca="1">41710.5617292882*((RANDBETWEEN(2979,3282)))</f>
        <v>127133792.15087058</v>
      </c>
      <c r="B12348">
        <v>189832173.07973811</v>
      </c>
    </row>
    <row r="12349" spans="1:2" x14ac:dyDescent="0.25">
      <c r="A12349">
        <f ca="1">28413.4158965061*((RANDBETWEEN(2979,3282)))</f>
        <v>85552795.264379933</v>
      </c>
      <c r="B12349">
        <v>147365890.90374988</v>
      </c>
    </row>
    <row r="12350" spans="1:2" x14ac:dyDescent="0.25">
      <c r="A12350">
        <f ca="1">34989.012397271*((RANDBETWEEN(2979,3282)))</f>
        <v>104862070.15462133</v>
      </c>
      <c r="B12350">
        <v>154462742.9217177</v>
      </c>
    </row>
    <row r="12351" spans="1:2" x14ac:dyDescent="0.25">
      <c r="A12351">
        <f ca="1">34833.8978065073*((RANDBETWEEN(2979,3282)))</f>
        <v>109030100.13436776</v>
      </c>
      <c r="B12351">
        <v>173526591.56606233</v>
      </c>
    </row>
    <row r="12352" spans="1:2" x14ac:dyDescent="0.25">
      <c r="A12352">
        <f ca="1">30022.5484493114*((RANDBETWEEN(2979,3282)))</f>
        <v>94000599.194793984</v>
      </c>
      <c r="B12352">
        <v>148994937.7526415</v>
      </c>
    </row>
    <row r="12353" spans="1:2" x14ac:dyDescent="0.25">
      <c r="A12353">
        <f ca="1">35843.4260174283*((RANDBETWEEN(2979,3282)))</f>
        <v>111616428.61827187</v>
      </c>
      <c r="B12353">
        <v>155038135.68144357</v>
      </c>
    </row>
    <row r="12354" spans="1:2" x14ac:dyDescent="0.25">
      <c r="A12354">
        <f ca="1">37643.2474187023*((RANDBETWEEN(2979,3282)))</f>
        <v>120759537.71919687</v>
      </c>
      <c r="B12354">
        <v>180755436.28270411</v>
      </c>
    </row>
    <row r="12355" spans="1:2" x14ac:dyDescent="0.25">
      <c r="A12355">
        <f ca="1">32255.3922776676*((RANDBETWEEN(2979,3282)))</f>
        <v>105829942.06302725</v>
      </c>
      <c r="B12355">
        <v>149507668.17818397</v>
      </c>
    </row>
    <row r="12356" spans="1:2" x14ac:dyDescent="0.25">
      <c r="A12356">
        <f ca="1">39809.0943369163*((RANDBETWEEN(2979,3282)))</f>
        <v>127667765.53849052</v>
      </c>
      <c r="B12356">
        <v>178660356.60346517</v>
      </c>
    </row>
    <row r="12357" spans="1:2" x14ac:dyDescent="0.25">
      <c r="A12357">
        <f ca="1">31566.8604046316*((RANDBETWEEN(2979,3282)))</f>
        <v>95174084.119964302</v>
      </c>
      <c r="B12357">
        <v>196606839.00858057</v>
      </c>
    </row>
    <row r="12358" spans="1:2" x14ac:dyDescent="0.25">
      <c r="A12358">
        <f ca="1">40919.4413219409*((RANDBETWEEN(2979,3282)))</f>
        <v>129510031.78394306</v>
      </c>
      <c r="B12358">
        <v>191201237.41074574</v>
      </c>
    </row>
    <row r="12359" spans="1:2" x14ac:dyDescent="0.25">
      <c r="A12359">
        <f ca="1">38487.3030645313*((RANDBETWEEN(2979,3282)))</f>
        <v>118925766.46940175</v>
      </c>
      <c r="B12359">
        <v>144914897.27597356</v>
      </c>
    </row>
    <row r="12360" spans="1:2" x14ac:dyDescent="0.25">
      <c r="A12360">
        <f ca="1">34184.03412645*((RANDBETWEEN(2979,3282)))</f>
        <v>110414430.22843358</v>
      </c>
      <c r="B12360">
        <v>159051130.8173508</v>
      </c>
    </row>
    <row r="12361" spans="1:2" x14ac:dyDescent="0.25">
      <c r="A12361">
        <f ca="1">33326.9469145883*((RANDBETWEEN(2979,3282)))</f>
        <v>106546249.2859387</v>
      </c>
      <c r="B12361">
        <v>188054459.79118183</v>
      </c>
    </row>
    <row r="12362" spans="1:2" x14ac:dyDescent="0.25">
      <c r="A12362">
        <f ca="1">31827.3586769664*((RANDBETWEEN(2979,3282)))</f>
        <v>101433792.10349193</v>
      </c>
      <c r="B12362">
        <v>162613416.30432782</v>
      </c>
    </row>
    <row r="12363" spans="1:2" x14ac:dyDescent="0.25">
      <c r="A12363">
        <f ca="1">35732.6296841661*((RANDBETWEEN(2979,3282)))</f>
        <v>109591975.24133755</v>
      </c>
      <c r="B12363">
        <v>142943827.19612485</v>
      </c>
    </row>
    <row r="12364" spans="1:2" x14ac:dyDescent="0.25">
      <c r="A12364">
        <f ca="1">30882.6861748594*((RANDBETWEEN(2979,3282)))</f>
        <v>94223075.51949589</v>
      </c>
      <c r="B12364">
        <v>171258390.07943785</v>
      </c>
    </row>
    <row r="12365" spans="1:2" x14ac:dyDescent="0.25">
      <c r="A12365">
        <f ca="1">29807.9509119365*((RANDBETWEEN(2979,3282)))</f>
        <v>96011409.887347594</v>
      </c>
      <c r="B12365">
        <v>150784699.34221569</v>
      </c>
    </row>
    <row r="12366" spans="1:2" x14ac:dyDescent="0.25">
      <c r="A12366">
        <f ca="1">32021.1779886055*((RANDBETWEEN(2979,3282)))</f>
        <v>105093506.15860339</v>
      </c>
      <c r="B12366">
        <v>147735825.20310965</v>
      </c>
    </row>
    <row r="12367" spans="1:2" x14ac:dyDescent="0.25">
      <c r="A12367">
        <f ca="1">31511.304915495*((RANDBETWEEN(2979,3282)))</f>
        <v>98945497.434654176</v>
      </c>
      <c r="B12367">
        <v>166605757.65172857</v>
      </c>
    </row>
    <row r="12368" spans="1:2" x14ac:dyDescent="0.25">
      <c r="A12368">
        <f ca="1">36718.7383601637*((RANDBETWEEN(2979,3282)))</f>
        <v>112285901.90538056</v>
      </c>
      <c r="B12368">
        <v>180150078.83289477</v>
      </c>
    </row>
    <row r="12369" spans="1:2" x14ac:dyDescent="0.25">
      <c r="A12369">
        <f ca="1">36289.306749515*((RANDBETWEEN(2979,3282)))</f>
        <v>110863832.11976826</v>
      </c>
      <c r="B12369">
        <v>177573598.90004483</v>
      </c>
    </row>
    <row r="12370" spans="1:2" x14ac:dyDescent="0.25">
      <c r="A12370">
        <f ca="1">38325.8158106738*((RANDBETWEEN(2979,3282)))</f>
        <v>123140846.19969502</v>
      </c>
      <c r="B12370">
        <v>157593788.76610595</v>
      </c>
    </row>
    <row r="12371" spans="1:2" x14ac:dyDescent="0.25">
      <c r="A12371">
        <f ca="1">31058.6161804647*((RANDBETWEEN(2979,3282)))</f>
        <v>101530616.29393922</v>
      </c>
      <c r="B12371">
        <v>172485640.79036826</v>
      </c>
    </row>
    <row r="12372" spans="1:2" x14ac:dyDescent="0.25">
      <c r="A12372">
        <f ca="1">32310.0545432843*((RANDBETWEEN(2979,3282)))</f>
        <v>103553724.81122619</v>
      </c>
      <c r="B12372">
        <v>197128416.98268652</v>
      </c>
    </row>
    <row r="12373" spans="1:2" x14ac:dyDescent="0.25">
      <c r="A12373">
        <f ca="1">36645.3682764895*((RANDBETWEEN(2979,3282)))</f>
        <v>113600641.65711747</v>
      </c>
      <c r="B12373">
        <v>176458380.95906535</v>
      </c>
    </row>
    <row r="12374" spans="1:2" x14ac:dyDescent="0.25">
      <c r="A12374">
        <f ca="1">39081.8240335412*((RANDBETWEEN(2979,3282)))</f>
        <v>119746708.83877018</v>
      </c>
      <c r="B12374">
        <v>200924527.87509197</v>
      </c>
    </row>
    <row r="12375" spans="1:2" x14ac:dyDescent="0.25">
      <c r="A12375">
        <f ca="1">32885.4899433141*((RANDBETWEEN(2979,3282)))</f>
        <v>103063125.48234628</v>
      </c>
      <c r="B12375">
        <v>154001367.35271025</v>
      </c>
    </row>
    <row r="12376" spans="1:2" x14ac:dyDescent="0.25">
      <c r="A12376">
        <f ca="1">39065.5237553545*((RANDBETWEEN(2979,3282)))</f>
        <v>120478075.26151314</v>
      </c>
      <c r="B12376">
        <v>143591654.23987624</v>
      </c>
    </row>
    <row r="12377" spans="1:2" x14ac:dyDescent="0.25">
      <c r="A12377">
        <f ca="1">32702.4340383432*((RANDBETWEEN(2979,3282)))</f>
        <v>100461877.36579043</v>
      </c>
      <c r="B12377">
        <v>158717579.27963966</v>
      </c>
    </row>
    <row r="12378" spans="1:2" x14ac:dyDescent="0.25">
      <c r="A12378">
        <f ca="1">30141.9329333235*((RANDBETWEEN(2979,3282)))</f>
        <v>90244947.20237045</v>
      </c>
      <c r="B12378">
        <v>146159680.44649771</v>
      </c>
    </row>
    <row r="12379" spans="1:2" x14ac:dyDescent="0.25">
      <c r="A12379">
        <f ca="1">34148.0833509893*((RANDBETWEEN(2979,3282)))</f>
        <v>102819878.96982871</v>
      </c>
      <c r="B12379">
        <v>172373533.07304612</v>
      </c>
    </row>
    <row r="12380" spans="1:2" x14ac:dyDescent="0.25">
      <c r="A12380">
        <f ca="1">38231.4300290616*((RANDBETWEEN(2979,3282)))</f>
        <v>117867498.77959676</v>
      </c>
      <c r="B12380">
        <v>155786409.19687581</v>
      </c>
    </row>
    <row r="12381" spans="1:2" x14ac:dyDescent="0.25">
      <c r="A12381">
        <f ca="1">29571.7187511917*((RANDBETWEEN(2979,3282)))</f>
        <v>96492518.285138547</v>
      </c>
      <c r="B12381">
        <v>145949480.15895846</v>
      </c>
    </row>
    <row r="12382" spans="1:2" x14ac:dyDescent="0.25">
      <c r="A12382">
        <f ca="1">28732.5505668076*((RANDBETWEEN(2979,3282)))</f>
        <v>93179661.488156915</v>
      </c>
      <c r="B12382">
        <v>157895503.24519065</v>
      </c>
    </row>
    <row r="12383" spans="1:2" x14ac:dyDescent="0.25">
      <c r="A12383">
        <f ca="1">32705.286280275*((RANDBETWEEN(2979,3282)))</f>
        <v>105507253.5401673</v>
      </c>
      <c r="B12383">
        <v>195858174.8863644</v>
      </c>
    </row>
    <row r="12384" spans="1:2" x14ac:dyDescent="0.25">
      <c r="A12384">
        <f ca="1">38328.7994158669*((RANDBETWEEN(2979,3282)))</f>
        <v>124415282.90390387</v>
      </c>
      <c r="B12384">
        <v>181507146.31259286</v>
      </c>
    </row>
    <row r="12385" spans="1:2" x14ac:dyDescent="0.25">
      <c r="A12385">
        <f ca="1">39973.8065043474*((RANDBETWEEN(2979,3282)))</f>
        <v>123998747.77648553</v>
      </c>
      <c r="B12385">
        <v>187193951.84472695</v>
      </c>
    </row>
    <row r="12386" spans="1:2" x14ac:dyDescent="0.25">
      <c r="A12386">
        <f ca="1">38320.8645657454*((RANDBETWEEN(2979,3282)))</f>
        <v>115154198.02006479</v>
      </c>
      <c r="B12386">
        <v>164147837.97517258</v>
      </c>
    </row>
    <row r="12387" spans="1:2" x14ac:dyDescent="0.25">
      <c r="A12387">
        <f ca="1">30863.8872577004*((RANDBETWEEN(2979,3282)))</f>
        <v>92653389.547616586</v>
      </c>
      <c r="B12387">
        <v>150189311.46028763</v>
      </c>
    </row>
    <row r="12388" spans="1:2" x14ac:dyDescent="0.25">
      <c r="A12388">
        <f ca="1">32313.3874278277*((RANDBETWEEN(2979,3282)))</f>
        <v>96293894.534926638</v>
      </c>
      <c r="B12388">
        <v>170914470.44471633</v>
      </c>
    </row>
    <row r="12389" spans="1:2" x14ac:dyDescent="0.25">
      <c r="A12389">
        <f ca="1">35364.5056734679*((RANDBETWEEN(2979,3282)))</f>
        <v>112600586.06432188</v>
      </c>
      <c r="B12389">
        <v>164975638.89813861</v>
      </c>
    </row>
    <row r="12390" spans="1:2" x14ac:dyDescent="0.25">
      <c r="A12390">
        <f ca="1">30695.5961868633*((RANDBETWEEN(2979,3282)))</f>
        <v>100435990.72341666</v>
      </c>
      <c r="B12390">
        <v>154043598.36259937</v>
      </c>
    </row>
    <row r="12391" spans="1:2" x14ac:dyDescent="0.25">
      <c r="A12391">
        <f ca="1">36225.8276175886*((RANDBETWEEN(2979,3282)))</f>
        <v>113531743.75352253</v>
      </c>
      <c r="B12391">
        <v>185860915.07406935</v>
      </c>
    </row>
    <row r="12392" spans="1:2" x14ac:dyDescent="0.25">
      <c r="A12392">
        <f ca="1">34149.2340928881*((RANDBETWEEN(2979,3282)))</f>
        <v>106887102.71073981</v>
      </c>
      <c r="B12392">
        <v>152753364.78080222</v>
      </c>
    </row>
    <row r="12393" spans="1:2" x14ac:dyDescent="0.25">
      <c r="A12393">
        <f ca="1">31986.063438355*((RANDBETWEEN(2979,3282)))</f>
        <v>100852058.02113333</v>
      </c>
      <c r="B12393">
        <v>170589739.8856101</v>
      </c>
    </row>
    <row r="12394" spans="1:2" x14ac:dyDescent="0.25">
      <c r="A12394">
        <f ca="1">33970.7239859545*((RANDBETWEEN(2979,3282)))</f>
        <v>104935566.39261338</v>
      </c>
      <c r="B12394">
        <v>156201452.61337411</v>
      </c>
    </row>
    <row r="12395" spans="1:2" x14ac:dyDescent="0.25">
      <c r="A12395">
        <f ca="1">28790.9646956921*((RANDBETWEEN(2979,3282)))</f>
        <v>90979448.438387096</v>
      </c>
      <c r="B12395">
        <v>184863809.09383497</v>
      </c>
    </row>
    <row r="12396" spans="1:2" x14ac:dyDescent="0.25">
      <c r="A12396">
        <f ca="1">31953.4385991115*((RANDBETWEEN(2979,3282)))</f>
        <v>100557471.27140391</v>
      </c>
      <c r="B12396">
        <v>189812656.3703422</v>
      </c>
    </row>
    <row r="12397" spans="1:2" x14ac:dyDescent="0.25">
      <c r="A12397">
        <f ca="1">32618.4316345218*((RANDBETWEEN(2979,3282)))</f>
        <v>99355742.758753404</v>
      </c>
      <c r="B12397">
        <v>153146053.17156282</v>
      </c>
    </row>
    <row r="12398" spans="1:2" x14ac:dyDescent="0.25">
      <c r="A12398">
        <f ca="1">41234.684030281*((RANDBETWEEN(2979,3282)))</f>
        <v>124941092.61175157</v>
      </c>
      <c r="B12398">
        <v>187677411.12208763</v>
      </c>
    </row>
    <row r="12399" spans="1:2" x14ac:dyDescent="0.25">
      <c r="A12399">
        <f ca="1">31109.7451560448*((RANDBETWEEN(2979,3282)))</f>
        <v>96191332.02249065</v>
      </c>
      <c r="B12399">
        <v>200251617.55186224</v>
      </c>
    </row>
    <row r="12400" spans="1:2" x14ac:dyDescent="0.25">
      <c r="A12400">
        <f ca="1">32069.784889661*((RANDBETWEEN(2979,3282)))</f>
        <v>104194731.10650849</v>
      </c>
      <c r="B12400">
        <v>186690188.27231619</v>
      </c>
    </row>
    <row r="12401" spans="1:2" x14ac:dyDescent="0.25">
      <c r="A12401">
        <f ca="1">32196.775749925*((RANDBETWEEN(2979,3282)))</f>
        <v>101194466.18201436</v>
      </c>
      <c r="B12401">
        <v>165354618.03953651</v>
      </c>
    </row>
    <row r="12402" spans="1:2" x14ac:dyDescent="0.25">
      <c r="A12402">
        <f ca="1">35200.8052977669*((RANDBETWEEN(2979,3282)))</f>
        <v>107221652.93699785</v>
      </c>
      <c r="B12402">
        <v>157851168.29836324</v>
      </c>
    </row>
    <row r="12403" spans="1:2" x14ac:dyDescent="0.25">
      <c r="A12403">
        <f ca="1">33563.0028431749*((RANDBETWEEN(2979,3282)))</f>
        <v>106059088.98443274</v>
      </c>
      <c r="B12403">
        <v>186712010.69552857</v>
      </c>
    </row>
    <row r="12404" spans="1:2" x14ac:dyDescent="0.25">
      <c r="A12404">
        <f ca="1">37517.6430571596*((RANDBETWEEN(2979,3282)))</f>
        <v>117617810.98419549</v>
      </c>
      <c r="B12404">
        <v>180470483.49796045</v>
      </c>
    </row>
    <row r="12405" spans="1:2" x14ac:dyDescent="0.25">
      <c r="A12405">
        <f ca="1">30061.9991240292*((RANDBETWEEN(2979,3282)))</f>
        <v>90967609.349312231</v>
      </c>
      <c r="B12405">
        <v>154275124.10546279</v>
      </c>
    </row>
    <row r="12406" spans="1:2" x14ac:dyDescent="0.25">
      <c r="A12406">
        <f ca="1">32509.8592893392*((RANDBETWEEN(2979,3282)))</f>
        <v>105527003.2531949</v>
      </c>
      <c r="B12406">
        <v>148788471.45170957</v>
      </c>
    </row>
    <row r="12407" spans="1:2" x14ac:dyDescent="0.25">
      <c r="A12407">
        <f ca="1">35123.4222205972*((RANDBETWEEN(2979,3282)))</f>
        <v>104702921.63960011</v>
      </c>
      <c r="B12407">
        <v>151696994.87010831</v>
      </c>
    </row>
    <row r="12408" spans="1:2" x14ac:dyDescent="0.25">
      <c r="A12408">
        <f ca="1">31902.1037927833*((RANDBETWEEN(2979,3282)))</f>
        <v>103139501.56206834</v>
      </c>
      <c r="B12408">
        <v>164315775.95998842</v>
      </c>
    </row>
    <row r="12409" spans="1:2" x14ac:dyDescent="0.25">
      <c r="A12409">
        <f ca="1">29612.1523060783*((RANDBETWEEN(2979,3282)))</f>
        <v>95795312.710163429</v>
      </c>
      <c r="B12409">
        <v>202978665.72278762</v>
      </c>
    </row>
    <row r="12410" spans="1:2" x14ac:dyDescent="0.25">
      <c r="A12410">
        <f ca="1">41422.5082368018*((RANDBETWEEN(2979,3282)))</f>
        <v>126752875.20461339</v>
      </c>
      <c r="B12410">
        <v>181824541.37403736</v>
      </c>
    </row>
    <row r="12411" spans="1:2" x14ac:dyDescent="0.25">
      <c r="A12411">
        <f ca="1">28463.6780894409*((RANDBETWEEN(2979,3282)))</f>
        <v>87639664.837388471</v>
      </c>
      <c r="B12411">
        <v>160302001.80282283</v>
      </c>
    </row>
    <row r="12412" spans="1:2" x14ac:dyDescent="0.25">
      <c r="A12412">
        <f ca="1">30309.5655242321*((RANDBETWEEN(2979,3282)))</f>
        <v>92201698.324714109</v>
      </c>
      <c r="B12412">
        <v>157651064.95137629</v>
      </c>
    </row>
    <row r="12413" spans="1:2" x14ac:dyDescent="0.25">
      <c r="A12413">
        <f ca="1">31335.8140544423*((RANDBETWEEN(2979,3282)))</f>
        <v>102154753.81748191</v>
      </c>
      <c r="B12413">
        <v>161498026.41558939</v>
      </c>
    </row>
    <row r="12414" spans="1:2" x14ac:dyDescent="0.25">
      <c r="A12414">
        <f ca="1">31782.2272278656*((RANDBETWEEN(2979,3282)))</f>
        <v>102720158.40046161</v>
      </c>
      <c r="B12414">
        <v>169009798.24740258</v>
      </c>
    </row>
    <row r="12415" spans="1:2" x14ac:dyDescent="0.25">
      <c r="A12415">
        <f ca="1">32165.7868566112*((RANDBETWEEN(2979,3282)))</f>
        <v>101772549.6143177</v>
      </c>
      <c r="B12415">
        <v>190399067.61889702</v>
      </c>
    </row>
    <row r="12416" spans="1:2" x14ac:dyDescent="0.25">
      <c r="A12416">
        <f ca="1">36609.2967287322*((RANDBETWEEN(2979,3282)))</f>
        <v>117918544.76324643</v>
      </c>
      <c r="B12416">
        <v>177194861.74779415</v>
      </c>
    </row>
    <row r="12417" spans="1:2" x14ac:dyDescent="0.25">
      <c r="A12417">
        <f ca="1">31582.2756599229*((RANDBETWEEN(2979,3282)))</f>
        <v>94367839.671849698</v>
      </c>
      <c r="B12417">
        <v>181995709.50148684</v>
      </c>
    </row>
    <row r="12418" spans="1:2" x14ac:dyDescent="0.25">
      <c r="A12418">
        <f ca="1">30923.4125468212*((RANDBETWEEN(2979,3282)))</f>
        <v>94842106.281100571</v>
      </c>
      <c r="B12418">
        <v>180507577.61286533</v>
      </c>
    </row>
    <row r="12419" spans="1:2" x14ac:dyDescent="0.25">
      <c r="A12419">
        <f ca="1">31026.6069567065*((RANDBETWEEN(2979,3282)))</f>
        <v>95748109.068396181</v>
      </c>
      <c r="B12419">
        <v>156875955.18582734</v>
      </c>
    </row>
    <row r="12420" spans="1:2" x14ac:dyDescent="0.25">
      <c r="A12420">
        <f ca="1">40545.0591474575*((RANDBETWEEN(2979,3282)))</f>
        <v>130595635.51396076</v>
      </c>
      <c r="B12420">
        <v>162672268.5359863</v>
      </c>
    </row>
    <row r="12421" spans="1:2" x14ac:dyDescent="0.25">
      <c r="A12421">
        <f ca="1">33376.2654883579*((RANDBETWEEN(2979,3282)))</f>
        <v>100562687.91642238</v>
      </c>
      <c r="B12421">
        <v>154820383.53495398</v>
      </c>
    </row>
    <row r="12422" spans="1:2" x14ac:dyDescent="0.25">
      <c r="A12422">
        <f ca="1">31969.7955939239*((RANDBETWEEN(2979,3282)))</f>
        <v>98722728.794037014</v>
      </c>
      <c r="B12422">
        <v>143328747.41579503</v>
      </c>
    </row>
    <row r="12423" spans="1:2" x14ac:dyDescent="0.25">
      <c r="A12423">
        <f ca="1">31577.0016419946*((RANDBETWEEN(2979,3282)))</f>
        <v>97509781.070479184</v>
      </c>
      <c r="B12423">
        <v>143863520.97449416</v>
      </c>
    </row>
    <row r="12424" spans="1:2" x14ac:dyDescent="0.25">
      <c r="A12424">
        <f ca="1">41817.4180333352*((RANDBETWEEN(2979,3282)))</f>
        <v>134693903.48537278</v>
      </c>
      <c r="B12424">
        <v>181648466.92992252</v>
      </c>
    </row>
    <row r="12425" spans="1:2" x14ac:dyDescent="0.25">
      <c r="A12425">
        <f ca="1">32671.156529141*((RANDBETWEEN(2979,3282)))</f>
        <v>98666892.718005762</v>
      </c>
      <c r="B12425">
        <v>149974678.85718411</v>
      </c>
    </row>
    <row r="12426" spans="1:2" x14ac:dyDescent="0.25">
      <c r="A12426">
        <f ca="1">31595.6281244958*((RANDBETWEEN(2979,3282)))</f>
        <v>100252928.0390252</v>
      </c>
      <c r="B12426">
        <v>148635747.78863665</v>
      </c>
    </row>
    <row r="12427" spans="1:2" x14ac:dyDescent="0.25">
      <c r="A12427">
        <f ca="1">32674.3372518155*((RANDBETWEEN(2979,3282)))</f>
        <v>105309388.96260127</v>
      </c>
      <c r="B12427">
        <v>152477460.29118103</v>
      </c>
    </row>
    <row r="12428" spans="1:2" x14ac:dyDescent="0.25">
      <c r="A12428">
        <f ca="1">28697.7270795426*((RANDBETWEEN(2979,3282)))</f>
        <v>88245510.769593641</v>
      </c>
      <c r="B12428">
        <v>144667986.70507085</v>
      </c>
    </row>
    <row r="12429" spans="1:2" x14ac:dyDescent="0.25">
      <c r="A12429">
        <f ca="1">29125.4093386971*((RANDBETWEEN(2979,3282)))</f>
        <v>91774164.82623443</v>
      </c>
      <c r="B12429">
        <v>147544270.01695293</v>
      </c>
    </row>
    <row r="12430" spans="1:2" x14ac:dyDescent="0.25">
      <c r="A12430">
        <f ca="1">28821.6019944918*((RANDBETWEEN(2979,3282)))</f>
        <v>86435984.381480992</v>
      </c>
      <c r="B12430">
        <v>177856784.29386795</v>
      </c>
    </row>
    <row r="12431" spans="1:2" x14ac:dyDescent="0.25">
      <c r="A12431">
        <f ca="1">29383.9877293642*((RANDBETWEEN(2979,3282)))</f>
        <v>92060033.55609791</v>
      </c>
      <c r="B12431">
        <v>157874694.73037314</v>
      </c>
    </row>
    <row r="12432" spans="1:2" x14ac:dyDescent="0.25">
      <c r="A12432">
        <f ca="1">40152.9953579596*((RANDBETWEEN(2979,3282)))</f>
        <v>125197039.52611807</v>
      </c>
      <c r="B12432">
        <v>143292642.37067121</v>
      </c>
    </row>
    <row r="12433" spans="1:2" x14ac:dyDescent="0.25">
      <c r="A12433">
        <f ca="1">30727.1546586856*((RANDBETWEEN(2979,3282)))</f>
        <v>92857461.378548101</v>
      </c>
      <c r="B12433">
        <v>197173303.71651626</v>
      </c>
    </row>
    <row r="12434" spans="1:2" x14ac:dyDescent="0.25">
      <c r="A12434">
        <f ca="1">30139.007698057*((RANDBETWEEN(2979,3282)))</f>
        <v>96022878.526009455</v>
      </c>
      <c r="B12434">
        <v>169767249.45762882</v>
      </c>
    </row>
    <row r="12435" spans="1:2" x14ac:dyDescent="0.25">
      <c r="A12435">
        <f ca="1">42483.4197945395*((RANDBETWEEN(2979,3282)))</f>
        <v>131443700.84430532</v>
      </c>
      <c r="B12435">
        <v>179251338.11169821</v>
      </c>
    </row>
    <row r="12436" spans="1:2" x14ac:dyDescent="0.25">
      <c r="A12436">
        <f ca="1">32456.7534795383*((RANDBETWEEN(2979,3282)))</f>
        <v>105906386.60373345</v>
      </c>
      <c r="B12436">
        <v>150022809.6068095</v>
      </c>
    </row>
    <row r="12437" spans="1:2" x14ac:dyDescent="0.25">
      <c r="A12437">
        <f ca="1">30323.5749357003*((RANDBETWEEN(2979,3282)))</f>
        <v>99218737.189611256</v>
      </c>
      <c r="B12437">
        <v>147974979.97528937</v>
      </c>
    </row>
    <row r="12438" spans="1:2" x14ac:dyDescent="0.25">
      <c r="A12438">
        <f ca="1">32892.9434763513*((RANDBETWEEN(2979,3282)))</f>
        <v>98382793.937766731</v>
      </c>
      <c r="B12438">
        <v>165644922.52262333</v>
      </c>
    </row>
    <row r="12439" spans="1:2" x14ac:dyDescent="0.25">
      <c r="A12439">
        <f ca="1">30904.3993331833*((RANDBETWEEN(2979,3282)))</f>
        <v>98337798.678189233</v>
      </c>
      <c r="B12439">
        <v>197494179.73407847</v>
      </c>
    </row>
    <row r="12440" spans="1:2" x14ac:dyDescent="0.25">
      <c r="A12440">
        <f ca="1">32395.1445367428*((RANDBETWEEN(2979,3282)))</f>
        <v>102822188.75962159</v>
      </c>
      <c r="B12440">
        <v>177423249.73355544</v>
      </c>
    </row>
    <row r="12441" spans="1:2" x14ac:dyDescent="0.25">
      <c r="A12441">
        <f ca="1">40754.0488474147*((RANDBETWEEN(2979,3282)))</f>
        <v>127845451.23433982</v>
      </c>
      <c r="B12441">
        <v>163056247.62799764</v>
      </c>
    </row>
    <row r="12442" spans="1:2" x14ac:dyDescent="0.25">
      <c r="A12442">
        <f ca="1">41769.123689385*((RANDBETWEEN(2979,3282)))</f>
        <v>132700505.96117629</v>
      </c>
      <c r="B12442">
        <v>155466594.70400757</v>
      </c>
    </row>
    <row r="12443" spans="1:2" x14ac:dyDescent="0.25">
      <c r="A12443">
        <f ca="1">28219.9363852534*((RANDBETWEEN(2979,3282)))</f>
        <v>91037514.778827548</v>
      </c>
      <c r="B12443">
        <v>146079186.1123957</v>
      </c>
    </row>
    <row r="12444" spans="1:2" x14ac:dyDescent="0.25">
      <c r="A12444">
        <f ca="1">40307.3219546754*((RANDBETWEEN(2979,3282)))</f>
        <v>130555415.8111937</v>
      </c>
      <c r="B12444">
        <v>172558738.12994373</v>
      </c>
    </row>
    <row r="12445" spans="1:2" x14ac:dyDescent="0.25">
      <c r="A12445">
        <f ca="1">40363.325360269*((RANDBETWEEN(2979,3282)))</f>
        <v>122421965.81769603</v>
      </c>
      <c r="B12445">
        <v>201383600.11691564</v>
      </c>
    </row>
    <row r="12446" spans="1:2" x14ac:dyDescent="0.25">
      <c r="A12446">
        <f ca="1">30189.9067610423*((RANDBETWEEN(2979,3282)))</f>
        <v>98509665.761281177</v>
      </c>
      <c r="B12446">
        <v>156840206.81925926</v>
      </c>
    </row>
    <row r="12447" spans="1:2" x14ac:dyDescent="0.25">
      <c r="A12447">
        <f ca="1">34087.9271672375*((RANDBETWEEN(2979,3282)))</f>
        <v>102775100.40922119</v>
      </c>
      <c r="B12447">
        <v>194101016.85074869</v>
      </c>
    </row>
    <row r="12448" spans="1:2" x14ac:dyDescent="0.25">
      <c r="A12448">
        <f ca="1">30507.3548514913*((RANDBETWEEN(2979,3282)))</f>
        <v>97776072.299029723</v>
      </c>
      <c r="B12448">
        <v>169814705.6493676</v>
      </c>
    </row>
    <row r="12449" spans="1:2" x14ac:dyDescent="0.25">
      <c r="A12449">
        <f ca="1">35405.9368531958*((RANDBETWEEN(2979,3282)))</f>
        <v>113157374.18281385</v>
      </c>
      <c r="B12449">
        <v>165487329.51124614</v>
      </c>
    </row>
    <row r="12450" spans="1:2" x14ac:dyDescent="0.25">
      <c r="A12450">
        <f ca="1">33465.3208228334*((RANDBETWEEN(2979,3282)))</f>
        <v>101801505.94305924</v>
      </c>
      <c r="B12450">
        <v>177198266.61522236</v>
      </c>
    </row>
    <row r="12451" spans="1:2" x14ac:dyDescent="0.25">
      <c r="A12451">
        <f ca="1">33065.6362771877*((RANDBETWEEN(2979,3282)))</f>
        <v>102371209.91417313</v>
      </c>
      <c r="B12451">
        <v>160524611.63267219</v>
      </c>
    </row>
    <row r="12452" spans="1:2" x14ac:dyDescent="0.25">
      <c r="A12452">
        <f ca="1">31904.7894262797*((RANDBETWEEN(2979,3282)))</f>
        <v>104169137.47680335</v>
      </c>
      <c r="B12452">
        <v>196606339.69441679</v>
      </c>
    </row>
    <row r="12453" spans="1:2" x14ac:dyDescent="0.25">
      <c r="A12453">
        <f ca="1">30980.6237134661*((RANDBETWEEN(2979,3282)))</f>
        <v>97712887.192272171</v>
      </c>
      <c r="B12453">
        <v>163860377.40990654</v>
      </c>
    </row>
    <row r="12454" spans="1:2" x14ac:dyDescent="0.25">
      <c r="A12454">
        <f ca="1">40696.0407400247*((RANDBETWEEN(2979,3282)))</f>
        <v>125750765.88667618</v>
      </c>
      <c r="B12454">
        <v>146755592.91700181</v>
      </c>
    </row>
    <row r="12455" spans="1:2" x14ac:dyDescent="0.25">
      <c r="A12455">
        <f ca="1">37928.0726015318*((RANDBETWEEN(2979,3282)))</f>
        <v>122431818.35774478</v>
      </c>
      <c r="B12455">
        <v>147311983.82252163</v>
      </c>
    </row>
    <row r="12456" spans="1:2" x14ac:dyDescent="0.25">
      <c r="A12456">
        <f ca="1">33400.4078573176*((RANDBETWEEN(2979,3282)))</f>
        <v>105946093.72341129</v>
      </c>
      <c r="B12456">
        <v>191042698.06366467</v>
      </c>
    </row>
    <row r="12457" spans="1:2" x14ac:dyDescent="0.25">
      <c r="A12457">
        <f ca="1">32201.3097607143*((RANDBETWEEN(2979,3282)))</f>
        <v>99695255.019171327</v>
      </c>
      <c r="B12457">
        <v>142981558.20195436</v>
      </c>
    </row>
    <row r="12458" spans="1:2" x14ac:dyDescent="0.25">
      <c r="A12458">
        <f ca="1">28616.4608322713*((RANDBETWEEN(2979,3282)))</f>
        <v>92087770.958249092</v>
      </c>
      <c r="B12458">
        <v>189043221.67269629</v>
      </c>
    </row>
    <row r="12459" spans="1:2" x14ac:dyDescent="0.25">
      <c r="A12459">
        <f ca="1">35290.2796567817*((RANDBETWEEN(2979,3282)))</f>
        <v>114869860.28282446</v>
      </c>
      <c r="B12459">
        <v>170229453.472561</v>
      </c>
    </row>
    <row r="12460" spans="1:2" x14ac:dyDescent="0.25">
      <c r="A12460">
        <f ca="1">30640.7406095572*((RANDBETWEEN(2979,3282)))</f>
        <v>98724466.243993402</v>
      </c>
      <c r="B12460">
        <v>181828296.96288407</v>
      </c>
    </row>
    <row r="12461" spans="1:2" x14ac:dyDescent="0.25">
      <c r="A12461">
        <f ca="1">37121.8998515207*((RANDBETWEEN(2979,3282)))</f>
        <v>118010519.62798455</v>
      </c>
      <c r="B12461">
        <v>168790944.30130893</v>
      </c>
    </row>
    <row r="12462" spans="1:2" x14ac:dyDescent="0.25">
      <c r="A12462">
        <f ca="1">38883.1527023309*((RANDBETWEEN(2979,3282)))</f>
        <v>118554732.58940697</v>
      </c>
      <c r="B12462">
        <v>147047448.80153784</v>
      </c>
    </row>
    <row r="12463" spans="1:2" x14ac:dyDescent="0.25">
      <c r="A12463">
        <f ca="1">39520.7759574611*((RANDBETWEEN(2979,3282)))</f>
        <v>118562327.87238345</v>
      </c>
      <c r="B12463">
        <v>203314949.54526579</v>
      </c>
    </row>
    <row r="12464" spans="1:2" x14ac:dyDescent="0.25">
      <c r="A12464">
        <f ca="1">33301.2383138059*((RANDBETWEEN(2979,3282)))</f>
        <v>106464058.88923734</v>
      </c>
      <c r="B12464">
        <v>150863715.88320488</v>
      </c>
    </row>
    <row r="12465" spans="1:2" x14ac:dyDescent="0.25">
      <c r="A12465">
        <f ca="1">34403.4058555092*((RANDBETWEEN(2979,3282)))</f>
        <v>109678057.86736347</v>
      </c>
      <c r="B12465">
        <v>173621560.05629611</v>
      </c>
    </row>
    <row r="12466" spans="1:2" x14ac:dyDescent="0.25">
      <c r="A12466">
        <f ca="1">39680.7470250842*((RANDBETWEEN(2979,3282)))</f>
        <v>119399367.79847822</v>
      </c>
      <c r="B12466">
        <v>160958716.4599629</v>
      </c>
    </row>
    <row r="12467" spans="1:2" x14ac:dyDescent="0.25">
      <c r="A12467">
        <f ca="1">31819.0273062669*((RANDBETWEEN(2979,3282)))</f>
        <v>102807277.22654828</v>
      </c>
      <c r="B12467">
        <v>151983518.74262124</v>
      </c>
    </row>
    <row r="12468" spans="1:2" x14ac:dyDescent="0.25">
      <c r="A12468">
        <f ca="1">31188.3488134796*((RANDBETWEEN(2979,3282)))</f>
        <v>99303702.62211892</v>
      </c>
      <c r="B12468">
        <v>144498255.04430321</v>
      </c>
    </row>
    <row r="12469" spans="1:2" x14ac:dyDescent="0.25">
      <c r="A12469">
        <f ca="1">32131.3853948045*((RANDBETWEEN(2979,3282)))</f>
        <v>102370593.86784725</v>
      </c>
      <c r="B12469">
        <v>163565417.22016326</v>
      </c>
    </row>
    <row r="12470" spans="1:2" x14ac:dyDescent="0.25">
      <c r="A12470">
        <f ca="1">31285.5414252157*((RANDBETWEEN(2979,3282)))</f>
        <v>97642174.788098127</v>
      </c>
      <c r="B12470">
        <v>196504622.27188358</v>
      </c>
    </row>
    <row r="12471" spans="1:2" x14ac:dyDescent="0.25">
      <c r="A12471">
        <f ca="1">31874.7398415838*((RANDBETWEEN(2979,3282)))</f>
        <v>97919200.793345571</v>
      </c>
      <c r="B12471">
        <v>190707992.41287005</v>
      </c>
    </row>
    <row r="12472" spans="1:2" x14ac:dyDescent="0.25">
      <c r="A12472">
        <f ca="1">29382.4878669277*((RANDBETWEEN(2979,3282)))</f>
        <v>91085712.387475997</v>
      </c>
      <c r="B12472">
        <v>164614584.12659079</v>
      </c>
    </row>
    <row r="12473" spans="1:2" x14ac:dyDescent="0.25">
      <c r="A12473">
        <f ca="1">31683.7228603735*((RANDBETWEEN(2979,3282)))</f>
        <v>96825457.061301336</v>
      </c>
      <c r="B12473">
        <v>173852607.8522622</v>
      </c>
    </row>
    <row r="12474" spans="1:2" x14ac:dyDescent="0.25">
      <c r="A12474">
        <f ca="1">39997.5482199091*((RANDBETWEEN(2979,3282)))</f>
        <v>127872161.65904924</v>
      </c>
      <c r="B12474">
        <v>196306855.26767266</v>
      </c>
    </row>
    <row r="12475" spans="1:2" x14ac:dyDescent="0.25">
      <c r="A12475">
        <f ca="1">32966.9550565025*((RANDBETWEEN(2979,3282)))</f>
        <v>101801957.2144798</v>
      </c>
      <c r="B12475">
        <v>151192232.23497909</v>
      </c>
    </row>
    <row r="12476" spans="1:2" x14ac:dyDescent="0.25">
      <c r="A12476">
        <f ca="1">35838.3206241103*((RANDBETWEEN(2979,3282)))</f>
        <v>108661788.13230248</v>
      </c>
      <c r="B12476">
        <v>168648275.12599146</v>
      </c>
    </row>
    <row r="12477" spans="1:2" x14ac:dyDescent="0.25">
      <c r="A12477">
        <f ca="1">39128.3397375142*((RANDBETWEEN(2979,3282)))</f>
        <v>126071510.63427073</v>
      </c>
      <c r="B12477">
        <v>200176197.6397295</v>
      </c>
    </row>
    <row r="12478" spans="1:2" x14ac:dyDescent="0.25">
      <c r="A12478">
        <f ca="1">35025.9369789227*((RANDBETWEEN(2979,3282)))</f>
        <v>107879885.89508194</v>
      </c>
      <c r="B12478">
        <v>192078876.59465903</v>
      </c>
    </row>
    <row r="12479" spans="1:2" x14ac:dyDescent="0.25">
      <c r="A12479">
        <f ca="1">30904.0789589201*((RANDBETWEEN(2979,3282)))</f>
        <v>100438256.61649019</v>
      </c>
      <c r="B12479">
        <v>158984046.3046723</v>
      </c>
    </row>
    <row r="12480" spans="1:2" x14ac:dyDescent="0.25">
      <c r="A12480">
        <f ca="1">33118.3609441367*((RANDBETWEEN(2979,3282)))</f>
        <v>102666918.92682387</v>
      </c>
      <c r="B12480">
        <v>159520265.2144137</v>
      </c>
    </row>
    <row r="12481" spans="1:2" x14ac:dyDescent="0.25">
      <c r="A12481">
        <f ca="1">30350.06151776*((RANDBETWEEN(2979,3282)))</f>
        <v>99001900.670933217</v>
      </c>
      <c r="B12481">
        <v>157235609.01279375</v>
      </c>
    </row>
    <row r="12482" spans="1:2" x14ac:dyDescent="0.25">
      <c r="A12482">
        <f ca="1">32325.2434021596*((RANDBETWEEN(2979,3282)))</f>
        <v>102761948.77546522</v>
      </c>
      <c r="B12482">
        <v>160662334.78404927</v>
      </c>
    </row>
    <row r="12483" spans="1:2" x14ac:dyDescent="0.25">
      <c r="A12483">
        <f ca="1">30710.9483491047*((RANDBETWEEN(2979,3282)))</f>
        <v>99687738.341193706</v>
      </c>
      <c r="B12483">
        <v>174955781.7184867</v>
      </c>
    </row>
    <row r="12484" spans="1:2" x14ac:dyDescent="0.25">
      <c r="A12484">
        <f ca="1">33419.1072868116*((RANDBETWEEN(2979,3282)))</f>
        <v>102964269.55066662</v>
      </c>
      <c r="B12484">
        <v>153428265.6559</v>
      </c>
    </row>
    <row r="12485" spans="1:2" x14ac:dyDescent="0.25">
      <c r="A12485">
        <f ca="1">34243.5706211767*((RANDBETWEEN(2979,3282)))</f>
        <v>104168941.82961948</v>
      </c>
      <c r="B12485">
        <v>202372851.36416239</v>
      </c>
    </row>
    <row r="12486" spans="1:2" x14ac:dyDescent="0.25">
      <c r="A12486">
        <f ca="1">36086.470490355*((RANDBETWEEN(2979,3282)))</f>
        <v>113455863.22167623</v>
      </c>
      <c r="B12486">
        <v>165419328.37775719</v>
      </c>
    </row>
    <row r="12487" spans="1:2" x14ac:dyDescent="0.25">
      <c r="A12487">
        <f ca="1">34363.004632526*((RANDBETWEEN(2979,3282)))</f>
        <v>103089013.89757803</v>
      </c>
      <c r="B12487">
        <v>165688627.7225107</v>
      </c>
    </row>
    <row r="12488" spans="1:2" x14ac:dyDescent="0.25">
      <c r="A12488">
        <f ca="1">41125.3513071632*((RANDBETWEEN(2979,3282)))</f>
        <v>132382505.85775836</v>
      </c>
      <c r="B12488">
        <v>177357772.54864639</v>
      </c>
    </row>
    <row r="12489" spans="1:2" x14ac:dyDescent="0.25">
      <c r="A12489">
        <f ca="1">38294.0944298407*((RANDBETWEEN(2979,3282)))</f>
        <v>114614224.62851308</v>
      </c>
      <c r="B12489">
        <v>159222913.1048854</v>
      </c>
    </row>
    <row r="12490" spans="1:2" x14ac:dyDescent="0.25">
      <c r="A12490">
        <f ca="1">31415.5935502024*((RANDBETWEEN(2979,3282)))</f>
        <v>102980315.65756358</v>
      </c>
      <c r="B12490">
        <v>148328483.96094063</v>
      </c>
    </row>
    <row r="12491" spans="1:2" x14ac:dyDescent="0.25">
      <c r="A12491">
        <f ca="1">31560.4992628012*((RANDBETWEEN(2979,3282)))</f>
        <v>95943917.758915618</v>
      </c>
      <c r="B12491">
        <v>189371283.75018418</v>
      </c>
    </row>
    <row r="12492" spans="1:2" x14ac:dyDescent="0.25">
      <c r="A12492">
        <f ca="1">28948.56938221*((RANDBETWEEN(2979,3282)))</f>
        <v>91853810.649752319</v>
      </c>
      <c r="B12492">
        <v>176449015.06156087</v>
      </c>
    </row>
    <row r="12493" spans="1:2" x14ac:dyDescent="0.25">
      <c r="A12493">
        <f ca="1">36678.0911401361*((RANDBETWEEN(2979,3282)))</f>
        <v>114178897.71924371</v>
      </c>
      <c r="B12493">
        <v>151037959.11079088</v>
      </c>
    </row>
    <row r="12494" spans="1:2" x14ac:dyDescent="0.25">
      <c r="A12494">
        <f ca="1">36309.0076690755*((RANDBETWEEN(2979,3282)))</f>
        <v>113356721.9428536</v>
      </c>
      <c r="B12494">
        <v>150840900.12575829</v>
      </c>
    </row>
    <row r="12495" spans="1:2" x14ac:dyDescent="0.25">
      <c r="A12495">
        <f ca="1">34532.6226296089*((RANDBETWEEN(2979,3282)))</f>
        <v>107396456.37808381</v>
      </c>
      <c r="B12495">
        <v>194645329.92155328</v>
      </c>
    </row>
    <row r="12496" spans="1:2" x14ac:dyDescent="0.25">
      <c r="A12496">
        <f ca="1">33363.6289780629*((RANDBETWEEN(2979,3282)))</f>
        <v>102459704.59163122</v>
      </c>
      <c r="B12496">
        <v>198059796.425284</v>
      </c>
    </row>
    <row r="12497" spans="1:2" x14ac:dyDescent="0.25">
      <c r="A12497">
        <f ca="1">33114.6041131162*((RANDBETWEEN(2979,3282)))</f>
        <v>103880513.10284537</v>
      </c>
      <c r="B12497">
        <v>151638282.87510109</v>
      </c>
    </row>
    <row r="12498" spans="1:2" x14ac:dyDescent="0.25">
      <c r="A12498">
        <f ca="1">32694.0941019857*((RANDBETWEEN(2979,3282)))</f>
        <v>103149866.89176495</v>
      </c>
      <c r="B12498">
        <v>156753260.01473212</v>
      </c>
    </row>
    <row r="12499" spans="1:2" x14ac:dyDescent="0.25">
      <c r="A12499">
        <f ca="1">29760.2549060017*((RANDBETWEEN(2979,3282)))</f>
        <v>95411377.228641436</v>
      </c>
      <c r="B12499">
        <v>150374041.66163152</v>
      </c>
    </row>
    <row r="12500" spans="1:2" x14ac:dyDescent="0.25">
      <c r="A12500">
        <f ca="1">34454.514321247*((RANDBETWEEN(2979,3282)))</f>
        <v>103329088.4494198</v>
      </c>
      <c r="B12500">
        <v>152525391.05789268</v>
      </c>
    </row>
    <row r="12501" spans="1:2" x14ac:dyDescent="0.25">
      <c r="A12501">
        <f ca="1">39800.2400012754*((RANDBETWEEN(2979,3282)))</f>
        <v>128753776.40412587</v>
      </c>
      <c r="B12501">
        <v>145187531.96737936</v>
      </c>
    </row>
    <row r="12502" spans="1:2" x14ac:dyDescent="0.25">
      <c r="A12502">
        <f ca="1">37860.3914631348*((RANDBETWEEN(2979,3282)))</f>
        <v>120282463.67837936</v>
      </c>
      <c r="B12502">
        <v>199175866.69445825</v>
      </c>
    </row>
    <row r="12503" spans="1:2" x14ac:dyDescent="0.25">
      <c r="A12503">
        <f ca="1">30957.5345644506*((RANDBETWEEN(2979,3282)))</f>
        <v>97392403.739761725</v>
      </c>
      <c r="B12503">
        <v>161127334.52712071</v>
      </c>
    </row>
    <row r="12504" spans="1:2" x14ac:dyDescent="0.25">
      <c r="A12504">
        <f ca="1">34226.3466953783*((RANDBETWEEN(2979,3282)))</f>
        <v>112125511.77405947</v>
      </c>
      <c r="B12504">
        <v>168185465.45699197</v>
      </c>
    </row>
    <row r="12505" spans="1:2" x14ac:dyDescent="0.25">
      <c r="A12505">
        <f ca="1">39213.676145607*((RANDBETWEEN(2979,3282)))</f>
        <v>122111387.51742013</v>
      </c>
      <c r="B12505">
        <v>180767929.40858245</v>
      </c>
    </row>
    <row r="12506" spans="1:2" x14ac:dyDescent="0.25">
      <c r="A12506">
        <f ca="1">34405.5874645589*((RANDBETWEEN(2979,3282)))</f>
        <v>108343194.92589584</v>
      </c>
      <c r="B12506">
        <v>163665607.83734387</v>
      </c>
    </row>
    <row r="12507" spans="1:2" x14ac:dyDescent="0.25">
      <c r="A12507">
        <f ca="1">31738.9127015504*((RANDBETWEEN(2979,3282)))</f>
        <v>99247580.017748237</v>
      </c>
      <c r="B12507">
        <v>152374098.85214472</v>
      </c>
    </row>
    <row r="12508" spans="1:2" x14ac:dyDescent="0.25">
      <c r="A12508">
        <f ca="1">31496.1313928554*((RANDBETWEEN(2979,3282)))</f>
        <v>102236442.50120871</v>
      </c>
      <c r="B12508">
        <v>185411555.29305425</v>
      </c>
    </row>
    <row r="12509" spans="1:2" x14ac:dyDescent="0.25">
      <c r="A12509">
        <f ca="1">39417.4924616718*((RANDBETWEEN(2979,3282)))</f>
        <v>120538691.94779232</v>
      </c>
      <c r="B12509">
        <v>190598584.24642462</v>
      </c>
    </row>
    <row r="12510" spans="1:2" x14ac:dyDescent="0.25">
      <c r="A12510">
        <f ca="1">35471.7699718016*((RANDBETWEEN(2979,3282)))</f>
        <v>112090793.11089326</v>
      </c>
      <c r="B12510">
        <v>193714845.95287943</v>
      </c>
    </row>
    <row r="12511" spans="1:2" x14ac:dyDescent="0.25">
      <c r="A12511">
        <f ca="1">33130.294241392*((RANDBETWEEN(2979,3282)))</f>
        <v>103068345.38497065</v>
      </c>
      <c r="B12511">
        <v>149719210.30924025</v>
      </c>
    </row>
    <row r="12512" spans="1:2" x14ac:dyDescent="0.25">
      <c r="A12512">
        <f ca="1">32136.8581165451*((RANDBETWEEN(2979,3282)))</f>
        <v>102291619.38496302</v>
      </c>
      <c r="B12512">
        <v>189630565.44670275</v>
      </c>
    </row>
    <row r="12513" spans="1:2" x14ac:dyDescent="0.25">
      <c r="A12513">
        <f ca="1">34459.5788716593*((RANDBETWEEN(2979,3282)))</f>
        <v>106928073.23875888</v>
      </c>
      <c r="B12513">
        <v>153325467.16039342</v>
      </c>
    </row>
    <row r="12514" spans="1:2" x14ac:dyDescent="0.25">
      <c r="A12514">
        <f ca="1">31892.2763394508*((RANDBETWEEN(2979,3282)))</f>
        <v>100652024.12730683</v>
      </c>
      <c r="B12514">
        <v>191862768.89916262</v>
      </c>
    </row>
    <row r="12515" spans="1:2" x14ac:dyDescent="0.25">
      <c r="A12515">
        <f ca="1">31944.784768919*((RANDBETWEEN(2979,3282)))</f>
        <v>96377415.647828579</v>
      </c>
      <c r="B12515">
        <v>190730752.06106174</v>
      </c>
    </row>
    <row r="12516" spans="1:2" x14ac:dyDescent="0.25">
      <c r="A12516">
        <f ca="1">30783.4333339848*((RANDBETWEEN(2979,3282)))</f>
        <v>92627350.901960179</v>
      </c>
      <c r="B12516">
        <v>187031497.72613662</v>
      </c>
    </row>
    <row r="12517" spans="1:2" x14ac:dyDescent="0.25">
      <c r="A12517">
        <f ca="1">30055.2492934449*((RANDBETWEEN(2979,3282)))</f>
        <v>93351604.30543983</v>
      </c>
      <c r="B12517">
        <v>151085314.36415651</v>
      </c>
    </row>
    <row r="12518" spans="1:2" x14ac:dyDescent="0.25">
      <c r="A12518">
        <f ca="1">31649.2752723349*((RANDBETWEEN(2979,3282)))</f>
        <v>96213796.82789807</v>
      </c>
      <c r="B12518">
        <v>196383205.04465008</v>
      </c>
    </row>
    <row r="12519" spans="1:2" x14ac:dyDescent="0.25">
      <c r="A12519">
        <f ca="1">32663.4760812677*((RANDBETWEEN(2979,3282)))</f>
        <v>106678912.88142021</v>
      </c>
      <c r="B12519">
        <v>161781615.56947267</v>
      </c>
    </row>
    <row r="12520" spans="1:2" x14ac:dyDescent="0.25">
      <c r="A12520">
        <f ca="1">32040.307622176*((RANDBETWEEN(2979,3282)))</f>
        <v>104451402.8482938</v>
      </c>
      <c r="B12520">
        <v>199756311.87653983</v>
      </c>
    </row>
    <row r="12521" spans="1:2" x14ac:dyDescent="0.25">
      <c r="A12521">
        <f ca="1">35927.2333035842*((RANDBETWEEN(2979,3282)))</f>
        <v>112021113.44057557</v>
      </c>
      <c r="B12521">
        <v>169980613.96191239</v>
      </c>
    </row>
    <row r="12522" spans="1:2" x14ac:dyDescent="0.25">
      <c r="A12522">
        <f ca="1">32538.9599680454*((RANDBETWEEN(2979,3282)))</f>
        <v>105296074.45659488</v>
      </c>
      <c r="B12522">
        <v>186695469.79321811</v>
      </c>
    </row>
    <row r="12523" spans="1:2" x14ac:dyDescent="0.25">
      <c r="A12523">
        <f ca="1">30729.7857386763*((RANDBETWEEN(2979,3282)))</f>
        <v>100762967.4371196</v>
      </c>
      <c r="B12523">
        <v>157445575.66945577</v>
      </c>
    </row>
    <row r="12524" spans="1:2" x14ac:dyDescent="0.25">
      <c r="A12524">
        <f ca="1">35468.1816445318*((RANDBETWEEN(2979,3282)))</f>
        <v>116229231.24913073</v>
      </c>
      <c r="B12524">
        <v>150132733.67749524</v>
      </c>
    </row>
    <row r="12525" spans="1:2" x14ac:dyDescent="0.25">
      <c r="A12525">
        <f ca="1">30346.3745296892*((RANDBETWEEN(2979,3282)))</f>
        <v>96137314.510055348</v>
      </c>
      <c r="B12525">
        <v>188320698.48722386</v>
      </c>
    </row>
    <row r="12526" spans="1:2" x14ac:dyDescent="0.25">
      <c r="A12526">
        <f ca="1">34140.3279945726*((RANDBETWEEN(2979,3282)))</f>
        <v>104093860.05545196</v>
      </c>
      <c r="B12526">
        <v>145524391.30270514</v>
      </c>
    </row>
    <row r="12527" spans="1:2" x14ac:dyDescent="0.25">
      <c r="A12527">
        <f ca="1">34180.104791784*((RANDBETWEEN(2979,3282)))</f>
        <v>103428997.09993842</v>
      </c>
      <c r="B12527">
        <v>148474492.33797905</v>
      </c>
    </row>
    <row r="12528" spans="1:2" x14ac:dyDescent="0.25">
      <c r="A12528">
        <f ca="1">36057.1517871063*((RANDBETWEEN(2979,3282)))</f>
        <v>115346828.5669529</v>
      </c>
      <c r="B12528">
        <v>167849259.07265699</v>
      </c>
    </row>
    <row r="12529" spans="1:2" x14ac:dyDescent="0.25">
      <c r="A12529">
        <f ca="1">31744.3528563549*((RANDBETWEEN(2979,3282)))</f>
        <v>98851914.794689134</v>
      </c>
      <c r="B12529">
        <v>172938030.95681632</v>
      </c>
    </row>
    <row r="12530" spans="1:2" x14ac:dyDescent="0.25">
      <c r="A12530">
        <f ca="1">31762.3077869522*((RANDBETWEEN(2979,3282)))</f>
        <v>99479547.98873435</v>
      </c>
      <c r="B12530">
        <v>172640027.55168489</v>
      </c>
    </row>
    <row r="12531" spans="1:2" x14ac:dyDescent="0.25">
      <c r="A12531">
        <f ca="1">32568.0173416813*((RANDBETWEEN(2979,3282)))</f>
        <v>106171736.5338809</v>
      </c>
      <c r="B12531">
        <v>149483174.18903452</v>
      </c>
    </row>
    <row r="12532" spans="1:2" x14ac:dyDescent="0.25">
      <c r="A12532">
        <f ca="1">32975.6016728822*((RANDBETWEEN(2979,3282)))</f>
        <v>101465926.34745866</v>
      </c>
      <c r="B12532">
        <v>152271840.25442171</v>
      </c>
    </row>
    <row r="12533" spans="1:2" x14ac:dyDescent="0.25">
      <c r="A12533">
        <f ca="1">30620.9553905768*((RANDBETWEEN(2979,3282)))</f>
        <v>97099049.543519154</v>
      </c>
      <c r="B12533">
        <v>187040619.82107547</v>
      </c>
    </row>
    <row r="12534" spans="1:2" x14ac:dyDescent="0.25">
      <c r="A12534">
        <f ca="1">37154.2270492244*((RANDBETWEEN(2979,3282)))</f>
        <v>117295894.79440132</v>
      </c>
      <c r="B12534">
        <v>183684587.78546542</v>
      </c>
    </row>
    <row r="12535" spans="1:2" x14ac:dyDescent="0.25">
      <c r="A12535">
        <f ca="1">30943.8069953165*((RANDBETWEEN(2979,3282)))</f>
        <v>93945398.037780747</v>
      </c>
      <c r="B12535">
        <v>176542790.86938307</v>
      </c>
    </row>
    <row r="12536" spans="1:2" x14ac:dyDescent="0.25">
      <c r="A12536">
        <f ca="1">28300.112067339*((RANDBETWEEN(2979,3282)))</f>
        <v>89852855.813801259</v>
      </c>
      <c r="B12536">
        <v>156517943.3350023</v>
      </c>
    </row>
    <row r="12537" spans="1:2" x14ac:dyDescent="0.25">
      <c r="A12537">
        <f ca="1">28001.5806887626*((RANDBETWEEN(2979,3282)))</f>
        <v>90109086.656437889</v>
      </c>
      <c r="B12537">
        <v>201348596.03882021</v>
      </c>
    </row>
    <row r="12538" spans="1:2" x14ac:dyDescent="0.25">
      <c r="A12538">
        <f ca="1">33779.4964957368*((RANDBETWEEN(2979,3282)))</f>
        <v>101102033.01174037</v>
      </c>
      <c r="B12538">
        <v>164616569.37359661</v>
      </c>
    </row>
    <row r="12539" spans="1:2" x14ac:dyDescent="0.25">
      <c r="A12539">
        <f ca="1">30953.9256515928*((RANDBETWEEN(2979,3282)))</f>
        <v>96359570.553408533</v>
      </c>
      <c r="B12539">
        <v>152097681.28873432</v>
      </c>
    </row>
    <row r="12540" spans="1:2" x14ac:dyDescent="0.25">
      <c r="A12540">
        <f ca="1">32174.4651906478*((RANDBETWEEN(2979,3282)))</f>
        <v>99612144.230245531</v>
      </c>
      <c r="B12540">
        <v>170263506.07616353</v>
      </c>
    </row>
    <row r="12541" spans="1:2" x14ac:dyDescent="0.25">
      <c r="A12541">
        <f ca="1">39141.5036662472*((RANDBETWEEN(2979,3282)))</f>
        <v>122630330.98635238</v>
      </c>
      <c r="B12541">
        <v>193006059.06108671</v>
      </c>
    </row>
    <row r="12542" spans="1:2" x14ac:dyDescent="0.25">
      <c r="A12542">
        <f ca="1">30081.258432913*((RANDBETWEEN(2979,3282)))</f>
        <v>95417751.749199912</v>
      </c>
      <c r="B12542">
        <v>152827290.22350422</v>
      </c>
    </row>
    <row r="12543" spans="1:2" x14ac:dyDescent="0.25">
      <c r="A12543">
        <f ca="1">32329.1007033648*((RANDBETWEEN(2979,3282)))</f>
        <v>101028439.69801494</v>
      </c>
      <c r="B12543">
        <v>151164758.33431846</v>
      </c>
    </row>
    <row r="12544" spans="1:2" x14ac:dyDescent="0.25">
      <c r="A12544">
        <f ca="1">30158.6281887309*((RANDBETWEEN(2979,3282)))</f>
        <v>93763175.038764447</v>
      </c>
      <c r="B12544">
        <v>166463940.01936433</v>
      </c>
    </row>
    <row r="12545" spans="1:2" x14ac:dyDescent="0.25">
      <c r="A12545">
        <f ca="1">31011.6621828373*((RANDBETWEEN(2979,3282)))</f>
        <v>100787902.09422107</v>
      </c>
      <c r="B12545">
        <v>152841076.64697585</v>
      </c>
    </row>
    <row r="12546" spans="1:2" x14ac:dyDescent="0.25">
      <c r="A12546">
        <f ca="1">33294.9934922846*((RANDBETWEEN(2979,3282)))</f>
        <v>100783945.30114546</v>
      </c>
      <c r="B12546">
        <v>181620049.99167904</v>
      </c>
    </row>
    <row r="12547" spans="1:2" x14ac:dyDescent="0.25">
      <c r="A12547">
        <f ca="1">32761.077884049*((RANDBETWEEN(2979,3282)))</f>
        <v>105752759.4097103</v>
      </c>
      <c r="B12547">
        <v>153720304.22461098</v>
      </c>
    </row>
    <row r="12548" spans="1:2" x14ac:dyDescent="0.25">
      <c r="A12548">
        <f ca="1">36036.4344847811*((RANDBETWEEN(2979,3282)))</f>
        <v>108613813.53713037</v>
      </c>
      <c r="B12548">
        <v>197774410.01708305</v>
      </c>
    </row>
    <row r="12549" spans="1:2" x14ac:dyDescent="0.25">
      <c r="A12549">
        <f ca="1">39220.1453222047*((RANDBETWEEN(2979,3282)))</f>
        <v>125112263.57783304</v>
      </c>
      <c r="B12549">
        <v>197327624.46405476</v>
      </c>
    </row>
    <row r="12550" spans="1:2" x14ac:dyDescent="0.25">
      <c r="A12550">
        <f ca="1">31769.9807731749*((RANDBETWEEN(2979,3282)))</f>
        <v>101092078.8202424</v>
      </c>
      <c r="B12550">
        <v>161768036.64304811</v>
      </c>
    </row>
    <row r="12551" spans="1:2" x14ac:dyDescent="0.25">
      <c r="A12551">
        <f ca="1">30565.8621278779*((RANDBETWEEN(2979,3282)))</f>
        <v>98483207.776022658</v>
      </c>
      <c r="B12551">
        <v>145604102.96153155</v>
      </c>
    </row>
    <row r="12552" spans="1:2" x14ac:dyDescent="0.25">
      <c r="A12552">
        <f ca="1">35412.8208065259*((RANDBETWEEN(2979,3282)))</f>
        <v>112719008.62717186</v>
      </c>
      <c r="B12552">
        <v>163195914.1857121</v>
      </c>
    </row>
    <row r="12553" spans="1:2" x14ac:dyDescent="0.25">
      <c r="A12553">
        <f ca="1">30928.0800488272*((RANDBETWEEN(2979,3282)))</f>
        <v>95969832.391510844</v>
      </c>
      <c r="B12553">
        <v>148763957.70058656</v>
      </c>
    </row>
    <row r="12554" spans="1:2" x14ac:dyDescent="0.25">
      <c r="A12554">
        <f ca="1">39829.7725862553*((RANDBETWEEN(2979,3282)))</f>
        <v>126857825.68722321</v>
      </c>
      <c r="B12554">
        <v>191151340.27708012</v>
      </c>
    </row>
    <row r="12555" spans="1:2" x14ac:dyDescent="0.25">
      <c r="A12555">
        <f ca="1">32840.8375822244*((RANDBETWEEN(2979,3282)))</f>
        <v>107685106.43211366</v>
      </c>
      <c r="B12555">
        <v>196378977.8577227</v>
      </c>
    </row>
    <row r="12556" spans="1:2" x14ac:dyDescent="0.25">
      <c r="A12556">
        <f ca="1">36852.041295428*((RANDBETWEEN(2979,3282)))</f>
        <v>111256312.67089725</v>
      </c>
      <c r="B12556">
        <v>146808116.55626753</v>
      </c>
    </row>
    <row r="12557" spans="1:2" x14ac:dyDescent="0.25">
      <c r="A12557">
        <f ca="1">39569.6520544243*((RANDBETWEEN(2979,3282)))</f>
        <v>124486125.36321895</v>
      </c>
      <c r="B12557">
        <v>162041937.41867036</v>
      </c>
    </row>
    <row r="12558" spans="1:2" x14ac:dyDescent="0.25">
      <c r="A12558">
        <f ca="1">32187.4467128101*((RANDBETWEEN(2979,3282)))</f>
        <v>97527963.539814487</v>
      </c>
      <c r="B12558">
        <v>179024723.14782652</v>
      </c>
    </row>
    <row r="12559" spans="1:2" x14ac:dyDescent="0.25">
      <c r="A12559">
        <f ca="1">34527.1157818456*((RANDBETWEEN(2979,3282)))</f>
        <v>107759128.35514013</v>
      </c>
      <c r="B12559">
        <v>149120231.03494841</v>
      </c>
    </row>
    <row r="12560" spans="1:2" x14ac:dyDescent="0.25">
      <c r="A12560">
        <f ca="1">34752.511416299*((RANDBETWEEN(2979,3282)))</f>
        <v>108983875.80151357</v>
      </c>
      <c r="B12560">
        <v>153536440.38714591</v>
      </c>
    </row>
    <row r="12561" spans="1:2" x14ac:dyDescent="0.25">
      <c r="A12561">
        <f ca="1">29884.2514027201*((RANDBETWEEN(2979,3282)))</f>
        <v>93208980.125083953</v>
      </c>
      <c r="B12561">
        <v>165803150.45685858</v>
      </c>
    </row>
    <row r="12562" spans="1:2" x14ac:dyDescent="0.25">
      <c r="A12562">
        <f ca="1">30901.718739878*((RANDBETWEEN(2979,3282)))</f>
        <v>97742136.37423414</v>
      </c>
      <c r="B12562">
        <v>160130420.12813872</v>
      </c>
    </row>
    <row r="12563" spans="1:2" x14ac:dyDescent="0.25">
      <c r="A12563">
        <f ca="1">40961.2884628868*((RANDBETWEEN(2979,3282)))</f>
        <v>134353026.15826854</v>
      </c>
      <c r="B12563">
        <v>202222469.07250845</v>
      </c>
    </row>
    <row r="12564" spans="1:2" x14ac:dyDescent="0.25">
      <c r="A12564">
        <f ca="1">38331.1700180237*((RANDBETWEEN(2979,3282)))</f>
        <v>117255049.08513434</v>
      </c>
      <c r="B12564">
        <v>143409666.05365902</v>
      </c>
    </row>
    <row r="12565" spans="1:2" x14ac:dyDescent="0.25">
      <c r="A12565">
        <f ca="1">30635.450599065*((RANDBETWEEN(2979,3282)))</f>
        <v>94265281.493322924</v>
      </c>
      <c r="B12565">
        <v>186131601.3686955</v>
      </c>
    </row>
    <row r="12566" spans="1:2" x14ac:dyDescent="0.25">
      <c r="A12566">
        <f ca="1">35318.0934868674*((RANDBETWEEN(2979,3282)))</f>
        <v>110934131.64225042</v>
      </c>
      <c r="B12566">
        <v>181648677.90049475</v>
      </c>
    </row>
    <row r="12567" spans="1:2" x14ac:dyDescent="0.25">
      <c r="A12567">
        <f ca="1">37105.2446751078*((RANDBETWEEN(2979,3282)))</f>
        <v>112169154.65285079</v>
      </c>
      <c r="B12567">
        <v>160044623.05245411</v>
      </c>
    </row>
    <row r="12568" spans="1:2" x14ac:dyDescent="0.25">
      <c r="A12568">
        <f ca="1">34991.8754969506*((RANDBETWEEN(2979,3282)))</f>
        <v>109979464.68691581</v>
      </c>
      <c r="B12568">
        <v>192868143.2981258</v>
      </c>
    </row>
    <row r="12569" spans="1:2" x14ac:dyDescent="0.25">
      <c r="A12569">
        <f ca="1">31319.2111265854*((RANDBETWEEN(2979,3282)))</f>
        <v>100503348.50521243</v>
      </c>
      <c r="B12569">
        <v>155638566.44032007</v>
      </c>
    </row>
    <row r="12570" spans="1:2" x14ac:dyDescent="0.25">
      <c r="A12570">
        <f ca="1">35537.772160407*((RANDBETWEEN(2979,3282)))</f>
        <v>110700160.27966784</v>
      </c>
      <c r="B12570">
        <v>172838897.3638922</v>
      </c>
    </row>
    <row r="12571" spans="1:2" x14ac:dyDescent="0.25">
      <c r="A12571">
        <f ca="1">30551.6116528619*((RANDBETWEEN(2979,3282)))</f>
        <v>92632486.531477377</v>
      </c>
      <c r="B12571">
        <v>173794190.70173419</v>
      </c>
    </row>
    <row r="12572" spans="1:2" x14ac:dyDescent="0.25">
      <c r="A12572">
        <f ca="1">33093.2032072408*((RANDBETWEEN(2979,3282)))</f>
        <v>99610541.653794706</v>
      </c>
      <c r="B12572">
        <v>192048469.23464152</v>
      </c>
    </row>
    <row r="12573" spans="1:2" x14ac:dyDescent="0.25">
      <c r="A12573">
        <f ca="1">35482.6381429331*((RANDBETWEEN(2979,3282)))</f>
        <v>106625327.61951388</v>
      </c>
      <c r="B12573">
        <v>189012953.05563492</v>
      </c>
    </row>
    <row r="12574" spans="1:2" x14ac:dyDescent="0.25">
      <c r="A12574">
        <f ca="1">40603.9113373499*((RANDBETWEEN(2979,3282)))</f>
        <v>124654007.80566405</v>
      </c>
      <c r="B12574">
        <v>159741457.03208688</v>
      </c>
    </row>
    <row r="12575" spans="1:2" x14ac:dyDescent="0.25">
      <c r="A12575">
        <f ca="1">32140.4230031547*((RANDBETWEEN(2979,3282)))</f>
        <v>102045843.03501621</v>
      </c>
      <c r="B12575">
        <v>193350521.28525433</v>
      </c>
    </row>
    <row r="12576" spans="1:2" x14ac:dyDescent="0.25">
      <c r="A12576">
        <f ca="1">35595.9764437231*((RANDBETWEEN(2979,3282)))</f>
        <v>114013912.5492451</v>
      </c>
      <c r="B12576">
        <v>145378817.29412934</v>
      </c>
    </row>
    <row r="12577" spans="1:2" x14ac:dyDescent="0.25">
      <c r="A12577">
        <f ca="1">39751.552817972*((RANDBETWEEN(2979,3282)))</f>
        <v>126807453.4893306</v>
      </c>
      <c r="B12577">
        <v>145570051.1049774</v>
      </c>
    </row>
    <row r="12578" spans="1:2" x14ac:dyDescent="0.25">
      <c r="A12578">
        <f ca="1">33181.3630982139*((RANDBETWEEN(2979,3282)))</f>
        <v>101634515.16982917</v>
      </c>
      <c r="B12578">
        <v>145604405.62274665</v>
      </c>
    </row>
    <row r="12579" spans="1:2" x14ac:dyDescent="0.25">
      <c r="A12579">
        <f ca="1">30961.3781613256*((RANDBETWEEN(2979,3282)))</f>
        <v>96011233.678270593</v>
      </c>
      <c r="B12579">
        <v>173043225.82878113</v>
      </c>
    </row>
    <row r="12580" spans="1:2" x14ac:dyDescent="0.25">
      <c r="A12580">
        <f ca="1">31351.8752124868*((RANDBETWEEN(2979,3282)))</f>
        <v>93459940.00842306</v>
      </c>
      <c r="B12580">
        <v>199411094.15196794</v>
      </c>
    </row>
    <row r="12581" spans="1:2" x14ac:dyDescent="0.25">
      <c r="A12581">
        <f ca="1">32390.0019258148*((RANDBETWEEN(2979,3282)))</f>
        <v>106012476.30319189</v>
      </c>
      <c r="B12581">
        <v>147388090.88885835</v>
      </c>
    </row>
    <row r="12582" spans="1:2" x14ac:dyDescent="0.25">
      <c r="A12582">
        <f ca="1">33604.0092049587*((RANDBETWEEN(2979,3282)))</f>
        <v>102761060.14876373</v>
      </c>
      <c r="B12582">
        <v>151595449.08838338</v>
      </c>
    </row>
    <row r="12583" spans="1:2" x14ac:dyDescent="0.25">
      <c r="A12583">
        <f ca="1">32248.1311131881*((RANDBETWEEN(2979,3282)))</f>
        <v>102774793.85773061</v>
      </c>
      <c r="B12583">
        <v>162361023.85553381</v>
      </c>
    </row>
    <row r="12584" spans="1:2" x14ac:dyDescent="0.25">
      <c r="A12584">
        <f ca="1">30119.7799074477*((RANDBETWEEN(2979,3282)))</f>
        <v>93732755.071977139</v>
      </c>
      <c r="B12584">
        <v>188817025.60524446</v>
      </c>
    </row>
    <row r="12585" spans="1:2" x14ac:dyDescent="0.25">
      <c r="A12585">
        <f ca="1">33100.1180576436*((RANDBETWEEN(2979,3282)))</f>
        <v>99134853.582642436</v>
      </c>
      <c r="B12585">
        <v>151540401.4154079</v>
      </c>
    </row>
    <row r="12586" spans="1:2" x14ac:dyDescent="0.25">
      <c r="A12586">
        <f ca="1">28646.4684047226*((RANDBETWEEN(2979,3282)))</f>
        <v>90551486.627328157</v>
      </c>
      <c r="B12586">
        <v>152967208.48434514</v>
      </c>
    </row>
    <row r="12587" spans="1:2" x14ac:dyDescent="0.25">
      <c r="A12587">
        <f ca="1">36006.406371173*((RANDBETWEEN(2979,3282)))</f>
        <v>112015930.22071934</v>
      </c>
      <c r="B12587">
        <v>161341094.23593092</v>
      </c>
    </row>
    <row r="12588" spans="1:2" x14ac:dyDescent="0.25">
      <c r="A12588">
        <f ca="1">30870.642679482*((RANDBETWEEN(2979,3282)))</f>
        <v>100761777.70582914</v>
      </c>
      <c r="B12588">
        <v>182902620.32863796</v>
      </c>
    </row>
    <row r="12589" spans="1:2" x14ac:dyDescent="0.25">
      <c r="A12589">
        <f ca="1">34281.7143711133*((RANDBETWEEN(2979,3282)))</f>
        <v>110832782.56180921</v>
      </c>
      <c r="B12589">
        <v>169452398.28967494</v>
      </c>
    </row>
    <row r="12590" spans="1:2" x14ac:dyDescent="0.25">
      <c r="A12590">
        <f ca="1">38009.3653487231*((RANDBETWEEN(2979,3282)))</f>
        <v>120451678.79010336</v>
      </c>
      <c r="B12590">
        <v>154400071.02911362</v>
      </c>
    </row>
    <row r="12591" spans="1:2" x14ac:dyDescent="0.25">
      <c r="A12591">
        <f ca="1">28293.9106200736*((RANDBETWEEN(2979,3282)))</f>
        <v>91162980.017877072</v>
      </c>
      <c r="B12591">
        <v>147261746.3238706</v>
      </c>
    </row>
    <row r="12592" spans="1:2" x14ac:dyDescent="0.25">
      <c r="A12592">
        <f ca="1">31628.3588399411*((RANDBETWEEN(2979,3282)))</f>
        <v>101748430.38809057</v>
      </c>
      <c r="B12592">
        <v>148356536.74016869</v>
      </c>
    </row>
    <row r="12593" spans="1:2" x14ac:dyDescent="0.25">
      <c r="A12593">
        <f ca="1">32568.3772722331*((RANDBETWEEN(2979,3282)))</f>
        <v>97639995.062154725</v>
      </c>
      <c r="B12593">
        <v>172097225.12073937</v>
      </c>
    </row>
    <row r="12594" spans="1:2" x14ac:dyDescent="0.25">
      <c r="A12594">
        <f ca="1">30649.2794955861*((RANDBETWEEN(2979,3282)))</f>
        <v>97035618.883025631</v>
      </c>
      <c r="B12594">
        <v>161239388.36982834</v>
      </c>
    </row>
    <row r="12595" spans="1:2" x14ac:dyDescent="0.25">
      <c r="A12595">
        <f ca="1">37987.1975612593*((RANDBETWEEN(2979,3282)))</f>
        <v>113771656.69597162</v>
      </c>
      <c r="B12595">
        <v>146299091.57710028</v>
      </c>
    </row>
    <row r="12596" spans="1:2" x14ac:dyDescent="0.25">
      <c r="A12596">
        <f ca="1">31555.2901772637*((RANDBETWEEN(2979,3282)))</f>
        <v>100093380.44228059</v>
      </c>
      <c r="B12596">
        <v>173470426.12618309</v>
      </c>
    </row>
    <row r="12597" spans="1:2" x14ac:dyDescent="0.25">
      <c r="A12597">
        <f ca="1">40122.6215799489*((RANDBETWEEN(2979,3282)))</f>
        <v>120167251.63194694</v>
      </c>
      <c r="B12597">
        <v>161741160.11323813</v>
      </c>
    </row>
    <row r="12598" spans="1:2" x14ac:dyDescent="0.25">
      <c r="A12598">
        <f ca="1">29472.1776138533*((RANDBETWEEN(2979,3282)))</f>
        <v>88652310.262470707</v>
      </c>
      <c r="B12598">
        <v>150095858.35395408</v>
      </c>
    </row>
    <row r="12599" spans="1:2" x14ac:dyDescent="0.25">
      <c r="A12599">
        <f ca="1">29760.548722682*((RANDBETWEEN(2979,3282)))</f>
        <v>96572980.605102971</v>
      </c>
      <c r="B12599">
        <v>150744718.09769934</v>
      </c>
    </row>
    <row r="12600" spans="1:2" x14ac:dyDescent="0.25">
      <c r="A12600">
        <f ca="1">28100.0895456292*((RANDBETWEEN(2979,3282)))</f>
        <v>91325291.023294792</v>
      </c>
      <c r="B12600">
        <v>145362272.12296718</v>
      </c>
    </row>
    <row r="12601" spans="1:2" x14ac:dyDescent="0.25">
      <c r="A12601">
        <f ca="1">29670.9623944319*((RANDBETWEEN(2979,3282)))</f>
        <v>88805190.446534649</v>
      </c>
      <c r="B12601">
        <v>181671420.23627505</v>
      </c>
    </row>
    <row r="12602" spans="1:2" x14ac:dyDescent="0.25">
      <c r="A12602">
        <f ca="1">40639.4462614274*((RANDBETWEEN(2979,3282)))</f>
        <v>125779086.17911792</v>
      </c>
      <c r="B12602">
        <v>185456324.81551206</v>
      </c>
    </row>
    <row r="12603" spans="1:2" x14ac:dyDescent="0.25">
      <c r="A12603">
        <f ca="1">28322.2241871436*((RANDBETWEEN(2979,3282)))</f>
        <v>87827217.204332158</v>
      </c>
      <c r="B12603">
        <v>178313813.50901821</v>
      </c>
    </row>
    <row r="12604" spans="1:2" x14ac:dyDescent="0.25">
      <c r="A12604">
        <f ca="1">32513.0450957294*((RANDBETWEEN(2979,3282)))</f>
        <v>99587457.128219277</v>
      </c>
      <c r="B12604">
        <v>174753774.83957863</v>
      </c>
    </row>
    <row r="12605" spans="1:2" x14ac:dyDescent="0.25">
      <c r="A12605">
        <f ca="1">32880.0367771828*((RANDBETWEEN(2979,3282)))</f>
        <v>105347637.8340936</v>
      </c>
      <c r="B12605">
        <v>155294150.36336008</v>
      </c>
    </row>
    <row r="12606" spans="1:2" x14ac:dyDescent="0.25">
      <c r="A12606">
        <f ca="1">34983.2029127546*((RANDBETWEEN(2979,3282)))</f>
        <v>114045241.49557984</v>
      </c>
      <c r="B12606">
        <v>172840328.62911186</v>
      </c>
    </row>
    <row r="12607" spans="1:2" x14ac:dyDescent="0.25">
      <c r="A12607">
        <f ca="1">39042.246724785*((RANDBETWEEN(2979,3282)))</f>
        <v>126262625.90795459</v>
      </c>
      <c r="B12607">
        <v>159822775.89795488</v>
      </c>
    </row>
    <row r="12608" spans="1:2" x14ac:dyDescent="0.25">
      <c r="A12608">
        <f ca="1">31364.1916761235*((RANDBETWEEN(2979,3282)))</f>
        <v>102592270.97259986</v>
      </c>
      <c r="B12608">
        <v>151709965.74346951</v>
      </c>
    </row>
    <row r="12609" spans="1:2" x14ac:dyDescent="0.25">
      <c r="A12609">
        <f ca="1">32244.9879436146*((RANDBETWEEN(2979,3282)))</f>
        <v>99540277.781938314</v>
      </c>
      <c r="B12609">
        <v>167345335.44584927</v>
      </c>
    </row>
    <row r="12610" spans="1:2" x14ac:dyDescent="0.25">
      <c r="A12610">
        <f ca="1">32639.3368746852*((RANDBETWEEN(2979,3282)))</f>
        <v>100855550.94277713</v>
      </c>
      <c r="B12610">
        <v>194242205.66785386</v>
      </c>
    </row>
    <row r="12611" spans="1:2" x14ac:dyDescent="0.25">
      <c r="A12611">
        <f ca="1">31853.864270955*((RANDBETWEEN(2979,3282)))</f>
        <v>100976749.73892725</v>
      </c>
      <c r="B12611">
        <v>157596156.82849982</v>
      </c>
    </row>
    <row r="12612" spans="1:2" x14ac:dyDescent="0.25">
      <c r="A12612">
        <f ca="1">31353.723800345*((RANDBETWEEN(2979,3282)))</f>
        <v>101241174.15131393</v>
      </c>
      <c r="B12612">
        <v>184623379.00248089</v>
      </c>
    </row>
    <row r="12613" spans="1:2" x14ac:dyDescent="0.25">
      <c r="A12613">
        <f ca="1">30527.6081039024*((RANDBETWEEN(2979,3282)))</f>
        <v>94818750.770720899</v>
      </c>
      <c r="B12613">
        <v>178720304.41609582</v>
      </c>
    </row>
    <row r="12614" spans="1:2" x14ac:dyDescent="0.25">
      <c r="A12614">
        <f ca="1">43270.2932716727*((RANDBETWEEN(2979,3282)))</f>
        <v>132580178.58440506</v>
      </c>
      <c r="B12614">
        <v>183162405.25810957</v>
      </c>
    </row>
    <row r="12615" spans="1:2" x14ac:dyDescent="0.25">
      <c r="A12615">
        <f ca="1">31471.2986819523*((RANDBETWEEN(2979,3282)))</f>
        <v>103099974.48207568</v>
      </c>
      <c r="B12615">
        <v>185547218.43215263</v>
      </c>
    </row>
    <row r="12616" spans="1:2" x14ac:dyDescent="0.25">
      <c r="A12616">
        <f ca="1">32961.9521350351*((RANDBETWEEN(2979,3282)))</f>
        <v>99676943.256346002</v>
      </c>
      <c r="B12616">
        <v>158794115.79157937</v>
      </c>
    </row>
    <row r="12617" spans="1:2" x14ac:dyDescent="0.25">
      <c r="A12617">
        <f ca="1">31135.6232320074*((RANDBETWEEN(2979,3282)))</f>
        <v>93780497.174806327</v>
      </c>
      <c r="B12617">
        <v>156128107.43834394</v>
      </c>
    </row>
    <row r="12618" spans="1:2" x14ac:dyDescent="0.25">
      <c r="A12618">
        <f ca="1">38037.3061887718*((RANDBETWEEN(2979,3282)))</f>
        <v>116964716.53047341</v>
      </c>
      <c r="B12618">
        <v>194918006.2756207</v>
      </c>
    </row>
    <row r="12619" spans="1:2" x14ac:dyDescent="0.25">
      <c r="A12619">
        <f ca="1">33524.2603755477*((RANDBETWEEN(2979,3282)))</f>
        <v>100405159.82476526</v>
      </c>
      <c r="B12619">
        <v>189438510.89064923</v>
      </c>
    </row>
    <row r="12620" spans="1:2" x14ac:dyDescent="0.25">
      <c r="A12620">
        <f ca="1">31331.5940641843*((RANDBETWEEN(2979,3282)))</f>
        <v>102047001.8670482</v>
      </c>
      <c r="B12620">
        <v>143169564.98347425</v>
      </c>
    </row>
    <row r="12621" spans="1:2" x14ac:dyDescent="0.25">
      <c r="A12621">
        <f ca="1">29667.8261362784*((RANDBETWEEN(2979,3282)))</f>
        <v>88914474.930426314</v>
      </c>
      <c r="B12621">
        <v>144918368.210004</v>
      </c>
    </row>
    <row r="12622" spans="1:2" x14ac:dyDescent="0.25">
      <c r="A12622">
        <f ca="1">36696.6247261143*((RANDBETWEEN(2979,3282)))</f>
        <v>115520974.63780782</v>
      </c>
      <c r="B12622">
        <v>180710522.23832077</v>
      </c>
    </row>
    <row r="12623" spans="1:2" x14ac:dyDescent="0.25">
      <c r="A12623">
        <f ca="1">31259.2813991796*((RANDBETWEEN(2979,3282)))</f>
        <v>94465548.38832061</v>
      </c>
      <c r="B12623">
        <v>156110981.70154622</v>
      </c>
    </row>
    <row r="12624" spans="1:2" x14ac:dyDescent="0.25">
      <c r="A12624">
        <f ca="1">28958.7809678583*((RANDBETWEEN(2979,3282)))</f>
        <v>92349552.50650005</v>
      </c>
      <c r="B12624">
        <v>193022209.81111822</v>
      </c>
    </row>
    <row r="12625" spans="1:2" x14ac:dyDescent="0.25">
      <c r="A12625">
        <f ca="1">38145.9158290462*((RANDBETWEEN(2979,3282)))</f>
        <v>114514039.31879666</v>
      </c>
      <c r="B12625">
        <v>193664678.96293759</v>
      </c>
    </row>
    <row r="12626" spans="1:2" x14ac:dyDescent="0.25">
      <c r="A12626">
        <f ca="1">29414.9990036941*((RANDBETWEEN(2979,3282)))</f>
        <v>92304266.873591959</v>
      </c>
      <c r="B12626">
        <v>163202995.64245832</v>
      </c>
    </row>
    <row r="12627" spans="1:2" x14ac:dyDescent="0.25">
      <c r="A12627">
        <f ca="1">29913.4328326938*((RANDBETWEEN(2979,3282)))</f>
        <v>91475277.602377787</v>
      </c>
      <c r="B12627">
        <v>166805283.79245663</v>
      </c>
    </row>
    <row r="12628" spans="1:2" x14ac:dyDescent="0.25">
      <c r="A12628">
        <f ca="1">30293.0545537944*((RANDBETWEEN(2979,3282)))</f>
        <v>91121508.097813621</v>
      </c>
      <c r="B12628">
        <v>167938754.87323749</v>
      </c>
    </row>
    <row r="12629" spans="1:2" x14ac:dyDescent="0.25">
      <c r="A12629">
        <f ca="1">33279.4198679507*((RANDBETWEEN(2979,3282)))</f>
        <v>99738421.344248101</v>
      </c>
      <c r="B12629">
        <v>178437045.96882883</v>
      </c>
    </row>
    <row r="12630" spans="1:2" x14ac:dyDescent="0.25">
      <c r="A12630">
        <f ca="1">39802.5971197092*((RANDBETWEEN(2979,3282)))</f>
        <v>127010087.40899211</v>
      </c>
      <c r="B12630">
        <v>158510588.35911193</v>
      </c>
    </row>
    <row r="12631" spans="1:2" x14ac:dyDescent="0.25">
      <c r="A12631">
        <f ca="1">31525.7123462315*((RANDBETWEEN(2979,3282)))</f>
        <v>102773822.24871455</v>
      </c>
      <c r="B12631">
        <v>172284241.55466315</v>
      </c>
    </row>
    <row r="12632" spans="1:2" x14ac:dyDescent="0.25">
      <c r="A12632">
        <f ca="1">37432.6162045336*((RANDBETWEEN(2979,3282)))</f>
        <v>120907350.34064358</v>
      </c>
      <c r="B12632">
        <v>174118880.40547776</v>
      </c>
    </row>
    <row r="12633" spans="1:2" x14ac:dyDescent="0.25">
      <c r="A12633">
        <f ca="1">28923.9773197432*((RANDBETWEEN(2979,3282)))</f>
        <v>90358505.1468779</v>
      </c>
      <c r="B12633">
        <v>202981921.41947925</v>
      </c>
    </row>
    <row r="12634" spans="1:2" x14ac:dyDescent="0.25">
      <c r="A12634">
        <f ca="1">33463.9252804051*((RANDBETWEEN(2979,3282)))</f>
        <v>101830724.62827262</v>
      </c>
      <c r="B12634">
        <v>177579834.4150337</v>
      </c>
    </row>
    <row r="12635" spans="1:2" x14ac:dyDescent="0.25">
      <c r="A12635">
        <f ca="1">31816.7288663702*((RANDBETWEEN(2979,3282)))</f>
        <v>100827213.77752702</v>
      </c>
      <c r="B12635">
        <v>172380451.38137925</v>
      </c>
    </row>
    <row r="12636" spans="1:2" x14ac:dyDescent="0.25">
      <c r="A12636">
        <f ca="1">30867.8927290042*((RANDBETWEEN(2979,3282)))</f>
        <v>95011373.819875017</v>
      </c>
      <c r="B12636">
        <v>159453452.39173943</v>
      </c>
    </row>
    <row r="12637" spans="1:2" x14ac:dyDescent="0.25">
      <c r="A12637">
        <f ca="1">31788.801687153*((RANDBETWEEN(2979,3282)))</f>
        <v>101914898.20901266</v>
      </c>
      <c r="B12637">
        <v>169924410.37566909</v>
      </c>
    </row>
    <row r="12638" spans="1:2" x14ac:dyDescent="0.25">
      <c r="A12638">
        <f ca="1">31513.5623415652*((RANDBETWEEN(2979,3282)))</f>
        <v>94477659.900012508</v>
      </c>
      <c r="B12638">
        <v>186001798.22856987</v>
      </c>
    </row>
    <row r="12639" spans="1:2" x14ac:dyDescent="0.25">
      <c r="A12639">
        <f ca="1">35259.6226498158*((RANDBETWEEN(2979,3282)))</f>
        <v>111385147.95076816</v>
      </c>
      <c r="B12639">
        <v>189236970.52202448</v>
      </c>
    </row>
    <row r="12640" spans="1:2" x14ac:dyDescent="0.25">
      <c r="A12640">
        <f ca="1">36296.3458353514*((RANDBETWEEN(2979,3282)))</f>
        <v>109905335.18944407</v>
      </c>
      <c r="B12640">
        <v>161777711.24550933</v>
      </c>
    </row>
    <row r="12641" spans="1:2" x14ac:dyDescent="0.25">
      <c r="A12641">
        <f ca="1">28667.7254344412*((RANDBETWEEN(2979,3282)))</f>
        <v>91478711.861301869</v>
      </c>
      <c r="B12641">
        <v>147978836.30818015</v>
      </c>
    </row>
    <row r="12642" spans="1:2" x14ac:dyDescent="0.25">
      <c r="A12642">
        <f ca="1">30345.2721599236*((RANDBETWEEN(2979,3282)))</f>
        <v>94798630.227601469</v>
      </c>
      <c r="B12642">
        <v>151184277.03175935</v>
      </c>
    </row>
    <row r="12643" spans="1:2" x14ac:dyDescent="0.25">
      <c r="A12643">
        <f ca="1">33213.354610056*((RANDBETWEEN(2979,3282)))</f>
        <v>100536824.40463944</v>
      </c>
      <c r="B12643">
        <v>174898098.69303697</v>
      </c>
    </row>
    <row r="12644" spans="1:2" x14ac:dyDescent="0.25">
      <c r="A12644">
        <f ca="1">32925.8339483683*((RANDBETWEEN(2979,3282)))</f>
        <v>101971307.73809652</v>
      </c>
      <c r="B12644">
        <v>175429475.20667171</v>
      </c>
    </row>
    <row r="12645" spans="1:2" x14ac:dyDescent="0.25">
      <c r="A12645">
        <f ca="1">39801.2056580218*((RANDBETWEEN(2979,3282)))</f>
        <v>122309104.9871009</v>
      </c>
      <c r="B12645">
        <v>177908741.10075611</v>
      </c>
    </row>
    <row r="12646" spans="1:2" x14ac:dyDescent="0.25">
      <c r="A12646">
        <f ca="1">31328.865193592*((RANDBETWEEN(2979,3282)))</f>
        <v>100722301.5973984</v>
      </c>
      <c r="B12646">
        <v>156512154.57950059</v>
      </c>
    </row>
    <row r="12647" spans="1:2" x14ac:dyDescent="0.25">
      <c r="A12647">
        <f ca="1">31337.0755199982*((RANDBETWEEN(2979,3282)))</f>
        <v>98649113.736954182</v>
      </c>
      <c r="B12647">
        <v>159425690.471246</v>
      </c>
    </row>
    <row r="12648" spans="1:2" x14ac:dyDescent="0.25">
      <c r="A12648">
        <f ca="1">36513.1935292131*((RANDBETWEEN(2979,3282)))</f>
        <v>114213269.35937864</v>
      </c>
      <c r="B12648">
        <v>203271146.60529035</v>
      </c>
    </row>
    <row r="12649" spans="1:2" x14ac:dyDescent="0.25">
      <c r="A12649">
        <f ca="1">31304.7872127843*((RANDBETWEEN(2979,3282)))</f>
        <v>97639631.316674098</v>
      </c>
      <c r="B12649">
        <v>163185404.49309286</v>
      </c>
    </row>
    <row r="12650" spans="1:2" x14ac:dyDescent="0.25">
      <c r="A12650">
        <f ca="1">33669.291887092*((RANDBETWEEN(2979,3282)))</f>
        <v>108280442.70888786</v>
      </c>
      <c r="B12650">
        <v>167968235.6906625</v>
      </c>
    </row>
    <row r="12651" spans="1:2" x14ac:dyDescent="0.25">
      <c r="A12651">
        <f ca="1">33185.8025292146*((RANDBETWEEN(2979,3282)))</f>
        <v>103838376.11391249</v>
      </c>
      <c r="B12651">
        <v>172100741.70403636</v>
      </c>
    </row>
    <row r="12652" spans="1:2" x14ac:dyDescent="0.25">
      <c r="A12652">
        <f ca="1">36735.0673420496*((RANDBETWEEN(2979,3282)))</f>
        <v>117111394.68645425</v>
      </c>
      <c r="B12652">
        <v>147999338.00055656</v>
      </c>
    </row>
    <row r="12653" spans="1:2" x14ac:dyDescent="0.25">
      <c r="A12653">
        <f ca="1">30457.1137889462*((RANDBETWEEN(2979,3282)))</f>
        <v>92620083.03218545</v>
      </c>
      <c r="B12653">
        <v>165911297.15859604</v>
      </c>
    </row>
    <row r="12654" spans="1:2" x14ac:dyDescent="0.25">
      <c r="A12654">
        <f ca="1">30324.8033724697*((RANDBETWEEN(2979,3282)))</f>
        <v>97342618.825627819</v>
      </c>
      <c r="B12654">
        <v>170275924.66616675</v>
      </c>
    </row>
    <row r="12655" spans="1:2" x14ac:dyDescent="0.25">
      <c r="A12655">
        <f ca="1">32362.4356556422*((RANDBETWEEN(2979,3282)))</f>
        <v>96957857.224303931</v>
      </c>
      <c r="B12655">
        <v>188464153.42377043</v>
      </c>
    </row>
    <row r="12656" spans="1:2" x14ac:dyDescent="0.25">
      <c r="A12656">
        <f ca="1">31463.7829216369*((RANDBETWEEN(2979,3282)))</f>
        <v>96908451.398641586</v>
      </c>
      <c r="B12656">
        <v>176692181.55749166</v>
      </c>
    </row>
    <row r="12657" spans="1:2" x14ac:dyDescent="0.25">
      <c r="A12657">
        <f ca="1">31287.9329746628*((RANDBETWEEN(2979,3282)))</f>
        <v>95584635.237594992</v>
      </c>
      <c r="B12657">
        <v>178662091.17972878</v>
      </c>
    </row>
    <row r="12658" spans="1:2" x14ac:dyDescent="0.25">
      <c r="A12658">
        <f ca="1">33522.201501979*((RANDBETWEEN(2979,3282)))</f>
        <v>101069437.5284666</v>
      </c>
      <c r="B12658">
        <v>162458321.14236918</v>
      </c>
    </row>
    <row r="12659" spans="1:2" x14ac:dyDescent="0.25">
      <c r="A12659">
        <f ca="1">35940.562144479*((RANDBETWEEN(2979,3282)))</f>
        <v>116519302.47240087</v>
      </c>
      <c r="B12659">
        <v>172240495.52956671</v>
      </c>
    </row>
    <row r="12660" spans="1:2" x14ac:dyDescent="0.25">
      <c r="A12660">
        <f ca="1">31235.5321602528*((RANDBETWEEN(2979,3282)))</f>
        <v>96267910.11789912</v>
      </c>
      <c r="B12660">
        <v>148587834.31798688</v>
      </c>
    </row>
    <row r="12661" spans="1:2" x14ac:dyDescent="0.25">
      <c r="A12661">
        <f ca="1">33492.1933390122*((RANDBETWEEN(2979,3282)))</f>
        <v>105098502.69782014</v>
      </c>
      <c r="B12661">
        <v>186209026.00290781</v>
      </c>
    </row>
    <row r="12662" spans="1:2" x14ac:dyDescent="0.25">
      <c r="A12662">
        <f ca="1">39270.7535012345*((RANDBETWEEN(2979,3282)))</f>
        <v>125587869.69694787</v>
      </c>
      <c r="B12662">
        <v>153072824.92051572</v>
      </c>
    </row>
    <row r="12663" spans="1:2" x14ac:dyDescent="0.25">
      <c r="A12663">
        <f ca="1">31945.5243234356*((RANDBETWEEN(2979,3282)))</f>
        <v>104174354.81872338</v>
      </c>
      <c r="B12663">
        <v>173175770.33246553</v>
      </c>
    </row>
    <row r="12664" spans="1:2" x14ac:dyDescent="0.25">
      <c r="A12664">
        <f ca="1">32008.3617615408*((RANDBETWEEN(2979,3282)))</f>
        <v>102682824.53102285</v>
      </c>
      <c r="B12664">
        <v>172017326.28517577</v>
      </c>
    </row>
    <row r="12665" spans="1:2" x14ac:dyDescent="0.25">
      <c r="A12665">
        <f ca="1">39826.0978901282*((RANDBETWEEN(2979,3282)))</f>
        <v>120314641.72607729</v>
      </c>
      <c r="B12665">
        <v>146732609.87365949</v>
      </c>
    </row>
    <row r="12666" spans="1:2" x14ac:dyDescent="0.25">
      <c r="A12666">
        <f ca="1">30985.926619352*((RANDBETWEEN(2979,3282)))</f>
        <v>97264823.658145905</v>
      </c>
      <c r="B12666">
        <v>154723353.52541912</v>
      </c>
    </row>
    <row r="12667" spans="1:2" x14ac:dyDescent="0.25">
      <c r="A12667">
        <f ca="1">31178.7334150804*((RANDBETWEEN(2979,3282)))</f>
        <v>94939243.248919904</v>
      </c>
      <c r="B12667">
        <v>149795691.81970716</v>
      </c>
    </row>
    <row r="12668" spans="1:2" x14ac:dyDescent="0.25">
      <c r="A12668">
        <f ca="1">29994.2735786583*((RANDBETWEEN(2979,3282)))</f>
        <v>94182019.036987215</v>
      </c>
      <c r="B12668">
        <v>144928233.45396975</v>
      </c>
    </row>
    <row r="12669" spans="1:2" x14ac:dyDescent="0.25">
      <c r="A12669">
        <f ca="1">32341.753658904*((RANDBETWEEN(2979,3282)))</f>
        <v>105013674.13046138</v>
      </c>
      <c r="B12669">
        <v>192243680.30018044</v>
      </c>
    </row>
    <row r="12670" spans="1:2" x14ac:dyDescent="0.25">
      <c r="A12670">
        <f ca="1">36520.2944984324*((RANDBETWEEN(2979,3282)))</f>
        <v>111715580.8707048</v>
      </c>
      <c r="B12670">
        <v>151888361.22332072</v>
      </c>
    </row>
    <row r="12671" spans="1:2" x14ac:dyDescent="0.25">
      <c r="A12671">
        <f ca="1">30081.4427318193*((RANDBETWEEN(2979,3282)))</f>
        <v>91237015.80560787</v>
      </c>
      <c r="B12671">
        <v>194926119.88889343</v>
      </c>
    </row>
    <row r="12672" spans="1:2" x14ac:dyDescent="0.25">
      <c r="A12672">
        <f ca="1">28469.7084816845*((RANDBETWEEN(2979,3282)))</f>
        <v>92555022.273956373</v>
      </c>
      <c r="B12672">
        <v>191061092.59229267</v>
      </c>
    </row>
    <row r="12673" spans="1:2" x14ac:dyDescent="0.25">
      <c r="A12673">
        <f ca="1">42005.3836166192*((RANDBETWEEN(2979,3282)))</f>
        <v>128452463.09962159</v>
      </c>
      <c r="B12673">
        <v>154573052.10710987</v>
      </c>
    </row>
    <row r="12674" spans="1:2" x14ac:dyDescent="0.25">
      <c r="A12674">
        <f ca="1">34968.3911537369*((RANDBETWEEN(2979,3282)))</f>
        <v>110325274.09004015</v>
      </c>
      <c r="B12674">
        <v>151046250.56631544</v>
      </c>
    </row>
    <row r="12675" spans="1:2" x14ac:dyDescent="0.25">
      <c r="A12675">
        <f ca="1">30058.0206102308*((RANDBETWEEN(2979,3282)))</f>
        <v>89933597.665810525</v>
      </c>
      <c r="B12675">
        <v>167213129.89027503</v>
      </c>
    </row>
    <row r="12676" spans="1:2" x14ac:dyDescent="0.25">
      <c r="A12676">
        <f ca="1">37361.782466143*((RANDBETWEEN(2979,3282)))</f>
        <v>112197432.74582729</v>
      </c>
      <c r="B12676">
        <v>155273079.59739399</v>
      </c>
    </row>
    <row r="12677" spans="1:2" x14ac:dyDescent="0.25">
      <c r="A12677">
        <f ca="1">31423.5467740124*((RANDBETWEEN(2979,3282)))</f>
        <v>97255877.265568331</v>
      </c>
      <c r="B12677">
        <v>170879775.69496399</v>
      </c>
    </row>
    <row r="12678" spans="1:2" x14ac:dyDescent="0.25">
      <c r="A12678">
        <f ca="1">28820.2696599768*((RANDBETWEEN(2979,3282)))</f>
        <v>90985591.316546723</v>
      </c>
      <c r="B12678">
        <v>148321403.24718276</v>
      </c>
    </row>
    <row r="12679" spans="1:2" x14ac:dyDescent="0.25">
      <c r="A12679">
        <f ca="1">30743.2372706711*((RANDBETWEEN(2979,3282)))</f>
        <v>94658427.556396246</v>
      </c>
      <c r="B12679">
        <v>160520253.26319614</v>
      </c>
    </row>
    <row r="12680" spans="1:2" x14ac:dyDescent="0.25">
      <c r="A12680">
        <f ca="1">31205.8608566389*((RANDBETWEEN(2979,3282)))</f>
        <v>95739581.108168289</v>
      </c>
      <c r="B12680">
        <v>154429202.00361642</v>
      </c>
    </row>
    <row r="12681" spans="1:2" x14ac:dyDescent="0.25">
      <c r="A12681">
        <f ca="1">37665.8676797676*((RANDBETWEEN(2979,3282)))</f>
        <v>121698418.47332926</v>
      </c>
      <c r="B12681">
        <v>147869108.21312791</v>
      </c>
    </row>
    <row r="12682" spans="1:2" x14ac:dyDescent="0.25">
      <c r="A12682">
        <f ca="1">27057.477556412*((RANDBETWEEN(2979,3282)))</f>
        <v>87368595.029654279</v>
      </c>
      <c r="B12682">
        <v>192334933.91680825</v>
      </c>
    </row>
    <row r="12683" spans="1:2" x14ac:dyDescent="0.25">
      <c r="A12683">
        <f ca="1">29616.7700670573*((RANDBETWEEN(2979,3282)))</f>
        <v>90064597.773921281</v>
      </c>
      <c r="B12683">
        <v>194594376.71541494</v>
      </c>
    </row>
    <row r="12684" spans="1:2" x14ac:dyDescent="0.25">
      <c r="A12684">
        <f ca="1">28752.5305821363*((RANDBETWEEN(2979,3282)))</f>
        <v>88184011.295412004</v>
      </c>
      <c r="B12684">
        <v>147402035.58109891</v>
      </c>
    </row>
    <row r="12685" spans="1:2" x14ac:dyDescent="0.25">
      <c r="A12685">
        <f ca="1">36242.3146755284*((RANDBETWEEN(2979,3282)))</f>
        <v>116881464.82857896</v>
      </c>
      <c r="B12685">
        <v>196226559.53964809</v>
      </c>
    </row>
    <row r="12686" spans="1:2" x14ac:dyDescent="0.25">
      <c r="A12686">
        <f ca="1">27880.5668492214*((RANDBETWEEN(2979,3282)))</f>
        <v>85426056.826014295</v>
      </c>
      <c r="B12686">
        <v>147251082.2107498</v>
      </c>
    </row>
    <row r="12687" spans="1:2" x14ac:dyDescent="0.25">
      <c r="A12687">
        <f ca="1">30183.3859509411*((RANDBETWEEN(2979,3282)))</f>
        <v>94051430.623132408</v>
      </c>
      <c r="B12687">
        <v>158717287.94764325</v>
      </c>
    </row>
    <row r="12688" spans="1:2" x14ac:dyDescent="0.25">
      <c r="A12688">
        <f ca="1">36892.1432396984*((RANDBETWEEN(2979,3282)))</f>
        <v>118682024.80210988</v>
      </c>
      <c r="B12688">
        <v>152614747.71342182</v>
      </c>
    </row>
    <row r="12689" spans="1:2" x14ac:dyDescent="0.25">
      <c r="A12689">
        <f ca="1">30139.7633857902*((RANDBETWEEN(2979,3282)))</f>
        <v>92076977.143589079</v>
      </c>
      <c r="B12689">
        <v>175254080.02320647</v>
      </c>
    </row>
    <row r="12690" spans="1:2" x14ac:dyDescent="0.25">
      <c r="A12690">
        <f ca="1">29584.3240022659*((RANDBETWEEN(2979,3282)))</f>
        <v>96001131.387352929</v>
      </c>
      <c r="B12690">
        <v>157797350.53565791</v>
      </c>
    </row>
    <row r="12691" spans="1:2" x14ac:dyDescent="0.25">
      <c r="A12691">
        <f ca="1">30927.3507171667*((RANDBETWEEN(2979,3282)))</f>
        <v>96400552.185408473</v>
      </c>
      <c r="B12691">
        <v>195414166.48554879</v>
      </c>
    </row>
    <row r="12692" spans="1:2" x14ac:dyDescent="0.25">
      <c r="A12692">
        <f ca="1">31883.0586704502*((RANDBETWEEN(2979,3282)))</f>
        <v>104257601.85237214</v>
      </c>
      <c r="B12692">
        <v>165686754.99711943</v>
      </c>
    </row>
    <row r="12693" spans="1:2" x14ac:dyDescent="0.25">
      <c r="A12693">
        <f ca="1">39183.2107091737*((RANDBETWEEN(2979,3282)))</f>
        <v>120214090.45574506</v>
      </c>
      <c r="B12693">
        <v>167458764.32493451</v>
      </c>
    </row>
    <row r="12694" spans="1:2" x14ac:dyDescent="0.25">
      <c r="A12694">
        <f ca="1">32861.8346888168*((RANDBETWEEN(2979,3282)))</f>
        <v>102068858.54346505</v>
      </c>
      <c r="B12694">
        <v>184248481.4774884</v>
      </c>
    </row>
    <row r="12695" spans="1:2" x14ac:dyDescent="0.25">
      <c r="A12695">
        <f ca="1">32892.3349759609*((RANDBETWEEN(2979,3282)))</f>
        <v>101275499.39098363</v>
      </c>
      <c r="B12695">
        <v>149941838.13692799</v>
      </c>
    </row>
    <row r="12696" spans="1:2" x14ac:dyDescent="0.25">
      <c r="A12696">
        <f ca="1">31689.7559991073*((RANDBETWEEN(2979,3282)))</f>
        <v>96653755.797277257</v>
      </c>
      <c r="B12696">
        <v>149008874.04126188</v>
      </c>
    </row>
    <row r="12697" spans="1:2" x14ac:dyDescent="0.25">
      <c r="A12697">
        <f ca="1">33037.7991164519*((RANDBETWEEN(2979,3282)))</f>
        <v>104531596.40445367</v>
      </c>
      <c r="B12697">
        <v>162579465.15826383</v>
      </c>
    </row>
    <row r="12698" spans="1:2" x14ac:dyDescent="0.25">
      <c r="A12698">
        <f ca="1">31058.9330337725*((RANDBETWEEN(2979,3282)))</f>
        <v>96841753.199302703</v>
      </c>
      <c r="B12698">
        <v>199459844.02433729</v>
      </c>
    </row>
    <row r="12699" spans="1:2" x14ac:dyDescent="0.25">
      <c r="A12699">
        <f ca="1">34701.6195587129*((RANDBETWEEN(2979,3282)))</f>
        <v>109553012.9468565</v>
      </c>
      <c r="B12699">
        <v>187269119.51326197</v>
      </c>
    </row>
    <row r="12700" spans="1:2" x14ac:dyDescent="0.25">
      <c r="A12700">
        <f ca="1">38367.0795230092*((RANDBETWEEN(2979,3282)))</f>
        <v>122659553.23506054</v>
      </c>
      <c r="B12700">
        <v>152163025.14592627</v>
      </c>
    </row>
    <row r="12701" spans="1:2" x14ac:dyDescent="0.25">
      <c r="A12701">
        <f ca="1">32625.297503566*((RANDBETWEEN(2979,3282)))</f>
        <v>98071644.29571937</v>
      </c>
      <c r="B12701">
        <v>149862276.54020002</v>
      </c>
    </row>
    <row r="12702" spans="1:2" x14ac:dyDescent="0.25">
      <c r="A12702">
        <f ca="1">31294.5878952464*((RANDBETWEEN(2979,3282)))</f>
        <v>101206697.25322677</v>
      </c>
      <c r="B12702">
        <v>164679103.28454173</v>
      </c>
    </row>
    <row r="12703" spans="1:2" x14ac:dyDescent="0.25">
      <c r="A12703">
        <f ca="1">28958.1152536033*((RANDBETWEEN(2979,3282)))</f>
        <v>91710351.008161709</v>
      </c>
      <c r="B12703">
        <v>161367696.48726952</v>
      </c>
    </row>
    <row r="12704" spans="1:2" x14ac:dyDescent="0.25">
      <c r="A12704">
        <f ca="1">36490.1309835274*((RANDBETWEEN(2979,3282)))</f>
        <v>112134172.51237962</v>
      </c>
      <c r="B12704">
        <v>144355841.23638853</v>
      </c>
    </row>
    <row r="12705" spans="1:2" x14ac:dyDescent="0.25">
      <c r="A12705">
        <f ca="1">36615.3684019878*((RANDBETWEEN(2979,3282)))</f>
        <v>116034102.46589942</v>
      </c>
      <c r="B12705">
        <v>165686897.63161349</v>
      </c>
    </row>
    <row r="12706" spans="1:2" x14ac:dyDescent="0.25">
      <c r="A12706">
        <f ca="1">32942.8360531999*((RANDBETWEEN(2979,3282)))</f>
        <v>103802876.40363288</v>
      </c>
      <c r="B12706">
        <v>167634756.93874037</v>
      </c>
    </row>
    <row r="12707" spans="1:2" x14ac:dyDescent="0.25">
      <c r="A12707">
        <f ca="1">31420.6284640618*((RANDBETWEEN(2979,3282)))</f>
        <v>100577431.71346192</v>
      </c>
      <c r="B12707">
        <v>172169103.63610509</v>
      </c>
    </row>
    <row r="12708" spans="1:2" x14ac:dyDescent="0.25">
      <c r="A12708">
        <f ca="1">37779.1171660583*((RANDBETWEEN(2979,3282)))</f>
        <v>120364267.29106162</v>
      </c>
      <c r="B12708">
        <v>162895951.20340303</v>
      </c>
    </row>
    <row r="12709" spans="1:2" x14ac:dyDescent="0.25">
      <c r="A12709">
        <f ca="1">40723.7749330349*((RANDBETWEEN(2979,3282)))</f>
        <v>123718828.2465599</v>
      </c>
      <c r="B12709">
        <v>168934972.65942651</v>
      </c>
    </row>
    <row r="12710" spans="1:2" x14ac:dyDescent="0.25">
      <c r="A12710">
        <f ca="1">31938.8983519366*((RANDBETWEEN(2979,3282)))</f>
        <v>104376319.81412873</v>
      </c>
      <c r="B12710">
        <v>159544004.6113466</v>
      </c>
    </row>
    <row r="12711" spans="1:2" x14ac:dyDescent="0.25">
      <c r="A12711">
        <f ca="1">37246.1397886648*((RANDBETWEEN(2979,3282)))</f>
        <v>121571400.27020177</v>
      </c>
      <c r="B12711">
        <v>151114195.19980869</v>
      </c>
    </row>
    <row r="12712" spans="1:2" x14ac:dyDescent="0.25">
      <c r="A12712">
        <f ca="1">30097.257468839*((RANDBETWEEN(2979,3282)))</f>
        <v>93572373.470620379</v>
      </c>
      <c r="B12712">
        <v>160677353.84101173</v>
      </c>
    </row>
    <row r="12713" spans="1:2" x14ac:dyDescent="0.25">
      <c r="A12713">
        <f ca="1">29294.3751369644*((RANDBETWEEN(2979,3282)))</f>
        <v>91222684.176507279</v>
      </c>
      <c r="B12713">
        <v>183413164.3692857</v>
      </c>
    </row>
    <row r="12714" spans="1:2" x14ac:dyDescent="0.25">
      <c r="A12714">
        <f ca="1">31596.8303417061*((RANDBETWEEN(2979,3282)))</f>
        <v>94916878.346485093</v>
      </c>
      <c r="B12714">
        <v>148204945.20750162</v>
      </c>
    </row>
    <row r="12715" spans="1:2" x14ac:dyDescent="0.25">
      <c r="A12715">
        <f ca="1">33075.4619645271*((RANDBETWEEN(2979,3282)))</f>
        <v>106006855.59630938</v>
      </c>
      <c r="B12715">
        <v>169264414.47828823</v>
      </c>
    </row>
    <row r="12716" spans="1:2" x14ac:dyDescent="0.25">
      <c r="A12716">
        <f ca="1">31079.2162490632*((RANDBETWEEN(2979,3282)))</f>
        <v>97060392.34582445</v>
      </c>
      <c r="B12716">
        <v>152416859.65275055</v>
      </c>
    </row>
    <row r="12717" spans="1:2" x14ac:dyDescent="0.25">
      <c r="A12717">
        <f ca="1">31545.8642304322*((RANDBETWEEN(2979,3282)))</f>
        <v>94984597.197831362</v>
      </c>
      <c r="B12717">
        <v>182979845.89414164</v>
      </c>
    </row>
    <row r="12718" spans="1:2" x14ac:dyDescent="0.25">
      <c r="A12718">
        <f ca="1">38013.4438576834*((RANDBETWEEN(2979,3282)))</f>
        <v>119818375.03941794</v>
      </c>
      <c r="B12718">
        <v>188237710.24348515</v>
      </c>
    </row>
    <row r="12719" spans="1:2" x14ac:dyDescent="0.25">
      <c r="A12719">
        <f ca="1">38305.8062221729*((RANDBETWEEN(2979,3282)))</f>
        <v>121889075.39895418</v>
      </c>
      <c r="B12719">
        <v>186362861.21872705</v>
      </c>
    </row>
    <row r="12720" spans="1:2" x14ac:dyDescent="0.25">
      <c r="A12720">
        <f ca="1">30461.4167646862*((RANDBETWEEN(2979,3282)))</f>
        <v>98146684.815818787</v>
      </c>
      <c r="B12720">
        <v>182107036.92546493</v>
      </c>
    </row>
    <row r="12721" spans="1:2" x14ac:dyDescent="0.25">
      <c r="A12721">
        <f ca="1">29705.3351405675*((RANDBETWEEN(2979,3282)))</f>
        <v>93037109.660257488</v>
      </c>
      <c r="B12721">
        <v>161247814.54945958</v>
      </c>
    </row>
    <row r="12722" spans="1:2" x14ac:dyDescent="0.25">
      <c r="A12722">
        <f ca="1">31163.1287192116*((RANDBETWEEN(2979,3282)))</f>
        <v>100407600.73329991</v>
      </c>
      <c r="B12722">
        <v>166170620.94323134</v>
      </c>
    </row>
    <row r="12723" spans="1:2" x14ac:dyDescent="0.25">
      <c r="A12723">
        <f ca="1">29819.0762778907*((RANDBETWEEN(2979,3282)))</f>
        <v>95391225.012972295</v>
      </c>
      <c r="B12723">
        <v>157468453.88254333</v>
      </c>
    </row>
    <row r="12724" spans="1:2" x14ac:dyDescent="0.25">
      <c r="A12724">
        <f ca="1">32228.1725114463*((RANDBETWEEN(2979,3282)))</f>
        <v>105676177.66503243</v>
      </c>
      <c r="B12724">
        <v>199293309.59657031</v>
      </c>
    </row>
    <row r="12725" spans="1:2" x14ac:dyDescent="0.25">
      <c r="A12725">
        <f ca="1">32065.5990595733*((RANDBETWEEN(2979,3282)))</f>
        <v>100076734.66492827</v>
      </c>
      <c r="B12725">
        <v>169616885.73580462</v>
      </c>
    </row>
    <row r="12726" spans="1:2" x14ac:dyDescent="0.25">
      <c r="A12726">
        <f ca="1">35980.7777901331*((RANDBETWEEN(2979,3282)))</f>
        <v>114167007.92809238</v>
      </c>
      <c r="B12726">
        <v>187947286.07855093</v>
      </c>
    </row>
    <row r="12727" spans="1:2" x14ac:dyDescent="0.25">
      <c r="A12727">
        <f ca="1">40903.8972414327*((RANDBETWEEN(2979,3282)))</f>
        <v>132774050.44569045</v>
      </c>
      <c r="B12727">
        <v>165981207.03715217</v>
      </c>
    </row>
    <row r="12728" spans="1:2" x14ac:dyDescent="0.25">
      <c r="A12728">
        <f ca="1">30681.8747430459*((RANDBETWEEN(2979,3282)))</f>
        <v>99378592.292725548</v>
      </c>
      <c r="B12728">
        <v>173132421.4249025</v>
      </c>
    </row>
    <row r="12729" spans="1:2" x14ac:dyDescent="0.25">
      <c r="A12729">
        <f ca="1">35931.0540357189*((RANDBETWEEN(2979,3282)))</f>
        <v>115482407.67080043</v>
      </c>
      <c r="B12729">
        <v>182448732.91790271</v>
      </c>
    </row>
    <row r="12730" spans="1:2" x14ac:dyDescent="0.25">
      <c r="A12730">
        <f ca="1">31507.9314116174*((RANDBETWEEN(2979,3282)))</f>
        <v>102337761.22493328</v>
      </c>
      <c r="B12730">
        <v>150929742.76212284</v>
      </c>
    </row>
    <row r="12731" spans="1:2" x14ac:dyDescent="0.25">
      <c r="A12731">
        <f ca="1">33452.594459983*((RANDBETWEEN(2979,3282)))</f>
        <v>101026835.26914883</v>
      </c>
      <c r="B12731">
        <v>168289858.4023709</v>
      </c>
    </row>
    <row r="12732" spans="1:2" x14ac:dyDescent="0.25">
      <c r="A12732">
        <f ca="1">30735.9118500699*((RANDBETWEEN(2979,3282)))</f>
        <v>93652323.407163113</v>
      </c>
      <c r="B12732">
        <v>180305827.82089216</v>
      </c>
    </row>
    <row r="12733" spans="1:2" x14ac:dyDescent="0.25">
      <c r="A12733">
        <f ca="1">33438.4713839271*((RANDBETWEEN(2979,3282)))</f>
        <v>106802477.60026309</v>
      </c>
      <c r="B12733">
        <v>166645626.8918795</v>
      </c>
    </row>
    <row r="12734" spans="1:2" x14ac:dyDescent="0.25">
      <c r="A12734">
        <f ca="1">30947.2311372287*((RANDBETWEEN(2979,3282)))</f>
        <v>101352181.97442409</v>
      </c>
      <c r="B12734">
        <v>200118572.23115149</v>
      </c>
    </row>
    <row r="12735" spans="1:2" x14ac:dyDescent="0.25">
      <c r="A12735">
        <f ca="1">31819.7581242685*((RANDBETWEEN(2979,3282)))</f>
        <v>100168598.57519734</v>
      </c>
      <c r="B12735">
        <v>158804543.38339904</v>
      </c>
    </row>
    <row r="12736" spans="1:2" x14ac:dyDescent="0.25">
      <c r="A12736">
        <f ca="1">30864.1522652021*((RANDBETWEEN(2979,3282)))</f>
        <v>99228249.532624647</v>
      </c>
      <c r="B12736">
        <v>146527755.78420573</v>
      </c>
    </row>
    <row r="12737" spans="1:2" x14ac:dyDescent="0.25">
      <c r="A12737">
        <f ca="1">31340.6858824056*((RANDBETWEEN(2979,3282)))</f>
        <v>102609405.578996</v>
      </c>
      <c r="B12737">
        <v>143125401.18881789</v>
      </c>
    </row>
    <row r="12738" spans="1:2" x14ac:dyDescent="0.25">
      <c r="A12738">
        <f ca="1">40723.2960440428*((RANDBETWEEN(2979,3282)))</f>
        <v>128604168.90708707</v>
      </c>
      <c r="B12738">
        <v>155894185.8460255</v>
      </c>
    </row>
    <row r="12739" spans="1:2" x14ac:dyDescent="0.25">
      <c r="A12739">
        <f ca="1">39802.784282379*((RANDBETWEEN(2979,3282)))</f>
        <v>126334037.31227089</v>
      </c>
      <c r="B12739">
        <v>163757117.40310222</v>
      </c>
    </row>
    <row r="12740" spans="1:2" x14ac:dyDescent="0.25">
      <c r="A12740">
        <f ca="1">32280.4563910839*((RANDBETWEEN(2979,3282)))</f>
        <v>105750775.1371907</v>
      </c>
      <c r="B12740">
        <v>147052779.3583684</v>
      </c>
    </row>
    <row r="12741" spans="1:2" x14ac:dyDescent="0.25">
      <c r="A12741">
        <f ca="1">36573.467718113*((RANDBETWEEN(2979,3282)))</f>
        <v>115681878.39239134</v>
      </c>
      <c r="B12741">
        <v>186454355.1352554</v>
      </c>
    </row>
    <row r="12742" spans="1:2" x14ac:dyDescent="0.25">
      <c r="A12742">
        <f ca="1">38260.7082950627*((RANDBETWEEN(2979,3282)))</f>
        <v>125265558.95803517</v>
      </c>
      <c r="B12742">
        <v>171889865.54644397</v>
      </c>
    </row>
    <row r="12743" spans="1:2" x14ac:dyDescent="0.25">
      <c r="A12743">
        <f ca="1">29987.4643183177*((RANDBETWEEN(2979,3282)))</f>
        <v>95779961.032706752</v>
      </c>
      <c r="B12743">
        <v>158621319.25689375</v>
      </c>
    </row>
    <row r="12744" spans="1:2" x14ac:dyDescent="0.25">
      <c r="A12744">
        <f ca="1">30981.8125836358*((RANDBETWEEN(2979,3282)))</f>
        <v>98522164.015961722</v>
      </c>
      <c r="B12744">
        <v>145521753.75893253</v>
      </c>
    </row>
    <row r="12745" spans="1:2" x14ac:dyDescent="0.25">
      <c r="A12745">
        <f ca="1">30661.3624002596*((RANDBETWEEN(2979,3282)))</f>
        <v>93731784.857593611</v>
      </c>
      <c r="B12745">
        <v>156249421.11275131</v>
      </c>
    </row>
    <row r="12746" spans="1:2" x14ac:dyDescent="0.25">
      <c r="A12746">
        <f ca="1">28009.1552874518*((RANDBETWEEN(2979,3282)))</f>
        <v>83579319.377756312</v>
      </c>
      <c r="B12746">
        <v>175092862.49400774</v>
      </c>
    </row>
    <row r="12747" spans="1:2" x14ac:dyDescent="0.25">
      <c r="A12747">
        <f ca="1">34393.409511239*((RANDBETWEEN(2979,3282)))</f>
        <v>110437237.94058838</v>
      </c>
      <c r="B12747">
        <v>147874325.12931231</v>
      </c>
    </row>
    <row r="12748" spans="1:2" x14ac:dyDescent="0.25">
      <c r="A12748">
        <f ca="1">32261.6090271645*((RANDBETWEEN(2979,3282)))</f>
        <v>96720303.863439322</v>
      </c>
      <c r="B12748">
        <v>195458646.72572368</v>
      </c>
    </row>
    <row r="12749" spans="1:2" x14ac:dyDescent="0.25">
      <c r="A12749">
        <f ca="1">34315.031205163*((RANDBETWEEN(2979,3282)))</f>
        <v>108675703.82675114</v>
      </c>
      <c r="B12749">
        <v>178543453.07613245</v>
      </c>
    </row>
    <row r="12750" spans="1:2" x14ac:dyDescent="0.25">
      <c r="A12750">
        <f ca="1">33026.5893396981*((RANDBETWEEN(2979,3282)))</f>
        <v>98650422.35767819</v>
      </c>
      <c r="B12750">
        <v>169027699.46029621</v>
      </c>
    </row>
    <row r="12751" spans="1:2" x14ac:dyDescent="0.25">
      <c r="A12751">
        <f ca="1">33670.6389297524*((RANDBETWEEN(2979,3282)))</f>
        <v>109900965.46671171</v>
      </c>
      <c r="B12751">
        <v>198077587.77711269</v>
      </c>
    </row>
    <row r="12752" spans="1:2" x14ac:dyDescent="0.25">
      <c r="A12752">
        <f ca="1">30871.8401118065*((RANDBETWEEN(2979,3282)))</f>
        <v>95023523.864140287</v>
      </c>
      <c r="B12752">
        <v>144312447.70852122</v>
      </c>
    </row>
    <row r="12753" spans="1:2" x14ac:dyDescent="0.25">
      <c r="A12753">
        <f ca="1">32957.7497654628*((RANDBETWEEN(2979,3282)))</f>
        <v>107046771.23822327</v>
      </c>
      <c r="B12753">
        <v>172647511.99725631</v>
      </c>
    </row>
    <row r="12754" spans="1:2" x14ac:dyDescent="0.25">
      <c r="A12754">
        <f ca="1">29612.5654362934*((RANDBETWEEN(2979,3282)))</f>
        <v>88985759.136061519</v>
      </c>
      <c r="B12754">
        <v>167238069.18898934</v>
      </c>
    </row>
    <row r="12755" spans="1:2" x14ac:dyDescent="0.25">
      <c r="A12755">
        <f ca="1">39914.9919754031*((RANDBETWEEN(2979,3282)))</f>
        <v>123018005.26819231</v>
      </c>
      <c r="B12755">
        <v>166910851.59435445</v>
      </c>
    </row>
    <row r="12756" spans="1:2" x14ac:dyDescent="0.25">
      <c r="A12756">
        <f ca="1">32972.6056954075*((RANDBETWEEN(2979,3282)))</f>
        <v>103929653.15192431</v>
      </c>
      <c r="B12756">
        <v>179813106.01717776</v>
      </c>
    </row>
    <row r="12757" spans="1:2" x14ac:dyDescent="0.25">
      <c r="A12757">
        <f ca="1">31062.5050187105*((RANDBETWEEN(2979,3282)))</f>
        <v>96852890.648339242</v>
      </c>
      <c r="B12757">
        <v>155275483.70690411</v>
      </c>
    </row>
    <row r="12758" spans="1:2" x14ac:dyDescent="0.25">
      <c r="A12758">
        <f ca="1">39493.7797736551*((RANDBETWEEN(2979,3282)))</f>
        <v>128670734.50256827</v>
      </c>
      <c r="B12758">
        <v>158680707.31560275</v>
      </c>
    </row>
    <row r="12759" spans="1:2" x14ac:dyDescent="0.25">
      <c r="A12759">
        <f ca="1">31048.6307544345*((RANDBETWEEN(2979,3282)))</f>
        <v>96437047.123273686</v>
      </c>
      <c r="B12759">
        <v>144120459.94912678</v>
      </c>
    </row>
    <row r="12760" spans="1:2" x14ac:dyDescent="0.25">
      <c r="A12760">
        <f ca="1">30272.8284258813*((RANDBETWEEN(2979,3282)))</f>
        <v>90848758.106069908</v>
      </c>
      <c r="B12760">
        <v>162304868.91128436</v>
      </c>
    </row>
    <row r="12761" spans="1:2" x14ac:dyDescent="0.25">
      <c r="A12761">
        <f ca="1">33091.5302852828*((RANDBETWEEN(2979,3282)))</f>
        <v>102848476.1266589</v>
      </c>
      <c r="B12761">
        <v>158056820.48219955</v>
      </c>
    </row>
    <row r="12762" spans="1:2" x14ac:dyDescent="0.25">
      <c r="A12762">
        <f ca="1">39738.3621556481*((RANDBETWEEN(2979,3282)))</f>
        <v>125136102.42813578</v>
      </c>
      <c r="B12762">
        <v>184303577.05152947</v>
      </c>
    </row>
    <row r="12763" spans="1:2" x14ac:dyDescent="0.25">
      <c r="A12763">
        <f ca="1">32682.3546835297*((RANDBETWEEN(2979,3282)))</f>
        <v>106577158.62299022</v>
      </c>
      <c r="B12763">
        <v>198328330.42718551</v>
      </c>
    </row>
    <row r="12764" spans="1:2" x14ac:dyDescent="0.25">
      <c r="A12764">
        <f ca="1">35908.6377937523*((RANDBETWEEN(2979,3282)))</f>
        <v>115948991.43602625</v>
      </c>
      <c r="B12764">
        <v>186378377.75591737</v>
      </c>
    </row>
    <row r="12765" spans="1:2" x14ac:dyDescent="0.25">
      <c r="A12765">
        <f ca="1">41059.2692612024*((RANDBETWEEN(2979,3282)))</f>
        <v>129952587.21170548</v>
      </c>
      <c r="B12765">
        <v>187339245.32239902</v>
      </c>
    </row>
    <row r="12766" spans="1:2" x14ac:dyDescent="0.25">
      <c r="A12766">
        <f ca="1">39925.340129862*((RANDBETWEEN(2979,3282)))</f>
        <v>124487210.52490985</v>
      </c>
      <c r="B12766">
        <v>183961033.91788357</v>
      </c>
    </row>
    <row r="12767" spans="1:2" x14ac:dyDescent="0.25">
      <c r="A12767">
        <f ca="1">31264.6767830439*((RANDBETWEEN(2979,3282)))</f>
        <v>102548139.84838398</v>
      </c>
      <c r="B12767">
        <v>146628940.42333969</v>
      </c>
    </row>
    <row r="12768" spans="1:2" x14ac:dyDescent="0.25">
      <c r="A12768">
        <f ca="1">26962.2910944946*((RANDBETWEEN(2979,3282)))</f>
        <v>82989931.988854244</v>
      </c>
      <c r="B12768">
        <v>181514498.42701232</v>
      </c>
    </row>
    <row r="12769" spans="1:2" x14ac:dyDescent="0.25">
      <c r="A12769">
        <f ca="1">32928.926518437*((RANDBETWEEN(2979,3282)))</f>
        <v>99511215.938716635</v>
      </c>
      <c r="B12769">
        <v>157109040.11690408</v>
      </c>
    </row>
    <row r="12770" spans="1:2" x14ac:dyDescent="0.25">
      <c r="A12770">
        <f ca="1">40402.0531002141*((RANDBETWEEN(2979,3282)))</f>
        <v>126660436.46917123</v>
      </c>
      <c r="B12770">
        <v>185253143.30538684</v>
      </c>
    </row>
    <row r="12771" spans="1:2" x14ac:dyDescent="0.25">
      <c r="A12771">
        <f ca="1">32889.7369659675*((RANDBETWEEN(2979,3282)))</f>
        <v>107286321.98298582</v>
      </c>
      <c r="B12771">
        <v>159909449.93818009</v>
      </c>
    </row>
    <row r="12772" spans="1:2" x14ac:dyDescent="0.25">
      <c r="A12772">
        <f ca="1">37665.7231511849*((RANDBETWEEN(2979,3282)))</f>
        <v>117140399.00018503</v>
      </c>
      <c r="B12772">
        <v>182437986.02075869</v>
      </c>
    </row>
    <row r="12773" spans="1:2" x14ac:dyDescent="0.25">
      <c r="A12773">
        <f ca="1">37293.5032295373*((RANDBETWEEN(2979,3282)))</f>
        <v>113707891.34685935</v>
      </c>
      <c r="B12773">
        <v>195079106.32312059</v>
      </c>
    </row>
    <row r="12774" spans="1:2" x14ac:dyDescent="0.25">
      <c r="A12774">
        <f ca="1">29789.9937399155*((RANDBETWEEN(2979,3282)))</f>
        <v>93063940.443495974</v>
      </c>
      <c r="B12774">
        <v>199102474.05193725</v>
      </c>
    </row>
    <row r="12775" spans="1:2" x14ac:dyDescent="0.25">
      <c r="A12775">
        <f ca="1">31924.2577315258*((RANDBETWEEN(2979,3282)))</f>
        <v>101072199.97801068</v>
      </c>
      <c r="B12775">
        <v>160986001.68256959</v>
      </c>
    </row>
    <row r="12776" spans="1:2" x14ac:dyDescent="0.25">
      <c r="A12776">
        <f ca="1">30271.171806273*((RANDBETWEEN(2979,3282)))</f>
        <v>96595309.23381713</v>
      </c>
      <c r="B12776">
        <v>146624950.87570778</v>
      </c>
    </row>
    <row r="12777" spans="1:2" x14ac:dyDescent="0.25">
      <c r="A12777">
        <f ca="1">31112.806290642*((RANDBETWEEN(2979,3282)))</f>
        <v>99872108.192960843</v>
      </c>
      <c r="B12777">
        <v>150708178.3007482</v>
      </c>
    </row>
    <row r="12778" spans="1:2" x14ac:dyDescent="0.25">
      <c r="A12778">
        <f ca="1">32293.0623880306*((RANDBETWEEN(2979,3282)))</f>
        <v>98009444.347672716</v>
      </c>
      <c r="B12778">
        <v>181881955.97925597</v>
      </c>
    </row>
    <row r="12779" spans="1:2" x14ac:dyDescent="0.25">
      <c r="A12779">
        <f ca="1">30002.1513176959*((RANDBETWEEN(2979,3282)))</f>
        <v>92676645.420362636</v>
      </c>
      <c r="B12779">
        <v>160592538.31612837</v>
      </c>
    </row>
    <row r="12780" spans="1:2" x14ac:dyDescent="0.25">
      <c r="A12780">
        <f ca="1">31847.9219682887*((RANDBETWEEN(2979,3282)))</f>
        <v>97804968.36461474</v>
      </c>
      <c r="B12780">
        <v>172222350.12737373</v>
      </c>
    </row>
    <row r="12781" spans="1:2" x14ac:dyDescent="0.25">
      <c r="A12781">
        <f ca="1">30691.042234502*((RANDBETWEEN(2979,3282)))</f>
        <v>98794464.952861965</v>
      </c>
      <c r="B12781">
        <v>147922694.6675095</v>
      </c>
    </row>
    <row r="12782" spans="1:2" x14ac:dyDescent="0.25">
      <c r="A12782">
        <f ca="1">33398.695453918*((RANDBETWEEN(2979,3282)))</f>
        <v>105339485.46165745</v>
      </c>
      <c r="B12782">
        <v>155969526.43618315</v>
      </c>
    </row>
    <row r="12783" spans="1:2" x14ac:dyDescent="0.25">
      <c r="A12783">
        <f ca="1">29981.1932493122*((RANDBETWEEN(2979,3282)))</f>
        <v>92402037.594380289</v>
      </c>
      <c r="B12783">
        <v>195190175.39468303</v>
      </c>
    </row>
    <row r="12784" spans="1:2" x14ac:dyDescent="0.25">
      <c r="A12784">
        <f ca="1">30558.9958407029*((RANDBETWEEN(2979,3282)))</f>
        <v>93968912.210161462</v>
      </c>
      <c r="B12784">
        <v>149600423.17986715</v>
      </c>
    </row>
    <row r="12785" spans="1:2" x14ac:dyDescent="0.25">
      <c r="A12785">
        <f ca="1">32361.7017014644*((RANDBETWEEN(2979,3282)))</f>
        <v>98897360.399675235</v>
      </c>
      <c r="B12785">
        <v>157029572.40838149</v>
      </c>
    </row>
    <row r="12786" spans="1:2" x14ac:dyDescent="0.25">
      <c r="A12786">
        <f ca="1">32529.3130860668*((RANDBETWEEN(2979,3282)))</f>
        <v>98531289.337696463</v>
      </c>
      <c r="B12786">
        <v>195971541.18040097</v>
      </c>
    </row>
    <row r="12787" spans="1:2" x14ac:dyDescent="0.25">
      <c r="A12787">
        <f ca="1">31788.4368051242*((RANDBETWEEN(2979,3282)))</f>
        <v>95810348.530644357</v>
      </c>
      <c r="B12787">
        <v>149756689.30882427</v>
      </c>
    </row>
    <row r="12788" spans="1:2" x14ac:dyDescent="0.25">
      <c r="A12788">
        <f ca="1">34250.7569900525*((RANDBETWEEN(2979,3282)))</f>
        <v>109465419.34020779</v>
      </c>
      <c r="B12788">
        <v>170068425.97617471</v>
      </c>
    </row>
    <row r="12789" spans="1:2" x14ac:dyDescent="0.25">
      <c r="A12789">
        <f ca="1">39469.5610027628*((RANDBETWEEN(2979,3282)))</f>
        <v>120579508.86344026</v>
      </c>
      <c r="B12789">
        <v>189445174.9242526</v>
      </c>
    </row>
    <row r="12790" spans="1:2" x14ac:dyDescent="0.25">
      <c r="A12790">
        <f ca="1">41353.8348492334*((RANDBETWEEN(2979,3282)))</f>
        <v>129644272.25234665</v>
      </c>
      <c r="B12790">
        <v>162555807.13957489</v>
      </c>
    </row>
    <row r="12791" spans="1:2" x14ac:dyDescent="0.25">
      <c r="A12791">
        <f ca="1">32594.1180875557*((RANDBETWEEN(2979,3282)))</f>
        <v>100715824.8905472</v>
      </c>
      <c r="B12791">
        <v>151228291.6467326</v>
      </c>
    </row>
    <row r="12792" spans="1:2" x14ac:dyDescent="0.25">
      <c r="A12792">
        <f ca="1">30339.1430211841*((RANDBETWEEN(2979,3282)))</f>
        <v>94658126.226094276</v>
      </c>
      <c r="B12792">
        <v>157452295.52244189</v>
      </c>
    </row>
    <row r="12793" spans="1:2" x14ac:dyDescent="0.25">
      <c r="A12793">
        <f ca="1">33005.0839369732*((RANDBETWEEN(2979,3282)))</f>
        <v>102876846.63154535</v>
      </c>
      <c r="B12793">
        <v>180425948.57674244</v>
      </c>
    </row>
    <row r="12794" spans="1:2" x14ac:dyDescent="0.25">
      <c r="A12794">
        <f ca="1">29939.5804660197*((RANDBETWEEN(2979,3282)))</f>
        <v>97932367.704350442</v>
      </c>
      <c r="B12794">
        <v>157607459.95302245</v>
      </c>
    </row>
    <row r="12795" spans="1:2" x14ac:dyDescent="0.25">
      <c r="A12795">
        <f ca="1">31212.1870831486*((RANDBETWEEN(2979,3282)))</f>
        <v>97538084.634839267</v>
      </c>
      <c r="B12795">
        <v>161878965.30537301</v>
      </c>
    </row>
    <row r="12796" spans="1:2" x14ac:dyDescent="0.25">
      <c r="A12796">
        <f ca="1">28053.1090784957*((RANDBETWEEN(2979,3282)))</f>
        <v>85561982.68941173</v>
      </c>
      <c r="B12796">
        <v>146255949.42767119</v>
      </c>
    </row>
    <row r="12797" spans="1:2" x14ac:dyDescent="0.25">
      <c r="A12797">
        <f ca="1">41393.6454425242*((RANDBETWEEN(2979,3282)))</f>
        <v>134736315.91541627</v>
      </c>
      <c r="B12797">
        <v>155831130.44996154</v>
      </c>
    </row>
    <row r="12798" spans="1:2" x14ac:dyDescent="0.25">
      <c r="A12798">
        <f ca="1">30718.0048835142*((RANDBETWEEN(2979,3282)))</f>
        <v>94550019.031456754</v>
      </c>
      <c r="B12798">
        <v>169998386.51873943</v>
      </c>
    </row>
    <row r="12799" spans="1:2" x14ac:dyDescent="0.25">
      <c r="A12799">
        <f ca="1">33855.8317227605*((RANDBETWEEN(2979,3282)))</f>
        <v>102583170.11996421</v>
      </c>
      <c r="B12799">
        <v>158518105.05186695</v>
      </c>
    </row>
    <row r="12800" spans="1:2" x14ac:dyDescent="0.25">
      <c r="A12800">
        <f ca="1">31970.6526251488*((RANDBETWEEN(2979,3282)))</f>
        <v>99556612.274713352</v>
      </c>
      <c r="B12800">
        <v>152847157.54669344</v>
      </c>
    </row>
    <row r="12801" spans="1:2" x14ac:dyDescent="0.25">
      <c r="A12801">
        <f ca="1">30320.6109344304*((RANDBETWEEN(2979,3282)))</f>
        <v>95206718.334111482</v>
      </c>
      <c r="B12801">
        <v>154235242.54023588</v>
      </c>
    </row>
    <row r="12802" spans="1:2" x14ac:dyDescent="0.25">
      <c r="A12802">
        <f ca="1">29442.1463420305*((RANDBETWEEN(2979,3282)))</f>
        <v>91358980.099320784</v>
      </c>
      <c r="B12802">
        <v>171917846.0808419</v>
      </c>
    </row>
    <row r="12803" spans="1:2" x14ac:dyDescent="0.25">
      <c r="A12803">
        <f ca="1">31650.2214653777*((RANDBETWEEN(2979,3282)))</f>
        <v>95393767.496648341</v>
      </c>
      <c r="B12803">
        <v>159176343.15915951</v>
      </c>
    </row>
    <row r="12804" spans="1:2" x14ac:dyDescent="0.25">
      <c r="A12804">
        <f ca="1">30584.3148981349*((RANDBETWEEN(2979,3282)))</f>
        <v>92211709.417876646</v>
      </c>
      <c r="B12804">
        <v>159306619.70949417</v>
      </c>
    </row>
    <row r="12805" spans="1:2" x14ac:dyDescent="0.25">
      <c r="A12805">
        <f ca="1">30345.9848584031*((RANDBETWEEN(2979,3282)))</f>
        <v>94406358.89449209</v>
      </c>
      <c r="B12805">
        <v>169878919.46132123</v>
      </c>
    </row>
    <row r="12806" spans="1:2" x14ac:dyDescent="0.25">
      <c r="A12806">
        <f ca="1">30992.9071478204*((RANDBETWEEN(2979,3282)))</f>
        <v>95241203.66525197</v>
      </c>
      <c r="B12806">
        <v>146558428.83513564</v>
      </c>
    </row>
    <row r="12807" spans="1:2" x14ac:dyDescent="0.25">
      <c r="A12807">
        <f ca="1">29577.0350646662*((RANDBETWEEN(2979,3282)))</f>
        <v>93078929.348504603</v>
      </c>
      <c r="B12807">
        <v>177136970.17669472</v>
      </c>
    </row>
    <row r="12808" spans="1:2" x14ac:dyDescent="0.25">
      <c r="A12808">
        <f ca="1">29702.0958318229*((RANDBETWEEN(2979,3282)))</f>
        <v>91066625.82036902</v>
      </c>
      <c r="B12808">
        <v>176427548.77396479</v>
      </c>
    </row>
    <row r="12809" spans="1:2" x14ac:dyDescent="0.25">
      <c r="A12809">
        <f ca="1">41026.1289099571*((RANDBETWEEN(2979,3282)))</f>
        <v>122257864.15167207</v>
      </c>
      <c r="B12809">
        <v>194751419.06466442</v>
      </c>
    </row>
    <row r="12810" spans="1:2" x14ac:dyDescent="0.25">
      <c r="A12810">
        <f ca="1">37903.9897107036*((RANDBETWEEN(2979,3282)))</f>
        <v>116365248.41186008</v>
      </c>
      <c r="B12810">
        <v>189970578.31111947</v>
      </c>
    </row>
    <row r="12811" spans="1:2" x14ac:dyDescent="0.25">
      <c r="A12811">
        <f ca="1">37673.7835007781*((RANDBETWEEN(2979,3282)))</f>
        <v>120669128.55299233</v>
      </c>
      <c r="B12811">
        <v>143681462.71083972</v>
      </c>
    </row>
    <row r="12812" spans="1:2" x14ac:dyDescent="0.25">
      <c r="A12812">
        <f ca="1">31860.078882466*((RANDBETWEEN(2979,3282)))</f>
        <v>102143412.8971861</v>
      </c>
      <c r="B12812">
        <v>148336917.5124796</v>
      </c>
    </row>
    <row r="12813" spans="1:2" x14ac:dyDescent="0.25">
      <c r="A12813">
        <f ca="1">41505.1270432307*((RANDBETWEEN(2979,3282)))</f>
        <v>123975814.47813019</v>
      </c>
      <c r="B12813">
        <v>159748713.32323754</v>
      </c>
    </row>
    <row r="12814" spans="1:2" x14ac:dyDescent="0.25">
      <c r="A12814">
        <f ca="1">30051.1756184306*((RANDBETWEEN(2979,3282)))</f>
        <v>98507753.677215561</v>
      </c>
      <c r="B12814">
        <v>147738941.07413235</v>
      </c>
    </row>
    <row r="12815" spans="1:2" x14ac:dyDescent="0.25">
      <c r="A12815">
        <f ca="1">29117.8697499451*((RANDBETWEEN(2979,3282)))</f>
        <v>91430111.014827669</v>
      </c>
      <c r="B12815">
        <v>179809847.3744579</v>
      </c>
    </row>
    <row r="12816" spans="1:2" x14ac:dyDescent="0.25">
      <c r="A12816">
        <f ca="1">27942.9379697263*((RANDBETWEEN(2979,3282)))</f>
        <v>89613002.068912119</v>
      </c>
      <c r="B12816">
        <v>147669067.18921751</v>
      </c>
    </row>
    <row r="12817" spans="1:2" x14ac:dyDescent="0.25">
      <c r="A12817">
        <f ca="1">32647.9693489274*((RANDBETWEEN(2979,3282)))</f>
        <v>101371944.82841949</v>
      </c>
      <c r="B12817">
        <v>188328573.78949207</v>
      </c>
    </row>
    <row r="12818" spans="1:2" x14ac:dyDescent="0.25">
      <c r="A12818">
        <f ca="1">30515.3096540865*((RANDBETWEEN(2979,3282)))</f>
        <v>95573949.836599067</v>
      </c>
      <c r="B12818">
        <v>145399224.72723991</v>
      </c>
    </row>
    <row r="12819" spans="1:2" x14ac:dyDescent="0.25">
      <c r="A12819">
        <f ca="1">30829.4021267467*((RANDBETWEEN(2979,3282)))</f>
        <v>92858159.205761001</v>
      </c>
      <c r="B12819">
        <v>192110667.39259142</v>
      </c>
    </row>
    <row r="12820" spans="1:2" x14ac:dyDescent="0.25">
      <c r="A12820">
        <f ca="1">42004.4449198473*((RANDBETWEEN(2979,3282)))</f>
        <v>133742152.62479381</v>
      </c>
      <c r="B12820">
        <v>183575085.30270416</v>
      </c>
    </row>
    <row r="12821" spans="1:2" x14ac:dyDescent="0.25">
      <c r="A12821">
        <f ca="1">36182.8863421685*((RANDBETWEEN(2979,3282)))</f>
        <v>109236133.86700661</v>
      </c>
      <c r="B12821">
        <v>148473337.89819911</v>
      </c>
    </row>
    <row r="12822" spans="1:2" x14ac:dyDescent="0.25">
      <c r="A12822">
        <f ca="1">29375.0054262577*((RANDBETWEEN(2979,3282)))</f>
        <v>94205642.402008563</v>
      </c>
      <c r="B12822">
        <v>185326575.07535675</v>
      </c>
    </row>
    <row r="12823" spans="1:2" x14ac:dyDescent="0.25">
      <c r="A12823">
        <f ca="1">37084.8413345492*((RANDBETWEEN(2979,3282)))</f>
        <v>116038468.53580458</v>
      </c>
      <c r="B12823">
        <v>153713204.38057953</v>
      </c>
    </row>
    <row r="12824" spans="1:2" x14ac:dyDescent="0.25">
      <c r="A12824">
        <f ca="1">31518.7741622191*((RANDBETWEEN(2979,3282)))</f>
        <v>98874394.546881333</v>
      </c>
      <c r="B12824">
        <v>164628035.77878335</v>
      </c>
    </row>
    <row r="12825" spans="1:2" x14ac:dyDescent="0.25">
      <c r="A12825">
        <f ca="1">33859.7712487261*((RANDBETWEEN(2979,3282)))</f>
        <v>104965290.87105103</v>
      </c>
      <c r="B12825">
        <v>190380997.4798224</v>
      </c>
    </row>
    <row r="12826" spans="1:2" x14ac:dyDescent="0.25">
      <c r="A12826">
        <f ca="1">29457.3754729962*((RANDBETWEEN(2979,3282)))</f>
        <v>91347321.341761157</v>
      </c>
      <c r="B12826">
        <v>164206096.97408807</v>
      </c>
    </row>
    <row r="12827" spans="1:2" x14ac:dyDescent="0.25">
      <c r="A12827">
        <f ca="1">31693.917911038*((RANDBETWEEN(2979,3282)))</f>
        <v>101547312.98696589</v>
      </c>
      <c r="B12827">
        <v>185924304.92364413</v>
      </c>
    </row>
    <row r="12828" spans="1:2" x14ac:dyDescent="0.25">
      <c r="A12828">
        <f ca="1">33854.2381647018*((RANDBETWEEN(2979,3282)))</f>
        <v>110500233.36958677</v>
      </c>
      <c r="B12828">
        <v>163163346.1816138</v>
      </c>
    </row>
    <row r="12829" spans="1:2" x14ac:dyDescent="0.25">
      <c r="A12829">
        <f ca="1">39462.9248963327*((RANDBETWEEN(2979,3282)))</f>
        <v>129241079.03548972</v>
      </c>
      <c r="B12829">
        <v>143367037.58081305</v>
      </c>
    </row>
    <row r="12830" spans="1:2" x14ac:dyDescent="0.25">
      <c r="A12830">
        <f ca="1">39836.3741482902*((RANDBETWEEN(2979,3282)))</f>
        <v>120943231.91420895</v>
      </c>
      <c r="B12830">
        <v>187822657.30407009</v>
      </c>
    </row>
    <row r="12831" spans="1:2" x14ac:dyDescent="0.25">
      <c r="A12831">
        <f ca="1">32127.4954164396*((RANDBETWEEN(2979,3282)))</f>
        <v>97442693.598061398</v>
      </c>
      <c r="B12831">
        <v>179970560.69879887</v>
      </c>
    </row>
    <row r="12832" spans="1:2" x14ac:dyDescent="0.25">
      <c r="A12832">
        <f ca="1">30089.924728893*((RANDBETWEEN(2979,3282)))</f>
        <v>96227579.282999918</v>
      </c>
      <c r="B12832">
        <v>149328905.12295467</v>
      </c>
    </row>
    <row r="12833" spans="1:2" x14ac:dyDescent="0.25">
      <c r="A12833">
        <f ca="1">39092.9426261501*((RANDBETWEEN(2979,3282)))</f>
        <v>124471929.32166205</v>
      </c>
      <c r="B12833">
        <v>161678828.39634797</v>
      </c>
    </row>
    <row r="12834" spans="1:2" x14ac:dyDescent="0.25">
      <c r="A12834">
        <f ca="1">33004.5576657242*((RANDBETWEEN(2979,3282)))</f>
        <v>106175662.01063472</v>
      </c>
      <c r="B12834">
        <v>163350999.98157805</v>
      </c>
    </row>
    <row r="12835" spans="1:2" x14ac:dyDescent="0.25">
      <c r="A12835">
        <f ca="1">35368.9298208521*((RANDBETWEEN(2979,3282)))</f>
        <v>105470148.72578089</v>
      </c>
      <c r="B12835">
        <v>143041578.52068329</v>
      </c>
    </row>
    <row r="12836" spans="1:2" x14ac:dyDescent="0.25">
      <c r="A12836">
        <f ca="1">29623.9045449283*((RANDBETWEEN(2979,3282)))</f>
        <v>92782069.034715325</v>
      </c>
      <c r="B12836">
        <v>145077106.69900191</v>
      </c>
    </row>
    <row r="12837" spans="1:2" x14ac:dyDescent="0.25">
      <c r="A12837">
        <f ca="1">32345.8100691345*((RANDBETWEEN(2979,3282)))</f>
        <v>97846075.459131986</v>
      </c>
      <c r="B12837">
        <v>169474546.75785148</v>
      </c>
    </row>
    <row r="12838" spans="1:2" x14ac:dyDescent="0.25">
      <c r="A12838">
        <f ca="1">29804.610758483*((RANDBETWEEN(2979,3282)))</f>
        <v>90367579.819720581</v>
      </c>
      <c r="B12838">
        <v>176184843.69888812</v>
      </c>
    </row>
    <row r="12839" spans="1:2" x14ac:dyDescent="0.25">
      <c r="A12839">
        <f ca="1">40996.9185332451*((RANDBETWEEN(2979,3282)))</f>
        <v>131354126.9805173</v>
      </c>
      <c r="B12839">
        <v>172984503.54565674</v>
      </c>
    </row>
    <row r="12840" spans="1:2" x14ac:dyDescent="0.25">
      <c r="A12840">
        <f ca="1">31225.5002871679*((RANDBETWEEN(2979,3282)))</f>
        <v>99515669.415203944</v>
      </c>
      <c r="B12840">
        <v>187591980.47493705</v>
      </c>
    </row>
    <row r="12841" spans="1:2" x14ac:dyDescent="0.25">
      <c r="A12841">
        <f ca="1">35567.1051589327*((RANDBETWEEN(2979,3282)))</f>
        <v>107377090.47481781</v>
      </c>
      <c r="B12841">
        <v>171846569.49277294</v>
      </c>
    </row>
    <row r="12842" spans="1:2" x14ac:dyDescent="0.25">
      <c r="A12842">
        <f ca="1">36798.1411772636*((RANDBETWEEN(2979,3282)))</f>
        <v>110909597.50827253</v>
      </c>
      <c r="B12842">
        <v>149939413.35349977</v>
      </c>
    </row>
    <row r="12843" spans="1:2" x14ac:dyDescent="0.25">
      <c r="A12843">
        <f ca="1">41103.8229572717*((RANDBETWEEN(2979,3282)))</f>
        <v>125572179.13446514</v>
      </c>
      <c r="B12843">
        <v>176340459.94347203</v>
      </c>
    </row>
    <row r="12844" spans="1:2" x14ac:dyDescent="0.25">
      <c r="A12844">
        <f ca="1">30032.8844446323*((RANDBETWEEN(2979,3282)))</f>
        <v>97186414.06283021</v>
      </c>
      <c r="B12844">
        <v>151452575.12387413</v>
      </c>
    </row>
    <row r="12845" spans="1:2" x14ac:dyDescent="0.25">
      <c r="A12845">
        <f ca="1">32503.9984872257*((RANDBETWEEN(2979,3282)))</f>
        <v>102940163.20904391</v>
      </c>
      <c r="B12845">
        <v>176955260.49874836</v>
      </c>
    </row>
    <row r="12846" spans="1:2" x14ac:dyDescent="0.25">
      <c r="A12846">
        <f ca="1">41139.8316800971*((RANDBETWEEN(2979,3282)))</f>
        <v>134362690.26719707</v>
      </c>
      <c r="B12846">
        <v>157967154.4557448</v>
      </c>
    </row>
    <row r="12847" spans="1:2" x14ac:dyDescent="0.25">
      <c r="A12847">
        <f ca="1">35548.4381057878*((RANDBETWEEN(2979,3282)))</f>
        <v>111586547.21406788</v>
      </c>
      <c r="B12847">
        <v>188119247.30068734</v>
      </c>
    </row>
    <row r="12848" spans="1:2" x14ac:dyDescent="0.25">
      <c r="A12848">
        <f ca="1">31458.4294801037*((RANDBETWEEN(2979,3282)))</f>
        <v>102774689.11149867</v>
      </c>
      <c r="B12848">
        <v>163079139.17036441</v>
      </c>
    </row>
    <row r="12849" spans="1:2" x14ac:dyDescent="0.25">
      <c r="A12849">
        <f ca="1">33738.5552389548*((RANDBETWEEN(2979,3282)))</f>
        <v>104387089.90932618</v>
      </c>
      <c r="B12849">
        <v>193662218.7282508</v>
      </c>
    </row>
    <row r="12850" spans="1:2" x14ac:dyDescent="0.25">
      <c r="A12850">
        <f ca="1">31535.0085416637*((RANDBETWEEN(2979,3282)))</f>
        <v>96717871.197282717</v>
      </c>
      <c r="B12850">
        <v>148864054.99246573</v>
      </c>
    </row>
    <row r="12851" spans="1:2" x14ac:dyDescent="0.25">
      <c r="A12851">
        <f ca="1">32719.5922334605*((RANDBETWEEN(2979,3282)))</f>
        <v>101103540.00139295</v>
      </c>
      <c r="B12851">
        <v>154109514.6387029</v>
      </c>
    </row>
    <row r="12852" spans="1:2" x14ac:dyDescent="0.25">
      <c r="A12852">
        <f ca="1">30183.1525227196*((RANDBETWEEN(2979,3282)))</f>
        <v>95318395.666748479</v>
      </c>
      <c r="B12852">
        <v>170002657.20111665</v>
      </c>
    </row>
    <row r="12853" spans="1:2" x14ac:dyDescent="0.25">
      <c r="A12853">
        <f ca="1">35315.4780991391*((RANDBETWEEN(2979,3282)))</f>
        <v>106334904.55650768</v>
      </c>
      <c r="B12853">
        <v>149754619.37020054</v>
      </c>
    </row>
    <row r="12854" spans="1:2" x14ac:dyDescent="0.25">
      <c r="A12854">
        <f ca="1">30690.7500462434*((RANDBETWEEN(2979,3282)))</f>
        <v>100143917.4008923</v>
      </c>
      <c r="B12854">
        <v>148314908.47317326</v>
      </c>
    </row>
    <row r="12855" spans="1:2" x14ac:dyDescent="0.25">
      <c r="A12855">
        <f ca="1">30910.8782022358*((RANDBETWEEN(2979,3282)))</f>
        <v>97400177.215244964</v>
      </c>
      <c r="B12855">
        <v>148064006.48347282</v>
      </c>
    </row>
    <row r="12856" spans="1:2" x14ac:dyDescent="0.25">
      <c r="A12856">
        <f ca="1">31861.9799688765*((RANDBETWEEN(2979,3282)))</f>
        <v>100460822.84186755</v>
      </c>
      <c r="B12856">
        <v>165435715.00799954</v>
      </c>
    </row>
    <row r="12857" spans="1:2" x14ac:dyDescent="0.25">
      <c r="A12857">
        <f ca="1">32370.2616238476*((RANDBETWEEN(2979,3282)))</f>
        <v>96916563.301799774</v>
      </c>
      <c r="B12857">
        <v>149252507.53520909</v>
      </c>
    </row>
    <row r="12858" spans="1:2" x14ac:dyDescent="0.25">
      <c r="A12858">
        <f ca="1">31089.5668727386*((RANDBETWEEN(2979,3282)))</f>
        <v>99859688.79523626</v>
      </c>
      <c r="B12858">
        <v>149664554.26664874</v>
      </c>
    </row>
    <row r="12859" spans="1:2" x14ac:dyDescent="0.25">
      <c r="A12859">
        <f ca="1">34045.6382890293*((RANDBETWEEN(2979,3282)))</f>
        <v>104860565.93021037</v>
      </c>
      <c r="B12859">
        <v>180196341.45491189</v>
      </c>
    </row>
    <row r="12860" spans="1:2" x14ac:dyDescent="0.25">
      <c r="A12860">
        <f ca="1">28191.7694324423*((RANDBETWEEN(2979,3282)))</f>
        <v>90523771.64757216</v>
      </c>
      <c r="B12860">
        <v>164420443.51649818</v>
      </c>
    </row>
    <row r="12861" spans="1:2" x14ac:dyDescent="0.25">
      <c r="A12861">
        <f ca="1">34054.3840647924*((RANDBETWEEN(2979,3282)))</f>
        <v>109110246.54359472</v>
      </c>
      <c r="B12861">
        <v>156168473.48551196</v>
      </c>
    </row>
    <row r="12862" spans="1:2" x14ac:dyDescent="0.25">
      <c r="A12862">
        <f ca="1">39111.8658808561*((RANDBETWEEN(2979,3282)))</f>
        <v>126409550.52692688</v>
      </c>
      <c r="B12862">
        <v>191205366.42514032</v>
      </c>
    </row>
    <row r="12863" spans="1:2" x14ac:dyDescent="0.25">
      <c r="A12863">
        <f ca="1">32044.9238332833*((RANDBETWEEN(2979,3282)))</f>
        <v>96551355.509682566</v>
      </c>
      <c r="B12863">
        <v>197001687.35489404</v>
      </c>
    </row>
    <row r="12864" spans="1:2" x14ac:dyDescent="0.25">
      <c r="A12864">
        <f ca="1">37380.5512398331*((RANDBETWEEN(2979,3282)))</f>
        <v>118944914.04514891</v>
      </c>
      <c r="B12864">
        <v>185097983.52526593</v>
      </c>
    </row>
    <row r="12865" spans="1:2" x14ac:dyDescent="0.25">
      <c r="A12865">
        <f ca="1">32435.274387021*((RANDBETWEEN(2979,3282)))</f>
        <v>106322829.44065478</v>
      </c>
      <c r="B12865">
        <v>166479546.59620857</v>
      </c>
    </row>
    <row r="12866" spans="1:2" x14ac:dyDescent="0.25">
      <c r="A12866">
        <f ca="1">29993.0709913954*((RANDBETWEEN(2979,3282)))</f>
        <v>90249150.613108814</v>
      </c>
      <c r="B12866">
        <v>148146612.4123717</v>
      </c>
    </row>
    <row r="12867" spans="1:2" x14ac:dyDescent="0.25">
      <c r="A12867">
        <f ca="1">29351.9254218958*((RANDBETWEEN(2979,3282)))</f>
        <v>92370509.302706242</v>
      </c>
      <c r="B12867">
        <v>151529553.69889414</v>
      </c>
    </row>
    <row r="12868" spans="1:2" x14ac:dyDescent="0.25">
      <c r="A12868">
        <f ca="1">38617.0599759018*((RANDBETWEEN(2979,3282)))</f>
        <v>125273742.56182556</v>
      </c>
      <c r="B12868">
        <v>172062929.72165191</v>
      </c>
    </row>
    <row r="12869" spans="1:2" x14ac:dyDescent="0.25">
      <c r="A12869">
        <f ca="1">32534.4881068841*((RANDBETWEEN(2979,3282)))</f>
        <v>99230188.725996509</v>
      </c>
      <c r="B12869">
        <v>172677783.57184216</v>
      </c>
    </row>
    <row r="12870" spans="1:2" x14ac:dyDescent="0.25">
      <c r="A12870">
        <f ca="1">31785.373679231*((RANDBETWEEN(2979,3282)))</f>
        <v>100537136.94740771</v>
      </c>
      <c r="B12870">
        <v>155415346.181003</v>
      </c>
    </row>
    <row r="12871" spans="1:2" x14ac:dyDescent="0.25">
      <c r="A12871">
        <f ca="1">38201.7229037537*((RANDBETWEEN(2979,3282)))</f>
        <v>122703933.96685702</v>
      </c>
      <c r="B12871">
        <v>173888108.13117391</v>
      </c>
    </row>
    <row r="12872" spans="1:2" x14ac:dyDescent="0.25">
      <c r="A12872">
        <f ca="1">36541.2759499258*((RANDBETWEEN(2979,3282)))</f>
        <v>114301111.17136779</v>
      </c>
      <c r="B12872">
        <v>182725218.78837234</v>
      </c>
    </row>
    <row r="12873" spans="1:2" x14ac:dyDescent="0.25">
      <c r="A12873">
        <f ca="1">27483.2936660674*((RANDBETWEEN(2979,3282)))</f>
        <v>88743555.247731745</v>
      </c>
      <c r="B12873">
        <v>185629899.79097217</v>
      </c>
    </row>
    <row r="12874" spans="1:2" x14ac:dyDescent="0.25">
      <c r="A12874">
        <f ca="1">32902.4554967598*((RANDBETWEEN(2979,3282)))</f>
        <v>104531101.11320575</v>
      </c>
      <c r="B12874">
        <v>147086849.21516946</v>
      </c>
    </row>
    <row r="12875" spans="1:2" x14ac:dyDescent="0.25">
      <c r="A12875">
        <f ca="1">30051.3203650311*((RANDBETWEEN(2979,3282)))</f>
        <v>92858579.927946225</v>
      </c>
      <c r="B12875">
        <v>146866691.70297474</v>
      </c>
    </row>
    <row r="12876" spans="1:2" x14ac:dyDescent="0.25">
      <c r="A12876">
        <f ca="1">37293.8279047678*((RANDBETWEEN(2979,3282)))</f>
        <v>118631666.56506635</v>
      </c>
      <c r="B12876">
        <v>194656372.16602823</v>
      </c>
    </row>
    <row r="12877" spans="1:2" x14ac:dyDescent="0.25">
      <c r="A12877">
        <f ca="1">36308.851361035*((RANDBETWEEN(2979,3282)))</f>
        <v>118040075.77472483</v>
      </c>
      <c r="B12877">
        <v>172089814.97313553</v>
      </c>
    </row>
    <row r="12878" spans="1:2" x14ac:dyDescent="0.25">
      <c r="A12878">
        <f ca="1">32594.0254216808*((RANDBETWEEN(2979,3282)))</f>
        <v>105311296.13745055</v>
      </c>
      <c r="B12878">
        <v>142932451.17322519</v>
      </c>
    </row>
    <row r="12879" spans="1:2" x14ac:dyDescent="0.25">
      <c r="A12879">
        <f ca="1">32779.8254800505*((RANDBETWEEN(2979,3282)))</f>
        <v>107222809.14524524</v>
      </c>
      <c r="B12879">
        <v>159604931.21512052</v>
      </c>
    </row>
    <row r="12880" spans="1:2" x14ac:dyDescent="0.25">
      <c r="A12880">
        <f ca="1">38476.049243141*((RANDBETWEEN(2979,3282)))</f>
        <v>116428525.00974478</v>
      </c>
      <c r="B12880">
        <v>173594044.26140198</v>
      </c>
    </row>
    <row r="12881" spans="1:2" x14ac:dyDescent="0.25">
      <c r="A12881">
        <f ca="1">38467.1803791935*((RANDBETWEEN(2979,3282)))</f>
        <v>124710598.78934534</v>
      </c>
      <c r="B12881">
        <v>182092319.2247673</v>
      </c>
    </row>
    <row r="12882" spans="1:2" x14ac:dyDescent="0.25">
      <c r="A12882">
        <f ca="1">32817.6532074809*((RANDBETWEEN(2979,3282)))</f>
        <v>105377484.44922112</v>
      </c>
      <c r="B12882">
        <v>189599600.42627409</v>
      </c>
    </row>
    <row r="12883" spans="1:2" x14ac:dyDescent="0.25">
      <c r="A12883">
        <f ca="1">38323.7134830623*((RANDBETWEEN(2979,3282)))</f>
        <v>122252646.01096879</v>
      </c>
      <c r="B12883">
        <v>176228447.30914727</v>
      </c>
    </row>
    <row r="12884" spans="1:2" x14ac:dyDescent="0.25">
      <c r="A12884">
        <f ca="1">31706.7310644632*((RANDBETWEEN(2979,3282)))</f>
        <v>99020121.114318594</v>
      </c>
      <c r="B12884">
        <v>159069833.68675941</v>
      </c>
    </row>
    <row r="12885" spans="1:2" x14ac:dyDescent="0.25">
      <c r="A12885">
        <f ca="1">32357.6168569518*((RANDBETWEEN(2979,3282)))</f>
        <v>99143738.049700245</v>
      </c>
      <c r="B12885">
        <v>152630041.71657899</v>
      </c>
    </row>
    <row r="12886" spans="1:2" x14ac:dyDescent="0.25">
      <c r="A12886">
        <f ca="1">38087.5825407158*((RANDBETWEEN(2979,3282)))</f>
        <v>123936993.58748932</v>
      </c>
      <c r="B12886">
        <v>162789947.14224529</v>
      </c>
    </row>
    <row r="12887" spans="1:2" x14ac:dyDescent="0.25">
      <c r="A12887">
        <f ca="1">30623.9989237177*((RANDBETWEEN(2979,3282)))</f>
        <v>93801308.703347385</v>
      </c>
      <c r="B12887">
        <v>161155509.29282087</v>
      </c>
    </row>
    <row r="12888" spans="1:2" x14ac:dyDescent="0.25">
      <c r="A12888">
        <f ca="1">27621.5427041069*((RANDBETWEEN(2979,3282)))</f>
        <v>87063102.603345007</v>
      </c>
      <c r="B12888">
        <v>149539541.53916445</v>
      </c>
    </row>
    <row r="12889" spans="1:2" x14ac:dyDescent="0.25">
      <c r="A12889">
        <f ca="1">34723.9163059475*((RANDBETWEEN(2979,3282)))</f>
        <v>109588679.86157031</v>
      </c>
      <c r="B12889">
        <v>191078256.47785062</v>
      </c>
    </row>
    <row r="12890" spans="1:2" x14ac:dyDescent="0.25">
      <c r="A12890">
        <f ca="1">38839.4790557922*((RANDBETWEEN(2979,3282)))</f>
        <v>124752406.72720458</v>
      </c>
      <c r="B12890">
        <v>200684727.95683503</v>
      </c>
    </row>
    <row r="12891" spans="1:2" x14ac:dyDescent="0.25">
      <c r="A12891">
        <f ca="1">31226.7985510022*((RANDBETWEEN(2979,3282)))</f>
        <v>93930210.041414708</v>
      </c>
      <c r="B12891">
        <v>146892520.45407897</v>
      </c>
    </row>
    <row r="12892" spans="1:2" x14ac:dyDescent="0.25">
      <c r="A12892">
        <f ca="1">32631.4651144036*((RANDBETWEEN(2979,3282)))</f>
        <v>102952272.4359432</v>
      </c>
      <c r="B12892">
        <v>149174004.42301261</v>
      </c>
    </row>
    <row r="12893" spans="1:2" x14ac:dyDescent="0.25">
      <c r="A12893">
        <f ca="1">34361.1372780707*((RANDBETWEEN(2979,3282)))</f>
        <v>107790887.64130773</v>
      </c>
      <c r="B12893">
        <v>144513368.21255869</v>
      </c>
    </row>
    <row r="12894" spans="1:2" x14ac:dyDescent="0.25">
      <c r="A12894">
        <f ca="1">30106.6909447021*((RANDBETWEEN(2979,3282)))</f>
        <v>98147812.479728907</v>
      </c>
      <c r="B12894">
        <v>145645875.95562428</v>
      </c>
    </row>
    <row r="12895" spans="1:2" x14ac:dyDescent="0.25">
      <c r="A12895">
        <f ca="1">31482.6435309728*((RANDBETWEEN(2979,3282)))</f>
        <v>100807424.58617488</v>
      </c>
      <c r="B12895">
        <v>155997227.94647816</v>
      </c>
    </row>
    <row r="12896" spans="1:2" x14ac:dyDescent="0.25">
      <c r="A12896">
        <f ca="1">34222.3872966767*((RANDBETWEEN(2979,3282)))</f>
        <v>107081849.85130149</v>
      </c>
      <c r="B12896">
        <v>191297324.33097771</v>
      </c>
    </row>
    <row r="12897" spans="1:2" x14ac:dyDescent="0.25">
      <c r="A12897">
        <f ca="1">34561.5669038064*((RANDBETWEEN(2979,3282)))</f>
        <v>104445055.18330301</v>
      </c>
      <c r="B12897">
        <v>150756804.8849712</v>
      </c>
    </row>
    <row r="12898" spans="1:2" x14ac:dyDescent="0.25">
      <c r="A12898">
        <f ca="1">31708.8906578178*((RANDBETWEEN(2979,3282)))</f>
        <v>103878325.79501113</v>
      </c>
      <c r="B12898">
        <v>181392035.70620587</v>
      </c>
    </row>
    <row r="12899" spans="1:2" x14ac:dyDescent="0.25">
      <c r="A12899">
        <f ca="1">32333.7367772794*((RANDBETWEEN(2979,3282)))</f>
        <v>100978259.95544364</v>
      </c>
      <c r="B12899">
        <v>159696453.2728999</v>
      </c>
    </row>
    <row r="12900" spans="1:2" x14ac:dyDescent="0.25">
      <c r="A12900">
        <f ca="1">31609.0787495431*((RANDBETWEEN(2979,3282)))</f>
        <v>99979516.084804848</v>
      </c>
      <c r="B12900">
        <v>143918099.09589529</v>
      </c>
    </row>
    <row r="12901" spans="1:2" x14ac:dyDescent="0.25">
      <c r="A12901">
        <f ca="1">36167.6580461343*((RANDBETWEEN(2979,3282)))</f>
        <v>118304409.4689054</v>
      </c>
      <c r="B12901">
        <v>144054641.89287901</v>
      </c>
    </row>
    <row r="12902" spans="1:2" x14ac:dyDescent="0.25">
      <c r="A12902">
        <f ca="1">30633.1675521846*((RANDBETWEEN(2979,3282)))</f>
        <v>100507422.73871762</v>
      </c>
      <c r="B12902">
        <v>146158195.9587369</v>
      </c>
    </row>
    <row r="12903" spans="1:2" x14ac:dyDescent="0.25">
      <c r="A12903">
        <f ca="1">29465.0300641674*((RANDBETWEEN(2979,3282)))</f>
        <v>88719205.523208082</v>
      </c>
      <c r="B12903">
        <v>171716706.87032214</v>
      </c>
    </row>
    <row r="12904" spans="1:2" x14ac:dyDescent="0.25">
      <c r="A12904">
        <f ca="1">36279.0637604712*((RANDBETWEEN(2979,3282)))</f>
        <v>108365563.45252733</v>
      </c>
      <c r="B12904">
        <v>188641207.98669422</v>
      </c>
    </row>
    <row r="12905" spans="1:2" x14ac:dyDescent="0.25">
      <c r="A12905">
        <f ca="1">30911.2843024784*((RANDBETWEEN(2979,3282)))</f>
        <v>93382989.877787158</v>
      </c>
      <c r="B12905">
        <v>142916124.35991326</v>
      </c>
    </row>
    <row r="12906" spans="1:2" x14ac:dyDescent="0.25">
      <c r="A12906">
        <f ca="1">32282.6585780149*((RANDBETWEEN(2979,3282)))</f>
        <v>99914828.29895626</v>
      </c>
      <c r="B12906">
        <v>168166810.13984913</v>
      </c>
    </row>
    <row r="12907" spans="1:2" x14ac:dyDescent="0.25">
      <c r="A12907">
        <f ca="1">30224.6856406552*((RANDBETWEEN(2979,3282)))</f>
        <v>90160237.266074389</v>
      </c>
      <c r="B12907">
        <v>143026351.1502724</v>
      </c>
    </row>
    <row r="12908" spans="1:2" x14ac:dyDescent="0.25">
      <c r="A12908">
        <f ca="1">38590.4887363196*((RANDBETWEEN(2979,3282)))</f>
        <v>125264726.43809348</v>
      </c>
      <c r="B12908">
        <v>180962903.98037797</v>
      </c>
    </row>
    <row r="12909" spans="1:2" x14ac:dyDescent="0.25">
      <c r="A12909">
        <f ca="1">31554.645079409*((RANDBETWEEN(2979,3282)))</f>
        <v>94316834.142353401</v>
      </c>
      <c r="B12909">
        <v>192683863.65666413</v>
      </c>
    </row>
    <row r="12910" spans="1:2" x14ac:dyDescent="0.25">
      <c r="A12910">
        <f ca="1">30537.0857170913*((RANDBETWEEN(2979,3282)))</f>
        <v>97046858.408916205</v>
      </c>
      <c r="B12910">
        <v>149971037.41081721</v>
      </c>
    </row>
    <row r="12911" spans="1:2" x14ac:dyDescent="0.25">
      <c r="A12911">
        <f ca="1">37434.4296841434*((RANDBETWEEN(2979,3282)))</f>
        <v>120800904.59073086</v>
      </c>
      <c r="B12911">
        <v>146505917.90228906</v>
      </c>
    </row>
    <row r="12912" spans="1:2" x14ac:dyDescent="0.25">
      <c r="A12912">
        <f ca="1">31573.8052042604*((RANDBETWEEN(2979,3282)))</f>
        <v>101320340.90047164</v>
      </c>
      <c r="B12912">
        <v>168087202.81290829</v>
      </c>
    </row>
    <row r="12913" spans="1:2" x14ac:dyDescent="0.25">
      <c r="A12913">
        <f ca="1">30277.1151168658*((RANDBETWEEN(2979,3282)))</f>
        <v>90922176.69594793</v>
      </c>
      <c r="B12913">
        <v>153522333.17613384</v>
      </c>
    </row>
    <row r="12914" spans="1:2" x14ac:dyDescent="0.25">
      <c r="A12914">
        <f ca="1">31719.3957484197*((RANDBETWEEN(2979,3282)))</f>
        <v>99598902.650037959</v>
      </c>
      <c r="B12914">
        <v>159302241.92655084</v>
      </c>
    </row>
    <row r="12915" spans="1:2" x14ac:dyDescent="0.25">
      <c r="A12915">
        <f ca="1">40343.9185337476*((RANDBETWEEN(2979,3282)))</f>
        <v>127890221.75197978</v>
      </c>
      <c r="B12915">
        <v>162608782.73447311</v>
      </c>
    </row>
    <row r="12916" spans="1:2" x14ac:dyDescent="0.25">
      <c r="A12916">
        <f ca="1">31846.0855552505*((RANDBETWEEN(2979,3282)))</f>
        <v>102448857.23124081</v>
      </c>
      <c r="B12916">
        <v>178276939.36652762</v>
      </c>
    </row>
    <row r="12917" spans="1:2" x14ac:dyDescent="0.25">
      <c r="A12917">
        <f ca="1">32358.052141211*((RANDBETWEEN(2979,3282)))</f>
        <v>105972620.76246609</v>
      </c>
      <c r="B12917">
        <v>145151016.47453228</v>
      </c>
    </row>
    <row r="12918" spans="1:2" x14ac:dyDescent="0.25">
      <c r="A12918">
        <f ca="1">37870.0738606598*((RANDBETWEEN(2979,3282)))</f>
        <v>115996036.23520084</v>
      </c>
      <c r="B12918">
        <v>153295527.37148777</v>
      </c>
    </row>
    <row r="12919" spans="1:2" x14ac:dyDescent="0.25">
      <c r="A12919">
        <f ca="1">31341.7413704329*((RANDBETWEEN(2979,3282)))</f>
        <v>96877322.576008171</v>
      </c>
      <c r="B12919">
        <v>181446046.80721948</v>
      </c>
    </row>
    <row r="12920" spans="1:2" x14ac:dyDescent="0.25">
      <c r="A12920">
        <f ca="1">33790.9176146737*((RANDBETWEEN(2979,3282)))</f>
        <v>101676871.10255308</v>
      </c>
      <c r="B12920">
        <v>155317729.6541135</v>
      </c>
    </row>
    <row r="12921" spans="1:2" x14ac:dyDescent="0.25">
      <c r="A12921">
        <f ca="1">31034.6672090572*((RANDBETWEEN(2979,3282)))</f>
        <v>98286791.05108428</v>
      </c>
      <c r="B12921">
        <v>174977951.64533424</v>
      </c>
    </row>
    <row r="12922" spans="1:2" x14ac:dyDescent="0.25">
      <c r="A12922">
        <f ca="1">31526.0617515416*((RANDBETWEEN(2979,3282)))</f>
        <v>95460914.983668044</v>
      </c>
      <c r="B12922">
        <v>147521853.48712385</v>
      </c>
    </row>
    <row r="12923" spans="1:2" x14ac:dyDescent="0.25">
      <c r="A12923">
        <f ca="1">32953.6328472121*((RANDBETWEEN(2979,3282)))</f>
        <v>99816553.894205436</v>
      </c>
      <c r="B12923">
        <v>189630517.72886953</v>
      </c>
    </row>
    <row r="12924" spans="1:2" x14ac:dyDescent="0.25">
      <c r="A12924">
        <f ca="1">38769.6806502784*((RANDBETWEEN(2979,3282)))</f>
        <v>121387870.11602156</v>
      </c>
      <c r="B12924">
        <v>168269106.80800182</v>
      </c>
    </row>
    <row r="12925" spans="1:2" x14ac:dyDescent="0.25">
      <c r="A12925">
        <f ca="1">37757.9760538253*((RANDBETWEEN(2979,3282)))</f>
        <v>113953571.73044461</v>
      </c>
      <c r="B12925">
        <v>147194247.80403838</v>
      </c>
    </row>
    <row r="12926" spans="1:2" x14ac:dyDescent="0.25">
      <c r="A12926">
        <f ca="1">32031.328133524*((RANDBETWEEN(2979,3282)))</f>
        <v>104133847.76208663</v>
      </c>
      <c r="B12926">
        <v>187958655.88417697</v>
      </c>
    </row>
    <row r="12927" spans="1:2" x14ac:dyDescent="0.25">
      <c r="A12927">
        <f ca="1">33548.3559249881*((RANDBETWEEN(2979,3282)))</f>
        <v>102993452.6897134</v>
      </c>
      <c r="B12927">
        <v>180219258.61747813</v>
      </c>
    </row>
    <row r="12928" spans="1:2" x14ac:dyDescent="0.25">
      <c r="A12928">
        <f ca="1">29877.1961809867*((RANDBETWEEN(2979,3282)))</f>
        <v>95009483.855537653</v>
      </c>
      <c r="B12928">
        <v>162613851.55526471</v>
      </c>
    </row>
    <row r="12929" spans="1:2" x14ac:dyDescent="0.25">
      <c r="A12929">
        <f ca="1">37532.3969348914*((RANDBETWEEN(2979,3282)))</f>
        <v>122017822.43533188</v>
      </c>
      <c r="B12929">
        <v>159703645.75080833</v>
      </c>
    </row>
    <row r="12930" spans="1:2" x14ac:dyDescent="0.25">
      <c r="A12930">
        <f ca="1">33033.0710314717*((RANDBETWEEN(2979,3282)))</f>
        <v>99627742.230918601</v>
      </c>
      <c r="B12930">
        <v>156272000.72472832</v>
      </c>
    </row>
    <row r="12931" spans="1:2" x14ac:dyDescent="0.25">
      <c r="A12931">
        <f ca="1">33230.8403675194*((RANDBETWEEN(2979,3282)))</f>
        <v>102650065.8952674</v>
      </c>
      <c r="B12931">
        <v>193627141.95072925</v>
      </c>
    </row>
    <row r="12932" spans="1:2" x14ac:dyDescent="0.25">
      <c r="A12932">
        <f ca="1">30400.0719588263*((RANDBETWEEN(2979,3282)))</f>
        <v>92173018.179161206</v>
      </c>
      <c r="B12932">
        <v>153332165.34667864</v>
      </c>
    </row>
    <row r="12933" spans="1:2" x14ac:dyDescent="0.25">
      <c r="A12933">
        <f ca="1">30381.8023639754*((RANDBETWEEN(2979,3282)))</f>
        <v>97191385.762357309</v>
      </c>
      <c r="B12933">
        <v>170640823.91352841</v>
      </c>
    </row>
    <row r="12934" spans="1:2" x14ac:dyDescent="0.25">
      <c r="A12934">
        <f ca="1">35981.1193854032*((RANDBETWEEN(2979,3282)))</f>
        <v>110282130.91626094</v>
      </c>
      <c r="B12934">
        <v>146413656.7784723</v>
      </c>
    </row>
    <row r="12935" spans="1:2" x14ac:dyDescent="0.25">
      <c r="A12935">
        <f ca="1">34361.6889838374*((RANDBETWEEN(2979,3282)))</f>
        <v>105490385.18038084</v>
      </c>
      <c r="B12935">
        <v>162635286.26771042</v>
      </c>
    </row>
    <row r="12936" spans="1:2" x14ac:dyDescent="0.25">
      <c r="A12936">
        <f ca="1">30873.5973176054*((RANDBETWEEN(2979,3282)))</f>
        <v>94195345.416014075</v>
      </c>
      <c r="B12936">
        <v>152240564.81537911</v>
      </c>
    </row>
    <row r="12937" spans="1:2" x14ac:dyDescent="0.25">
      <c r="A12937">
        <f ca="1">32376.3004115884*((RANDBETWEEN(2979,3282)))</f>
        <v>98780092.555756316</v>
      </c>
      <c r="B12937">
        <v>142943209.51201975</v>
      </c>
    </row>
    <row r="12938" spans="1:2" x14ac:dyDescent="0.25">
      <c r="A12938">
        <f ca="1">30763.1449391654*((RANDBETWEEN(2979,3282)))</f>
        <v>95950249.06525676</v>
      </c>
      <c r="B12938">
        <v>144983898.93580976</v>
      </c>
    </row>
    <row r="12939" spans="1:2" x14ac:dyDescent="0.25">
      <c r="A12939">
        <f ca="1">29802.5651780971*((RANDBETWEEN(2979,3282)))</f>
        <v>91404467.401223779</v>
      </c>
      <c r="B12939">
        <v>143077900.72094178</v>
      </c>
    </row>
    <row r="12940" spans="1:2" x14ac:dyDescent="0.25">
      <c r="A12940">
        <f ca="1">30060.0773775517*((RANDBETWEEN(2979,3282)))</f>
        <v>93486840.644185722</v>
      </c>
      <c r="B12940">
        <v>148438076.39148015</v>
      </c>
    </row>
    <row r="12941" spans="1:2" x14ac:dyDescent="0.25">
      <c r="A12941">
        <f ca="1">27925.2018563795*((RANDBETWEEN(2979,3282)))</f>
        <v>90310102.803531393</v>
      </c>
      <c r="B12941">
        <v>166728397.44338149</v>
      </c>
    </row>
    <row r="12942" spans="1:2" x14ac:dyDescent="0.25">
      <c r="A12942">
        <f ca="1">33248.4685300303*((RANDBETWEEN(2979,3282)))</f>
        <v>107226311.0093478</v>
      </c>
      <c r="B12942">
        <v>152441748.96500248</v>
      </c>
    </row>
    <row r="12943" spans="1:2" x14ac:dyDescent="0.25">
      <c r="A12943">
        <f ca="1">32688.2041805733*((RANDBETWEEN(2979,3282)))</f>
        <v>99666334.546567991</v>
      </c>
      <c r="B12943">
        <v>196463218.77660498</v>
      </c>
    </row>
    <row r="12944" spans="1:2" x14ac:dyDescent="0.25">
      <c r="A12944">
        <f ca="1">36497.5167138059*((RANDBETWEEN(2979,3282)))</f>
        <v>115186162.74877155</v>
      </c>
      <c r="B12944">
        <v>202858786.39155927</v>
      </c>
    </row>
    <row r="12945" spans="1:2" x14ac:dyDescent="0.25">
      <c r="A12945">
        <f ca="1">32126.8559908791*((RANDBETWEEN(2979,3282)))</f>
        <v>98725828.459971428</v>
      </c>
      <c r="B12945">
        <v>151741313.44557458</v>
      </c>
    </row>
    <row r="12946" spans="1:2" x14ac:dyDescent="0.25">
      <c r="A12946">
        <f ca="1">38568.3388691475*((RANDBETWEEN(2979,3282)))</f>
        <v>122454475.90954335</v>
      </c>
      <c r="B12946">
        <v>172885353.46394074</v>
      </c>
    </row>
    <row r="12947" spans="1:2" x14ac:dyDescent="0.25">
      <c r="A12947">
        <f ca="1">40161.8030013867*((RANDBETWEEN(2979,3282)))</f>
        <v>127875180.7564151</v>
      </c>
      <c r="B12947">
        <v>169845139.66800174</v>
      </c>
    </row>
    <row r="12948" spans="1:2" x14ac:dyDescent="0.25">
      <c r="A12948">
        <f ca="1">33441.0923585708*((RANDBETWEEN(2979,3282)))</f>
        <v>106041703.8690279</v>
      </c>
      <c r="B12948">
        <v>177632204.74797314</v>
      </c>
    </row>
    <row r="12949" spans="1:2" x14ac:dyDescent="0.25">
      <c r="A12949">
        <f ca="1">37352.1517914302*((RANDBETWEEN(2979,3282)))</f>
        <v>115194036.12477088</v>
      </c>
      <c r="B12949">
        <v>178685110.1649375</v>
      </c>
    </row>
    <row r="12950" spans="1:2" x14ac:dyDescent="0.25">
      <c r="A12950">
        <f ca="1">27988.3676170407*((RANDBETWEEN(2979,3282)))</f>
        <v>86204172.260485232</v>
      </c>
      <c r="B12950">
        <v>172518505.40760592</v>
      </c>
    </row>
    <row r="12951" spans="1:2" x14ac:dyDescent="0.25">
      <c r="A12951">
        <f ca="1">31506.7075479456*((RANDBETWEEN(2979,3282)))</f>
        <v>96410525.096713528</v>
      </c>
      <c r="B12951">
        <v>181344686.97518528</v>
      </c>
    </row>
    <row r="12952" spans="1:2" x14ac:dyDescent="0.25">
      <c r="A12952">
        <f ca="1">32893.8758000613*((RANDBETWEEN(2979,3282)))</f>
        <v>101740757.84958968</v>
      </c>
      <c r="B12952">
        <v>164203938.14745358</v>
      </c>
    </row>
    <row r="12953" spans="1:2" x14ac:dyDescent="0.25">
      <c r="A12953">
        <f ca="1">31881.6250069757*((RANDBETWEEN(2979,3282)))</f>
        <v>99470670.021764085</v>
      </c>
      <c r="B12953">
        <v>168181999.75485066</v>
      </c>
    </row>
    <row r="12954" spans="1:2" x14ac:dyDescent="0.25">
      <c r="A12954">
        <f ca="1">29630.8951645095*((RANDBETWEEN(2979,3282)))</f>
        <v>93366950.663369521</v>
      </c>
      <c r="B12954">
        <v>159156107.08266473</v>
      </c>
    </row>
    <row r="12955" spans="1:2" x14ac:dyDescent="0.25">
      <c r="A12955">
        <f ca="1">31319.7107090661*((RANDBETWEEN(2979,3282)))</f>
        <v>98907646.41923064</v>
      </c>
      <c r="B12955">
        <v>196562966.24645001</v>
      </c>
    </row>
    <row r="12956" spans="1:2" x14ac:dyDescent="0.25">
      <c r="A12956">
        <f ca="1">32267.7794864246*((RANDBETWEEN(2979,3282)))</f>
        <v>101578969.82326466</v>
      </c>
      <c r="B12956">
        <v>154069833.14119464</v>
      </c>
    </row>
    <row r="12957" spans="1:2" x14ac:dyDescent="0.25">
      <c r="A12957">
        <f ca="1">33298.0786257203*((RANDBETWEEN(2979,3282)))</f>
        <v>102857764.87484987</v>
      </c>
      <c r="B12957">
        <v>146741844.17415732</v>
      </c>
    </row>
    <row r="12958" spans="1:2" x14ac:dyDescent="0.25">
      <c r="A12958">
        <f ca="1">33364.338350822*((RANDBETWEEN(2979,3282)))</f>
        <v>101027216.52628888</v>
      </c>
      <c r="B12958">
        <v>161043118.6909636</v>
      </c>
    </row>
    <row r="12959" spans="1:2" x14ac:dyDescent="0.25">
      <c r="A12959">
        <f ca="1">36529.1524582077*((RANDBETWEEN(2979,3282)))</f>
        <v>118938920.40392412</v>
      </c>
      <c r="B12959">
        <v>147320139.40499133</v>
      </c>
    </row>
    <row r="12960" spans="1:2" x14ac:dyDescent="0.25">
      <c r="A12960">
        <f ca="1">31946.5249988061*((RANDBETWEEN(2979,3282)))</f>
        <v>99162013.596294224</v>
      </c>
      <c r="B12960">
        <v>169682295.5561597</v>
      </c>
    </row>
    <row r="12961" spans="1:2" x14ac:dyDescent="0.25">
      <c r="A12961">
        <f ca="1">31904.8162441909*((RANDBETWEEN(2979,3282)))</f>
        <v>99670645.946852341</v>
      </c>
      <c r="B12961">
        <v>143700418.54964668</v>
      </c>
    </row>
    <row r="12962" spans="1:2" x14ac:dyDescent="0.25">
      <c r="A12962">
        <f ca="1">30212.9701100209*((RANDBETWEEN(2979,3282)))</f>
        <v>94475957.534035221</v>
      </c>
      <c r="B12962">
        <v>144674639.13121516</v>
      </c>
    </row>
    <row r="12963" spans="1:2" x14ac:dyDescent="0.25">
      <c r="A12963">
        <f ca="1">32320.7824401934*((RANDBETWEEN(2979,3282)))</f>
        <v>103329541.46129845</v>
      </c>
      <c r="B12963">
        <v>172229641.92764312</v>
      </c>
    </row>
    <row r="12964" spans="1:2" x14ac:dyDescent="0.25">
      <c r="A12964">
        <f ca="1">32560.1749943074*((RANDBETWEEN(2979,3282)))</f>
        <v>99894616.882534996</v>
      </c>
      <c r="B12964">
        <v>146919805.16491163</v>
      </c>
    </row>
    <row r="12965" spans="1:2" x14ac:dyDescent="0.25">
      <c r="A12965">
        <f ca="1">37832.6571973982*((RANDBETWEEN(2979,3282)))</f>
        <v>124166780.92186096</v>
      </c>
      <c r="B12965">
        <v>146872412.02316028</v>
      </c>
    </row>
    <row r="12966" spans="1:2" x14ac:dyDescent="0.25">
      <c r="A12966">
        <f ca="1">32082.8446297065*((RANDBETWEEN(2979,3282)))</f>
        <v>100643883.60338943</v>
      </c>
      <c r="B12966">
        <v>202252157.95588875</v>
      </c>
    </row>
    <row r="12967" spans="1:2" x14ac:dyDescent="0.25">
      <c r="A12967">
        <f ca="1">31492.7447037498*((RANDBETWEEN(2979,3282)))</f>
        <v>97627508.581624493</v>
      </c>
      <c r="B12967">
        <v>143541002.33282873</v>
      </c>
    </row>
    <row r="12968" spans="1:2" x14ac:dyDescent="0.25">
      <c r="A12968">
        <f ca="1">30819.0951437721*((RANDBETWEEN(2979,3282)))</f>
        <v>91902541.718728513</v>
      </c>
      <c r="B12968">
        <v>154201973.70120302</v>
      </c>
    </row>
    <row r="12969" spans="1:2" x14ac:dyDescent="0.25">
      <c r="A12969">
        <f ca="1">33217.9600650931*((RANDBETWEEN(2979,3282)))</f>
        <v>106795741.60927422</v>
      </c>
      <c r="B12969">
        <v>156469078.58408332</v>
      </c>
    </row>
    <row r="12970" spans="1:2" x14ac:dyDescent="0.25">
      <c r="A12970">
        <f ca="1">36214.0671930245*((RANDBETWEEN(2979,3282)))</f>
        <v>114545094.53153664</v>
      </c>
      <c r="B12970">
        <v>196078033.0590986</v>
      </c>
    </row>
    <row r="12971" spans="1:2" x14ac:dyDescent="0.25">
      <c r="A12971">
        <f ca="1">30146.4628058583*((RANDBETWEEN(2979,3282)))</f>
        <v>92459201.425567389</v>
      </c>
      <c r="B12971">
        <v>185954987.13892305</v>
      </c>
    </row>
    <row r="12972" spans="1:2" x14ac:dyDescent="0.25">
      <c r="A12972">
        <f ca="1">36134.4210187046*((RANDBETWEEN(2979,3282)))</f>
        <v>112522587.05224621</v>
      </c>
      <c r="B12972">
        <v>154898512.93966219</v>
      </c>
    </row>
    <row r="12973" spans="1:2" x14ac:dyDescent="0.25">
      <c r="A12973">
        <f ca="1">32434.9776605071*((RANDBETWEEN(2979,3282)))</f>
        <v>105413677.39664812</v>
      </c>
      <c r="B12973">
        <v>188644435.07491398</v>
      </c>
    </row>
    <row r="12974" spans="1:2" x14ac:dyDescent="0.25">
      <c r="A12974">
        <f ca="1">33265.9137347573*((RANDBETWEEN(2979,3282)))</f>
        <v>107914624.15555283</v>
      </c>
      <c r="B12974">
        <v>178016543.79132336</v>
      </c>
    </row>
    <row r="12975" spans="1:2" x14ac:dyDescent="0.25">
      <c r="A12975">
        <f ca="1">34148.1276514088*((RANDBETWEEN(2979,3282)))</f>
        <v>106576306.40004675</v>
      </c>
      <c r="B12975">
        <v>151576130.97798902</v>
      </c>
    </row>
    <row r="12976" spans="1:2" x14ac:dyDescent="0.25">
      <c r="A12976">
        <f ca="1">29965.869432274*((RANDBETWEEN(2979,3282)))</f>
        <v>91126208.943545386</v>
      </c>
      <c r="B12976">
        <v>158239047.51614916</v>
      </c>
    </row>
    <row r="12977" spans="1:2" x14ac:dyDescent="0.25">
      <c r="A12977">
        <f ca="1">41728.4628452595*((RANDBETWEEN(2979,3282)))</f>
        <v>131277744.11118644</v>
      </c>
      <c r="B12977">
        <v>151903215.20698613</v>
      </c>
    </row>
    <row r="12978" spans="1:2" x14ac:dyDescent="0.25">
      <c r="A12978">
        <f ca="1">33713.0907676723*((RANDBETWEEN(2979,3282)))</f>
        <v>101071846.12148164</v>
      </c>
      <c r="B12978">
        <v>173427570.6204114</v>
      </c>
    </row>
    <row r="12979" spans="1:2" x14ac:dyDescent="0.25">
      <c r="A12979">
        <f ca="1">33543.8806757768*((RANDBETWEEN(2979,3282)))</f>
        <v>105327785.32193905</v>
      </c>
      <c r="B12979">
        <v>177950578.44175172</v>
      </c>
    </row>
    <row r="12980" spans="1:2" x14ac:dyDescent="0.25">
      <c r="A12980">
        <f ca="1">36734.8868092242*((RANDBETWEEN(2979,3282)))</f>
        <v>110204660.42767274</v>
      </c>
      <c r="B12980">
        <v>195271919.25718132</v>
      </c>
    </row>
    <row r="12981" spans="1:2" x14ac:dyDescent="0.25">
      <c r="A12981">
        <f ca="1">29985.0676254756*((RANDBETWEEN(2979,3282)))</f>
        <v>92264053.083588347</v>
      </c>
      <c r="B12981">
        <v>168922298.97410437</v>
      </c>
    </row>
    <row r="12982" spans="1:2" x14ac:dyDescent="0.25">
      <c r="A12982">
        <f ca="1">30207.3934686547*((RANDBETWEEN(2979,3282)))</f>
        <v>94156445.44179675</v>
      </c>
      <c r="B12982">
        <v>162938398.11027104</v>
      </c>
    </row>
    <row r="12983" spans="1:2" x14ac:dyDescent="0.25">
      <c r="A12983">
        <f ca="1">31120.6010779996*((RANDBETWEEN(2979,3282)))</f>
        <v>100021611.86469056</v>
      </c>
      <c r="B12983">
        <v>145111253.45211285</v>
      </c>
    </row>
    <row r="12984" spans="1:2" x14ac:dyDescent="0.25">
      <c r="A12984">
        <f ca="1">31446.0907271277*((RANDBETWEEN(2979,3282)))</f>
        <v>94275379.999928966</v>
      </c>
      <c r="B12984">
        <v>150307988.28404719</v>
      </c>
    </row>
    <row r="12985" spans="1:2" x14ac:dyDescent="0.25">
      <c r="A12985">
        <f ca="1">32735.8569912353*((RANDBETWEEN(2979,3282)))</f>
        <v>100924647.10397847</v>
      </c>
      <c r="B12985">
        <v>183159035.27866164</v>
      </c>
    </row>
    <row r="12986" spans="1:2" x14ac:dyDescent="0.25">
      <c r="A12986">
        <f ca="1">32858.2399442735*((RANDBETWEEN(2979,3282)))</f>
        <v>98509003.352932096</v>
      </c>
      <c r="B12986">
        <v>173478772.79736787</v>
      </c>
    </row>
    <row r="12987" spans="1:2" x14ac:dyDescent="0.25">
      <c r="A12987">
        <f ca="1">30042.0769120012*((RANDBETWEEN(2979,3282)))</f>
        <v>96314898.579875857</v>
      </c>
      <c r="B12987">
        <v>161763056.34497404</v>
      </c>
    </row>
    <row r="12988" spans="1:2" x14ac:dyDescent="0.25">
      <c r="A12988">
        <f ca="1">31481.5126256533*((RANDBETWEEN(2979,3282)))</f>
        <v>95483427.793606356</v>
      </c>
      <c r="B12988">
        <v>162504411.82452205</v>
      </c>
    </row>
    <row r="12989" spans="1:2" x14ac:dyDescent="0.25">
      <c r="A12989">
        <f ca="1">28073.4055133979*((RANDBETWEEN(2979,3282)))</f>
        <v>85202785.733162597</v>
      </c>
      <c r="B12989">
        <v>171415263.04811913</v>
      </c>
    </row>
    <row r="12990" spans="1:2" x14ac:dyDescent="0.25">
      <c r="A12990">
        <f ca="1">33673.8054960926*((RANDBETWEEN(2979,3282)))</f>
        <v>101290806.93224655</v>
      </c>
      <c r="B12990">
        <v>161110997.86463588</v>
      </c>
    </row>
    <row r="12991" spans="1:2" x14ac:dyDescent="0.25">
      <c r="A12991">
        <f ca="1">29682.2801296273*((RANDBETWEEN(2979,3282)))</f>
        <v>93558546.968585223</v>
      </c>
      <c r="B12991">
        <v>201168757.99814618</v>
      </c>
    </row>
    <row r="12992" spans="1:2" x14ac:dyDescent="0.25">
      <c r="A12992">
        <f ca="1">30346.8545599603*((RANDBETWEEN(2979,3282)))</f>
        <v>99203867.556510091</v>
      </c>
      <c r="B12992">
        <v>187755989.61256355</v>
      </c>
    </row>
    <row r="12993" spans="1:2" x14ac:dyDescent="0.25">
      <c r="A12993">
        <f ca="1">29762.8469017419*((RANDBETWEEN(2979,3282)))</f>
        <v>88931386.542404801</v>
      </c>
      <c r="B12993">
        <v>178318809.042519</v>
      </c>
    </row>
    <row r="12994" spans="1:2" x14ac:dyDescent="0.25">
      <c r="A12994">
        <f ca="1">40860.0962780111*((RANDBETWEEN(2979,3282)))</f>
        <v>121803947.00475097</v>
      </c>
      <c r="B12994">
        <v>180814978.18622649</v>
      </c>
    </row>
    <row r="12995" spans="1:2" x14ac:dyDescent="0.25">
      <c r="A12995">
        <f ca="1">39159.141239934*((RANDBETWEEN(2979,3282)))</f>
        <v>119513699.06427868</v>
      </c>
      <c r="B12995">
        <v>147855751.1501368</v>
      </c>
    </row>
    <row r="12996" spans="1:2" x14ac:dyDescent="0.25">
      <c r="A12996">
        <f ca="1">30159.9540577561*((RANDBETWEEN(2979,3282)))</f>
        <v>94189536.52237235</v>
      </c>
      <c r="B12996">
        <v>174644338.68138283</v>
      </c>
    </row>
    <row r="12997" spans="1:2" x14ac:dyDescent="0.25">
      <c r="A12997">
        <f ca="1">40969.1433786226*((RANDBETWEEN(2979,3282)))</f>
        <v>129011832.49928264</v>
      </c>
      <c r="B12997">
        <v>203261650.1081686</v>
      </c>
    </row>
    <row r="12998" spans="1:2" x14ac:dyDescent="0.25">
      <c r="A12998">
        <f ca="1">30673.7466531119*((RANDBETWEEN(2979,3282)))</f>
        <v>96591628.210649416</v>
      </c>
      <c r="B12998">
        <v>181913472.5332644</v>
      </c>
    </row>
    <row r="12999" spans="1:2" x14ac:dyDescent="0.25">
      <c r="A12999">
        <f ca="1">32838.8188345205*((RANDBETWEEN(2979,3282)))</f>
        <v>107415776.4077166</v>
      </c>
      <c r="B12999">
        <v>150097394.06288421</v>
      </c>
    </row>
    <row r="13000" spans="1:2" x14ac:dyDescent="0.25">
      <c r="A13000">
        <f ca="1">32893.2474700424*((RANDBETWEEN(2979,3282)))</f>
        <v>105455751.38895606</v>
      </c>
      <c r="B13000">
        <v>186844522.84968674</v>
      </c>
    </row>
    <row r="13001" spans="1:2" x14ac:dyDescent="0.25">
      <c r="A13001">
        <f ca="1">31466.4751646997*((RANDBETWEEN(2979,3282)))</f>
        <v>95532218.600028336</v>
      </c>
      <c r="B13001">
        <v>165485968.88429078</v>
      </c>
    </row>
    <row r="13002" spans="1:2" x14ac:dyDescent="0.25">
      <c r="A13002">
        <f ca="1">30100.3298884926*((RANDBETWEEN(2979,3282)))</f>
        <v>90361190.325254679</v>
      </c>
      <c r="B13002">
        <v>170471996.42392388</v>
      </c>
    </row>
    <row r="13003" spans="1:2" x14ac:dyDescent="0.25">
      <c r="A13003">
        <f ca="1">39659.7221728269*((RANDBETWEEN(2979,3282)))</f>
        <v>123936631.79008406</v>
      </c>
      <c r="B13003">
        <v>180396026.09882987</v>
      </c>
    </row>
    <row r="13004" spans="1:2" x14ac:dyDescent="0.25">
      <c r="A13004">
        <f ca="1">41273.8971481075*((RANDBETWEEN(2979,3282)))</f>
        <v>131085897.34238937</v>
      </c>
      <c r="B13004">
        <v>155594053.61603299</v>
      </c>
    </row>
    <row r="13005" spans="1:2" x14ac:dyDescent="0.25">
      <c r="A13005">
        <f ca="1">32283.0583634393*((RANDBETWEEN(2979,3282)))</f>
        <v>99173555.292485625</v>
      </c>
      <c r="B13005">
        <v>148064013.47497082</v>
      </c>
    </row>
    <row r="13006" spans="1:2" x14ac:dyDescent="0.25">
      <c r="A13006">
        <f ca="1">30747.9758250823*((RANDBETWEEN(2979,3282)))</f>
        <v>92981878.895048827</v>
      </c>
      <c r="B13006">
        <v>179499752.43587238</v>
      </c>
    </row>
    <row r="13007" spans="1:2" x14ac:dyDescent="0.25">
      <c r="A13007">
        <f ca="1">30597.8857200242*((RANDBETWEEN(2979,3282)))</f>
        <v>92895181.045993358</v>
      </c>
      <c r="B13007">
        <v>189706447.38587046</v>
      </c>
    </row>
    <row r="13008" spans="1:2" x14ac:dyDescent="0.25">
      <c r="A13008">
        <f ca="1">37443.367807616*((RANDBETWEEN(2979,3282)))</f>
        <v>116973081.03099236</v>
      </c>
      <c r="B13008">
        <v>157617815.06200853</v>
      </c>
    </row>
    <row r="13009" spans="1:2" x14ac:dyDescent="0.25">
      <c r="A13009">
        <f ca="1">39578.5960634776*((RANDBETWEEN(2979,3282)))</f>
        <v>121031346.76211461</v>
      </c>
      <c r="B13009">
        <v>148951695.56199849</v>
      </c>
    </row>
    <row r="13010" spans="1:2" x14ac:dyDescent="0.25">
      <c r="A13010">
        <f ca="1">30412.8456146733*((RANDBETWEEN(2979,3282)))</f>
        <v>95800463.68622078</v>
      </c>
      <c r="B13010">
        <v>164231382.25971919</v>
      </c>
    </row>
    <row r="13011" spans="1:2" x14ac:dyDescent="0.25">
      <c r="A13011">
        <f ca="1">33766.5697861351*((RANDBETWEEN(2979,3282)))</f>
        <v>103832202.09236552</v>
      </c>
      <c r="B13011">
        <v>161653834.73378745</v>
      </c>
    </row>
    <row r="13012" spans="1:2" x14ac:dyDescent="0.25">
      <c r="A13012">
        <f ca="1">32045.2685646325*((RANDBETWEEN(2979,3282)))</f>
        <v>101263048.66423863</v>
      </c>
      <c r="B13012">
        <v>175392836.58565891</v>
      </c>
    </row>
    <row r="13013" spans="1:2" x14ac:dyDescent="0.25">
      <c r="A13013">
        <f ca="1">30528.3574250324*((RANDBETWEEN(2979,3282)))</f>
        <v>95156890.093826056</v>
      </c>
      <c r="B13013">
        <v>163797744.76983735</v>
      </c>
    </row>
    <row r="13014" spans="1:2" x14ac:dyDescent="0.25">
      <c r="A13014">
        <f ca="1">31877.7005372263*((RANDBETWEEN(2979,3282)))</f>
        <v>98119562.253582627</v>
      </c>
      <c r="B13014">
        <v>198931327.77403069</v>
      </c>
    </row>
    <row r="13015" spans="1:2" x14ac:dyDescent="0.25">
      <c r="A13015">
        <f ca="1">30876.4695155798*((RANDBETWEEN(2979,3282)))</f>
        <v>98434184.815668523</v>
      </c>
      <c r="B13015">
        <v>157358140.63365531</v>
      </c>
    </row>
    <row r="13016" spans="1:2" x14ac:dyDescent="0.25">
      <c r="A13016">
        <f ca="1">30828.7857932406*((RANDBETWEEN(2979,3282)))</f>
        <v>92178069.521789283</v>
      </c>
      <c r="B13016">
        <v>200485206.77841982</v>
      </c>
    </row>
    <row r="13017" spans="1:2" x14ac:dyDescent="0.25">
      <c r="A13017">
        <f ca="1">32233.0615698995*((RANDBETWEEN(2979,3282)))</f>
        <v>99696859.43569915</v>
      </c>
      <c r="B13017">
        <v>151586713.52254426</v>
      </c>
    </row>
    <row r="13018" spans="1:2" x14ac:dyDescent="0.25">
      <c r="A13018">
        <f ca="1">30529.8270346903*((RANDBETWEEN(2979,3282)))</f>
        <v>93787628.65056853</v>
      </c>
      <c r="B13018">
        <v>186076297.53217453</v>
      </c>
    </row>
    <row r="13019" spans="1:2" x14ac:dyDescent="0.25">
      <c r="A13019">
        <f ca="1">35518.6259526922*((RANDBETWEEN(2979,3282)))</f>
        <v>109432886.56024478</v>
      </c>
      <c r="B13019">
        <v>142953591.93844736</v>
      </c>
    </row>
    <row r="13020" spans="1:2" x14ac:dyDescent="0.25">
      <c r="A13020">
        <f ca="1">34425.6692259615*((RANDBETWEEN(2979,3282)))</f>
        <v>110575249.55378833</v>
      </c>
      <c r="B13020">
        <v>166678588.94309658</v>
      </c>
    </row>
    <row r="13021" spans="1:2" x14ac:dyDescent="0.25">
      <c r="A13021">
        <f ca="1">31412.5757968711*((RANDBETWEEN(2979,3282)))</f>
        <v>97253334.667112783</v>
      </c>
      <c r="B13021">
        <v>157922899.33684859</v>
      </c>
    </row>
    <row r="13022" spans="1:2" x14ac:dyDescent="0.25">
      <c r="A13022">
        <f ca="1">38542.3550760183*((RANDBETWEEN(2979,3282)))</f>
        <v>119057334.8298205</v>
      </c>
      <c r="B13022">
        <v>167997077.43122599</v>
      </c>
    </row>
    <row r="13023" spans="1:2" x14ac:dyDescent="0.25">
      <c r="A13023">
        <f ca="1">32484.3127562395*((RANDBETWEEN(2979,3282)))</f>
        <v>103559989.0668916</v>
      </c>
      <c r="B13023">
        <v>143959138.83923042</v>
      </c>
    </row>
    <row r="13024" spans="1:2" x14ac:dyDescent="0.25">
      <c r="A13024">
        <f ca="1">32421.5459158107*((RANDBETWEEN(2979,3282)))</f>
        <v>98593921.129980356</v>
      </c>
      <c r="B13024">
        <v>184298810.43010533</v>
      </c>
    </row>
    <row r="13025" spans="1:2" x14ac:dyDescent="0.25">
      <c r="A13025">
        <f ca="1">37162.0686139636*((RANDBETWEEN(2979,3282)))</f>
        <v>118212540.26101814</v>
      </c>
      <c r="B13025">
        <v>143997954.86153686</v>
      </c>
    </row>
    <row r="13026" spans="1:2" x14ac:dyDescent="0.25">
      <c r="A13026">
        <f ca="1">28203.3619432557*((RANDBETWEEN(2979,3282)))</f>
        <v>84074221.952845186</v>
      </c>
      <c r="B13026">
        <v>145196473.8568781</v>
      </c>
    </row>
    <row r="13027" spans="1:2" x14ac:dyDescent="0.25">
      <c r="A13027">
        <f ca="1">30491.5233078708*((RANDBETWEEN(2979,3282)))</f>
        <v>99341382.93704316</v>
      </c>
      <c r="B13027">
        <v>143690657.89819545</v>
      </c>
    </row>
    <row r="13028" spans="1:2" x14ac:dyDescent="0.25">
      <c r="A13028">
        <f ca="1">36217.2488296974*((RANDBETWEEN(2979,3282)))</f>
        <v>116547106.73396616</v>
      </c>
      <c r="B13028">
        <v>153497468.77777046</v>
      </c>
    </row>
    <row r="13029" spans="1:2" x14ac:dyDescent="0.25">
      <c r="A13029">
        <f ca="1">30790.0019401975*((RANDBETWEEN(2979,3282)))</f>
        <v>96434286.076698706</v>
      </c>
      <c r="B13029">
        <v>143427795.12722203</v>
      </c>
    </row>
    <row r="13030" spans="1:2" x14ac:dyDescent="0.25">
      <c r="A13030">
        <f ca="1">28711.8798360784*((RANDBETWEEN(2979,3282)))</f>
        <v>90901811.561024174</v>
      </c>
      <c r="B13030">
        <v>147562676.67288148</v>
      </c>
    </row>
    <row r="13031" spans="1:2" x14ac:dyDescent="0.25">
      <c r="A13031">
        <f ca="1">41316.9456105435*((RANDBETWEEN(2979,3282)))</f>
        <v>129817843.10832764</v>
      </c>
      <c r="B13031">
        <v>194960029.69762915</v>
      </c>
    </row>
    <row r="13032" spans="1:2" x14ac:dyDescent="0.25">
      <c r="A13032">
        <f ca="1">41147.1388916315*((RANDBETWEEN(2979,3282)))</f>
        <v>129901517.48088053</v>
      </c>
      <c r="B13032">
        <v>177143252.30374524</v>
      </c>
    </row>
    <row r="13033" spans="1:2" x14ac:dyDescent="0.25">
      <c r="A13033">
        <f ca="1">31262.5042893689*((RANDBETWEEN(2979,3282)))</f>
        <v>101415563.91471267</v>
      </c>
      <c r="B13033">
        <v>153794311.13844454</v>
      </c>
    </row>
    <row r="13034" spans="1:2" x14ac:dyDescent="0.25">
      <c r="A13034">
        <f ca="1">33059.9241624916*((RANDBETWEEN(2979,3282)))</f>
        <v>99576491.577424973</v>
      </c>
      <c r="B13034">
        <v>190710218.18113869</v>
      </c>
    </row>
    <row r="13035" spans="1:2" x14ac:dyDescent="0.25">
      <c r="A13035">
        <f ca="1">31300.4351491604*((RANDBETWEEN(2979,3282)))</f>
        <v>100850002.05059472</v>
      </c>
      <c r="B13035">
        <v>182466507.04698324</v>
      </c>
    </row>
    <row r="13036" spans="1:2" x14ac:dyDescent="0.25">
      <c r="A13036">
        <f ca="1">35084.7911605655*((RANDBETWEEN(2979,3282)))</f>
        <v>110727600.90274471</v>
      </c>
      <c r="B13036">
        <v>164761455.66749999</v>
      </c>
    </row>
    <row r="13037" spans="1:2" x14ac:dyDescent="0.25">
      <c r="A13037">
        <f ca="1">33654.6683176863*((RANDBETWEEN(2979,3282)))</f>
        <v>106348751.88388886</v>
      </c>
      <c r="B13037">
        <v>152696884.95644104</v>
      </c>
    </row>
    <row r="13038" spans="1:2" x14ac:dyDescent="0.25">
      <c r="A13038">
        <f ca="1">33309.2829875383*((RANDBETWEEN(2979,3282)))</f>
        <v>108721499.67132495</v>
      </c>
      <c r="B13038">
        <v>203629550.37258714</v>
      </c>
    </row>
    <row r="13039" spans="1:2" x14ac:dyDescent="0.25">
      <c r="A13039">
        <f ca="1">32273.6798258751*((RANDBETWEEN(2979,3282)))</f>
        <v>99435207.543521181</v>
      </c>
      <c r="B13039">
        <v>146123813.28564519</v>
      </c>
    </row>
    <row r="13040" spans="1:2" x14ac:dyDescent="0.25">
      <c r="A13040">
        <f ca="1">31021.5467517407*((RANDBETWEEN(2979,3282)))</f>
        <v>96756204.318679303</v>
      </c>
      <c r="B13040">
        <v>197832846.67555684</v>
      </c>
    </row>
    <row r="13041" spans="1:2" x14ac:dyDescent="0.25">
      <c r="A13041">
        <f ca="1">35672.1218039427*((RANDBETWEEN(2979,3282)))</f>
        <v>114899904.33049935</v>
      </c>
      <c r="B13041">
        <v>199437186.16793966</v>
      </c>
    </row>
    <row r="13042" spans="1:2" x14ac:dyDescent="0.25">
      <c r="A13042">
        <f ca="1">31063.6329379614*((RANDBETWEEN(2979,3282)))</f>
        <v>98440652.780399755</v>
      </c>
      <c r="B13042">
        <v>181091068.84169793</v>
      </c>
    </row>
    <row r="13043" spans="1:2" x14ac:dyDescent="0.25">
      <c r="A13043">
        <f ca="1">31380.5317277134*((RANDBETWEEN(2979,3282)))</f>
        <v>98158303.24428758</v>
      </c>
      <c r="B13043">
        <v>167361354.58622831</v>
      </c>
    </row>
    <row r="13044" spans="1:2" x14ac:dyDescent="0.25">
      <c r="A13044">
        <f ca="1">34124.3529183049*((RANDBETWEEN(2979,3282)))</f>
        <v>110665276.51406264</v>
      </c>
      <c r="B13044">
        <v>154315118.98861682</v>
      </c>
    </row>
    <row r="13045" spans="1:2" x14ac:dyDescent="0.25">
      <c r="A13045">
        <f ca="1">30621.8694508667*((RANDBETWEEN(2979,3282)))</f>
        <v>95509610.817253098</v>
      </c>
      <c r="B13045">
        <v>145495054.57715303</v>
      </c>
    </row>
    <row r="13046" spans="1:2" x14ac:dyDescent="0.25">
      <c r="A13046">
        <f ca="1">27905.0464215498*((RANDBETWEEN(2979,3282)))</f>
        <v>90523970.591507673</v>
      </c>
      <c r="B13046">
        <v>188418212.16899222</v>
      </c>
    </row>
    <row r="13047" spans="1:2" x14ac:dyDescent="0.25">
      <c r="A13047">
        <f ca="1">28963.0468284417*((RANDBETWEEN(2979,3282)))</f>
        <v>90046112.58962515</v>
      </c>
      <c r="B13047">
        <v>192601577.46890467</v>
      </c>
    </row>
    <row r="13048" spans="1:2" x14ac:dyDescent="0.25">
      <c r="A13048">
        <f ca="1">36278.9607624521*((RANDBETWEEN(2979,3282)))</f>
        <v>114750352.89163591</v>
      </c>
      <c r="B13048">
        <v>170498213.73719007</v>
      </c>
    </row>
    <row r="13049" spans="1:2" x14ac:dyDescent="0.25">
      <c r="A13049">
        <f ca="1">29494.4507969105*((RANDBETWEEN(2979,3282)))</f>
        <v>90370997.241733789</v>
      </c>
      <c r="B13049">
        <v>188884665.22461009</v>
      </c>
    </row>
    <row r="13050" spans="1:2" x14ac:dyDescent="0.25">
      <c r="A13050">
        <f ca="1">29649.6197348737*((RANDBETWEEN(2979,3282)))</f>
        <v>93544550.26352638</v>
      </c>
      <c r="B13050">
        <v>152046044.64008039</v>
      </c>
    </row>
    <row r="13051" spans="1:2" x14ac:dyDescent="0.25">
      <c r="A13051">
        <f ca="1">31523.2818995766*((RANDBETWEEN(2979,3282)))</f>
        <v>97469987.63349095</v>
      </c>
      <c r="B13051">
        <v>164809550.6207228</v>
      </c>
    </row>
    <row r="13052" spans="1:2" x14ac:dyDescent="0.25">
      <c r="A13052">
        <f ca="1">30583.9213811667*((RANDBETWEEN(2979,3282)))</f>
        <v>97623877.048683971</v>
      </c>
      <c r="B13052">
        <v>201648702.25807554</v>
      </c>
    </row>
    <row r="13053" spans="1:2" x14ac:dyDescent="0.25">
      <c r="A13053">
        <f ca="1">29915.5659448423*((RANDBETWEEN(2979,3282)))</f>
        <v>89716782.268582061</v>
      </c>
      <c r="B13053">
        <v>172680498.52359164</v>
      </c>
    </row>
    <row r="13054" spans="1:2" x14ac:dyDescent="0.25">
      <c r="A13054">
        <f ca="1">36234.8851843723*((RANDBETWEEN(2979,3282)))</f>
        <v>109791702.10864808</v>
      </c>
      <c r="B13054">
        <v>156760947.47353548</v>
      </c>
    </row>
    <row r="13055" spans="1:2" x14ac:dyDescent="0.25">
      <c r="A13055">
        <f ca="1">30109.7661334268*((RANDBETWEEN(2979,3282)))</f>
        <v>98398715.72403878</v>
      </c>
      <c r="B13055">
        <v>151756487.39967906</v>
      </c>
    </row>
    <row r="13056" spans="1:2" x14ac:dyDescent="0.25">
      <c r="A13056">
        <f ca="1">37819.4385576019*((RANDBETWEEN(2979,3282)))</f>
        <v>116559509.6345291</v>
      </c>
      <c r="B13056">
        <v>199172554.95708501</v>
      </c>
    </row>
    <row r="13057" spans="1:2" x14ac:dyDescent="0.25">
      <c r="A13057">
        <f ca="1">29767.0767755657*((RANDBETWEEN(2979,3282)))</f>
        <v>95671384.75666815</v>
      </c>
      <c r="B13057">
        <v>151597251.5223605</v>
      </c>
    </row>
    <row r="13058" spans="1:2" x14ac:dyDescent="0.25">
      <c r="A13058">
        <f ca="1">29501.8941784057*((RANDBETWEEN(2979,3282)))</f>
        <v>95055103.042823061</v>
      </c>
      <c r="B13058">
        <v>164674516.15776837</v>
      </c>
    </row>
    <row r="13059" spans="1:2" x14ac:dyDescent="0.25">
      <c r="A13059">
        <f ca="1">32334.2276455475*((RANDBETWEEN(2979,3282)))</f>
        <v>104245549.92924525</v>
      </c>
      <c r="B13059">
        <v>175282007.18035021</v>
      </c>
    </row>
    <row r="13060" spans="1:2" x14ac:dyDescent="0.25">
      <c r="A13060">
        <f ca="1">33832.5385096268*((RANDBETWEEN(2979,3282)))</f>
        <v>101531448.06739007</v>
      </c>
      <c r="B13060">
        <v>151747769.91239178</v>
      </c>
    </row>
    <row r="13061" spans="1:2" x14ac:dyDescent="0.25">
      <c r="A13061">
        <f ca="1">31171.6116497053*((RANDBETWEEN(2979,3282)))</f>
        <v>98408777.978119746</v>
      </c>
      <c r="B13061">
        <v>159065998.57533145</v>
      </c>
    </row>
    <row r="13062" spans="1:2" x14ac:dyDescent="0.25">
      <c r="A13062">
        <f ca="1">31179.6761328258*((RANDBETWEEN(2979,3282)))</f>
        <v>102113439.3350044</v>
      </c>
      <c r="B13062">
        <v>151774906.69235215</v>
      </c>
    </row>
    <row r="13063" spans="1:2" x14ac:dyDescent="0.25">
      <c r="A13063">
        <f ca="1">34508.4096024726*((RANDBETWEEN(2979,3282)))</f>
        <v>104042854.95145489</v>
      </c>
      <c r="B13063">
        <v>188235339.45808738</v>
      </c>
    </row>
    <row r="13064" spans="1:2" x14ac:dyDescent="0.25">
      <c r="A13064">
        <f ca="1">31381.0460424214*((RANDBETWEEN(2979,3282)))</f>
        <v>96747764.94878526</v>
      </c>
      <c r="B13064">
        <v>196973651.6894244</v>
      </c>
    </row>
    <row r="13065" spans="1:2" x14ac:dyDescent="0.25">
      <c r="A13065">
        <f ca="1">32542.2937639914*((RANDBETWEEN(2979,3282)))</f>
        <v>98082473.404670179</v>
      </c>
      <c r="B13065">
        <v>152132141.18700519</v>
      </c>
    </row>
    <row r="13066" spans="1:2" x14ac:dyDescent="0.25">
      <c r="A13066">
        <f ca="1">32186.6475465861*((RANDBETWEEN(2979,3282)))</f>
        <v>104381297.99357888</v>
      </c>
      <c r="B13066">
        <v>190507178.1339767</v>
      </c>
    </row>
    <row r="13067" spans="1:2" x14ac:dyDescent="0.25">
      <c r="A13067">
        <f ca="1">30327.062188488*((RANDBETWEEN(2979,3282)))</f>
        <v>98805568.610094026</v>
      </c>
      <c r="B13067">
        <v>195084628.48014435</v>
      </c>
    </row>
    <row r="13068" spans="1:2" x14ac:dyDescent="0.25">
      <c r="A13068">
        <f ca="1">35086.26948738*((RANDBETWEEN(2979,3282)))</f>
        <v>105785102.50445059</v>
      </c>
      <c r="B13068">
        <v>178540689.62598425</v>
      </c>
    </row>
    <row r="13069" spans="1:2" x14ac:dyDescent="0.25">
      <c r="A13069">
        <f ca="1">32401.2237907021*((RANDBETWEEN(2979,3282)))</f>
        <v>103100694.10201408</v>
      </c>
      <c r="B13069">
        <v>153657727.03919792</v>
      </c>
    </row>
    <row r="13070" spans="1:2" x14ac:dyDescent="0.25">
      <c r="A13070">
        <f ca="1">35434.6457089721*((RANDBETWEEN(2979,3282)))</f>
        <v>112646738.70882219</v>
      </c>
      <c r="B13070">
        <v>161356467.91049659</v>
      </c>
    </row>
    <row r="13071" spans="1:2" x14ac:dyDescent="0.25">
      <c r="A13071">
        <f ca="1">33431.1239710364*((RANDBETWEEN(2979,3282)))</f>
        <v>105374902.75670683</v>
      </c>
      <c r="B13071">
        <v>178200412.55879027</v>
      </c>
    </row>
    <row r="13072" spans="1:2" x14ac:dyDescent="0.25">
      <c r="A13072">
        <f ca="1">30887.063497992*((RANDBETWEEN(2979,3282)))</f>
        <v>94112882.478381738</v>
      </c>
      <c r="B13072">
        <v>177242678.50804284</v>
      </c>
    </row>
    <row r="13073" spans="1:2" x14ac:dyDescent="0.25">
      <c r="A13073">
        <f ca="1">34238.7865770677*((RANDBETWEEN(2979,3282)))</f>
        <v>104736448.13924997</v>
      </c>
      <c r="B13073">
        <v>178627414.9959411</v>
      </c>
    </row>
    <row r="13074" spans="1:2" x14ac:dyDescent="0.25">
      <c r="A13074">
        <f ca="1">30758.3214243227*((RANDBETWEEN(2979,3282)))</f>
        <v>99103311.629167661</v>
      </c>
      <c r="B13074">
        <v>194769040.56723964</v>
      </c>
    </row>
    <row r="13075" spans="1:2" x14ac:dyDescent="0.25">
      <c r="A13075">
        <f ca="1">38466.8504136693*((RANDBETWEEN(2979,3282)))</f>
        <v>116477623.05259058</v>
      </c>
      <c r="B13075">
        <v>144569389.3159188</v>
      </c>
    </row>
    <row r="13076" spans="1:2" x14ac:dyDescent="0.25">
      <c r="A13076">
        <f ca="1">35499.8836726112*((RANDBETWEEN(2979,3282)))</f>
        <v>113919126.7054092</v>
      </c>
      <c r="B13076">
        <v>158879186.88726306</v>
      </c>
    </row>
    <row r="13077" spans="1:2" x14ac:dyDescent="0.25">
      <c r="A13077">
        <f ca="1">33110.2570708566*((RANDBETWEEN(2979,3282)))</f>
        <v>106482586.73987487</v>
      </c>
      <c r="B13077">
        <v>201573347.96292883</v>
      </c>
    </row>
    <row r="13078" spans="1:2" x14ac:dyDescent="0.25">
      <c r="A13078">
        <f ca="1">32066.625195898*((RANDBETWEEN(2979,3282)))</f>
        <v>95750942.834951416</v>
      </c>
      <c r="B13078">
        <v>170919273.69643518</v>
      </c>
    </row>
    <row r="13079" spans="1:2" x14ac:dyDescent="0.25">
      <c r="A13079">
        <f ca="1">31070.2746678113*((RANDBETWEEN(2979,3282)))</f>
        <v>98337419.323622644</v>
      </c>
      <c r="B13079">
        <v>164309749.32236183</v>
      </c>
    </row>
    <row r="13080" spans="1:2" x14ac:dyDescent="0.25">
      <c r="A13080">
        <f ca="1">36261.6870045321*((RANDBETWEEN(2979,3282)))</f>
        <v>112520014.77506341</v>
      </c>
      <c r="B13080">
        <v>168010429.27129409</v>
      </c>
    </row>
    <row r="13081" spans="1:2" x14ac:dyDescent="0.25">
      <c r="A13081">
        <f ca="1">34159.9687583297*((RANDBETWEEN(2979,3282)))</f>
        <v>102616546.15002257</v>
      </c>
      <c r="B13081">
        <v>160674312.86899629</v>
      </c>
    </row>
    <row r="13082" spans="1:2" x14ac:dyDescent="0.25">
      <c r="A13082">
        <f ca="1">34805.1458065567*((RANDBETWEEN(2979,3282)))</f>
        <v>110889194.53968956</v>
      </c>
      <c r="B13082">
        <v>151215780.89728874</v>
      </c>
    </row>
    <row r="13083" spans="1:2" x14ac:dyDescent="0.25">
      <c r="A13083">
        <f ca="1">29779.5698381612*((RANDBETWEEN(2979,3282)))</f>
        <v>93984322.409236789</v>
      </c>
      <c r="B13083">
        <v>151453855.90460718</v>
      </c>
    </row>
    <row r="13084" spans="1:2" x14ac:dyDescent="0.25">
      <c r="A13084">
        <f ca="1">33506.3224075879*((RANDBETWEEN(2979,3282)))</f>
        <v>99982866.064242214</v>
      </c>
      <c r="B13084">
        <v>167719537.21582898</v>
      </c>
    </row>
    <row r="13085" spans="1:2" x14ac:dyDescent="0.25">
      <c r="A13085">
        <f ca="1">35121.4701984502*((RANDBETWEEN(2979,3282)))</f>
        <v>105504896.47614428</v>
      </c>
      <c r="B13085">
        <v>152908844.39311478</v>
      </c>
    </row>
    <row r="13086" spans="1:2" x14ac:dyDescent="0.25">
      <c r="A13086">
        <f ca="1">30485.1741190561*((RANDBETWEEN(2979,3282)))</f>
        <v>96363635.390336201</v>
      </c>
      <c r="B13086">
        <v>144340629.32291991</v>
      </c>
    </row>
    <row r="13087" spans="1:2" x14ac:dyDescent="0.25">
      <c r="A13087">
        <f ca="1">30620.4153627351*((RANDBETWEEN(2979,3282)))</f>
        <v>96515549.223341167</v>
      </c>
      <c r="B13087">
        <v>172427342.45779672</v>
      </c>
    </row>
    <row r="13088" spans="1:2" x14ac:dyDescent="0.25">
      <c r="A13088">
        <f ca="1">29592.5727278231*((RANDBETWEEN(2979,3282)))</f>
        <v>91973716.038074195</v>
      </c>
      <c r="B13088">
        <v>175687769.30075461</v>
      </c>
    </row>
    <row r="13089" spans="1:2" x14ac:dyDescent="0.25">
      <c r="A13089">
        <f ca="1">38264.5279655974*((RANDBETWEEN(2979,3282)))</f>
        <v>116859868.40693457</v>
      </c>
      <c r="B13089">
        <v>178073752.8743217</v>
      </c>
    </row>
    <row r="13090" spans="1:2" x14ac:dyDescent="0.25">
      <c r="A13090">
        <f ca="1">29706.0114855414*((RANDBETWEEN(2979,3282)))</f>
        <v>89593330.640392825</v>
      </c>
      <c r="B13090">
        <v>147707111.97557375</v>
      </c>
    </row>
    <row r="13091" spans="1:2" x14ac:dyDescent="0.25">
      <c r="A13091">
        <f ca="1">31135.0058252414*((RANDBETWEEN(2979,3282)))</f>
        <v>100659473.83300555</v>
      </c>
      <c r="B13091">
        <v>192155944.33254585</v>
      </c>
    </row>
    <row r="13092" spans="1:2" x14ac:dyDescent="0.25">
      <c r="A13092">
        <f ca="1">34694.4271785193*((RANDBETWEEN(2979,3282)))</f>
        <v>110258889.57333422</v>
      </c>
      <c r="B13092">
        <v>148871827.87426353</v>
      </c>
    </row>
    <row r="13093" spans="1:2" x14ac:dyDescent="0.25">
      <c r="A13093">
        <f ca="1">35982.6200116451*((RANDBETWEEN(2979,3282)))</f>
        <v>116367793.11766021</v>
      </c>
      <c r="B13093">
        <v>160193454.14342386</v>
      </c>
    </row>
    <row r="13094" spans="1:2" x14ac:dyDescent="0.25">
      <c r="A13094">
        <f ca="1">31389.792573788*((RANDBETWEEN(2979,3282)))</f>
        <v>101545978.97620423</v>
      </c>
      <c r="B13094">
        <v>189763721.52227587</v>
      </c>
    </row>
    <row r="13095" spans="1:2" x14ac:dyDescent="0.25">
      <c r="A13095">
        <f ca="1">30791.3740649141*((RANDBETWEEN(2979,3282)))</f>
        <v>99948800.2147111</v>
      </c>
      <c r="B13095">
        <v>151643304.26406351</v>
      </c>
    </row>
    <row r="13096" spans="1:2" x14ac:dyDescent="0.25">
      <c r="A13096">
        <f ca="1">42553.0503736603*((RANDBETWEEN(2979,3282)))</f>
        <v>134808063.58375594</v>
      </c>
      <c r="B13096">
        <v>198392454.93902239</v>
      </c>
    </row>
    <row r="13097" spans="1:2" x14ac:dyDescent="0.25">
      <c r="A13097">
        <f ca="1">37572.1303540703*((RANDBETWEEN(2979,3282)))</f>
        <v>119066081.09204878</v>
      </c>
      <c r="B13097">
        <v>159203282.20387107</v>
      </c>
    </row>
    <row r="13098" spans="1:2" x14ac:dyDescent="0.25">
      <c r="A13098">
        <f ca="1">30002.787573543*((RANDBETWEEN(2979,3282)))</f>
        <v>98319134.878500402</v>
      </c>
      <c r="B13098">
        <v>198156862.16259962</v>
      </c>
    </row>
    <row r="13099" spans="1:2" x14ac:dyDescent="0.25">
      <c r="A13099">
        <f ca="1">28459.7154607291*((RANDBETWEEN(2979,3282)))</f>
        <v>89818861.994060948</v>
      </c>
      <c r="B13099">
        <v>148935827.88616049</v>
      </c>
    </row>
    <row r="13100" spans="1:2" x14ac:dyDescent="0.25">
      <c r="A13100">
        <f ca="1">33670.7153163745*((RANDBETWEEN(2979,3282)))</f>
        <v>108082996.16556218</v>
      </c>
      <c r="B13100">
        <v>153615226.66359228</v>
      </c>
    </row>
    <row r="13101" spans="1:2" x14ac:dyDescent="0.25">
      <c r="A13101">
        <f ca="1">31428.2693079502*((RANDBETWEEN(2979,3282)))</f>
        <v>94033381.769387022</v>
      </c>
      <c r="B13101">
        <v>192625095.18974835</v>
      </c>
    </row>
    <row r="13102" spans="1:2" x14ac:dyDescent="0.25">
      <c r="A13102">
        <f ca="1">32524.2637519777*((RANDBETWEEN(2979,3282)))</f>
        <v>106126672.62270327</v>
      </c>
      <c r="B13102">
        <v>200178790.78940403</v>
      </c>
    </row>
    <row r="13103" spans="1:2" x14ac:dyDescent="0.25">
      <c r="A13103">
        <f ca="1">30304.3553164322*((RANDBETWEEN(2979,3282)))</f>
        <v>93034370.821446925</v>
      </c>
      <c r="B13103">
        <v>175847712.89432222</v>
      </c>
    </row>
    <row r="13104" spans="1:2" x14ac:dyDescent="0.25">
      <c r="A13104">
        <f ca="1">30927.9709802653*((RANDBETWEEN(2979,3282)))</f>
        <v>92629273.085894495</v>
      </c>
      <c r="B13104">
        <v>158816260.20433837</v>
      </c>
    </row>
    <row r="13105" spans="1:2" x14ac:dyDescent="0.25">
      <c r="A13105">
        <f ca="1">32554.8409042038*((RANDBETWEEN(2979,3282)))</f>
        <v>97859851.758036584</v>
      </c>
      <c r="B13105">
        <v>150417038.88718233</v>
      </c>
    </row>
    <row r="13106" spans="1:2" x14ac:dyDescent="0.25">
      <c r="A13106">
        <f ca="1">32905.5353309804*((RANDBETWEEN(2979,3282)))</f>
        <v>105560957.34178513</v>
      </c>
      <c r="B13106">
        <v>147667772.16796228</v>
      </c>
    </row>
    <row r="13107" spans="1:2" x14ac:dyDescent="0.25">
      <c r="A13107">
        <f ca="1">30072.3165868367*((RANDBETWEEN(2979,3282)))</f>
        <v>90788323.775659949</v>
      </c>
      <c r="B13107">
        <v>178749358.59267268</v>
      </c>
    </row>
    <row r="13108" spans="1:2" x14ac:dyDescent="0.25">
      <c r="A13108">
        <f ca="1">36761.9745452437*((RANDBETWEEN(2979,3282)))</f>
        <v>120064608.8647659</v>
      </c>
      <c r="B13108">
        <v>196253003.03481114</v>
      </c>
    </row>
    <row r="13109" spans="1:2" x14ac:dyDescent="0.25">
      <c r="A13109">
        <f ca="1">38708.7683573834*((RANDBETWEEN(2979,3282)))</f>
        <v>119068171.46731138</v>
      </c>
      <c r="B13109">
        <v>166309791.16104487</v>
      </c>
    </row>
    <row r="13110" spans="1:2" x14ac:dyDescent="0.25">
      <c r="A13110">
        <f ca="1">31123.2322370454*((RANDBETWEEN(2979,3282)))</f>
        <v>93182957.317713797</v>
      </c>
      <c r="B13110">
        <v>170609277.58089674</v>
      </c>
    </row>
    <row r="13111" spans="1:2" x14ac:dyDescent="0.25">
      <c r="A13111">
        <f ca="1">36225.6752174252*((RANDBETWEEN(2979,3282)))</f>
        <v>111502628.31923482</v>
      </c>
      <c r="B13111">
        <v>172968409.057136</v>
      </c>
    </row>
    <row r="13112" spans="1:2" x14ac:dyDescent="0.25">
      <c r="A13112">
        <f ca="1">31909.8315507454*((RANDBETWEEN(2979,3282)))</f>
        <v>102941116.58270483</v>
      </c>
      <c r="B13112">
        <v>187701929.16133007</v>
      </c>
    </row>
    <row r="13113" spans="1:2" x14ac:dyDescent="0.25">
      <c r="A13113">
        <f ca="1">32218.2159710065*((RANDBETWEEN(2979,3282)))</f>
        <v>99650941.998322964</v>
      </c>
      <c r="B13113">
        <v>170571674.46832839</v>
      </c>
    </row>
    <row r="13114" spans="1:2" x14ac:dyDescent="0.25">
      <c r="A13114">
        <f ca="1">37929.6903663874*((RANDBETWEEN(2979,3282)))</f>
        <v>121375009.17243969</v>
      </c>
      <c r="B13114">
        <v>186452434.54468793</v>
      </c>
    </row>
    <row r="13115" spans="1:2" x14ac:dyDescent="0.25">
      <c r="A13115">
        <f ca="1">38057.8181578746*((RANDBETWEEN(2979,3282)))</f>
        <v>116533039.19941203</v>
      </c>
      <c r="B13115">
        <v>147011849.60401762</v>
      </c>
    </row>
    <row r="13116" spans="1:2" x14ac:dyDescent="0.25">
      <c r="A13116">
        <f ca="1">30458.3147150827*((RANDBETWEEN(2979,3282)))</f>
        <v>99050439.453448907</v>
      </c>
      <c r="B13116">
        <v>159737723.30854803</v>
      </c>
    </row>
    <row r="13117" spans="1:2" x14ac:dyDescent="0.25">
      <c r="A13117">
        <f ca="1">30344.5691976*((RANDBETWEEN(2979,3282)))</f>
        <v>97709512.81627214</v>
      </c>
      <c r="B13117">
        <v>174758129.79772356</v>
      </c>
    </row>
    <row r="13118" spans="1:2" x14ac:dyDescent="0.25">
      <c r="A13118">
        <f ca="1">30918.7200515992*((RANDBETWEEN(2979,3282)))</f>
        <v>99032660.325272188</v>
      </c>
      <c r="B13118">
        <v>159948291.47466335</v>
      </c>
    </row>
    <row r="13119" spans="1:2" x14ac:dyDescent="0.25">
      <c r="A13119">
        <f ca="1">36274.3739753331*((RANDBETWEEN(2979,3282)))</f>
        <v>119016221.01306804</v>
      </c>
      <c r="B13119">
        <v>150055757.97896251</v>
      </c>
    </row>
    <row r="13120" spans="1:2" x14ac:dyDescent="0.25">
      <c r="A13120">
        <f ca="1">28543.8792520988*((RANDBETWEEN(2979,3282)))</f>
        <v>89970307.402615368</v>
      </c>
      <c r="B13120">
        <v>171227335.10553357</v>
      </c>
    </row>
    <row r="13121" spans="1:2" x14ac:dyDescent="0.25">
      <c r="A13121">
        <f ca="1">32335.4395400944*((RANDBETWEEN(2979,3282)))</f>
        <v>98267400.762346834</v>
      </c>
      <c r="B13121">
        <v>199943926.72990683</v>
      </c>
    </row>
    <row r="13122" spans="1:2" x14ac:dyDescent="0.25">
      <c r="A13122">
        <f ca="1">30730.3381775569*((RANDBETWEEN(2979,3282)))</f>
        <v>98091239.462761492</v>
      </c>
      <c r="B13122">
        <v>189620342.63900495</v>
      </c>
    </row>
    <row r="13123" spans="1:2" x14ac:dyDescent="0.25">
      <c r="A13123">
        <f ca="1">30717.1106955656*((RANDBETWEEN(2979,3282)))</f>
        <v>97250372.462160766</v>
      </c>
      <c r="B13123">
        <v>146170503.04669446</v>
      </c>
    </row>
    <row r="13124" spans="1:2" x14ac:dyDescent="0.25">
      <c r="A13124">
        <f ca="1">30955.6044989557*((RANDBETWEEN(2979,3282)))</f>
        <v>98284044.284184411</v>
      </c>
      <c r="B13124">
        <v>152597468.38184023</v>
      </c>
    </row>
    <row r="13125" spans="1:2" x14ac:dyDescent="0.25">
      <c r="A13125">
        <f ca="1">31142.2951038831*((RANDBETWEEN(2979,3282)))</f>
        <v>93395743.01654537</v>
      </c>
      <c r="B13125">
        <v>161311598.57400227</v>
      </c>
    </row>
    <row r="13126" spans="1:2" x14ac:dyDescent="0.25">
      <c r="A13126">
        <f ca="1">33280.4502562805*((RANDBETWEEN(2979,3282)))</f>
        <v>103801724.3493389</v>
      </c>
      <c r="B13126">
        <v>182154358.473259</v>
      </c>
    </row>
    <row r="13127" spans="1:2" x14ac:dyDescent="0.25">
      <c r="A13127">
        <f ca="1">34739.3462267904*((RANDBETWEEN(2979,3282)))</f>
        <v>104982304.29736055</v>
      </c>
      <c r="B13127">
        <v>152298007.92143309</v>
      </c>
    </row>
    <row r="13128" spans="1:2" x14ac:dyDescent="0.25">
      <c r="A13128">
        <f ca="1">42615.308582269*((RANDBETWEEN(2979,3282)))</f>
        <v>132150071.91361617</v>
      </c>
      <c r="B13128">
        <v>169291858.33607718</v>
      </c>
    </row>
    <row r="13129" spans="1:2" x14ac:dyDescent="0.25">
      <c r="A13129">
        <f ca="1">39190.8599018491*((RANDBETWEEN(2979,3282)))</f>
        <v>127958157.57953727</v>
      </c>
      <c r="B13129">
        <v>188669089.91243085</v>
      </c>
    </row>
    <row r="13130" spans="1:2" x14ac:dyDescent="0.25">
      <c r="A13130">
        <f ca="1">31335.3750390293*((RANDBETWEEN(2979,3282)))</f>
        <v>100931243.00071323</v>
      </c>
      <c r="B13130">
        <v>156009578.933613</v>
      </c>
    </row>
    <row r="13131" spans="1:2" x14ac:dyDescent="0.25">
      <c r="A13131">
        <f ca="1">31600.0931693409*((RANDBETWEEN(2979,3282)))</f>
        <v>101373098.88724554</v>
      </c>
      <c r="B13131">
        <v>157243163.54648936</v>
      </c>
    </row>
    <row r="13132" spans="1:2" x14ac:dyDescent="0.25">
      <c r="A13132">
        <f ca="1">36157.7492901712*((RANDBETWEEN(2979,3282)))</f>
        <v>117585000.69163673</v>
      </c>
      <c r="B13132">
        <v>190546396.78310093</v>
      </c>
    </row>
    <row r="13133" spans="1:2" x14ac:dyDescent="0.25">
      <c r="A13133">
        <f ca="1">32918.3626766213*((RANDBETWEEN(2979,3282)))</f>
        <v>105964209.456044</v>
      </c>
      <c r="B13133">
        <v>165489619.78555501</v>
      </c>
    </row>
    <row r="13134" spans="1:2" x14ac:dyDescent="0.25">
      <c r="A13134">
        <f ca="1">33327.9416481571*((RANDBETWEEN(2979,3282)))</f>
        <v>106982692.69058439</v>
      </c>
      <c r="B13134">
        <v>151523008.3793664</v>
      </c>
    </row>
    <row r="13135" spans="1:2" x14ac:dyDescent="0.25">
      <c r="A13135">
        <f ca="1">33293.2230261859*((RANDBETWEEN(2979,3282)))</f>
        <v>102942645.59696679</v>
      </c>
      <c r="B13135">
        <v>167369525.67537469</v>
      </c>
    </row>
    <row r="13136" spans="1:2" x14ac:dyDescent="0.25">
      <c r="A13136">
        <f ca="1">31279.8374214665*((RANDBETWEEN(2979,3282)))</f>
        <v>94121030.801192731</v>
      </c>
      <c r="B13136">
        <v>166744334.47826394</v>
      </c>
    </row>
    <row r="13137" spans="1:2" x14ac:dyDescent="0.25">
      <c r="A13137">
        <f ca="1">36046.1719248315*((RANDBETWEEN(2979,3282)))</f>
        <v>114230318.82979111</v>
      </c>
      <c r="B13137">
        <v>191994221.50818983</v>
      </c>
    </row>
    <row r="13138" spans="1:2" x14ac:dyDescent="0.25">
      <c r="A13138">
        <f ca="1">33072.0397069195*((RANDBETWEEN(2979,3282)))</f>
        <v>103283980.00470969</v>
      </c>
      <c r="B13138">
        <v>172498915.58224261</v>
      </c>
    </row>
    <row r="13139" spans="1:2" x14ac:dyDescent="0.25">
      <c r="A13139">
        <f ca="1">31887.2865686476*((RANDBETWEEN(2979,3282)))</f>
        <v>102581400.89133935</v>
      </c>
      <c r="B13139">
        <v>175604623.64833331</v>
      </c>
    </row>
    <row r="13140" spans="1:2" x14ac:dyDescent="0.25">
      <c r="A13140">
        <f ca="1">41175.00568456*((RANDBETWEEN(2979,3282)))</f>
        <v>124966142.25263965</v>
      </c>
      <c r="B13140">
        <v>158933159.67435557</v>
      </c>
    </row>
    <row r="13141" spans="1:2" x14ac:dyDescent="0.25">
      <c r="A13141">
        <f ca="1">34560.920452823*((RANDBETWEEN(2979,3282)))</f>
        <v>104339418.84707263</v>
      </c>
      <c r="B13141">
        <v>144827108.47270218</v>
      </c>
    </row>
    <row r="13142" spans="1:2" x14ac:dyDescent="0.25">
      <c r="A13142">
        <f ca="1">34181.9482585226*((RANDBETWEEN(2979,3282)))</f>
        <v>105793129.86012736</v>
      </c>
      <c r="B13142">
        <v>167113632.71443415</v>
      </c>
    </row>
    <row r="13143" spans="1:2" x14ac:dyDescent="0.25">
      <c r="A13143">
        <f ca="1">32942.8396769007*((RANDBETWEEN(2979,3282)))</f>
        <v>106306543.63735855</v>
      </c>
      <c r="B13143">
        <v>147828597.02613047</v>
      </c>
    </row>
    <row r="13144" spans="1:2" x14ac:dyDescent="0.25">
      <c r="A13144">
        <f ca="1">38424.5975508264*((RANDBETWEEN(2979,3282)))</f>
        <v>116810776.55451216</v>
      </c>
      <c r="B13144">
        <v>150885248.58256036</v>
      </c>
    </row>
    <row r="13145" spans="1:2" x14ac:dyDescent="0.25">
      <c r="A13145">
        <f ca="1">30541.9686834584*((RANDBETWEEN(2979,3282)))</f>
        <v>99353024.127290338</v>
      </c>
      <c r="B13145">
        <v>148263398.43852893</v>
      </c>
    </row>
    <row r="13146" spans="1:2" x14ac:dyDescent="0.25">
      <c r="A13146">
        <f ca="1">28286.1948559082*((RANDBETWEEN(2979,3282)))</f>
        <v>84377719.255174041</v>
      </c>
      <c r="B13146">
        <v>153949893.72404385</v>
      </c>
    </row>
    <row r="13147" spans="1:2" x14ac:dyDescent="0.25">
      <c r="A13147">
        <f ca="1">35920.8029662021*((RANDBETWEEN(2979,3282)))</f>
        <v>115162094.309644</v>
      </c>
      <c r="B13147">
        <v>143904403.9304879</v>
      </c>
    </row>
    <row r="13148" spans="1:2" x14ac:dyDescent="0.25">
      <c r="A13148">
        <f ca="1">35876.6171140657*((RANDBETWEEN(2979,3282)))</f>
        <v>108885532.94118942</v>
      </c>
      <c r="B13148">
        <v>175978106.48419034</v>
      </c>
    </row>
    <row r="13149" spans="1:2" x14ac:dyDescent="0.25">
      <c r="A13149">
        <f ca="1">29773.4249007601*((RANDBETWEEN(2979,3282)))</f>
        <v>97537739.974890113</v>
      </c>
      <c r="B13149">
        <v>192492640.22298467</v>
      </c>
    </row>
    <row r="13150" spans="1:2" x14ac:dyDescent="0.25">
      <c r="A13150">
        <f ca="1">30086.5537873669*((RANDBETWEEN(2979,3282)))</f>
        <v>97721126.701367751</v>
      </c>
      <c r="B13150">
        <v>173689255.82222894</v>
      </c>
    </row>
    <row r="13151" spans="1:2" x14ac:dyDescent="0.25">
      <c r="A13151">
        <f ca="1">30846.1786048872*((RANDBETWEEN(2979,3282)))</f>
        <v>100589388.43053703</v>
      </c>
      <c r="B13151">
        <v>183445301.24340543</v>
      </c>
    </row>
    <row r="13152" spans="1:2" x14ac:dyDescent="0.25">
      <c r="A13152">
        <f ca="1">29096.8954934006*((RANDBETWEEN(2979,3282)))</f>
        <v>95088654.47243315</v>
      </c>
      <c r="B13152">
        <v>144915602.01057631</v>
      </c>
    </row>
    <row r="13153" spans="1:2" x14ac:dyDescent="0.25">
      <c r="A13153">
        <f ca="1">33940.4654316451*((RANDBETWEEN(2979,3282)))</f>
        <v>104638454.92576183</v>
      </c>
      <c r="B13153">
        <v>174744890.96595174</v>
      </c>
    </row>
    <row r="13154" spans="1:2" x14ac:dyDescent="0.25">
      <c r="A13154">
        <f ca="1">29173.3751167795*((RANDBETWEEN(2979,3282)))</f>
        <v>91050103.739468902</v>
      </c>
      <c r="B13154">
        <v>145819065.02818704</v>
      </c>
    </row>
    <row r="13155" spans="1:2" x14ac:dyDescent="0.25">
      <c r="A13155">
        <f ca="1">31377.7128762807*((RANDBETWEEN(2979,3282)))</f>
        <v>102165833.12516983</v>
      </c>
      <c r="B13155">
        <v>152727114.12508649</v>
      </c>
    </row>
    <row r="13156" spans="1:2" x14ac:dyDescent="0.25">
      <c r="A13156">
        <f ca="1">30424.2342955421*((RANDBETWEEN(2979,3282)))</f>
        <v>93463247.755905345</v>
      </c>
      <c r="B13156">
        <v>146394067.99137092</v>
      </c>
    </row>
    <row r="13157" spans="1:2" x14ac:dyDescent="0.25">
      <c r="A13157">
        <f ca="1">31684.3552633541*((RANDBETWEEN(2979,3282)))</f>
        <v>98981925.842718244</v>
      </c>
      <c r="B13157">
        <v>160519571.07089776</v>
      </c>
    </row>
    <row r="13158" spans="1:2" x14ac:dyDescent="0.25">
      <c r="A13158">
        <f ca="1">35950.1505911992*((RANDBETWEEN(2979,3282)))</f>
        <v>107922352.07477987</v>
      </c>
      <c r="B13158">
        <v>163136638.27437162</v>
      </c>
    </row>
    <row r="13159" spans="1:2" x14ac:dyDescent="0.25">
      <c r="A13159">
        <f ca="1">32297.0598383476*((RANDBETWEEN(2979,3282)))</f>
        <v>103544373.8417425</v>
      </c>
      <c r="B13159">
        <v>161125301.47453135</v>
      </c>
    </row>
    <row r="13160" spans="1:2" x14ac:dyDescent="0.25">
      <c r="A13160">
        <f ca="1">39631.2555156094*((RANDBETWEEN(2979,3282)))</f>
        <v>124085461.01937309</v>
      </c>
      <c r="B13160">
        <v>191889051.9735505</v>
      </c>
    </row>
    <row r="13161" spans="1:2" x14ac:dyDescent="0.25">
      <c r="A13161">
        <f ca="1">31385.2206926397*((RANDBETWEEN(2979,3282)))</f>
        <v>101311492.39584087</v>
      </c>
      <c r="B13161">
        <v>166655084.10692793</v>
      </c>
    </row>
    <row r="13162" spans="1:2" x14ac:dyDescent="0.25">
      <c r="A13162">
        <f ca="1">36796.7990556155*((RANDBETWEEN(2979,3282)))</f>
        <v>112966173.10073945</v>
      </c>
      <c r="B13162">
        <v>150089546.02188843</v>
      </c>
    </row>
    <row r="13163" spans="1:2" x14ac:dyDescent="0.25">
      <c r="A13163">
        <f ca="1">31897.5345438913*((RANDBETWEEN(2979,3282)))</f>
        <v>96553837.064358994</v>
      </c>
      <c r="B13163">
        <v>165769140.10698864</v>
      </c>
    </row>
    <row r="13164" spans="1:2" x14ac:dyDescent="0.25">
      <c r="A13164">
        <f ca="1">33084.0364107388*((RANDBETWEEN(2979,3282)))</f>
        <v>107953210.80824067</v>
      </c>
      <c r="B13164">
        <v>148904263.22651887</v>
      </c>
    </row>
    <row r="13165" spans="1:2" x14ac:dyDescent="0.25">
      <c r="A13165">
        <f ca="1">41213.0957613453*((RANDBETWEEN(2979,3282)))</f>
        <v>132087971.91511178</v>
      </c>
      <c r="B13165">
        <v>181962628.29816413</v>
      </c>
    </row>
    <row r="13166" spans="1:2" x14ac:dyDescent="0.25">
      <c r="A13166">
        <f ca="1">38291.5556195813*((RANDBETWEEN(2979,3282)))</f>
        <v>118206032.19764769</v>
      </c>
      <c r="B13166">
        <v>165577937.2423712</v>
      </c>
    </row>
    <row r="13167" spans="1:2" x14ac:dyDescent="0.25">
      <c r="A13167">
        <f ca="1">29077.5530370765*((RANDBETWEEN(2979,3282)))</f>
        <v>94182194.287090734</v>
      </c>
      <c r="B13167">
        <v>156072284.69445127</v>
      </c>
    </row>
    <row r="13168" spans="1:2" x14ac:dyDescent="0.25">
      <c r="A13168">
        <f ca="1">35188.9726338589*((RANDBETWEEN(2979,3282)))</f>
        <v>110880452.76928924</v>
      </c>
      <c r="B13168">
        <v>161045008.06178424</v>
      </c>
    </row>
    <row r="13169" spans="1:2" x14ac:dyDescent="0.25">
      <c r="A13169">
        <f ca="1">33065.0038599145*((RANDBETWEEN(2979,3282)))</f>
        <v>108287887.64122012</v>
      </c>
      <c r="B13169">
        <v>197131785.78210136</v>
      </c>
    </row>
    <row r="13170" spans="1:2" x14ac:dyDescent="0.25">
      <c r="A13170">
        <f ca="1">30801.2096308416*((RANDBETWEEN(2979,3282)))</f>
        <v>101058768.79879129</v>
      </c>
      <c r="B13170">
        <v>143013199.57680622</v>
      </c>
    </row>
    <row r="13171" spans="1:2" x14ac:dyDescent="0.25">
      <c r="A13171">
        <f ca="1">29895.090735415*((RANDBETWEEN(2979,3282)))</f>
        <v>89954328.02286382</v>
      </c>
      <c r="B13171">
        <v>182821055.57519555</v>
      </c>
    </row>
    <row r="13172" spans="1:2" x14ac:dyDescent="0.25">
      <c r="A13172">
        <f ca="1">30065.3788219485*((RANDBETWEEN(2979,3282)))</f>
        <v>95156923.971466914</v>
      </c>
      <c r="B13172">
        <v>143432639.30329847</v>
      </c>
    </row>
    <row r="13173" spans="1:2" x14ac:dyDescent="0.25">
      <c r="A13173">
        <f ca="1">29803.7112995395*((RANDBETWEEN(2979,3282)))</f>
        <v>89589956.166415811</v>
      </c>
      <c r="B13173">
        <v>154230391.5754444</v>
      </c>
    </row>
    <row r="13174" spans="1:2" x14ac:dyDescent="0.25">
      <c r="A13174">
        <f ca="1">30743.5224263382*((RANDBETWEEN(2979,3282)))</f>
        <v>95151201.909516692</v>
      </c>
      <c r="B13174">
        <v>150716154.90416625</v>
      </c>
    </row>
    <row r="13175" spans="1:2" x14ac:dyDescent="0.25">
      <c r="A13175">
        <f ca="1">30277.3655782912*((RANDBETWEEN(2979,3282)))</f>
        <v>99279481.731216699</v>
      </c>
      <c r="B13175">
        <v>181136439.5724571</v>
      </c>
    </row>
    <row r="13176" spans="1:2" x14ac:dyDescent="0.25">
      <c r="A13176">
        <f ca="1">30828.6978674738*((RANDBETWEEN(2979,3282)))</f>
        <v>92054491.832276702</v>
      </c>
      <c r="B13176">
        <v>165591732.33609596</v>
      </c>
    </row>
    <row r="13177" spans="1:2" x14ac:dyDescent="0.25">
      <c r="A13177">
        <f ca="1">33714.8171857802*((RANDBETWEEN(2979,3282)))</f>
        <v>107617696.4570104</v>
      </c>
      <c r="B13177">
        <v>154984115.66936898</v>
      </c>
    </row>
    <row r="13178" spans="1:2" x14ac:dyDescent="0.25">
      <c r="A13178">
        <f ca="1">41312.0540465591*((RANDBETWEEN(2979,3282)))</f>
        <v>134140239.48917755</v>
      </c>
      <c r="B13178">
        <v>152487194.17830691</v>
      </c>
    </row>
    <row r="13179" spans="1:2" x14ac:dyDescent="0.25">
      <c r="A13179">
        <f ca="1">27711.5278500584*((RANDBETWEEN(2979,3282)))</f>
        <v>84824986.749028608</v>
      </c>
      <c r="B13179">
        <v>148598035.96872789</v>
      </c>
    </row>
    <row r="13180" spans="1:2" x14ac:dyDescent="0.25">
      <c r="A13180">
        <f ca="1">33285.741112994*((RANDBETWEEN(2979,3282)))</f>
        <v>103085940.22694246</v>
      </c>
      <c r="B13180">
        <v>167219366.7455039</v>
      </c>
    </row>
    <row r="13181" spans="1:2" x14ac:dyDescent="0.25">
      <c r="A13181">
        <f ca="1">30860.5736974647*((RANDBETWEEN(2979,3282)))</f>
        <v>95266591.00407356</v>
      </c>
      <c r="B13181">
        <v>150065525.14907613</v>
      </c>
    </row>
    <row r="13182" spans="1:2" x14ac:dyDescent="0.25">
      <c r="A13182">
        <f ca="1">31282.197367112*((RANDBETWEEN(2979,3282)))</f>
        <v>98319946.324832976</v>
      </c>
      <c r="B13182">
        <v>192386262.14227903</v>
      </c>
    </row>
    <row r="13183" spans="1:2" x14ac:dyDescent="0.25">
      <c r="A13183">
        <f ca="1">32822.8602708921*((RANDBETWEEN(2979,3282)))</f>
        <v>100864649.61245127</v>
      </c>
      <c r="B13183">
        <v>145780426.99219763</v>
      </c>
    </row>
    <row r="13184" spans="1:2" x14ac:dyDescent="0.25">
      <c r="A13184">
        <f ca="1">31199.7574235864*((RANDBETWEEN(2979,3282)))</f>
        <v>99152829.092157453</v>
      </c>
      <c r="B13184">
        <v>200710503.55484521</v>
      </c>
    </row>
    <row r="13185" spans="1:2" x14ac:dyDescent="0.25">
      <c r="A13185">
        <f ca="1">36576.0203903554*((RANDBETWEEN(2979,3282)))</f>
        <v>115543648.41313277</v>
      </c>
      <c r="B13185">
        <v>148363798.96942735</v>
      </c>
    </row>
    <row r="13186" spans="1:2" x14ac:dyDescent="0.25">
      <c r="A13186">
        <f ca="1">32835.3466607676*((RANDBETWEEN(2979,3282)))</f>
        <v>106320852.48756532</v>
      </c>
      <c r="B13186">
        <v>158810228.58704621</v>
      </c>
    </row>
    <row r="13187" spans="1:2" x14ac:dyDescent="0.25">
      <c r="A13187">
        <f ca="1">40563.3406528213*((RANDBETWEEN(2979,3282)))</f>
        <v>121487205.25519992</v>
      </c>
      <c r="B13187">
        <v>155674535.01986918</v>
      </c>
    </row>
    <row r="13188" spans="1:2" x14ac:dyDescent="0.25">
      <c r="A13188">
        <f ca="1">35701.1858475187*((RANDBETWEEN(2979,3282)))</f>
        <v>112387333.04798891</v>
      </c>
      <c r="B13188">
        <v>177790495.94052523</v>
      </c>
    </row>
    <row r="13189" spans="1:2" x14ac:dyDescent="0.25">
      <c r="A13189">
        <f ca="1">30492.4759430654*((RANDBETWEEN(2979,3282)))</f>
        <v>97911340.253182977</v>
      </c>
      <c r="B13189">
        <v>145124067.19251311</v>
      </c>
    </row>
    <row r="13190" spans="1:2" x14ac:dyDescent="0.25">
      <c r="A13190">
        <f ca="1">40843.3919346846*((RANDBETWEEN(2979,3282)))</f>
        <v>122407645.62824988</v>
      </c>
      <c r="B13190">
        <v>178539265.67774063</v>
      </c>
    </row>
    <row r="13191" spans="1:2" x14ac:dyDescent="0.25">
      <c r="A13191">
        <f ca="1">38663.9405187474*((RANDBETWEEN(2979,3282)))</f>
        <v>120128863.19174823</v>
      </c>
      <c r="B13191">
        <v>170101150.37510324</v>
      </c>
    </row>
    <row r="13192" spans="1:2" x14ac:dyDescent="0.25">
      <c r="A13192">
        <f ca="1">40045.7542841089*((RANDBETWEEN(2979,3282)))</f>
        <v>121859230.28654365</v>
      </c>
      <c r="B13192">
        <v>159202248.89034653</v>
      </c>
    </row>
    <row r="13193" spans="1:2" x14ac:dyDescent="0.25">
      <c r="A13193">
        <f ca="1">39161.703366496*((RANDBETWEEN(2979,3282)))</f>
        <v>121910382.57990204</v>
      </c>
      <c r="B13193">
        <v>145516636.91470048</v>
      </c>
    </row>
    <row r="13194" spans="1:2" x14ac:dyDescent="0.25">
      <c r="A13194">
        <f ca="1">31392.924057755*((RANDBETWEEN(2979,3282)))</f>
        <v>102937397.98537849</v>
      </c>
      <c r="B13194">
        <v>158831164.84147087</v>
      </c>
    </row>
    <row r="13195" spans="1:2" x14ac:dyDescent="0.25">
      <c r="A13195">
        <f ca="1">29435.5674518969*((RANDBETWEEN(2979,3282)))</f>
        <v>92545424.068763986</v>
      </c>
      <c r="B13195">
        <v>176716600.9416731</v>
      </c>
    </row>
    <row r="13196" spans="1:2" x14ac:dyDescent="0.25">
      <c r="A13196">
        <f ca="1">31218.7391983703*((RANDBETWEEN(2979,3282)))</f>
        <v>98932184.519635379</v>
      </c>
      <c r="B13196">
        <v>153786899.90326494</v>
      </c>
    </row>
    <row r="13197" spans="1:2" x14ac:dyDescent="0.25">
      <c r="A13197">
        <f ca="1">31892.4624928309*((RANDBETWEEN(2979,3282)))</f>
        <v>104224567.42657143</v>
      </c>
      <c r="B13197">
        <v>179546527.63007948</v>
      </c>
    </row>
    <row r="13198" spans="1:2" x14ac:dyDescent="0.25">
      <c r="A13198">
        <f ca="1">32497.6782689238*((RANDBETWEEN(2979,3282)))</f>
        <v>98337974.441763356</v>
      </c>
      <c r="B13198">
        <v>175327091.45870471</v>
      </c>
    </row>
    <row r="13199" spans="1:2" x14ac:dyDescent="0.25">
      <c r="A13199">
        <f ca="1">30668.5297332525*((RANDBETWEEN(2979,3282)))</f>
        <v>92342943.026823252</v>
      </c>
      <c r="B13199">
        <v>199290503.7369248</v>
      </c>
    </row>
    <row r="13200" spans="1:2" x14ac:dyDescent="0.25">
      <c r="A13200">
        <f ca="1">31149.0368533307*((RANDBETWEEN(2979,3282)))</f>
        <v>102168840.87892465</v>
      </c>
      <c r="B13200">
        <v>165289533.50505772</v>
      </c>
    </row>
    <row r="13201" spans="1:2" x14ac:dyDescent="0.25">
      <c r="A13201">
        <f ca="1">29771.9686095075*((RANDBETWEEN(2979,3282)))</f>
        <v>95270299.550424129</v>
      </c>
      <c r="B13201">
        <v>194278518.24407053</v>
      </c>
    </row>
    <row r="13202" spans="1:2" x14ac:dyDescent="0.25">
      <c r="A13202">
        <f ca="1">32623.4149555704*((RANDBETWEEN(2979,3282)))</f>
        <v>102894250.76986907</v>
      </c>
      <c r="B13202">
        <v>181865571.46892613</v>
      </c>
    </row>
    <row r="13203" spans="1:2" x14ac:dyDescent="0.25">
      <c r="A13203">
        <f ca="1">31424.622813503*((RANDBETWEEN(2979,3282)))</f>
        <v>99678903.564431474</v>
      </c>
      <c r="B13203">
        <v>176272225.47268724</v>
      </c>
    </row>
    <row r="13204" spans="1:2" x14ac:dyDescent="0.25">
      <c r="A13204">
        <f ca="1">39546.1019284764*((RANDBETWEEN(2979,3282)))</f>
        <v>121999724.44934984</v>
      </c>
      <c r="B13204">
        <v>175764333.02143359</v>
      </c>
    </row>
    <row r="13205" spans="1:2" x14ac:dyDescent="0.25">
      <c r="A13205">
        <f ca="1">40566.4406875212*((RANDBETWEEN(2979,3282)))</f>
        <v>130258841.04763059</v>
      </c>
      <c r="B13205">
        <v>189698477.04331014</v>
      </c>
    </row>
    <row r="13206" spans="1:2" x14ac:dyDescent="0.25">
      <c r="A13206">
        <f ca="1">37549.4366078895*((RANDBETWEEN(2979,3282)))</f>
        <v>115652264.75229958</v>
      </c>
      <c r="B13206">
        <v>176931176.32170507</v>
      </c>
    </row>
    <row r="13207" spans="1:2" x14ac:dyDescent="0.25">
      <c r="A13207">
        <f ca="1">28249.4276220872*((RANDBETWEEN(2979,3282)))</f>
        <v>91556394.923184633</v>
      </c>
      <c r="B13207">
        <v>156289431.88912797</v>
      </c>
    </row>
    <row r="13208" spans="1:2" x14ac:dyDescent="0.25">
      <c r="A13208">
        <f ca="1">37337.4596087332*((RANDBETWEEN(2979,3282)))</f>
        <v>118285072.04046682</v>
      </c>
      <c r="B13208">
        <v>144897574.10902381</v>
      </c>
    </row>
    <row r="13209" spans="1:2" x14ac:dyDescent="0.25">
      <c r="A13209">
        <f ca="1">28767.1482132088*((RANDBETWEEN(2979,3282)))</f>
        <v>92831587.284024894</v>
      </c>
      <c r="B13209">
        <v>160713814.37883735</v>
      </c>
    </row>
    <row r="13210" spans="1:2" x14ac:dyDescent="0.25">
      <c r="A13210">
        <f ca="1">31343.2883233121*((RANDBETWEEN(2979,3282)))</f>
        <v>97226880.378914222</v>
      </c>
      <c r="B13210">
        <v>160380467.18465221</v>
      </c>
    </row>
    <row r="13211" spans="1:2" x14ac:dyDescent="0.25">
      <c r="A13211">
        <f ca="1">32232.087321022*((RANDBETWEEN(2979,3282)))</f>
        <v>104270802.48350632</v>
      </c>
      <c r="B13211">
        <v>149032752.6731309</v>
      </c>
    </row>
    <row r="13212" spans="1:2" x14ac:dyDescent="0.25">
      <c r="A13212">
        <f ca="1">39876.1789012143*((RANDBETWEEN(2979,3282)))</f>
        <v>122858507.19464114</v>
      </c>
      <c r="B13212">
        <v>167983651.57792848</v>
      </c>
    </row>
    <row r="13213" spans="1:2" x14ac:dyDescent="0.25">
      <c r="A13213">
        <f ca="1">29709.4018739393*((RANDBETWEEN(2979,3282)))</f>
        <v>90851350.930506513</v>
      </c>
      <c r="B13213">
        <v>175023714.43891045</v>
      </c>
    </row>
    <row r="13214" spans="1:2" x14ac:dyDescent="0.25">
      <c r="A13214">
        <f ca="1">33135.2801166137*((RANDBETWEEN(2979,3282)))</f>
        <v>103183262.283135</v>
      </c>
      <c r="B13214">
        <v>194589486.04056042</v>
      </c>
    </row>
    <row r="13215" spans="1:2" x14ac:dyDescent="0.25">
      <c r="A13215">
        <f ca="1">30677.744906569*((RANDBETWEEN(2979,3282)))</f>
        <v>97033707.139477789</v>
      </c>
      <c r="B13215">
        <v>147920451.81138471</v>
      </c>
    </row>
    <row r="13216" spans="1:2" x14ac:dyDescent="0.25">
      <c r="A13216">
        <f ca="1">30553.5785349125*((RANDBETWEEN(2979,3282)))</f>
        <v>93280075.267087907</v>
      </c>
      <c r="B13216">
        <v>151190372.10575542</v>
      </c>
    </row>
    <row r="13217" spans="1:2" x14ac:dyDescent="0.25">
      <c r="A13217">
        <f ca="1">35350.4810007297*((RANDBETWEEN(2979,3282)))</f>
        <v>106687751.66020212</v>
      </c>
      <c r="B13217">
        <v>165190648.40322307</v>
      </c>
    </row>
    <row r="13218" spans="1:2" x14ac:dyDescent="0.25">
      <c r="A13218">
        <f ca="1">31247.3119708998*((RANDBETWEEN(2979,3282)))</f>
        <v>98835247.763956204</v>
      </c>
      <c r="B13218">
        <v>171247979.31060874</v>
      </c>
    </row>
    <row r="13219" spans="1:2" x14ac:dyDescent="0.25">
      <c r="A13219">
        <f ca="1">32959.1679530775*((RANDBETWEEN(2979,3282)))</f>
        <v>101250563.95185411</v>
      </c>
      <c r="B13219">
        <v>173187537.31249565</v>
      </c>
    </row>
    <row r="13220" spans="1:2" x14ac:dyDescent="0.25">
      <c r="A13220">
        <f ca="1">33611.6659975238*((RANDBETWEEN(2979,3282)))</f>
        <v>110111817.80788806</v>
      </c>
      <c r="B13220">
        <v>152452397.89889887</v>
      </c>
    </row>
    <row r="13221" spans="1:2" x14ac:dyDescent="0.25">
      <c r="A13221">
        <f ca="1">39161.7570826869*((RANDBETWEEN(2979,3282)))</f>
        <v>123437858.32462926</v>
      </c>
      <c r="B13221">
        <v>153744991.80377889</v>
      </c>
    </row>
    <row r="13222" spans="1:2" x14ac:dyDescent="0.25">
      <c r="A13222">
        <f ca="1">39252.650988906*((RANDBETWEEN(2979,3282)))</f>
        <v>126158020.27834401</v>
      </c>
      <c r="B13222">
        <v>157908014.43453699</v>
      </c>
    </row>
    <row r="13223" spans="1:2" x14ac:dyDescent="0.25">
      <c r="A13223">
        <f ca="1">32296.7767741069*((RANDBETWEEN(2979,3282)))</f>
        <v>100216898.33005364</v>
      </c>
      <c r="B13223">
        <v>199949672.50446045</v>
      </c>
    </row>
    <row r="13224" spans="1:2" x14ac:dyDescent="0.25">
      <c r="A13224">
        <f ca="1">29166.2212768295*((RANDBETWEEN(2979,3282)))</f>
        <v>94848551.592249408</v>
      </c>
      <c r="B13224">
        <v>161601823.29815024</v>
      </c>
    </row>
    <row r="13225" spans="1:2" x14ac:dyDescent="0.25">
      <c r="A13225">
        <f ca="1">35086.4154832314*((RANDBETWEEN(2979,3282)))</f>
        <v>105329419.28066051</v>
      </c>
      <c r="B13225">
        <v>199431048.23019832</v>
      </c>
    </row>
    <row r="13226" spans="1:2" x14ac:dyDescent="0.25">
      <c r="A13226">
        <f ca="1">33603.3287642838*((RANDBETWEEN(2979,3282)))</f>
        <v>105951295.59378676</v>
      </c>
      <c r="B13226">
        <v>144491036.26782581</v>
      </c>
    </row>
    <row r="13227" spans="1:2" x14ac:dyDescent="0.25">
      <c r="A13227">
        <f ca="1">27795.2852712536*((RANDBETWEEN(2979,3282)))</f>
        <v>86665699.475768864</v>
      </c>
      <c r="B13227">
        <v>177124400.35154396</v>
      </c>
    </row>
    <row r="13228" spans="1:2" x14ac:dyDescent="0.25">
      <c r="A13228">
        <f ca="1">39280.0486766577*((RANDBETWEEN(2979,3282)))</f>
        <v>121846710.99499215</v>
      </c>
      <c r="B13228">
        <v>143172520.66768223</v>
      </c>
    </row>
    <row r="13229" spans="1:2" x14ac:dyDescent="0.25">
      <c r="A13229">
        <f ca="1">39583.0298616765*((RANDBETWEEN(2979,3282)))</f>
        <v>125042791.33303607</v>
      </c>
      <c r="B13229">
        <v>168056234.7683419</v>
      </c>
    </row>
    <row r="13230" spans="1:2" x14ac:dyDescent="0.25">
      <c r="A13230">
        <f ca="1">38932.3102535823*((RANDBETWEEN(2979,3282)))</f>
        <v>125284174.39602786</v>
      </c>
      <c r="B13230">
        <v>143807925.36276767</v>
      </c>
    </row>
    <row r="13231" spans="1:2" x14ac:dyDescent="0.25">
      <c r="A13231">
        <f ca="1">34000.6187524451*((RANDBETWEEN(2979,3282)))</f>
        <v>110264006.61417955</v>
      </c>
      <c r="B13231">
        <v>168348144.6094577</v>
      </c>
    </row>
    <row r="13232" spans="1:2" x14ac:dyDescent="0.25">
      <c r="A13232">
        <f ca="1">39516.4590642834*((RANDBETWEEN(2979,3282)))</f>
        <v>121117947.03202854</v>
      </c>
      <c r="B13232">
        <v>158263799.93630257</v>
      </c>
    </row>
    <row r="13233" spans="1:2" x14ac:dyDescent="0.25">
      <c r="A13233">
        <f ca="1">31514.9632907399*((RANDBETWEEN(2979,3282)))</f>
        <v>97192146.788641855</v>
      </c>
      <c r="B13233">
        <v>150449271.69974941</v>
      </c>
    </row>
    <row r="13234" spans="1:2" x14ac:dyDescent="0.25">
      <c r="A13234">
        <f ca="1">33360.7435354752*((RANDBETWEEN(2979,3282)))</f>
        <v>105953721.46866919</v>
      </c>
      <c r="B13234">
        <v>160612631.95441574</v>
      </c>
    </row>
    <row r="13235" spans="1:2" x14ac:dyDescent="0.25">
      <c r="A13235">
        <f ca="1">32784.8425160291*((RANDBETWEEN(2979,3282)))</f>
        <v>98846300.185827732</v>
      </c>
      <c r="B13235">
        <v>171812695.37027252</v>
      </c>
    </row>
    <row r="13236" spans="1:2" x14ac:dyDescent="0.25">
      <c r="A13236">
        <f ca="1">35587.3645382075*((RANDBETWEEN(2979,3282)))</f>
        <v>112562834.03435017</v>
      </c>
      <c r="B13236">
        <v>199290750.74412829</v>
      </c>
    </row>
    <row r="13237" spans="1:2" x14ac:dyDescent="0.25">
      <c r="A13237">
        <f ca="1">35980.4269481954*((RANDBETWEEN(2979,3282)))</f>
        <v>110855695.42738999</v>
      </c>
      <c r="B13237">
        <v>174287443.28815788</v>
      </c>
    </row>
    <row r="13238" spans="1:2" x14ac:dyDescent="0.25">
      <c r="A13238">
        <f ca="1">31423.6186299729*((RANDBETWEEN(2979,3282)))</f>
        <v>94553668.457588583</v>
      </c>
      <c r="B13238">
        <v>201593586.96948725</v>
      </c>
    </row>
    <row r="13239" spans="1:2" x14ac:dyDescent="0.25">
      <c r="A13239">
        <f ca="1">33639.4282121763*((RANDBETWEEN(2979,3282)))</f>
        <v>109328141.68957284</v>
      </c>
      <c r="B13239">
        <v>179636753.29187047</v>
      </c>
    </row>
    <row r="13240" spans="1:2" x14ac:dyDescent="0.25">
      <c r="A13240">
        <f ca="1">30471.4218431795*((RANDBETWEEN(2979,3282)))</f>
        <v>92937836.621697471</v>
      </c>
      <c r="B13240">
        <v>162090022.34741589</v>
      </c>
    </row>
    <row r="13241" spans="1:2" x14ac:dyDescent="0.25">
      <c r="A13241">
        <f ca="1">29067.0472133956*((RANDBETWEEN(2979,3282)))</f>
        <v>89090499.709057629</v>
      </c>
      <c r="B13241">
        <v>143178283.28953859</v>
      </c>
    </row>
    <row r="13242" spans="1:2" x14ac:dyDescent="0.25">
      <c r="A13242">
        <f ca="1">32997.3021009861*((RANDBETWEEN(2979,3282)))</f>
        <v>99750844.251281038</v>
      </c>
      <c r="B13242">
        <v>156847083.50072935</v>
      </c>
    </row>
    <row r="13243" spans="1:2" x14ac:dyDescent="0.25">
      <c r="A13243">
        <f ca="1">28751.3952476925*((RANDBETWEEN(2979,3282)))</f>
        <v>91630696.654396087</v>
      </c>
      <c r="B13243">
        <v>159854828.70862621</v>
      </c>
    </row>
    <row r="13244" spans="1:2" x14ac:dyDescent="0.25">
      <c r="A13244">
        <f ca="1">32302.0632191924*((RANDBETWEEN(2979,3282)))</f>
        <v>99490354.715112567</v>
      </c>
      <c r="B13244">
        <v>161997078.45274901</v>
      </c>
    </row>
    <row r="13245" spans="1:2" x14ac:dyDescent="0.25">
      <c r="A13245">
        <f ca="1">32506.5360408508*((RANDBETWEEN(2979,3282)))</f>
        <v>102655640.81700695</v>
      </c>
      <c r="B13245">
        <v>159518682.19525707</v>
      </c>
    </row>
    <row r="13246" spans="1:2" x14ac:dyDescent="0.25">
      <c r="A13246">
        <f ca="1">31406.3185300033*((RANDBETWEEN(2979,3282)))</f>
        <v>100029124.51806037</v>
      </c>
      <c r="B13246">
        <v>163903148.19780022</v>
      </c>
    </row>
    <row r="13247" spans="1:2" x14ac:dyDescent="0.25">
      <c r="A13247">
        <f ca="1">40180.232506644*((RANDBETWEEN(2979,3282)))</f>
        <v>124719441.70062284</v>
      </c>
      <c r="B13247">
        <v>155846014.75297052</v>
      </c>
    </row>
    <row r="13248" spans="1:2" x14ac:dyDescent="0.25">
      <c r="A13248">
        <f ca="1">37962.2028305028*((RANDBETWEEN(2979,3282)))</f>
        <v>121592935.66610061</v>
      </c>
      <c r="B13248">
        <v>198493300.71579191</v>
      </c>
    </row>
    <row r="13249" spans="1:2" x14ac:dyDescent="0.25">
      <c r="A13249">
        <f ca="1">31908.799744271*((RANDBETWEEN(2979,3282)))</f>
        <v>97130386.421560928</v>
      </c>
      <c r="B13249">
        <v>184439701.2434848</v>
      </c>
    </row>
    <row r="13250" spans="1:2" x14ac:dyDescent="0.25">
      <c r="A13250">
        <f ca="1">39231.6778540539*((RANDBETWEEN(2979,3282)))</f>
        <v>123579785.24026977</v>
      </c>
      <c r="B13250">
        <v>190569006.51981908</v>
      </c>
    </row>
    <row r="13251" spans="1:2" x14ac:dyDescent="0.25">
      <c r="A13251">
        <f ca="1">32058.6626378456*((RANDBETWEEN(2979,3282)))</f>
        <v>104222712.23563591</v>
      </c>
      <c r="B13251">
        <v>188293832.68717122</v>
      </c>
    </row>
    <row r="13252" spans="1:2" x14ac:dyDescent="0.25">
      <c r="A13252">
        <f ca="1">38246.3893457464*((RANDBETWEEN(2979,3282)))</f>
        <v>116689733.89387213</v>
      </c>
      <c r="B13252">
        <v>199235916.15574747</v>
      </c>
    </row>
    <row r="13253" spans="1:2" x14ac:dyDescent="0.25">
      <c r="A13253">
        <f ca="1">31824.8482228405*((RANDBETWEEN(2979,3282)))</f>
        <v>97511334.954783529</v>
      </c>
      <c r="B13253">
        <v>148644966.24027538</v>
      </c>
    </row>
    <row r="13254" spans="1:2" x14ac:dyDescent="0.25">
      <c r="A13254">
        <f ca="1">32487.1794305655*((RANDBETWEEN(2979,3282)))</f>
        <v>99833102.390127897</v>
      </c>
      <c r="B13254">
        <v>168299285.95893613</v>
      </c>
    </row>
    <row r="13255" spans="1:2" x14ac:dyDescent="0.25">
      <c r="A13255">
        <f ca="1">41695.7369441655*((RANDBETWEEN(2979,3282)))</f>
        <v>130090699.26579626</v>
      </c>
      <c r="B13255">
        <v>162948622.90161073</v>
      </c>
    </row>
    <row r="13256" spans="1:2" x14ac:dyDescent="0.25">
      <c r="A13256">
        <f ca="1">35139.6859560736*((RANDBETWEEN(2979,3282)))</f>
        <v>106754365.93455166</v>
      </c>
      <c r="B13256">
        <v>193403467.96288246</v>
      </c>
    </row>
    <row r="13257" spans="1:2" x14ac:dyDescent="0.25">
      <c r="A13257">
        <f ca="1">30119.4765656779*((RANDBETWEEN(2979,3282)))</f>
        <v>93310138.400470048</v>
      </c>
      <c r="B13257">
        <v>198435811.87961739</v>
      </c>
    </row>
    <row r="13258" spans="1:2" x14ac:dyDescent="0.25">
      <c r="A13258">
        <f ca="1">31803.5305925647*((RANDBETWEEN(2979,3282)))</f>
        <v>103520492.07879807</v>
      </c>
      <c r="B13258">
        <v>158875382.78328711</v>
      </c>
    </row>
    <row r="13259" spans="1:2" x14ac:dyDescent="0.25">
      <c r="A13259">
        <f ca="1">32140.5203109287*((RANDBETWEEN(2979,3282)))</f>
        <v>100182001.80916476</v>
      </c>
      <c r="B13259">
        <v>187532203.64422429</v>
      </c>
    </row>
    <row r="13260" spans="1:2" x14ac:dyDescent="0.25">
      <c r="A13260">
        <f ca="1">33275.7501274332*((RANDBETWEEN(2979,3282)))</f>
        <v>106548951.90804112</v>
      </c>
      <c r="B13260">
        <v>157340064.65885848</v>
      </c>
    </row>
    <row r="13261" spans="1:2" x14ac:dyDescent="0.25">
      <c r="A13261">
        <f ca="1">39873.8508321425*((RANDBETWEEN(2979,3282)))</f>
        <v>125881747.07707372</v>
      </c>
      <c r="B13261">
        <v>153671148.06142956</v>
      </c>
    </row>
    <row r="13262" spans="1:2" x14ac:dyDescent="0.25">
      <c r="A13262">
        <f ca="1">35066.1069727027*((RANDBETWEEN(2979,3282)))</f>
        <v>108108807.79684256</v>
      </c>
      <c r="B13262">
        <v>161123829.05917412</v>
      </c>
    </row>
    <row r="13263" spans="1:2" x14ac:dyDescent="0.25">
      <c r="A13263">
        <f ca="1">34028.4117267544*((RANDBETWEEN(2979,3282)))</f>
        <v>103684570.53142072</v>
      </c>
      <c r="B13263">
        <v>154771547.33044687</v>
      </c>
    </row>
    <row r="13264" spans="1:2" x14ac:dyDescent="0.25">
      <c r="A13264">
        <f ca="1">31819.3597739833*((RANDBETWEEN(2979,3282)))</f>
        <v>101917409.35606845</v>
      </c>
      <c r="B13264">
        <v>156635659.5154627</v>
      </c>
    </row>
    <row r="13265" spans="1:2" x14ac:dyDescent="0.25">
      <c r="A13265">
        <f ca="1">31068.7254187187*((RANDBETWEEN(2979,3282)))</f>
        <v>98829615.556944221</v>
      </c>
      <c r="B13265">
        <v>145895701.82837808</v>
      </c>
    </row>
    <row r="13266" spans="1:2" x14ac:dyDescent="0.25">
      <c r="A13266">
        <f ca="1">29986.5050424424*((RANDBETWEEN(2979,3282)))</f>
        <v>97516114.398022562</v>
      </c>
      <c r="B13266">
        <v>163876922.17240477</v>
      </c>
    </row>
    <row r="13267" spans="1:2" x14ac:dyDescent="0.25">
      <c r="A13267">
        <f ca="1">33624.1336190653*((RANDBETWEEN(2979,3282)))</f>
        <v>100603407.78824344</v>
      </c>
      <c r="B13267">
        <v>165707372.6392107</v>
      </c>
    </row>
    <row r="13268" spans="1:2" x14ac:dyDescent="0.25">
      <c r="A13268">
        <f ca="1">32279.8206973311*((RANDBETWEEN(2979,3282)))</f>
        <v>99583246.85126631</v>
      </c>
      <c r="B13268">
        <v>188596500.2601701</v>
      </c>
    </row>
    <row r="13269" spans="1:2" x14ac:dyDescent="0.25">
      <c r="A13269">
        <f ca="1">35496.525216609*((RANDBETWEEN(2979,3282)))</f>
        <v>114263314.67226429</v>
      </c>
      <c r="B13269">
        <v>143045194.16547927</v>
      </c>
    </row>
    <row r="13270" spans="1:2" x14ac:dyDescent="0.25">
      <c r="A13270">
        <f ca="1">30119.31018204*((RANDBETWEEN(2979,3282)))</f>
        <v>98460024.985088781</v>
      </c>
      <c r="B13270">
        <v>171866858.49792477</v>
      </c>
    </row>
    <row r="13271" spans="1:2" x14ac:dyDescent="0.25">
      <c r="A13271">
        <f ca="1">36231.2914528204*((RANDBETWEEN(2979,3282)))</f>
        <v>118114010.13619454</v>
      </c>
      <c r="B13271">
        <v>155793757.44564855</v>
      </c>
    </row>
    <row r="13272" spans="1:2" x14ac:dyDescent="0.25">
      <c r="A13272">
        <f ca="1">28566.8686991512*((RANDBETWEEN(2979,3282)))</f>
        <v>92013884.079966068</v>
      </c>
      <c r="B13272">
        <v>185029910.40490264</v>
      </c>
    </row>
    <row r="13273" spans="1:2" x14ac:dyDescent="0.25">
      <c r="A13273">
        <f ca="1">28816.2791813456*((RANDBETWEEN(2979,3282)))</f>
        <v>92846051.522295535</v>
      </c>
      <c r="B13273">
        <v>171679949.2530151</v>
      </c>
    </row>
    <row r="13274" spans="1:2" x14ac:dyDescent="0.25">
      <c r="A13274">
        <f ca="1">29566.993412689*((RANDBETWEEN(2979,3282)))</f>
        <v>90031494.941637874</v>
      </c>
      <c r="B13274">
        <v>166078478.36169899</v>
      </c>
    </row>
    <row r="13275" spans="1:2" x14ac:dyDescent="0.25">
      <c r="A13275">
        <f ca="1">32582.221734367*((RANDBETWEEN(2979,3282)))</f>
        <v>106446118.406177</v>
      </c>
      <c r="B13275">
        <v>151404185.81037548</v>
      </c>
    </row>
    <row r="13276" spans="1:2" x14ac:dyDescent="0.25">
      <c r="A13276">
        <f ca="1">33182.7819679807*((RANDBETWEEN(2979,3282)))</f>
        <v>104758042.67291512</v>
      </c>
      <c r="B13276">
        <v>153291122.60355297</v>
      </c>
    </row>
    <row r="13277" spans="1:2" x14ac:dyDescent="0.25">
      <c r="A13277">
        <f ca="1">30554.1975146377*((RANDBETWEEN(2979,3282)))</f>
        <v>92915314.642013237</v>
      </c>
      <c r="B13277">
        <v>173681324.97957528</v>
      </c>
    </row>
    <row r="13278" spans="1:2" x14ac:dyDescent="0.25">
      <c r="A13278">
        <f ca="1">29826.245075746*((RANDBETWEEN(2979,3282)))</f>
        <v>95294853.017008439</v>
      </c>
      <c r="B13278">
        <v>195124091.13217631</v>
      </c>
    </row>
    <row r="13279" spans="1:2" x14ac:dyDescent="0.25">
      <c r="A13279">
        <f ca="1">30493.1566907122*((RANDBETWEEN(2979,3282)))</f>
        <v>97090210.903227776</v>
      </c>
      <c r="B13279">
        <v>171827920.73792624</v>
      </c>
    </row>
    <row r="13280" spans="1:2" x14ac:dyDescent="0.25">
      <c r="A13280">
        <f ca="1">31110.754359309*((RANDBETWEEN(2979,3282)))</f>
        <v>99274417.160555065</v>
      </c>
      <c r="B13280">
        <v>162781114.47058573</v>
      </c>
    </row>
    <row r="13281" spans="1:2" x14ac:dyDescent="0.25">
      <c r="A13281">
        <f ca="1">37059.9430624659*((RANDBETWEEN(2979,3282)))</f>
        <v>118888297.34439072</v>
      </c>
      <c r="B13281">
        <v>170074015.1328665</v>
      </c>
    </row>
    <row r="13282" spans="1:2" x14ac:dyDescent="0.25">
      <c r="A13282">
        <f ca="1">34017.1436442156*((RANDBETWEEN(2979,3282)))</f>
        <v>106405625.31910628</v>
      </c>
      <c r="B13282">
        <v>196117362.54576808</v>
      </c>
    </row>
    <row r="13283" spans="1:2" x14ac:dyDescent="0.25">
      <c r="A13283">
        <f ca="1">41848.9781547205*((RANDBETWEEN(2979,3282)))</f>
        <v>127346440.52481441</v>
      </c>
      <c r="B13283">
        <v>186641017.35744908</v>
      </c>
    </row>
    <row r="13284" spans="1:2" x14ac:dyDescent="0.25">
      <c r="A13284">
        <f ca="1">38667.4656581591*((RANDBETWEEN(2979,3282)))</f>
        <v>126674617.4961292</v>
      </c>
      <c r="B13284">
        <v>171741125.77344191</v>
      </c>
    </row>
    <row r="13285" spans="1:2" x14ac:dyDescent="0.25">
      <c r="A13285">
        <f ca="1">31140.9460105325*((RANDBETWEEN(2979,3282)))</f>
        <v>100896665.07412532</v>
      </c>
      <c r="B13285">
        <v>154343002.8169927</v>
      </c>
    </row>
    <row r="13286" spans="1:2" x14ac:dyDescent="0.25">
      <c r="A13286">
        <f ca="1">29189.5954082978*((RANDBETWEEN(2979,3282)))</f>
        <v>89991522.643782005</v>
      </c>
      <c r="B13286">
        <v>147364073.77204126</v>
      </c>
    </row>
    <row r="13287" spans="1:2" x14ac:dyDescent="0.25">
      <c r="A13287">
        <f ca="1">30698.6614372639*((RANDBETWEEN(2979,3282)))</f>
        <v>97683140.693373635</v>
      </c>
      <c r="B13287">
        <v>157999866.67815873</v>
      </c>
    </row>
    <row r="13288" spans="1:2" x14ac:dyDescent="0.25">
      <c r="A13288">
        <f ca="1">36851.6927169503*((RANDBETWEEN(2979,3282)))</f>
        <v>115935425.2875257</v>
      </c>
      <c r="B13288">
        <v>150820833.25472617</v>
      </c>
    </row>
    <row r="13289" spans="1:2" x14ac:dyDescent="0.25">
      <c r="A13289">
        <f ca="1">32121.546343654*((RANDBETWEEN(2979,3282)))</f>
        <v>104041688.60709524</v>
      </c>
      <c r="B13289">
        <v>159651785.69977635</v>
      </c>
    </row>
    <row r="13290" spans="1:2" x14ac:dyDescent="0.25">
      <c r="A13290">
        <f ca="1">32671.8597220525*((RANDBETWEEN(2979,3282)))</f>
        <v>97688860.568936989</v>
      </c>
      <c r="B13290">
        <v>173505250.27224243</v>
      </c>
    </row>
    <row r="13291" spans="1:2" x14ac:dyDescent="0.25">
      <c r="A13291">
        <f ca="1">32871.4538699759*((RANDBETWEEN(2979,3282)))</f>
        <v>100816749.01921596</v>
      </c>
      <c r="B13291">
        <v>198334452.91050974</v>
      </c>
    </row>
    <row r="13292" spans="1:2" x14ac:dyDescent="0.25">
      <c r="A13292">
        <f ca="1">35863.9291320246*((RANDBETWEEN(2979,3282)))</f>
        <v>109958806.71878752</v>
      </c>
      <c r="B13292">
        <v>186805389.90005794</v>
      </c>
    </row>
    <row r="13293" spans="1:2" x14ac:dyDescent="0.25">
      <c r="A13293">
        <f ca="1">31046.4841440886*((RANDBETWEEN(2979,3282)))</f>
        <v>93512010.241994917</v>
      </c>
      <c r="B13293">
        <v>149535297.01009804</v>
      </c>
    </row>
    <row r="13294" spans="1:2" x14ac:dyDescent="0.25">
      <c r="A13294">
        <f ca="1">39698.8231947782*((RANDBETWEEN(2979,3282)))</f>
        <v>127036234.22329037</v>
      </c>
      <c r="B13294">
        <v>165624612.02544606</v>
      </c>
    </row>
    <row r="13295" spans="1:2" x14ac:dyDescent="0.25">
      <c r="A13295">
        <f ca="1">28963.4712974447*((RANDBETWEEN(2979,3282)))</f>
        <v>87093158.191416144</v>
      </c>
      <c r="B13295">
        <v>190493506.76249993</v>
      </c>
    </row>
    <row r="13296" spans="1:2" x14ac:dyDescent="0.25">
      <c r="A13296">
        <f ca="1">31025.6884413986*((RANDBETWEEN(2979,3282)))</f>
        <v>101081692.94207673</v>
      </c>
      <c r="B13296">
        <v>196878080.4503082</v>
      </c>
    </row>
    <row r="13297" spans="1:2" x14ac:dyDescent="0.25">
      <c r="A13297">
        <f ca="1">38247.677398107*((RANDBETWEEN(2979,3282)))</f>
        <v>119332753.48209372</v>
      </c>
      <c r="B13297">
        <v>190963959.45667955</v>
      </c>
    </row>
    <row r="13298" spans="1:2" x14ac:dyDescent="0.25">
      <c r="A13298">
        <f ca="1">35566.6030176566*((RANDBETWEEN(2979,3282)))</f>
        <v>112781698.16898899</v>
      </c>
      <c r="B13298">
        <v>183193162.59763622</v>
      </c>
    </row>
    <row r="13299" spans="1:2" x14ac:dyDescent="0.25">
      <c r="A13299">
        <f ca="1">32058.0188401311*((RANDBETWEEN(2979,3282)))</f>
        <v>100533947.08265106</v>
      </c>
      <c r="B13299">
        <v>191669788.32435068</v>
      </c>
    </row>
    <row r="13300" spans="1:2" x14ac:dyDescent="0.25">
      <c r="A13300">
        <f ca="1">30724.0589265008*((RANDBETWEEN(2979,3282)))</f>
        <v>91619143.718825251</v>
      </c>
      <c r="B13300">
        <v>154665589.08952802</v>
      </c>
    </row>
    <row r="13301" spans="1:2" x14ac:dyDescent="0.25">
      <c r="A13301">
        <f ca="1">30112.1689462525*((RANDBETWEEN(2979,3282)))</f>
        <v>98346343.778460622</v>
      </c>
      <c r="B13301">
        <v>144943803.50398505</v>
      </c>
    </row>
    <row r="13302" spans="1:2" x14ac:dyDescent="0.25">
      <c r="A13302">
        <f ca="1">34004.5437795948*((RANDBETWEEN(2979,3282)))</f>
        <v>107080308.361944</v>
      </c>
      <c r="B13302">
        <v>187073329.63524416</v>
      </c>
    </row>
    <row r="13303" spans="1:2" x14ac:dyDescent="0.25">
      <c r="A13303">
        <f ca="1">34216.858797628*((RANDBETWEEN(2979,3282)))</f>
        <v>107988406.36531411</v>
      </c>
      <c r="B13303">
        <v>149861296.98023897</v>
      </c>
    </row>
    <row r="13304" spans="1:2" x14ac:dyDescent="0.25">
      <c r="A13304">
        <f ca="1">31272.6422244522*((RANDBETWEEN(2979,3282)))</f>
        <v>94975014.435661182</v>
      </c>
      <c r="B13304">
        <v>167788181.70274699</v>
      </c>
    </row>
    <row r="13305" spans="1:2" x14ac:dyDescent="0.25">
      <c r="A13305">
        <f ca="1">39051.5792502671*((RANDBETWEEN(2979,3282)))</f>
        <v>126761426.24636696</v>
      </c>
      <c r="B13305">
        <v>196820295.38365334</v>
      </c>
    </row>
    <row r="13306" spans="1:2" x14ac:dyDescent="0.25">
      <c r="A13306">
        <f ca="1">31671.6029698039*((RANDBETWEEN(2979,3282)))</f>
        <v>99638862.943003178</v>
      </c>
      <c r="B13306">
        <v>154917588.62947595</v>
      </c>
    </row>
    <row r="13307" spans="1:2" x14ac:dyDescent="0.25">
      <c r="A13307">
        <f ca="1">34379.1033614061*((RANDBETWEEN(2979,3282)))</f>
        <v>107125286.0741415</v>
      </c>
      <c r="B13307">
        <v>174814686.17726642</v>
      </c>
    </row>
    <row r="13308" spans="1:2" x14ac:dyDescent="0.25">
      <c r="A13308">
        <f ca="1">28009.3936194138*((RANDBETWEEN(2979,3282)))</f>
        <v>83776096.31566669</v>
      </c>
      <c r="B13308">
        <v>176166832.23491025</v>
      </c>
    </row>
    <row r="13309" spans="1:2" x14ac:dyDescent="0.25">
      <c r="A13309">
        <f ca="1">38247.3220363743*((RANDBETWEEN(2979,3282)))</f>
        <v>115430417.90577756</v>
      </c>
      <c r="B13309">
        <v>151741459.50815392</v>
      </c>
    </row>
    <row r="13310" spans="1:2" x14ac:dyDescent="0.25">
      <c r="A13310">
        <f ca="1">41045.5364197065*((RANDBETWEEN(2979,3282)))</f>
        <v>132248718.34429441</v>
      </c>
      <c r="B13310">
        <v>149765769.07372451</v>
      </c>
    </row>
    <row r="13311" spans="1:2" x14ac:dyDescent="0.25">
      <c r="A13311">
        <f ca="1">31944.1160715996*((RANDBETWEEN(2979,3282)))</f>
        <v>95193465.893366948</v>
      </c>
      <c r="B13311">
        <v>146117783.35154226</v>
      </c>
    </row>
    <row r="13312" spans="1:2" x14ac:dyDescent="0.25">
      <c r="A13312">
        <f ca="1">34428.9204995346*((RANDBETWEEN(2979,3282)))</f>
        <v>109828256.39351539</v>
      </c>
      <c r="B13312">
        <v>158318337.71285886</v>
      </c>
    </row>
    <row r="13313" spans="1:2" x14ac:dyDescent="0.25">
      <c r="A13313">
        <f ca="1">32569.1979679141*((RANDBETWEEN(2979,3282)))</f>
        <v>106012739.38556024</v>
      </c>
      <c r="B13313">
        <v>192909825.30291492</v>
      </c>
    </row>
    <row r="13314" spans="1:2" x14ac:dyDescent="0.25">
      <c r="A13314">
        <f ca="1">29158.6840845279*((RANDBETWEEN(2979,3282)))</f>
        <v>91791537.498093978</v>
      </c>
      <c r="B13314">
        <v>151804737.5922814</v>
      </c>
    </row>
    <row r="13315" spans="1:2" x14ac:dyDescent="0.25">
      <c r="A13315">
        <f ca="1">32956.6137631936*((RANDBETWEEN(2979,3282)))</f>
        <v>105230467.74587731</v>
      </c>
      <c r="B13315">
        <v>146703671.5448876</v>
      </c>
    </row>
    <row r="13316" spans="1:2" x14ac:dyDescent="0.25">
      <c r="A13316">
        <f ca="1">41670.2964880793*((RANDBETWEEN(2979,3282)))</f>
        <v>125969306.28346364</v>
      </c>
      <c r="B13316">
        <v>143360722.52923936</v>
      </c>
    </row>
    <row r="13317" spans="1:2" x14ac:dyDescent="0.25">
      <c r="A13317">
        <f ca="1">31248.4244252841*((RANDBETWEEN(2979,3282)))</f>
        <v>99151250.701426357</v>
      </c>
      <c r="B13317">
        <v>196627333.3284837</v>
      </c>
    </row>
    <row r="13318" spans="1:2" x14ac:dyDescent="0.25">
      <c r="A13318">
        <f ca="1">31938.6884521306*((RANDBETWEEN(2979,3282)))</f>
        <v>98562792.56327498</v>
      </c>
      <c r="B13318">
        <v>173572929.83200824</v>
      </c>
    </row>
    <row r="13319" spans="1:2" x14ac:dyDescent="0.25">
      <c r="A13319">
        <f ca="1">33503.4866891116*((RANDBETWEEN(2979,3282)))</f>
        <v>105971528.39766008</v>
      </c>
      <c r="B13319">
        <v>192309738.74436802</v>
      </c>
    </row>
    <row r="13320" spans="1:2" x14ac:dyDescent="0.25">
      <c r="A13320">
        <f ca="1">32001.281431102*((RANDBETWEEN(2979,3282)))</f>
        <v>95651830.197563916</v>
      </c>
      <c r="B13320">
        <v>151295829.9222911</v>
      </c>
    </row>
    <row r="13321" spans="1:2" x14ac:dyDescent="0.25">
      <c r="A13321">
        <f ca="1">31815.6305300735*((RANDBETWEEN(2979,3282)))</f>
        <v>98755717.165348053</v>
      </c>
      <c r="B13321">
        <v>178942669.48888049</v>
      </c>
    </row>
    <row r="13322" spans="1:2" x14ac:dyDescent="0.25">
      <c r="A13322">
        <f ca="1">37692.2616969526*((RANDBETWEEN(2979,3282)))</f>
        <v>120502160.64515753</v>
      </c>
      <c r="B13322">
        <v>179971015.69763166</v>
      </c>
    </row>
    <row r="13323" spans="1:2" x14ac:dyDescent="0.25">
      <c r="A13323">
        <f ca="1">31510.3933652759*((RANDBETWEEN(2979,3282)))</f>
        <v>94342117.735636026</v>
      </c>
      <c r="B13323">
        <v>144688258.92374107</v>
      </c>
    </row>
    <row r="13324" spans="1:2" x14ac:dyDescent="0.25">
      <c r="A13324">
        <f ca="1">29466.6247102671*((RANDBETWEEN(2979,3282)))</f>
        <v>95442397.436555222</v>
      </c>
      <c r="B13324">
        <v>171574004.3018088</v>
      </c>
    </row>
    <row r="13325" spans="1:2" x14ac:dyDescent="0.25">
      <c r="A13325">
        <f ca="1">28594.6689836222*((RANDBETWEEN(2979,3282)))</f>
        <v>89358340.573819235</v>
      </c>
      <c r="B13325">
        <v>152354348.99175796</v>
      </c>
    </row>
    <row r="13326" spans="1:2" x14ac:dyDescent="0.25">
      <c r="A13326">
        <f ca="1">28649.3287436183*((RANDBETWEEN(2979,3282)))</f>
        <v>86119882.203316763</v>
      </c>
      <c r="B13326">
        <v>187215028.17643622</v>
      </c>
    </row>
    <row r="13327" spans="1:2" x14ac:dyDescent="0.25">
      <c r="A13327">
        <f ca="1">30989.6603917341*((RANDBETWEEN(2979,3282)))</f>
        <v>94177577.930480033</v>
      </c>
      <c r="B13327">
        <v>171528538.09319463</v>
      </c>
    </row>
    <row r="13328" spans="1:2" x14ac:dyDescent="0.25">
      <c r="A13328">
        <f ca="1">39160.6766400871*((RANDBETWEEN(2979,3282)))</f>
        <v>117951958.03994237</v>
      </c>
      <c r="B13328">
        <v>143086396.88759589</v>
      </c>
    </row>
    <row r="13329" spans="1:2" x14ac:dyDescent="0.25">
      <c r="A13329">
        <f ca="1">31141.8653241375*((RANDBETWEEN(2979,3282)))</f>
        <v>99747394.633212268</v>
      </c>
      <c r="B13329">
        <v>152301777.92002562</v>
      </c>
    </row>
    <row r="13330" spans="1:2" x14ac:dyDescent="0.25">
      <c r="A13330">
        <f ca="1">34313.4160175045*((RANDBETWEEN(2979,3282)))</f>
        <v>107092171.39063156</v>
      </c>
      <c r="B13330">
        <v>167539841.33615083</v>
      </c>
    </row>
    <row r="13331" spans="1:2" x14ac:dyDescent="0.25">
      <c r="A13331">
        <f ca="1">35311.5611753873*((RANDBETWEEN(2979,3282)))</f>
        <v>105369698.54735562</v>
      </c>
      <c r="B13331">
        <v>194374842.30913514</v>
      </c>
    </row>
    <row r="13332" spans="1:2" x14ac:dyDescent="0.25">
      <c r="A13332">
        <f ca="1">35683.3876336196*((RANDBETWEEN(2979,3282)))</f>
        <v>107763830.65353112</v>
      </c>
      <c r="B13332">
        <v>148982806.20266563</v>
      </c>
    </row>
    <row r="13333" spans="1:2" x14ac:dyDescent="0.25">
      <c r="A13333">
        <f ca="1">30681.5834786357*((RANDBETWEEN(2979,3282)))</f>
        <v>94468595.530719385</v>
      </c>
      <c r="B13333">
        <v>151357234.18719572</v>
      </c>
    </row>
    <row r="13334" spans="1:2" x14ac:dyDescent="0.25">
      <c r="A13334">
        <f ca="1">28049.9311956204*((RANDBETWEEN(2979,3282)))</f>
        <v>87151136.224792466</v>
      </c>
      <c r="B13334">
        <v>162009347.54211089</v>
      </c>
    </row>
    <row r="13335" spans="1:2" x14ac:dyDescent="0.25">
      <c r="A13335">
        <f ca="1">39483.5504722526*((RANDBETWEEN(2979,3282)))</f>
        <v>119398256.62809192</v>
      </c>
      <c r="B13335">
        <v>161630200.29948041</v>
      </c>
    </row>
    <row r="13336" spans="1:2" x14ac:dyDescent="0.25">
      <c r="A13336">
        <f ca="1">40443.8273398705*((RANDBETWEEN(2979,3282)))</f>
        <v>125092757.96221945</v>
      </c>
      <c r="B13336">
        <v>163630385.11178914</v>
      </c>
    </row>
    <row r="13337" spans="1:2" x14ac:dyDescent="0.25">
      <c r="A13337">
        <f ca="1">35571.2400770318*((RANDBETWEEN(2979,3282)))</f>
        <v>108492282.23494714</v>
      </c>
      <c r="B13337">
        <v>145141484.21746123</v>
      </c>
    </row>
    <row r="13338" spans="1:2" x14ac:dyDescent="0.25">
      <c r="A13338">
        <f ca="1">30461.2992646127*((RANDBETWEEN(2979,3282)))</f>
        <v>97841693.237935945</v>
      </c>
      <c r="B13338">
        <v>167875665.65890431</v>
      </c>
    </row>
    <row r="13339" spans="1:2" x14ac:dyDescent="0.25">
      <c r="A13339">
        <f ca="1">31339.1633571456*((RANDBETWEEN(2979,3282)))</f>
        <v>96618640.630079836</v>
      </c>
      <c r="B13339">
        <v>186128985.43189633</v>
      </c>
    </row>
    <row r="13340" spans="1:2" x14ac:dyDescent="0.25">
      <c r="A13340">
        <f ca="1">34746.8536034993*((RANDBETWEEN(2979,3282)))</f>
        <v>103927839.12806648</v>
      </c>
      <c r="B13340">
        <v>177360342.1874533</v>
      </c>
    </row>
    <row r="13341" spans="1:2" x14ac:dyDescent="0.25">
      <c r="A13341">
        <f ca="1">30172.2056548863*((RANDBETWEEN(2979,3282)))</f>
        <v>95947613.982538521</v>
      </c>
      <c r="B13341">
        <v>160760896.61711895</v>
      </c>
    </row>
    <row r="13342" spans="1:2" x14ac:dyDescent="0.25">
      <c r="A13342">
        <f ca="1">28453.3679480289*((RANDBETWEEN(2979,3282)))</f>
        <v>85132476.900502399</v>
      </c>
      <c r="B13342">
        <v>153693897.49467289</v>
      </c>
    </row>
    <row r="13343" spans="1:2" x14ac:dyDescent="0.25">
      <c r="A13343">
        <f ca="1">37723.2230631381*((RANDBETWEEN(2979,3282)))</f>
        <v>120752037.02510513</v>
      </c>
      <c r="B13343">
        <v>143519017.19778723</v>
      </c>
    </row>
    <row r="13344" spans="1:2" x14ac:dyDescent="0.25">
      <c r="A13344">
        <f ca="1">41270.5071634289*((RANDBETWEEN(2979,3282)))</f>
        <v>130910048.72239651</v>
      </c>
      <c r="B13344">
        <v>168532434.08583438</v>
      </c>
    </row>
    <row r="13345" spans="1:2" x14ac:dyDescent="0.25">
      <c r="A13345">
        <f ca="1">40741.6895678852*((RANDBETWEEN(2979,3282)))</f>
        <v>126788137.9352587</v>
      </c>
      <c r="B13345">
        <v>174870233.32129127</v>
      </c>
    </row>
    <row r="13346" spans="1:2" x14ac:dyDescent="0.25">
      <c r="A13346">
        <f ca="1">30073.2705089678*((RANDBETWEEN(2979,3282)))</f>
        <v>95783366.571062312</v>
      </c>
      <c r="B13346">
        <v>195712105.80386269</v>
      </c>
    </row>
    <row r="13347" spans="1:2" x14ac:dyDescent="0.25">
      <c r="A13347">
        <f ca="1">31276.4881086104*((RANDBETWEEN(2979,3282)))</f>
        <v>99615614.625924051</v>
      </c>
      <c r="B13347">
        <v>144597686.29328039</v>
      </c>
    </row>
    <row r="13348" spans="1:2" x14ac:dyDescent="0.25">
      <c r="A13348">
        <f ca="1">32239.8569421998*((RANDBETWEEN(2979,3282)))</f>
        <v>96074773.687755272</v>
      </c>
      <c r="B13348">
        <v>189585965.34727439</v>
      </c>
    </row>
    <row r="13349" spans="1:2" x14ac:dyDescent="0.25">
      <c r="A13349">
        <f ca="1">38668.1362833753*((RANDBETWEEN(2979,3282)))</f>
        <v>124704739.51388524</v>
      </c>
      <c r="B13349">
        <v>183535575.4835161</v>
      </c>
    </row>
    <row r="13350" spans="1:2" x14ac:dyDescent="0.25">
      <c r="A13350">
        <f ca="1">30150.972243132*((RANDBETWEEN(2979,3282)))</f>
        <v>93287108.120250404</v>
      </c>
      <c r="B13350">
        <v>143183395.33430445</v>
      </c>
    </row>
    <row r="13351" spans="1:2" x14ac:dyDescent="0.25">
      <c r="A13351">
        <f ca="1">29193.40178776*((RANDBETWEEN(2979,3282)))</f>
        <v>94294687.774464786</v>
      </c>
      <c r="B13351">
        <v>162065736.64216566</v>
      </c>
    </row>
    <row r="13352" spans="1:2" x14ac:dyDescent="0.25">
      <c r="A13352">
        <f ca="1">34877.993155603*((RANDBETWEEN(2979,3282)))</f>
        <v>106168611.16565542</v>
      </c>
      <c r="B13352">
        <v>162878137.52796805</v>
      </c>
    </row>
    <row r="13353" spans="1:2" x14ac:dyDescent="0.25">
      <c r="A13353">
        <f ca="1">31211.8709394099*((RANDBETWEEN(2979,3282)))</f>
        <v>101750699.26247621</v>
      </c>
      <c r="B13353">
        <v>145780671.90280956</v>
      </c>
    </row>
    <row r="13354" spans="1:2" x14ac:dyDescent="0.25">
      <c r="A13354">
        <f ca="1">31501.7070106963*((RANDBETWEEN(2979,3282)))</f>
        <v>102160035.83568797</v>
      </c>
      <c r="B13354">
        <v>181230315.87937316</v>
      </c>
    </row>
    <row r="13355" spans="1:2" x14ac:dyDescent="0.25">
      <c r="A13355">
        <f ca="1">29884.5922820479*((RANDBETWEEN(2979,3282)))</f>
        <v>96855963.586117223</v>
      </c>
      <c r="B13355">
        <v>196034103.18699437</v>
      </c>
    </row>
    <row r="13356" spans="1:2" x14ac:dyDescent="0.25">
      <c r="A13356">
        <f ca="1">31224.6223233862*((RANDBETWEEN(2979,3282)))</f>
        <v>100043689.9241295</v>
      </c>
      <c r="B13356">
        <v>173550112.10715252</v>
      </c>
    </row>
    <row r="13357" spans="1:2" x14ac:dyDescent="0.25">
      <c r="A13357">
        <f ca="1">30642.9790091246*((RANDBETWEEN(2979,3282)))</f>
        <v>94104588.537021667</v>
      </c>
      <c r="B13357">
        <v>146371214.91142535</v>
      </c>
    </row>
    <row r="13358" spans="1:2" x14ac:dyDescent="0.25">
      <c r="A13358">
        <f ca="1">34620.9796630245*((RANDBETWEEN(2979,3282)))</f>
        <v>111410312.55561285</v>
      </c>
      <c r="B13358">
        <v>144849403.24401891</v>
      </c>
    </row>
    <row r="13359" spans="1:2" x14ac:dyDescent="0.25">
      <c r="A13359">
        <f ca="1">32876.7912908055*((RANDBETWEEN(2979,3282)))</f>
        <v>106126282.2867202</v>
      </c>
      <c r="B13359">
        <v>154054550.34053874</v>
      </c>
    </row>
    <row r="13360" spans="1:2" x14ac:dyDescent="0.25">
      <c r="A13360">
        <f ca="1">30276.8233568143*((RANDBETWEEN(2979,3282)))</f>
        <v>90497425.013517857</v>
      </c>
      <c r="B13360">
        <v>143696652.53907558</v>
      </c>
    </row>
    <row r="13361" spans="1:2" x14ac:dyDescent="0.25">
      <c r="A13361">
        <f ca="1">30963.8987367705*((RANDBETWEEN(2979,3282)))</f>
        <v>99982429.021031976</v>
      </c>
      <c r="B13361">
        <v>192022666.35906476</v>
      </c>
    </row>
    <row r="13362" spans="1:2" x14ac:dyDescent="0.25">
      <c r="A13362">
        <f ca="1">38306.5008964888*((RANDBETWEEN(2979,3282)))</f>
        <v>116107004.21725747</v>
      </c>
      <c r="B13362">
        <v>148918057.20639968</v>
      </c>
    </row>
    <row r="13363" spans="1:2" x14ac:dyDescent="0.25">
      <c r="A13363">
        <f ca="1">40375.9277125292*((RANDBETWEEN(2979,3282)))</f>
        <v>120279888.6556246</v>
      </c>
      <c r="B13363">
        <v>175826044.13735166</v>
      </c>
    </row>
    <row r="13364" spans="1:2" x14ac:dyDescent="0.25">
      <c r="A13364">
        <f ca="1">32545.4335352217*((RANDBETWEEN(2979,3282)))</f>
        <v>101639388.93049753</v>
      </c>
      <c r="B13364">
        <v>189995188.66323173</v>
      </c>
    </row>
    <row r="13365" spans="1:2" x14ac:dyDescent="0.25">
      <c r="A13365">
        <f ca="1">31126.1812174363*((RANDBETWEEN(2979,3282)))</f>
        <v>97331568.666923419</v>
      </c>
      <c r="B13365">
        <v>151678089.9097425</v>
      </c>
    </row>
    <row r="13366" spans="1:2" x14ac:dyDescent="0.25">
      <c r="A13366">
        <f ca="1">35825.0697422609*((RANDBETWEEN(2979,3282)))</f>
        <v>112168293.36301894</v>
      </c>
      <c r="B13366">
        <v>155499695.14057434</v>
      </c>
    </row>
    <row r="13367" spans="1:2" x14ac:dyDescent="0.25">
      <c r="A13367">
        <f ca="1">30641.9992110644*((RANDBETWEEN(2979,3282)))</f>
        <v>99739707.432014704</v>
      </c>
      <c r="B13367">
        <v>146485778.67113307</v>
      </c>
    </row>
    <row r="13368" spans="1:2" x14ac:dyDescent="0.25">
      <c r="A13368">
        <f ca="1">30766.8043608003*((RANDBETWEEN(2979,3282)))</f>
        <v>94792524.23562558</v>
      </c>
      <c r="B13368">
        <v>156606251.10246679</v>
      </c>
    </row>
    <row r="13369" spans="1:2" x14ac:dyDescent="0.25">
      <c r="A13369">
        <f ca="1">32215.0249067002*((RANDBETWEEN(2979,3282)))</f>
        <v>98449116.114875853</v>
      </c>
      <c r="B13369">
        <v>145272761.78760785</v>
      </c>
    </row>
    <row r="13370" spans="1:2" x14ac:dyDescent="0.25">
      <c r="A13370">
        <f ca="1">31547.2677627535*((RANDBETWEEN(2979,3282)))</f>
        <v>101960769.40921929</v>
      </c>
      <c r="B13370">
        <v>165041653.17524636</v>
      </c>
    </row>
    <row r="13371" spans="1:2" x14ac:dyDescent="0.25">
      <c r="A13371">
        <f ca="1">35131.7238334611*((RANDBETWEEN(2979,3282)))</f>
        <v>115126659.00225203</v>
      </c>
      <c r="B13371">
        <v>190780490.3897717</v>
      </c>
    </row>
    <row r="13372" spans="1:2" x14ac:dyDescent="0.25">
      <c r="A13372">
        <f ca="1">32145.8280143423*((RANDBETWEEN(2979,3282)))</f>
        <v>100391420.88879113</v>
      </c>
      <c r="B13372">
        <v>189601158.24703926</v>
      </c>
    </row>
    <row r="13373" spans="1:2" x14ac:dyDescent="0.25">
      <c r="A13373">
        <f ca="1">30169.3863817126*((RANDBETWEEN(2979,3282)))</f>
        <v>96300681.330426604</v>
      </c>
      <c r="B13373">
        <v>163641612.8698411</v>
      </c>
    </row>
    <row r="13374" spans="1:2" x14ac:dyDescent="0.25">
      <c r="A13374">
        <f ca="1">31501.7013976787*((RANDBETWEEN(2979,3282)))</f>
        <v>102853055.06342103</v>
      </c>
      <c r="B13374">
        <v>171210628.5411323</v>
      </c>
    </row>
    <row r="13375" spans="1:2" x14ac:dyDescent="0.25">
      <c r="A13375">
        <f ca="1">29879.2067212549*((RANDBETWEEN(2979,3282)))</f>
        <v>92386507.182120249</v>
      </c>
      <c r="B13375">
        <v>155962668.65511376</v>
      </c>
    </row>
    <row r="13376" spans="1:2" x14ac:dyDescent="0.25">
      <c r="A13376">
        <f ca="1">33079.1335806844*((RANDBETWEEN(2979,3282)))</f>
        <v>107077155.40067531</v>
      </c>
      <c r="B13376">
        <v>170012892.94727159</v>
      </c>
    </row>
    <row r="13377" spans="1:2" x14ac:dyDescent="0.25">
      <c r="A13377">
        <f ca="1">36080.5521324176*((RANDBETWEEN(2979,3282)))</f>
        <v>109612717.37828463</v>
      </c>
      <c r="B13377">
        <v>158329551.20978969</v>
      </c>
    </row>
    <row r="13378" spans="1:2" x14ac:dyDescent="0.25">
      <c r="A13378">
        <f ca="1">30145.5143174166*((RANDBETWEEN(2979,3282)))</f>
        <v>91250471.838819921</v>
      </c>
      <c r="B13378">
        <v>162730810.10114095</v>
      </c>
    </row>
    <row r="13379" spans="1:2" x14ac:dyDescent="0.25">
      <c r="A13379">
        <f ca="1">32574.2546615954*((RANDBETWEEN(2979,3282)))</f>
        <v>99318902.463204294</v>
      </c>
      <c r="B13379">
        <v>156350717.6817486</v>
      </c>
    </row>
    <row r="13380" spans="1:2" x14ac:dyDescent="0.25">
      <c r="A13380">
        <f ca="1">30074.2872400211*((RANDBETWEEN(2979,3282)))</f>
        <v>95997124.870147347</v>
      </c>
      <c r="B13380">
        <v>175897572.4973357</v>
      </c>
    </row>
    <row r="13381" spans="1:2" x14ac:dyDescent="0.25">
      <c r="A13381">
        <f ca="1">34898.4048505868*((RANDBETWEEN(2979,3282)))</f>
        <v>107033407.67674978</v>
      </c>
      <c r="B13381">
        <v>150974056.95094317</v>
      </c>
    </row>
    <row r="13382" spans="1:2" x14ac:dyDescent="0.25">
      <c r="A13382">
        <f ca="1">38375.1703074465*((RANDBETWEEN(2979,3282)))</f>
        <v>124143675.94458935</v>
      </c>
      <c r="B13382">
        <v>172346405.51323527</v>
      </c>
    </row>
    <row r="13383" spans="1:2" x14ac:dyDescent="0.25">
      <c r="A13383">
        <f ca="1">33890.6357939678*((RANDBETWEEN(2979,3282)))</f>
        <v>102078595.01143101</v>
      </c>
      <c r="B13383">
        <v>149465952.01159555</v>
      </c>
    </row>
    <row r="13384" spans="1:2" x14ac:dyDescent="0.25">
      <c r="A13384">
        <f ca="1">32793.3914054367*((RANDBETWEEN(2979,3282)))</f>
        <v>98281794.042093888</v>
      </c>
      <c r="B13384">
        <v>181742679.87829804</v>
      </c>
    </row>
    <row r="13385" spans="1:2" x14ac:dyDescent="0.25">
      <c r="A13385">
        <f ca="1">30701.8932429267*((RANDBETWEEN(2979,3282)))</f>
        <v>99289922.747625098</v>
      </c>
      <c r="B13385">
        <v>167077022.69088799</v>
      </c>
    </row>
    <row r="13386" spans="1:2" x14ac:dyDescent="0.25">
      <c r="A13386">
        <f ca="1">30852.0417022082*((RANDBETWEEN(2979,3282)))</f>
        <v>98171196.696426407</v>
      </c>
      <c r="B13386">
        <v>202673200.96116656</v>
      </c>
    </row>
    <row r="13387" spans="1:2" x14ac:dyDescent="0.25">
      <c r="A13387">
        <f ca="1">40151.6517270571*((RANDBETWEEN(2979,3282)))</f>
        <v>126156489.7264134</v>
      </c>
      <c r="B13387">
        <v>160896343.99735349</v>
      </c>
    </row>
    <row r="13388" spans="1:2" x14ac:dyDescent="0.25">
      <c r="A13388">
        <f ca="1">31158.870129859*((RANDBETWEEN(2979,3282)))</f>
        <v>101609075.49347006</v>
      </c>
      <c r="B13388">
        <v>142984841.37631059</v>
      </c>
    </row>
    <row r="13389" spans="1:2" x14ac:dyDescent="0.25">
      <c r="A13389">
        <f ca="1">31171.7483319924*((RANDBETWEEN(2979,3282)))</f>
        <v>95946641.365872562</v>
      </c>
      <c r="B13389">
        <v>167869646.92984653</v>
      </c>
    </row>
    <row r="13390" spans="1:2" x14ac:dyDescent="0.25">
      <c r="A13390">
        <f ca="1">32405.2695564138*((RANDBETWEEN(2979,3282)))</f>
        <v>96859350.704120815</v>
      </c>
      <c r="B13390">
        <v>178160575.44349563</v>
      </c>
    </row>
    <row r="13391" spans="1:2" x14ac:dyDescent="0.25">
      <c r="A13391">
        <f ca="1">29227.3500378464*((RANDBETWEEN(2979,3282)))</f>
        <v>88412733.864485323</v>
      </c>
      <c r="B13391">
        <v>142990768.6993717</v>
      </c>
    </row>
    <row r="13392" spans="1:2" x14ac:dyDescent="0.25">
      <c r="A13392">
        <f ca="1">31441.8117086763*((RANDBETWEEN(2979,3282)))</f>
        <v>99324683.187708452</v>
      </c>
      <c r="B13392">
        <v>166448846.38900062</v>
      </c>
    </row>
    <row r="13393" spans="1:2" x14ac:dyDescent="0.25">
      <c r="A13393">
        <f ca="1">31538.7870307808*((RANDBETWEEN(2979,3282)))</f>
        <v>97202541.62886636</v>
      </c>
      <c r="B13393">
        <v>202894067.32819325</v>
      </c>
    </row>
    <row r="13394" spans="1:2" x14ac:dyDescent="0.25">
      <c r="A13394">
        <f ca="1">38643.6754617535*((RANDBETWEEN(2979,3282)))</f>
        <v>126673968.16362785</v>
      </c>
      <c r="B13394">
        <v>174243597.91149074</v>
      </c>
    </row>
    <row r="13395" spans="1:2" x14ac:dyDescent="0.25">
      <c r="A13395">
        <f ca="1">30023.699111886*((RANDBETWEEN(2979,3282)))</f>
        <v>93884107.122867376</v>
      </c>
      <c r="B13395">
        <v>146501860.14310133</v>
      </c>
    </row>
    <row r="13396" spans="1:2" x14ac:dyDescent="0.25">
      <c r="A13396">
        <f ca="1">38377.1566829737*((RANDBETWEEN(2979,3282)))</f>
        <v>114709321.32540853</v>
      </c>
      <c r="B13396">
        <v>174651048.84663075</v>
      </c>
    </row>
    <row r="13397" spans="1:2" x14ac:dyDescent="0.25">
      <c r="A13397">
        <f ca="1">33874.8886151838*((RANDBETWEEN(2979,3282)))</f>
        <v>108433518.45720342</v>
      </c>
      <c r="B13397">
        <v>147580027.11646834</v>
      </c>
    </row>
    <row r="13398" spans="1:2" x14ac:dyDescent="0.25">
      <c r="A13398">
        <f ca="1">31066.4094297361*((RANDBETWEEN(2979,3282)))</f>
        <v>93665224.430654272</v>
      </c>
      <c r="B13398">
        <v>201541689.69939634</v>
      </c>
    </row>
    <row r="13399" spans="1:2" x14ac:dyDescent="0.25">
      <c r="A13399">
        <f ca="1">37727.0179304627*((RANDBETWEEN(2979,3282)))</f>
        <v>115180585.74170256</v>
      </c>
      <c r="B13399">
        <v>190291365.9443565</v>
      </c>
    </row>
    <row r="13400" spans="1:2" x14ac:dyDescent="0.25">
      <c r="A13400">
        <f ca="1">41175.5987408841*((RANDBETWEEN(2979,3282)))</f>
        <v>127397302.50429527</v>
      </c>
      <c r="B13400">
        <v>163161671.92694524</v>
      </c>
    </row>
    <row r="13401" spans="1:2" x14ac:dyDescent="0.25">
      <c r="A13401">
        <f ca="1">31018.602931569*((RANDBETWEEN(2979,3282)))</f>
        <v>97553506.219784543</v>
      </c>
      <c r="B13401">
        <v>154035490.10553658</v>
      </c>
    </row>
    <row r="13402" spans="1:2" x14ac:dyDescent="0.25">
      <c r="A13402">
        <f ca="1">31568.2389949803*((RANDBETWEEN(2979,3282)))</f>
        <v>98777019.815293476</v>
      </c>
      <c r="B13402">
        <v>186345797.34806406</v>
      </c>
    </row>
    <row r="13403" spans="1:2" x14ac:dyDescent="0.25">
      <c r="A13403">
        <f ca="1">30931.4979682466*((RANDBETWEEN(2979,3282)))</f>
        <v>99568491.959785774</v>
      </c>
      <c r="B13403">
        <v>177514380.74179336</v>
      </c>
    </row>
    <row r="13404" spans="1:2" x14ac:dyDescent="0.25">
      <c r="A13404">
        <f ca="1">27182.2512742263*((RANDBETWEEN(2979,3282)))</f>
        <v>87499666.851734564</v>
      </c>
      <c r="B13404">
        <v>156219629.17728692</v>
      </c>
    </row>
    <row r="13405" spans="1:2" x14ac:dyDescent="0.25">
      <c r="A13405">
        <f ca="1">30500.4582849185*((RANDBETWEEN(2979,3282)))</f>
        <v>97601466.51173906</v>
      </c>
      <c r="B13405">
        <v>169411188.02879673</v>
      </c>
    </row>
    <row r="13406" spans="1:2" x14ac:dyDescent="0.25">
      <c r="A13406">
        <f ca="1">35181.7721193077*((RANDBETWEEN(2979,3282)))</f>
        <v>115255485.46285203</v>
      </c>
      <c r="B13406">
        <v>159289645.44789267</v>
      </c>
    </row>
    <row r="13407" spans="1:2" x14ac:dyDescent="0.25">
      <c r="A13407">
        <f ca="1">39892.1310466888*((RANDBETWEEN(2979,3282)))</f>
        <v>128053740.65987113</v>
      </c>
      <c r="B13407">
        <v>191891090.91625687</v>
      </c>
    </row>
    <row r="13408" spans="1:2" x14ac:dyDescent="0.25">
      <c r="A13408">
        <f ca="1">36151.6082612858*((RANDBETWEEN(2979,3282)))</f>
        <v>108129460.30950576</v>
      </c>
      <c r="B13408">
        <v>185896317.97064069</v>
      </c>
    </row>
    <row r="13409" spans="1:2" x14ac:dyDescent="0.25">
      <c r="A13409">
        <f ca="1">31277.0649987049*((RANDBETWEEN(2979,3282)))</f>
        <v>100618318.10083355</v>
      </c>
      <c r="B13409">
        <v>181783775.72269297</v>
      </c>
    </row>
    <row r="13410" spans="1:2" x14ac:dyDescent="0.25">
      <c r="A13410">
        <f ca="1">29787.2407644668*((RANDBETWEEN(2979,3282)))</f>
        <v>88914913.681933522</v>
      </c>
      <c r="B13410">
        <v>184379424.64465824</v>
      </c>
    </row>
    <row r="13411" spans="1:2" x14ac:dyDescent="0.25">
      <c r="A13411">
        <f ca="1">29178.5606034222*((RANDBETWEEN(2979,3282)))</f>
        <v>91941644.461383462</v>
      </c>
      <c r="B13411">
        <v>167188528.93108037</v>
      </c>
    </row>
    <row r="13412" spans="1:2" x14ac:dyDescent="0.25">
      <c r="A13412">
        <f ca="1">31191.3404260543*((RANDBETWEEN(2979,3282)))</f>
        <v>96942686.044176847</v>
      </c>
      <c r="B13412">
        <v>145321902.82710746</v>
      </c>
    </row>
    <row r="13413" spans="1:2" x14ac:dyDescent="0.25">
      <c r="A13413">
        <f ca="1">31277.6267376699*((RANDBETWEEN(2979,3282)))</f>
        <v>98024082.19585745</v>
      </c>
      <c r="B13413">
        <v>143376758.60454571</v>
      </c>
    </row>
    <row r="13414" spans="1:2" x14ac:dyDescent="0.25">
      <c r="A13414">
        <f ca="1">32032.0249681578*((RANDBETWEEN(2979,3282)))</f>
        <v>103047024.32256354</v>
      </c>
      <c r="B13414">
        <v>148046673.85939664</v>
      </c>
    </row>
    <row r="13415" spans="1:2" x14ac:dyDescent="0.25">
      <c r="A13415">
        <f ca="1">32468.7120749664*((RANDBETWEEN(2979,3282)))</f>
        <v>104711596.44176678</v>
      </c>
      <c r="B13415">
        <v>198749345.41350228</v>
      </c>
    </row>
    <row r="13416" spans="1:2" x14ac:dyDescent="0.25">
      <c r="A13416">
        <f ca="1">30637.113327238*((RANDBETWEEN(2979,3282)))</f>
        <v>91666243.075096086</v>
      </c>
      <c r="B13416">
        <v>161406974.87659383</v>
      </c>
    </row>
    <row r="13417" spans="1:2" x14ac:dyDescent="0.25">
      <c r="A13417">
        <f ca="1">35998.021479389*((RANDBETWEEN(2979,3282)))</f>
        <v>112709805.25196697</v>
      </c>
      <c r="B13417">
        <v>158877088.0882526</v>
      </c>
    </row>
    <row r="13418" spans="1:2" x14ac:dyDescent="0.25">
      <c r="A13418">
        <f ca="1">33429.2353584158*((RANDBETWEEN(2979,3282)))</f>
        <v>105536096.02651875</v>
      </c>
      <c r="B13418">
        <v>157270360.97345173</v>
      </c>
    </row>
    <row r="13419" spans="1:2" x14ac:dyDescent="0.25">
      <c r="A13419">
        <f ca="1">32065.0695953864*((RANDBETWEEN(2979,3282)))</f>
        <v>97541941.709165305</v>
      </c>
      <c r="B13419">
        <v>146868125.29111516</v>
      </c>
    </row>
    <row r="13420" spans="1:2" x14ac:dyDescent="0.25">
      <c r="A13420">
        <f ca="1">31271.5361203102*((RANDBETWEEN(2979,3282)))</f>
        <v>95972344.353232041</v>
      </c>
      <c r="B13420">
        <v>145108507.50991207</v>
      </c>
    </row>
    <row r="13421" spans="1:2" x14ac:dyDescent="0.25">
      <c r="A13421">
        <f ca="1">37743.8845169923*((RANDBETWEEN(2979,3282)))</f>
        <v>118176102.42270276</v>
      </c>
      <c r="B13421">
        <v>159780085.27618992</v>
      </c>
    </row>
    <row r="13422" spans="1:2" x14ac:dyDescent="0.25">
      <c r="A13422">
        <f ca="1">31694.6124251919*((RANDBETWEEN(2979,3282)))</f>
        <v>101359370.53576356</v>
      </c>
      <c r="B13422">
        <v>193633429.60065907</v>
      </c>
    </row>
    <row r="13423" spans="1:2" x14ac:dyDescent="0.25">
      <c r="A13423">
        <f ca="1">30110.6733420049*((RANDBETWEEN(2979,3282)))</f>
        <v>93674304.766977385</v>
      </c>
      <c r="B13423">
        <v>143304201.92432106</v>
      </c>
    </row>
    <row r="13424" spans="1:2" x14ac:dyDescent="0.25">
      <c r="A13424">
        <f ca="1">33028.0322072894*((RANDBETWEEN(2979,3282)))</f>
        <v>104864002.25814381</v>
      </c>
      <c r="B13424">
        <v>156169783.97433579</v>
      </c>
    </row>
    <row r="13425" spans="1:2" x14ac:dyDescent="0.25">
      <c r="A13425">
        <f ca="1">30293.920857876*((RANDBETWEEN(2979,3282)))</f>
        <v>98000833.975228786</v>
      </c>
      <c r="B13425">
        <v>186434949.19298398</v>
      </c>
    </row>
    <row r="13426" spans="1:2" x14ac:dyDescent="0.25">
      <c r="A13426">
        <f ca="1">30151.809636036*((RANDBETWEEN(2979,3282)))</f>
        <v>98445658.461657554</v>
      </c>
      <c r="B13426">
        <v>149983414.02001119</v>
      </c>
    </row>
    <row r="13427" spans="1:2" x14ac:dyDescent="0.25">
      <c r="A13427">
        <f ca="1">32916.3933931408*((RANDBETWEEN(2979,3282)))</f>
        <v>100658330.99622454</v>
      </c>
      <c r="B13427">
        <v>202017030.12668505</v>
      </c>
    </row>
    <row r="13428" spans="1:2" x14ac:dyDescent="0.25">
      <c r="A13428">
        <f ca="1">33352.2012983021*((RANDBETWEEN(2979,3282)))</f>
        <v>103825402.64161432</v>
      </c>
      <c r="B13428">
        <v>148165718.78373936</v>
      </c>
    </row>
    <row r="13429" spans="1:2" x14ac:dyDescent="0.25">
      <c r="A13429">
        <f ca="1">32472.0969630797*((RANDBETWEEN(2979,3282)))</f>
        <v>99656865.579691753</v>
      </c>
      <c r="B13429">
        <v>147499553.35742152</v>
      </c>
    </row>
    <row r="13430" spans="1:2" x14ac:dyDescent="0.25">
      <c r="A13430">
        <f ca="1">41966.0849847414*((RANDBETWEEN(2979,3282)))</f>
        <v>129213575.66801891</v>
      </c>
      <c r="B13430">
        <v>158584472.48849156</v>
      </c>
    </row>
    <row r="13431" spans="1:2" x14ac:dyDescent="0.25">
      <c r="A13431">
        <f ca="1">33083.9904400995*((RANDBETWEEN(2979,3282)))</f>
        <v>103850645.99147235</v>
      </c>
      <c r="B13431">
        <v>161727837.1806249</v>
      </c>
    </row>
    <row r="13432" spans="1:2" x14ac:dyDescent="0.25">
      <c r="A13432">
        <f ca="1">31675.8925730336*((RANDBETWEEN(2979,3282)))</f>
        <v>103960279.42469637</v>
      </c>
      <c r="B13432">
        <v>157867088.63314936</v>
      </c>
    </row>
    <row r="13433" spans="1:2" x14ac:dyDescent="0.25">
      <c r="A13433">
        <f ca="1">41697.5492010364*((RANDBETWEEN(2979,3282)))</f>
        <v>124508881.91429475</v>
      </c>
      <c r="B13433">
        <v>168434668.66970223</v>
      </c>
    </row>
    <row r="13434" spans="1:2" x14ac:dyDescent="0.25">
      <c r="A13434">
        <f ca="1">38368.8977122395*((RANDBETWEEN(2979,3282)))</f>
        <v>116794924.63605715</v>
      </c>
      <c r="B13434">
        <v>156404894.72666517</v>
      </c>
    </row>
    <row r="13435" spans="1:2" x14ac:dyDescent="0.25">
      <c r="A13435">
        <f ca="1">30440.4255821527*((RANDBETWEEN(2979,3282)))</f>
        <v>93786951.218612522</v>
      </c>
      <c r="B13435">
        <v>156101359.58321625</v>
      </c>
    </row>
    <row r="13436" spans="1:2" x14ac:dyDescent="0.25">
      <c r="A13436">
        <f ca="1">36398.4402501247*((RANDBETWEEN(2979,3282)))</f>
        <v>111998000.64963366</v>
      </c>
      <c r="B13436">
        <v>188899565.15462428</v>
      </c>
    </row>
    <row r="13437" spans="1:2" x14ac:dyDescent="0.25">
      <c r="A13437">
        <f ca="1">34941.0718172639*((RANDBETWEEN(2979,3282)))</f>
        <v>111147549.45071648</v>
      </c>
      <c r="B13437">
        <v>143259085.49795598</v>
      </c>
    </row>
    <row r="13438" spans="1:2" x14ac:dyDescent="0.25">
      <c r="A13438">
        <f ca="1">39182.21480882*((RANDBETWEEN(2979,3282)))</f>
        <v>121425683.69253303</v>
      </c>
      <c r="B13438">
        <v>170030699.0404042</v>
      </c>
    </row>
    <row r="13439" spans="1:2" x14ac:dyDescent="0.25">
      <c r="A13439">
        <f ca="1">33181.5807496372*((RANDBETWEEN(2979,3282)))</f>
        <v>107408776.88657567</v>
      </c>
      <c r="B13439">
        <v>175911803.91083139</v>
      </c>
    </row>
    <row r="13440" spans="1:2" x14ac:dyDescent="0.25">
      <c r="A13440">
        <f ca="1">32285.0369153067*((RANDBETWEEN(2979,3282)))</f>
        <v>100987595.47107925</v>
      </c>
      <c r="B13440">
        <v>145677135.9416835</v>
      </c>
    </row>
    <row r="13441" spans="1:2" x14ac:dyDescent="0.25">
      <c r="A13441">
        <f ca="1">33105.3000965273*((RANDBETWEEN(2979,3282)))</f>
        <v>98852426.08823052</v>
      </c>
      <c r="B13441">
        <v>165829256.6020394</v>
      </c>
    </row>
    <row r="13442" spans="1:2" x14ac:dyDescent="0.25">
      <c r="A13442">
        <f ca="1">30304.761879617*((RANDBETWEEN(2979,3282)))</f>
        <v>97854076.109283268</v>
      </c>
      <c r="B13442">
        <v>180908051.19255212</v>
      </c>
    </row>
    <row r="13443" spans="1:2" x14ac:dyDescent="0.25">
      <c r="A13443">
        <f ca="1">31508.6126300134*((RANDBETWEEN(2979,3282)))</f>
        <v>98558940.306682006</v>
      </c>
      <c r="B13443">
        <v>164402989.61368048</v>
      </c>
    </row>
    <row r="13444" spans="1:2" x14ac:dyDescent="0.25">
      <c r="A13444">
        <f ca="1">37893.3099066141*((RANDBETWEEN(2979,3282)))</f>
        <v>118833419.86714184</v>
      </c>
      <c r="B13444">
        <v>173009040.07983559</v>
      </c>
    </row>
    <row r="13445" spans="1:2" x14ac:dyDescent="0.25">
      <c r="A13445">
        <f ca="1">38546.8770628769*((RANDBETWEEN(2979,3282)))</f>
        <v>123234365.97001754</v>
      </c>
      <c r="B13445">
        <v>190297463.58657765</v>
      </c>
    </row>
    <row r="13446" spans="1:2" x14ac:dyDescent="0.25">
      <c r="A13446">
        <f ca="1">31243.8422683669*((RANDBETWEEN(2979,3282)))</f>
        <v>95793620.394813061</v>
      </c>
      <c r="B13446">
        <v>157386179.38378298</v>
      </c>
    </row>
    <row r="13447" spans="1:2" x14ac:dyDescent="0.25">
      <c r="A13447">
        <f ca="1">31164.2071377268*((RANDBETWEEN(2979,3282)))</f>
        <v>95424802.255719513</v>
      </c>
      <c r="B13447">
        <v>191435874.33888918</v>
      </c>
    </row>
    <row r="13448" spans="1:2" x14ac:dyDescent="0.25">
      <c r="A13448">
        <f ca="1">31735.8556844182*((RANDBETWEEN(2979,3282)))</f>
        <v>102665493.13909285</v>
      </c>
      <c r="B13448">
        <v>176442583.76050633</v>
      </c>
    </row>
    <row r="13449" spans="1:2" x14ac:dyDescent="0.25">
      <c r="A13449">
        <f ca="1">32277.810940093*((RANDBETWEEN(2979,3282)))</f>
        <v>96349265.65617767</v>
      </c>
      <c r="B13449">
        <v>153237470.59200174</v>
      </c>
    </row>
    <row r="13450" spans="1:2" x14ac:dyDescent="0.25">
      <c r="A13450">
        <f ca="1">30849.7067616266*((RANDBETWEEN(2979,3282)))</f>
        <v>101032789.64432724</v>
      </c>
      <c r="B13450">
        <v>190648315.2355924</v>
      </c>
    </row>
    <row r="13451" spans="1:2" x14ac:dyDescent="0.25">
      <c r="A13451">
        <f ca="1">32492.8936259898*((RANDBETWEEN(2979,3282)))</f>
        <v>103002472.79438765</v>
      </c>
      <c r="B13451">
        <v>199246472.15632609</v>
      </c>
    </row>
    <row r="13452" spans="1:2" x14ac:dyDescent="0.25">
      <c r="A13452">
        <f ca="1">31015.4029270226*((RANDBETWEEN(2979,3282)))</f>
        <v>95930641.253280789</v>
      </c>
      <c r="B13452">
        <v>185820625.33969921</v>
      </c>
    </row>
    <row r="13453" spans="1:2" x14ac:dyDescent="0.25">
      <c r="A13453">
        <f ca="1">31918.3289626799*((RANDBETWEEN(2979,3282)))</f>
        <v>101851387.7199115</v>
      </c>
      <c r="B13453">
        <v>158578484.49628726</v>
      </c>
    </row>
    <row r="13454" spans="1:2" x14ac:dyDescent="0.25">
      <c r="A13454">
        <f ca="1">28537.6436976746*((RANDBETWEEN(2979,3282)))</f>
        <v>92290739.71827969</v>
      </c>
      <c r="B13454">
        <v>167857500.53684494</v>
      </c>
    </row>
    <row r="13455" spans="1:2" x14ac:dyDescent="0.25">
      <c r="A13455">
        <f ca="1">32332.4761116902*((RANDBETWEEN(2979,3282)))</f>
        <v>97223755.667852357</v>
      </c>
      <c r="B13455">
        <v>196198988.60506564</v>
      </c>
    </row>
    <row r="13456" spans="1:2" x14ac:dyDescent="0.25">
      <c r="A13456">
        <f ca="1">37247.5042445691*((RANDBETWEEN(2979,3282)))</f>
        <v>113977362.9883814</v>
      </c>
      <c r="B13456">
        <v>148556590.31933847</v>
      </c>
    </row>
    <row r="13457" spans="1:2" x14ac:dyDescent="0.25">
      <c r="A13457">
        <f ca="1">39919.9444446692*((RANDBETWEEN(2979,3282)))</f>
        <v>127544222.50071798</v>
      </c>
      <c r="B13457">
        <v>151114391.13862157</v>
      </c>
    </row>
    <row r="13458" spans="1:2" x14ac:dyDescent="0.25">
      <c r="A13458">
        <f ca="1">30147.6465956802*((RANDBETWEEN(2979,3282)))</f>
        <v>96864388.511920378</v>
      </c>
      <c r="B13458">
        <v>188999573.09530175</v>
      </c>
    </row>
    <row r="13459" spans="1:2" x14ac:dyDescent="0.25">
      <c r="A13459">
        <f ca="1">41086.5703097647*((RANDBETWEEN(2979,3282)))</f>
        <v>129422696.47575881</v>
      </c>
      <c r="B13459">
        <v>201398563.35339195</v>
      </c>
    </row>
    <row r="13460" spans="1:2" x14ac:dyDescent="0.25">
      <c r="A13460">
        <f ca="1">28253.287192019*((RANDBETWEEN(2979,3282)))</f>
        <v>91371130.778989419</v>
      </c>
      <c r="B13460">
        <v>156808878.51741099</v>
      </c>
    </row>
    <row r="13461" spans="1:2" x14ac:dyDescent="0.25">
      <c r="A13461">
        <f ca="1">30333.4863048261*((RANDBETWEEN(2979,3282)))</f>
        <v>96703154.339785635</v>
      </c>
      <c r="B13461">
        <v>179549595.16706797</v>
      </c>
    </row>
    <row r="13462" spans="1:2" x14ac:dyDescent="0.25">
      <c r="A13462">
        <f ca="1">31643.1512375122*((RANDBETWEEN(2979,3282)))</f>
        <v>101701088.07736421</v>
      </c>
      <c r="B13462">
        <v>154670705.39164436</v>
      </c>
    </row>
    <row r="13463" spans="1:2" x14ac:dyDescent="0.25">
      <c r="A13463">
        <f ca="1">37714.9837970856*((RANDBETWEEN(2979,3282)))</f>
        <v>113861536.0834014</v>
      </c>
      <c r="B13463">
        <v>167767905.40645871</v>
      </c>
    </row>
    <row r="13464" spans="1:2" x14ac:dyDescent="0.25">
      <c r="A13464">
        <f ca="1">30640.7559770183*((RANDBETWEEN(2979,3282)))</f>
        <v>95813643.940136194</v>
      </c>
      <c r="B13464">
        <v>182190727.75949788</v>
      </c>
    </row>
    <row r="13465" spans="1:2" x14ac:dyDescent="0.25">
      <c r="A13465">
        <f ca="1">29340.8904071033*((RANDBETWEEN(2979,3282)))</f>
        <v>89284329.508815274</v>
      </c>
      <c r="B13465">
        <v>148196818.80479956</v>
      </c>
    </row>
    <row r="13466" spans="1:2" x14ac:dyDescent="0.25">
      <c r="A13466">
        <f ca="1">31830.4962005364*((RANDBETWEEN(2979,3282)))</f>
        <v>100807181.46709868</v>
      </c>
      <c r="B13466">
        <v>179222141.9158389</v>
      </c>
    </row>
    <row r="13467" spans="1:2" x14ac:dyDescent="0.25">
      <c r="A13467">
        <f ca="1">33606.3949345275*((RANDBETWEEN(2979,3282)))</f>
        <v>103406877.21354111</v>
      </c>
      <c r="B13467">
        <v>190473941.28542104</v>
      </c>
    </row>
    <row r="13468" spans="1:2" x14ac:dyDescent="0.25">
      <c r="A13468">
        <f ca="1">31422.9889939582*((RANDBETWEEN(2979,3282)))</f>
        <v>98008302.672155648</v>
      </c>
      <c r="B13468">
        <v>182211534.29276416</v>
      </c>
    </row>
    <row r="13469" spans="1:2" x14ac:dyDescent="0.25">
      <c r="A13469">
        <f ca="1">35308.8009568624*((RANDBETWEEN(2979,3282)))</f>
        <v>106879740.49642234</v>
      </c>
      <c r="B13469">
        <v>152107244.90117997</v>
      </c>
    </row>
    <row r="13470" spans="1:2" x14ac:dyDescent="0.25">
      <c r="A13470">
        <f ca="1">38443.9560919438*((RANDBETWEEN(2979,3282)))</f>
        <v>116908070.47560118</v>
      </c>
      <c r="B13470">
        <v>196032996.56776851</v>
      </c>
    </row>
    <row r="13471" spans="1:2" x14ac:dyDescent="0.25">
      <c r="A13471">
        <f ca="1">41765.7089884618*((RANDBETWEEN(2979,3282)))</f>
        <v>131687280.44062011</v>
      </c>
      <c r="B13471">
        <v>172171234.02160686</v>
      </c>
    </row>
    <row r="13472" spans="1:2" x14ac:dyDescent="0.25">
      <c r="A13472">
        <f ca="1">36650.5316432405*((RANDBETWEEN(2979,3282)))</f>
        <v>114936067.23320219</v>
      </c>
      <c r="B13472">
        <v>197319428.90132448</v>
      </c>
    </row>
    <row r="13473" spans="1:2" x14ac:dyDescent="0.25">
      <c r="A13473">
        <f ca="1">33481.7744272146*((RANDBETWEEN(2979,3282)))</f>
        <v>107074714.61823238</v>
      </c>
      <c r="B13473">
        <v>150246051.76542509</v>
      </c>
    </row>
    <row r="13474" spans="1:2" x14ac:dyDescent="0.25">
      <c r="A13474">
        <f ca="1">30704.5608903179*((RANDBETWEEN(2979,3282)))</f>
        <v>98530935.897030279</v>
      </c>
      <c r="B13474">
        <v>197951332.14308566</v>
      </c>
    </row>
    <row r="13475" spans="1:2" x14ac:dyDescent="0.25">
      <c r="A13475">
        <f ca="1">36322.3918779447*((RANDBETWEEN(2979,3282)))</f>
        <v>118665254.26524533</v>
      </c>
      <c r="B13475">
        <v>148146683.69547701</v>
      </c>
    </row>
    <row r="13476" spans="1:2" x14ac:dyDescent="0.25">
      <c r="A13476">
        <f ca="1">30750.7277282037*((RANDBETWEEN(2979,3282)))</f>
        <v>97449056.170677513</v>
      </c>
      <c r="B13476">
        <v>162131899.70043832</v>
      </c>
    </row>
    <row r="13477" spans="1:2" x14ac:dyDescent="0.25">
      <c r="A13477">
        <f ca="1">36118.6772918397*((RANDBETWEEN(2979,3282)))</f>
        <v>108789456.00302103</v>
      </c>
      <c r="B13477">
        <v>146165436.66354299</v>
      </c>
    </row>
    <row r="13478" spans="1:2" x14ac:dyDescent="0.25">
      <c r="A13478">
        <f ca="1">31761.8130233161*((RANDBETWEEN(2979,3282)))</f>
        <v>104019937.65136017</v>
      </c>
      <c r="B13478">
        <v>162080086.69785643</v>
      </c>
    </row>
    <row r="13479" spans="1:2" x14ac:dyDescent="0.25">
      <c r="A13479">
        <f ca="1">37485.8186357789*((RANDBETWEEN(2979,3282)))</f>
        <v>114181803.56458263</v>
      </c>
      <c r="B13479">
        <v>153705794.86348552</v>
      </c>
    </row>
    <row r="13480" spans="1:2" x14ac:dyDescent="0.25">
      <c r="A13480">
        <f ca="1">35714.0045978009*((RANDBETWEEN(2979,3282)))</f>
        <v>108784858.00490151</v>
      </c>
      <c r="B13480">
        <v>195324952.00344989</v>
      </c>
    </row>
    <row r="13481" spans="1:2" x14ac:dyDescent="0.25">
      <c r="A13481">
        <f ca="1">32605.4162633045*((RANDBETWEEN(2979,3282)))</f>
        <v>100000811.67955478</v>
      </c>
      <c r="B13481">
        <v>172133339.48803037</v>
      </c>
    </row>
    <row r="13482" spans="1:2" x14ac:dyDescent="0.25">
      <c r="A13482">
        <f ca="1">32243.3071989036*((RANDBETWEEN(2979,3282)))</f>
        <v>103307556.26528706</v>
      </c>
      <c r="B13482">
        <v>149981054.6869601</v>
      </c>
    </row>
    <row r="13483" spans="1:2" x14ac:dyDescent="0.25">
      <c r="A13483">
        <f ca="1">37055.2734842554*((RANDBETWEEN(2979,3282)))</f>
        <v>113203860.49440011</v>
      </c>
      <c r="B13483">
        <v>199809697.95832831</v>
      </c>
    </row>
    <row r="13484" spans="1:2" x14ac:dyDescent="0.25">
      <c r="A13484">
        <f ca="1">32667.2431534867*((RANDBETWEEN(2979,3282)))</f>
        <v>97969062.217306584</v>
      </c>
      <c r="B13484">
        <v>191938169.99151528</v>
      </c>
    </row>
    <row r="13485" spans="1:2" x14ac:dyDescent="0.25">
      <c r="A13485">
        <f ca="1">35238.7788705895*((RANDBETWEEN(2979,3282)))</f>
        <v>108500200.14254494</v>
      </c>
      <c r="B13485">
        <v>157260922.12814382</v>
      </c>
    </row>
    <row r="13486" spans="1:2" x14ac:dyDescent="0.25">
      <c r="A13486">
        <f ca="1">39426.6998949234*((RANDBETWEEN(2979,3282)))</f>
        <v>124627798.36785297</v>
      </c>
      <c r="B13486">
        <v>168495430.70869792</v>
      </c>
    </row>
    <row r="13487" spans="1:2" x14ac:dyDescent="0.25">
      <c r="A13487">
        <f ca="1">30387.6566564393*((RANDBETWEEN(2979,3282)))</f>
        <v>98152131.000298843</v>
      </c>
      <c r="B13487">
        <v>201432744.10527578</v>
      </c>
    </row>
    <row r="13488" spans="1:2" x14ac:dyDescent="0.25">
      <c r="A13488">
        <f ca="1">39946.7000325817*((RANDBETWEEN(2979,3282)))</f>
        <v>125951945.20273009</v>
      </c>
      <c r="B13488">
        <v>177258428.12930095</v>
      </c>
    </row>
    <row r="13489" spans="1:2" x14ac:dyDescent="0.25">
      <c r="A13489">
        <f ca="1">37050.272651351*((RANDBETWEEN(2979,3282)))</f>
        <v>120524536.93484491</v>
      </c>
      <c r="B13489">
        <v>166614284.43771774</v>
      </c>
    </row>
    <row r="13490" spans="1:2" x14ac:dyDescent="0.25">
      <c r="A13490">
        <f ca="1">34951.7419560039*((RANDBETWEEN(2979,3282)))</f>
        <v>109014483.16077629</v>
      </c>
      <c r="B13490">
        <v>156470451.82226992</v>
      </c>
    </row>
    <row r="13491" spans="1:2" x14ac:dyDescent="0.25">
      <c r="A13491">
        <f ca="1">30775.1020734586*((RANDBETWEEN(2979,3282)))</f>
        <v>95248940.917354241</v>
      </c>
      <c r="B13491">
        <v>154906824.66623753</v>
      </c>
    </row>
    <row r="13492" spans="1:2" x14ac:dyDescent="0.25">
      <c r="A13492">
        <f ca="1">37660.676769151*((RANDBETWEEN(2979,3282)))</f>
        <v>119647970.09559271</v>
      </c>
      <c r="B13492">
        <v>172907053.40262142</v>
      </c>
    </row>
    <row r="13493" spans="1:2" x14ac:dyDescent="0.25">
      <c r="A13493">
        <f ca="1">30972.2257127291*((RANDBETWEEN(2979,3282)))</f>
        <v>93133482.718176425</v>
      </c>
      <c r="B13493">
        <v>191754978.81691769</v>
      </c>
    </row>
    <row r="13494" spans="1:2" x14ac:dyDescent="0.25">
      <c r="A13494">
        <f ca="1">30745.48173173*((RANDBETWEEN(2979,3282)))</f>
        <v>95864412.039533988</v>
      </c>
      <c r="B13494">
        <v>164500285.58082113</v>
      </c>
    </row>
    <row r="13495" spans="1:2" x14ac:dyDescent="0.25">
      <c r="A13495">
        <f ca="1">28140.0997752708*((RANDBETWEEN(2979,3282)))</f>
        <v>88585034.092552617</v>
      </c>
      <c r="B13495">
        <v>196439498.92348602</v>
      </c>
    </row>
    <row r="13496" spans="1:2" x14ac:dyDescent="0.25">
      <c r="A13496">
        <f ca="1">36341.3626459273*((RANDBETWEEN(2979,3282)))</f>
        <v>109024087.93778203</v>
      </c>
      <c r="B13496">
        <v>188908384.90877622</v>
      </c>
    </row>
    <row r="13497" spans="1:2" x14ac:dyDescent="0.25">
      <c r="A13497">
        <f ca="1">31855.4290270573*((RANDBETWEEN(2979,3282)))</f>
        <v>100440167.72231165</v>
      </c>
      <c r="B13497">
        <v>143607041.66010848</v>
      </c>
    </row>
    <row r="13498" spans="1:2" x14ac:dyDescent="0.25">
      <c r="A13498">
        <f ca="1">32170.9516353758*((RANDBETWEEN(2979,3282)))</f>
        <v>99086531.036957607</v>
      </c>
      <c r="B13498">
        <v>172126650.66627884</v>
      </c>
    </row>
    <row r="13499" spans="1:2" x14ac:dyDescent="0.25">
      <c r="A13499">
        <f ca="1">31627.2197112283*((RANDBETWEEN(2979,3282)))</f>
        <v>95450949.088487059</v>
      </c>
      <c r="B13499">
        <v>154744368.93067282</v>
      </c>
    </row>
    <row r="13500" spans="1:2" x14ac:dyDescent="0.25">
      <c r="A13500">
        <f ca="1">31896.5668493727*((RANDBETWEEN(2979,3282)))</f>
        <v>100825047.81086695</v>
      </c>
      <c r="B13500">
        <v>167432273.06644017</v>
      </c>
    </row>
    <row r="13501" spans="1:2" x14ac:dyDescent="0.25">
      <c r="A13501">
        <f ca="1">30761.2359528555*((RANDBETWEEN(2979,3282)))</f>
        <v>93329589.880963445</v>
      </c>
      <c r="B13501">
        <v>187343293.48826724</v>
      </c>
    </row>
    <row r="13502" spans="1:2" x14ac:dyDescent="0.25">
      <c r="A13502">
        <f ca="1">34341.7243541012*((RANDBETWEEN(2979,3282)))</f>
        <v>105566460.66450709</v>
      </c>
      <c r="B13502">
        <v>197742773.63224149</v>
      </c>
    </row>
    <row r="13503" spans="1:2" x14ac:dyDescent="0.25">
      <c r="A13503">
        <f ca="1">32995.907256309*((RANDBETWEEN(2979,3282)))</f>
        <v>104333058.74444912</v>
      </c>
      <c r="B13503">
        <v>166455625.28865975</v>
      </c>
    </row>
    <row r="13504" spans="1:2" x14ac:dyDescent="0.25">
      <c r="A13504">
        <f ca="1">29768.4431127264*((RANDBETWEEN(2979,3282)))</f>
        <v>95675776.164302766</v>
      </c>
      <c r="B13504">
        <v>169438308.01610273</v>
      </c>
    </row>
    <row r="13505" spans="1:2" x14ac:dyDescent="0.25">
      <c r="A13505">
        <f ca="1">33642.9879907558*((RANDBETWEEN(2979,3282)))</f>
        <v>103183044.16764797</v>
      </c>
      <c r="B13505">
        <v>155337327.38444731</v>
      </c>
    </row>
    <row r="13506" spans="1:2" x14ac:dyDescent="0.25">
      <c r="A13506">
        <f ca="1">33064.8684224701*((RANDBETWEEN(2979,3282)))</f>
        <v>106270487.10981883</v>
      </c>
      <c r="B13506">
        <v>173492715.85063559</v>
      </c>
    </row>
    <row r="13507" spans="1:2" x14ac:dyDescent="0.25">
      <c r="A13507">
        <f ca="1">27959.5509802871*((RANDBETWEEN(2979,3282)))</f>
        <v>90141592.360445514</v>
      </c>
      <c r="B13507">
        <v>175880158.45136821</v>
      </c>
    </row>
    <row r="13508" spans="1:2" x14ac:dyDescent="0.25">
      <c r="A13508">
        <f ca="1">29871.9836041726*((RANDBETWEEN(2979,3282)))</f>
        <v>96367019.107060716</v>
      </c>
      <c r="B13508">
        <v>193914448.21291646</v>
      </c>
    </row>
    <row r="13509" spans="1:2" x14ac:dyDescent="0.25">
      <c r="A13509">
        <f ca="1">33649.2958632423*((RANDBETWEEN(2979,3282)))</f>
        <v>109562107.33071706</v>
      </c>
      <c r="B13509">
        <v>143266572.11592269</v>
      </c>
    </row>
    <row r="13510" spans="1:2" x14ac:dyDescent="0.25">
      <c r="A13510">
        <f ca="1">39698.2164722338*((RANDBETWEEN(2979,3282)))</f>
        <v>122349903.16742481</v>
      </c>
      <c r="B13510">
        <v>167458826.94658256</v>
      </c>
    </row>
    <row r="13511" spans="1:2" x14ac:dyDescent="0.25">
      <c r="A13511">
        <f ca="1">33315.0204797387*((RANDBETWEEN(2979,3282)))</f>
        <v>99911746.418736458</v>
      </c>
      <c r="B13511">
        <v>165334882.86498982</v>
      </c>
    </row>
    <row r="13512" spans="1:2" x14ac:dyDescent="0.25">
      <c r="A13512">
        <f ca="1">31454.2649250033*((RANDBETWEEN(2979,3282)))</f>
        <v>95872599.491410151</v>
      </c>
      <c r="B13512">
        <v>188956030.17020532</v>
      </c>
    </row>
    <row r="13513" spans="1:2" x14ac:dyDescent="0.25">
      <c r="A13513">
        <f ca="1">33542.7947019736*((RANDBETWEEN(2979,3282)))</f>
        <v>103278264.88737683</v>
      </c>
      <c r="B13513">
        <v>154249487.24147686</v>
      </c>
    </row>
    <row r="13514" spans="1:2" x14ac:dyDescent="0.25">
      <c r="A13514">
        <f ca="1">31486.4053972749*((RANDBETWEEN(2979,3282)))</f>
        <v>102677168.00051349</v>
      </c>
      <c r="B13514">
        <v>146761355.64216745</v>
      </c>
    </row>
    <row r="13515" spans="1:2" x14ac:dyDescent="0.25">
      <c r="A13515">
        <f ca="1">30770.4922679486*((RANDBETWEEN(2979,3282)))</f>
        <v>94219247.324458525</v>
      </c>
      <c r="B13515">
        <v>172018846.48289853</v>
      </c>
    </row>
    <row r="13516" spans="1:2" x14ac:dyDescent="0.25">
      <c r="A13516">
        <f ca="1">36043.1531407946*((RANDBETWEEN(2979,3282)))</f>
        <v>107805071.04411671</v>
      </c>
      <c r="B13516">
        <v>147660590.68229896</v>
      </c>
    </row>
    <row r="13517" spans="1:2" x14ac:dyDescent="0.25">
      <c r="A13517">
        <f ca="1">36916.838445672*((RANDBETWEEN(2979,3282)))</f>
        <v>121124146.94024998</v>
      </c>
      <c r="B13517">
        <v>191646177.8666656</v>
      </c>
    </row>
    <row r="13518" spans="1:2" x14ac:dyDescent="0.25">
      <c r="A13518">
        <f ca="1">31383.909706911*((RANDBETWEEN(2979,3282)))</f>
        <v>94465568.217802048</v>
      </c>
      <c r="B13518">
        <v>149214817.58520406</v>
      </c>
    </row>
    <row r="13519" spans="1:2" x14ac:dyDescent="0.25">
      <c r="A13519">
        <f ca="1">37186.2200550209*((RANDBETWEEN(2979,3282)))</f>
        <v>114682302.6496845</v>
      </c>
      <c r="B13519">
        <v>164372070.49630776</v>
      </c>
    </row>
    <row r="13520" spans="1:2" x14ac:dyDescent="0.25">
      <c r="A13520">
        <f ca="1">32259.3974523143*((RANDBETWEEN(2979,3282)))</f>
        <v>103843000.3989996</v>
      </c>
      <c r="B13520">
        <v>175318192.88309479</v>
      </c>
    </row>
    <row r="13521" spans="1:2" x14ac:dyDescent="0.25">
      <c r="A13521">
        <f ca="1">30539.5393234948*((RANDBETWEEN(2979,3282)))</f>
        <v>91129985.341308355</v>
      </c>
      <c r="B13521">
        <v>151341656.46874794</v>
      </c>
    </row>
    <row r="13522" spans="1:2" x14ac:dyDescent="0.25">
      <c r="A13522">
        <f ca="1">37636.8867872233*((RANDBETWEEN(2979,3282)))</f>
        <v>114754867.81424387</v>
      </c>
      <c r="B13522">
        <v>202645523.03511032</v>
      </c>
    </row>
    <row r="13523" spans="1:2" x14ac:dyDescent="0.25">
      <c r="A13523">
        <f ca="1">39758.4739701763*((RANDBETWEEN(2979,3282)))</f>
        <v>129612625.14277458</v>
      </c>
      <c r="B13523">
        <v>162881130.91824475</v>
      </c>
    </row>
    <row r="13524" spans="1:2" x14ac:dyDescent="0.25">
      <c r="A13524">
        <f ca="1">35940.7637586803*((RANDBETWEEN(2979,3282)))</f>
        <v>107930113.56731682</v>
      </c>
      <c r="B13524">
        <v>201631056.66035727</v>
      </c>
    </row>
    <row r="13525" spans="1:2" x14ac:dyDescent="0.25">
      <c r="A13525">
        <f ca="1">32681.9266467004*((RANDBETWEEN(2979,3282)))</f>
        <v>101248608.75147779</v>
      </c>
      <c r="B13525">
        <v>172245443.27618682</v>
      </c>
    </row>
    <row r="13526" spans="1:2" x14ac:dyDescent="0.25">
      <c r="A13526">
        <f ca="1">31850.085409038*((RANDBETWEEN(2979,3282)))</f>
        <v>98576014.340972647</v>
      </c>
      <c r="B13526">
        <v>150677962.01946837</v>
      </c>
    </row>
    <row r="13527" spans="1:2" x14ac:dyDescent="0.25">
      <c r="A13527">
        <f ca="1">32068.359243184*((RANDBETWEEN(2979,3282)))</f>
        <v>98770546.469006747</v>
      </c>
      <c r="B13527">
        <v>145271108.46481451</v>
      </c>
    </row>
    <row r="13528" spans="1:2" x14ac:dyDescent="0.25">
      <c r="A13528">
        <f ca="1">38770.4027350206*((RANDBETWEEN(2979,3282)))</f>
        <v>125848727.27787699</v>
      </c>
      <c r="B13528">
        <v>159995800.1788089</v>
      </c>
    </row>
    <row r="13529" spans="1:2" x14ac:dyDescent="0.25">
      <c r="A13529">
        <f ca="1">39730.0033299076*((RANDBETWEEN(2979,3282)))</f>
        <v>118474869.92978448</v>
      </c>
      <c r="B13529">
        <v>160053023.11654413</v>
      </c>
    </row>
    <row r="13530" spans="1:2" x14ac:dyDescent="0.25">
      <c r="A13530">
        <f ca="1">33082.8241903083*((RANDBETWEEN(2979,3282)))</f>
        <v>106526693.89279267</v>
      </c>
      <c r="B13530">
        <v>166042254.63224143</v>
      </c>
    </row>
    <row r="13531" spans="1:2" x14ac:dyDescent="0.25">
      <c r="A13531">
        <f ca="1">37251.236604565*((RANDBETWEEN(2979,3282)))</f>
        <v>120731257.83539516</v>
      </c>
      <c r="B13531">
        <v>148013500.16732648</v>
      </c>
    </row>
    <row r="13532" spans="1:2" x14ac:dyDescent="0.25">
      <c r="A13532">
        <f ca="1">32155.2837611236*((RANDBETWEEN(2979,3282)))</f>
        <v>96079987.878237396</v>
      </c>
      <c r="B13532">
        <v>191257778.87500611</v>
      </c>
    </row>
    <row r="13533" spans="1:2" x14ac:dyDescent="0.25">
      <c r="A13533">
        <f ca="1">37919.7291090301*((RANDBETWEEN(2979,3282)))</f>
        <v>116792765.65581258</v>
      </c>
      <c r="B13533">
        <v>197712066.80964679</v>
      </c>
    </row>
    <row r="13534" spans="1:2" x14ac:dyDescent="0.25">
      <c r="A13534">
        <f ca="1">32103.4903237194*((RANDBETWEEN(2979,3282)))</f>
        <v>104721585.43597259</v>
      </c>
      <c r="B13534">
        <v>184775879.48881707</v>
      </c>
    </row>
    <row r="13535" spans="1:2" x14ac:dyDescent="0.25">
      <c r="A13535">
        <f ca="1">32026.9787774783*((RANDBETWEEN(2979,3282)))</f>
        <v>96016882.374880016</v>
      </c>
      <c r="B13535">
        <v>164476146.94419968</v>
      </c>
    </row>
    <row r="13536" spans="1:2" x14ac:dyDescent="0.25">
      <c r="A13536">
        <f ca="1">39443.7740382359*((RANDBETWEEN(2979,3282)))</f>
        <v>124681769.73486362</v>
      </c>
      <c r="B13536">
        <v>148017600.58634749</v>
      </c>
    </row>
    <row r="13537" spans="1:2" x14ac:dyDescent="0.25">
      <c r="A13537">
        <f ca="1">30945.3716751814*((RANDBETWEEN(2979,3282)))</f>
        <v>93083677.998945504</v>
      </c>
      <c r="B13537">
        <v>182936027.21426678</v>
      </c>
    </row>
    <row r="13538" spans="1:2" x14ac:dyDescent="0.25">
      <c r="A13538">
        <f ca="1">35686.8437692687*((RANDBETWEEN(2979,3282)))</f>
        <v>114019465.84281336</v>
      </c>
      <c r="B13538">
        <v>176870137.24904215</v>
      </c>
    </row>
    <row r="13539" spans="1:2" x14ac:dyDescent="0.25">
      <c r="A13539">
        <f ca="1">33745.6591560583*((RANDBETWEEN(2979,3282)))</f>
        <v>110483288.07693481</v>
      </c>
      <c r="B13539">
        <v>161981440.59829971</v>
      </c>
    </row>
    <row r="13540" spans="1:2" x14ac:dyDescent="0.25">
      <c r="A13540">
        <f ca="1">36333.5954522181*((RANDBETWEEN(2979,3282)))</f>
        <v>112743146.68823287</v>
      </c>
      <c r="B13540">
        <v>153220560.40479979</v>
      </c>
    </row>
    <row r="13541" spans="1:2" x14ac:dyDescent="0.25">
      <c r="A13541">
        <f ca="1">29526.8961971564*((RANDBETWEEN(2979,3282)))</f>
        <v>96464369.876110107</v>
      </c>
      <c r="B13541">
        <v>170072306.17380294</v>
      </c>
    </row>
    <row r="13542" spans="1:2" x14ac:dyDescent="0.25">
      <c r="A13542">
        <f ca="1">29668.0025991247*((RANDBETWEEN(2979,3282)))</f>
        <v>93543212.195040211</v>
      </c>
      <c r="B13542">
        <v>145480920.94751635</v>
      </c>
    </row>
    <row r="13543" spans="1:2" x14ac:dyDescent="0.25">
      <c r="A13543">
        <f ca="1">29164.4323744347*((RANDBETWEEN(2979,3282)))</f>
        <v>94405267.596045271</v>
      </c>
      <c r="B13543">
        <v>166573675.87639326</v>
      </c>
    </row>
    <row r="13544" spans="1:2" x14ac:dyDescent="0.25">
      <c r="A13544">
        <f ca="1">32405.0597335468*((RANDBETWEEN(2979,3282)))</f>
        <v>98543786.649715871</v>
      </c>
      <c r="B13544">
        <v>157519249.03228474</v>
      </c>
    </row>
    <row r="13545" spans="1:2" x14ac:dyDescent="0.25">
      <c r="A13545">
        <f ca="1">30531.5417718816*((RANDBETWEEN(2979,3282)))</f>
        <v>93701301.697904617</v>
      </c>
      <c r="B13545">
        <v>167033243.2917434</v>
      </c>
    </row>
    <row r="13546" spans="1:2" x14ac:dyDescent="0.25">
      <c r="A13546">
        <f ca="1">31246.6442950443*((RANDBETWEEN(2979,3282)))</f>
        <v>99239342.281060696</v>
      </c>
      <c r="B13546">
        <v>154071932.35180441</v>
      </c>
    </row>
    <row r="13547" spans="1:2" x14ac:dyDescent="0.25">
      <c r="A13547">
        <f ca="1">32262.8064763458*((RANDBETWEEN(2979,3282)))</f>
        <v>104273390.53154972</v>
      </c>
      <c r="B13547">
        <v>196926108.35955793</v>
      </c>
    </row>
    <row r="13548" spans="1:2" x14ac:dyDescent="0.25">
      <c r="A13548">
        <f ca="1">33908.2012840575*((RANDBETWEEN(2979,3282)))</f>
        <v>105929220.81139566</v>
      </c>
      <c r="B13548">
        <v>165093040.7676751</v>
      </c>
    </row>
    <row r="13549" spans="1:2" x14ac:dyDescent="0.25">
      <c r="A13549">
        <f ca="1">42361.1899665207*((RANDBETWEEN(2979,3282)))</f>
        <v>130557187.47681679</v>
      </c>
      <c r="B13549">
        <v>183966089.21990046</v>
      </c>
    </row>
    <row r="13550" spans="1:2" x14ac:dyDescent="0.25">
      <c r="A13550">
        <f ca="1">31662.3958396144*((RANDBETWEEN(2979,3282)))</f>
        <v>98438388.665361032</v>
      </c>
      <c r="B13550">
        <v>151373495.20094147</v>
      </c>
    </row>
    <row r="13551" spans="1:2" x14ac:dyDescent="0.25">
      <c r="A13551">
        <f ca="1">31970.8955309271*((RANDBETWEEN(2979,3282)))</f>
        <v>95624948.533002898</v>
      </c>
      <c r="B13551">
        <v>197672014.71711332</v>
      </c>
    </row>
    <row r="13552" spans="1:2" x14ac:dyDescent="0.25">
      <c r="A13552">
        <f ca="1">30711.9430743115*((RANDBETWEEN(2979,3282)))</f>
        <v>95606278.790331751</v>
      </c>
      <c r="B13552">
        <v>201025394.01586282</v>
      </c>
    </row>
    <row r="13553" spans="1:2" x14ac:dyDescent="0.25">
      <c r="A13553">
        <f ca="1">32745.3850596922*((RANDBETWEEN(2979,3282)))</f>
        <v>102656782.162135</v>
      </c>
      <c r="B13553">
        <v>150525003.19386792</v>
      </c>
    </row>
    <row r="13554" spans="1:2" x14ac:dyDescent="0.25">
      <c r="A13554">
        <f ca="1">38111.0366329725*((RANDBETWEEN(2979,3282)))</f>
        <v>117572548.01272009</v>
      </c>
      <c r="B13554">
        <v>169463975.85730374</v>
      </c>
    </row>
    <row r="13555" spans="1:2" x14ac:dyDescent="0.25">
      <c r="A13555">
        <f ca="1">31916.8126427795*((RANDBETWEEN(2979,3282)))</f>
        <v>99835789.946614191</v>
      </c>
      <c r="B13555">
        <v>200400184.86175963</v>
      </c>
    </row>
    <row r="13556" spans="1:2" x14ac:dyDescent="0.25">
      <c r="A13556">
        <f ca="1">31271.6793359861*((RANDBETWEEN(2979,3282)))</f>
        <v>101414056.08660294</v>
      </c>
      <c r="B13556">
        <v>145085414.10196117</v>
      </c>
    </row>
    <row r="13557" spans="1:2" x14ac:dyDescent="0.25">
      <c r="A13557">
        <f ca="1">31650.4925544894*((RANDBETWEEN(2979,3282)))</f>
        <v>100173808.93495885</v>
      </c>
      <c r="B13557">
        <v>164543151.44132423</v>
      </c>
    </row>
    <row r="13558" spans="1:2" x14ac:dyDescent="0.25">
      <c r="A13558">
        <f ca="1">32403.0479648974*((RANDBETWEEN(2979,3282)))</f>
        <v>102750065.09668979</v>
      </c>
      <c r="B13558">
        <v>181323206.44180122</v>
      </c>
    </row>
    <row r="13559" spans="1:2" x14ac:dyDescent="0.25">
      <c r="A13559">
        <f ca="1">31929.0844479691*((RANDBETWEEN(2979,3282)))</f>
        <v>98469296.437536612</v>
      </c>
      <c r="B13559">
        <v>173834267.59816906</v>
      </c>
    </row>
    <row r="13560" spans="1:2" x14ac:dyDescent="0.25">
      <c r="A13560">
        <f ca="1">36974.5951986714*((RANDBETWEEN(2979,3282)))</f>
        <v>115878381.35263602</v>
      </c>
      <c r="B13560">
        <v>183343519.76564074</v>
      </c>
    </row>
    <row r="13561" spans="1:2" x14ac:dyDescent="0.25">
      <c r="A13561">
        <f ca="1">37381.3096040464*((RANDBETWEEN(2979,3282)))</f>
        <v>120891155.25948615</v>
      </c>
      <c r="B13561">
        <v>192166324.81288874</v>
      </c>
    </row>
    <row r="13562" spans="1:2" x14ac:dyDescent="0.25">
      <c r="A13562">
        <f ca="1">29314.380338067*((RANDBETWEEN(2979,3282)))</f>
        <v>90288291.441246346</v>
      </c>
      <c r="B13562">
        <v>156913447.39314121</v>
      </c>
    </row>
    <row r="13563" spans="1:2" x14ac:dyDescent="0.25">
      <c r="A13563">
        <f ca="1">32244.0108643274*((RANDBETWEEN(2979,3282)))</f>
        <v>102858394.65720449</v>
      </c>
      <c r="B13563">
        <v>173745080.09991553</v>
      </c>
    </row>
    <row r="13564" spans="1:2" x14ac:dyDescent="0.25">
      <c r="A13564">
        <f ca="1">32550.0245046343*((RANDBETWEEN(2979,3282)))</f>
        <v>100872525.93986182</v>
      </c>
      <c r="B13564">
        <v>146857777.04711306</v>
      </c>
    </row>
    <row r="13565" spans="1:2" x14ac:dyDescent="0.25">
      <c r="A13565">
        <f ca="1">42082.3087523983*((RANDBETWEEN(2979,3282)))</f>
        <v>136767503.4452945</v>
      </c>
      <c r="B13565">
        <v>165841495.64071429</v>
      </c>
    </row>
    <row r="13566" spans="1:2" x14ac:dyDescent="0.25">
      <c r="A13566">
        <f ca="1">42184.7218662483*((RANDBETWEEN(2979,3282)))</f>
        <v>134695816.91893077</v>
      </c>
      <c r="B13566">
        <v>171513520.75883466</v>
      </c>
    </row>
    <row r="13567" spans="1:2" x14ac:dyDescent="0.25">
      <c r="A13567">
        <f ca="1">32702.0414449675*((RANDBETWEEN(2979,3282)))</f>
        <v>104810042.83112082</v>
      </c>
      <c r="B13567">
        <v>143778967.80500546</v>
      </c>
    </row>
    <row r="13568" spans="1:2" x14ac:dyDescent="0.25">
      <c r="A13568">
        <f ca="1">30261.6836846365*((RANDBETWEEN(2979,3282)))</f>
        <v>97866285.036114544</v>
      </c>
      <c r="B13568">
        <v>159543530.0324783</v>
      </c>
    </row>
    <row r="13569" spans="1:2" x14ac:dyDescent="0.25">
      <c r="A13569">
        <f ca="1">40755.8453090743*((RANDBETWEEN(2979,3282)))</f>
        <v>123979281.43020388</v>
      </c>
      <c r="B13569">
        <v>166005424.73743436</v>
      </c>
    </row>
    <row r="13570" spans="1:2" x14ac:dyDescent="0.25">
      <c r="A13570">
        <f ca="1">29705.3369523445*((RANDBETWEEN(2979,3282)))</f>
        <v>90987447.085031152</v>
      </c>
      <c r="B13570">
        <v>147124722.36557811</v>
      </c>
    </row>
    <row r="13571" spans="1:2" x14ac:dyDescent="0.25">
      <c r="A13571">
        <f ca="1">33121.9534161171*((RANDBETWEEN(2979,3282)))</f>
        <v>108275665.71728677</v>
      </c>
      <c r="B13571">
        <v>182035596.02477318</v>
      </c>
    </row>
    <row r="13572" spans="1:2" x14ac:dyDescent="0.25">
      <c r="A13572">
        <f ca="1">30632.2116279173*((RANDBETWEEN(2979,3282)))</f>
        <v>95174281.527939245</v>
      </c>
      <c r="B13572">
        <v>187375156.92931038</v>
      </c>
    </row>
    <row r="13573" spans="1:2" x14ac:dyDescent="0.25">
      <c r="A13573">
        <f ca="1">43479.3281944371*((RANDBETWEEN(2979,3282)))</f>
        <v>133655454.86969979</v>
      </c>
      <c r="B13573">
        <v>166810107.32027376</v>
      </c>
    </row>
    <row r="13574" spans="1:2" x14ac:dyDescent="0.25">
      <c r="A13574">
        <f ca="1">31229.5302095463*((RANDBETWEEN(2979,3282)))</f>
        <v>100590316.80494866</v>
      </c>
      <c r="B13574">
        <v>153752722.71209019</v>
      </c>
    </row>
    <row r="13575" spans="1:2" x14ac:dyDescent="0.25">
      <c r="A13575">
        <f ca="1">32109.6308570453*((RANDBETWEEN(2979,3282)))</f>
        <v>102686599.48083092</v>
      </c>
      <c r="B13575">
        <v>199180782.29780659</v>
      </c>
    </row>
    <row r="13576" spans="1:2" x14ac:dyDescent="0.25">
      <c r="A13576">
        <f ca="1">30600.0269812132*((RANDBETWEEN(2979,3282)))</f>
        <v>91800080.943639666</v>
      </c>
      <c r="B13576">
        <v>161425893.53256232</v>
      </c>
    </row>
    <row r="13577" spans="1:2" x14ac:dyDescent="0.25">
      <c r="A13577">
        <f ca="1">30773.2050062833*((RANDBETWEEN(2979,3282)))</f>
        <v>95335389.109465793</v>
      </c>
      <c r="B13577">
        <v>181139184.35261923</v>
      </c>
    </row>
    <row r="13578" spans="1:2" x14ac:dyDescent="0.25">
      <c r="A13578">
        <f ca="1">31792.9168725751*((RANDBETWEEN(2979,3282)))</f>
        <v>97508876.048187941</v>
      </c>
      <c r="B13578">
        <v>192394718.29300052</v>
      </c>
    </row>
    <row r="13579" spans="1:2" x14ac:dyDescent="0.25">
      <c r="A13579">
        <f ca="1">38487.9191338607*((RANDBETWEEN(2979,3282)))</f>
        <v>125586080.13378733</v>
      </c>
      <c r="B13579">
        <v>149401834.46536085</v>
      </c>
    </row>
    <row r="13580" spans="1:2" x14ac:dyDescent="0.25">
      <c r="A13580">
        <f ca="1">37651.1426042829*((RANDBETWEEN(2979,3282)))</f>
        <v>116342030.64723407</v>
      </c>
      <c r="B13580">
        <v>178977411.40244821</v>
      </c>
    </row>
    <row r="13581" spans="1:2" x14ac:dyDescent="0.25">
      <c r="A13581">
        <f ca="1">33770.895621747*((RANDBETWEEN(2979,3282)))</f>
        <v>108708513.00640345</v>
      </c>
      <c r="B13581">
        <v>143809027.42426282</v>
      </c>
    </row>
    <row r="13582" spans="1:2" x14ac:dyDescent="0.25">
      <c r="A13582">
        <f ca="1">32683.4537992605*((RANDBETWEEN(2979,3282)))</f>
        <v>106417325.57039225</v>
      </c>
      <c r="B13582">
        <v>153868051.99803635</v>
      </c>
    </row>
    <row r="13583" spans="1:2" x14ac:dyDescent="0.25">
      <c r="A13583">
        <f ca="1">37023.744487788*((RANDBETWEEN(2979,3282)))</f>
        <v>113959085.53341161</v>
      </c>
      <c r="B13583">
        <v>175173868.10572216</v>
      </c>
    </row>
    <row r="13584" spans="1:2" x14ac:dyDescent="0.25">
      <c r="A13584">
        <f ca="1">33619.5296715015*((RANDBETWEEN(2979,3282)))</f>
        <v>104758454.45639865</v>
      </c>
      <c r="B13584">
        <v>175828159.82468933</v>
      </c>
    </row>
    <row r="13585" spans="1:2" x14ac:dyDescent="0.25">
      <c r="A13585">
        <f ca="1">38581.7784417091*((RANDBETWEEN(2979,3282)))</f>
        <v>120066494.51059873</v>
      </c>
      <c r="B13585">
        <v>157004242.03262872</v>
      </c>
    </row>
    <row r="13586" spans="1:2" x14ac:dyDescent="0.25">
      <c r="A13586">
        <f ca="1">30415.2058358483*((RANDBETWEEN(2979,3282)))</f>
        <v>95868728.794593975</v>
      </c>
      <c r="B13586">
        <v>196760321.15473026</v>
      </c>
    </row>
    <row r="13587" spans="1:2" x14ac:dyDescent="0.25">
      <c r="A13587">
        <f ca="1">30062.963620917*((RANDBETWEEN(2979,3282)))</f>
        <v>91631913.11655511</v>
      </c>
      <c r="B13587">
        <v>148570459.46435863</v>
      </c>
    </row>
    <row r="13588" spans="1:2" x14ac:dyDescent="0.25">
      <c r="A13588">
        <f ca="1">30106.2809616557*((RANDBETWEEN(2979,3282)))</f>
        <v>98056157.092112735</v>
      </c>
      <c r="B13588">
        <v>155183797.66079774</v>
      </c>
    </row>
    <row r="13589" spans="1:2" x14ac:dyDescent="0.25">
      <c r="A13589">
        <f ca="1">30134.3960708951*((RANDBETWEEN(2979,3282)))</f>
        <v>91940042.412300929</v>
      </c>
      <c r="B13589">
        <v>192700447.8376582</v>
      </c>
    </row>
    <row r="13590" spans="1:2" x14ac:dyDescent="0.25">
      <c r="A13590">
        <f ca="1">27648.7607044059*((RANDBETWEEN(2979,3282)))</f>
        <v>84992290.405343622</v>
      </c>
      <c r="B13590">
        <v>177199825.69815946</v>
      </c>
    </row>
    <row r="13591" spans="1:2" x14ac:dyDescent="0.25">
      <c r="A13591">
        <f ca="1">31498.9992342944*((RANDBETWEEN(2979,3282)))</f>
        <v>98843859.597215787</v>
      </c>
      <c r="B13591">
        <v>154749704.16953453</v>
      </c>
    </row>
    <row r="13592" spans="1:2" x14ac:dyDescent="0.25">
      <c r="A13592">
        <f ca="1">35641.2746158358*((RANDBETWEEN(2979,3282)))</f>
        <v>108492039.93060406</v>
      </c>
      <c r="B13592">
        <v>179702155.65685526</v>
      </c>
    </row>
    <row r="13593" spans="1:2" x14ac:dyDescent="0.25">
      <c r="A13593">
        <f ca="1">32240.3845103849*((RANDBETWEEN(2979,3282)))</f>
        <v>102266499.66694099</v>
      </c>
      <c r="B13593">
        <v>194948443.61223045</v>
      </c>
    </row>
    <row r="13594" spans="1:2" x14ac:dyDescent="0.25">
      <c r="A13594">
        <f ca="1">32186.7391530127*((RANDBETWEEN(2979,3282)))</f>
        <v>103641300.07270074</v>
      </c>
      <c r="B13594">
        <v>144387456.11739847</v>
      </c>
    </row>
    <row r="13595" spans="1:2" x14ac:dyDescent="0.25">
      <c r="A13595">
        <f ca="1">29555.1132522142*((RANDBETWEEN(2979,3282)))</f>
        <v>93246382.310735881</v>
      </c>
      <c r="B13595">
        <v>190164681.85135442</v>
      </c>
    </row>
    <row r="13596" spans="1:2" x14ac:dyDescent="0.25">
      <c r="A13596">
        <f ca="1">31587.1334040643*((RANDBETWEEN(2979,3282)))</f>
        <v>102279137.96236029</v>
      </c>
      <c r="B13596">
        <v>150048715.45232934</v>
      </c>
    </row>
    <row r="13597" spans="1:2" x14ac:dyDescent="0.25">
      <c r="A13597">
        <f ca="1">30326.0326304485*((RANDBETWEEN(2979,3282)))</f>
        <v>98165367.624761939</v>
      </c>
      <c r="B13597">
        <v>186268227.65757093</v>
      </c>
    </row>
    <row r="13598" spans="1:2" x14ac:dyDescent="0.25">
      <c r="A13598">
        <f ca="1">37884.9893881651*((RANDBETWEEN(2979,3282)))</f>
        <v>118125396.9122989</v>
      </c>
      <c r="B13598">
        <v>152513191.73083171</v>
      </c>
    </row>
    <row r="13599" spans="1:2" x14ac:dyDescent="0.25">
      <c r="A13599">
        <f ca="1">41609.9725977395*((RANDBETWEEN(2979,3282)))</f>
        <v>129032525.02559017</v>
      </c>
      <c r="B13599">
        <v>185657388.25221246</v>
      </c>
    </row>
    <row r="13600" spans="1:2" x14ac:dyDescent="0.25">
      <c r="A13600">
        <f ca="1">39341.6402327773*((RANDBETWEEN(2979,3282)))</f>
        <v>124358924.77580895</v>
      </c>
      <c r="B13600">
        <v>150314153.78962427</v>
      </c>
    </row>
    <row r="13601" spans="1:2" x14ac:dyDescent="0.25">
      <c r="A13601">
        <f ca="1">36581.873510466*((RANDBETWEEN(2979,3282)))</f>
        <v>118378942.67986803</v>
      </c>
      <c r="B13601">
        <v>182559813.31393152</v>
      </c>
    </row>
    <row r="13602" spans="1:2" x14ac:dyDescent="0.25">
      <c r="A13602">
        <f ca="1">34792.0350297763*((RANDBETWEEN(2979,3282)))</f>
        <v>109038237.7833188</v>
      </c>
      <c r="B13602">
        <v>183404247.62397224</v>
      </c>
    </row>
    <row r="13603" spans="1:2" x14ac:dyDescent="0.25">
      <c r="A13603">
        <f ca="1">34097.5413308525*((RANDBETWEEN(2979,3282)))</f>
        <v>108123303.56013343</v>
      </c>
      <c r="B13603">
        <v>161268773.35400113</v>
      </c>
    </row>
    <row r="13604" spans="1:2" x14ac:dyDescent="0.25">
      <c r="A13604">
        <f ca="1">27182.3490550407*((RANDBETWEEN(2979,3282)))</f>
        <v>88288269.730772242</v>
      </c>
      <c r="B13604">
        <v>157665019.41070917</v>
      </c>
    </row>
    <row r="13605" spans="1:2" x14ac:dyDescent="0.25">
      <c r="A13605">
        <f ca="1">36776.6171524184*((RANDBETWEEN(2979,3282)))</f>
        <v>116728982.84177588</v>
      </c>
      <c r="B13605">
        <v>193498618.14987743</v>
      </c>
    </row>
    <row r="13606" spans="1:2" x14ac:dyDescent="0.25">
      <c r="A13606">
        <f ca="1">31995.9829738246*((RANDBETWEEN(2979,3282)))</f>
        <v>100915330.29944284</v>
      </c>
      <c r="B13606">
        <v>188919852.80449134</v>
      </c>
    </row>
    <row r="13607" spans="1:2" x14ac:dyDescent="0.25">
      <c r="A13607">
        <f ca="1">31286.9458216049*((RANDBETWEEN(2979,3282)))</f>
        <v>98898035.742093176</v>
      </c>
      <c r="B13607">
        <v>154599020.73712832</v>
      </c>
    </row>
    <row r="13608" spans="1:2" x14ac:dyDescent="0.25">
      <c r="A13608">
        <f ca="1">29088.5132393917*((RANDBETWEEN(2979,3282)))</f>
        <v>94072251.816192836</v>
      </c>
      <c r="B13608">
        <v>171407586.93954337</v>
      </c>
    </row>
    <row r="13609" spans="1:2" x14ac:dyDescent="0.25">
      <c r="A13609">
        <f ca="1">38411.0172858494*((RANDBETWEEN(2979,3282)))</f>
        <v>120264895.12199444</v>
      </c>
      <c r="B13609">
        <v>156452263.32380754</v>
      </c>
    </row>
    <row r="13610" spans="1:2" x14ac:dyDescent="0.25">
      <c r="A13610">
        <f ca="1">30592.3050559806*((RANDBETWEEN(2979,3282)))</f>
        <v>95570360.994883537</v>
      </c>
      <c r="B13610">
        <v>146524983.88166949</v>
      </c>
    </row>
    <row r="13611" spans="1:2" x14ac:dyDescent="0.25">
      <c r="A13611">
        <f ca="1">30265.7081518025*((RANDBETWEEN(2979,3282)))</f>
        <v>90191810.292371318</v>
      </c>
      <c r="B13611">
        <v>176383238.91452301</v>
      </c>
    </row>
    <row r="13612" spans="1:2" x14ac:dyDescent="0.25">
      <c r="A13612">
        <f ca="1">32862.2756199611*((RANDBETWEEN(2979,3282)))</f>
        <v>98389653.206163615</v>
      </c>
      <c r="B13612">
        <v>201509655.94335285</v>
      </c>
    </row>
    <row r="13613" spans="1:2" x14ac:dyDescent="0.25">
      <c r="A13613">
        <f ca="1">29171.5188856422*((RANDBETWEEN(2979,3282)))</f>
        <v>94165662.962853119</v>
      </c>
      <c r="B13613">
        <v>155074892.8345491</v>
      </c>
    </row>
    <row r="13614" spans="1:2" x14ac:dyDescent="0.25">
      <c r="A13614">
        <f ca="1">28208.1270981682*((RANDBETWEEN(2979,3282)))</f>
        <v>89447971.028291509</v>
      </c>
      <c r="B13614">
        <v>178458845.04311576</v>
      </c>
    </row>
    <row r="13615" spans="1:2" x14ac:dyDescent="0.25">
      <c r="A13615">
        <f ca="1">37225.3629604076*((RANDBETWEEN(2979,3282)))</f>
        <v>112271694.68858927</v>
      </c>
      <c r="B13615">
        <v>163162993.36504441</v>
      </c>
    </row>
    <row r="13616" spans="1:2" x14ac:dyDescent="0.25">
      <c r="A13616">
        <f ca="1">30621.2132126197*((RANDBETWEEN(2979,3282)))</f>
        <v>99610806.58065185</v>
      </c>
      <c r="B13616">
        <v>165456231.85338411</v>
      </c>
    </row>
    <row r="13617" spans="1:2" x14ac:dyDescent="0.25">
      <c r="A13617">
        <f ca="1">36985.8900476486*((RANDBETWEEN(2979,3282)))</f>
        <v>112659021.08513777</v>
      </c>
      <c r="B13617">
        <v>193596327.60021558</v>
      </c>
    </row>
    <row r="13618" spans="1:2" x14ac:dyDescent="0.25">
      <c r="A13618">
        <f ca="1">31738.558841606*((RANDBETWEEN(2979,3282)))</f>
        <v>94612643.906827345</v>
      </c>
      <c r="B13618">
        <v>175521043.86528194</v>
      </c>
    </row>
    <row r="13619" spans="1:2" x14ac:dyDescent="0.25">
      <c r="A13619">
        <f ca="1">28966.1822072209*((RANDBETWEEN(2979,3282)))</f>
        <v>94893212.910855547</v>
      </c>
      <c r="B13619">
        <v>162897443.03274259</v>
      </c>
    </row>
    <row r="13620" spans="1:2" x14ac:dyDescent="0.25">
      <c r="A13620">
        <f ca="1">32438.9787770289*((RANDBETWEEN(2979,3282)))</f>
        <v>103350586.3836142</v>
      </c>
      <c r="B13620">
        <v>183198143.38449878</v>
      </c>
    </row>
    <row r="13621" spans="1:2" x14ac:dyDescent="0.25">
      <c r="A13621">
        <f ca="1">35059.104342327*((RANDBETWEEN(2979,3282)))</f>
        <v>108017100.47870953</v>
      </c>
      <c r="B13621">
        <v>180274594.27452153</v>
      </c>
    </row>
    <row r="13622" spans="1:2" x14ac:dyDescent="0.25">
      <c r="A13622">
        <f ca="1">39283.8884423249*((RANDBETWEEN(2979,3282)))</f>
        <v>126572688.56117085</v>
      </c>
      <c r="B13622">
        <v>167698448.99274042</v>
      </c>
    </row>
    <row r="13623" spans="1:2" x14ac:dyDescent="0.25">
      <c r="A13623">
        <f ca="1">36413.5170808191*((RANDBETWEEN(2979,3282)))</f>
        <v>116960216.86359084</v>
      </c>
      <c r="B13623">
        <v>151845138.86772969</v>
      </c>
    </row>
    <row r="13624" spans="1:2" x14ac:dyDescent="0.25">
      <c r="A13624">
        <f ca="1">41924.5054266756*((RANDBETWEEN(2979,3282)))</f>
        <v>135877322.08785561</v>
      </c>
      <c r="B13624">
        <v>153541235.45315862</v>
      </c>
    </row>
    <row r="13625" spans="1:2" x14ac:dyDescent="0.25">
      <c r="A13625">
        <f ca="1">33549.0811535038*((RANDBETWEEN(2979,3282)))</f>
        <v>103700209.84548029</v>
      </c>
      <c r="B13625">
        <v>178786225.20803809</v>
      </c>
    </row>
    <row r="13626" spans="1:2" x14ac:dyDescent="0.25">
      <c r="A13626">
        <f ca="1">38658.9128585958*((RANDBETWEEN(2979,3282)))</f>
        <v>121427645.28884937</v>
      </c>
      <c r="B13626">
        <v>189467216.1471768</v>
      </c>
    </row>
    <row r="13627" spans="1:2" x14ac:dyDescent="0.25">
      <c r="A13627">
        <f ca="1">33181.317347568*((RANDBETWEEN(2979,3282)))</f>
        <v>105582951.79996127</v>
      </c>
      <c r="B13627">
        <v>190134277.01622248</v>
      </c>
    </row>
    <row r="13628" spans="1:2" x14ac:dyDescent="0.25">
      <c r="A13628">
        <f ca="1">37182.2763810822*((RANDBETWEEN(2979,3282)))</f>
        <v>113480307.515063</v>
      </c>
      <c r="B13628">
        <v>155465307.55469379</v>
      </c>
    </row>
    <row r="13629" spans="1:2" x14ac:dyDescent="0.25">
      <c r="A13629">
        <f ca="1">30017.5895172556*((RANDBETWEEN(2979,3282)))</f>
        <v>98307605.66901207</v>
      </c>
      <c r="B13629">
        <v>158191381.56293267</v>
      </c>
    </row>
    <row r="13630" spans="1:2" x14ac:dyDescent="0.25">
      <c r="A13630">
        <f ca="1">36203.4678503429*((RANDBETWEEN(2979,3282)))</f>
        <v>113353057.8394237</v>
      </c>
      <c r="B13630">
        <v>160729812.5320085</v>
      </c>
    </row>
    <row r="13631" spans="1:2" x14ac:dyDescent="0.25">
      <c r="A13631">
        <f ca="1">32431.1618159594*((RANDBETWEEN(2979,3282)))</f>
        <v>103974304.78196578</v>
      </c>
      <c r="B13631">
        <v>201279635.16437113</v>
      </c>
    </row>
    <row r="13632" spans="1:2" x14ac:dyDescent="0.25">
      <c r="A13632">
        <f ca="1">30024.4884896608*((RANDBETWEEN(2979,3282)))</f>
        <v>94156795.9035763</v>
      </c>
      <c r="B13632">
        <v>162503503.26488727</v>
      </c>
    </row>
    <row r="13633" spans="1:2" x14ac:dyDescent="0.25">
      <c r="A13633">
        <f ca="1">30947.0739115592*((RANDBETWEEN(2979,3282)))</f>
        <v>92253227.330357984</v>
      </c>
      <c r="B13633">
        <v>183299514.23611629</v>
      </c>
    </row>
    <row r="13634" spans="1:2" x14ac:dyDescent="0.25">
      <c r="A13634">
        <f ca="1">31469.6458297*((RANDBETWEEN(2979,3282)))</f>
        <v>96328585.884711742</v>
      </c>
      <c r="B13634">
        <v>161943332.17549801</v>
      </c>
    </row>
    <row r="13635" spans="1:2" x14ac:dyDescent="0.25">
      <c r="A13635">
        <f ca="1">36014.9323341816*((RANDBETWEEN(2979,3282)))</f>
        <v>113014857.66466177</v>
      </c>
      <c r="B13635">
        <v>167640022.70352355</v>
      </c>
    </row>
    <row r="13636" spans="1:2" x14ac:dyDescent="0.25">
      <c r="A13636">
        <f ca="1">33233.6129468629*((RANDBETWEEN(2979,3282)))</f>
        <v>104885282.46029919</v>
      </c>
      <c r="B13636">
        <v>171120584.32244241</v>
      </c>
    </row>
    <row r="13637" spans="1:2" x14ac:dyDescent="0.25">
      <c r="A13637">
        <f ca="1">33519.7615433883*((RANDBETWEEN(2979,3282)))</f>
        <v>109844258.57768361</v>
      </c>
      <c r="B13637">
        <v>160102303.0175997</v>
      </c>
    </row>
    <row r="13638" spans="1:2" x14ac:dyDescent="0.25">
      <c r="A13638">
        <f ca="1">28050.2387513628*((RANDBETWEEN(2979,3282)))</f>
        <v>85356876.520397007</v>
      </c>
      <c r="B13638">
        <v>147250258.64592686</v>
      </c>
    </row>
    <row r="13639" spans="1:2" x14ac:dyDescent="0.25">
      <c r="A13639">
        <f ca="1">32686.1975204559*((RANDBETWEEN(2979,3282)))</f>
        <v>97437554.808479086</v>
      </c>
      <c r="B13639">
        <v>158288153.92891777</v>
      </c>
    </row>
    <row r="13640" spans="1:2" x14ac:dyDescent="0.25">
      <c r="A13640">
        <f ca="1">31651.4569029475*((RANDBETWEEN(2979,3282)))</f>
        <v>99955300.899508104</v>
      </c>
      <c r="B13640">
        <v>158001499.16818118</v>
      </c>
    </row>
    <row r="13641" spans="1:2" x14ac:dyDescent="0.25">
      <c r="A13641">
        <f ca="1">30108.649669075*((RANDBETWEEN(2979,3282)))</f>
        <v>96708982.737068906</v>
      </c>
      <c r="B13641">
        <v>144057012.91833973</v>
      </c>
    </row>
    <row r="13642" spans="1:2" x14ac:dyDescent="0.25">
      <c r="A13642">
        <f ca="1">30240.0672734811*((RANDBETWEEN(2979,3282)))</f>
        <v>95891253.324208707</v>
      </c>
      <c r="B13642">
        <v>194241283.63301656</v>
      </c>
    </row>
    <row r="13643" spans="1:2" x14ac:dyDescent="0.25">
      <c r="A13643">
        <f ca="1">31427.1505509978*((RANDBETWEEN(2979,3282)))</f>
        <v>100535454.61264181</v>
      </c>
      <c r="B13643">
        <v>159196324.72509322</v>
      </c>
    </row>
    <row r="13644" spans="1:2" x14ac:dyDescent="0.25">
      <c r="A13644">
        <f ca="1">39283.4433049061*((RANDBETWEEN(2979,3282)))</f>
        <v>127317639.75120057</v>
      </c>
      <c r="B13644">
        <v>152213638.01244873</v>
      </c>
    </row>
    <row r="13645" spans="1:2" x14ac:dyDescent="0.25">
      <c r="A13645">
        <f ca="1">33066.2945334971*((RANDBETWEEN(2979,3282)))</f>
        <v>98669822.887955368</v>
      </c>
      <c r="B13645">
        <v>174826443.55958438</v>
      </c>
    </row>
    <row r="13646" spans="1:2" x14ac:dyDescent="0.25">
      <c r="A13646">
        <f ca="1">40882.6747174622*((RANDBETWEEN(2979,3282)))</f>
        <v>131683095.26494582</v>
      </c>
      <c r="B13646">
        <v>158666338.02460271</v>
      </c>
    </row>
    <row r="13647" spans="1:2" x14ac:dyDescent="0.25">
      <c r="A13647">
        <f ca="1">32572.5428227581*((RANDBETWEEN(2979,3282)))</f>
        <v>104557862.46105342</v>
      </c>
      <c r="B13647">
        <v>191203697.69154501</v>
      </c>
    </row>
    <row r="13648" spans="1:2" x14ac:dyDescent="0.25">
      <c r="A13648">
        <f ca="1">35159.525782493*((RANDBETWEEN(2979,3282)))</f>
        <v>108959370.39994577</v>
      </c>
      <c r="B13648">
        <v>142992720.33365661</v>
      </c>
    </row>
    <row r="13649" spans="1:2" x14ac:dyDescent="0.25">
      <c r="A13649">
        <f ca="1">29025.0983194172*((RANDBETWEEN(2979,3282)))</f>
        <v>92009561.672552541</v>
      </c>
      <c r="B13649">
        <v>155475673.34279075</v>
      </c>
    </row>
    <row r="13650" spans="1:2" x14ac:dyDescent="0.25">
      <c r="A13650">
        <f ca="1">31038.4907148969*((RANDBETWEEN(2979,3282)))</f>
        <v>101371710.67485327</v>
      </c>
      <c r="B13650">
        <v>150298366.33823332</v>
      </c>
    </row>
    <row r="13651" spans="1:2" x14ac:dyDescent="0.25">
      <c r="A13651">
        <f ca="1">28782.3915194087*((RANDBETWEEN(2979,3282)))</f>
        <v>88851242.620414674</v>
      </c>
      <c r="B13651">
        <v>187796633.19629532</v>
      </c>
    </row>
    <row r="13652" spans="1:2" x14ac:dyDescent="0.25">
      <c r="A13652">
        <f ca="1">31657.5392650474*((RANDBETWEEN(2979,3282)))</f>
        <v>95510795.962647855</v>
      </c>
      <c r="B13652">
        <v>158506314.15324333</v>
      </c>
    </row>
    <row r="13653" spans="1:2" x14ac:dyDescent="0.25">
      <c r="A13653">
        <f ca="1">35071.2959667998*((RANDBETWEEN(2979,3282)))</f>
        <v>109562728.60028245</v>
      </c>
      <c r="B13653">
        <v>145121789.23306513</v>
      </c>
    </row>
    <row r="13654" spans="1:2" x14ac:dyDescent="0.25">
      <c r="A13654">
        <f ca="1">31780.078047871*((RANDBETWEEN(2979,3282)))</f>
        <v>102363631.39219233</v>
      </c>
      <c r="B13654">
        <v>176833358.07760793</v>
      </c>
    </row>
    <row r="13655" spans="1:2" x14ac:dyDescent="0.25">
      <c r="A13655">
        <f ca="1">40573.8191729227*((RANDBETWEEN(2979,3282)))</f>
        <v>120991128.77365565</v>
      </c>
      <c r="B13655">
        <v>168094292.04400098</v>
      </c>
    </row>
    <row r="13656" spans="1:2" x14ac:dyDescent="0.25">
      <c r="A13656">
        <f ca="1">33263.0089567126*((RANDBETWEEN(2979,3282)))</f>
        <v>108703513.27053681</v>
      </c>
      <c r="B13656">
        <v>175690560.95640606</v>
      </c>
    </row>
    <row r="13657" spans="1:2" x14ac:dyDescent="0.25">
      <c r="A13657">
        <f ca="1">28912.6191552795*((RANDBETWEEN(2979,3282)))</f>
        <v>92607119.15436013</v>
      </c>
      <c r="B13657">
        <v>157484502.46752554</v>
      </c>
    </row>
    <row r="13658" spans="1:2" x14ac:dyDescent="0.25">
      <c r="A13658">
        <f ca="1">32722.8277051054*((RANDBETWEEN(2979,3282)))</f>
        <v>104222206.24076067</v>
      </c>
      <c r="B13658">
        <v>171260374.61430824</v>
      </c>
    </row>
    <row r="13659" spans="1:2" x14ac:dyDescent="0.25">
      <c r="A13659">
        <f ca="1">31129.056282207*((RANDBETWEEN(2979,3282)))</f>
        <v>96655719.756252825</v>
      </c>
      <c r="B13659">
        <v>165790591.82303154</v>
      </c>
    </row>
    <row r="13660" spans="1:2" x14ac:dyDescent="0.25">
      <c r="A13660">
        <f ca="1">31117.6691429986*((RANDBETWEEN(2979,3282)))</f>
        <v>95469008.930719852</v>
      </c>
      <c r="B13660">
        <v>184754724.35385871</v>
      </c>
    </row>
    <row r="13661" spans="1:2" x14ac:dyDescent="0.25">
      <c r="A13661">
        <f ca="1">30053.8196086981*((RANDBETWEEN(2979,3282)))</f>
        <v>92205118.559485838</v>
      </c>
      <c r="B13661">
        <v>197320245.56223872</v>
      </c>
    </row>
    <row r="13662" spans="1:2" x14ac:dyDescent="0.25">
      <c r="A13662">
        <f ca="1">34402.5378803406*((RANDBETWEEN(2979,3282)))</f>
        <v>103070003.48950058</v>
      </c>
      <c r="B13662">
        <v>181366593.46138668</v>
      </c>
    </row>
    <row r="13663" spans="1:2" x14ac:dyDescent="0.25">
      <c r="A13663">
        <f ca="1">28008.6334853872*((RANDBETWEEN(2979,3282)))</f>
        <v>90579920.691742197</v>
      </c>
      <c r="B13663">
        <v>177077691.59775689</v>
      </c>
    </row>
    <row r="13664" spans="1:2" x14ac:dyDescent="0.25">
      <c r="A13664">
        <f ca="1">32709.9967025807*((RANDBETWEEN(2979,3282)))</f>
        <v>106896269.22403374</v>
      </c>
      <c r="B13664">
        <v>146074689.01554057</v>
      </c>
    </row>
    <row r="13665" spans="1:2" x14ac:dyDescent="0.25">
      <c r="A13665">
        <f ca="1">34151.2994900326*((RANDBETWEEN(2979,3282)))</f>
        <v>102966167.96244834</v>
      </c>
      <c r="B13665">
        <v>174162642.50180557</v>
      </c>
    </row>
    <row r="13666" spans="1:2" x14ac:dyDescent="0.25">
      <c r="A13666">
        <f ca="1">39805.8725803112*((RANDBETWEEN(2979,3282)))</f>
        <v>125706945.60862277</v>
      </c>
      <c r="B13666">
        <v>182673228.82228389</v>
      </c>
    </row>
    <row r="13667" spans="1:2" x14ac:dyDescent="0.25">
      <c r="A13667">
        <f ca="1">36801.8953627318*((RANDBETWEEN(2979,3282)))</f>
        <v>115042724.9038996</v>
      </c>
      <c r="B13667">
        <v>167204616.24419415</v>
      </c>
    </row>
    <row r="13668" spans="1:2" x14ac:dyDescent="0.25">
      <c r="A13668">
        <f ca="1">31811.3061736294*((RANDBETWEEN(2979,3282)))</f>
        <v>97183540.36043793</v>
      </c>
      <c r="B13668">
        <v>171456311.70085406</v>
      </c>
    </row>
    <row r="13669" spans="1:2" x14ac:dyDescent="0.25">
      <c r="A13669">
        <f ca="1">31435.2331509238*((RANDBETWEEN(2979,3282)))</f>
        <v>102761777.17036998</v>
      </c>
      <c r="B13669">
        <v>170437337.1973668</v>
      </c>
    </row>
    <row r="13670" spans="1:2" x14ac:dyDescent="0.25">
      <c r="A13670">
        <f ca="1">30919.2142789481*((RANDBETWEEN(2979,3282)))</f>
        <v>96900817.550223336</v>
      </c>
      <c r="B13670">
        <v>151182050.97271743</v>
      </c>
    </row>
    <row r="13671" spans="1:2" x14ac:dyDescent="0.25">
      <c r="A13671">
        <f ca="1">38491.6416186157*((RANDBETWEEN(2979,3282)))</f>
        <v>121749062.43968144</v>
      </c>
      <c r="B13671">
        <v>148157383.81788823</v>
      </c>
    </row>
    <row r="13672" spans="1:2" x14ac:dyDescent="0.25">
      <c r="A13672">
        <f ca="1">39634.4507108345*((RANDBETWEEN(2979,3282)))</f>
        <v>125403402.04908042</v>
      </c>
      <c r="B13672">
        <v>152149600.74652272</v>
      </c>
    </row>
    <row r="13673" spans="1:2" x14ac:dyDescent="0.25">
      <c r="A13673">
        <f ca="1">32059.0103471232*((RANDBETWEEN(2979,3282)))</f>
        <v>100793528.53135532</v>
      </c>
      <c r="B13673">
        <v>156714093.4993431</v>
      </c>
    </row>
    <row r="13674" spans="1:2" x14ac:dyDescent="0.25">
      <c r="A13674">
        <f ca="1">29204.3063613476*((RANDBETWEEN(2979,3282)))</f>
        <v>87700532.003126889</v>
      </c>
      <c r="B13674">
        <v>150282026.80306953</v>
      </c>
    </row>
    <row r="13675" spans="1:2" x14ac:dyDescent="0.25">
      <c r="A13675">
        <f ca="1">33282.1984790406*((RANDBETWEEN(2979,3282)))</f>
        <v>100379110.61278631</v>
      </c>
      <c r="B13675">
        <v>153534133.39793661</v>
      </c>
    </row>
    <row r="13676" spans="1:2" x14ac:dyDescent="0.25">
      <c r="A13676">
        <f ca="1">31229.9307427044*((RANDBETWEEN(2979,3282)))</f>
        <v>94938989.457821429</v>
      </c>
      <c r="B13676">
        <v>163599514.22889006</v>
      </c>
    </row>
    <row r="13677" spans="1:2" x14ac:dyDescent="0.25">
      <c r="A13677">
        <f ca="1">39150.0075574116*((RANDBETWEEN(2979,3282)))</f>
        <v>126063024.33486539</v>
      </c>
      <c r="B13677">
        <v>161831790.90639937</v>
      </c>
    </row>
    <row r="13678" spans="1:2" x14ac:dyDescent="0.25">
      <c r="A13678">
        <f ca="1">29213.2274745116*((RANDBETWEEN(2979,3282)))</f>
        <v>92635144.32167612</v>
      </c>
      <c r="B13678">
        <v>198281222.54559866</v>
      </c>
    </row>
    <row r="13679" spans="1:2" x14ac:dyDescent="0.25">
      <c r="A13679">
        <f ca="1">31681.6659284747*((RANDBETWEEN(2979,3282)))</f>
        <v>98625026.035341859</v>
      </c>
      <c r="B13679">
        <v>158734661.83801642</v>
      </c>
    </row>
    <row r="13680" spans="1:2" x14ac:dyDescent="0.25">
      <c r="A13680">
        <f ca="1">31824.1072846109*((RANDBETWEEN(2979,3282)))</f>
        <v>103237404.03127764</v>
      </c>
      <c r="B13680">
        <v>170839949.39822644</v>
      </c>
    </row>
    <row r="13681" spans="1:2" x14ac:dyDescent="0.25">
      <c r="A13681">
        <f ca="1">30665.1175944426*((RANDBETWEEN(2979,3282)))</f>
        <v>99477641.476371661</v>
      </c>
      <c r="B13681">
        <v>151594855.82202566</v>
      </c>
    </row>
    <row r="13682" spans="1:2" x14ac:dyDescent="0.25">
      <c r="A13682">
        <f ca="1">30982.4768049888*((RANDBETWEEN(2979,3282)))</f>
        <v>99515715.497623906</v>
      </c>
      <c r="B13682">
        <v>169008014.54613656</v>
      </c>
    </row>
    <row r="13683" spans="1:2" x14ac:dyDescent="0.25">
      <c r="A13683">
        <f ca="1">33842.2497331558*((RANDBETWEEN(2979,3282)))</f>
        <v>102643543.4406615</v>
      </c>
      <c r="B13683">
        <v>180782022.72893557</v>
      </c>
    </row>
    <row r="13684" spans="1:2" x14ac:dyDescent="0.25">
      <c r="A13684">
        <f ca="1">35769.4582917195*((RANDBETWEEN(2979,3282)))</f>
        <v>110026853.70532918</v>
      </c>
      <c r="B13684">
        <v>169030231.01109269</v>
      </c>
    </row>
    <row r="13685" spans="1:2" x14ac:dyDescent="0.25">
      <c r="A13685">
        <f ca="1">37107.6135517905*((RANDBETWEEN(2979,3282)))</f>
        <v>115812861.89513813</v>
      </c>
      <c r="B13685">
        <v>161859687.72233635</v>
      </c>
    </row>
    <row r="13686" spans="1:2" x14ac:dyDescent="0.25">
      <c r="A13686">
        <f ca="1">39392.7020856581*((RANDBETWEEN(2979,3282)))</f>
        <v>122905230.50725333</v>
      </c>
      <c r="B13686">
        <v>151639185.76644725</v>
      </c>
    </row>
    <row r="13687" spans="1:2" x14ac:dyDescent="0.25">
      <c r="A13687">
        <f ca="1">29217.570429903*((RANDBETWEEN(2979,3282)))</f>
        <v>91480213.016026437</v>
      </c>
      <c r="B13687">
        <v>175838854.15846103</v>
      </c>
    </row>
    <row r="13688" spans="1:2" x14ac:dyDescent="0.25">
      <c r="A13688">
        <f ca="1">32907.6568370633*((RANDBETWEEN(2979,3282)))</f>
        <v>107640945.51403405</v>
      </c>
      <c r="B13688">
        <v>147203326.59711415</v>
      </c>
    </row>
    <row r="13689" spans="1:2" x14ac:dyDescent="0.25">
      <c r="A13689">
        <f ca="1">38624.0825920685*((RANDBETWEEN(2979,3282)))</f>
        <v>125489644.34163064</v>
      </c>
      <c r="B13689">
        <v>153529572.27784562</v>
      </c>
    </row>
    <row r="13690" spans="1:2" x14ac:dyDescent="0.25">
      <c r="A13690">
        <f ca="1">35585.8059763178*((RANDBETWEEN(2979,3282)))</f>
        <v>116507928.76646464</v>
      </c>
      <c r="B13690">
        <v>149859588.55562162</v>
      </c>
    </row>
    <row r="13691" spans="1:2" x14ac:dyDescent="0.25">
      <c r="A13691">
        <f ca="1">29652.5142163985*((RANDBETWEEN(2979,3282)))</f>
        <v>89491287.905090734</v>
      </c>
      <c r="B13691">
        <v>198030116.31118506</v>
      </c>
    </row>
    <row r="13692" spans="1:2" x14ac:dyDescent="0.25">
      <c r="A13692">
        <f ca="1">30431.3446984406*((RANDBETWEEN(2979,3282)))</f>
        <v>96010892.523580134</v>
      </c>
      <c r="B13692">
        <v>197126857.18388709</v>
      </c>
    </row>
    <row r="13693" spans="1:2" x14ac:dyDescent="0.25">
      <c r="A13693">
        <f ca="1">32346.3870963529*((RANDBETWEEN(2979,3282)))</f>
        <v>103152628.45026927</v>
      </c>
      <c r="B13693">
        <v>157690226.32395843</v>
      </c>
    </row>
    <row r="13694" spans="1:2" x14ac:dyDescent="0.25">
      <c r="A13694">
        <f ca="1">29728.9691935651*((RANDBETWEEN(2979,3282)))</f>
        <v>96054299.4644088</v>
      </c>
      <c r="B13694">
        <v>144747767.93691671</v>
      </c>
    </row>
    <row r="13695" spans="1:2" x14ac:dyDescent="0.25">
      <c r="A13695">
        <f ca="1">37933.7727806816*((RANDBETWEEN(2979,3282)))</f>
        <v>116267013.57278898</v>
      </c>
      <c r="B13695">
        <v>163555790.7192468</v>
      </c>
    </row>
    <row r="13696" spans="1:2" x14ac:dyDescent="0.25">
      <c r="A13696">
        <f ca="1">33086.4063719764*((RANDBETWEEN(2979,3282)))</f>
        <v>100417243.33894835</v>
      </c>
      <c r="B13696">
        <v>148012572.02406025</v>
      </c>
    </row>
    <row r="13697" spans="1:2" x14ac:dyDescent="0.25">
      <c r="A13697">
        <f ca="1">30600.2784128713*((RANDBETWEEN(2979,3282)))</f>
        <v>97645488.415472239</v>
      </c>
      <c r="B13697">
        <v>169349470.23580635</v>
      </c>
    </row>
    <row r="13698" spans="1:2" x14ac:dyDescent="0.25">
      <c r="A13698">
        <f ca="1">33006.0840945186*((RANDBETWEEN(2979,3282)))</f>
        <v>99216288.788122952</v>
      </c>
      <c r="B13698">
        <v>147586744.1189962</v>
      </c>
    </row>
    <row r="13699" spans="1:2" x14ac:dyDescent="0.25">
      <c r="A13699">
        <f ca="1">38318.5677089244*((RANDBETWEEN(2979,3282)))</f>
        <v>125454990.67901833</v>
      </c>
      <c r="B13699">
        <v>192606359.187962</v>
      </c>
    </row>
    <row r="13700" spans="1:2" x14ac:dyDescent="0.25">
      <c r="A13700">
        <f ca="1">31254.753788885*((RANDBETWEEN(2979,3282)))</f>
        <v>98452474.434987709</v>
      </c>
      <c r="B13700">
        <v>185253536.0533126</v>
      </c>
    </row>
    <row r="13701" spans="1:2" x14ac:dyDescent="0.25">
      <c r="A13701">
        <f ca="1">31128.1162460361*((RANDBETWEEN(2979,3282)))</f>
        <v>96372647.897727817</v>
      </c>
      <c r="B13701">
        <v>200333410.75809321</v>
      </c>
    </row>
    <row r="13702" spans="1:2" x14ac:dyDescent="0.25">
      <c r="A13702">
        <f ca="1">35709.4417603248*((RANDBETWEEN(2979,3282)))</f>
        <v>110806397.78228772</v>
      </c>
      <c r="B13702">
        <v>186014669.38912126</v>
      </c>
    </row>
    <row r="13703" spans="1:2" x14ac:dyDescent="0.25">
      <c r="A13703">
        <f ca="1">35890.2627803387*((RANDBETWEEN(2979,3282)))</f>
        <v>107311885.71321277</v>
      </c>
      <c r="B13703">
        <v>165906544.3166337</v>
      </c>
    </row>
    <row r="13704" spans="1:2" x14ac:dyDescent="0.25">
      <c r="A13704">
        <f ca="1">39388.1173516065*((RANDBETWEEN(2979,3282)))</f>
        <v>122772761.78495735</v>
      </c>
      <c r="B13704">
        <v>183940561.81336734</v>
      </c>
    </row>
    <row r="13705" spans="1:2" x14ac:dyDescent="0.25">
      <c r="A13705">
        <f ca="1">40161.1861262305*((RANDBETWEEN(2979,3282)))</f>
        <v>128756762.72069497</v>
      </c>
      <c r="B13705">
        <v>181594688.68668929</v>
      </c>
    </row>
    <row r="13706" spans="1:2" x14ac:dyDescent="0.25">
      <c r="A13706">
        <f ca="1">36704.441019415*((RANDBETWEEN(2979,3282)))</f>
        <v>109415938.67887618</v>
      </c>
      <c r="B13706">
        <v>166854712.04945964</v>
      </c>
    </row>
    <row r="13707" spans="1:2" x14ac:dyDescent="0.25">
      <c r="A13707">
        <f ca="1">31512.7488667393*((RANDBETWEEN(2979,3282)))</f>
        <v>98950031.441561416</v>
      </c>
      <c r="B13707">
        <v>146754818.74308416</v>
      </c>
    </row>
    <row r="13708" spans="1:2" x14ac:dyDescent="0.25">
      <c r="A13708">
        <f ca="1">30882.3897014483*((RANDBETWEEN(2979,3282)))</f>
        <v>97248645.169860765</v>
      </c>
      <c r="B13708">
        <v>157533954.35523766</v>
      </c>
    </row>
    <row r="13709" spans="1:2" x14ac:dyDescent="0.25">
      <c r="A13709">
        <f ca="1">32443.6477142225*((RANDBETWEEN(2979,3282)))</f>
        <v>97687823.2675239</v>
      </c>
      <c r="B13709">
        <v>161923397.63483599</v>
      </c>
    </row>
    <row r="13710" spans="1:2" x14ac:dyDescent="0.25">
      <c r="A13710">
        <f ca="1">32833.4541197974*((RANDBETWEEN(2979,3282)))</f>
        <v>101225539.05133545</v>
      </c>
      <c r="B13710">
        <v>168622121.60022476</v>
      </c>
    </row>
    <row r="13711" spans="1:2" x14ac:dyDescent="0.25">
      <c r="A13711">
        <f ca="1">33341.8897617099*((RANDBETWEEN(2979,3282)))</f>
        <v>100925900.30869579</v>
      </c>
      <c r="B13711">
        <v>184941926.71352169</v>
      </c>
    </row>
    <row r="13712" spans="1:2" x14ac:dyDescent="0.25">
      <c r="A13712">
        <f ca="1">30993.9990188085*((RANDBETWEEN(2979,3282)))</f>
        <v>100885466.80622181</v>
      </c>
      <c r="B13712">
        <v>156019087.25237969</v>
      </c>
    </row>
    <row r="13713" spans="1:2" x14ac:dyDescent="0.25">
      <c r="A13713">
        <f ca="1">31941.4323410423*((RANDBETWEEN(2979,3282)))</f>
        <v>102436173.51772262</v>
      </c>
      <c r="B13713">
        <v>154058153.59565938</v>
      </c>
    </row>
    <row r="13714" spans="1:2" x14ac:dyDescent="0.25">
      <c r="A13714">
        <f ca="1">35917.1274980763*((RANDBETWEEN(2979,3282)))</f>
        <v>109367653.23164248</v>
      </c>
      <c r="B13714">
        <v>195578183.49629304</v>
      </c>
    </row>
    <row r="13715" spans="1:2" x14ac:dyDescent="0.25">
      <c r="A13715">
        <f ca="1">30218.9257558909*((RANDBETWEEN(2979,3282)))</f>
        <v>93708888.769017577</v>
      </c>
      <c r="B13715">
        <v>189733485.16419959</v>
      </c>
    </row>
    <row r="13716" spans="1:2" x14ac:dyDescent="0.25">
      <c r="A13716">
        <f ca="1">38388.9873727153*((RANDBETWEEN(2979,3282)))</f>
        <v>116165075.78983653</v>
      </c>
      <c r="B13716">
        <v>196966435.24616498</v>
      </c>
    </row>
    <row r="13717" spans="1:2" x14ac:dyDescent="0.25">
      <c r="A13717">
        <f ca="1">32301.5957382155*((RANDBETWEEN(2979,3282)))</f>
        <v>103365106.36228967</v>
      </c>
      <c r="B13717">
        <v>165300883.11795411</v>
      </c>
    </row>
    <row r="13718" spans="1:2" x14ac:dyDescent="0.25">
      <c r="A13718">
        <f ca="1">40642.4065255136*((RANDBETWEEN(2979,3282)))</f>
        <v>131518827.51656197</v>
      </c>
      <c r="B13718">
        <v>200283210.86209932</v>
      </c>
    </row>
    <row r="13719" spans="1:2" x14ac:dyDescent="0.25">
      <c r="A13719">
        <f ca="1">39528.4466213835*((RANDBETWEEN(2979,3282)))</f>
        <v>119850250.15603474</v>
      </c>
      <c r="B13719">
        <v>176145449.22958907</v>
      </c>
    </row>
    <row r="13720" spans="1:2" x14ac:dyDescent="0.25">
      <c r="A13720">
        <f ca="1">30234.4309590951*((RANDBETWEEN(2979,3282)))</f>
        <v>95722208.416495189</v>
      </c>
      <c r="B13720">
        <v>149019211.36921704</v>
      </c>
    </row>
    <row r="13721" spans="1:2" x14ac:dyDescent="0.25">
      <c r="A13721">
        <f ca="1">36819.16367036*((RANDBETWEEN(2979,3282)))</f>
        <v>114728513.9968418</v>
      </c>
      <c r="B13721">
        <v>169833864.08119377</v>
      </c>
    </row>
    <row r="13722" spans="1:2" x14ac:dyDescent="0.25">
      <c r="A13722">
        <f ca="1">42166.9288346712*((RANDBETWEEN(2979,3282)))</f>
        <v>131054814.81815811</v>
      </c>
      <c r="B13722">
        <v>169313349.96091312</v>
      </c>
    </row>
    <row r="13723" spans="1:2" x14ac:dyDescent="0.25">
      <c r="A13723">
        <f ca="1">34616.5172701995*((RANDBETWEEN(2979,3282)))</f>
        <v>109249728.50474969</v>
      </c>
      <c r="B13723">
        <v>162141965.00776422</v>
      </c>
    </row>
    <row r="13724" spans="1:2" x14ac:dyDescent="0.25">
      <c r="A13724">
        <f ca="1">32934.6869564253*((RANDBETWEEN(2979,3282)))</f>
        <v>104040676.09534754</v>
      </c>
      <c r="B13724">
        <v>160864654.60343876</v>
      </c>
    </row>
    <row r="13725" spans="1:2" x14ac:dyDescent="0.25">
      <c r="A13725">
        <f ca="1">33876.512842017*((RANDBETWEEN(2979,3282)))</f>
        <v>109116247.86413687</v>
      </c>
      <c r="B13725">
        <v>193792958.66923308</v>
      </c>
    </row>
    <row r="13726" spans="1:2" x14ac:dyDescent="0.25">
      <c r="A13726">
        <f ca="1">36452.0858963648*((RANDBETWEEN(2979,3282)))</f>
        <v>111105957.8121198</v>
      </c>
      <c r="B13726">
        <v>180871139.16965783</v>
      </c>
    </row>
    <row r="13727" spans="1:2" x14ac:dyDescent="0.25">
      <c r="A13727">
        <f ca="1">31635.589944374*((RANDBETWEEN(2979,3282)))</f>
        <v>95096583.372788161</v>
      </c>
      <c r="B13727">
        <v>161408752.76805228</v>
      </c>
    </row>
    <row r="13728" spans="1:2" x14ac:dyDescent="0.25">
      <c r="A13728">
        <f ca="1">31020.8838998943*((RANDBETWEEN(2979,3282)))</f>
        <v>99080703.176262528</v>
      </c>
      <c r="B13728">
        <v>144090249.65313527</v>
      </c>
    </row>
    <row r="13729" spans="1:2" x14ac:dyDescent="0.25">
      <c r="A13729">
        <f ca="1">33941.5063598684*((RANDBETWEEN(2979,3282)))</f>
        <v>106746037.50178602</v>
      </c>
      <c r="B13729">
        <v>189872702.0802277</v>
      </c>
    </row>
    <row r="13730" spans="1:2" x14ac:dyDescent="0.25">
      <c r="A13730">
        <f ca="1">31626.5840309619*((RANDBETWEEN(2979,3282)))</f>
        <v>102058986.66791415</v>
      </c>
      <c r="B13730">
        <v>199253394.48508161</v>
      </c>
    </row>
    <row r="13731" spans="1:2" x14ac:dyDescent="0.25">
      <c r="A13731">
        <f ca="1">32672.0646672556*((RANDBETWEEN(2979,3282)))</f>
        <v>101642793.17983222</v>
      </c>
      <c r="B13731">
        <v>148283390.15758881</v>
      </c>
    </row>
    <row r="13732" spans="1:2" x14ac:dyDescent="0.25">
      <c r="A13732">
        <f ca="1">38760.6375604344*((RANDBETWEEN(2979,3282)))</f>
        <v>126669763.54749949</v>
      </c>
      <c r="B13732">
        <v>152262291.54605365</v>
      </c>
    </row>
    <row r="13733" spans="1:2" x14ac:dyDescent="0.25">
      <c r="A13733">
        <f ca="1">29468.7259091535*((RANDBETWEEN(2979,3282)))</f>
        <v>92649674.258378446</v>
      </c>
      <c r="B13733">
        <v>185417192.40865731</v>
      </c>
    </row>
    <row r="13734" spans="1:2" x14ac:dyDescent="0.25">
      <c r="A13734">
        <f ca="1">31549.1794477107*((RANDBETWEEN(2979,3282)))</f>
        <v>98906677.568573058</v>
      </c>
      <c r="B13734">
        <v>163286860.61188412</v>
      </c>
    </row>
    <row r="13735" spans="1:2" x14ac:dyDescent="0.25">
      <c r="A13735">
        <f ca="1">31784.4364846081*((RANDBETWEEN(2979,3282)))</f>
        <v>103776185.12224531</v>
      </c>
      <c r="B13735">
        <v>146408409.80175999</v>
      </c>
    </row>
    <row r="13736" spans="1:2" x14ac:dyDescent="0.25">
      <c r="A13736">
        <f ca="1">30528.4704557917*((RANDBETWEEN(2979,3282)))</f>
        <v>100011269.21317363</v>
      </c>
      <c r="B13736">
        <v>153048096.29874891</v>
      </c>
    </row>
    <row r="13737" spans="1:2" x14ac:dyDescent="0.25">
      <c r="A13737">
        <f ca="1">35641.9150595824*((RANDBETWEEN(2979,3282)))</f>
        <v>116549062.24483433</v>
      </c>
      <c r="B13737">
        <v>177801717.63912427</v>
      </c>
    </row>
    <row r="13738" spans="1:2" x14ac:dyDescent="0.25">
      <c r="A13738">
        <f ca="1">33277.7254160466*((RANDBETWEEN(2979,3282)))</f>
        <v>104126002.82680975</v>
      </c>
      <c r="B13738">
        <v>188223315.32309291</v>
      </c>
    </row>
    <row r="13739" spans="1:2" x14ac:dyDescent="0.25">
      <c r="A13739">
        <f ca="1">35288.4777138009*((RANDBETWEEN(2979,3282)))</f>
        <v>114158225.40414585</v>
      </c>
      <c r="B13739">
        <v>168484707.20532054</v>
      </c>
    </row>
    <row r="13740" spans="1:2" x14ac:dyDescent="0.25">
      <c r="A13740">
        <f ca="1">28633.8519418636*((RANDBETWEEN(2979,3282)))</f>
        <v>90540239.840172693</v>
      </c>
      <c r="B13740">
        <v>181164878.66256636</v>
      </c>
    </row>
    <row r="13741" spans="1:2" x14ac:dyDescent="0.25">
      <c r="A13741">
        <f ca="1">30162.6734423718*((RANDBETWEEN(2979,3282)))</f>
        <v>96037952.240511775</v>
      </c>
      <c r="B13741">
        <v>160536213.38598967</v>
      </c>
    </row>
    <row r="13742" spans="1:2" x14ac:dyDescent="0.25">
      <c r="A13742">
        <f ca="1">42214.2333678778*((RANDBETWEEN(2979,3282)))</f>
        <v>131455122.70757161</v>
      </c>
      <c r="B13742">
        <v>181228724.15519649</v>
      </c>
    </row>
    <row r="13743" spans="1:2" x14ac:dyDescent="0.25">
      <c r="A13743">
        <f ca="1">33670.2192038595*((RANDBETWEEN(2979,3282)))</f>
        <v>109461882.63174722</v>
      </c>
      <c r="B13743">
        <v>203577042.58590099</v>
      </c>
    </row>
    <row r="13744" spans="1:2" x14ac:dyDescent="0.25">
      <c r="A13744">
        <f ca="1">30959.4666446109*((RANDBETWEEN(2979,3282)))</f>
        <v>101608969.52761282</v>
      </c>
      <c r="B13744">
        <v>150699144.76355821</v>
      </c>
    </row>
    <row r="13745" spans="1:2" x14ac:dyDescent="0.25">
      <c r="A13745">
        <f ca="1">39136.7277199149*((RANDBETWEEN(2979,3282)))</f>
        <v>127076954.90656367</v>
      </c>
      <c r="B13745">
        <v>150347615.86047897</v>
      </c>
    </row>
    <row r="13746" spans="1:2" x14ac:dyDescent="0.25">
      <c r="A13746">
        <f ca="1">34499.5895589287*((RANDBETWEEN(2979,3282)))</f>
        <v>103257271.54987371</v>
      </c>
      <c r="B13746">
        <v>150793416.50605753</v>
      </c>
    </row>
    <row r="13747" spans="1:2" x14ac:dyDescent="0.25">
      <c r="A13747">
        <f ca="1">31564.4362615267*((RANDBETWEEN(2979,3282)))</f>
        <v>100343342.87539345</v>
      </c>
      <c r="B13747">
        <v>188705394.21154135</v>
      </c>
    </row>
    <row r="13748" spans="1:2" x14ac:dyDescent="0.25">
      <c r="A13748">
        <f ca="1">36540.2641613693*((RANDBETWEEN(2979,3282)))</f>
        <v>119705905.39264587</v>
      </c>
      <c r="B13748">
        <v>146201797.0173153</v>
      </c>
    </row>
    <row r="13749" spans="1:2" x14ac:dyDescent="0.25">
      <c r="A13749">
        <f ca="1">29835.78965936*((RANDBETWEEN(2979,3282)))</f>
        <v>94609289.009830505</v>
      </c>
      <c r="B13749">
        <v>167484962.19427812</v>
      </c>
    </row>
    <row r="13750" spans="1:2" x14ac:dyDescent="0.25">
      <c r="A13750">
        <f ca="1">34656.3013214174*((RANDBETWEEN(2979,3282)))</f>
        <v>106672095.46732271</v>
      </c>
      <c r="B13750">
        <v>152716402.90341237</v>
      </c>
    </row>
    <row r="13751" spans="1:2" x14ac:dyDescent="0.25">
      <c r="A13751">
        <f ca="1">37179.5816267341*((RANDBETWEEN(2979,3282)))</f>
        <v>116706706.72631845</v>
      </c>
      <c r="B13751">
        <v>162778825.93812135</v>
      </c>
    </row>
    <row r="13752" spans="1:2" x14ac:dyDescent="0.25">
      <c r="A13752">
        <f ca="1">33250.4971072339*((RANDBETWEEN(2979,3282)))</f>
        <v>101779771.64524291</v>
      </c>
      <c r="B13752">
        <v>195045872.44844392</v>
      </c>
    </row>
    <row r="13753" spans="1:2" x14ac:dyDescent="0.25">
      <c r="A13753">
        <f ca="1">27593.1188618921*((RANDBETWEEN(2979,3282)))</f>
        <v>89456891.350254178</v>
      </c>
      <c r="B13753">
        <v>153474117.14274827</v>
      </c>
    </row>
    <row r="13754" spans="1:2" x14ac:dyDescent="0.25">
      <c r="A13754">
        <f ca="1">39215.3201492987*((RANDBETWEEN(2979,3282)))</f>
        <v>127567436.44566858</v>
      </c>
      <c r="B13754">
        <v>164019798.20155698</v>
      </c>
    </row>
    <row r="13755" spans="1:2" x14ac:dyDescent="0.25">
      <c r="A13755">
        <f ca="1">30776.7558223115*((RANDBETWEEN(2979,3282)))</f>
        <v>96054254.921434134</v>
      </c>
      <c r="B13755">
        <v>149258591.41747525</v>
      </c>
    </row>
    <row r="13756" spans="1:2" x14ac:dyDescent="0.25">
      <c r="A13756">
        <f ca="1">33345.7647069365*((RANDBETWEEN(2979,3282)))</f>
        <v>108173660.70930198</v>
      </c>
      <c r="B13756">
        <v>146409153.11862451</v>
      </c>
    </row>
    <row r="13757" spans="1:2" x14ac:dyDescent="0.25">
      <c r="A13757">
        <f ca="1">39456.3098897503*((RANDBETWEEN(2979,3282)))</f>
        <v>119000230.62748693</v>
      </c>
      <c r="B13757">
        <v>166504024.21561283</v>
      </c>
    </row>
    <row r="13758" spans="1:2" x14ac:dyDescent="0.25">
      <c r="A13758">
        <f ca="1">30976.768400273*((RANDBETWEEN(2979,3282)))</f>
        <v>95563330.514842242</v>
      </c>
      <c r="B13758">
        <v>168018556.19409439</v>
      </c>
    </row>
    <row r="13759" spans="1:2" x14ac:dyDescent="0.25">
      <c r="A13759">
        <f ca="1">29414.4351565438*((RANDBETWEEN(2979,3282)))</f>
        <v>89243396.264953747</v>
      </c>
      <c r="B13759">
        <v>155757569.59247479</v>
      </c>
    </row>
    <row r="13760" spans="1:2" x14ac:dyDescent="0.25">
      <c r="A13760">
        <f ca="1">40229.5384374654*((RANDBETWEEN(2979,3282)))</f>
        <v>131671279.30582424</v>
      </c>
      <c r="B13760">
        <v>174353301.21443117</v>
      </c>
    </row>
    <row r="13761" spans="1:2" x14ac:dyDescent="0.25">
      <c r="A13761">
        <f ca="1">32337.4683013259*((RANDBETWEEN(2979,3282)))</f>
        <v>98726290.723947823</v>
      </c>
      <c r="B13761">
        <v>149711074.10631636</v>
      </c>
    </row>
    <row r="13762" spans="1:2" x14ac:dyDescent="0.25">
      <c r="A13762">
        <f ca="1">30923.7638401926*((RANDBETWEEN(2979,3282)))</f>
        <v>94905031.225551099</v>
      </c>
      <c r="B13762">
        <v>180440531.49195349</v>
      </c>
    </row>
    <row r="13763" spans="1:2" x14ac:dyDescent="0.25">
      <c r="A13763">
        <f ca="1">39220.8775931757*((RANDBETWEEN(2979,3282)))</f>
        <v>121506278.78365827</v>
      </c>
      <c r="B13763">
        <v>146152610.57353604</v>
      </c>
    </row>
    <row r="13764" spans="1:2" x14ac:dyDescent="0.25">
      <c r="A13764">
        <f ca="1">31894.0024688228*((RANDBETWEEN(2979,3282)))</f>
        <v>97436177.542253613</v>
      </c>
      <c r="B13764">
        <v>145160148.58598778</v>
      </c>
    </row>
    <row r="13765" spans="1:2" x14ac:dyDescent="0.25">
      <c r="A13765">
        <f ca="1">29707.7448394814*((RANDBETWEEN(2979,3282)))</f>
        <v>89034111.283925653</v>
      </c>
      <c r="B13765">
        <v>168058788.61194393</v>
      </c>
    </row>
    <row r="13766" spans="1:2" x14ac:dyDescent="0.25">
      <c r="A13766">
        <f ca="1">32656.4854145402*((RANDBETWEEN(2979,3282)))</f>
        <v>103880280.10365249</v>
      </c>
      <c r="B13766">
        <v>146652170.59303135</v>
      </c>
    </row>
    <row r="13767" spans="1:2" x14ac:dyDescent="0.25">
      <c r="A13767">
        <f ca="1">37464.2311624451*((RANDBETWEEN(2979,3282)))</f>
        <v>116701080.07101634</v>
      </c>
      <c r="B13767">
        <v>159023002.72588065</v>
      </c>
    </row>
    <row r="13768" spans="1:2" x14ac:dyDescent="0.25">
      <c r="A13768">
        <f ca="1">30097.4930079477*((RANDBETWEEN(2979,3282)))</f>
        <v>93332325.817645729</v>
      </c>
      <c r="B13768">
        <v>150220965.96155545</v>
      </c>
    </row>
    <row r="13769" spans="1:2" x14ac:dyDescent="0.25">
      <c r="A13769">
        <f ca="1">35763.4521259766*((RANDBETWEEN(2979,3282)))</f>
        <v>117125305.71257353</v>
      </c>
      <c r="B13769">
        <v>160908489.45383948</v>
      </c>
    </row>
    <row r="13770" spans="1:2" x14ac:dyDescent="0.25">
      <c r="A13770">
        <f ca="1">37357.83824734*((RANDBETWEEN(2979,3282)))</f>
        <v>115062141.80180728</v>
      </c>
      <c r="B13770">
        <v>147906127.90404835</v>
      </c>
    </row>
    <row r="13771" spans="1:2" x14ac:dyDescent="0.25">
      <c r="A13771">
        <f ca="1">33194.2751407308*((RANDBETWEEN(2979,3282)))</f>
        <v>105259046.4712574</v>
      </c>
      <c r="B13771">
        <v>167576685.93237138</v>
      </c>
    </row>
    <row r="13772" spans="1:2" x14ac:dyDescent="0.25">
      <c r="A13772">
        <f ca="1">30315.2680182698*((RANDBETWEEN(2979,3282)))</f>
        <v>95038365.237275749</v>
      </c>
      <c r="B13772">
        <v>146551160.37871504</v>
      </c>
    </row>
    <row r="13773" spans="1:2" x14ac:dyDescent="0.25">
      <c r="A13773">
        <f ca="1">33749.1831017415*((RANDBETWEEN(2979,3282)))</f>
        <v>104183728.23507598</v>
      </c>
      <c r="B13773">
        <v>161919936.00008774</v>
      </c>
    </row>
    <row r="13774" spans="1:2" x14ac:dyDescent="0.25">
      <c r="A13774">
        <f ca="1">41735.6329674085*((RANDBETWEEN(2979,3282)))</f>
        <v>131425508.21436939</v>
      </c>
      <c r="B13774">
        <v>190247128.56807834</v>
      </c>
    </row>
    <row r="13775" spans="1:2" x14ac:dyDescent="0.25">
      <c r="A13775">
        <f ca="1">42028.5061078292*((RANDBETWEEN(2979,3282)))</f>
        <v>135457875.18553361</v>
      </c>
      <c r="B13775">
        <v>189956870.32854256</v>
      </c>
    </row>
    <row r="13776" spans="1:2" x14ac:dyDescent="0.25">
      <c r="A13776">
        <f ca="1">34913.7768720811*((RANDBETWEEN(2979,3282)))</f>
        <v>111130551.78383416</v>
      </c>
      <c r="B13776">
        <v>185094753.03785086</v>
      </c>
    </row>
    <row r="13777" spans="1:2" x14ac:dyDescent="0.25">
      <c r="A13777">
        <f ca="1">34417.141647105*((RANDBETWEEN(2979,3282)))</f>
        <v>109928350.42085321</v>
      </c>
      <c r="B13777">
        <v>180899821.94061729</v>
      </c>
    </row>
    <row r="13778" spans="1:2" x14ac:dyDescent="0.25">
      <c r="A13778">
        <f ca="1">30226.1156227168*((RANDBETWEEN(2979,3282)))</f>
        <v>95574977.599030435</v>
      </c>
      <c r="B13778">
        <v>191206630.26843143</v>
      </c>
    </row>
    <row r="13779" spans="1:2" x14ac:dyDescent="0.25">
      <c r="A13779">
        <f ca="1">35024.1808113164*((RANDBETWEEN(2979,3282)))</f>
        <v>113478345.82866502</v>
      </c>
      <c r="B13779">
        <v>147793670.93006068</v>
      </c>
    </row>
    <row r="13780" spans="1:2" x14ac:dyDescent="0.25">
      <c r="A13780">
        <f ca="1">32899.1507010427*((RANDBETWEEN(2979,3282)))</f>
        <v>103796820.46178982</v>
      </c>
      <c r="B13780">
        <v>150997850.81699395</v>
      </c>
    </row>
    <row r="13781" spans="1:2" x14ac:dyDescent="0.25">
      <c r="A13781">
        <f ca="1">27713.5708703588*((RANDBETWEEN(2979,3282)))</f>
        <v>82863576.902372688</v>
      </c>
      <c r="B13781">
        <v>156213325.39386827</v>
      </c>
    </row>
    <row r="13782" spans="1:2" x14ac:dyDescent="0.25">
      <c r="A13782">
        <f ca="1">40329.7943320272*((RANDBETWEEN(2979,3282)))</f>
        <v>130668533.63576823</v>
      </c>
      <c r="B13782">
        <v>171667476.40470681</v>
      </c>
    </row>
    <row r="13783" spans="1:2" x14ac:dyDescent="0.25">
      <c r="A13783">
        <f ca="1">41578.3251963011*((RANDBETWEEN(2979,3282)))</f>
        <v>131345929.29511504</v>
      </c>
      <c r="B13783">
        <v>169222570.12737855</v>
      </c>
    </row>
    <row r="13784" spans="1:2" x14ac:dyDescent="0.25">
      <c r="A13784">
        <f ca="1">30598.8017407826*((RANDBETWEEN(2979,3282)))</f>
        <v>94213710.559869647</v>
      </c>
      <c r="B13784">
        <v>193021898.88876137</v>
      </c>
    </row>
    <row r="13785" spans="1:2" x14ac:dyDescent="0.25">
      <c r="A13785">
        <f ca="1">32442.7932164947*((RANDBETWEEN(2979,3282)))</f>
        <v>104887550.46892735</v>
      </c>
      <c r="B13785">
        <v>146152816.72018793</v>
      </c>
    </row>
    <row r="13786" spans="1:2" x14ac:dyDescent="0.25">
      <c r="A13786">
        <f ca="1">40087.4199375296*((RANDBETWEEN(2979,3282)))</f>
        <v>131446649.97515947</v>
      </c>
      <c r="B13786">
        <v>168172599.67404741</v>
      </c>
    </row>
    <row r="13787" spans="1:2" x14ac:dyDescent="0.25">
      <c r="A13787">
        <f ca="1">29314.6920186716*((RANDBETWEEN(2979,3282)))</f>
        <v>95331378.444719926</v>
      </c>
      <c r="B13787">
        <v>157344000.77560925</v>
      </c>
    </row>
    <row r="13788" spans="1:2" x14ac:dyDescent="0.25">
      <c r="A13788">
        <f ca="1">39016.6772046222*((RANDBETWEEN(2979,3282)))</f>
        <v>127116334.33265926</v>
      </c>
      <c r="B13788">
        <v>175379309.31636018</v>
      </c>
    </row>
    <row r="13789" spans="1:2" x14ac:dyDescent="0.25">
      <c r="A13789">
        <f ca="1">35813.744609355*((RANDBETWEEN(2979,3282)))</f>
        <v>112383530.58415602</v>
      </c>
      <c r="B13789">
        <v>156389296.04715627</v>
      </c>
    </row>
    <row r="13790" spans="1:2" x14ac:dyDescent="0.25">
      <c r="A13790">
        <f ca="1">36935.0949863855*((RANDBETWEEN(2979,3282)))</f>
        <v>118155368.86144711</v>
      </c>
      <c r="B13790">
        <v>152147156.78351325</v>
      </c>
    </row>
    <row r="13791" spans="1:2" x14ac:dyDescent="0.25">
      <c r="A13791">
        <f ca="1">34355.8233600507*((RANDBETWEEN(2979,3282)))</f>
        <v>109182806.63824105</v>
      </c>
      <c r="B13791">
        <v>164482783.85950097</v>
      </c>
    </row>
    <row r="13792" spans="1:2" x14ac:dyDescent="0.25">
      <c r="A13792">
        <f ca="1">29859.806345664*((RANDBETWEEN(2979,3282)))</f>
        <v>90863390.709855437</v>
      </c>
      <c r="B13792">
        <v>145569708.06117862</v>
      </c>
    </row>
    <row r="13793" spans="1:2" x14ac:dyDescent="0.25">
      <c r="A13793">
        <f ca="1">36966.3405519609*((RANDBETWEEN(2979,3282)))</f>
        <v>121323529.69153577</v>
      </c>
      <c r="B13793">
        <v>165599760.73464769</v>
      </c>
    </row>
    <row r="13794" spans="1:2" x14ac:dyDescent="0.25">
      <c r="A13794">
        <f ca="1">34885.0287768786*((RANDBETWEEN(2979,3282)))</f>
        <v>107306348.51767851</v>
      </c>
      <c r="B13794">
        <v>153163935.21543333</v>
      </c>
    </row>
    <row r="13795" spans="1:2" x14ac:dyDescent="0.25">
      <c r="A13795">
        <f ca="1">33126.3298777316*((RANDBETWEEN(2979,3282)))</f>
        <v>101234064.1063478</v>
      </c>
      <c r="B13795">
        <v>165967266.03920883</v>
      </c>
    </row>
    <row r="13796" spans="1:2" x14ac:dyDescent="0.25">
      <c r="A13796">
        <f ca="1">30137.6562551111*((RANDBETWEEN(2979,3282)))</f>
        <v>96470637.672610715</v>
      </c>
      <c r="B13796">
        <v>151259214.18992645</v>
      </c>
    </row>
    <row r="13797" spans="1:2" x14ac:dyDescent="0.25">
      <c r="A13797">
        <f ca="1">32178.0269851623*((RANDBETWEEN(2979,3282)))</f>
        <v>99204857.195255324</v>
      </c>
      <c r="B13797">
        <v>173155012.25538394</v>
      </c>
    </row>
    <row r="13798" spans="1:2" x14ac:dyDescent="0.25">
      <c r="A13798">
        <f ca="1">30066.8316934805*((RANDBETWEEN(2979,3282)))</f>
        <v>96304061.914217889</v>
      </c>
      <c r="B13798">
        <v>192550860.72577491</v>
      </c>
    </row>
    <row r="13799" spans="1:2" x14ac:dyDescent="0.25">
      <c r="A13799">
        <f ca="1">31941.9743472309*((RANDBETWEEN(2979,3282)))</f>
        <v>103012867.26981957</v>
      </c>
      <c r="B13799">
        <v>155965775.4731409</v>
      </c>
    </row>
    <row r="13800" spans="1:2" x14ac:dyDescent="0.25">
      <c r="A13800">
        <f ca="1">39107.5192483055*((RANDBETWEEN(2979,3282)))</f>
        <v>126943007.47999965</v>
      </c>
      <c r="B13800">
        <v>174557318.60719019</v>
      </c>
    </row>
    <row r="13801" spans="1:2" x14ac:dyDescent="0.25">
      <c r="A13801">
        <f ca="1">36899.3216576956*((RANDBETWEEN(2979,3282)))</f>
        <v>116306661.86505668</v>
      </c>
      <c r="B13801">
        <v>190228164.99715701</v>
      </c>
    </row>
    <row r="13802" spans="1:2" x14ac:dyDescent="0.25">
      <c r="A13802">
        <f ca="1">29527.2435326729*((RANDBETWEEN(2979,3282)))</f>
        <v>94280488.599824563</v>
      </c>
      <c r="B13802">
        <v>176567094.22194204</v>
      </c>
    </row>
    <row r="13803" spans="1:2" x14ac:dyDescent="0.25">
      <c r="A13803">
        <f ca="1">33311.2127450546*((RANDBETWEEN(2979,3282)))</f>
        <v>103964294.9773154</v>
      </c>
      <c r="B13803">
        <v>188617621.35934585</v>
      </c>
    </row>
    <row r="13804" spans="1:2" x14ac:dyDescent="0.25">
      <c r="A13804">
        <f ca="1">32585.4856995134*((RANDBETWEEN(2979,3282)))</f>
        <v>97398016.755845487</v>
      </c>
      <c r="B13804">
        <v>187093764.29163444</v>
      </c>
    </row>
    <row r="13805" spans="1:2" x14ac:dyDescent="0.25">
      <c r="A13805">
        <f ca="1">29803.9181588176*((RANDBETWEEN(2979,3282)))</f>
        <v>91527832.665728822</v>
      </c>
      <c r="B13805">
        <v>148427908.99853691</v>
      </c>
    </row>
    <row r="13806" spans="1:2" x14ac:dyDescent="0.25">
      <c r="A13806">
        <f ca="1">32640.4981480225*((RANDBETWEEN(2979,3282)))</f>
        <v>103372457.63478741</v>
      </c>
      <c r="B13806">
        <v>153760705.29909933</v>
      </c>
    </row>
    <row r="13807" spans="1:2" x14ac:dyDescent="0.25">
      <c r="A13807">
        <f ca="1">34160.8183917982*((RANDBETWEEN(2979,3282)))</f>
        <v>104224656.9133766</v>
      </c>
      <c r="B13807">
        <v>180007956.72669944</v>
      </c>
    </row>
    <row r="13808" spans="1:2" x14ac:dyDescent="0.25">
      <c r="A13808">
        <f ca="1">30510.71104741*((RANDBETWEEN(2979,3282)))</f>
        <v>94095032.870212451</v>
      </c>
      <c r="B13808">
        <v>173699864.65786868</v>
      </c>
    </row>
    <row r="13809" spans="1:2" x14ac:dyDescent="0.25">
      <c r="A13809">
        <f ca="1">31671.6984497351*((RANDBETWEEN(2979,3282)))</f>
        <v>94381661.380210653</v>
      </c>
      <c r="B13809">
        <v>183167646.09774247</v>
      </c>
    </row>
    <row r="13810" spans="1:2" x14ac:dyDescent="0.25">
      <c r="A13810">
        <f ca="1">40511.92114498*((RANDBETWEEN(2979,3282)))</f>
        <v>123520847.57104404</v>
      </c>
      <c r="B13810">
        <v>167767076.64688417</v>
      </c>
    </row>
    <row r="13811" spans="1:2" x14ac:dyDescent="0.25">
      <c r="A13811">
        <f ca="1">29647.7951759236*((RANDBETWEEN(2979,3282)))</f>
        <v>96207095.345872015</v>
      </c>
      <c r="B13811">
        <v>179934728.39193878</v>
      </c>
    </row>
    <row r="13812" spans="1:2" x14ac:dyDescent="0.25">
      <c r="A13812">
        <f ca="1">30705.1071156995*((RANDBETWEEN(2979,3282)))</f>
        <v>93711986.917114884</v>
      </c>
      <c r="B13812">
        <v>145527659.87591267</v>
      </c>
    </row>
    <row r="13813" spans="1:2" x14ac:dyDescent="0.25">
      <c r="A13813">
        <f ca="1">31330.111392701*((RANDBETWEEN(2979,3282)))</f>
        <v>94930237.51988405</v>
      </c>
      <c r="B13813">
        <v>152963211.04698664</v>
      </c>
    </row>
    <row r="13814" spans="1:2" x14ac:dyDescent="0.25">
      <c r="A13814">
        <f ca="1">29961.355820059*((RANDBETWEEN(2979,3282)))</f>
        <v>93659198.293504477</v>
      </c>
      <c r="B13814">
        <v>174831896.37576321</v>
      </c>
    </row>
    <row r="13815" spans="1:2" x14ac:dyDescent="0.25">
      <c r="A13815">
        <f ca="1">28953.2970858378*((RANDBETWEEN(2979,3282)))</f>
        <v>88075929.735118568</v>
      </c>
      <c r="B13815">
        <v>183341680.75053388</v>
      </c>
    </row>
    <row r="13816" spans="1:2" x14ac:dyDescent="0.25">
      <c r="A13816">
        <f ca="1">32625.8085562153*((RANDBETWEEN(2979,3282)))</f>
        <v>105511864.87080012</v>
      </c>
      <c r="B13816">
        <v>158763598.52345863</v>
      </c>
    </row>
    <row r="13817" spans="1:2" x14ac:dyDescent="0.25">
      <c r="A13817">
        <f ca="1">31632.4659830494*((RANDBETWEEN(2979,3282)))</f>
        <v>98218806.877368361</v>
      </c>
      <c r="B13817">
        <v>188639520.32353324</v>
      </c>
    </row>
    <row r="13818" spans="1:2" x14ac:dyDescent="0.25">
      <c r="A13818">
        <f ca="1">40391.369869761*((RANDBETWEEN(2979,3282)))</f>
        <v>122224285.22589689</v>
      </c>
      <c r="B13818">
        <v>146180919.94237322</v>
      </c>
    </row>
    <row r="13819" spans="1:2" x14ac:dyDescent="0.25">
      <c r="A13819">
        <f ca="1">33539.8380458771*((RANDBETWEEN(2979,3282)))</f>
        <v>101927567.82142064</v>
      </c>
      <c r="B13819">
        <v>167399059.16497791</v>
      </c>
    </row>
    <row r="13820" spans="1:2" x14ac:dyDescent="0.25">
      <c r="A13820">
        <f ca="1">36759.8790168672*((RANDBETWEEN(2979,3282)))</f>
        <v>110095837.65551724</v>
      </c>
      <c r="B13820">
        <v>145873373.16810775</v>
      </c>
    </row>
    <row r="13821" spans="1:2" x14ac:dyDescent="0.25">
      <c r="A13821">
        <f ca="1">32918.2509671018*((RANDBETWEEN(2979,3282)))</f>
        <v>105338403.09472564</v>
      </c>
      <c r="B13821">
        <v>170211667.8530457</v>
      </c>
    </row>
    <row r="13822" spans="1:2" x14ac:dyDescent="0.25">
      <c r="A13822">
        <f ca="1">33361.4025534372*((RANDBETWEEN(2979,3282)))</f>
        <v>99650509.427116945</v>
      </c>
      <c r="B13822">
        <v>166729267.90120921</v>
      </c>
    </row>
    <row r="13823" spans="1:2" x14ac:dyDescent="0.25">
      <c r="A13823">
        <f ca="1">28924.5446363205*((RANDBETWEEN(2979,3282)))</f>
        <v>89781786.551138699</v>
      </c>
      <c r="B13823">
        <v>170165656.52507928</v>
      </c>
    </row>
    <row r="13824" spans="1:2" x14ac:dyDescent="0.25">
      <c r="A13824">
        <f ca="1">33861.920832214*((RANDBETWEEN(2979,3282)))</f>
        <v>102466172.43827951</v>
      </c>
      <c r="B13824">
        <v>151679642.76257604</v>
      </c>
    </row>
    <row r="13825" spans="1:2" x14ac:dyDescent="0.25">
      <c r="A13825">
        <f ca="1">38317.0046243146*((RANDBETWEEN(2979,3282)))</f>
        <v>120660247.56196684</v>
      </c>
      <c r="B13825">
        <v>164581368.89570469</v>
      </c>
    </row>
    <row r="13826" spans="1:2" x14ac:dyDescent="0.25">
      <c r="A13826">
        <f ca="1">35222.044329118*((RANDBETWEEN(2979,3282)))</f>
        <v>114788642.46859567</v>
      </c>
      <c r="B13826">
        <v>155744422.3809728</v>
      </c>
    </row>
    <row r="13827" spans="1:2" x14ac:dyDescent="0.25">
      <c r="A13827">
        <f ca="1">37451.2148870122*((RANDBETWEEN(2979,3282)))</f>
        <v>117858973.24942741</v>
      </c>
      <c r="B13827">
        <v>154171987.41793197</v>
      </c>
    </row>
    <row r="13828" spans="1:2" x14ac:dyDescent="0.25">
      <c r="A13828">
        <f ca="1">36428.6444971835*((RANDBETWEEN(2979,3282)))</f>
        <v>113693799.47570962</v>
      </c>
      <c r="B13828">
        <v>146495446.68370542</v>
      </c>
    </row>
    <row r="13829" spans="1:2" x14ac:dyDescent="0.25">
      <c r="A13829">
        <f ca="1">36757.3160347297*((RANDBETWEEN(2979,3282)))</f>
        <v>120343452.69770488</v>
      </c>
      <c r="B13829">
        <v>147649485.07599896</v>
      </c>
    </row>
    <row r="13830" spans="1:2" x14ac:dyDescent="0.25">
      <c r="A13830">
        <f ca="1">36385.655125794*((RANDBETWEEN(2979,3282)))</f>
        <v>119199406.19210124</v>
      </c>
      <c r="B13830">
        <v>164212510.33030081</v>
      </c>
    </row>
    <row r="13831" spans="1:2" x14ac:dyDescent="0.25">
      <c r="A13831">
        <f ca="1">41110.7281345663*((RANDBETWEEN(2979,3282)))</f>
        <v>131102112.02113186</v>
      </c>
      <c r="B13831">
        <v>149010281.74777523</v>
      </c>
    </row>
    <row r="13832" spans="1:2" x14ac:dyDescent="0.25">
      <c r="A13832">
        <f ca="1">32613.8058030284*((RANDBETWEEN(2979,3282)))</f>
        <v>106484075.9468877</v>
      </c>
      <c r="B13832">
        <v>159706364.86379051</v>
      </c>
    </row>
    <row r="13833" spans="1:2" x14ac:dyDescent="0.25">
      <c r="A13833">
        <f ca="1">32382.3501627142*((RANDBETWEEN(2979,3282)))</f>
        <v>99834785.551647827</v>
      </c>
      <c r="B13833">
        <v>185236267.50610295</v>
      </c>
    </row>
    <row r="13834" spans="1:2" x14ac:dyDescent="0.25">
      <c r="A13834">
        <f ca="1">39950.4057866626*((RANDBETWEEN(2979,3282)))</f>
        <v>122887448.19977424</v>
      </c>
      <c r="B13834">
        <v>163787933.30789158</v>
      </c>
    </row>
    <row r="13835" spans="1:2" x14ac:dyDescent="0.25">
      <c r="A13835">
        <f ca="1">36147.4624258227*((RANDBETWEEN(2979,3282)))</f>
        <v>117876874.97060782</v>
      </c>
      <c r="B13835">
        <v>149222946.12606069</v>
      </c>
    </row>
    <row r="13836" spans="1:2" x14ac:dyDescent="0.25">
      <c r="A13836">
        <f ca="1">34400.1973869201*((RANDBETWEEN(2979,3282)))</f>
        <v>111147037.75713892</v>
      </c>
      <c r="B13836">
        <v>170988254.20007062</v>
      </c>
    </row>
    <row r="13837" spans="1:2" x14ac:dyDescent="0.25">
      <c r="A13837">
        <f ca="1">32203.8200499075*((RANDBETWEEN(2979,3282)))</f>
        <v>98962339.01336579</v>
      </c>
      <c r="B13837">
        <v>150833705.49984694</v>
      </c>
    </row>
    <row r="13838" spans="1:2" x14ac:dyDescent="0.25">
      <c r="A13838">
        <f ca="1">29333.9397499287*((RANDBETWEEN(2979,3282)))</f>
        <v>95159300.548768759</v>
      </c>
      <c r="B13838">
        <v>148337549.24064717</v>
      </c>
    </row>
    <row r="13839" spans="1:2" x14ac:dyDescent="0.25">
      <c r="A13839">
        <f ca="1">32443.5334670417*((RANDBETWEEN(2979,3282)))</f>
        <v>98368793.472070307</v>
      </c>
      <c r="B13839">
        <v>190696078.37844422</v>
      </c>
    </row>
    <row r="13840" spans="1:2" x14ac:dyDescent="0.25">
      <c r="A13840">
        <f ca="1">29085.107986574*((RANDBETWEEN(2979,3282)))</f>
        <v>95137388.224083707</v>
      </c>
      <c r="B13840">
        <v>194250471.97414416</v>
      </c>
    </row>
    <row r="13841" spans="1:2" x14ac:dyDescent="0.25">
      <c r="A13841">
        <f ca="1">38047.0429431945*((RANDBETWEEN(2979,3282)))</f>
        <v>115663010.54731131</v>
      </c>
      <c r="B13841">
        <v>179480358.15179798</v>
      </c>
    </row>
    <row r="13842" spans="1:2" x14ac:dyDescent="0.25">
      <c r="A13842">
        <f ca="1">32552.6105192714*((RANDBETWEEN(2979,3282)))</f>
        <v>101108408.27285711</v>
      </c>
      <c r="B13842">
        <v>171106343.44849005</v>
      </c>
    </row>
    <row r="13843" spans="1:2" x14ac:dyDescent="0.25">
      <c r="A13843">
        <f ca="1">33778.6392525879*((RANDBETWEEN(2979,3282)))</f>
        <v>101943933.2643103</v>
      </c>
      <c r="B13843">
        <v>202007154.0366728</v>
      </c>
    </row>
    <row r="13844" spans="1:2" x14ac:dyDescent="0.25">
      <c r="A13844">
        <f ca="1">32841.8734051401*((RANDBETWEEN(2979,3282)))</f>
        <v>103714636.21343258</v>
      </c>
      <c r="B13844">
        <v>175367907.63905776</v>
      </c>
    </row>
    <row r="13845" spans="1:2" x14ac:dyDescent="0.25">
      <c r="A13845">
        <f ca="1">36710.7334840978*((RANDBETWEEN(2979,3282)))</f>
        <v>110132200.45229329</v>
      </c>
      <c r="B13845">
        <v>148149156.08942837</v>
      </c>
    </row>
    <row r="13846" spans="1:2" x14ac:dyDescent="0.25">
      <c r="A13846">
        <f ca="1">30044.8022134544*((RANDBETWEEN(2979,3282)))</f>
        <v>96563994.3140423</v>
      </c>
      <c r="B13846">
        <v>163974734.81323266</v>
      </c>
    </row>
    <row r="13847" spans="1:2" x14ac:dyDescent="0.25">
      <c r="A13847">
        <f ca="1">29589.9519403286*((RANDBETWEEN(2979,3282)))</f>
        <v>90426893.129644081</v>
      </c>
      <c r="B13847">
        <v>171786352.91133833</v>
      </c>
    </row>
    <row r="13848" spans="1:2" x14ac:dyDescent="0.25">
      <c r="A13848">
        <f ca="1">40902.0132104925*((RANDBETWEEN(2979,3282)))</f>
        <v>131990796.63025923</v>
      </c>
      <c r="B13848">
        <v>144670051.13607076</v>
      </c>
    </row>
    <row r="13849" spans="1:2" x14ac:dyDescent="0.25">
      <c r="A13849">
        <f ca="1">31866.6428202*((RANDBETWEEN(2979,3282)))</f>
        <v>95854861.603161559</v>
      </c>
      <c r="B13849">
        <v>145920099.03682601</v>
      </c>
    </row>
    <row r="13850" spans="1:2" x14ac:dyDescent="0.25">
      <c r="A13850">
        <f ca="1">31187.9057728537*((RANDBETWEEN(2979,3282)))</f>
        <v>94218663.33979094</v>
      </c>
      <c r="B13850">
        <v>179865191.54611856</v>
      </c>
    </row>
    <row r="13851" spans="1:2" x14ac:dyDescent="0.25">
      <c r="A13851">
        <f ca="1">31941.7426454295*((RANDBETWEEN(2979,3282)))</f>
        <v>96464062.789197162</v>
      </c>
      <c r="B13851">
        <v>170503901.63960817</v>
      </c>
    </row>
    <row r="13852" spans="1:2" x14ac:dyDescent="0.25">
      <c r="A13852">
        <f ca="1">34528.4646016422*((RANDBETWEEN(2979,3282)))</f>
        <v>105622573.2164236</v>
      </c>
      <c r="B13852">
        <v>164524468.27478707</v>
      </c>
    </row>
    <row r="13853" spans="1:2" x14ac:dyDescent="0.25">
      <c r="A13853">
        <f ca="1">29298.1462994119*((RANDBETWEEN(2979,3282)))</f>
        <v>88421805.531624973</v>
      </c>
      <c r="B13853">
        <v>172288185.46992618</v>
      </c>
    </row>
    <row r="13854" spans="1:2" x14ac:dyDescent="0.25">
      <c r="A13854">
        <f ca="1">38942.5166496391*((RANDBETWEEN(2979,3282)))</f>
        <v>118034767.96505603</v>
      </c>
      <c r="B13854">
        <v>188550394.37985903</v>
      </c>
    </row>
    <row r="13855" spans="1:2" x14ac:dyDescent="0.25">
      <c r="A13855">
        <f ca="1">32642.1520502327*((RANDBETWEEN(2979,3282)))</f>
        <v>99101573.624506414</v>
      </c>
      <c r="B13855">
        <v>192433670.15853542</v>
      </c>
    </row>
    <row r="13856" spans="1:2" x14ac:dyDescent="0.25">
      <c r="A13856">
        <f ca="1">32358.063591575*((RANDBETWEEN(2979,3282)))</f>
        <v>104031174.44691361</v>
      </c>
      <c r="B13856">
        <v>163088582.38256118</v>
      </c>
    </row>
    <row r="13857" spans="1:2" x14ac:dyDescent="0.25">
      <c r="A13857">
        <f ca="1">37833.4131661539*((RANDBETWEEN(2979,3282)))</f>
        <v>114521741.65394777</v>
      </c>
      <c r="B13857">
        <v>184789012.73940164</v>
      </c>
    </row>
    <row r="13858" spans="1:2" x14ac:dyDescent="0.25">
      <c r="A13858">
        <f ca="1">31117.4581706471*((RANDBETWEEN(2979,3282)))</f>
        <v>95748418.791081205</v>
      </c>
      <c r="B13858">
        <v>157332692.95705041</v>
      </c>
    </row>
    <row r="13859" spans="1:2" x14ac:dyDescent="0.25">
      <c r="A13859">
        <f ca="1">32004.6310805035*((RANDBETWEEN(2979,3282)))</f>
        <v>101422675.89411573</v>
      </c>
      <c r="B13859">
        <v>184884959.19939724</v>
      </c>
    </row>
    <row r="13860" spans="1:2" x14ac:dyDescent="0.25">
      <c r="A13860">
        <f ca="1">34766.7865345301*((RANDBETWEEN(2979,3282)))</f>
        <v>110523614.39327127</v>
      </c>
      <c r="B13860">
        <v>163689138.94389141</v>
      </c>
    </row>
    <row r="13861" spans="1:2" x14ac:dyDescent="0.25">
      <c r="A13861">
        <f ca="1">32173.3340169078*((RANDBETWEEN(2979,3282)))</f>
        <v>105335495.57135619</v>
      </c>
      <c r="B13861">
        <v>163035601.2589052</v>
      </c>
    </row>
    <row r="13862" spans="1:2" x14ac:dyDescent="0.25">
      <c r="A13862">
        <f ca="1">29553.0319401766*((RANDBETWEEN(2979,3282)))</f>
        <v>95958694.70975326</v>
      </c>
      <c r="B13862">
        <v>170774210.78364873</v>
      </c>
    </row>
    <row r="13863" spans="1:2" x14ac:dyDescent="0.25">
      <c r="A13863">
        <f ca="1">31197.1706083787*((RANDBETWEEN(2979,3282)))</f>
        <v>101453198.81844752</v>
      </c>
      <c r="B13863">
        <v>146618572.03538227</v>
      </c>
    </row>
    <row r="13864" spans="1:2" x14ac:dyDescent="0.25">
      <c r="A13864">
        <f ca="1">30058.0941579744*((RANDBETWEEN(2979,3282)))</f>
        <v>96306133.682150096</v>
      </c>
      <c r="B13864">
        <v>200705732.32486755</v>
      </c>
    </row>
    <row r="13865" spans="1:2" x14ac:dyDescent="0.25">
      <c r="A13865">
        <f ca="1">32608.9649349778*((RANDBETWEEN(2979,3282)))</f>
        <v>97729067.910128593</v>
      </c>
      <c r="B13865">
        <v>155740949.42799926</v>
      </c>
    </row>
    <row r="13866" spans="1:2" x14ac:dyDescent="0.25">
      <c r="A13866">
        <f ca="1">35592.2313614843*((RANDBETWEEN(2979,3282)))</f>
        <v>109588480.36201008</v>
      </c>
      <c r="B13866">
        <v>161500722.53136167</v>
      </c>
    </row>
    <row r="13867" spans="1:2" x14ac:dyDescent="0.25">
      <c r="A13867">
        <f ca="1">32854.774453267*((RANDBETWEEN(2979,3282)))</f>
        <v>100864157.57152975</v>
      </c>
      <c r="B13867">
        <v>158613175.30418342</v>
      </c>
    </row>
    <row r="13868" spans="1:2" x14ac:dyDescent="0.25">
      <c r="A13868">
        <f ca="1">32892.650988673*((RANDBETWEEN(2979,3282)))</f>
        <v>105947228.83451587</v>
      </c>
      <c r="B13868">
        <v>200817313.70231935</v>
      </c>
    </row>
    <row r="13869" spans="1:2" x14ac:dyDescent="0.25">
      <c r="A13869">
        <f ca="1">31641.3459132915*((RANDBETWEEN(2979,3282)))</f>
        <v>95050603.123527795</v>
      </c>
      <c r="B13869">
        <v>150353663.15156096</v>
      </c>
    </row>
    <row r="13870" spans="1:2" x14ac:dyDescent="0.25">
      <c r="A13870">
        <f ca="1">36063.4553368857*((RANDBETWEEN(2979,3282)))</f>
        <v>109849284.95615391</v>
      </c>
      <c r="B13870">
        <v>154029500.51617241</v>
      </c>
    </row>
    <row r="13871" spans="1:2" x14ac:dyDescent="0.25">
      <c r="A13871">
        <f ca="1">32208.3929243328*((RANDBETWEEN(2979,3282)))</f>
        <v>103646608.4305028</v>
      </c>
      <c r="B13871">
        <v>145238455.83610538</v>
      </c>
    </row>
    <row r="13872" spans="1:2" x14ac:dyDescent="0.25">
      <c r="A13872">
        <f ca="1">37156.5228683562*((RANDBETWEEN(2979,3282)))</f>
        <v>121687612.39386661</v>
      </c>
      <c r="B13872">
        <v>185174641.61587653</v>
      </c>
    </row>
    <row r="13873" spans="1:2" x14ac:dyDescent="0.25">
      <c r="A13873">
        <f ca="1">31483.4850659964*((RANDBETWEEN(2979,3282)))</f>
        <v>97441386.279258773</v>
      </c>
      <c r="B13873">
        <v>168931528.18028808</v>
      </c>
    </row>
    <row r="13874" spans="1:2" x14ac:dyDescent="0.25">
      <c r="A13874">
        <f ca="1">31696.4629803133*((RANDBETWEEN(2979,3282)))</f>
        <v>97688498.905325711</v>
      </c>
      <c r="B13874">
        <v>151092978.29999679</v>
      </c>
    </row>
    <row r="13875" spans="1:2" x14ac:dyDescent="0.25">
      <c r="A13875">
        <f ca="1">31263.9477631974*((RANDBETWEEN(2979,3282)))</f>
        <v>101514038.38710196</v>
      </c>
      <c r="B13875">
        <v>151571656.81172121</v>
      </c>
    </row>
    <row r="13876" spans="1:2" x14ac:dyDescent="0.25">
      <c r="A13876">
        <f ca="1">28861.6550180777*((RANDBETWEEN(2979,3282)))</f>
        <v>87104474.844558552</v>
      </c>
      <c r="B13876">
        <v>148145236.12141037</v>
      </c>
    </row>
    <row r="13877" spans="1:2" x14ac:dyDescent="0.25">
      <c r="A13877">
        <f ca="1">32301.3945324441*((RANDBETWEEN(2979,3282)))</f>
        <v>101135666.28108263</v>
      </c>
      <c r="B13877">
        <v>163307226.87383488</v>
      </c>
    </row>
    <row r="13878" spans="1:2" x14ac:dyDescent="0.25">
      <c r="A13878">
        <f ca="1">31973.4339710988*((RANDBETWEEN(2979,3282)))</f>
        <v>102346962.14148737</v>
      </c>
      <c r="B13878">
        <v>167872324.37903625</v>
      </c>
    </row>
    <row r="13879" spans="1:2" x14ac:dyDescent="0.25">
      <c r="A13879">
        <f ca="1">35493.787642369*((RANDBETWEEN(2979,3282)))</f>
        <v>106658831.86531885</v>
      </c>
      <c r="B13879">
        <v>149398704.95160112</v>
      </c>
    </row>
    <row r="13880" spans="1:2" x14ac:dyDescent="0.25">
      <c r="A13880">
        <f ca="1">30304.3310831842*((RANDBETWEEN(2979,3282)))</f>
        <v>92640340.12129423</v>
      </c>
      <c r="B13880">
        <v>144967011.33610791</v>
      </c>
    </row>
    <row r="13881" spans="1:2" x14ac:dyDescent="0.25">
      <c r="A13881">
        <f ca="1">30062.3565000041*((RANDBETWEEN(2979,3282)))</f>
        <v>98634591.676513448</v>
      </c>
      <c r="B13881">
        <v>182237496.43944997</v>
      </c>
    </row>
    <row r="13882" spans="1:2" x14ac:dyDescent="0.25">
      <c r="A13882">
        <f ca="1">31981.132643786*((RANDBETWEEN(2979,3282)))</f>
        <v>98565850.808148459</v>
      </c>
      <c r="B13882">
        <v>153838797.98098296</v>
      </c>
    </row>
    <row r="13883" spans="1:2" x14ac:dyDescent="0.25">
      <c r="A13883">
        <f ca="1">29037.5163381598*((RANDBETWEEN(2979,3282)))</f>
        <v>86706023.78574504</v>
      </c>
      <c r="B13883">
        <v>170453743.58551303</v>
      </c>
    </row>
    <row r="13884" spans="1:2" x14ac:dyDescent="0.25">
      <c r="A13884">
        <f ca="1">37360.4870348042*((RANDBETWEEN(2979,3282)))</f>
        <v>119105232.66695593</v>
      </c>
      <c r="B13884">
        <v>144000033.89209247</v>
      </c>
    </row>
    <row r="13885" spans="1:2" x14ac:dyDescent="0.25">
      <c r="A13885">
        <f ca="1">31244.4858888823*((RANDBETWEEN(2979,3282)))</f>
        <v>101982001.9413117</v>
      </c>
      <c r="B13885">
        <v>145842029.45625052</v>
      </c>
    </row>
    <row r="13886" spans="1:2" x14ac:dyDescent="0.25">
      <c r="A13886">
        <f ca="1">36639.6266077369*((RANDBETWEEN(2979,3282)))</f>
        <v>110578393.10214995</v>
      </c>
      <c r="B13886">
        <v>144864517.72051039</v>
      </c>
    </row>
    <row r="13887" spans="1:2" x14ac:dyDescent="0.25">
      <c r="A13887">
        <f ca="1">42504.7559607955*((RANDBETWEEN(2979,3282)))</f>
        <v>127259239.34662186</v>
      </c>
      <c r="B13887">
        <v>154022178.13400131</v>
      </c>
    </row>
    <row r="13888" spans="1:2" x14ac:dyDescent="0.25">
      <c r="A13888">
        <f ca="1">32279.963698278*((RANDBETWEEN(2979,3282)))</f>
        <v>97969689.824273586</v>
      </c>
      <c r="B13888">
        <v>200231910.996387</v>
      </c>
    </row>
    <row r="13889" spans="1:2" x14ac:dyDescent="0.25">
      <c r="A13889">
        <f ca="1">33734.8926993061*((RANDBETWEEN(2979,3282)))</f>
        <v>101744436.38110721</v>
      </c>
      <c r="B13889">
        <v>149015988.64753473</v>
      </c>
    </row>
    <row r="13890" spans="1:2" x14ac:dyDescent="0.25">
      <c r="A13890">
        <f ca="1">30163.5289295174*((RANDBETWEEN(2979,3282)))</f>
        <v>90219115.028186426</v>
      </c>
      <c r="B13890">
        <v>154984933.24324185</v>
      </c>
    </row>
    <row r="13891" spans="1:2" x14ac:dyDescent="0.25">
      <c r="A13891">
        <f ca="1">31124.7614632436*((RANDBETWEEN(2979,3282)))</f>
        <v>98229747.177996844</v>
      </c>
      <c r="B13891">
        <v>174339235.48040947</v>
      </c>
    </row>
    <row r="13892" spans="1:2" x14ac:dyDescent="0.25">
      <c r="A13892">
        <f ca="1">31694.4841535349*((RANDBETWEEN(2979,3282)))</f>
        <v>100820154.09239455</v>
      </c>
      <c r="B13892">
        <v>180692491.54307678</v>
      </c>
    </row>
    <row r="13893" spans="1:2" x14ac:dyDescent="0.25">
      <c r="A13893">
        <f ca="1">30291.0056548367*((RANDBETWEEN(2979,3282)))</f>
        <v>96022487.925832212</v>
      </c>
      <c r="B13893">
        <v>188197565.43617728</v>
      </c>
    </row>
    <row r="13894" spans="1:2" x14ac:dyDescent="0.25">
      <c r="A13894">
        <f ca="1">32095.8394688383*((RANDBETWEEN(2979,3282)))</f>
        <v>98084885.416769907</v>
      </c>
      <c r="B13894">
        <v>160796590.59157199</v>
      </c>
    </row>
    <row r="13895" spans="1:2" x14ac:dyDescent="0.25">
      <c r="A13895">
        <f ca="1">30718.4310808709*((RANDBETWEEN(2979,3282)))</f>
        <v>91878827.362884998</v>
      </c>
      <c r="B13895">
        <v>173582628.81408444</v>
      </c>
    </row>
    <row r="13896" spans="1:2" x14ac:dyDescent="0.25">
      <c r="A13896">
        <f ca="1">37344.6339342514*((RANDBETWEEN(2979,3282)))</f>
        <v>119428139.32173587</v>
      </c>
      <c r="B13896">
        <v>171455831.96666369</v>
      </c>
    </row>
    <row r="13897" spans="1:2" x14ac:dyDescent="0.25">
      <c r="A13897">
        <f ca="1">32383.7722716444*((RANDBETWEEN(2979,3282)))</f>
        <v>97798992.260365963</v>
      </c>
      <c r="B13897">
        <v>179197462.16670412</v>
      </c>
    </row>
    <row r="13898" spans="1:2" x14ac:dyDescent="0.25">
      <c r="A13898">
        <f ca="1">41703.5649289377*((RANDBETWEEN(2979,3282)))</f>
        <v>127863130.07212313</v>
      </c>
      <c r="B13898">
        <v>160487819.05210713</v>
      </c>
    </row>
    <row r="13899" spans="1:2" x14ac:dyDescent="0.25">
      <c r="A13899">
        <f ca="1">35623.9856441468*((RANDBETWEEN(2979,3282)))</f>
        <v>115599833.41525652</v>
      </c>
      <c r="B13899">
        <v>165789550.2822271</v>
      </c>
    </row>
    <row r="13900" spans="1:2" x14ac:dyDescent="0.25">
      <c r="A13900">
        <f ca="1">37363.6741786507*((RANDBETWEEN(2979,3282)))</f>
        <v>117396664.2693204</v>
      </c>
      <c r="B13900">
        <v>145869067.95453835</v>
      </c>
    </row>
    <row r="13901" spans="1:2" x14ac:dyDescent="0.25">
      <c r="A13901">
        <f ca="1">34165.8847717875*((RANDBETWEEN(2979,3282)))</f>
        <v>104069285.01486471</v>
      </c>
      <c r="B13901">
        <v>184072583.02462417</v>
      </c>
    </row>
    <row r="13902" spans="1:2" x14ac:dyDescent="0.25">
      <c r="A13902">
        <f ca="1">34633.5998301887*((RANDBETWEEN(2979,3282)))</f>
        <v>108576335.4676417</v>
      </c>
      <c r="B13902">
        <v>143910026.51352236</v>
      </c>
    </row>
    <row r="13903" spans="1:2" x14ac:dyDescent="0.25">
      <c r="A13903">
        <f ca="1">31402.251889885*((RANDBETWEEN(2979,3282)))</f>
        <v>101397871.3524386</v>
      </c>
      <c r="B13903">
        <v>154275883.08713934</v>
      </c>
    </row>
    <row r="13904" spans="1:2" x14ac:dyDescent="0.25">
      <c r="A13904">
        <f ca="1">30085.2468892141*((RANDBETWEEN(2979,3282)))</f>
        <v>97175347.452161506</v>
      </c>
      <c r="B13904">
        <v>202358168.12205562</v>
      </c>
    </row>
    <row r="13905" spans="1:2" x14ac:dyDescent="0.25">
      <c r="A13905">
        <f ca="1">28287.3170771535*((RANDBETWEEN(2979,3282)))</f>
        <v>87040074.646401361</v>
      </c>
      <c r="B13905">
        <v>162833474.42966408</v>
      </c>
    </row>
    <row r="13906" spans="1:2" x14ac:dyDescent="0.25">
      <c r="A13906">
        <f ca="1">34510.8660229774*((RANDBETWEEN(2979,3282)))</f>
        <v>104326347.98746078</v>
      </c>
      <c r="B13906">
        <v>191200635.07361385</v>
      </c>
    </row>
    <row r="13907" spans="1:2" x14ac:dyDescent="0.25">
      <c r="A13907">
        <f ca="1">38438.5194850565*((RANDBETWEEN(2979,3282)))</f>
        <v>118313762.97500394</v>
      </c>
      <c r="B13907">
        <v>149002209.26704791</v>
      </c>
    </row>
    <row r="13908" spans="1:2" x14ac:dyDescent="0.25">
      <c r="A13908">
        <f ca="1">31801.1592974676*((RANDBETWEEN(2979,3282)))</f>
        <v>95975898.759757191</v>
      </c>
      <c r="B13908">
        <v>146512298.20072725</v>
      </c>
    </row>
    <row r="13909" spans="1:2" x14ac:dyDescent="0.25">
      <c r="A13909">
        <f ca="1">29738.1159641762*((RANDBETWEEN(2979,3282)))</f>
        <v>96500186.303751618</v>
      </c>
      <c r="B13909">
        <v>150552166.49353012</v>
      </c>
    </row>
    <row r="13910" spans="1:2" x14ac:dyDescent="0.25">
      <c r="A13910">
        <f ca="1">40987.3424175153*((RANDBETWEEN(2979,3282)))</f>
        <v>128331369.1092404</v>
      </c>
      <c r="B13910">
        <v>198849842.45678532</v>
      </c>
    </row>
    <row r="13911" spans="1:2" x14ac:dyDescent="0.25">
      <c r="A13911">
        <f ca="1">38406.6730939648*((RANDBETWEEN(2979,3282)))</f>
        <v>123247013.9585329</v>
      </c>
      <c r="B13911">
        <v>156150087.93989262</v>
      </c>
    </row>
    <row r="13912" spans="1:2" x14ac:dyDescent="0.25">
      <c r="A13912">
        <f ca="1">38570.9276274152*((RANDBETWEEN(2979,3282)))</f>
        <v>115095648.04020686</v>
      </c>
      <c r="B13912">
        <v>173773366.86066806</v>
      </c>
    </row>
    <row r="13913" spans="1:2" x14ac:dyDescent="0.25">
      <c r="A13913">
        <f ca="1">31792.5834573028*((RANDBETWEEN(2979,3282)))</f>
        <v>95473128.122280315</v>
      </c>
      <c r="B13913">
        <v>186402974.48614943</v>
      </c>
    </row>
    <row r="13914" spans="1:2" x14ac:dyDescent="0.25">
      <c r="A13914">
        <f ca="1">34121.4963741487*((RANDBETWEEN(2979,3282)))</f>
        <v>103422255.51004457</v>
      </c>
      <c r="B13914">
        <v>145324275.15477732</v>
      </c>
    </row>
    <row r="13915" spans="1:2" x14ac:dyDescent="0.25">
      <c r="A13915">
        <f ca="1">32132.0576290451*((RANDBETWEEN(2979,3282)))</f>
        <v>103593753.79604137</v>
      </c>
      <c r="B13915">
        <v>185896451.17625219</v>
      </c>
    </row>
    <row r="13916" spans="1:2" x14ac:dyDescent="0.25">
      <c r="A13916">
        <f ca="1">31565.4756797465*((RANDBETWEEN(2979,3282)))</f>
        <v>95611825.833952248</v>
      </c>
      <c r="B13916">
        <v>157787678.45856559</v>
      </c>
    </row>
    <row r="13917" spans="1:2" x14ac:dyDescent="0.25">
      <c r="A13917">
        <f ca="1">31760.547340887*((RANDBETWEEN(2979,3282)))</f>
        <v>94709952.170525149</v>
      </c>
      <c r="B13917">
        <v>180994302.16610745</v>
      </c>
    </row>
    <row r="13918" spans="1:2" x14ac:dyDescent="0.25">
      <c r="A13918">
        <f ca="1">31872.1150203813*((RANDBETWEEN(2979,3282)))</f>
        <v>98931045.023263484</v>
      </c>
      <c r="B13918">
        <v>172903008.01841325</v>
      </c>
    </row>
    <row r="13919" spans="1:2" x14ac:dyDescent="0.25">
      <c r="A13919">
        <f ca="1">28178.1006298666*((RANDBETWEEN(2979,3282)))</f>
        <v>85266932.50597626</v>
      </c>
      <c r="B13919">
        <v>168308049.08891881</v>
      </c>
    </row>
    <row r="13920" spans="1:2" x14ac:dyDescent="0.25">
      <c r="A13920">
        <f ca="1">39015.0857037967*((RANDBETWEEN(2979,3282)))</f>
        <v>124146002.70948111</v>
      </c>
      <c r="B13920">
        <v>144191557.17928159</v>
      </c>
    </row>
    <row r="13921" spans="1:2" x14ac:dyDescent="0.25">
      <c r="A13921">
        <f ca="1">29863.1116440839*((RANDBETWEEN(2979,3282)))</f>
        <v>90067144.718556955</v>
      </c>
      <c r="B13921">
        <v>185083834.09744105</v>
      </c>
    </row>
    <row r="13922" spans="1:2" x14ac:dyDescent="0.25">
      <c r="A13922">
        <f ca="1">29641.9124069486*((RANDBETWEEN(2979,3282)))</f>
        <v>96573350.621838629</v>
      </c>
      <c r="B13922">
        <v>176465283.10951546</v>
      </c>
    </row>
    <row r="13923" spans="1:2" x14ac:dyDescent="0.25">
      <c r="A13923">
        <f ca="1">32959.3144475303*((RANDBETWEEN(2979,3282)))</f>
        <v>101481729.18394579</v>
      </c>
      <c r="B13923">
        <v>148093023.984743</v>
      </c>
    </row>
    <row r="13924" spans="1:2" x14ac:dyDescent="0.25">
      <c r="A13924">
        <f ca="1">35179.2308499833*((RANDBETWEEN(2979,3282)))</f>
        <v>109020436.40409836</v>
      </c>
      <c r="B13924">
        <v>196685289.13050899</v>
      </c>
    </row>
    <row r="13925" spans="1:2" x14ac:dyDescent="0.25">
      <c r="A13925">
        <f ca="1">35905.737111148*((RANDBETWEEN(2979,3282)))</f>
        <v>117196325.93078703</v>
      </c>
      <c r="B13925">
        <v>153056018.11856669</v>
      </c>
    </row>
    <row r="13926" spans="1:2" x14ac:dyDescent="0.25">
      <c r="A13926">
        <f ca="1">40343.2141769687*((RANDBETWEEN(2979,3282)))</f>
        <v>126354946.80226599</v>
      </c>
      <c r="B13926">
        <v>194913273.42239729</v>
      </c>
    </row>
    <row r="13927" spans="1:2" x14ac:dyDescent="0.25">
      <c r="A13927">
        <f ca="1">38588.2183038663*((RANDBETWEEN(2979,3282)))</f>
        <v>122903475.29781407</v>
      </c>
      <c r="B13927">
        <v>162577228.66893667</v>
      </c>
    </row>
    <row r="13928" spans="1:2" x14ac:dyDescent="0.25">
      <c r="A13928">
        <f ca="1">35562.8292300996*((RANDBETWEEN(2979,3282)))</f>
        <v>113303173.92709729</v>
      </c>
      <c r="B13928">
        <v>165164544.74688715</v>
      </c>
    </row>
    <row r="13929" spans="1:2" x14ac:dyDescent="0.25">
      <c r="A13929">
        <f ca="1">30162.2558564692*((RANDBETWEEN(2979,3282)))</f>
        <v>93352181.875772148</v>
      </c>
      <c r="B13929">
        <v>185190725.30729207</v>
      </c>
    </row>
    <row r="13930" spans="1:2" x14ac:dyDescent="0.25">
      <c r="A13930">
        <f ca="1">36623.5660397662*((RANDBETWEEN(2979,3282)))</f>
        <v>112104735.64772436</v>
      </c>
      <c r="B13930">
        <v>175704634.22281963</v>
      </c>
    </row>
    <row r="13931" spans="1:2" x14ac:dyDescent="0.25">
      <c r="A13931">
        <f ca="1">39416.0680422783*((RANDBETWEEN(2979,3282)))</f>
        <v>121874482.38672461</v>
      </c>
      <c r="B13931">
        <v>202601861.01908156</v>
      </c>
    </row>
    <row r="13932" spans="1:2" x14ac:dyDescent="0.25">
      <c r="A13932">
        <f ca="1">33602.5742943644*((RANDBETWEEN(2979,3282)))</f>
        <v>106016121.89871959</v>
      </c>
      <c r="B13932">
        <v>174561627.022066</v>
      </c>
    </row>
    <row r="13933" spans="1:2" x14ac:dyDescent="0.25">
      <c r="A13933">
        <f ca="1">29204.9295150012*((RANDBETWEEN(2979,3282)))</f>
        <v>95237275.148418814</v>
      </c>
      <c r="B13933">
        <v>188040604.80086011</v>
      </c>
    </row>
    <row r="13934" spans="1:2" x14ac:dyDescent="0.25">
      <c r="A13934">
        <f ca="1">34577.0152986711*((RANDBETWEEN(2979,3282)))</f>
        <v>111649182.39940904</v>
      </c>
      <c r="B13934">
        <v>149317055.87154311</v>
      </c>
    </row>
    <row r="13935" spans="1:2" x14ac:dyDescent="0.25">
      <c r="A13935">
        <f ca="1">32301.4841061164*((RANDBETWEEN(2979,3282)))</f>
        <v>103623161.01242128</v>
      </c>
      <c r="B13935">
        <v>180877520.5964399</v>
      </c>
    </row>
    <row r="13936" spans="1:2" x14ac:dyDescent="0.25">
      <c r="A13936">
        <f ca="1">39723.8751816899*((RANDBETWEEN(2979,3282)))</f>
        <v>120681132.80197398</v>
      </c>
      <c r="B13936">
        <v>175327822.70092303</v>
      </c>
    </row>
    <row r="13937" spans="1:2" x14ac:dyDescent="0.25">
      <c r="A13937">
        <f ca="1">30127.0087356292*((RANDBETWEEN(2979,3282)))</f>
        <v>97641635.312174097</v>
      </c>
      <c r="B13937">
        <v>148644429.24590427</v>
      </c>
    </row>
    <row r="13938" spans="1:2" x14ac:dyDescent="0.25">
      <c r="A13938">
        <f ca="1">32262.2073098389*((RANDBETWEEN(2979,3282)))</f>
        <v>105755515.56165202</v>
      </c>
      <c r="B13938">
        <v>193301890.33925214</v>
      </c>
    </row>
    <row r="13939" spans="1:2" x14ac:dyDescent="0.25">
      <c r="A13939">
        <f ca="1">33043.2603458519*((RANDBETWEEN(2979,3282)))</f>
        <v>100914117.09623179</v>
      </c>
      <c r="B13939">
        <v>178582261.0557012</v>
      </c>
    </row>
    <row r="13940" spans="1:2" x14ac:dyDescent="0.25">
      <c r="A13940">
        <f ca="1">31218.2560304804*((RANDBETWEEN(2979,3282)))</f>
        <v>94341569.724111721</v>
      </c>
      <c r="B13940">
        <v>157275113.01445359</v>
      </c>
    </row>
    <row r="13941" spans="1:2" x14ac:dyDescent="0.25">
      <c r="A13941">
        <f ca="1">30378.713294235*((RANDBETWEEN(2979,3282)))</f>
        <v>98427031.073321372</v>
      </c>
      <c r="B13941">
        <v>187827521.2581788</v>
      </c>
    </row>
    <row r="13942" spans="1:2" x14ac:dyDescent="0.25">
      <c r="A13942">
        <f ca="1">31983.1884283184*((RANDBETWEEN(2979,3282)))</f>
        <v>99627631.95421195</v>
      </c>
      <c r="B13942">
        <v>198618183.53393096</v>
      </c>
    </row>
    <row r="13943" spans="1:2" x14ac:dyDescent="0.25">
      <c r="A13943">
        <f ca="1">30763.4324707917*((RANDBETWEEN(2979,3282)))</f>
        <v>99058252.555949286</v>
      </c>
      <c r="B13943">
        <v>185335683.47497767</v>
      </c>
    </row>
    <row r="13944" spans="1:2" x14ac:dyDescent="0.25">
      <c r="A13944">
        <f ca="1">31776.9308733237*((RANDBETWEEN(2979,3282)))</f>
        <v>100478655.4214496</v>
      </c>
      <c r="B13944">
        <v>187300149.68079215</v>
      </c>
    </row>
    <row r="13945" spans="1:2" x14ac:dyDescent="0.25">
      <c r="A13945">
        <f ca="1">31080.4398485144*((RANDBETWEEN(2979,3282)))</f>
        <v>92681871.628269911</v>
      </c>
      <c r="B13945">
        <v>173429456.08060265</v>
      </c>
    </row>
    <row r="13946" spans="1:2" x14ac:dyDescent="0.25">
      <c r="A13946">
        <f ca="1">39603.7717241634*((RANDBETWEEN(2979,3282)))</f>
        <v>119405371.74835268</v>
      </c>
      <c r="B13946">
        <v>155752465.92989111</v>
      </c>
    </row>
    <row r="13947" spans="1:2" x14ac:dyDescent="0.25">
      <c r="A13947">
        <f ca="1">33124.2323194323*((RANDBETWEEN(2979,3282)))</f>
        <v>103513225.99822588</v>
      </c>
      <c r="B13947">
        <v>154714578.29694176</v>
      </c>
    </row>
    <row r="13948" spans="1:2" x14ac:dyDescent="0.25">
      <c r="A13948">
        <f ca="1">31335.9162840365*((RANDBETWEEN(2979,3282)))</f>
        <v>93945077.019541457</v>
      </c>
      <c r="B13948">
        <v>195529213.52017802</v>
      </c>
    </row>
    <row r="13949" spans="1:2" x14ac:dyDescent="0.25">
      <c r="A13949">
        <f ca="1">29438.399906162*((RANDBETWEEN(2979,3282)))</f>
        <v>95174346.896621794</v>
      </c>
      <c r="B13949">
        <v>152266550.10317689</v>
      </c>
    </row>
    <row r="13950" spans="1:2" x14ac:dyDescent="0.25">
      <c r="A13950">
        <f ca="1">28459.2500366528*((RANDBETWEEN(2979,3282)))</f>
        <v>85975394.360728219</v>
      </c>
      <c r="B13950">
        <v>194588769.22312158</v>
      </c>
    </row>
    <row r="13951" spans="1:2" x14ac:dyDescent="0.25">
      <c r="A13951">
        <f ca="1">31600.5044196194*((RANDBETWEEN(2979,3282)))</f>
        <v>98846377.824569643</v>
      </c>
      <c r="B13951">
        <v>186132671.47420374</v>
      </c>
    </row>
    <row r="13952" spans="1:2" x14ac:dyDescent="0.25">
      <c r="A13952">
        <f ca="1">30276.5755711305*((RANDBETWEEN(2979,3282)))</f>
        <v>94493192.357498378</v>
      </c>
      <c r="B13952">
        <v>148050203.46128255</v>
      </c>
    </row>
    <row r="13953" spans="1:2" x14ac:dyDescent="0.25">
      <c r="A13953">
        <f ca="1">30600.8092740543*((RANDBETWEEN(2979,3282)))</f>
        <v>93546673.950784042</v>
      </c>
      <c r="B13953">
        <v>152970017.57279724</v>
      </c>
    </row>
    <row r="13954" spans="1:2" x14ac:dyDescent="0.25">
      <c r="A13954">
        <f ca="1">35605.4371538642*((RANDBETWEEN(2979,3282)))</f>
        <v>115788881.62436648</v>
      </c>
      <c r="B13954">
        <v>193337965.16825932</v>
      </c>
    </row>
    <row r="13955" spans="1:2" x14ac:dyDescent="0.25">
      <c r="A13955">
        <f ca="1">35280.3196317189*((RANDBETWEEN(2979,3282)))</f>
        <v>108663384.46569411</v>
      </c>
      <c r="B13955">
        <v>197928960.27479693</v>
      </c>
    </row>
    <row r="13956" spans="1:2" x14ac:dyDescent="0.25">
      <c r="A13956">
        <f ca="1">31542.2441061875*((RANDBETWEEN(2979,3282)))</f>
        <v>98317174.878986567</v>
      </c>
      <c r="B13956">
        <v>183897299.08345026</v>
      </c>
    </row>
    <row r="13957" spans="1:2" x14ac:dyDescent="0.25">
      <c r="A13957">
        <f ca="1">34932.9724026996*((RANDBETWEEN(2979,3282)))</f>
        <v>106405833.93862309</v>
      </c>
      <c r="B13957">
        <v>180007571.29742259</v>
      </c>
    </row>
    <row r="13958" spans="1:2" x14ac:dyDescent="0.25">
      <c r="A13958">
        <f ca="1">30171.6695763189*((RANDBETWEEN(2979,3282)))</f>
        <v>96277797.618033648</v>
      </c>
      <c r="B13958">
        <v>159530834.83495691</v>
      </c>
    </row>
    <row r="13959" spans="1:2" x14ac:dyDescent="0.25">
      <c r="A13959">
        <f ca="1">30906.4432734718*((RANDBETWEEN(2979,3282)))</f>
        <v>98467928.269281179</v>
      </c>
      <c r="B13959">
        <v>143766482.18965778</v>
      </c>
    </row>
    <row r="13960" spans="1:2" x14ac:dyDescent="0.25">
      <c r="A13960">
        <f ca="1">41414.7611345055*((RANDBETWEEN(2979,3282)))</f>
        <v>132402991.34701397</v>
      </c>
      <c r="B13960">
        <v>191830805.90410563</v>
      </c>
    </row>
    <row r="13961" spans="1:2" x14ac:dyDescent="0.25">
      <c r="A13961">
        <f ca="1">34874.7524710783*((RANDBETWEEN(2979,3282)))</f>
        <v>110029844.04625189</v>
      </c>
      <c r="B13961">
        <v>159853694.92341483</v>
      </c>
    </row>
    <row r="13962" spans="1:2" x14ac:dyDescent="0.25">
      <c r="A13962">
        <f ca="1">40765.6610451259*((RANDBETWEEN(2979,3282)))</f>
        <v>124824454.12017536</v>
      </c>
      <c r="B13962">
        <v>199217671.60329822</v>
      </c>
    </row>
    <row r="13963" spans="1:2" x14ac:dyDescent="0.25">
      <c r="A13963">
        <f ca="1">30361.3584260848*((RANDBETWEEN(2979,3282)))</f>
        <v>98310078.583662435</v>
      </c>
      <c r="B13963">
        <v>164261749.58535862</v>
      </c>
    </row>
    <row r="13964" spans="1:2" x14ac:dyDescent="0.25">
      <c r="A13964">
        <f ca="1">31355.201538992*((RANDBETWEEN(2979,3282)))</f>
        <v>100587486.5370862</v>
      </c>
      <c r="B13964">
        <v>147261966.74530792</v>
      </c>
    </row>
    <row r="13965" spans="1:2" x14ac:dyDescent="0.25">
      <c r="A13965">
        <f ca="1">38071.7998377715*((RANDBETWEEN(2979,3282)))</f>
        <v>114025040.51412572</v>
      </c>
      <c r="B13965">
        <v>164349736.08101049</v>
      </c>
    </row>
    <row r="13966" spans="1:2" x14ac:dyDescent="0.25">
      <c r="A13966">
        <f ca="1">42456.5022210517*((RANDBETWEEN(2979,3282)))</f>
        <v>136752393.65400755</v>
      </c>
      <c r="B13966">
        <v>169852459.06770974</v>
      </c>
    </row>
    <row r="13967" spans="1:2" x14ac:dyDescent="0.25">
      <c r="A13967">
        <f ca="1">26991.3588470947*((RANDBETWEEN(2979,3282)))</f>
        <v>84294013.679476678</v>
      </c>
      <c r="B13967">
        <v>148207261.19175994</v>
      </c>
    </row>
    <row r="13968" spans="1:2" x14ac:dyDescent="0.25">
      <c r="A13968">
        <f ca="1">38891.1930289269*((RANDBETWEEN(2979,3282)))</f>
        <v>125307423.93920243</v>
      </c>
      <c r="B13968">
        <v>201663663.97116822</v>
      </c>
    </row>
    <row r="13969" spans="1:2" x14ac:dyDescent="0.25">
      <c r="A13969">
        <f ca="1">30462.7391282946*((RANDBETWEEN(2979,3282)))</f>
        <v>91053127.254472449</v>
      </c>
      <c r="B13969">
        <v>151602269.25100201</v>
      </c>
    </row>
    <row r="13970" spans="1:2" x14ac:dyDescent="0.25">
      <c r="A13970">
        <f ca="1">37702.2603976944*((RANDBETWEEN(2979,3282)))</f>
        <v>118008075.0447835</v>
      </c>
      <c r="B13970">
        <v>179554608.37647033</v>
      </c>
    </row>
    <row r="13971" spans="1:2" x14ac:dyDescent="0.25">
      <c r="A13971">
        <f ca="1">29865.1205706646*((RANDBETWEEN(2979,3282)))</f>
        <v>89087654.662292376</v>
      </c>
      <c r="B13971">
        <v>151891277.29452679</v>
      </c>
    </row>
    <row r="13972" spans="1:2" x14ac:dyDescent="0.25">
      <c r="A13972">
        <f ca="1">28998.4696571192*((RANDBETWEEN(2979,3282)))</f>
        <v>89199292.665298522</v>
      </c>
      <c r="B13972">
        <v>194921232.83279645</v>
      </c>
    </row>
    <row r="13973" spans="1:2" x14ac:dyDescent="0.25">
      <c r="A13973">
        <f ca="1">30492.8149010908*((RANDBETWEEN(2979,3282)))</f>
        <v>96418280.717249244</v>
      </c>
      <c r="B13973">
        <v>142921305.55881226</v>
      </c>
    </row>
    <row r="13974" spans="1:2" x14ac:dyDescent="0.25">
      <c r="A13974">
        <f ca="1">40726.831299249*((RANDBETWEEN(2979,3282)))</f>
        <v>123198664.68022832</v>
      </c>
      <c r="B13974">
        <v>186667793.3737416</v>
      </c>
    </row>
    <row r="13975" spans="1:2" x14ac:dyDescent="0.25">
      <c r="A13975">
        <f ca="1">34585.265669011*((RANDBETWEEN(2979,3282)))</f>
        <v>111157043.86020148</v>
      </c>
      <c r="B13975">
        <v>150563279.09385768</v>
      </c>
    </row>
    <row r="13976" spans="1:2" x14ac:dyDescent="0.25">
      <c r="A13976">
        <f ca="1">38008.3547543668*((RANDBETWEEN(2979,3282)))</f>
        <v>120372459.50707974</v>
      </c>
      <c r="B13976">
        <v>168055974.05360824</v>
      </c>
    </row>
    <row r="13977" spans="1:2" x14ac:dyDescent="0.25">
      <c r="A13977">
        <f ca="1">28753.53418837*((RANDBETWEEN(2979,3282)))</f>
        <v>91551252.85577023</v>
      </c>
      <c r="B13977">
        <v>157983477.17708537</v>
      </c>
    </row>
    <row r="13978" spans="1:2" x14ac:dyDescent="0.25">
      <c r="A13978">
        <f ca="1">38365.067579419*((RANDBETWEEN(2979,3282)))</f>
        <v>121885819.6998141</v>
      </c>
      <c r="B13978">
        <v>150598816.38478214</v>
      </c>
    </row>
    <row r="13979" spans="1:2" x14ac:dyDescent="0.25">
      <c r="A13979">
        <f ca="1">38512.1055091418*((RANDBETWEEN(2979,3282)))</f>
        <v>115151195.47233392</v>
      </c>
      <c r="B13979">
        <v>175216796.29519877</v>
      </c>
    </row>
    <row r="13980" spans="1:2" x14ac:dyDescent="0.25">
      <c r="A13980">
        <f ca="1">32385.0310359749*((RANDBETWEEN(2979,3282)))</f>
        <v>100166900.99427052</v>
      </c>
      <c r="B13980">
        <v>144494756.04682857</v>
      </c>
    </row>
    <row r="13981" spans="1:2" x14ac:dyDescent="0.25">
      <c r="A13981">
        <f ca="1">32284.124534941*((RANDBETWEEN(2979,3282)))</f>
        <v>104342290.49692929</v>
      </c>
      <c r="B13981">
        <v>158735704.86606115</v>
      </c>
    </row>
    <row r="13982" spans="1:2" x14ac:dyDescent="0.25">
      <c r="A13982">
        <f ca="1">29827.4660756134*((RANDBETWEEN(2979,3282)))</f>
        <v>88975331.303554788</v>
      </c>
      <c r="B13982">
        <v>148071911.05059582</v>
      </c>
    </row>
    <row r="13983" spans="1:2" x14ac:dyDescent="0.25">
      <c r="A13983">
        <f ca="1">33502.7294843143*((RANDBETWEEN(2979,3282)))</f>
        <v>102183324.92715849</v>
      </c>
      <c r="B13983">
        <v>202420789.3160634</v>
      </c>
    </row>
    <row r="13984" spans="1:2" x14ac:dyDescent="0.25">
      <c r="A13984">
        <f ca="1">40001.5712017908*((RANDBETWEEN(2979,3282)))</f>
        <v>126524969.71126442</v>
      </c>
      <c r="B13984">
        <v>188912170.74402779</v>
      </c>
    </row>
    <row r="13985" spans="1:2" x14ac:dyDescent="0.25">
      <c r="A13985">
        <f ca="1">32134.3028077996*((RANDBETWEEN(2979,3282)))</f>
        <v>102894037.59057447</v>
      </c>
      <c r="B13985">
        <v>154278835.19151103</v>
      </c>
    </row>
    <row r="13986" spans="1:2" x14ac:dyDescent="0.25">
      <c r="A13986">
        <f ca="1">31778.1404999696*((RANDBETWEEN(2979,3282)))</f>
        <v>100196476.99640407</v>
      </c>
      <c r="B13986">
        <v>203209414.31321636</v>
      </c>
    </row>
    <row r="13987" spans="1:2" x14ac:dyDescent="0.25">
      <c r="A13987">
        <f ca="1">35191.5802876772*((RANDBETWEEN(2979,3282)))</f>
        <v>109621772.59611434</v>
      </c>
      <c r="B13987">
        <v>202366204.58294973</v>
      </c>
    </row>
    <row r="13988" spans="1:2" x14ac:dyDescent="0.25">
      <c r="A13988">
        <f ca="1">31073.1002668324*((RANDBETWEEN(2979,3282)))</f>
        <v>94493297.911437333</v>
      </c>
      <c r="B13988">
        <v>175568538.40298185</v>
      </c>
    </row>
    <row r="13989" spans="1:2" x14ac:dyDescent="0.25">
      <c r="A13989">
        <f ca="1">35543.9260173221*((RANDBETWEEN(2979,3282)))</f>
        <v>107698095.832486</v>
      </c>
      <c r="B13989">
        <v>161097441.80855253</v>
      </c>
    </row>
    <row r="13990" spans="1:2" x14ac:dyDescent="0.25">
      <c r="A13990">
        <f ca="1">31138.384973393*((RANDBETWEEN(2979,3282)))</f>
        <v>101978210.7878622</v>
      </c>
      <c r="B13990">
        <v>164907846.50554574</v>
      </c>
    </row>
    <row r="13991" spans="1:2" x14ac:dyDescent="0.25">
      <c r="A13991">
        <f ca="1">27914.5335945963*((RANDBETWEEN(2979,3282)))</f>
        <v>88405327.894086614</v>
      </c>
      <c r="B13991">
        <v>201162712.67407244</v>
      </c>
    </row>
    <row r="13992" spans="1:2" x14ac:dyDescent="0.25">
      <c r="A13992">
        <f ca="1">30224.5013695822*((RANDBETWEEN(2979,3282)))</f>
        <v>96234812.360749677</v>
      </c>
      <c r="B13992">
        <v>145066980.01178735</v>
      </c>
    </row>
    <row r="13993" spans="1:2" x14ac:dyDescent="0.25">
      <c r="A13993">
        <f ca="1">30074.1186043298*((RANDBETWEEN(2979,3282)))</f>
        <v>90613319.354845762</v>
      </c>
      <c r="B13993">
        <v>163752767.66376337</v>
      </c>
    </row>
    <row r="13994" spans="1:2" x14ac:dyDescent="0.25">
      <c r="A13994">
        <f ca="1">33420.9242629031*((RANDBETWEEN(2979,3282)))</f>
        <v>105242490.50388195</v>
      </c>
      <c r="B13994">
        <v>184548396.91021445</v>
      </c>
    </row>
    <row r="13995" spans="1:2" x14ac:dyDescent="0.25">
      <c r="A13995">
        <f ca="1">36443.777533869*((RANDBETWEEN(2979,3282)))</f>
        <v>112028172.13911341</v>
      </c>
      <c r="B13995">
        <v>157290408.75830314</v>
      </c>
    </row>
    <row r="13996" spans="1:2" x14ac:dyDescent="0.25">
      <c r="A13996">
        <f ca="1">30625.6383985306*((RANDBETWEEN(2979,3282)))</f>
        <v>97083273.723342121</v>
      </c>
      <c r="B13996">
        <v>181643209.27443075</v>
      </c>
    </row>
    <row r="13997" spans="1:2" x14ac:dyDescent="0.25">
      <c r="A13997">
        <f ca="1">33332.0595120004*((RANDBETWEEN(2979,3282)))</f>
        <v>109162494.90180145</v>
      </c>
      <c r="B13997">
        <v>189870780.86848155</v>
      </c>
    </row>
    <row r="13998" spans="1:2" x14ac:dyDescent="0.25">
      <c r="A13998">
        <f ca="1">29447.7964633027*((RANDBETWEEN(2979,3282)))</f>
        <v>95381412.744637415</v>
      </c>
      <c r="B13998">
        <v>166959250.40439415</v>
      </c>
    </row>
    <row r="13999" spans="1:2" x14ac:dyDescent="0.25">
      <c r="A13999">
        <f ca="1">41351.7888832179*((RANDBETWEEN(2979,3282)))</f>
        <v>126619177.56041324</v>
      </c>
      <c r="B13999">
        <v>158309798.68067837</v>
      </c>
    </row>
    <row r="14000" spans="1:2" x14ac:dyDescent="0.25">
      <c r="A14000">
        <f ca="1">32883.1111579903*((RANDBETWEEN(2979,3282)))</f>
        <v>106409747.7072565</v>
      </c>
      <c r="B14000">
        <v>178067938.61355597</v>
      </c>
    </row>
    <row r="14001" spans="1:2" x14ac:dyDescent="0.25">
      <c r="A14001">
        <f ca="1">33507.4349586446*((RANDBETWEEN(2979,3282)))</f>
        <v>106922224.95303498</v>
      </c>
      <c r="B14001">
        <v>200418483.35065851</v>
      </c>
    </row>
    <row r="14002" spans="1:2" x14ac:dyDescent="0.25">
      <c r="A14002">
        <f ca="1">28194.2508594474*((RANDBETWEEN(2979,3282)))</f>
        <v>86584544.389362842</v>
      </c>
      <c r="B14002">
        <v>148240215.90243712</v>
      </c>
    </row>
    <row r="14003" spans="1:2" x14ac:dyDescent="0.25">
      <c r="A14003">
        <f ca="1">40449.8339513827*((RANDBETWEEN(2979,3282)))</f>
        <v>122603446.70664094</v>
      </c>
      <c r="B14003">
        <v>168981782.84331</v>
      </c>
    </row>
    <row r="14004" spans="1:2" x14ac:dyDescent="0.25">
      <c r="A14004">
        <f ca="1">30411.3971140732*((RANDBETWEEN(2979,3282)))</f>
        <v>94579445.024767667</v>
      </c>
      <c r="B14004">
        <v>174885419.72529608</v>
      </c>
    </row>
    <row r="14005" spans="1:2" x14ac:dyDescent="0.25">
      <c r="A14005">
        <f ca="1">34386.0504855399*((RANDBETWEEN(2979,3282)))</f>
        <v>109003780.03916138</v>
      </c>
      <c r="B14005">
        <v>185540483.07814115</v>
      </c>
    </row>
    <row r="14006" spans="1:2" x14ac:dyDescent="0.25">
      <c r="A14006">
        <f ca="1">36962.4088677057*((RANDBETWEEN(2979,3282)))</f>
        <v>112143948.50461917</v>
      </c>
      <c r="B14006">
        <v>198471107.63758662</v>
      </c>
    </row>
    <row r="14007" spans="1:2" x14ac:dyDescent="0.25">
      <c r="A14007">
        <f ca="1">30851.3501056145*((RANDBETWEEN(2979,3282)))</f>
        <v>97891333.885114759</v>
      </c>
      <c r="B14007">
        <v>167677647.80087149</v>
      </c>
    </row>
    <row r="14008" spans="1:2" x14ac:dyDescent="0.25">
      <c r="A14008">
        <f ca="1">36543.0379506158*((RANDBETWEEN(2979,3282)))</f>
        <v>117339694.85942733</v>
      </c>
      <c r="B14008">
        <v>182913557.73873198</v>
      </c>
    </row>
    <row r="14009" spans="1:2" x14ac:dyDescent="0.25">
      <c r="A14009">
        <f ca="1">30060.804857358*((RANDBETWEEN(2979,3282)))</f>
        <v>96555305.20183377</v>
      </c>
      <c r="B14009">
        <v>147433689.61051688</v>
      </c>
    </row>
    <row r="14010" spans="1:2" x14ac:dyDescent="0.25">
      <c r="A14010">
        <f ca="1">35365.1161696629*((RANDBETWEEN(2979,3282)))</f>
        <v>112036688.02549195</v>
      </c>
      <c r="B14010">
        <v>184776096.26757663</v>
      </c>
    </row>
    <row r="14011" spans="1:2" x14ac:dyDescent="0.25">
      <c r="A14011">
        <f ca="1">29844.3175865655*((RANDBETWEEN(2979,3282)))</f>
        <v>97859517.366348282</v>
      </c>
      <c r="B14011">
        <v>182953612.37054926</v>
      </c>
    </row>
    <row r="14012" spans="1:2" x14ac:dyDescent="0.25">
      <c r="A14012">
        <f ca="1">37071.5256826825*((RANDBETWEEN(2979,3282)))</f>
        <v>114995872.66768111</v>
      </c>
      <c r="B14012">
        <v>198087171.15270805</v>
      </c>
    </row>
    <row r="14013" spans="1:2" x14ac:dyDescent="0.25">
      <c r="A14013">
        <f ca="1">34668.561702027*((RANDBETWEEN(2979,3282)))</f>
        <v>103450988.11884846</v>
      </c>
      <c r="B14013">
        <v>144446003.70786622</v>
      </c>
    </row>
    <row r="14014" spans="1:2" x14ac:dyDescent="0.25">
      <c r="A14014">
        <f ca="1">28923.5679110083*((RANDBETWEEN(2979,3282)))</f>
        <v>90530767.56145604</v>
      </c>
      <c r="B14014">
        <v>171221233.92449218</v>
      </c>
    </row>
    <row r="14015" spans="1:2" x14ac:dyDescent="0.25">
      <c r="A14015">
        <f ca="1">34144.7300372857*((RANDBETWEEN(2979,3282)))</f>
        <v>109877741.25998528</v>
      </c>
      <c r="B14015">
        <v>187446213.35376349</v>
      </c>
    </row>
    <row r="14016" spans="1:2" x14ac:dyDescent="0.25">
      <c r="A14016">
        <f ca="1">31006.3861748339*((RANDBETWEEN(2979,3282)))</f>
        <v>98197225.015699103</v>
      </c>
      <c r="B14016">
        <v>148609820.99717993</v>
      </c>
    </row>
    <row r="14017" spans="1:2" x14ac:dyDescent="0.25">
      <c r="A14017">
        <f ca="1">30908.9855769211*((RANDBETWEEN(2979,3282)))</f>
        <v>100608748.05287811</v>
      </c>
      <c r="B14017">
        <v>169754365.98184016</v>
      </c>
    </row>
    <row r="14018" spans="1:2" x14ac:dyDescent="0.25">
      <c r="A14018">
        <f ca="1">37534.4416918018*((RANDBETWEEN(2979,3282)))</f>
        <v>118721439.07116903</v>
      </c>
      <c r="B14018">
        <v>154545029.40782487</v>
      </c>
    </row>
    <row r="14019" spans="1:2" x14ac:dyDescent="0.25">
      <c r="A14019">
        <f ca="1">41860.397671886*((RANDBETWEEN(2979,3282)))</f>
        <v>136799779.5917235</v>
      </c>
      <c r="B14019">
        <v>169929672.26455092</v>
      </c>
    </row>
    <row r="14020" spans="1:2" x14ac:dyDescent="0.25">
      <c r="A14020">
        <f ca="1">32779.0711646584*((RANDBETWEEN(2979,3282)))</f>
        <v>99713934.48289077</v>
      </c>
      <c r="B14020">
        <v>198229948.08911073</v>
      </c>
    </row>
    <row r="14021" spans="1:2" x14ac:dyDescent="0.25">
      <c r="A14021">
        <f ca="1">34310.8271641592*((RANDBETWEEN(2979,3282)))</f>
        <v>109005497.90053366</v>
      </c>
      <c r="B14021">
        <v>172053859.6825805</v>
      </c>
    </row>
    <row r="14022" spans="1:2" x14ac:dyDescent="0.25">
      <c r="A14022">
        <f ca="1">29103.750961329*((RANDBETWEEN(2979,3282)))</f>
        <v>93714078.09547931</v>
      </c>
      <c r="B14022">
        <v>199909393.67750323</v>
      </c>
    </row>
    <row r="14023" spans="1:2" x14ac:dyDescent="0.25">
      <c r="A14023">
        <f ca="1">38335.7996953868*((RANDBETWEEN(2979,3282)))</f>
        <v>118380949.45935446</v>
      </c>
      <c r="B14023">
        <v>165295241.57357252</v>
      </c>
    </row>
    <row r="14024" spans="1:2" x14ac:dyDescent="0.25">
      <c r="A14024">
        <f ca="1">31375.0590032745*((RANDBETWEEN(2979,3282)))</f>
        <v>98800060.801311493</v>
      </c>
      <c r="B14024">
        <v>147651392.78392887</v>
      </c>
    </row>
    <row r="14025" spans="1:2" x14ac:dyDescent="0.25">
      <c r="A14025">
        <f ca="1">30701.8219451973*((RANDBETWEEN(2979,3282)))</f>
        <v>97938812.005179405</v>
      </c>
      <c r="B14025">
        <v>200214784.55487913</v>
      </c>
    </row>
    <row r="14026" spans="1:2" x14ac:dyDescent="0.25">
      <c r="A14026">
        <f ca="1">29602.7378937347*((RANDBETWEEN(2979,3282)))</f>
        <v>91087624.499021634</v>
      </c>
      <c r="B14026">
        <v>168014340.26250604</v>
      </c>
    </row>
    <row r="14027" spans="1:2" x14ac:dyDescent="0.25">
      <c r="A14027">
        <f ca="1">34173.9089995846*((RANDBETWEEN(2979,3282)))</f>
        <v>108092074.16568621</v>
      </c>
      <c r="B14027">
        <v>185108711.85439169</v>
      </c>
    </row>
    <row r="14028" spans="1:2" x14ac:dyDescent="0.25">
      <c r="A14028">
        <f ca="1">30419.7844754869*((RANDBETWEEN(2979,3282)))</f>
        <v>99503115.019317582</v>
      </c>
      <c r="B14028">
        <v>148673345.23147553</v>
      </c>
    </row>
    <row r="14029" spans="1:2" x14ac:dyDescent="0.25">
      <c r="A14029">
        <f ca="1">33489.6943870213*((RANDBETWEEN(2979,3282)))</f>
        <v>103215238.10079961</v>
      </c>
      <c r="B14029">
        <v>184923894.2997196</v>
      </c>
    </row>
    <row r="14030" spans="1:2" x14ac:dyDescent="0.25">
      <c r="A14030">
        <f ca="1">28615.5717854893*((RANDBETWEEN(2979,3282)))</f>
        <v>85875330.928253502</v>
      </c>
      <c r="B14030">
        <v>168519423.8834098</v>
      </c>
    </row>
    <row r="14031" spans="1:2" x14ac:dyDescent="0.25">
      <c r="A14031">
        <f ca="1">32127.7929023496*((RANDBETWEEN(2979,3282)))</f>
        <v>98568068.624408424</v>
      </c>
      <c r="B14031">
        <v>155747178.87801173</v>
      </c>
    </row>
    <row r="14032" spans="1:2" x14ac:dyDescent="0.25">
      <c r="A14032">
        <f ca="1">37871.8111806478*((RANDBETWEEN(2979,3282)))</f>
        <v>122060847.43522787</v>
      </c>
      <c r="B14032">
        <v>189679559.05790675</v>
      </c>
    </row>
    <row r="14033" spans="1:2" x14ac:dyDescent="0.25">
      <c r="A14033">
        <f ca="1">29579.4766834296*((RANDBETWEEN(2979,3282)))</f>
        <v>89182122.200540155</v>
      </c>
      <c r="B14033">
        <v>168710055.28090471</v>
      </c>
    </row>
    <row r="14034" spans="1:2" x14ac:dyDescent="0.25">
      <c r="A14034">
        <f ca="1">29360.4640765095*((RANDBETWEEN(2979,3282)))</f>
        <v>95715112.889420971</v>
      </c>
      <c r="B14034">
        <v>186166315.40203336</v>
      </c>
    </row>
    <row r="14035" spans="1:2" x14ac:dyDescent="0.25">
      <c r="A14035">
        <f ca="1">29416.7407075644*((RANDBETWEEN(2979,3282)))</f>
        <v>93045150.858026311</v>
      </c>
      <c r="B14035">
        <v>182712358.05803555</v>
      </c>
    </row>
    <row r="14036" spans="1:2" x14ac:dyDescent="0.25">
      <c r="A14036">
        <f ca="1">38803.7194357363*((RANDBETWEEN(2979,3282)))</f>
        <v>123124201.7695912</v>
      </c>
      <c r="B14036">
        <v>171819715.58392954</v>
      </c>
    </row>
    <row r="14037" spans="1:2" x14ac:dyDescent="0.25">
      <c r="A14037">
        <f ca="1">31174.6918472279*((RANDBETWEEN(2979,3282)))</f>
        <v>93025280.472128123</v>
      </c>
      <c r="B14037">
        <v>185346547.91634333</v>
      </c>
    </row>
    <row r="14038" spans="1:2" x14ac:dyDescent="0.25">
      <c r="A14038">
        <f ca="1">29851.8629652806*((RANDBETWEEN(2979,3282)))</f>
        <v>95167739.13331461</v>
      </c>
      <c r="B14038">
        <v>199099005.86546513</v>
      </c>
    </row>
    <row r="14039" spans="1:2" x14ac:dyDescent="0.25">
      <c r="A14039">
        <f ca="1">31287.4127794445*((RANDBETWEEN(2979,3282)))</f>
        <v>100057146.06866349</v>
      </c>
      <c r="B14039">
        <v>187379531.12711179</v>
      </c>
    </row>
    <row r="14040" spans="1:2" x14ac:dyDescent="0.25">
      <c r="A14040">
        <f ca="1">31372.6440014775*((RANDBETWEEN(2979,3282)))</f>
        <v>96533625.592546403</v>
      </c>
      <c r="B14040">
        <v>170195541.88131091</v>
      </c>
    </row>
    <row r="14041" spans="1:2" x14ac:dyDescent="0.25">
      <c r="A14041">
        <f ca="1">30560.7757326729*((RANDBETWEEN(2979,3282)))</f>
        <v>99230838.803988948</v>
      </c>
      <c r="B14041">
        <v>194587847.3135272</v>
      </c>
    </row>
    <row r="14042" spans="1:2" x14ac:dyDescent="0.25">
      <c r="A14042">
        <f ca="1">35993.0386174676*((RANDBETWEEN(2979,3282)))</f>
        <v>111110510.21212257</v>
      </c>
      <c r="B14042">
        <v>156472805.42463374</v>
      </c>
    </row>
    <row r="14043" spans="1:2" x14ac:dyDescent="0.25">
      <c r="A14043">
        <f ca="1">39284.5594941984*((RANDBETWEEN(2979,3282)))</f>
        <v>118639369.67247929</v>
      </c>
      <c r="B14043">
        <v>147984762.64785749</v>
      </c>
    </row>
    <row r="14044" spans="1:2" x14ac:dyDescent="0.25">
      <c r="A14044">
        <f ca="1">33188.6522164964*((RANDBETWEEN(2979,3282)))</f>
        <v>105971366.52727297</v>
      </c>
      <c r="B14044">
        <v>145499695.69584221</v>
      </c>
    </row>
    <row r="14045" spans="1:2" x14ac:dyDescent="0.25">
      <c r="A14045">
        <f ca="1">32277.4564722397*((RANDBETWEEN(2979,3282)))</f>
        <v>98123467.67560868</v>
      </c>
      <c r="B14045">
        <v>203502488.41481236</v>
      </c>
    </row>
    <row r="14046" spans="1:2" x14ac:dyDescent="0.25">
      <c r="A14046">
        <f ca="1">32400.8705945924*((RANDBETWEEN(2979,3282)))</f>
        <v>103715186.77329035</v>
      </c>
      <c r="B14046">
        <v>152098012.3721486</v>
      </c>
    </row>
    <row r="14047" spans="1:2" x14ac:dyDescent="0.25">
      <c r="A14047">
        <f ca="1">35732.547301642*((RANDBETWEEN(2979,3282)))</f>
        <v>108805606.53349985</v>
      </c>
      <c r="B14047">
        <v>172517285.15044266</v>
      </c>
    </row>
    <row r="14048" spans="1:2" x14ac:dyDescent="0.25">
      <c r="A14048">
        <f ca="1">41918.6578683268*((RANDBETWEEN(2979,3282)))</f>
        <v>128857954.28723657</v>
      </c>
      <c r="B14048">
        <v>198094000.80498505</v>
      </c>
    </row>
    <row r="14049" spans="1:2" x14ac:dyDescent="0.25">
      <c r="A14049">
        <f ca="1">35838.8847882667*((RANDBETWEEN(2979,3282)))</f>
        <v>110706315.11095594</v>
      </c>
      <c r="B14049">
        <v>191346178.0259226</v>
      </c>
    </row>
    <row r="14050" spans="1:2" x14ac:dyDescent="0.25">
      <c r="A14050">
        <f ca="1">35118.6893020758*((RANDBETWEEN(2979,3282)))</f>
        <v>109921497.51549733</v>
      </c>
      <c r="B14050">
        <v>151508157.43266302</v>
      </c>
    </row>
    <row r="14051" spans="1:2" x14ac:dyDescent="0.25">
      <c r="A14051">
        <f ca="1">39451.4077906617*((RANDBETWEEN(2979,3282)))</f>
        <v>119774474.05244902</v>
      </c>
      <c r="B14051">
        <v>171224728.20173571</v>
      </c>
    </row>
    <row r="14052" spans="1:2" x14ac:dyDescent="0.25">
      <c r="A14052">
        <f ca="1">31718.0839256782*((RANDBETWEEN(2979,3282)))</f>
        <v>96359538.966210499</v>
      </c>
      <c r="B14052">
        <v>146898346.12968996</v>
      </c>
    </row>
    <row r="14053" spans="1:2" x14ac:dyDescent="0.25">
      <c r="A14053">
        <f ca="1">32121.2252059236*((RANDBETWEEN(2979,3282)))</f>
        <v>104972163.97295833</v>
      </c>
      <c r="B14053">
        <v>146191422.48476404</v>
      </c>
    </row>
    <row r="14054" spans="1:2" x14ac:dyDescent="0.25">
      <c r="A14054">
        <f ca="1">34022.0801880908*((RANDBETWEEN(2979,3282)))</f>
        <v>106114868.10665508</v>
      </c>
      <c r="B14054">
        <v>173610942.29437718</v>
      </c>
    </row>
    <row r="14055" spans="1:2" x14ac:dyDescent="0.25">
      <c r="A14055">
        <f ca="1">39577.6662434678*((RANDBETWEEN(2979,3282)))</f>
        <v>126885997.97655766</v>
      </c>
      <c r="B14055">
        <v>189707154.74864894</v>
      </c>
    </row>
    <row r="14056" spans="1:2" x14ac:dyDescent="0.25">
      <c r="A14056">
        <f ca="1">37202.9862240582*((RANDBETWEEN(2979,3282)))</f>
        <v>112241409.43798359</v>
      </c>
      <c r="B14056">
        <v>191288009.8527047</v>
      </c>
    </row>
    <row r="14057" spans="1:2" x14ac:dyDescent="0.25">
      <c r="A14057">
        <f ca="1">31618.0695437255*((RANDBETWEEN(2979,3282)))</f>
        <v>101620475.5135338</v>
      </c>
      <c r="B14057">
        <v>180249280.19421041</v>
      </c>
    </row>
    <row r="14058" spans="1:2" x14ac:dyDescent="0.25">
      <c r="A14058">
        <f ca="1">29849.3979309296*((RANDBETWEEN(2979,3282)))</f>
        <v>96443404.714833513</v>
      </c>
      <c r="B14058">
        <v>181450198.29962328</v>
      </c>
    </row>
    <row r="14059" spans="1:2" x14ac:dyDescent="0.25">
      <c r="A14059">
        <f ca="1">38242.8763334047*((RANDBETWEEN(2979,3282)))</f>
        <v>122874361.65922938</v>
      </c>
      <c r="B14059">
        <v>166535446.46067497</v>
      </c>
    </row>
    <row r="14060" spans="1:2" x14ac:dyDescent="0.25">
      <c r="A14060">
        <f ca="1">31783.822389573*((RANDBETWEEN(2979,3282)))</f>
        <v>102375691.91681471</v>
      </c>
      <c r="B14060">
        <v>177810569.82450813</v>
      </c>
    </row>
    <row r="14061" spans="1:2" x14ac:dyDescent="0.25">
      <c r="A14061">
        <f ca="1">32106.3936267222*((RANDBETWEEN(2979,3282)))</f>
        <v>104859481.58487464</v>
      </c>
      <c r="B14061">
        <v>157733016.80618417</v>
      </c>
    </row>
    <row r="14062" spans="1:2" x14ac:dyDescent="0.25">
      <c r="A14062">
        <f ca="1">38572.1953070408*((RANDBETWEEN(2979,3282)))</f>
        <v>116989468.36625472</v>
      </c>
      <c r="B14062">
        <v>155163693.19271976</v>
      </c>
    </row>
    <row r="14063" spans="1:2" x14ac:dyDescent="0.25">
      <c r="A14063">
        <f ca="1">29696.3653952088*((RANDBETWEEN(2979,3282)))</f>
        <v>90098772.609063506</v>
      </c>
      <c r="B14063">
        <v>166878533.72819355</v>
      </c>
    </row>
    <row r="14064" spans="1:2" x14ac:dyDescent="0.25">
      <c r="A14064">
        <f ca="1">32288.3427334092*((RANDBETWEEN(2979,3282)))</f>
        <v>99480383.961633697</v>
      </c>
      <c r="B14064">
        <v>157830634.07583448</v>
      </c>
    </row>
    <row r="14065" spans="1:2" x14ac:dyDescent="0.25">
      <c r="A14065">
        <f ca="1">33085.4668576932*((RANDBETWEEN(2979,3282)))</f>
        <v>98859374.970787346</v>
      </c>
      <c r="B14065">
        <v>149180832.6021466</v>
      </c>
    </row>
    <row r="14066" spans="1:2" x14ac:dyDescent="0.25">
      <c r="A14066">
        <f ca="1">40719.2109291475*((RANDBETWEEN(2979,3282)))</f>
        <v>122198351.99837162</v>
      </c>
      <c r="B14066">
        <v>157731542.67465484</v>
      </c>
    </row>
    <row r="14067" spans="1:2" x14ac:dyDescent="0.25">
      <c r="A14067">
        <f ca="1">32868.897911063*((RANDBETWEEN(2979,3282)))</f>
        <v>106758180.41513275</v>
      </c>
      <c r="B14067">
        <v>146719780.72484326</v>
      </c>
    </row>
    <row r="14068" spans="1:2" x14ac:dyDescent="0.25">
      <c r="A14068">
        <f ca="1">38410.755424641*((RANDBETWEEN(2979,3282)))</f>
        <v>121377987.14186545</v>
      </c>
      <c r="B14068">
        <v>161851171.16972122</v>
      </c>
    </row>
    <row r="14069" spans="1:2" x14ac:dyDescent="0.25">
      <c r="A14069">
        <f ca="1">31225.2387156546*((RANDBETWEEN(2979,3282)))</f>
        <v>98078474.80587101</v>
      </c>
      <c r="B14069">
        <v>148265905.74752906</v>
      </c>
    </row>
    <row r="14070" spans="1:2" x14ac:dyDescent="0.25">
      <c r="A14070">
        <f ca="1">30952.913978067*((RANDBETWEEN(2979,3282)))</f>
        <v>92765883.192266852</v>
      </c>
      <c r="B14070">
        <v>177199016.56097576</v>
      </c>
    </row>
    <row r="14071" spans="1:2" x14ac:dyDescent="0.25">
      <c r="A14071">
        <f ca="1">32563.4658606661*((RANDBETWEEN(2979,3282)))</f>
        <v>104040273.42482813</v>
      </c>
      <c r="B14071">
        <v>181647312.91626754</v>
      </c>
    </row>
    <row r="14072" spans="1:2" x14ac:dyDescent="0.25">
      <c r="A14072">
        <f ca="1">30048.76377158*((RANDBETWEEN(2979,3282)))</f>
        <v>91498485.684461176</v>
      </c>
      <c r="B14072">
        <v>144883208.07090795</v>
      </c>
    </row>
    <row r="14073" spans="1:2" x14ac:dyDescent="0.25">
      <c r="A14073">
        <f ca="1">40843.3165085984*((RANDBETWEEN(2979,3282)))</f>
        <v>125388981.68139696</v>
      </c>
      <c r="B14073">
        <v>143886971.92714298</v>
      </c>
    </row>
    <row r="14074" spans="1:2" x14ac:dyDescent="0.25">
      <c r="A14074">
        <f ca="1">31661.3633433748*((RANDBETWEEN(2979,3282)))</f>
        <v>100809780.88530539</v>
      </c>
      <c r="B14074">
        <v>149934470.83045769</v>
      </c>
    </row>
    <row r="14075" spans="1:2" x14ac:dyDescent="0.25">
      <c r="A14075">
        <f ca="1">28815.3232698463*((RANDBETWEEN(2979,3282)))</f>
        <v>93822692.566619679</v>
      </c>
      <c r="B14075">
        <v>142952357.54784995</v>
      </c>
    </row>
    <row r="14076" spans="1:2" x14ac:dyDescent="0.25">
      <c r="A14076">
        <f ca="1">40314.6414478853*((RANDBETWEEN(2979,3282)))</f>
        <v>121750217.17261358</v>
      </c>
      <c r="B14076">
        <v>164844732.54908285</v>
      </c>
    </row>
    <row r="14077" spans="1:2" x14ac:dyDescent="0.25">
      <c r="A14077">
        <f ca="1">36898.9870617091*((RANDBETWEEN(2979,3282)))</f>
        <v>110475567.26275709</v>
      </c>
      <c r="B14077">
        <v>184907008.68760151</v>
      </c>
    </row>
    <row r="14078" spans="1:2" x14ac:dyDescent="0.25">
      <c r="A14078">
        <f ca="1">34316.1032383543*((RANDBETWEEN(2979,3282)))</f>
        <v>111870496.55703497</v>
      </c>
      <c r="B14078">
        <v>164400291.23868886</v>
      </c>
    </row>
    <row r="14079" spans="1:2" x14ac:dyDescent="0.25">
      <c r="A14079">
        <f ca="1">30987.5636002055*((RANDBETWEEN(2979,3282)))</f>
        <v>96340335.233038902</v>
      </c>
      <c r="B14079">
        <v>148497065.98109871</v>
      </c>
    </row>
    <row r="14080" spans="1:2" x14ac:dyDescent="0.25">
      <c r="A14080">
        <f ca="1">30878.3408553108*((RANDBETWEEN(2979,3282)))</f>
        <v>99026839.122981727</v>
      </c>
      <c r="B14080">
        <v>143512550.83902973</v>
      </c>
    </row>
    <row r="14081" spans="1:2" x14ac:dyDescent="0.25">
      <c r="A14081">
        <f ca="1">34483.7644765732*((RANDBETWEEN(2979,3282)))</f>
        <v>109451468.44864349</v>
      </c>
      <c r="B14081">
        <v>177833136.87897769</v>
      </c>
    </row>
    <row r="14082" spans="1:2" x14ac:dyDescent="0.25">
      <c r="A14082">
        <f ca="1">29608.2823043544*((RANDBETWEEN(2979,3282)))</f>
        <v>94687286.809325382</v>
      </c>
      <c r="B14082">
        <v>150699158.30500826</v>
      </c>
    </row>
    <row r="14083" spans="1:2" x14ac:dyDescent="0.25">
      <c r="A14083">
        <f ca="1">30740.3326635575*((RANDBETWEEN(2979,3282)))</f>
        <v>92220997.990672499</v>
      </c>
      <c r="B14083">
        <v>180128828.47679022</v>
      </c>
    </row>
    <row r="14084" spans="1:2" x14ac:dyDescent="0.25">
      <c r="A14084">
        <f ca="1">38608.8770341104*((RANDBETWEEN(2979,3282)))</f>
        <v>118143163.7243779</v>
      </c>
      <c r="B14084">
        <v>145973037.6154477</v>
      </c>
    </row>
    <row r="14085" spans="1:2" x14ac:dyDescent="0.25">
      <c r="A14085">
        <f ca="1">31797.8718135869*((RANDBETWEEN(2979,3282)))</f>
        <v>98128232.416729122</v>
      </c>
      <c r="B14085">
        <v>200903259.06585032</v>
      </c>
    </row>
    <row r="14086" spans="1:2" x14ac:dyDescent="0.25">
      <c r="A14086">
        <f ca="1">30022.9186528054*((RANDBETWEEN(2979,3282)))</f>
        <v>93131093.661002666</v>
      </c>
      <c r="B14086">
        <v>175456037.61383104</v>
      </c>
    </row>
    <row r="14087" spans="1:2" x14ac:dyDescent="0.25">
      <c r="A14087">
        <f ca="1">29376.8893014101*((RANDBETWEEN(2979,3282)))</f>
        <v>91509010.173892394</v>
      </c>
      <c r="B14087">
        <v>162390319.1068165</v>
      </c>
    </row>
    <row r="14088" spans="1:2" x14ac:dyDescent="0.25">
      <c r="A14088">
        <f ca="1">36657.6374858256*((RANDBETWEEN(2979,3282)))</f>
        <v>113858622.0309746</v>
      </c>
      <c r="B14088">
        <v>176877335.93065634</v>
      </c>
    </row>
    <row r="14089" spans="1:2" x14ac:dyDescent="0.25">
      <c r="A14089">
        <f ca="1">41134.3126896364*((RANDBETWEEN(2979,3282)))</f>
        <v>126858220.33483854</v>
      </c>
      <c r="B14089">
        <v>157710107.27991247</v>
      </c>
    </row>
    <row r="14090" spans="1:2" x14ac:dyDescent="0.25">
      <c r="A14090">
        <f ca="1">40873.74974879*((RANDBETWEEN(2979,3282)))</f>
        <v>131449979.1921088</v>
      </c>
      <c r="B14090">
        <v>153743908.34349856</v>
      </c>
    </row>
    <row r="14091" spans="1:2" x14ac:dyDescent="0.25">
      <c r="A14091">
        <f ca="1">31621.8926120914*((RANDBETWEEN(2979,3282)))</f>
        <v>103277101.27109039</v>
      </c>
      <c r="B14091">
        <v>169698788.99245492</v>
      </c>
    </row>
    <row r="14092" spans="1:2" x14ac:dyDescent="0.25">
      <c r="A14092">
        <f ca="1">29889.3319603597*((RANDBETWEEN(2979,3282)))</f>
        <v>92447703.753392428</v>
      </c>
      <c r="B14092">
        <v>164147588.0720098</v>
      </c>
    </row>
    <row r="14093" spans="1:2" x14ac:dyDescent="0.25">
      <c r="A14093">
        <f ca="1">41517.3118789028*((RANDBETWEEN(2979,3282)))</f>
        <v>125465316.49804431</v>
      </c>
      <c r="B14093">
        <v>183489773.90783244</v>
      </c>
    </row>
    <row r="14094" spans="1:2" x14ac:dyDescent="0.25">
      <c r="A14094">
        <f ca="1">38161.7414042486*((RANDBETWEEN(2979,3282)))</f>
        <v>118492207.06019187</v>
      </c>
      <c r="B14094">
        <v>145270455.56199968</v>
      </c>
    </row>
    <row r="14095" spans="1:2" x14ac:dyDescent="0.25">
      <c r="A14095">
        <f ca="1">32661.6937186272*((RANDBETWEEN(2979,3282)))</f>
        <v>101381897.30261876</v>
      </c>
      <c r="B14095">
        <v>162150930.00630167</v>
      </c>
    </row>
    <row r="14096" spans="1:2" x14ac:dyDescent="0.25">
      <c r="A14096">
        <f ca="1">34753.9338655641*((RANDBETWEEN(2979,3282)))</f>
        <v>104122785.86123016</v>
      </c>
      <c r="B14096">
        <v>145713129.49942595</v>
      </c>
    </row>
    <row r="14097" spans="1:2" x14ac:dyDescent="0.25">
      <c r="A14097">
        <f ca="1">28590.3582255975*((RANDBETWEEN(2979,3282)))</f>
        <v>89973857.335955366</v>
      </c>
      <c r="B14097">
        <v>148768740.8994413</v>
      </c>
    </row>
    <row r="14098" spans="1:2" x14ac:dyDescent="0.25">
      <c r="A14098">
        <f ca="1">30298.0800950877*((RANDBETWEEN(2979,3282)))</f>
        <v>96529683.182949409</v>
      </c>
      <c r="B14098">
        <v>161558972.88306743</v>
      </c>
    </row>
    <row r="14099" spans="1:2" x14ac:dyDescent="0.25">
      <c r="A14099">
        <f ca="1">36425.1193463568*((RANDBETWEEN(2979,3282)))</f>
        <v>118345212.75631338</v>
      </c>
      <c r="B14099">
        <v>162031935.68929851</v>
      </c>
    </row>
    <row r="14100" spans="1:2" x14ac:dyDescent="0.25">
      <c r="A14100">
        <f ca="1">40126.4876591231*((RANDBETWEEN(2979,3282)))</f>
        <v>124271732.2803041</v>
      </c>
      <c r="B14100">
        <v>165873798.66562772</v>
      </c>
    </row>
    <row r="14101" spans="1:2" x14ac:dyDescent="0.25">
      <c r="A14101">
        <f ca="1">31490.9321401575*((RANDBETWEEN(2979,3282)))</f>
        <v>94882178.538294449</v>
      </c>
      <c r="B14101">
        <v>149973737.25264639</v>
      </c>
    </row>
    <row r="14102" spans="1:2" x14ac:dyDescent="0.25">
      <c r="A14102">
        <f ca="1">40106.9901964978*((RANDBETWEEN(2979,3282)))</f>
        <v>125454665.33464497</v>
      </c>
      <c r="B14102">
        <v>175107949.03881693</v>
      </c>
    </row>
    <row r="14103" spans="1:2" x14ac:dyDescent="0.25">
      <c r="A14103">
        <f ca="1">34692.2243213632*((RANDBETWEEN(2979,3282)))</f>
        <v>111500808.96886131</v>
      </c>
      <c r="B14103">
        <v>160203169.04817224</v>
      </c>
    </row>
    <row r="14104" spans="1:2" x14ac:dyDescent="0.25">
      <c r="A14104">
        <f ca="1">31324.3063377575*((RANDBETWEEN(2979,3282)))</f>
        <v>102085914.35475175</v>
      </c>
      <c r="B14104">
        <v>167061447.61525622</v>
      </c>
    </row>
    <row r="14105" spans="1:2" x14ac:dyDescent="0.25">
      <c r="A14105">
        <f ca="1">30684.9669768833*((RANDBETWEEN(2979,3282)))</f>
        <v>99664772.740916818</v>
      </c>
      <c r="B14105">
        <v>156805140.2384609</v>
      </c>
    </row>
    <row r="14106" spans="1:2" x14ac:dyDescent="0.25">
      <c r="A14106">
        <f ca="1">33309.0777349342*((RANDBETWEEN(2979,3282)))</f>
        <v>99960542.282537669</v>
      </c>
      <c r="B14106">
        <v>175643406.96927467</v>
      </c>
    </row>
    <row r="14107" spans="1:2" x14ac:dyDescent="0.25">
      <c r="A14107">
        <f ca="1">31259.1411167977*((RANDBETWEEN(2979,3282)))</f>
        <v>101685986.05294298</v>
      </c>
      <c r="B14107">
        <v>152983727.32179558</v>
      </c>
    </row>
    <row r="14108" spans="1:2" x14ac:dyDescent="0.25">
      <c r="A14108">
        <f ca="1">33292.1800476769*((RANDBETWEEN(2979,3282)))</f>
        <v>101740902.22570056</v>
      </c>
      <c r="B14108">
        <v>150470051.09585047</v>
      </c>
    </row>
    <row r="14109" spans="1:2" x14ac:dyDescent="0.25">
      <c r="A14109">
        <f ca="1">34817.6841898463*((RANDBETWEEN(2979,3282)))</f>
        <v>110023882.0399143</v>
      </c>
      <c r="B14109">
        <v>175672189.08907288</v>
      </c>
    </row>
    <row r="14110" spans="1:2" x14ac:dyDescent="0.25">
      <c r="A14110">
        <f ca="1">31428.1251795391*((RANDBETWEEN(2979,3282)))</f>
        <v>94284375.538617432</v>
      </c>
      <c r="B14110">
        <v>186890423.92409074</v>
      </c>
    </row>
    <row r="14111" spans="1:2" x14ac:dyDescent="0.25">
      <c r="A14111">
        <f ca="1">31243.3350239845*((RANDBETWEEN(2979,3282)))</f>
        <v>96885581.909375861</v>
      </c>
      <c r="B14111">
        <v>146899645.66758204</v>
      </c>
    </row>
    <row r="14112" spans="1:2" x14ac:dyDescent="0.25">
      <c r="A14112">
        <f ca="1">33442.508778394*((RANDBETWEEN(2979,3282)))</f>
        <v>100193756.3000685</v>
      </c>
      <c r="B14112">
        <v>154349040.42039472</v>
      </c>
    </row>
    <row r="14113" spans="1:2" x14ac:dyDescent="0.25">
      <c r="A14113">
        <f ca="1">30698.1990234406*((RANDBETWEEN(2979,3282)))</f>
        <v>98142142.277939558</v>
      </c>
      <c r="B14113">
        <v>203463752.13870972</v>
      </c>
    </row>
    <row r="14114" spans="1:2" x14ac:dyDescent="0.25">
      <c r="A14114">
        <f ca="1">34575.4627425015*((RANDBETWEEN(2979,3282)))</f>
        <v>103518935.45104942</v>
      </c>
      <c r="B14114">
        <v>154938586.61617219</v>
      </c>
    </row>
    <row r="14115" spans="1:2" x14ac:dyDescent="0.25">
      <c r="A14115">
        <f ca="1">27470.474874546*((RANDBETWEEN(2979,3282)))</f>
        <v>87163816.776934475</v>
      </c>
      <c r="B14115">
        <v>158352909.31577399</v>
      </c>
    </row>
    <row r="14116" spans="1:2" x14ac:dyDescent="0.25">
      <c r="A14116">
        <f ca="1">32031.5689119865*((RANDBETWEEN(2979,3282)))</f>
        <v>97247843.216791123</v>
      </c>
      <c r="B14116">
        <v>171471987.73603263</v>
      </c>
    </row>
    <row r="14117" spans="1:2" x14ac:dyDescent="0.25">
      <c r="A14117">
        <f ca="1">41177.9753952335*((RANDBETWEEN(2979,3282)))</f>
        <v>124933977.34913838</v>
      </c>
      <c r="B14117">
        <v>163994520.14125746</v>
      </c>
    </row>
    <row r="14118" spans="1:2" x14ac:dyDescent="0.25">
      <c r="A14118">
        <f ca="1">34058.9558686341*((RANDBETWEEN(2979,3282)))</f>
        <v>109669837.89700189</v>
      </c>
      <c r="B14118">
        <v>186285518.23517737</v>
      </c>
    </row>
    <row r="14119" spans="1:2" x14ac:dyDescent="0.25">
      <c r="A14119">
        <f ca="1">28354.5600880227*((RANDBETWEEN(2979,3282)))</f>
        <v>85829253.386444628</v>
      </c>
      <c r="B14119">
        <v>143563155.07691526</v>
      </c>
    </row>
    <row r="14120" spans="1:2" x14ac:dyDescent="0.25">
      <c r="A14120">
        <f ca="1">37509.6390688264*((RANDBETWEEN(2979,3282)))</f>
        <v>118905555.84817959</v>
      </c>
      <c r="B14120">
        <v>158694556.53759843</v>
      </c>
    </row>
    <row r="14121" spans="1:2" x14ac:dyDescent="0.25">
      <c r="A14121">
        <f ca="1">31614.4316933956*((RANDBETWEEN(2979,3282)))</f>
        <v>101134566.98717242</v>
      </c>
      <c r="B14121">
        <v>155326048.49408528</v>
      </c>
    </row>
    <row r="14122" spans="1:2" x14ac:dyDescent="0.25">
      <c r="A14122">
        <f ca="1">27398.7794291327*((RANDBETWEEN(2979,3282)))</f>
        <v>88169272.202949032</v>
      </c>
      <c r="B14122">
        <v>143704952.74237728</v>
      </c>
    </row>
    <row r="14123" spans="1:2" x14ac:dyDescent="0.25">
      <c r="A14123">
        <f ca="1">35893.0338375341*((RANDBETWEEN(2979,3282)))</f>
        <v>114857708.28010903</v>
      </c>
      <c r="B14123">
        <v>188719609.44052479</v>
      </c>
    </row>
    <row r="14124" spans="1:2" x14ac:dyDescent="0.25">
      <c r="A14124">
        <f ca="1">30592.1619418006*((RANDBETWEEN(2979,3282)))</f>
        <v>94774517.695698097</v>
      </c>
      <c r="B14124">
        <v>189873392.87331086</v>
      </c>
    </row>
    <row r="14125" spans="1:2" x14ac:dyDescent="0.25">
      <c r="A14125">
        <f ca="1">30171.5629460951*((RANDBETWEEN(2979,3282)))</f>
        <v>96609344.553396434</v>
      </c>
      <c r="B14125">
        <v>184834616.18826145</v>
      </c>
    </row>
    <row r="14126" spans="1:2" x14ac:dyDescent="0.25">
      <c r="A14126">
        <f ca="1">30861.4313305284*((RANDBETWEEN(2979,3282)))</f>
        <v>94960624.204035908</v>
      </c>
      <c r="B14126">
        <v>152655968.26615217</v>
      </c>
    </row>
    <row r="14127" spans="1:2" x14ac:dyDescent="0.25">
      <c r="A14127">
        <f ca="1">33870.3746294388*((RANDBETWEEN(2979,3282)))</f>
        <v>109096476.68142253</v>
      </c>
      <c r="B14127">
        <v>165981890.58044562</v>
      </c>
    </row>
    <row r="14128" spans="1:2" x14ac:dyDescent="0.25">
      <c r="A14128">
        <f ca="1">29354.384122358*((RANDBETWEEN(2979,3282)))</f>
        <v>88033797.982951671</v>
      </c>
      <c r="B14128">
        <v>152601072.53344187</v>
      </c>
    </row>
    <row r="14129" spans="1:2" x14ac:dyDescent="0.25">
      <c r="A14129">
        <f ca="1">38937.4374986998*((RANDBETWEEN(2979,3282)))</f>
        <v>125300673.87081581</v>
      </c>
      <c r="B14129">
        <v>195231775.93525118</v>
      </c>
    </row>
    <row r="14130" spans="1:2" x14ac:dyDescent="0.25">
      <c r="A14130">
        <f ca="1">40056.9363041291*((RANDBETWEEN(2979,3282)))</f>
        <v>126619975.65735209</v>
      </c>
      <c r="B14130">
        <v>146138339.31533208</v>
      </c>
    </row>
    <row r="14131" spans="1:2" x14ac:dyDescent="0.25">
      <c r="A14131">
        <f ca="1">27366.812598686*((RANDBETWEEN(2979,3282)))</f>
        <v>86314926.936255798</v>
      </c>
      <c r="B14131">
        <v>179842228.16209805</v>
      </c>
    </row>
    <row r="14132" spans="1:2" x14ac:dyDescent="0.25">
      <c r="A14132">
        <f ca="1">35496.8614387204*((RANDBETWEEN(2979,3282)))</f>
        <v>105993628.25601901</v>
      </c>
      <c r="B14132">
        <v>177933922.20743936</v>
      </c>
    </row>
    <row r="14133" spans="1:2" x14ac:dyDescent="0.25">
      <c r="A14133">
        <f ca="1">31457.6185104334*((RANDBETWEEN(2979,3282)))</f>
        <v>102834954.91060683</v>
      </c>
      <c r="B14133">
        <v>156826319.69409612</v>
      </c>
    </row>
    <row r="14134" spans="1:2" x14ac:dyDescent="0.25">
      <c r="A14134">
        <f ca="1">29910.6368452807*((RANDBETWEEN(2979,3282)))</f>
        <v>90330123.272747591</v>
      </c>
      <c r="B14134">
        <v>164258126.15934721</v>
      </c>
    </row>
    <row r="14135" spans="1:2" x14ac:dyDescent="0.25">
      <c r="A14135">
        <f ca="1">38551.7608781589*((RANDBETWEEN(2979,3282)))</f>
        <v>122286185.50551999</v>
      </c>
      <c r="B14135">
        <v>160613560.00149626</v>
      </c>
    </row>
    <row r="14136" spans="1:2" x14ac:dyDescent="0.25">
      <c r="A14136">
        <f ca="1">29952.1196112134*((RANDBETWEEN(2979,3282)))</f>
        <v>96595585.74616316</v>
      </c>
      <c r="B14136">
        <v>155175208.78871453</v>
      </c>
    </row>
    <row r="14137" spans="1:2" x14ac:dyDescent="0.25">
      <c r="A14137">
        <f ca="1">34964.2948195839*((RANDBETWEEN(2979,3282)))</f>
        <v>114228351.1755805</v>
      </c>
      <c r="B14137">
        <v>146463357.65172306</v>
      </c>
    </row>
    <row r="14138" spans="1:2" x14ac:dyDescent="0.25">
      <c r="A14138">
        <f ca="1">27484.3442311786*((RANDBETWEEN(2979,3282)))</f>
        <v>87949901.539771393</v>
      </c>
      <c r="B14138">
        <v>155460140.06019041</v>
      </c>
    </row>
    <row r="14139" spans="1:2" x14ac:dyDescent="0.25">
      <c r="A14139">
        <f ca="1">31341.2305406001*((RANDBETWEEN(2979,3282)))</f>
        <v>97815980.517212987</v>
      </c>
      <c r="B14139">
        <v>170405397.78619325</v>
      </c>
    </row>
    <row r="14140" spans="1:2" x14ac:dyDescent="0.25">
      <c r="A14140">
        <f ca="1">35943.4032845831*((RANDBETWEEN(2979,3282)))</f>
        <v>114767286.6876737</v>
      </c>
      <c r="B14140">
        <v>193175380.00451431</v>
      </c>
    </row>
    <row r="14141" spans="1:2" x14ac:dyDescent="0.25">
      <c r="A14141">
        <f ca="1">28771.9660630896*((RANDBETWEEN(2979,3282)))</f>
        <v>86574845.883836687</v>
      </c>
      <c r="B14141">
        <v>193347815.39321786</v>
      </c>
    </row>
    <row r="14142" spans="1:2" x14ac:dyDescent="0.25">
      <c r="A14142">
        <f ca="1">37354.4968052976*((RANDBETWEEN(2979,3282)))</f>
        <v>113520315.79129964</v>
      </c>
      <c r="B14142">
        <v>177636635.46029657</v>
      </c>
    </row>
    <row r="14143" spans="1:2" x14ac:dyDescent="0.25">
      <c r="A14143">
        <f ca="1">37046.7270897654*((RANDBETWEEN(2979,3282)))</f>
        <v>113029564.35087425</v>
      </c>
      <c r="B14143">
        <v>202360436.58772832</v>
      </c>
    </row>
    <row r="14144" spans="1:2" x14ac:dyDescent="0.25">
      <c r="A14144">
        <f ca="1">32679.5863120541*((RANDBETWEEN(2979,3282)))</f>
        <v>97810001.831977949</v>
      </c>
      <c r="B14144">
        <v>180057950.66761762</v>
      </c>
    </row>
    <row r="14145" spans="1:2" x14ac:dyDescent="0.25">
      <c r="A14145">
        <f ca="1">39162.4501623628*((RANDBETWEEN(2979,3282)))</f>
        <v>120032909.74764197</v>
      </c>
      <c r="B14145">
        <v>159384149.3201699</v>
      </c>
    </row>
    <row r="14146" spans="1:2" x14ac:dyDescent="0.25">
      <c r="A14146">
        <f ca="1">37536.8658264169*((RANDBETWEEN(2979,3282)))</f>
        <v>121957277.07002865</v>
      </c>
      <c r="B14146">
        <v>184965784.54094106</v>
      </c>
    </row>
    <row r="14147" spans="1:2" x14ac:dyDescent="0.25">
      <c r="A14147">
        <f ca="1">30331.6941047834*((RANDBETWEEN(2979,3282)))</f>
        <v>92572330.407798901</v>
      </c>
      <c r="B14147">
        <v>188900305.50373134</v>
      </c>
    </row>
    <row r="14148" spans="1:2" x14ac:dyDescent="0.25">
      <c r="A14148">
        <f ca="1">30347.4874021934*((RANDBETWEEN(2979,3282)))</f>
        <v>99418368.729585469</v>
      </c>
      <c r="B14148">
        <v>192996947.68236881</v>
      </c>
    </row>
    <row r="14149" spans="1:2" x14ac:dyDescent="0.25">
      <c r="A14149">
        <f ca="1">32069.2492704802*((RANDBETWEEN(2979,3282)))</f>
        <v>103070567.15532345</v>
      </c>
      <c r="B14149">
        <v>143476503.57205063</v>
      </c>
    </row>
    <row r="14150" spans="1:2" x14ac:dyDescent="0.25">
      <c r="A14150">
        <f ca="1">30314.2697531915*((RANDBETWEEN(2979,3282)))</f>
        <v>91397523.305872291</v>
      </c>
      <c r="B14150">
        <v>201306805.21268058</v>
      </c>
    </row>
    <row r="14151" spans="1:2" x14ac:dyDescent="0.25">
      <c r="A14151">
        <f ca="1">30740.7145003203*((RANDBETWEEN(2979,3282)))</f>
        <v>93943623.512979075</v>
      </c>
      <c r="B14151">
        <v>145004882.04459649</v>
      </c>
    </row>
    <row r="14152" spans="1:2" x14ac:dyDescent="0.25">
      <c r="A14152">
        <f ca="1">38412.4029742772*((RANDBETWEEN(2979,3282)))</f>
        <v>124686660.05450374</v>
      </c>
      <c r="B14152">
        <v>176140970.77546373</v>
      </c>
    </row>
    <row r="14153" spans="1:2" x14ac:dyDescent="0.25">
      <c r="A14153">
        <f ca="1">34595.4337548707*((RANDBETWEEN(2979,3282)))</f>
        <v>105689050.12112987</v>
      </c>
      <c r="B14153">
        <v>172809113.89946839</v>
      </c>
    </row>
    <row r="14154" spans="1:2" x14ac:dyDescent="0.25">
      <c r="A14154">
        <f ca="1">34006.9769973912*((RANDBETWEEN(2979,3282)))</f>
        <v>108006158.94371431</v>
      </c>
      <c r="B14154">
        <v>170018749.44773322</v>
      </c>
    </row>
    <row r="14155" spans="1:2" x14ac:dyDescent="0.25">
      <c r="A14155">
        <f ca="1">30183.0500470531*((RANDBETWEEN(2979,3282)))</f>
        <v>98638207.553769529</v>
      </c>
      <c r="B14155">
        <v>148028483.0596461</v>
      </c>
    </row>
    <row r="14156" spans="1:2" x14ac:dyDescent="0.25">
      <c r="A14156">
        <f ca="1">33207.7418292117*((RANDBETWEEN(2979,3282)))</f>
        <v>98925862.909221649</v>
      </c>
      <c r="B14156">
        <v>157686183.5154869</v>
      </c>
    </row>
    <row r="14157" spans="1:2" x14ac:dyDescent="0.25">
      <c r="A14157">
        <f ca="1">27767.1614209277*((RANDBETWEEN(2979,3282)))</f>
        <v>86355872.019085094</v>
      </c>
      <c r="B14157">
        <v>174727612.54188055</v>
      </c>
    </row>
    <row r="14158" spans="1:2" x14ac:dyDescent="0.25">
      <c r="A14158">
        <f ca="1">32189.0390014477*((RANDBETWEEN(2979,3282)))</f>
        <v>100655124.95752686</v>
      </c>
      <c r="B14158">
        <v>150705344.64680439</v>
      </c>
    </row>
    <row r="14159" spans="1:2" x14ac:dyDescent="0.25">
      <c r="A14159">
        <f ca="1">33344.8447603715*((RANDBETWEEN(2979,3282)))</f>
        <v>105102950.68469112</v>
      </c>
      <c r="B14159">
        <v>156000940.16722125</v>
      </c>
    </row>
    <row r="14160" spans="1:2" x14ac:dyDescent="0.25">
      <c r="A14160">
        <f ca="1">31308.23902291*((RANDBETWEEN(2979,3282)))</f>
        <v>100280289.59038068</v>
      </c>
      <c r="B14160">
        <v>145717847.42230779</v>
      </c>
    </row>
    <row r="14161" spans="1:2" x14ac:dyDescent="0.25">
      <c r="A14161">
        <f ca="1">34662.0671476117*((RANDBETWEEN(2979,3282)))</f>
        <v>112027801.0210809</v>
      </c>
      <c r="B14161">
        <v>195328958.85499629</v>
      </c>
    </row>
    <row r="14162" spans="1:2" x14ac:dyDescent="0.25">
      <c r="A14162">
        <f ca="1">29203.3012484679*((RANDBETWEEN(2979,3282)))</f>
        <v>87872733.456639886</v>
      </c>
      <c r="B14162">
        <v>197450272.66392261</v>
      </c>
    </row>
    <row r="14163" spans="1:2" x14ac:dyDescent="0.25">
      <c r="A14163">
        <f ca="1">32411.4651001089*((RANDBETWEEN(2979,3282)))</f>
        <v>101869234.80964239</v>
      </c>
      <c r="B14163">
        <v>157576206.95476466</v>
      </c>
    </row>
    <row r="14164" spans="1:2" x14ac:dyDescent="0.25">
      <c r="A14164">
        <f ca="1">31688.235609679*((RANDBETWEEN(2979,3282)))</f>
        <v>101497418.65780172</v>
      </c>
      <c r="B14164">
        <v>203181154.93763298</v>
      </c>
    </row>
    <row r="14165" spans="1:2" x14ac:dyDescent="0.25">
      <c r="A14165">
        <f ca="1">31067.8683487547*((RANDBETWEEN(2979,3282)))</f>
        <v>101498725.89538147</v>
      </c>
      <c r="B14165">
        <v>146237093.93480587</v>
      </c>
    </row>
    <row r="14166" spans="1:2" x14ac:dyDescent="0.25">
      <c r="A14166">
        <f ca="1">34906.0421770312*((RANDBETWEEN(2979,3282)))</f>
        <v>108941757.6345145</v>
      </c>
      <c r="B14166">
        <v>184193328.81682098</v>
      </c>
    </row>
    <row r="14167" spans="1:2" x14ac:dyDescent="0.25">
      <c r="A14167">
        <f ca="1">30854.0324815974*((RANDBETWEEN(2979,3282)))</f>
        <v>95740062.790396631</v>
      </c>
      <c r="B14167">
        <v>193819711.07467896</v>
      </c>
    </row>
    <row r="14168" spans="1:2" x14ac:dyDescent="0.25">
      <c r="A14168">
        <f ca="1">35074.6245036131*((RANDBETWEEN(2979,3282)))</f>
        <v>110029097.06783424</v>
      </c>
      <c r="B14168">
        <v>144370788.37441543</v>
      </c>
    </row>
    <row r="14169" spans="1:2" x14ac:dyDescent="0.25">
      <c r="A14169">
        <f ca="1">33022.7590178886*((RANDBETWEEN(2979,3282)))</f>
        <v>102997985.37679467</v>
      </c>
      <c r="B14169">
        <v>200167869.24806038</v>
      </c>
    </row>
    <row r="14170" spans="1:2" x14ac:dyDescent="0.25">
      <c r="A14170">
        <f ca="1">29487.731169184*((RANDBETWEEN(2979,3282)))</f>
        <v>93859448.31151253</v>
      </c>
      <c r="B14170">
        <v>152644728.98082045</v>
      </c>
    </row>
    <row r="14171" spans="1:2" x14ac:dyDescent="0.25">
      <c r="A14171">
        <f ca="1">36045.8914798759*((RANDBETWEEN(2979,3282)))</f>
        <v>117761927.46475445</v>
      </c>
      <c r="B14171">
        <v>150176918.37330469</v>
      </c>
    </row>
    <row r="14172" spans="1:2" x14ac:dyDescent="0.25">
      <c r="A14172">
        <f ca="1">32135.040386188*((RANDBETWEEN(2979,3282)))</f>
        <v>97047821.966287866</v>
      </c>
      <c r="B14172">
        <v>177816206.72538075</v>
      </c>
    </row>
    <row r="14173" spans="1:2" x14ac:dyDescent="0.25">
      <c r="A14173">
        <f ca="1">31929.697953983*((RANDBETWEEN(2979,3282)))</f>
        <v>100770126.74277024</v>
      </c>
      <c r="B14173">
        <v>185624527.4197351</v>
      </c>
    </row>
    <row r="14174" spans="1:2" x14ac:dyDescent="0.25">
      <c r="A14174">
        <f ca="1">36951.0437761858*((RANDBETWEEN(2979,3282)))</f>
        <v>115472011.80058064</v>
      </c>
      <c r="B14174">
        <v>145965196.19311729</v>
      </c>
    </row>
    <row r="14175" spans="1:2" x14ac:dyDescent="0.25">
      <c r="A14175">
        <f ca="1">37066.4893527267*((RANDBETWEEN(2979,3282)))</f>
        <v>113942388.27028176</v>
      </c>
      <c r="B14175">
        <v>192122550.46779561</v>
      </c>
    </row>
    <row r="14176" spans="1:2" x14ac:dyDescent="0.25">
      <c r="A14176">
        <f ca="1">30956.9834128783*((RANDBETWEEN(2979,3282)))</f>
        <v>92592337.387919098</v>
      </c>
      <c r="B14176">
        <v>200607994.80202436</v>
      </c>
    </row>
    <row r="14177" spans="1:2" x14ac:dyDescent="0.25">
      <c r="A14177">
        <f ca="1">41669.5321745839*((RANDBETWEEN(2979,3282)))</f>
        <v>131550713.0751614</v>
      </c>
      <c r="B14177">
        <v>152000284.28618407</v>
      </c>
    </row>
    <row r="14178" spans="1:2" x14ac:dyDescent="0.25">
      <c r="A14178">
        <f ca="1">39910.3455630134*((RANDBETWEEN(2979,3282)))</f>
        <v>125717588.52349211</v>
      </c>
      <c r="B14178">
        <v>149245078.20165384</v>
      </c>
    </row>
    <row r="14179" spans="1:2" x14ac:dyDescent="0.25">
      <c r="A14179">
        <f ca="1">30887.3428068764*((RANDBETWEEN(2979,3282)))</f>
        <v>96615608.299909398</v>
      </c>
      <c r="B14179">
        <v>143161849.19808707</v>
      </c>
    </row>
    <row r="14180" spans="1:2" x14ac:dyDescent="0.25">
      <c r="A14180">
        <f ca="1">31433.6241338357*((RANDBETWEEN(2979,3282)))</f>
        <v>99298818.638787076</v>
      </c>
      <c r="B14180">
        <v>169253652.65361652</v>
      </c>
    </row>
    <row r="14181" spans="1:2" x14ac:dyDescent="0.25">
      <c r="A14181">
        <f ca="1">31070.1065625744*((RANDBETWEEN(2979,3282)))</f>
        <v>93800651.712412089</v>
      </c>
      <c r="B14181">
        <v>151706327.14257896</v>
      </c>
    </row>
    <row r="14182" spans="1:2" x14ac:dyDescent="0.25">
      <c r="A14182">
        <f ca="1">30680.7477938983*((RANDBETWEEN(2979,3282)))</f>
        <v>99835153.321345001</v>
      </c>
      <c r="B14182">
        <v>195362703.2398383</v>
      </c>
    </row>
    <row r="14183" spans="1:2" x14ac:dyDescent="0.25">
      <c r="A14183">
        <f ca="1">30212.6841377373*((RANDBETWEEN(2979,3282)))</f>
        <v>98765264.446263492</v>
      </c>
      <c r="B14183">
        <v>160895309.26940411</v>
      </c>
    </row>
    <row r="14184" spans="1:2" x14ac:dyDescent="0.25">
      <c r="A14184">
        <f ca="1">31207.7877257084*((RANDBETWEEN(2979,3282)))</f>
        <v>102205504.80169493</v>
      </c>
      <c r="B14184">
        <v>152547027.37072194</v>
      </c>
    </row>
    <row r="14185" spans="1:2" x14ac:dyDescent="0.25">
      <c r="A14185">
        <f ca="1">30410.9934674524*((RANDBETWEEN(2979,3282)))</f>
        <v>94365312.729504943</v>
      </c>
      <c r="B14185">
        <v>158984626.45728263</v>
      </c>
    </row>
    <row r="14186" spans="1:2" x14ac:dyDescent="0.25">
      <c r="A14186">
        <f ca="1">33524.5049949106*((RANDBETWEEN(2979,3282)))</f>
        <v>101780397.16454864</v>
      </c>
      <c r="B14186">
        <v>185268812.50062767</v>
      </c>
    </row>
    <row r="14187" spans="1:2" x14ac:dyDescent="0.25">
      <c r="A14187">
        <f ca="1">29647.8879597162*((RANDBETWEEN(2979,3282)))</f>
        <v>91997396.338999242</v>
      </c>
      <c r="B14187">
        <v>147248352.94491726</v>
      </c>
    </row>
    <row r="14188" spans="1:2" x14ac:dyDescent="0.25">
      <c r="A14188">
        <f ca="1">38666.3953433534*((RANDBETWEEN(2979,3282)))</f>
        <v>122843138.0058338</v>
      </c>
      <c r="B14188">
        <v>199326678.05255938</v>
      </c>
    </row>
    <row r="14189" spans="1:2" x14ac:dyDescent="0.25">
      <c r="A14189">
        <f ca="1">31781.8193777598*((RANDBETWEEN(2979,3282)))</f>
        <v>100112731.03994341</v>
      </c>
      <c r="B14189">
        <v>148640304.13505524</v>
      </c>
    </row>
    <row r="14190" spans="1:2" x14ac:dyDescent="0.25">
      <c r="A14190">
        <f ca="1">31561.4091265504*((RANDBETWEEN(2979,3282)))</f>
        <v>99670930.021646097</v>
      </c>
      <c r="B14190">
        <v>167077899.2205916</v>
      </c>
    </row>
    <row r="14191" spans="1:2" x14ac:dyDescent="0.25">
      <c r="A14191">
        <f ca="1">37987.231719385*((RANDBETWEEN(2979,3282)))</f>
        <v>118292239.57416503</v>
      </c>
      <c r="B14191">
        <v>152842874.99914846</v>
      </c>
    </row>
    <row r="14192" spans="1:2" x14ac:dyDescent="0.25">
      <c r="A14192">
        <f ca="1">34901.1467796391*((RANDBETWEEN(2979,3282)))</f>
        <v>109310391.71382967</v>
      </c>
      <c r="B14192">
        <v>152924164.5328843</v>
      </c>
    </row>
    <row r="14193" spans="1:2" x14ac:dyDescent="0.25">
      <c r="A14193">
        <f ca="1">30472.3585474216*((RANDBETWEEN(2979,3282)))</f>
        <v>96353597.726947129</v>
      </c>
      <c r="B14193">
        <v>156287642.03550181</v>
      </c>
    </row>
    <row r="14194" spans="1:2" x14ac:dyDescent="0.25">
      <c r="A14194">
        <f ca="1">29945.5277288588*((RANDBETWEEN(2979,3282)))</f>
        <v>94927322.900482371</v>
      </c>
      <c r="B14194">
        <v>165076930.15243912</v>
      </c>
    </row>
    <row r="14195" spans="1:2" x14ac:dyDescent="0.25">
      <c r="A14195">
        <f ca="1">34268.6547488399*((RANDBETWEEN(2979,3282)))</f>
        <v>106472710.3046457</v>
      </c>
      <c r="B14195">
        <v>156796999.12608257</v>
      </c>
    </row>
    <row r="14196" spans="1:2" x14ac:dyDescent="0.25">
      <c r="A14196">
        <f ca="1">29440.0618482776*((RANDBETWEEN(2979,3282)))</f>
        <v>89674428.389853612</v>
      </c>
      <c r="B14196">
        <v>176409170.27635464</v>
      </c>
    </row>
    <row r="14197" spans="1:2" x14ac:dyDescent="0.25">
      <c r="A14197">
        <f ca="1">28301.294393137*((RANDBETWEEN(2979,3282)))</f>
        <v>91186770.534687519</v>
      </c>
      <c r="B14197">
        <v>186771609.7789878</v>
      </c>
    </row>
    <row r="14198" spans="1:2" x14ac:dyDescent="0.25">
      <c r="A14198">
        <f ca="1">29714.4928177947*((RANDBETWEEN(2979,3282)))</f>
        <v>96066955.279930383</v>
      </c>
      <c r="B14198">
        <v>172205913.53030628</v>
      </c>
    </row>
    <row r="14199" spans="1:2" x14ac:dyDescent="0.25">
      <c r="A14199">
        <f ca="1">31233.9725749428*((RANDBETWEEN(2979,3282)))</f>
        <v>99823776.349517241</v>
      </c>
      <c r="B14199">
        <v>171384949.24396831</v>
      </c>
    </row>
    <row r="14200" spans="1:2" x14ac:dyDescent="0.25">
      <c r="A14200">
        <f ca="1">37157.8111020948*((RANDBETWEEN(2979,3282)))</f>
        <v>110878908.32865088</v>
      </c>
      <c r="B14200">
        <v>146429283.83619732</v>
      </c>
    </row>
    <row r="14201" spans="1:2" x14ac:dyDescent="0.25">
      <c r="A14201">
        <f ca="1">34502.2107737618*((RANDBETWEEN(2979,3282)))</f>
        <v>108992483.83431345</v>
      </c>
      <c r="B14201">
        <v>178172757.74912584</v>
      </c>
    </row>
    <row r="14202" spans="1:2" x14ac:dyDescent="0.25">
      <c r="A14202">
        <f ca="1">40146.4264774308*((RANDBETWEEN(2979,3282)))</f>
        <v>131559839.56654076</v>
      </c>
      <c r="B14202">
        <v>145817351.60938326</v>
      </c>
    </row>
    <row r="14203" spans="1:2" x14ac:dyDescent="0.25">
      <c r="A14203">
        <f ca="1">32522.5565666681*((RANDBETWEEN(2979,3282)))</f>
        <v>96982263.681804165</v>
      </c>
      <c r="B14203">
        <v>143333270.19834185</v>
      </c>
    </row>
    <row r="14204" spans="1:2" x14ac:dyDescent="0.25">
      <c r="A14204">
        <f ca="1">30454.9362156964*((RANDBETWEEN(2979,3282)))</f>
        <v>93070285.075168341</v>
      </c>
      <c r="B14204">
        <v>145085254.37783825</v>
      </c>
    </row>
    <row r="14205" spans="1:2" x14ac:dyDescent="0.25">
      <c r="A14205">
        <f ca="1">35831.046115381*((RANDBETWEEN(2979,3282)))</f>
        <v>109105535.42133516</v>
      </c>
      <c r="B14205">
        <v>158091546.88515216</v>
      </c>
    </row>
    <row r="14206" spans="1:2" x14ac:dyDescent="0.25">
      <c r="A14206">
        <f ca="1">31797.2671180677*((RANDBETWEEN(2979,3282)))</f>
        <v>96123138.497918695</v>
      </c>
      <c r="B14206">
        <v>186504905.82355434</v>
      </c>
    </row>
    <row r="14207" spans="1:2" x14ac:dyDescent="0.25">
      <c r="A14207">
        <f ca="1">32008.8804041956*((RANDBETWEEN(2979,3282)))</f>
        <v>100187795.66513216</v>
      </c>
      <c r="B14207">
        <v>144498724.49201578</v>
      </c>
    </row>
    <row r="14208" spans="1:2" x14ac:dyDescent="0.25">
      <c r="A14208">
        <f ca="1">33240.5340310575*((RANDBETWEEN(2979,3282)))</f>
        <v>103045655.49627836</v>
      </c>
      <c r="B14208">
        <v>145127992.98995709</v>
      </c>
    </row>
    <row r="14209" spans="1:2" x14ac:dyDescent="0.25">
      <c r="A14209">
        <f ca="1">33395.6832847436*((RANDBETWEEN(2979,3282)))</f>
        <v>108502574.99213187</v>
      </c>
      <c r="B14209">
        <v>179224678.85885653</v>
      </c>
    </row>
    <row r="14210" spans="1:2" x14ac:dyDescent="0.25">
      <c r="A14210">
        <f ca="1">31610.5706504328*((RANDBETWEEN(2979,3282)))</f>
        <v>101153826.08138512</v>
      </c>
      <c r="B14210">
        <v>198321717.60404357</v>
      </c>
    </row>
    <row r="14211" spans="1:2" x14ac:dyDescent="0.25">
      <c r="A14211">
        <f ca="1">39279.2979200809*((RANDBETWEEN(2979,3282)))</f>
        <v>123494112.66073437</v>
      </c>
      <c r="B14211">
        <v>142986617.12252349</v>
      </c>
    </row>
    <row r="14212" spans="1:2" x14ac:dyDescent="0.25">
      <c r="A14212">
        <f ca="1">33089.6984631449*((RANDBETWEEN(2979,3282)))</f>
        <v>104397998.65122214</v>
      </c>
      <c r="B14212">
        <v>164439765.56820554</v>
      </c>
    </row>
    <row r="14213" spans="1:2" x14ac:dyDescent="0.25">
      <c r="A14213">
        <f ca="1">35547.8078308624*((RANDBETWEEN(2979,3282)))</f>
        <v>109167317.84857835</v>
      </c>
      <c r="B14213">
        <v>180915620.28836519</v>
      </c>
    </row>
    <row r="14214" spans="1:2" x14ac:dyDescent="0.25">
      <c r="A14214">
        <f ca="1">31142.3881643242*((RANDBETWEEN(2979,3282)))</f>
        <v>101461900.63936819</v>
      </c>
      <c r="B14214">
        <v>148817273.81975362</v>
      </c>
    </row>
    <row r="14215" spans="1:2" x14ac:dyDescent="0.25">
      <c r="A14215">
        <f ca="1">39771.5733153112*((RANDBETWEEN(2979,3282)))</f>
        <v>129018983.83486949</v>
      </c>
      <c r="B14215">
        <v>153895906.14863306</v>
      </c>
    </row>
    <row r="14216" spans="1:2" x14ac:dyDescent="0.25">
      <c r="A14216">
        <f ca="1">41341.3616528325*((RANDBETWEEN(2979,3282)))</f>
        <v>128654317.46361485</v>
      </c>
      <c r="B14216">
        <v>153615083.01019287</v>
      </c>
    </row>
    <row r="14217" spans="1:2" x14ac:dyDescent="0.25">
      <c r="A14217">
        <f ca="1">30312.0013538076*((RANDBETWEEN(2979,3282)))</f>
        <v>92785036.14400515</v>
      </c>
      <c r="B14217">
        <v>165499745.14690763</v>
      </c>
    </row>
    <row r="14218" spans="1:2" x14ac:dyDescent="0.25">
      <c r="A14218">
        <f ca="1">35941.7032882212*((RANDBETWEEN(2979,3282)))</f>
        <v>111634930.41321507</v>
      </c>
      <c r="B14218">
        <v>165076536.19170085</v>
      </c>
    </row>
    <row r="14219" spans="1:2" x14ac:dyDescent="0.25">
      <c r="A14219">
        <f ca="1">30816.4023990478*((RANDBETWEEN(2979,3282)))</f>
        <v>99475346.944126412</v>
      </c>
      <c r="B14219">
        <v>143771520.46399018</v>
      </c>
    </row>
    <row r="14220" spans="1:2" x14ac:dyDescent="0.25">
      <c r="A14220">
        <f ca="1">32676.6532702306*((RANDBETWEEN(2979,3282)))</f>
        <v>101722421.63022785</v>
      </c>
      <c r="B14220">
        <v>186653769.46537095</v>
      </c>
    </row>
    <row r="14221" spans="1:2" x14ac:dyDescent="0.25">
      <c r="A14221">
        <f ca="1">36203.4150780502*((RANDBETWEEN(2979,3282)))</f>
        <v>112773637.96812636</v>
      </c>
      <c r="B14221">
        <v>181514157.67708459</v>
      </c>
    </row>
    <row r="14222" spans="1:2" x14ac:dyDescent="0.25">
      <c r="A14222">
        <f ca="1">31795.3853579899*((RANDBETWEEN(2979,3282)))</f>
        <v>103589365.49633096</v>
      </c>
      <c r="B14222">
        <v>147052690.02491105</v>
      </c>
    </row>
    <row r="14223" spans="1:2" x14ac:dyDescent="0.25">
      <c r="A14223">
        <f ca="1">33911.6795384014*((RANDBETWEEN(2979,3282)))</f>
        <v>110925103.77011088</v>
      </c>
      <c r="B14223">
        <v>193530889.19572818</v>
      </c>
    </row>
    <row r="14224" spans="1:2" x14ac:dyDescent="0.25">
      <c r="A14224">
        <f ca="1">40855.8776093538*((RANDBETWEEN(2979,3282)))</f>
        <v>126367229.44573122</v>
      </c>
      <c r="B14224">
        <v>166585273.77606064</v>
      </c>
    </row>
    <row r="14225" spans="1:2" x14ac:dyDescent="0.25">
      <c r="A14225">
        <f ca="1">32596.5292264578*((RANDBETWEEN(2979,3282)))</f>
        <v>103461383.76477702</v>
      </c>
      <c r="B14225">
        <v>169032722.79086077</v>
      </c>
    </row>
    <row r="14226" spans="1:2" x14ac:dyDescent="0.25">
      <c r="A14226">
        <f ca="1">30683.4689455842*((RANDBETWEEN(2979,3282)))</f>
        <v>93124328.249848142</v>
      </c>
      <c r="B14226">
        <v>146592916.73884881</v>
      </c>
    </row>
    <row r="14227" spans="1:2" x14ac:dyDescent="0.25">
      <c r="A14227">
        <f ca="1">35175.4533712527*((RANDBETWEEN(2979,3282)))</f>
        <v>113264959.85543385</v>
      </c>
      <c r="B14227">
        <v>145554625.82642907</v>
      </c>
    </row>
    <row r="14228" spans="1:2" x14ac:dyDescent="0.25">
      <c r="A14228">
        <f ca="1">37495.2518563433*((RANDBETWEEN(2979,3282)))</f>
        <v>112598241.32459885</v>
      </c>
      <c r="B14228">
        <v>184844884.76827613</v>
      </c>
    </row>
    <row r="14229" spans="1:2" x14ac:dyDescent="0.25">
      <c r="A14229">
        <f ca="1">31715.0565431845*((RANDBETWEEN(2979,3282)))</f>
        <v>99553562.489056125</v>
      </c>
      <c r="B14229">
        <v>147414292.16102207</v>
      </c>
    </row>
    <row r="14230" spans="1:2" x14ac:dyDescent="0.25">
      <c r="A14230">
        <f ca="1">29552.9192923968*((RANDBETWEEN(2979,3282)))</f>
        <v>93121248.690342411</v>
      </c>
      <c r="B14230">
        <v>151721222.15079632</v>
      </c>
    </row>
    <row r="14231" spans="1:2" x14ac:dyDescent="0.25">
      <c r="A14231">
        <f ca="1">28955.7052143987*((RANDBETWEEN(2979,3282)))</f>
        <v>89096704.944704801</v>
      </c>
      <c r="B14231">
        <v>165652637.88203698</v>
      </c>
    </row>
    <row r="14232" spans="1:2" x14ac:dyDescent="0.25">
      <c r="A14232">
        <f ca="1">40018.7073328621*((RANDBETWEEN(2979,3282)))</f>
        <v>126859302.24517284</v>
      </c>
      <c r="B14232">
        <v>176789782.78805128</v>
      </c>
    </row>
    <row r="14233" spans="1:2" x14ac:dyDescent="0.25">
      <c r="A14233">
        <f ca="1">31540.0704592263*((RANDBETWEEN(2979,3282)))</f>
        <v>98941201.030592903</v>
      </c>
      <c r="B14233">
        <v>170552792.05915537</v>
      </c>
    </row>
    <row r="14234" spans="1:2" x14ac:dyDescent="0.25">
      <c r="A14234">
        <f ca="1">32499.1577710263*((RANDBETWEEN(2979,3282)))</f>
        <v>96814990.999887452</v>
      </c>
      <c r="B14234">
        <v>162221505.41038921</v>
      </c>
    </row>
    <row r="14235" spans="1:2" x14ac:dyDescent="0.25">
      <c r="A14235">
        <f ca="1">31226.1060884646*((RANDBETWEEN(2979,3282)))</f>
        <v>93334831.098420769</v>
      </c>
      <c r="B14235">
        <v>145124402.79986483</v>
      </c>
    </row>
    <row r="14236" spans="1:2" x14ac:dyDescent="0.25">
      <c r="A14236">
        <f ca="1">38471.9171232921*((RANDBETWEEN(2979,3282)))</f>
        <v>118916695.82809602</v>
      </c>
      <c r="B14236">
        <v>158701551.25911295</v>
      </c>
    </row>
    <row r="14237" spans="1:2" x14ac:dyDescent="0.25">
      <c r="A14237">
        <f ca="1">28607.0583565903*((RANDBETWEEN(2979,3282)))</f>
        <v>90169447.939972699</v>
      </c>
      <c r="B14237">
        <v>145504119.08469164</v>
      </c>
    </row>
    <row r="14238" spans="1:2" x14ac:dyDescent="0.25">
      <c r="A14238">
        <f ca="1">34450.9482414948*((RANDBETWEEN(2979,3282)))</f>
        <v>107555860.40994677</v>
      </c>
      <c r="B14238">
        <v>177926395.65128547</v>
      </c>
    </row>
    <row r="14239" spans="1:2" x14ac:dyDescent="0.25">
      <c r="A14239">
        <f ca="1">31467.6207395803*((RANDBETWEEN(2979,3282)))</f>
        <v>95095149.875011861</v>
      </c>
      <c r="B14239">
        <v>162238126.0686157</v>
      </c>
    </row>
    <row r="14240" spans="1:2" x14ac:dyDescent="0.25">
      <c r="A14240">
        <f ca="1">29701.5170123546*((RANDBETWEEN(2979,3282)))</f>
        <v>96529930.29015255</v>
      </c>
      <c r="B14240">
        <v>154568580.34126127</v>
      </c>
    </row>
    <row r="14241" spans="1:2" x14ac:dyDescent="0.25">
      <c r="A14241">
        <f ca="1">33432.7153131959*((RANDBETWEEN(2979,3282)))</f>
        <v>102805599.58807747</v>
      </c>
      <c r="B14241">
        <v>191451543.09107667</v>
      </c>
    </row>
    <row r="14242" spans="1:2" x14ac:dyDescent="0.25">
      <c r="A14242">
        <f ca="1">36079.4397094229*((RANDBETWEEN(2979,3282)))</f>
        <v>110475244.39025301</v>
      </c>
      <c r="B14242">
        <v>145960213.62276477</v>
      </c>
    </row>
    <row r="14243" spans="1:2" x14ac:dyDescent="0.25">
      <c r="A14243">
        <f ca="1">38036.8840316537*((RANDBETWEEN(2979,3282)))</f>
        <v>120044406.00389916</v>
      </c>
      <c r="B14243">
        <v>182901016.64524284</v>
      </c>
    </row>
    <row r="14244" spans="1:2" x14ac:dyDescent="0.25">
      <c r="A14244">
        <f ca="1">33192.1356964007*((RANDBETWEEN(2979,3282)))</f>
        <v>106679524.12823194</v>
      </c>
      <c r="B14244">
        <v>156724748.30445123</v>
      </c>
    </row>
    <row r="14245" spans="1:2" x14ac:dyDescent="0.25">
      <c r="A14245">
        <f ca="1">30563.0289630885*((RANDBETWEEN(2979,3282)))</f>
        <v>93094986.221567571</v>
      </c>
      <c r="B14245">
        <v>172623090.35954994</v>
      </c>
    </row>
    <row r="14246" spans="1:2" x14ac:dyDescent="0.25">
      <c r="A14246">
        <f ca="1">40558.4015650221*((RANDBETWEEN(2979,3282)))</f>
        <v>126947796.89851911</v>
      </c>
      <c r="B14246">
        <v>161940617.0794774</v>
      </c>
    </row>
    <row r="14247" spans="1:2" x14ac:dyDescent="0.25">
      <c r="A14247">
        <f ca="1">42845.7152260749*((RANDBETWEEN(2979,3282)))</f>
        <v>128322917.10209434</v>
      </c>
      <c r="B14247">
        <v>177026208.40696675</v>
      </c>
    </row>
    <row r="14248" spans="1:2" x14ac:dyDescent="0.25">
      <c r="A14248">
        <f ca="1">39593.2046637587*((RANDBETWEEN(2979,3282)))</f>
        <v>121511545.11307538</v>
      </c>
      <c r="B14248">
        <v>158756357.94930279</v>
      </c>
    </row>
    <row r="14249" spans="1:2" x14ac:dyDescent="0.25">
      <c r="A14249">
        <f ca="1">32448.9262189825*((RANDBETWEEN(2979,3282)))</f>
        <v>102149219.73735705</v>
      </c>
      <c r="B14249">
        <v>171579262.43478128</v>
      </c>
    </row>
    <row r="14250" spans="1:2" x14ac:dyDescent="0.25">
      <c r="A14250">
        <f ca="1">34511.9332431575*((RANDBETWEEN(2979,3282)))</f>
        <v>112060247.24053246</v>
      </c>
      <c r="B14250">
        <v>168618025.77165076</v>
      </c>
    </row>
    <row r="14251" spans="1:2" x14ac:dyDescent="0.25">
      <c r="A14251">
        <f ca="1">33577.1605607495*((RANDBETWEEN(2979,3282)))</f>
        <v>106338867.49589369</v>
      </c>
      <c r="B14251">
        <v>147412599.0974673</v>
      </c>
    </row>
    <row r="14252" spans="1:2" x14ac:dyDescent="0.25">
      <c r="A14252">
        <f ca="1">38597.1036492373*((RANDBETWEEN(2979,3282)))</f>
        <v>115675519.63676408</v>
      </c>
      <c r="B14252">
        <v>147369013.74052098</v>
      </c>
    </row>
    <row r="14253" spans="1:2" x14ac:dyDescent="0.25">
      <c r="A14253">
        <f ca="1">29054.0513173258*((RANDBETWEEN(2979,3282)))</f>
        <v>95122964.012924612</v>
      </c>
      <c r="B14253">
        <v>151424229.28961396</v>
      </c>
    </row>
    <row r="14254" spans="1:2" x14ac:dyDescent="0.25">
      <c r="A14254">
        <f ca="1">40318.0175228124*((RANDBETWEEN(2979,3282)))</f>
        <v>126195394.84640278</v>
      </c>
      <c r="B14254">
        <v>152580391.79627961</v>
      </c>
    </row>
    <row r="14255" spans="1:2" x14ac:dyDescent="0.25">
      <c r="A14255">
        <f ca="1">35294.4754762562*((RANDBETWEEN(2979,3282)))</f>
        <v>111071714.32377812</v>
      </c>
      <c r="B14255">
        <v>156863922.93910298</v>
      </c>
    </row>
    <row r="14256" spans="1:2" x14ac:dyDescent="0.25">
      <c r="A14256">
        <f ca="1">29405.1560788526*((RANDBETWEEN(2979,3282)))</f>
        <v>93361370.550357163</v>
      </c>
      <c r="B14256">
        <v>154457929.64978608</v>
      </c>
    </row>
    <row r="14257" spans="1:2" x14ac:dyDescent="0.25">
      <c r="A14257">
        <f ca="1">36017.8690695887*((RANDBETWEEN(2979,3282)))</f>
        <v>115941520.53500597</v>
      </c>
      <c r="B14257">
        <v>143080257.9029932</v>
      </c>
    </row>
    <row r="14258" spans="1:2" x14ac:dyDescent="0.25">
      <c r="A14258">
        <f ca="1">30688.912833955*((RANDBETWEEN(2979,3282)))</f>
        <v>91452960.245185971</v>
      </c>
      <c r="B14258">
        <v>162257982.36815205</v>
      </c>
    </row>
    <row r="14259" spans="1:2" x14ac:dyDescent="0.25">
      <c r="A14259">
        <f ca="1">35916.1631135762*((RANDBETWEEN(2979,3282)))</f>
        <v>114931721.96344373</v>
      </c>
      <c r="B14259">
        <v>189999647.19393665</v>
      </c>
    </row>
    <row r="14260" spans="1:2" x14ac:dyDescent="0.25">
      <c r="A14260">
        <f ca="1">29221.8734592233*((RANDBETWEEN(2979,3282)))</f>
        <v>90354032.735918522</v>
      </c>
      <c r="B14260">
        <v>201383656.0765453</v>
      </c>
    </row>
    <row r="14261" spans="1:2" x14ac:dyDescent="0.25">
      <c r="A14261">
        <f ca="1">28158.103275852*((RANDBETWEEN(2979,3282)))</f>
        <v>85037471.893073007</v>
      </c>
      <c r="B14261">
        <v>149343064.06878912</v>
      </c>
    </row>
    <row r="14262" spans="1:2" x14ac:dyDescent="0.25">
      <c r="A14262">
        <f ca="1">39816.3906436965*((RANDBETWEEN(2979,3282)))</f>
        <v>128806023.73235807</v>
      </c>
      <c r="B14262">
        <v>162286461.82646605</v>
      </c>
    </row>
    <row r="14263" spans="1:2" x14ac:dyDescent="0.25">
      <c r="A14263">
        <f ca="1">35062.208802729*((RANDBETWEEN(2979,3282)))</f>
        <v>107220234.51874515</v>
      </c>
      <c r="B14263">
        <v>171754466.01734394</v>
      </c>
    </row>
    <row r="14264" spans="1:2" x14ac:dyDescent="0.25">
      <c r="A14264">
        <f ca="1">32957.1512544356*((RANDBETWEEN(2979,3282)))</f>
        <v>102266040.34251367</v>
      </c>
      <c r="B14264">
        <v>153200094.65842646</v>
      </c>
    </row>
    <row r="14265" spans="1:2" x14ac:dyDescent="0.25">
      <c r="A14265">
        <f ca="1">38170.2048967606*((RANDBETWEEN(2979,3282)))</f>
        <v>118480315.99954505</v>
      </c>
      <c r="B14265">
        <v>200950725.12159717</v>
      </c>
    </row>
    <row r="14266" spans="1:2" x14ac:dyDescent="0.25">
      <c r="A14266">
        <f ca="1">38335.0804040067*((RANDBETWEEN(2979,3282)))</f>
        <v>122097231.08676143</v>
      </c>
      <c r="B14266">
        <v>153539065.89606804</v>
      </c>
    </row>
    <row r="14267" spans="1:2" x14ac:dyDescent="0.25">
      <c r="A14267">
        <f ca="1">30832.3512137153*((RANDBETWEEN(2979,3282)))</f>
        <v>100235973.7957885</v>
      </c>
      <c r="B14267">
        <v>171742870.37283835</v>
      </c>
    </row>
    <row r="14268" spans="1:2" x14ac:dyDescent="0.25">
      <c r="A14268">
        <f ca="1">39365.159257744*((RANDBETWEEN(2979,3282)))</f>
        <v>124118347.13966672</v>
      </c>
      <c r="B14268">
        <v>172212534.97295484</v>
      </c>
    </row>
    <row r="14269" spans="1:2" x14ac:dyDescent="0.25">
      <c r="A14269">
        <f ca="1">37326.877851727*((RANDBETWEEN(2979,3282)))</f>
        <v>117579665.23294011</v>
      </c>
      <c r="B14269">
        <v>186636288.58032387</v>
      </c>
    </row>
    <row r="14270" spans="1:2" x14ac:dyDescent="0.25">
      <c r="A14270">
        <f ca="1">32199.2195265959*((RANDBETWEEN(2979,3282)))</f>
        <v>98948201.60522911</v>
      </c>
      <c r="B14270">
        <v>169901498.32218128</v>
      </c>
    </row>
    <row r="14271" spans="1:2" x14ac:dyDescent="0.25">
      <c r="A14271">
        <f ca="1">28933.4533282399*((RANDBETWEEN(2979,3282)))</f>
        <v>87031827.611345738</v>
      </c>
      <c r="B14271">
        <v>172113693.97545543</v>
      </c>
    </row>
    <row r="14272" spans="1:2" x14ac:dyDescent="0.25">
      <c r="A14272">
        <f ca="1">37314.0847082044*((RANDBETWEEN(2979,3282)))</f>
        <v>121569287.97932985</v>
      </c>
      <c r="B14272">
        <v>147147805.36884069</v>
      </c>
    </row>
    <row r="14273" spans="1:2" x14ac:dyDescent="0.25">
      <c r="A14273">
        <f ca="1">34628.3970419617*((RANDBETWEEN(2979,3282)))</f>
        <v>111918979.23962034</v>
      </c>
      <c r="B14273">
        <v>155706153.53732526</v>
      </c>
    </row>
    <row r="14274" spans="1:2" x14ac:dyDescent="0.25">
      <c r="A14274">
        <f ca="1">37939.6186070419*((RANDBETWEEN(2979,3282)))</f>
        <v>115146742.47237225</v>
      </c>
      <c r="B14274">
        <v>175604393.07723385</v>
      </c>
    </row>
    <row r="14275" spans="1:2" x14ac:dyDescent="0.25">
      <c r="A14275">
        <f ca="1">39414.0651018246*((RANDBETWEEN(2979,3282)))</f>
        <v>127583328.7346063</v>
      </c>
      <c r="B14275">
        <v>165336784.24495548</v>
      </c>
    </row>
    <row r="14276" spans="1:2" x14ac:dyDescent="0.25">
      <c r="A14276">
        <f ca="1">31502.5588841874*((RANDBETWEEN(2979,3282)))</f>
        <v>95767779.007929757</v>
      </c>
      <c r="B14276">
        <v>174887402.83630145</v>
      </c>
    </row>
    <row r="14277" spans="1:2" x14ac:dyDescent="0.25">
      <c r="A14277">
        <f ca="1">32622.9569226611*((RANDBETWEEN(2979,3282)))</f>
        <v>106155101.82633935</v>
      </c>
      <c r="B14277">
        <v>156110147.59573132</v>
      </c>
    </row>
    <row r="14278" spans="1:2" x14ac:dyDescent="0.25">
      <c r="A14278">
        <f ca="1">33522.2920036297*((RANDBETWEEN(2979,3282)))</f>
        <v>102209468.31906697</v>
      </c>
      <c r="B14278">
        <v>149095713.03007555</v>
      </c>
    </row>
    <row r="14279" spans="1:2" x14ac:dyDescent="0.25">
      <c r="A14279">
        <f ca="1">37390.4475358158*((RANDBETWEEN(2979,3282)))</f>
        <v>118079033.3181064</v>
      </c>
      <c r="B14279">
        <v>195869507.74395984</v>
      </c>
    </row>
    <row r="14280" spans="1:2" x14ac:dyDescent="0.25">
      <c r="A14280">
        <f ca="1">32373.3444192988*((RANDBETWEEN(2979,3282)))</f>
        <v>104986755.95178607</v>
      </c>
      <c r="B14280">
        <v>187751732.79429269</v>
      </c>
    </row>
    <row r="14281" spans="1:2" x14ac:dyDescent="0.25">
      <c r="A14281">
        <f ca="1">29645.8324638176*((RANDBETWEEN(2979,3282)))</f>
        <v>95637455.52827552</v>
      </c>
      <c r="B14281">
        <v>174424040.38165966</v>
      </c>
    </row>
    <row r="14282" spans="1:2" x14ac:dyDescent="0.25">
      <c r="A14282">
        <f ca="1">31224.3669201014*((RANDBETWEEN(2979,3282)))</f>
        <v>97732268.459917292</v>
      </c>
      <c r="B14282">
        <v>184434977.12325022</v>
      </c>
    </row>
    <row r="14283" spans="1:2" x14ac:dyDescent="0.25">
      <c r="A14283">
        <f ca="1">39586.3959425347*((RANDBETWEEN(2979,3282)))</f>
        <v>120382230.06124812</v>
      </c>
      <c r="B14283">
        <v>167417438.685188</v>
      </c>
    </row>
    <row r="14284" spans="1:2" x14ac:dyDescent="0.25">
      <c r="A14284">
        <f ca="1">27323.0485640869*((RANDBETWEEN(2979,3282)))</f>
        <v>82734191.052055165</v>
      </c>
      <c r="B14284">
        <v>158268818.05498701</v>
      </c>
    </row>
    <row r="14285" spans="1:2" x14ac:dyDescent="0.25">
      <c r="A14285">
        <f ca="1">34870.228672316*((RANDBETWEEN(2979,3282)))</f>
        <v>108620762.3142643</v>
      </c>
      <c r="B14285">
        <v>175245916.88306209</v>
      </c>
    </row>
    <row r="14286" spans="1:2" x14ac:dyDescent="0.25">
      <c r="A14286">
        <f ca="1">39886.5503174327*((RANDBETWEEN(2979,3282)))</f>
        <v>128315032.37118089</v>
      </c>
      <c r="B14286">
        <v>203228654.359763</v>
      </c>
    </row>
    <row r="14287" spans="1:2" x14ac:dyDescent="0.25">
      <c r="A14287">
        <f ca="1">31111.7805905746*((RANDBETWEEN(2979,3282)))</f>
        <v>99339915.425704747</v>
      </c>
      <c r="B14287">
        <v>155450433.69462919</v>
      </c>
    </row>
    <row r="14288" spans="1:2" x14ac:dyDescent="0.25">
      <c r="A14288">
        <f ca="1">29377.0951493075*((RANDBETWEEN(2979,3282)))</f>
        <v>92714112.291214541</v>
      </c>
      <c r="B14288">
        <v>153892274.6308912</v>
      </c>
    </row>
    <row r="14289" spans="1:2" x14ac:dyDescent="0.25">
      <c r="A14289">
        <f ca="1">31478.1490921629*((RANDBETWEEN(2979,3282)))</f>
        <v>99785732.622156247</v>
      </c>
      <c r="B14289">
        <v>149044473.96532956</v>
      </c>
    </row>
    <row r="14290" spans="1:2" x14ac:dyDescent="0.25">
      <c r="A14290">
        <f ca="1">31930.7466800469*((RANDBETWEEN(2979,3282)))</f>
        <v>96494716.467101634</v>
      </c>
      <c r="B14290">
        <v>187061792.37248477</v>
      </c>
    </row>
    <row r="14291" spans="1:2" x14ac:dyDescent="0.25">
      <c r="A14291">
        <f ca="1">34160.7755068317*((RANDBETWEEN(2979,3282)))</f>
        <v>103336345.90816598</v>
      </c>
      <c r="B14291">
        <v>187421805.04231453</v>
      </c>
    </row>
    <row r="14292" spans="1:2" x14ac:dyDescent="0.25">
      <c r="A14292">
        <f ca="1">30618.0060460803*((RANDBETWEEN(2979,3282)))</f>
        <v>98559361.462332547</v>
      </c>
      <c r="B14292">
        <v>165504100.43153664</v>
      </c>
    </row>
    <row r="14293" spans="1:2" x14ac:dyDescent="0.25">
      <c r="A14293">
        <f ca="1">36584.5186380511*((RANDBETWEEN(2979,3282)))</f>
        <v>109570633.32096307</v>
      </c>
      <c r="B14293">
        <v>160634285.0575721</v>
      </c>
    </row>
    <row r="14294" spans="1:2" x14ac:dyDescent="0.25">
      <c r="A14294">
        <f ca="1">31302.3240926882*((RANDBETWEEN(2979,3282)))</f>
        <v>99009251.105172768</v>
      </c>
      <c r="B14294">
        <v>171039348.14612126</v>
      </c>
    </row>
    <row r="14295" spans="1:2" x14ac:dyDescent="0.25">
      <c r="A14295">
        <f ca="1">29979.7586179347*((RANDBETWEEN(2979,3282)))</f>
        <v>96564802.508367896</v>
      </c>
      <c r="B14295">
        <v>193134471.54120755</v>
      </c>
    </row>
    <row r="14296" spans="1:2" x14ac:dyDescent="0.25">
      <c r="A14296">
        <f ca="1">38337.5949030603*((RANDBETWEEN(2979,3282)))</f>
        <v>117581403.56768592</v>
      </c>
      <c r="B14296">
        <v>174461928.46188235</v>
      </c>
    </row>
    <row r="14297" spans="1:2" x14ac:dyDescent="0.25">
      <c r="A14297">
        <f ca="1">31377.9513405082*((RANDBETWEEN(2979,3282)))</f>
        <v>99562239.603432536</v>
      </c>
      <c r="B14297">
        <v>154675948.59027243</v>
      </c>
    </row>
    <row r="14298" spans="1:2" x14ac:dyDescent="0.25">
      <c r="A14298">
        <f ca="1">33755.5668486862*((RANDBETWEEN(2979,3282)))</f>
        <v>107038902.47718398</v>
      </c>
      <c r="B14298">
        <v>191547020.37504235</v>
      </c>
    </row>
    <row r="14299" spans="1:2" x14ac:dyDescent="0.25">
      <c r="A14299">
        <f ca="1">33534.5416816844*((RANDBETWEEN(2979,3282)))</f>
        <v>101643195.83718555</v>
      </c>
      <c r="B14299">
        <v>158454912.90470457</v>
      </c>
    </row>
    <row r="14300" spans="1:2" x14ac:dyDescent="0.25">
      <c r="A14300">
        <f ca="1">32580.7844336916*((RANDBETWEEN(2979,3282)))</f>
        <v>99534296.444927901</v>
      </c>
      <c r="B14300">
        <v>160310979.17881757</v>
      </c>
    </row>
    <row r="14301" spans="1:2" x14ac:dyDescent="0.25">
      <c r="A14301">
        <f ca="1">30821.7143155258*((RANDBETWEEN(2979,3282)))</f>
        <v>92804181.804048166</v>
      </c>
      <c r="B14301">
        <v>160970941.83720899</v>
      </c>
    </row>
    <row r="14302" spans="1:2" x14ac:dyDescent="0.25">
      <c r="A14302">
        <f ca="1">37947.5080500152*((RANDBETWEEN(2979,3282)))</f>
        <v>120483338.0587983</v>
      </c>
      <c r="B14302">
        <v>156243665.7057001</v>
      </c>
    </row>
    <row r="14303" spans="1:2" x14ac:dyDescent="0.25">
      <c r="A14303">
        <f ca="1">28920.5584527427*((RANDBETWEEN(2979,3282)))</f>
        <v>87802815.462526977</v>
      </c>
      <c r="B14303">
        <v>149484140.39519739</v>
      </c>
    </row>
    <row r="14304" spans="1:2" x14ac:dyDescent="0.25">
      <c r="A14304">
        <f ca="1">33121.6890934326*((RANDBETWEEN(2979,3282)))</f>
        <v>106287500.30082521</v>
      </c>
      <c r="B14304">
        <v>147231939.86685029</v>
      </c>
    </row>
    <row r="14305" spans="1:2" x14ac:dyDescent="0.25">
      <c r="A14305">
        <f ca="1">32742.8761530666*((RANDBETWEEN(2979,3282)))</f>
        <v>104875432.31827225</v>
      </c>
      <c r="B14305">
        <v>167493841.35132131</v>
      </c>
    </row>
    <row r="14306" spans="1:2" x14ac:dyDescent="0.25">
      <c r="A14306">
        <f ca="1">32046.2555385805*((RANDBETWEEN(2979,3282)))</f>
        <v>98189726.970210642</v>
      </c>
      <c r="B14306">
        <v>170125301.2623719</v>
      </c>
    </row>
    <row r="14307" spans="1:2" x14ac:dyDescent="0.25">
      <c r="A14307">
        <f ca="1">30748.6431299662*((RANDBETWEEN(2979,3282)))</f>
        <v>95812771.992974594</v>
      </c>
      <c r="B14307">
        <v>146091128.98873293</v>
      </c>
    </row>
    <row r="14308" spans="1:2" x14ac:dyDescent="0.25">
      <c r="A14308">
        <f ca="1">35161.1049570634*((RANDBETWEEN(2979,3282)))</f>
        <v>113816496.74601431</v>
      </c>
      <c r="B14308">
        <v>186472821.92316192</v>
      </c>
    </row>
    <row r="14309" spans="1:2" x14ac:dyDescent="0.25">
      <c r="A14309">
        <f ca="1">32867.0969445208*((RANDBETWEEN(2979,3282)))</f>
        <v>102183804.40051503</v>
      </c>
      <c r="B14309">
        <v>153775728.88554877</v>
      </c>
    </row>
    <row r="14310" spans="1:2" x14ac:dyDescent="0.25">
      <c r="A14310">
        <f ca="1">33092.5059436262*((RANDBETWEEN(2979,3282)))</f>
        <v>101196883.17560892</v>
      </c>
      <c r="B14310">
        <v>160630437.19635889</v>
      </c>
    </row>
    <row r="14311" spans="1:2" x14ac:dyDescent="0.25">
      <c r="A14311">
        <f ca="1">30683.5106165659*((RANDBETWEEN(2979,3282)))</f>
        <v>97297412.165130466</v>
      </c>
      <c r="B14311">
        <v>159503521.38090765</v>
      </c>
    </row>
    <row r="14312" spans="1:2" x14ac:dyDescent="0.25">
      <c r="A14312">
        <f ca="1">31501.5190267294*((RANDBETWEEN(2979,3282)))</f>
        <v>93843025.180626869</v>
      </c>
      <c r="B14312">
        <v>154833415.43025512</v>
      </c>
    </row>
    <row r="14313" spans="1:2" x14ac:dyDescent="0.25">
      <c r="A14313">
        <f ca="1">31349.6007632347*((RANDBETWEEN(2979,3282)))</f>
        <v>102669942.49959379</v>
      </c>
      <c r="B14313">
        <v>149709716.68316409</v>
      </c>
    </row>
    <row r="14314" spans="1:2" x14ac:dyDescent="0.25">
      <c r="A14314">
        <f ca="1">30051.6446778032*((RANDBETWEEN(2979,3282)))</f>
        <v>95894798.166869983</v>
      </c>
      <c r="B14314">
        <v>153011270.14782771</v>
      </c>
    </row>
    <row r="14315" spans="1:2" x14ac:dyDescent="0.25">
      <c r="A14315">
        <f ca="1">30429.0919609041*((RANDBETWEEN(2979,3282)))</f>
        <v>95942926.952730671</v>
      </c>
      <c r="B14315">
        <v>183962982.94637632</v>
      </c>
    </row>
    <row r="14316" spans="1:2" x14ac:dyDescent="0.25">
      <c r="A14316">
        <f ca="1">33083.4250864832*((RANDBETWEEN(2979,3282)))</f>
        <v>108579801.13383783</v>
      </c>
      <c r="B14316">
        <v>169156469.05721453</v>
      </c>
    </row>
    <row r="14317" spans="1:2" x14ac:dyDescent="0.25">
      <c r="A14317">
        <f ca="1">37542.645420334*((RANDBETWEEN(2979,3282)))</f>
        <v>113115990.65146628</v>
      </c>
      <c r="B14317">
        <v>173254323.69073951</v>
      </c>
    </row>
    <row r="14318" spans="1:2" x14ac:dyDescent="0.25">
      <c r="A14318">
        <f ca="1">34078.4093335346*((RANDBETWEEN(2979,3282)))</f>
        <v>105540833.70595667</v>
      </c>
      <c r="B14318">
        <v>176945933.36784038</v>
      </c>
    </row>
    <row r="14319" spans="1:2" x14ac:dyDescent="0.25">
      <c r="A14319">
        <f ca="1">27746.9500216944*((RANDBETWEEN(2979,3282)))</f>
        <v>83768042.115495279</v>
      </c>
      <c r="B14319">
        <v>143098555.21833017</v>
      </c>
    </row>
    <row r="14320" spans="1:2" x14ac:dyDescent="0.25">
      <c r="A14320">
        <f ca="1">37109.0131395186*((RANDBETWEEN(2979,3282)))</f>
        <v>117784007.70483214</v>
      </c>
      <c r="B14320">
        <v>198809452.84804508</v>
      </c>
    </row>
    <row r="14321" spans="1:2" x14ac:dyDescent="0.25">
      <c r="A14321">
        <f ca="1">36693.2778826911*((RANDBETWEEN(2979,3282)))</f>
        <v>118042274.94861728</v>
      </c>
      <c r="B14321">
        <v>145706343.29996541</v>
      </c>
    </row>
    <row r="14322" spans="1:2" x14ac:dyDescent="0.25">
      <c r="A14322">
        <f ca="1">32040.7123207768*((RANDBETWEEN(2979,3282)))</f>
        <v>103491500.79610918</v>
      </c>
      <c r="B14322">
        <v>183122190.74557883</v>
      </c>
    </row>
    <row r="14323" spans="1:2" x14ac:dyDescent="0.25">
      <c r="A14323">
        <f ca="1">34909.6602031444*((RANDBETWEEN(2979,3282)))</f>
        <v>108394494.93076335</v>
      </c>
      <c r="B14323">
        <v>170532385.23918691</v>
      </c>
    </row>
    <row r="14324" spans="1:2" x14ac:dyDescent="0.25">
      <c r="A14324">
        <f ca="1">32289.2996551705*((RANDBETWEEN(2979,3282)))</f>
        <v>97933445.854132265</v>
      </c>
      <c r="B14324">
        <v>171653462.69704479</v>
      </c>
    </row>
    <row r="14325" spans="1:2" x14ac:dyDescent="0.25">
      <c r="A14325">
        <f ca="1">31761.3681884936*((RANDBETWEEN(2979,3282)))</f>
        <v>100810582.63027872</v>
      </c>
      <c r="B14325">
        <v>152895918.7891801</v>
      </c>
    </row>
    <row r="14326" spans="1:2" x14ac:dyDescent="0.25">
      <c r="A14326">
        <f ca="1">33626.8490454999*((RANDBETWEEN(2979,3282)))</f>
        <v>104882142.17291407</v>
      </c>
      <c r="B14326">
        <v>159706095.32271314</v>
      </c>
    </row>
    <row r="14327" spans="1:2" x14ac:dyDescent="0.25">
      <c r="A14327">
        <f ca="1">33970.9942326058*((RANDBETWEEN(2979,3282)))</f>
        <v>104019184.34023903</v>
      </c>
      <c r="B14327">
        <v>201035794.22131318</v>
      </c>
    </row>
    <row r="14328" spans="1:2" x14ac:dyDescent="0.25">
      <c r="A14328">
        <f ca="1">34038.0412435686*((RANDBETWEEN(2979,3282)))</f>
        <v>103407569.29796143</v>
      </c>
      <c r="B14328">
        <v>187421590.38282511</v>
      </c>
    </row>
    <row r="14329" spans="1:2" x14ac:dyDescent="0.25">
      <c r="A14329">
        <f ca="1">31770.8779633431*((RANDBETWEEN(2979,3282)))</f>
        <v>103287124.25882851</v>
      </c>
      <c r="B14329">
        <v>173799664.413158</v>
      </c>
    </row>
    <row r="14330" spans="1:2" x14ac:dyDescent="0.25">
      <c r="A14330">
        <f ca="1">33778.5846005823*((RANDBETWEEN(2979,3282)))</f>
        <v>108294142.2294668</v>
      </c>
      <c r="B14330">
        <v>151563797.6088585</v>
      </c>
    </row>
    <row r="14331" spans="1:2" x14ac:dyDescent="0.25">
      <c r="A14331">
        <f ca="1">34335.965538382*((RANDBETWEEN(2979,3282)))</f>
        <v>103454264.16714503</v>
      </c>
      <c r="B14331">
        <v>182065675.78758621</v>
      </c>
    </row>
    <row r="14332" spans="1:2" x14ac:dyDescent="0.25">
      <c r="A14332">
        <f ca="1">33221.2969410445*((RANDBETWEEN(2979,3282)))</f>
        <v>103783331.64382301</v>
      </c>
      <c r="B14332">
        <v>202474117.83107048</v>
      </c>
    </row>
    <row r="14333" spans="1:2" x14ac:dyDescent="0.25">
      <c r="A14333">
        <f ca="1">29945.7028427949*((RANDBETWEEN(2979,3282)))</f>
        <v>91873416.321694896</v>
      </c>
      <c r="B14333">
        <v>153303204.49512821</v>
      </c>
    </row>
    <row r="14334" spans="1:2" x14ac:dyDescent="0.25">
      <c r="A14334">
        <f ca="1">33697.3281361048*((RANDBETWEEN(2979,3282)))</f>
        <v>109785895.06742951</v>
      </c>
      <c r="B14334">
        <v>153635468.36426505</v>
      </c>
    </row>
    <row r="14335" spans="1:2" x14ac:dyDescent="0.25">
      <c r="A14335">
        <f ca="1">30106.5900129953*((RANDBETWEEN(2979,3282)))</f>
        <v>97635671.412143856</v>
      </c>
      <c r="B14335">
        <v>159888704.27223036</v>
      </c>
    </row>
    <row r="14336" spans="1:2" x14ac:dyDescent="0.25">
      <c r="A14336">
        <f ca="1">31980.8762828769*((RANDBETWEEN(2979,3282)))</f>
        <v>95494896.580670372</v>
      </c>
      <c r="B14336">
        <v>152776363.25558987</v>
      </c>
    </row>
    <row r="14337" spans="1:2" x14ac:dyDescent="0.25">
      <c r="A14337">
        <f ca="1">28702.296386234*((RANDBETWEEN(2979,3282)))</f>
        <v>91531623.175700262</v>
      </c>
      <c r="B14337">
        <v>170032334.57477233</v>
      </c>
    </row>
    <row r="14338" spans="1:2" x14ac:dyDescent="0.25">
      <c r="A14338">
        <f ca="1">37052.4682695353*((RANDBETWEEN(2979,3282)))</f>
        <v>116344750.36634071</v>
      </c>
      <c r="B14338">
        <v>190539438.72972575</v>
      </c>
    </row>
    <row r="14339" spans="1:2" x14ac:dyDescent="0.25">
      <c r="A14339">
        <f ca="1">30229.0408549395*((RANDBETWEEN(2979,3282)))</f>
        <v>91412619.545337066</v>
      </c>
      <c r="B14339">
        <v>146711868.76045451</v>
      </c>
    </row>
    <row r="14340" spans="1:2" x14ac:dyDescent="0.25">
      <c r="A14340">
        <f ca="1">31511.8964954544*((RANDBETWEEN(2979,3282)))</f>
        <v>102949365.85064937</v>
      </c>
      <c r="B14340">
        <v>148011028.43410712</v>
      </c>
    </row>
    <row r="14341" spans="1:2" x14ac:dyDescent="0.25">
      <c r="A14341">
        <f ca="1">32122.7084493907*((RANDBETWEEN(2979,3282)))</f>
        <v>104880643.08726069</v>
      </c>
      <c r="B14341">
        <v>186911928.10238868</v>
      </c>
    </row>
    <row r="14342" spans="1:2" x14ac:dyDescent="0.25">
      <c r="A14342">
        <f ca="1">31379.3491691906*((RANDBETWEEN(2979,3282)))</f>
        <v>98531156.391258404</v>
      </c>
      <c r="B14342">
        <v>160624029.13970351</v>
      </c>
    </row>
    <row r="14343" spans="1:2" x14ac:dyDescent="0.25">
      <c r="A14343">
        <f ca="1">30874.9004149362*((RANDBETWEEN(2979,3282)))</f>
        <v>95743066.186717063</v>
      </c>
      <c r="B14343">
        <v>150142305.08308998</v>
      </c>
    </row>
    <row r="14344" spans="1:2" x14ac:dyDescent="0.25">
      <c r="A14344">
        <f ca="1">30535.5471332648*((RANDBETWEEN(2979,3282)))</f>
        <v>98599281.693312004</v>
      </c>
      <c r="B14344">
        <v>166507756.02615651</v>
      </c>
    </row>
    <row r="14345" spans="1:2" x14ac:dyDescent="0.25">
      <c r="A14345">
        <f ca="1">33254.2696755976*((RANDBETWEEN(2979,3282)))</f>
        <v>99297249.251334533</v>
      </c>
      <c r="B14345">
        <v>161331289.26211053</v>
      </c>
    </row>
    <row r="14346" spans="1:2" x14ac:dyDescent="0.25">
      <c r="A14346">
        <f ca="1">32490.4548402592*((RANDBETWEEN(2979,3282)))</f>
        <v>100330524.54672055</v>
      </c>
      <c r="B14346">
        <v>161424761.85186297</v>
      </c>
    </row>
    <row r="14347" spans="1:2" x14ac:dyDescent="0.25">
      <c r="A14347">
        <f ca="1">31947.1137678136*((RANDBETWEEN(2979,3282)))</f>
        <v>102134922.71570003</v>
      </c>
      <c r="B14347">
        <v>158593599.76926702</v>
      </c>
    </row>
    <row r="14348" spans="1:2" x14ac:dyDescent="0.25">
      <c r="A14348">
        <f ca="1">29459.5174889132*((RANDBETWEEN(2979,3282)))</f>
        <v>91353963.733119726</v>
      </c>
      <c r="B14348">
        <v>146582226.68176278</v>
      </c>
    </row>
    <row r="14349" spans="1:2" x14ac:dyDescent="0.25">
      <c r="A14349">
        <f ca="1">31877.2166474786*((RANDBETWEEN(2979,3282)))</f>
        <v>95057860.042781264</v>
      </c>
      <c r="B14349">
        <v>178305285.7268782</v>
      </c>
    </row>
    <row r="14350" spans="1:2" x14ac:dyDescent="0.25">
      <c r="A14350">
        <f ca="1">29740.6738637337*((RANDBETWEEN(2979,3282)))</f>
        <v>92939605.824167728</v>
      </c>
      <c r="B14350">
        <v>146120498.01601857</v>
      </c>
    </row>
    <row r="14351" spans="1:2" x14ac:dyDescent="0.25">
      <c r="A14351">
        <f ca="1">30759.5540555479*((RANDBETWEEN(2979,3282)))</f>
        <v>97507786.356086716</v>
      </c>
      <c r="B14351">
        <v>154524893.32799354</v>
      </c>
    </row>
    <row r="14352" spans="1:2" x14ac:dyDescent="0.25">
      <c r="A14352">
        <f ca="1">38211.2869399983*((RANDBETWEEN(2979,3282)))</f>
        <v>120709455.44345473</v>
      </c>
      <c r="B14352">
        <v>185046567.14585376</v>
      </c>
    </row>
    <row r="14353" spans="1:2" x14ac:dyDescent="0.25">
      <c r="A14353">
        <f ca="1">39344.8624668904*((RANDBETWEEN(2979,3282)))</f>
        <v>120237899.69881691</v>
      </c>
      <c r="B14353">
        <v>148073289.2750861</v>
      </c>
    </row>
    <row r="14354" spans="1:2" x14ac:dyDescent="0.25">
      <c r="A14354">
        <f ca="1">36316.2703641304*((RANDBETWEEN(2979,3282)))</f>
        <v>111345684.93642396</v>
      </c>
      <c r="B14354">
        <v>143456621.33012962</v>
      </c>
    </row>
    <row r="14355" spans="1:2" x14ac:dyDescent="0.25">
      <c r="A14355">
        <f ca="1">39772.844345228*((RANDBETWEEN(2979,3282)))</f>
        <v>123494681.69193284</v>
      </c>
      <c r="B14355">
        <v>166261643.10497484</v>
      </c>
    </row>
    <row r="14356" spans="1:2" x14ac:dyDescent="0.25">
      <c r="A14356">
        <f ca="1">37217.3891520546*((RANDBETWEEN(2979,3282)))</f>
        <v>112322080.4609009</v>
      </c>
      <c r="B14356">
        <v>200720001.87803531</v>
      </c>
    </row>
    <row r="14357" spans="1:2" x14ac:dyDescent="0.25">
      <c r="A14357">
        <f ca="1">36502.2767896903*((RANDBETWEEN(2979,3282)))</f>
        <v>113668089.92309572</v>
      </c>
      <c r="B14357">
        <v>151725274.45364013</v>
      </c>
    </row>
    <row r="14358" spans="1:2" x14ac:dyDescent="0.25">
      <c r="A14358">
        <f ca="1">33497.3921604008*((RANDBETWEEN(2979,3282)))</f>
        <v>106387717.50143287</v>
      </c>
      <c r="B14358">
        <v>184585695.21107867</v>
      </c>
    </row>
    <row r="14359" spans="1:2" x14ac:dyDescent="0.25">
      <c r="A14359">
        <f ca="1">31052.8260583113*((RANDBETWEEN(2979,3282)))</f>
        <v>93965851.652449965</v>
      </c>
      <c r="B14359">
        <v>185030757.03198302</v>
      </c>
    </row>
    <row r="14360" spans="1:2" x14ac:dyDescent="0.25">
      <c r="A14360">
        <f ca="1">35912.8940154833*((RANDBETWEEN(2979,3282)))</f>
        <v>107846420.72849625</v>
      </c>
      <c r="B14360">
        <v>189112238.49898419</v>
      </c>
    </row>
    <row r="14361" spans="1:2" x14ac:dyDescent="0.25">
      <c r="A14361">
        <f ca="1">33210.5156469414*((RANDBETWEEN(2979,3282)))</f>
        <v>100860336.01976098</v>
      </c>
      <c r="B14361">
        <v>181044728.56329951</v>
      </c>
    </row>
    <row r="14362" spans="1:2" x14ac:dyDescent="0.25">
      <c r="A14362">
        <f ca="1">32817.2775320258*((RANDBETWEEN(2979,3282)))</f>
        <v>98353380.763481244</v>
      </c>
      <c r="B14362">
        <v>146741092.96949083</v>
      </c>
    </row>
    <row r="14363" spans="1:2" x14ac:dyDescent="0.25">
      <c r="A14363">
        <f ca="1">32427.1694297572*((RANDBETWEEN(2979,3282)))</f>
        <v>96924809.425544143</v>
      </c>
      <c r="B14363">
        <v>170688205.27040857</v>
      </c>
    </row>
    <row r="14364" spans="1:2" x14ac:dyDescent="0.25">
      <c r="A14364">
        <f ca="1">39850.7243206703*((RANDBETWEEN(2979,3282)))</f>
        <v>127083959.85861772</v>
      </c>
      <c r="B14364">
        <v>171121431.14520964</v>
      </c>
    </row>
    <row r="14365" spans="1:2" x14ac:dyDescent="0.25">
      <c r="A14365">
        <f ca="1">33042.9477324923*((RANDBETWEEN(2979,3282)))</f>
        <v>107587837.81699495</v>
      </c>
      <c r="B14365">
        <v>161843370.48958537</v>
      </c>
    </row>
    <row r="14366" spans="1:2" x14ac:dyDescent="0.25">
      <c r="A14366">
        <f ca="1">31133.3020380981*((RANDBETWEEN(2979,3282)))</f>
        <v>93181973.000027642</v>
      </c>
      <c r="B14366">
        <v>169979508.2259804</v>
      </c>
    </row>
    <row r="14367" spans="1:2" x14ac:dyDescent="0.25">
      <c r="A14367">
        <f ca="1">29688.6519945541*((RANDBETWEEN(2979,3282)))</f>
        <v>92717660.178992406</v>
      </c>
      <c r="B14367">
        <v>171930132.54064143</v>
      </c>
    </row>
    <row r="14368" spans="1:2" x14ac:dyDescent="0.25">
      <c r="A14368">
        <f ca="1">31074.6947310586*((RANDBETWEEN(2979,3282)))</f>
        <v>99345799.055194244</v>
      </c>
      <c r="B14368">
        <v>184644116.48915139</v>
      </c>
    </row>
    <row r="14369" spans="1:2" x14ac:dyDescent="0.25">
      <c r="A14369">
        <f ca="1">38897.9598977054*((RANDBETWEEN(2979,3282)))</f>
        <v>126301675.78784947</v>
      </c>
      <c r="B14369">
        <v>147449527.72527385</v>
      </c>
    </row>
    <row r="14370" spans="1:2" x14ac:dyDescent="0.25">
      <c r="A14370">
        <f ca="1">38308.9171128873*((RANDBETWEEN(2979,3282)))</f>
        <v>120289999.73446605</v>
      </c>
      <c r="B14370">
        <v>198656985.69182742</v>
      </c>
    </row>
    <row r="14371" spans="1:2" x14ac:dyDescent="0.25">
      <c r="A14371">
        <f ca="1">31869.4527221975*((RANDBETWEEN(2979,3282)))</f>
        <v>94939099.659426391</v>
      </c>
      <c r="B14371">
        <v>165230759.45936131</v>
      </c>
    </row>
    <row r="14372" spans="1:2" x14ac:dyDescent="0.25">
      <c r="A14372">
        <f ca="1">38132.5813689242*((RANDBETWEEN(2979,3282)))</f>
        <v>120193896.47484905</v>
      </c>
      <c r="B14372">
        <v>188604672.18611395</v>
      </c>
    </row>
    <row r="14373" spans="1:2" x14ac:dyDescent="0.25">
      <c r="A14373">
        <f ca="1">40523.0674510326*((RANDBETWEEN(2979,3282)))</f>
        <v>124041109.4676107</v>
      </c>
      <c r="B14373">
        <v>194893769.87658</v>
      </c>
    </row>
    <row r="14374" spans="1:2" x14ac:dyDescent="0.25">
      <c r="A14374">
        <f ca="1">30878.32592922*((RANDBETWEEN(2979,3282)))</f>
        <v>99366452.840229899</v>
      </c>
      <c r="B14374">
        <v>154693449.97007042</v>
      </c>
    </row>
    <row r="14375" spans="1:2" x14ac:dyDescent="0.25">
      <c r="A14375">
        <f ca="1">32172.6609035813*((RANDBETWEEN(2979,3282)))</f>
        <v>98737896.313090935</v>
      </c>
      <c r="B14375">
        <v>188262109.24107334</v>
      </c>
    </row>
    <row r="14376" spans="1:2" x14ac:dyDescent="0.25">
      <c r="A14376">
        <f ca="1">32335.5953955321*((RANDBETWEEN(2979,3282)))</f>
        <v>98300210.00241752</v>
      </c>
      <c r="B14376">
        <v>153117526.21758503</v>
      </c>
    </row>
    <row r="14377" spans="1:2" x14ac:dyDescent="0.25">
      <c r="A14377">
        <f ca="1">30456.1115487679*((RANDBETWEEN(2979,3282)))</f>
        <v>97520469.179154813</v>
      </c>
      <c r="B14377">
        <v>185733571.79523209</v>
      </c>
    </row>
    <row r="14378" spans="1:2" x14ac:dyDescent="0.25">
      <c r="A14378">
        <f ca="1">29745.5652636665*((RANDBETWEEN(2979,3282)))</f>
        <v>89177204.66047214</v>
      </c>
      <c r="B14378">
        <v>186907228.69300917</v>
      </c>
    </row>
    <row r="14379" spans="1:2" x14ac:dyDescent="0.25">
      <c r="A14379">
        <f ca="1">28459.8021608327*((RANDBETWEEN(2979,3282)))</f>
        <v>89107640.565567315</v>
      </c>
      <c r="B14379">
        <v>147377084.81843424</v>
      </c>
    </row>
    <row r="14380" spans="1:2" x14ac:dyDescent="0.25">
      <c r="A14380">
        <f ca="1">35750.2055979256*((RANDBETWEEN(2979,3282)))</f>
        <v>114901160.79173277</v>
      </c>
      <c r="B14380">
        <v>154216536.74094391</v>
      </c>
    </row>
    <row r="14381" spans="1:2" x14ac:dyDescent="0.25">
      <c r="A14381">
        <f ca="1">33072.5538844358*((RANDBETWEEN(2979,3282)))</f>
        <v>106262115.63069214</v>
      </c>
      <c r="B14381">
        <v>165543758.8655557</v>
      </c>
    </row>
    <row r="14382" spans="1:2" x14ac:dyDescent="0.25">
      <c r="A14382">
        <f ca="1">31729.3514332744*((RANDBETWEEN(2979,3282)))</f>
        <v>99439787.391881913</v>
      </c>
      <c r="B14382">
        <v>146447508.94755864</v>
      </c>
    </row>
    <row r="14383" spans="1:2" x14ac:dyDescent="0.25">
      <c r="A14383">
        <f ca="1">33910.6668900792*((RANDBETWEEN(2979,3282)))</f>
        <v>108819330.05026408</v>
      </c>
      <c r="B14383">
        <v>155572900.73664796</v>
      </c>
    </row>
    <row r="14384" spans="1:2" x14ac:dyDescent="0.25">
      <c r="A14384">
        <f ca="1">29929.4056017933*((RANDBETWEEN(2979,3282)))</f>
        <v>92272357.470328704</v>
      </c>
      <c r="B14384">
        <v>145979426.74174404</v>
      </c>
    </row>
    <row r="14385" spans="1:2" x14ac:dyDescent="0.25">
      <c r="A14385">
        <f ca="1">38423.3962863191*((RANDBETWEEN(2979,3282)))</f>
        <v>123339102.07908435</v>
      </c>
      <c r="B14385">
        <v>202296873.58451933</v>
      </c>
    </row>
    <row r="14386" spans="1:2" x14ac:dyDescent="0.25">
      <c r="A14386">
        <f ca="1">34741.0517306832*((RANDBETWEEN(2979,3282)))</f>
        <v>112352561.29702944</v>
      </c>
      <c r="B14386">
        <v>152834083.4881084</v>
      </c>
    </row>
    <row r="14387" spans="1:2" x14ac:dyDescent="0.25">
      <c r="A14387">
        <f ca="1">38775.4231322586*((RANDBETWEEN(2979,3282)))</f>
        <v>127144612.45067596</v>
      </c>
      <c r="B14387">
        <v>145858059.84379888</v>
      </c>
    </row>
    <row r="14388" spans="1:2" x14ac:dyDescent="0.25">
      <c r="A14388">
        <f ca="1">33006.7394827648*((RANDBETWEEN(2979,3282)))</f>
        <v>104763391.1182956</v>
      </c>
      <c r="B14388">
        <v>193374130.32786894</v>
      </c>
    </row>
    <row r="14389" spans="1:2" x14ac:dyDescent="0.25">
      <c r="A14389">
        <f ca="1">29096.0921845717*((RANDBETWEEN(2979,3282)))</f>
        <v>93078398.898444727</v>
      </c>
      <c r="B14389">
        <v>143851213.67446071</v>
      </c>
    </row>
    <row r="14390" spans="1:2" x14ac:dyDescent="0.25">
      <c r="A14390">
        <f ca="1">31024.0279102493*((RANDBETWEEN(2979,3282)))</f>
        <v>94126900.679696351</v>
      </c>
      <c r="B14390">
        <v>150464290.08873254</v>
      </c>
    </row>
    <row r="14391" spans="1:2" x14ac:dyDescent="0.25">
      <c r="A14391">
        <f ca="1">32004.1199325682*((RANDBETWEEN(2979,3282)))</f>
        <v>98604693.512242526</v>
      </c>
      <c r="B14391">
        <v>182001108.57725123</v>
      </c>
    </row>
    <row r="14392" spans="1:2" x14ac:dyDescent="0.25">
      <c r="A14392">
        <f ca="1">34320.5611409506*((RANDBETWEEN(2979,3282)))</f>
        <v>104025620.81822112</v>
      </c>
      <c r="B14392">
        <v>152650428.84954819</v>
      </c>
    </row>
    <row r="14393" spans="1:2" x14ac:dyDescent="0.25">
      <c r="A14393">
        <f ca="1">37045.1318357621*((RANDBETWEEN(2979,3282)))</f>
        <v>115173314.87738441</v>
      </c>
      <c r="B14393">
        <v>195739541.98857561</v>
      </c>
    </row>
    <row r="14394" spans="1:2" x14ac:dyDescent="0.25">
      <c r="A14394">
        <f ca="1">35027.320195237*((RANDBETWEEN(2979,3282)))</f>
        <v>109355293.64953001</v>
      </c>
      <c r="B14394">
        <v>163587625.5386095</v>
      </c>
    </row>
    <row r="14395" spans="1:2" x14ac:dyDescent="0.25">
      <c r="A14395">
        <f ca="1">34607.3304402157*((RANDBETWEEN(2979,3282)))</f>
        <v>107974870.97347312</v>
      </c>
      <c r="B14395">
        <v>172475581.04275727</v>
      </c>
    </row>
    <row r="14396" spans="1:2" x14ac:dyDescent="0.25">
      <c r="A14396">
        <f ca="1">31629.6694239576*((RANDBETWEEN(2979,3282)))</f>
        <v>101056793.80954465</v>
      </c>
      <c r="B14396">
        <v>178052423.62470168</v>
      </c>
    </row>
    <row r="14397" spans="1:2" x14ac:dyDescent="0.25">
      <c r="A14397">
        <f ca="1">39251.4459349411*((RANDBETWEEN(2979,3282)))</f>
        <v>121600979.50644743</v>
      </c>
      <c r="B14397">
        <v>200316700.08466405</v>
      </c>
    </row>
    <row r="14398" spans="1:2" x14ac:dyDescent="0.25">
      <c r="A14398">
        <f ca="1">36408.2159088918*((RANDBETWEEN(2979,3282)))</f>
        <v>110935833.87439322</v>
      </c>
      <c r="B14398">
        <v>168254523.0901297</v>
      </c>
    </row>
    <row r="14399" spans="1:2" x14ac:dyDescent="0.25">
      <c r="A14399">
        <f ca="1">36409.5960824189*((RANDBETWEEN(2979,3282)))</f>
        <v>116619936.25198789</v>
      </c>
      <c r="B14399">
        <v>185314801.79549932</v>
      </c>
    </row>
    <row r="14400" spans="1:2" x14ac:dyDescent="0.25">
      <c r="A14400">
        <f ca="1">28990.871437022*((RANDBETWEEN(2979,3282)))</f>
        <v>88683075.725850299</v>
      </c>
      <c r="B14400">
        <v>185992126.53784499</v>
      </c>
    </row>
    <row r="14401" spans="1:2" x14ac:dyDescent="0.25">
      <c r="A14401">
        <f ca="1">37356.2480884679*((RANDBETWEEN(2979,3282)))</f>
        <v>115318737.84910032</v>
      </c>
      <c r="B14401">
        <v>159451889.57469445</v>
      </c>
    </row>
    <row r="14402" spans="1:2" x14ac:dyDescent="0.25">
      <c r="A14402">
        <f ca="1">40177.5159113884*((RANDBETWEEN(2979,3282)))</f>
        <v>121496808.1160385</v>
      </c>
      <c r="B14402">
        <v>190224238.68229514</v>
      </c>
    </row>
    <row r="14403" spans="1:2" x14ac:dyDescent="0.25">
      <c r="A14403">
        <f ca="1">41092.1585218192*((RANDBETWEEN(2979,3282)))</f>
        <v>134494634.84191409</v>
      </c>
      <c r="B14403">
        <v>189999022.77170482</v>
      </c>
    </row>
    <row r="14404" spans="1:2" x14ac:dyDescent="0.25">
      <c r="A14404">
        <f ca="1">32271.2396280706*((RANDBETWEEN(2979,3282)))</f>
        <v>97362329.957889095</v>
      </c>
      <c r="B14404">
        <v>170398614.46699345</v>
      </c>
    </row>
    <row r="14405" spans="1:2" x14ac:dyDescent="0.25">
      <c r="A14405">
        <f ca="1">30695.4818130291*((RANDBETWEEN(2979,3282)))</f>
        <v>97611632.165432423</v>
      </c>
      <c r="B14405">
        <v>193829682.99481612</v>
      </c>
    </row>
    <row r="14406" spans="1:2" x14ac:dyDescent="0.25">
      <c r="A14406">
        <f ca="1">33202.0566973202*((RANDBETWEEN(2979,3282)))</f>
        <v>107906684.26629058</v>
      </c>
      <c r="B14406">
        <v>176425635.43414494</v>
      </c>
    </row>
    <row r="14407" spans="1:2" x14ac:dyDescent="0.25">
      <c r="A14407">
        <f ca="1">38182.2698737969*((RANDBETWEEN(2979,3282)))</f>
        <v>119663233.78447962</v>
      </c>
      <c r="B14407">
        <v>166527078.03660393</v>
      </c>
    </row>
    <row r="14408" spans="1:2" x14ac:dyDescent="0.25">
      <c r="A14408">
        <f ca="1">30850.686554909*((RANDBETWEEN(2979,3282)))</f>
        <v>91904195.247073904</v>
      </c>
      <c r="B14408">
        <v>176683391.01137587</v>
      </c>
    </row>
    <row r="14409" spans="1:2" x14ac:dyDescent="0.25">
      <c r="A14409">
        <f ca="1">39448.2779275836*((RANDBETWEEN(2979,3282)))</f>
        <v>122447454.68721955</v>
      </c>
      <c r="B14409">
        <v>186928062.65870899</v>
      </c>
    </row>
    <row r="14410" spans="1:2" x14ac:dyDescent="0.25">
      <c r="A14410">
        <f ca="1">29907.6890126214*((RANDBETWEEN(2979,3282)))</f>
        <v>91756789.890722513</v>
      </c>
      <c r="B14410">
        <v>154380167.42360377</v>
      </c>
    </row>
    <row r="14411" spans="1:2" x14ac:dyDescent="0.25">
      <c r="A14411">
        <f ca="1">31250.2972412845*((RANDBETWEEN(2979,3282)))</f>
        <v>100563456.52245341</v>
      </c>
      <c r="B14411">
        <v>159316424.3655636</v>
      </c>
    </row>
    <row r="14412" spans="1:2" x14ac:dyDescent="0.25">
      <c r="A14412">
        <f ca="1">34679.9347961994*((RANDBETWEEN(2979,3282)))</f>
        <v>106883559.04188646</v>
      </c>
      <c r="B14412">
        <v>149436955.52724975</v>
      </c>
    </row>
    <row r="14413" spans="1:2" x14ac:dyDescent="0.25">
      <c r="A14413">
        <f ca="1">28857.4113794859*((RANDBETWEEN(2979,3282)))</f>
        <v>86716521.195355266</v>
      </c>
      <c r="B14413">
        <v>143479346.49524775</v>
      </c>
    </row>
    <row r="14414" spans="1:2" x14ac:dyDescent="0.25">
      <c r="A14414">
        <f ca="1">31277.4808634149*((RANDBETWEEN(2979,3282)))</f>
        <v>102558859.75113733</v>
      </c>
      <c r="B14414">
        <v>156658441.80770487</v>
      </c>
    </row>
    <row r="14415" spans="1:2" x14ac:dyDescent="0.25">
      <c r="A14415">
        <f ca="1">39185.3179021999*((RANDBETWEEN(2979,3282)))</f>
        <v>124452569.65738678</v>
      </c>
      <c r="B14415">
        <v>150055249.90123108</v>
      </c>
    </row>
    <row r="14416" spans="1:2" x14ac:dyDescent="0.25">
      <c r="A14416">
        <f ca="1">31815.84601904*((RANDBETWEEN(2979,3282)))</f>
        <v>98979096.9652334</v>
      </c>
      <c r="B14416">
        <v>170454752.9657563</v>
      </c>
    </row>
    <row r="14417" spans="1:2" x14ac:dyDescent="0.25">
      <c r="A14417">
        <f ca="1">33748.9463099343*((RANDBETWEEN(2979,3282)))</f>
        <v>103913005.68828776</v>
      </c>
      <c r="B14417">
        <v>167359658.32878962</v>
      </c>
    </row>
    <row r="14418" spans="1:2" x14ac:dyDescent="0.25">
      <c r="A14418">
        <f ca="1">30849.6329449353*((RANDBETWEEN(2979,3282)))</f>
        <v>97793336.435444921</v>
      </c>
      <c r="B14418">
        <v>164622638.42021316</v>
      </c>
    </row>
    <row r="14419" spans="1:2" x14ac:dyDescent="0.25">
      <c r="A14419">
        <f ca="1">33283.0061464357*((RANDBETWEEN(2979,3282)))</f>
        <v>102245394.88185047</v>
      </c>
      <c r="B14419">
        <v>171001857.92061177</v>
      </c>
    </row>
    <row r="14420" spans="1:2" x14ac:dyDescent="0.25">
      <c r="A14420">
        <f ca="1">32758.3728204045*((RANDBETWEEN(2979,3282)))</f>
        <v>100142345.71197666</v>
      </c>
      <c r="B14420">
        <v>186997433.31730548</v>
      </c>
    </row>
    <row r="14421" spans="1:2" x14ac:dyDescent="0.25">
      <c r="A14421">
        <f ca="1">30669.1877234304*((RANDBETWEEN(2979,3282)))</f>
        <v>98356085.02904129</v>
      </c>
      <c r="B14421">
        <v>179871090.32066217</v>
      </c>
    </row>
    <row r="14422" spans="1:2" x14ac:dyDescent="0.25">
      <c r="A14422">
        <f ca="1">38968.5811010844*((RANDBETWEEN(2979,3282)))</f>
        <v>126453045.67301904</v>
      </c>
      <c r="B14422">
        <v>188145503.21417308</v>
      </c>
    </row>
    <row r="14423" spans="1:2" x14ac:dyDescent="0.25">
      <c r="A14423">
        <f ca="1">33890.0382384259*((RANDBETWEEN(2979,3282)))</f>
        <v>104482987.88906693</v>
      </c>
      <c r="B14423">
        <v>162664224.59073943</v>
      </c>
    </row>
    <row r="14424" spans="1:2" x14ac:dyDescent="0.25">
      <c r="A14424">
        <f ca="1">31506.2781509978*((RANDBETWEEN(2979,3282)))</f>
        <v>97606449.711791024</v>
      </c>
      <c r="B14424">
        <v>167691791.39238939</v>
      </c>
    </row>
    <row r="14425" spans="1:2" x14ac:dyDescent="0.25">
      <c r="A14425">
        <f ca="1">39486.233640688*((RANDBETWEEN(2979,3282)))</f>
        <v>117708462.48289101</v>
      </c>
      <c r="B14425">
        <v>158798161.606316</v>
      </c>
    </row>
    <row r="14426" spans="1:2" x14ac:dyDescent="0.25">
      <c r="A14426">
        <f ca="1">33372.7778094087*((RANDBETWEEN(2979,3282)))</f>
        <v>103121883.43107289</v>
      </c>
      <c r="B14426">
        <v>158625415.90427098</v>
      </c>
    </row>
    <row r="14427" spans="1:2" x14ac:dyDescent="0.25">
      <c r="A14427">
        <f ca="1">34271.1105853287*((RANDBETWEEN(2979,3282)))</f>
        <v>109873180.53656369</v>
      </c>
      <c r="B14427">
        <v>193346454.23186219</v>
      </c>
    </row>
    <row r="14428" spans="1:2" x14ac:dyDescent="0.25">
      <c r="A14428">
        <f ca="1">30795.1113983609*((RANDBETWEEN(2979,3282)))</f>
        <v>99098668.47992523</v>
      </c>
      <c r="B14428">
        <v>152339138.31634897</v>
      </c>
    </row>
    <row r="14429" spans="1:2" x14ac:dyDescent="0.25">
      <c r="A14429">
        <f ca="1">33069.3333681172*((RANDBETWEEN(2979,3282)))</f>
        <v>104598301.44335461</v>
      </c>
      <c r="B14429">
        <v>201221367.42519033</v>
      </c>
    </row>
    <row r="14430" spans="1:2" x14ac:dyDescent="0.25">
      <c r="A14430">
        <f ca="1">41322.2873632359*((RANDBETWEEN(2979,3282)))</f>
        <v>132603220.14862393</v>
      </c>
      <c r="B14430">
        <v>160087718.54136801</v>
      </c>
    </row>
    <row r="14431" spans="1:2" x14ac:dyDescent="0.25">
      <c r="A14431">
        <f ca="1">31317.4376943301*((RANDBETWEEN(2979,3282)))</f>
        <v>98368071.797890693</v>
      </c>
      <c r="B14431">
        <v>147005452.79338124</v>
      </c>
    </row>
    <row r="14432" spans="1:2" x14ac:dyDescent="0.25">
      <c r="A14432">
        <f ca="1">33890.3793340033*((RANDBETWEEN(2979,3282)))</f>
        <v>106686914.14344253</v>
      </c>
      <c r="B14432">
        <v>179970187.12943858</v>
      </c>
    </row>
    <row r="14433" spans="1:2" x14ac:dyDescent="0.25">
      <c r="A14433">
        <f ca="1">30641.9609262473*((RANDBETWEEN(2979,3282)))</f>
        <v>100107286.34605004</v>
      </c>
      <c r="B14433">
        <v>161606205.18420184</v>
      </c>
    </row>
    <row r="14434" spans="1:2" x14ac:dyDescent="0.25">
      <c r="A14434">
        <f ca="1">37007.2815250398*((RANDBETWEEN(2979,3282)))</f>
        <v>113242281.46662176</v>
      </c>
      <c r="B14434">
        <v>145653182.87454009</v>
      </c>
    </row>
    <row r="14435" spans="1:2" x14ac:dyDescent="0.25">
      <c r="A14435">
        <f ca="1">32857.8533631704*((RANDBETWEEN(2979,3282)))</f>
        <v>103469380.24062361</v>
      </c>
      <c r="B14435">
        <v>150744483.09244227</v>
      </c>
    </row>
    <row r="14436" spans="1:2" x14ac:dyDescent="0.25">
      <c r="A14436">
        <f ca="1">33615.9122539745*((RANDBETWEEN(2979,3282)))</f>
        <v>106730521.40636899</v>
      </c>
      <c r="B14436">
        <v>185207916.34899539</v>
      </c>
    </row>
    <row r="14437" spans="1:2" x14ac:dyDescent="0.25">
      <c r="A14437">
        <f ca="1">29512.5020178001*((RANDBETWEEN(2979,3282)))</f>
        <v>88714581.065507039</v>
      </c>
      <c r="B14437">
        <v>184672061.27365223</v>
      </c>
    </row>
    <row r="14438" spans="1:2" x14ac:dyDescent="0.25">
      <c r="A14438">
        <f ca="1">45596.0979240312*((RANDBETWEEN(2979,3282)))</f>
        <v>141986248.93543327</v>
      </c>
      <c r="B14438">
        <v>159917648.23122519</v>
      </c>
    </row>
    <row r="14439" spans="1:2" x14ac:dyDescent="0.25">
      <c r="A14439">
        <f ca="1">37133.8881726359*((RANDBETWEEN(2979,3282)))</f>
        <v>115820597.2104515</v>
      </c>
      <c r="B14439">
        <v>170942452.82485473</v>
      </c>
    </row>
    <row r="14440" spans="1:2" x14ac:dyDescent="0.25">
      <c r="A14440">
        <f ca="1">40521.3343870414*((RANDBETWEEN(2979,3282)))</f>
        <v>121847652.5018335</v>
      </c>
      <c r="B14440">
        <v>145225850.91602275</v>
      </c>
    </row>
    <row r="14441" spans="1:2" x14ac:dyDescent="0.25">
      <c r="A14441">
        <f ca="1">31455.3413340152*((RANDBETWEEN(2979,3282)))</f>
        <v>100562726.24484672</v>
      </c>
      <c r="B14441">
        <v>162467089.81745601</v>
      </c>
    </row>
    <row r="14442" spans="1:2" x14ac:dyDescent="0.25">
      <c r="A14442">
        <f ca="1">34752.759003813*((RANDBETWEEN(2979,3282)))</f>
        <v>106169678.75664878</v>
      </c>
      <c r="B14442">
        <v>156962832.90486646</v>
      </c>
    </row>
    <row r="14443" spans="1:2" x14ac:dyDescent="0.25">
      <c r="A14443">
        <f ca="1">36618.9693045271*((RANDBETWEEN(2979,3282)))</f>
        <v>117913081.16057721</v>
      </c>
      <c r="B14443">
        <v>166146047.57847267</v>
      </c>
    </row>
    <row r="14444" spans="1:2" x14ac:dyDescent="0.25">
      <c r="A14444">
        <f ca="1">36746.598481114*((RANDBETWEEN(2979,3282)))</f>
        <v>114208428.0793024</v>
      </c>
      <c r="B14444">
        <v>154538620.96517825</v>
      </c>
    </row>
    <row r="14445" spans="1:2" x14ac:dyDescent="0.25">
      <c r="A14445">
        <f ca="1">34382.1244501532*((RANDBETWEEN(2979,3282)))</f>
        <v>105553122.06197043</v>
      </c>
      <c r="B14445">
        <v>183072019.82905644</v>
      </c>
    </row>
    <row r="14446" spans="1:2" x14ac:dyDescent="0.25">
      <c r="A14446">
        <f ca="1">40999.5852828034*((RANDBETWEEN(2979,3282)))</f>
        <v>129886686.1759212</v>
      </c>
      <c r="B14446">
        <v>160539238.52179855</v>
      </c>
    </row>
    <row r="14447" spans="1:2" x14ac:dyDescent="0.25">
      <c r="A14447">
        <f ca="1">37002.1289526272*((RANDBETWEEN(2979,3282)))</f>
        <v>110488357.05254491</v>
      </c>
      <c r="B14447">
        <v>162723370.43341261</v>
      </c>
    </row>
    <row r="14448" spans="1:2" x14ac:dyDescent="0.25">
      <c r="A14448">
        <f ca="1">31465.8813118762*((RANDBETWEEN(2979,3282)))</f>
        <v>101320137.82424128</v>
      </c>
      <c r="B14448">
        <v>145332499.27818692</v>
      </c>
    </row>
    <row r="14449" spans="1:2" x14ac:dyDescent="0.25">
      <c r="A14449">
        <f ca="1">31626.3176565241*((RANDBETWEEN(2979,3282)))</f>
        <v>95321721.416763783</v>
      </c>
      <c r="B14449">
        <v>148924096.09494689</v>
      </c>
    </row>
    <row r="14450" spans="1:2" x14ac:dyDescent="0.25">
      <c r="A14450">
        <f ca="1">34524.8665390622*((RANDBETWEEN(2979,3282)))</f>
        <v>111377219.4550146</v>
      </c>
      <c r="B14450">
        <v>167239786.42460459</v>
      </c>
    </row>
    <row r="14451" spans="1:2" x14ac:dyDescent="0.25">
      <c r="A14451">
        <f ca="1">31371.3453775729*((RANDBETWEEN(2979,3282)))</f>
        <v>96874714.525945127</v>
      </c>
      <c r="B14451">
        <v>191424752.67017204</v>
      </c>
    </row>
    <row r="14452" spans="1:2" x14ac:dyDescent="0.25">
      <c r="A14452">
        <f ca="1">34011.0833913675*((RANDBETWEEN(2979,3282)))</f>
        <v>108461344.93507105</v>
      </c>
      <c r="B14452">
        <v>194648901.41948843</v>
      </c>
    </row>
    <row r="14453" spans="1:2" x14ac:dyDescent="0.25">
      <c r="A14453">
        <f ca="1">31348.9980393325*((RANDBETWEEN(2979,3282)))</f>
        <v>97746175.88663882</v>
      </c>
      <c r="B14453">
        <v>147677368.98838031</v>
      </c>
    </row>
    <row r="14454" spans="1:2" x14ac:dyDescent="0.25">
      <c r="A14454">
        <f ca="1">31237.7649410683*((RANDBETWEEN(2979,3282)))</f>
        <v>97055735.671899125</v>
      </c>
      <c r="B14454">
        <v>180368959.99599099</v>
      </c>
    </row>
    <row r="14455" spans="1:2" x14ac:dyDescent="0.25">
      <c r="A14455">
        <f ca="1">30288.700373601*((RANDBETWEEN(2979,3282)))</f>
        <v>91017544.622670859</v>
      </c>
      <c r="B14455">
        <v>163330389.91348869</v>
      </c>
    </row>
    <row r="14456" spans="1:2" x14ac:dyDescent="0.25">
      <c r="A14456">
        <f ca="1">38493.9368521352*((RANDBETWEEN(2979,3282)))</f>
        <v>126298606.81185561</v>
      </c>
      <c r="B14456">
        <v>166742955.05194241</v>
      </c>
    </row>
    <row r="14457" spans="1:2" x14ac:dyDescent="0.25">
      <c r="A14457">
        <f ca="1">32130.2352476927*((RANDBETWEEN(2979,3282)))</f>
        <v>102302669.02865368</v>
      </c>
      <c r="B14457">
        <v>166129525.44367811</v>
      </c>
    </row>
    <row r="14458" spans="1:2" x14ac:dyDescent="0.25">
      <c r="A14458">
        <f ca="1">31862.5757618925*((RANDBETWEEN(2979,3282)))</f>
        <v>98614671.983057335</v>
      </c>
      <c r="B14458">
        <v>160783628.05451366</v>
      </c>
    </row>
    <row r="14459" spans="1:2" x14ac:dyDescent="0.25">
      <c r="A14459">
        <f ca="1">32917.542640421*((RANDBETWEEN(2979,3282)))</f>
        <v>105665311.8757513</v>
      </c>
      <c r="B14459">
        <v>164071431.85445863</v>
      </c>
    </row>
    <row r="14460" spans="1:2" x14ac:dyDescent="0.25">
      <c r="A14460">
        <f ca="1">35484.3118316714*((RANDBETWEEN(2979,3282)))</f>
        <v>106594872.74234079</v>
      </c>
      <c r="B14460">
        <v>169432281.73757738</v>
      </c>
    </row>
    <row r="14461" spans="1:2" x14ac:dyDescent="0.25">
      <c r="A14461">
        <f ca="1">33782.5205733928*((RANDBETWEEN(2979,3282)))</f>
        <v>107090590.21765526</v>
      </c>
      <c r="B14461">
        <v>173787328.91034698</v>
      </c>
    </row>
    <row r="14462" spans="1:2" x14ac:dyDescent="0.25">
      <c r="A14462">
        <f ca="1">31348.8399626721*((RANDBETWEEN(2979,3282)))</f>
        <v>94360008.287642971</v>
      </c>
      <c r="B14462">
        <v>174276874.21930176</v>
      </c>
    </row>
    <row r="14463" spans="1:2" x14ac:dyDescent="0.25">
      <c r="A14463">
        <f ca="1">32665.9630670403*((RANDBETWEEN(2979,3282)))</f>
        <v>100121176.80047847</v>
      </c>
      <c r="B14463">
        <v>165937647.13566482</v>
      </c>
    </row>
    <row r="14464" spans="1:2" x14ac:dyDescent="0.25">
      <c r="A14464">
        <f ca="1">33418.8036235755*((RANDBETWEEN(2979,3282)))</f>
        <v>108343761.34763193</v>
      </c>
      <c r="B14464">
        <v>202487508.77894071</v>
      </c>
    </row>
    <row r="14465" spans="1:2" x14ac:dyDescent="0.25">
      <c r="A14465">
        <f ca="1">42873.5639717125*((RANDBETWEEN(2979,3282)))</f>
        <v>135308967.89472473</v>
      </c>
      <c r="B14465">
        <v>186466816.36203045</v>
      </c>
    </row>
    <row r="14466" spans="1:2" x14ac:dyDescent="0.25">
      <c r="A14466">
        <f ca="1">29939.1833279864*((RANDBETWEEN(2979,3282)))</f>
        <v>90595968.750486851</v>
      </c>
      <c r="B14466">
        <v>175145713.98327488</v>
      </c>
    </row>
    <row r="14467" spans="1:2" x14ac:dyDescent="0.25">
      <c r="A14467">
        <f ca="1">30475.9350413451*((RANDBETWEEN(2979,3282)))</f>
        <v>92433510.980399832</v>
      </c>
      <c r="B14467">
        <v>150100284.13973492</v>
      </c>
    </row>
    <row r="14468" spans="1:2" x14ac:dyDescent="0.25">
      <c r="A14468">
        <f ca="1">31668.7437106329*((RANDBETWEEN(2979,3282)))</f>
        <v>94911224.900766656</v>
      </c>
      <c r="B14468">
        <v>153313201.81748307</v>
      </c>
    </row>
    <row r="14469" spans="1:2" x14ac:dyDescent="0.25">
      <c r="A14469">
        <f ca="1">32132.1592153889*((RANDBETWEEN(2979,3282)))</f>
        <v>104461649.60922945</v>
      </c>
      <c r="B14469">
        <v>154616023.87095335</v>
      </c>
    </row>
    <row r="14470" spans="1:2" x14ac:dyDescent="0.25">
      <c r="A14470">
        <f ca="1">38334.1325012728*((RANDBETWEEN(2979,3282)))</f>
        <v>120445844.31899922</v>
      </c>
      <c r="B14470">
        <v>162697705.94136411</v>
      </c>
    </row>
    <row r="14471" spans="1:2" x14ac:dyDescent="0.25">
      <c r="A14471">
        <f ca="1">29766.3782593748*((RANDBETWEEN(2979,3282)))</f>
        <v>95252410.429999366</v>
      </c>
      <c r="B14471">
        <v>191319089.00031328</v>
      </c>
    </row>
    <row r="14472" spans="1:2" x14ac:dyDescent="0.25">
      <c r="A14472">
        <f ca="1">37829.9441091264*((RANDBETWEEN(2979,3282)))</f>
        <v>114549070.76243477</v>
      </c>
      <c r="B14472">
        <v>187162503.51094937</v>
      </c>
    </row>
    <row r="14473" spans="1:2" x14ac:dyDescent="0.25">
      <c r="A14473">
        <f ca="1">37325.8951361488*((RANDBETWEEN(2979,3282)))</f>
        <v>115822252.60746975</v>
      </c>
      <c r="B14473">
        <v>202313833.42836851</v>
      </c>
    </row>
    <row r="14474" spans="1:2" x14ac:dyDescent="0.25">
      <c r="A14474">
        <f ca="1">31596.5558932352*((RANDBETWEEN(2979,3282)))</f>
        <v>99845116.622623086</v>
      </c>
      <c r="B14474">
        <v>161851693.16630971</v>
      </c>
    </row>
    <row r="14475" spans="1:2" x14ac:dyDescent="0.25">
      <c r="A14475">
        <f ca="1">35754.4062587659*((RANDBETWEEN(2979,3282)))</f>
        <v>113627503.09035791</v>
      </c>
      <c r="B14475">
        <v>150205651.08870846</v>
      </c>
    </row>
    <row r="14476" spans="1:2" x14ac:dyDescent="0.25">
      <c r="A14476">
        <f ca="1">30168.1666900256*((RANDBETWEEN(2979,3282)))</f>
        <v>94335857.239709988</v>
      </c>
      <c r="B14476">
        <v>157716712.63619733</v>
      </c>
    </row>
    <row r="14477" spans="1:2" x14ac:dyDescent="0.25">
      <c r="A14477">
        <f ca="1">36292.7928272967*((RANDBETWEEN(2979,3282)))</f>
        <v>117334599.21065019</v>
      </c>
      <c r="B14477">
        <v>198122021.66788644</v>
      </c>
    </row>
    <row r="14478" spans="1:2" x14ac:dyDescent="0.25">
      <c r="A14478">
        <f ca="1">29777.9063295151*((RANDBETWEEN(2979,3282)))</f>
        <v>96033747.912686378</v>
      </c>
      <c r="B14478">
        <v>175786857.75972861</v>
      </c>
    </row>
    <row r="14479" spans="1:2" x14ac:dyDescent="0.25">
      <c r="A14479">
        <f ca="1">35890.2482107719*((RANDBETWEEN(2979,3282)))</f>
        <v>110326622.99991272</v>
      </c>
      <c r="B14479">
        <v>176050128.40274799</v>
      </c>
    </row>
    <row r="14480" spans="1:2" x14ac:dyDescent="0.25">
      <c r="A14480">
        <f ca="1">40373.8706402298*((RANDBETWEEN(2979,3282)))</f>
        <v>131861061.51099068</v>
      </c>
      <c r="B14480">
        <v>171525846.64532799</v>
      </c>
    </row>
    <row r="14481" spans="1:2" x14ac:dyDescent="0.25">
      <c r="A14481">
        <f ca="1">31551.5666992706*((RANDBETWEEN(2979,3282)))</f>
        <v>99450538.236101076</v>
      </c>
      <c r="B14481">
        <v>149234924.12040439</v>
      </c>
    </row>
    <row r="14482" spans="1:2" x14ac:dyDescent="0.25">
      <c r="A14482">
        <f ca="1">35024.5091721883*((RANDBETWEEN(2979,3282)))</f>
        <v>111342914.65838647</v>
      </c>
      <c r="B14482">
        <v>159209539.07187992</v>
      </c>
    </row>
    <row r="14483" spans="1:2" x14ac:dyDescent="0.25">
      <c r="A14483">
        <f ca="1">32849.7902811666*((RANDBETWEEN(2979,3282)))</f>
        <v>102721294.20920795</v>
      </c>
      <c r="B14483">
        <v>162057793.26168489</v>
      </c>
    </row>
    <row r="14484" spans="1:2" x14ac:dyDescent="0.25">
      <c r="A14484">
        <f ca="1">35284.3511798616*((RANDBETWEEN(2979,3282)))</f>
        <v>113862601.25741351</v>
      </c>
      <c r="B14484">
        <v>161292759.98573798</v>
      </c>
    </row>
    <row r="14485" spans="1:2" x14ac:dyDescent="0.25">
      <c r="A14485">
        <f ca="1">32344.414367261*((RANDBETWEEN(2979,3282)))</f>
        <v>101399739.04136315</v>
      </c>
      <c r="B14485">
        <v>154222543.16281241</v>
      </c>
    </row>
    <row r="14486" spans="1:2" x14ac:dyDescent="0.25">
      <c r="A14486">
        <f ca="1">34418.4718716771*((RANDBETWEEN(2979,3282)))</f>
        <v>108659115.69888464</v>
      </c>
      <c r="B14486">
        <v>149918564.87843579</v>
      </c>
    </row>
    <row r="14487" spans="1:2" x14ac:dyDescent="0.25">
      <c r="A14487">
        <f ca="1">36348.7724424426*((RANDBETWEEN(2979,3282)))</f>
        <v>110318524.36281332</v>
      </c>
      <c r="B14487">
        <v>188665525.34074748</v>
      </c>
    </row>
    <row r="14488" spans="1:2" x14ac:dyDescent="0.25">
      <c r="A14488">
        <f ca="1">32286.251153826*((RANDBETWEEN(2979,3282)))</f>
        <v>97246188.475323975</v>
      </c>
      <c r="B14488">
        <v>187965758.31615022</v>
      </c>
    </row>
    <row r="14489" spans="1:2" x14ac:dyDescent="0.25">
      <c r="A14489">
        <f ca="1">34747.6964867626*((RANDBETWEEN(2979,3282)))</f>
        <v>109976459.38060358</v>
      </c>
      <c r="B14489">
        <v>176343883.48881245</v>
      </c>
    </row>
    <row r="14490" spans="1:2" x14ac:dyDescent="0.25">
      <c r="A14490">
        <f ca="1">31438.5224829884*((RANDBETWEEN(2979,3282)))</f>
        <v>95478792.780835897</v>
      </c>
      <c r="B14490">
        <v>160135972.82123739</v>
      </c>
    </row>
    <row r="14491" spans="1:2" x14ac:dyDescent="0.25">
      <c r="A14491">
        <f ca="1">34380.0679027417*((RANDBETWEEN(2979,3282)))</f>
        <v>106062509.47995821</v>
      </c>
      <c r="B14491">
        <v>196223071.35537741</v>
      </c>
    </row>
    <row r="14492" spans="1:2" x14ac:dyDescent="0.25">
      <c r="A14492">
        <f ca="1">39282.7019554502*((RANDBETWEEN(2979,3282)))</f>
        <v>118594477.20350407</v>
      </c>
      <c r="B14492">
        <v>160749121.84295622</v>
      </c>
    </row>
    <row r="14493" spans="1:2" x14ac:dyDescent="0.25">
      <c r="A14493">
        <f ca="1">30590.5070173491*((RANDBETWEEN(2979,3282)))</f>
        <v>94310533.134487391</v>
      </c>
      <c r="B14493">
        <v>161211708.29782307</v>
      </c>
    </row>
    <row r="14494" spans="1:2" x14ac:dyDescent="0.25">
      <c r="A14494">
        <f ca="1">40010.3141687316*((RANDBETWEEN(2979,3282)))</f>
        <v>119710859.99284481</v>
      </c>
      <c r="B14494">
        <v>163308048.42851818</v>
      </c>
    </row>
    <row r="14495" spans="1:2" x14ac:dyDescent="0.25">
      <c r="A14495">
        <f ca="1">35588.5782068462*((RANDBETWEEN(2979,3282)))</f>
        <v>110253415.28480962</v>
      </c>
      <c r="B14495">
        <v>169541228.15658879</v>
      </c>
    </row>
    <row r="14496" spans="1:2" x14ac:dyDescent="0.25">
      <c r="A14496">
        <f ca="1">29464.6175710123*((RANDBETWEEN(2979,3282)))</f>
        <v>90957274.441714823</v>
      </c>
      <c r="B14496">
        <v>154756430.15673965</v>
      </c>
    </row>
    <row r="14497" spans="1:2" x14ac:dyDescent="0.25">
      <c r="A14497">
        <f ca="1">29065.9856352026*((RANDBETWEEN(2979,3282)))</f>
        <v>90744007.153102443</v>
      </c>
      <c r="B14497">
        <v>189905150.65266427</v>
      </c>
    </row>
    <row r="14498" spans="1:2" x14ac:dyDescent="0.25">
      <c r="A14498">
        <f ca="1">37029.0903512198*((RANDBETWEEN(2979,3282)))</f>
        <v>113753365.55894738</v>
      </c>
      <c r="B14498">
        <v>172869767.81978363</v>
      </c>
    </row>
    <row r="14499" spans="1:2" x14ac:dyDescent="0.25">
      <c r="A14499">
        <f ca="1">40448.2899649796*((RANDBETWEEN(2979,3282)))</f>
        <v>132710839.375098</v>
      </c>
      <c r="B14499">
        <v>170203582.8222405</v>
      </c>
    </row>
    <row r="14500" spans="1:2" x14ac:dyDescent="0.25">
      <c r="A14500">
        <f ca="1">32030.0721491749*((RANDBETWEEN(2979,3282)))</f>
        <v>104962546.4328462</v>
      </c>
      <c r="B14500">
        <v>146081423.1468485</v>
      </c>
    </row>
    <row r="14501" spans="1:2" x14ac:dyDescent="0.25">
      <c r="A14501">
        <f ca="1">31556.5404789037*((RANDBETWEEN(2979,3282)))</f>
        <v>101706729.96350652</v>
      </c>
      <c r="B14501">
        <v>147550610.7495518</v>
      </c>
    </row>
    <row r="14502" spans="1:2" x14ac:dyDescent="0.25">
      <c r="A14502">
        <f ca="1">30556.1631705556*((RANDBETWEEN(2979,3282)))</f>
        <v>93776864.770435065</v>
      </c>
      <c r="B14502">
        <v>148453948.71019006</v>
      </c>
    </row>
    <row r="14503" spans="1:2" x14ac:dyDescent="0.25">
      <c r="A14503">
        <f ca="1">31220.4534470654*((RANDBETWEEN(2979,3282)))</f>
        <v>93193053.539490268</v>
      </c>
      <c r="B14503">
        <v>178784034.04314426</v>
      </c>
    </row>
    <row r="14504" spans="1:2" x14ac:dyDescent="0.25">
      <c r="A14504">
        <f ca="1">31304.8666527813*((RANDBETWEEN(2979,3282)))</f>
        <v>97389440.156802759</v>
      </c>
      <c r="B14504">
        <v>149694896.52150983</v>
      </c>
    </row>
    <row r="14505" spans="1:2" x14ac:dyDescent="0.25">
      <c r="A14505">
        <f ca="1">32555.5281916028*((RANDBETWEEN(2979,3282)))</f>
        <v>101150026.09130995</v>
      </c>
      <c r="B14505">
        <v>175629044.56374446</v>
      </c>
    </row>
    <row r="14506" spans="1:2" x14ac:dyDescent="0.25">
      <c r="A14506">
        <f ca="1">28175.7355875552*((RANDBETWEEN(2979,3282)))</f>
        <v>85626060.450580209</v>
      </c>
      <c r="B14506">
        <v>194016888.90056199</v>
      </c>
    </row>
    <row r="14507" spans="1:2" x14ac:dyDescent="0.25">
      <c r="A14507">
        <f ca="1">31409.6080324317*((RANDBETWEEN(2979,3282)))</f>
        <v>98626169.221835509</v>
      </c>
      <c r="B14507">
        <v>157311720.20245028</v>
      </c>
    </row>
    <row r="14508" spans="1:2" x14ac:dyDescent="0.25">
      <c r="A14508">
        <f ca="1">31746.8523681025*((RANDBETWEEN(2979,3282)))</f>
        <v>102256611.47765802</v>
      </c>
      <c r="B14508">
        <v>144614089.37756065</v>
      </c>
    </row>
    <row r="14509" spans="1:2" x14ac:dyDescent="0.25">
      <c r="A14509">
        <f ca="1">30435.451950163*((RANDBETWEEN(2979,3282)))</f>
        <v>96936914.461269304</v>
      </c>
      <c r="B14509">
        <v>195830658.81978399</v>
      </c>
    </row>
    <row r="14510" spans="1:2" x14ac:dyDescent="0.25">
      <c r="A14510">
        <f ca="1">32331.4244580896*((RANDBETWEEN(2979,3282)))</f>
        <v>105723757.97795284</v>
      </c>
      <c r="B14510">
        <v>180067778.61448652</v>
      </c>
    </row>
    <row r="14511" spans="1:2" x14ac:dyDescent="0.25">
      <c r="A14511">
        <f ca="1">36137.7859137614*((RANDBETWEEN(2979,3282)))</f>
        <v>114267679.05931377</v>
      </c>
      <c r="B14511">
        <v>158132791.85342306</v>
      </c>
    </row>
    <row r="14512" spans="1:2" x14ac:dyDescent="0.25">
      <c r="A14512">
        <f ca="1">28525.7880213442*((RANDBETWEEN(2979,3282)))</f>
        <v>90940212.212045193</v>
      </c>
      <c r="B14512">
        <v>151143542.4695133</v>
      </c>
    </row>
    <row r="14513" spans="1:2" x14ac:dyDescent="0.25">
      <c r="A14513">
        <f ca="1">38083.3049709154*((RANDBETWEEN(2979,3282)))</f>
        <v>123580324.6306206</v>
      </c>
      <c r="B14513">
        <v>159633185.40391412</v>
      </c>
    </row>
    <row r="14514" spans="1:2" x14ac:dyDescent="0.25">
      <c r="A14514">
        <f ca="1">35042.022950238*((RANDBETWEEN(2979,3282)))</f>
        <v>108560187.09983759</v>
      </c>
      <c r="B14514">
        <v>153048633.17720804</v>
      </c>
    </row>
    <row r="14515" spans="1:2" x14ac:dyDescent="0.25">
      <c r="A14515">
        <f ca="1">31966.6545342472*((RANDBETWEEN(2979,3282)))</f>
        <v>95995863.566344231</v>
      </c>
      <c r="B14515">
        <v>143653481.4697445</v>
      </c>
    </row>
    <row r="14516" spans="1:2" x14ac:dyDescent="0.25">
      <c r="A14516">
        <f ca="1">29802.2719314248*((RANDBETWEEN(2979,3282)))</f>
        <v>96827581.505199164</v>
      </c>
      <c r="B14516">
        <v>183689057.66222805</v>
      </c>
    </row>
    <row r="14517" spans="1:2" x14ac:dyDescent="0.25">
      <c r="A14517">
        <f ca="1">33615.5797811769*((RANDBETWEEN(2979,3282)))</f>
        <v>101787975.57740372</v>
      </c>
      <c r="B14517">
        <v>162647726.83370548</v>
      </c>
    </row>
    <row r="14518" spans="1:2" x14ac:dyDescent="0.25">
      <c r="A14518">
        <f ca="1">29584.1819624491*((RANDBETWEEN(2979,3282)))</f>
        <v>92923915.54405275</v>
      </c>
      <c r="B14518">
        <v>150606675.05762342</v>
      </c>
    </row>
    <row r="14519" spans="1:2" x14ac:dyDescent="0.25">
      <c r="A14519">
        <f ca="1">32144.0353325352*((RANDBETWEEN(2979,3282)))</f>
        <v>96560682.138935715</v>
      </c>
      <c r="B14519">
        <v>184493845.36501199</v>
      </c>
    </row>
    <row r="14520" spans="1:2" x14ac:dyDescent="0.25">
      <c r="A14520">
        <f ca="1">33191.8055116064*((RANDBETWEEN(2979,3282)))</f>
        <v>108338053.18988343</v>
      </c>
      <c r="B14520">
        <v>158952641.56132483</v>
      </c>
    </row>
    <row r="14521" spans="1:2" x14ac:dyDescent="0.25">
      <c r="A14521">
        <f ca="1">30465.5794001186*((RANDBETWEEN(2979,3282)))</f>
        <v>93072345.067362368</v>
      </c>
      <c r="B14521">
        <v>148736635.63316843</v>
      </c>
    </row>
    <row r="14522" spans="1:2" x14ac:dyDescent="0.25">
      <c r="A14522">
        <f ca="1">30894.0652251592*((RANDBETWEEN(2979,3282)))</f>
        <v>95709814.067543253</v>
      </c>
      <c r="B14522">
        <v>164294300.67284486</v>
      </c>
    </row>
    <row r="14523" spans="1:2" x14ac:dyDescent="0.25">
      <c r="A14523">
        <f ca="1">34731.5361004943*((RANDBETWEEN(2979,3282)))</f>
        <v>113572123.04861626</v>
      </c>
      <c r="B14523">
        <v>184990943.83592504</v>
      </c>
    </row>
    <row r="14524" spans="1:2" x14ac:dyDescent="0.25">
      <c r="A14524">
        <f ca="1">33660.5251028748*((RANDBETWEEN(2979,3282)))</f>
        <v>102597280.51356235</v>
      </c>
      <c r="B14524">
        <v>149336219.37708044</v>
      </c>
    </row>
    <row r="14525" spans="1:2" x14ac:dyDescent="0.25">
      <c r="A14525">
        <f ca="1">36887.8095726658*((RANDBETWEEN(2979,3282)))</f>
        <v>116786805.10705993</v>
      </c>
      <c r="B14525">
        <v>145537814.20706645</v>
      </c>
    </row>
    <row r="14526" spans="1:2" x14ac:dyDescent="0.25">
      <c r="A14526">
        <f ca="1">30548.8872967161*((RANDBETWEEN(2979,3282)))</f>
        <v>95129235.041973904</v>
      </c>
      <c r="B14526">
        <v>161365591.73292261</v>
      </c>
    </row>
    <row r="14527" spans="1:2" x14ac:dyDescent="0.25">
      <c r="A14527">
        <f ca="1">37202.3500024423*((RANDBETWEEN(2979,3282)))</f>
        <v>113950798.05748092</v>
      </c>
      <c r="B14527">
        <v>187544002.474554</v>
      </c>
    </row>
    <row r="14528" spans="1:2" x14ac:dyDescent="0.25">
      <c r="A14528">
        <f ca="1">29572.8629844529*((RANDBETWEEN(2979,3282)))</f>
        <v>91468865.210912898</v>
      </c>
      <c r="B14528">
        <v>159682829.40448731</v>
      </c>
    </row>
    <row r="14529" spans="1:2" x14ac:dyDescent="0.25">
      <c r="A14529">
        <f ca="1">40269.1884677187*((RANDBETWEEN(2979,3282)))</f>
        <v>124512330.74218614</v>
      </c>
      <c r="B14529">
        <v>183532546.25521293</v>
      </c>
    </row>
    <row r="14530" spans="1:2" x14ac:dyDescent="0.25">
      <c r="A14530">
        <f ca="1">33997.9310140248*((RANDBETWEEN(2979,3282)))</f>
        <v>101279836.49077974</v>
      </c>
      <c r="B14530">
        <v>167607418.6900014</v>
      </c>
    </row>
    <row r="14531" spans="1:2" x14ac:dyDescent="0.25">
      <c r="A14531">
        <f ca="1">33864.8281180258*((RANDBETWEEN(2979,3282)))</f>
        <v>108299720.32144657</v>
      </c>
      <c r="B14531">
        <v>182788680.62286535</v>
      </c>
    </row>
    <row r="14532" spans="1:2" x14ac:dyDescent="0.25">
      <c r="A14532">
        <f ca="1">38888.7524464677*((RANDBETWEEN(2979,3282)))</f>
        <v>115966259.79536682</v>
      </c>
      <c r="B14532">
        <v>179514555.24596512</v>
      </c>
    </row>
    <row r="14533" spans="1:2" x14ac:dyDescent="0.25">
      <c r="A14533">
        <f ca="1">40137.3940573582*((RANDBETWEEN(2979,3282)))</f>
        <v>124947707.70055604</v>
      </c>
      <c r="B14533">
        <v>190158724.15889165</v>
      </c>
    </row>
    <row r="14534" spans="1:2" x14ac:dyDescent="0.25">
      <c r="A14534">
        <f ca="1">31429.3604883846*((RANDBETWEEN(2979,3282)))</f>
        <v>99599643.387690708</v>
      </c>
      <c r="B14534">
        <v>159778222.64958599</v>
      </c>
    </row>
    <row r="14535" spans="1:2" x14ac:dyDescent="0.25">
      <c r="A14535">
        <f ca="1">32778.1299528626*((RANDBETWEEN(2979,3282)))</f>
        <v>100563302.69538234</v>
      </c>
      <c r="B14535">
        <v>187975249.2206561</v>
      </c>
    </row>
    <row r="14536" spans="1:2" x14ac:dyDescent="0.25">
      <c r="A14536">
        <f ca="1">32339.7732484362*((RANDBETWEEN(2979,3282)))</f>
        <v>100447335.70964284</v>
      </c>
      <c r="B14536">
        <v>182742896.30311084</v>
      </c>
    </row>
    <row r="14537" spans="1:2" x14ac:dyDescent="0.25">
      <c r="A14537">
        <f ca="1">34445.593946613*((RANDBETWEEN(2979,3282)))</f>
        <v>106781341.23450021</v>
      </c>
      <c r="B14537">
        <v>192175943.64107499</v>
      </c>
    </row>
    <row r="14538" spans="1:2" x14ac:dyDescent="0.25">
      <c r="A14538">
        <f ca="1">37452.1918771169*((RANDBETWEEN(2979,3282)))</f>
        <v>122618476.20568065</v>
      </c>
      <c r="B14538">
        <v>199594249.56059927</v>
      </c>
    </row>
    <row r="14539" spans="1:2" x14ac:dyDescent="0.25">
      <c r="A14539">
        <f ca="1">32570.7880459947*((RANDBETWEEN(2979,3282)))</f>
        <v>101523146.33936544</v>
      </c>
      <c r="B14539">
        <v>188236802.95761409</v>
      </c>
    </row>
    <row r="14540" spans="1:2" x14ac:dyDescent="0.25">
      <c r="A14540">
        <f ca="1">32185.8329838143*((RANDBETWEEN(2979,3282)))</f>
        <v>98939250.592245027</v>
      </c>
      <c r="B14540">
        <v>186666750.48641187</v>
      </c>
    </row>
    <row r="14541" spans="1:2" x14ac:dyDescent="0.25">
      <c r="A14541">
        <f ca="1">34131.7449332076*((RANDBETWEEN(2979,3282)))</f>
        <v>103385055.40268579</v>
      </c>
      <c r="B14541">
        <v>167152135.54214728</v>
      </c>
    </row>
    <row r="14542" spans="1:2" x14ac:dyDescent="0.25">
      <c r="A14542">
        <f ca="1">30547.1204482642*((RANDBETWEEN(2979,3282)))</f>
        <v>99889083.865823925</v>
      </c>
      <c r="B14542">
        <v>172001488.55784559</v>
      </c>
    </row>
    <row r="14543" spans="1:2" x14ac:dyDescent="0.25">
      <c r="A14543">
        <f ca="1">41219.5037789363*((RANDBETWEEN(2979,3282)))</f>
        <v>126626315.60889226</v>
      </c>
      <c r="B14543">
        <v>190024952.82008991</v>
      </c>
    </row>
    <row r="14544" spans="1:2" x14ac:dyDescent="0.25">
      <c r="A14544">
        <f ca="1">29335.4196643882*((RANDBETWEEN(2979,3282)))</f>
        <v>92875938.657452971</v>
      </c>
      <c r="B14544">
        <v>158818062.38249016</v>
      </c>
    </row>
    <row r="14545" spans="1:2" x14ac:dyDescent="0.25">
      <c r="A14545">
        <f ca="1">35139.3783574013*((RANDBETWEEN(2979,3282)))</f>
        <v>114835488.47198738</v>
      </c>
      <c r="B14545">
        <v>165957633.44638449</v>
      </c>
    </row>
    <row r="14546" spans="1:2" x14ac:dyDescent="0.25">
      <c r="A14546">
        <f ca="1">30432.6906386885*((RANDBETWEEN(2979,3282)))</f>
        <v>95893408.202507421</v>
      </c>
      <c r="B14546">
        <v>155182566.86797878</v>
      </c>
    </row>
    <row r="14547" spans="1:2" x14ac:dyDescent="0.25">
      <c r="A14547">
        <f ca="1">32141.4934627224*((RANDBETWEEN(2979,3282)))</f>
        <v>97260159.218197912</v>
      </c>
      <c r="B14547">
        <v>145315468.01432863</v>
      </c>
    </row>
    <row r="14548" spans="1:2" x14ac:dyDescent="0.25">
      <c r="A14548">
        <f ca="1">31261.3211733127*((RANDBETWEEN(2979,3282)))</f>
        <v>96785050.352576032</v>
      </c>
      <c r="B14548">
        <v>184036456.44391575</v>
      </c>
    </row>
    <row r="14549" spans="1:2" x14ac:dyDescent="0.25">
      <c r="A14549">
        <f ca="1">29852.396959464*((RANDBETWEEN(2979,3282)))</f>
        <v>93855936.04055503</v>
      </c>
      <c r="B14549">
        <v>155326393.62222987</v>
      </c>
    </row>
    <row r="14550" spans="1:2" x14ac:dyDescent="0.25">
      <c r="A14550">
        <f ca="1">29411.700079326*((RANDBETWEEN(2979,3282)))</f>
        <v>90882153.245117396</v>
      </c>
      <c r="B14550">
        <v>143478030.85118222</v>
      </c>
    </row>
    <row r="14551" spans="1:2" x14ac:dyDescent="0.25">
      <c r="A14551">
        <f ca="1">34548.5880046922*((RANDBETWEEN(2979,3282)))</f>
        <v>105580484.94233938</v>
      </c>
      <c r="B14551">
        <v>164389488.79762766</v>
      </c>
    </row>
    <row r="14552" spans="1:2" x14ac:dyDescent="0.25">
      <c r="A14552">
        <f ca="1">32262.9330637991*((RANDBETWEEN(2979,3282)))</f>
        <v>102596127.14288105</v>
      </c>
      <c r="B14552">
        <v>163763092.53177494</v>
      </c>
    </row>
    <row r="14553" spans="1:2" x14ac:dyDescent="0.25">
      <c r="A14553">
        <f ca="1">34725.9141573398*((RANDBETWEEN(2979,3282)))</f>
        <v>107476704.31696682</v>
      </c>
      <c r="B14553">
        <v>165495769.2657679</v>
      </c>
    </row>
    <row r="14554" spans="1:2" x14ac:dyDescent="0.25">
      <c r="A14554">
        <f ca="1">28553.2526923289*((RANDBETWEEN(2979,3282)))</f>
        <v>91313302.110067785</v>
      </c>
      <c r="B14554">
        <v>190569594.78515553</v>
      </c>
    </row>
    <row r="14555" spans="1:2" x14ac:dyDescent="0.25">
      <c r="A14555">
        <f ca="1">36922.9331965181*((RANDBETWEEN(2979,3282)))</f>
        <v>110990337.18873346</v>
      </c>
      <c r="B14555">
        <v>158861837.72413728</v>
      </c>
    </row>
    <row r="14556" spans="1:2" x14ac:dyDescent="0.25">
      <c r="A14556">
        <f ca="1">37735.2371605169*((RANDBETWEEN(2979,3282)))</f>
        <v>121998021.739951</v>
      </c>
      <c r="B14556">
        <v>181657609.73540422</v>
      </c>
    </row>
    <row r="14557" spans="1:2" x14ac:dyDescent="0.25">
      <c r="A14557">
        <f ca="1">41185.0843765377*((RANDBETWEEN(2979,3282)))</f>
        <v>129279979.85795192</v>
      </c>
      <c r="B14557">
        <v>172994180.55555272</v>
      </c>
    </row>
    <row r="14558" spans="1:2" x14ac:dyDescent="0.25">
      <c r="A14558">
        <f ca="1">39623.7152050383*((RANDBETWEEN(2979,3282)))</f>
        <v>120535341.65372643</v>
      </c>
      <c r="B14558">
        <v>155117244.78899819</v>
      </c>
    </row>
    <row r="14559" spans="1:2" x14ac:dyDescent="0.25">
      <c r="A14559">
        <f ca="1">40718.2001169965*((RANDBETWEEN(2979,3282)))</f>
        <v>121991727.55052148</v>
      </c>
      <c r="B14559">
        <v>192669578.68308255</v>
      </c>
    </row>
    <row r="14560" spans="1:2" x14ac:dyDescent="0.25">
      <c r="A14560">
        <f ca="1">31271.3190763194*((RANDBETWEEN(2979,3282)))</f>
        <v>102413569.97494617</v>
      </c>
      <c r="B14560">
        <v>179615987.2274887</v>
      </c>
    </row>
    <row r="14561" spans="1:2" x14ac:dyDescent="0.25">
      <c r="A14561">
        <f ca="1">35586.770010041*((RANDBETWEEN(2979,3282)))</f>
        <v>115657002.53263323</v>
      </c>
      <c r="B14561">
        <v>149892865.94625029</v>
      </c>
    </row>
    <row r="14562" spans="1:2" x14ac:dyDescent="0.25">
      <c r="A14562">
        <f ca="1">31777.2415032311*((RANDBETWEEN(2979,3282)))</f>
        <v>101115182.46328132</v>
      </c>
      <c r="B14562">
        <v>157333634.11984667</v>
      </c>
    </row>
    <row r="14563" spans="1:2" x14ac:dyDescent="0.25">
      <c r="A14563">
        <f ca="1">32504.8110844179*((RANDBETWEEN(2979,3282)))</f>
        <v>103982890.65905282</v>
      </c>
      <c r="B14563">
        <v>148865459.38665277</v>
      </c>
    </row>
    <row r="14564" spans="1:2" x14ac:dyDescent="0.25">
      <c r="A14564">
        <f ca="1">29224.5163322692*((RANDBETWEEN(2979,3282)))</f>
        <v>91589634.185331687</v>
      </c>
      <c r="B14564">
        <v>143699241.96038926</v>
      </c>
    </row>
    <row r="14565" spans="1:2" x14ac:dyDescent="0.25">
      <c r="A14565">
        <f ca="1">34959.5866516369*((RANDBETWEEN(2979,3282)))</f>
        <v>111066606.79225037</v>
      </c>
      <c r="B14565">
        <v>162672275.03154179</v>
      </c>
    </row>
    <row r="14566" spans="1:2" x14ac:dyDescent="0.25">
      <c r="A14566">
        <f ca="1">38452.0608550409*((RANDBETWEEN(2979,3282)))</f>
        <v>118509251.55523615</v>
      </c>
      <c r="B14566">
        <v>156083895.75915247</v>
      </c>
    </row>
    <row r="14567" spans="1:2" x14ac:dyDescent="0.25">
      <c r="A14567">
        <f ca="1">29947.0657159398*((RANDBETWEEN(2979,3282)))</f>
        <v>91907544.682219103</v>
      </c>
      <c r="B14567">
        <v>198423985.29297823</v>
      </c>
    </row>
    <row r="14568" spans="1:2" x14ac:dyDescent="0.25">
      <c r="A14568">
        <f ca="1">30013.3076672174*((RANDBETWEEN(2979,3282)))</f>
        <v>95802478.073758036</v>
      </c>
      <c r="B14568">
        <v>150079706.62700972</v>
      </c>
    </row>
    <row r="14569" spans="1:2" x14ac:dyDescent="0.25">
      <c r="A14569">
        <f ca="1">32372.592147369*((RANDBETWEEN(2979,3282)))</f>
        <v>102685862.29145442</v>
      </c>
      <c r="B14569">
        <v>159549846.35183793</v>
      </c>
    </row>
    <row r="14570" spans="1:2" x14ac:dyDescent="0.25">
      <c r="A14570">
        <f ca="1">29408.2722896068*((RANDBETWEEN(2979,3282)))</f>
        <v>90253987.656803176</v>
      </c>
      <c r="B14570">
        <v>144185811.1851089</v>
      </c>
    </row>
    <row r="14571" spans="1:2" x14ac:dyDescent="0.25">
      <c r="A14571">
        <f ca="1">39380.0693434568*((RANDBETWEEN(2979,3282)))</f>
        <v>124992340.09613176</v>
      </c>
      <c r="B14571">
        <v>164918522.11848599</v>
      </c>
    </row>
    <row r="14572" spans="1:2" x14ac:dyDescent="0.25">
      <c r="A14572">
        <f ca="1">33796.3680009136*((RANDBETWEEN(2979,3282)))</f>
        <v>108452544.91493179</v>
      </c>
      <c r="B14572">
        <v>197379841.01528484</v>
      </c>
    </row>
    <row r="14573" spans="1:2" x14ac:dyDescent="0.25">
      <c r="A14573">
        <f ca="1">26904.7845663002*((RANDBETWEEN(2979,3282)))</f>
        <v>87063882.856547371</v>
      </c>
      <c r="B14573">
        <v>158550730.46067241</v>
      </c>
    </row>
    <row r="14574" spans="1:2" x14ac:dyDescent="0.25">
      <c r="A14574">
        <f ca="1">40920.5055581866*((RANDBETWEEN(2979,3282)))</f>
        <v>131764027.89736077</v>
      </c>
      <c r="B14574">
        <v>143225598.81878579</v>
      </c>
    </row>
    <row r="14575" spans="1:2" x14ac:dyDescent="0.25">
      <c r="A14575">
        <f ca="1">32482.9554303894*((RANDBETWEEN(2979,3282)))</f>
        <v>102451241.4274482</v>
      </c>
      <c r="B14575">
        <v>174710368.05598018</v>
      </c>
    </row>
    <row r="14576" spans="1:2" x14ac:dyDescent="0.25">
      <c r="A14576">
        <f ca="1">30919.2393407758*((RANDBETWEEN(2979,3282)))</f>
        <v>95416772.605634212</v>
      </c>
      <c r="B14576">
        <v>147587939.45345849</v>
      </c>
    </row>
    <row r="14577" spans="1:2" x14ac:dyDescent="0.25">
      <c r="A14577">
        <f ca="1">36211.1779357121*((RANDBETWEEN(2979,3282)))</f>
        <v>115513657.61492154</v>
      </c>
      <c r="B14577">
        <v>151361703.13301635</v>
      </c>
    </row>
    <row r="14578" spans="1:2" x14ac:dyDescent="0.25">
      <c r="A14578">
        <f ca="1">35782.0468120853*((RANDBETWEEN(2979,3282)))</f>
        <v>114538331.84548502</v>
      </c>
      <c r="B14578">
        <v>144098597.27890772</v>
      </c>
    </row>
    <row r="14579" spans="1:2" x14ac:dyDescent="0.25">
      <c r="A14579">
        <f ca="1">31622.3018663322*((RANDBETWEEN(2979,3282)))</f>
        <v>103721150.12156962</v>
      </c>
      <c r="B14579">
        <v>166123022.76632422</v>
      </c>
    </row>
    <row r="14580" spans="1:2" x14ac:dyDescent="0.25">
      <c r="A14580">
        <f ca="1">33213.2588472434*((RANDBETWEEN(2979,3282)))</f>
        <v>99141577.659021437</v>
      </c>
      <c r="B14580">
        <v>197322114.62352365</v>
      </c>
    </row>
    <row r="14581" spans="1:2" x14ac:dyDescent="0.25">
      <c r="A14581">
        <f ca="1">28711.2430507915*((RANDBETWEEN(2979,3282)))</f>
        <v>90727528.040501162</v>
      </c>
      <c r="B14581">
        <v>155995664.91856205</v>
      </c>
    </row>
    <row r="14582" spans="1:2" x14ac:dyDescent="0.25">
      <c r="A14582">
        <f ca="1">35866.1513748699*((RANDBETWEEN(2979,3282)))</f>
        <v>116923653.48207591</v>
      </c>
      <c r="B14582">
        <v>185639439.32413921</v>
      </c>
    </row>
    <row r="14583" spans="1:2" x14ac:dyDescent="0.25">
      <c r="A14583">
        <f ca="1">33922.4205478452*((RANDBETWEEN(2979,3282)))</f>
        <v>110756703.08871472</v>
      </c>
      <c r="B14583">
        <v>202324649.60291258</v>
      </c>
    </row>
    <row r="14584" spans="1:2" x14ac:dyDescent="0.25">
      <c r="A14584">
        <f ca="1">34500.8343769189*((RANDBETWEEN(2979,3282)))</f>
        <v>108470623.28103311</v>
      </c>
      <c r="B14584">
        <v>201360326.27569062</v>
      </c>
    </row>
    <row r="14585" spans="1:2" x14ac:dyDescent="0.25">
      <c r="A14585">
        <f ca="1">31090.6944923872*((RANDBETWEEN(2979,3282)))</f>
        <v>96878604.03827852</v>
      </c>
      <c r="B14585">
        <v>177627418.780884</v>
      </c>
    </row>
    <row r="14586" spans="1:2" x14ac:dyDescent="0.25">
      <c r="A14586">
        <f ca="1">39235.9457182242*((RANDBETWEEN(2979,3282)))</f>
        <v>122847746.04375994</v>
      </c>
      <c r="B14586">
        <v>146277958.89653116</v>
      </c>
    </row>
    <row r="14587" spans="1:2" x14ac:dyDescent="0.25">
      <c r="A14587">
        <f ca="1">32687.0392211508*((RANDBETWEEN(2979,3282)))</f>
        <v>103846723.60559621</v>
      </c>
      <c r="B14587">
        <v>156974437.13783374</v>
      </c>
    </row>
    <row r="14588" spans="1:2" x14ac:dyDescent="0.25">
      <c r="A14588">
        <f ca="1">30304.6901344275*((RANDBETWEEN(2979,3282)))</f>
        <v>93883930.036456272</v>
      </c>
      <c r="B14588">
        <v>191967173.24102342</v>
      </c>
    </row>
    <row r="14589" spans="1:2" x14ac:dyDescent="0.25">
      <c r="A14589">
        <f ca="1">34250.9469560798*((RANDBETWEEN(2979,3282)))</f>
        <v>106691699.76818848</v>
      </c>
      <c r="B14589">
        <v>148931307.6955702</v>
      </c>
    </row>
    <row r="14590" spans="1:2" x14ac:dyDescent="0.25">
      <c r="A14590">
        <f ca="1">35760.3935630332*((RANDBETWEEN(2979,3282)))</f>
        <v>110928740.83252892</v>
      </c>
      <c r="B14590">
        <v>166699498.98275754</v>
      </c>
    </row>
    <row r="14591" spans="1:2" x14ac:dyDescent="0.25">
      <c r="A14591">
        <f ca="1">31434.1796293194*((RANDBETWEEN(2979,3282)))</f>
        <v>101312360.94529627</v>
      </c>
      <c r="B14591">
        <v>154446735.72490567</v>
      </c>
    </row>
    <row r="14592" spans="1:2" x14ac:dyDescent="0.25">
      <c r="A14592">
        <f ca="1">38555.7614209005*((RANDBETWEEN(2979,3282)))</f>
        <v>122684432.84130543</v>
      </c>
      <c r="B14592">
        <v>153901152.85283324</v>
      </c>
    </row>
    <row r="14593" spans="1:2" x14ac:dyDescent="0.25">
      <c r="A14593">
        <f ca="1">36519.9294004182*((RANDBETWEEN(2979,3282)))</f>
        <v>110107587.14226097</v>
      </c>
      <c r="B14593">
        <v>160408001.14047405</v>
      </c>
    </row>
    <row r="14594" spans="1:2" x14ac:dyDescent="0.25">
      <c r="A14594">
        <f ca="1">32635.5008166405*((RANDBETWEEN(2979,3282)))</f>
        <v>98037044.453188047</v>
      </c>
      <c r="B14594">
        <v>154871529.88440496</v>
      </c>
    </row>
    <row r="14595" spans="1:2" x14ac:dyDescent="0.25">
      <c r="A14595">
        <f ca="1">40638.9782160659*((RANDBETWEEN(2979,3282)))</f>
        <v>123786327.64613669</v>
      </c>
      <c r="B14595">
        <v>154500760.04521444</v>
      </c>
    </row>
    <row r="14596" spans="1:2" x14ac:dyDescent="0.25">
      <c r="A14596">
        <f ca="1">30662.0598785597*((RANDBETWEEN(2979,3282)))</f>
        <v>94469806.485842571</v>
      </c>
      <c r="B14596">
        <v>166609896.88782409</v>
      </c>
    </row>
    <row r="14597" spans="1:2" x14ac:dyDescent="0.25">
      <c r="A14597">
        <f ca="1">31047.143577252*((RANDBETWEEN(2979,3282)))</f>
        <v>95159495.064277381</v>
      </c>
      <c r="B14597">
        <v>201279997.09796429</v>
      </c>
    </row>
    <row r="14598" spans="1:2" x14ac:dyDescent="0.25">
      <c r="A14598">
        <f ca="1">30409.9089993774*((RANDBETWEEN(2979,3282)))</f>
        <v>92506943.176106051</v>
      </c>
      <c r="B14598">
        <v>170571338.35330451</v>
      </c>
    </row>
    <row r="14599" spans="1:2" x14ac:dyDescent="0.25">
      <c r="A14599">
        <f ca="1">28454.5106101457*((RANDBETWEEN(2979,3282)))</f>
        <v>87867528.764129877</v>
      </c>
      <c r="B14599">
        <v>156004759.50221866</v>
      </c>
    </row>
    <row r="14600" spans="1:2" x14ac:dyDescent="0.25">
      <c r="A14600">
        <f ca="1">40014.931191053*((RANDBETWEEN(2979,3282)))</f>
        <v>130248601.02687748</v>
      </c>
      <c r="B14600">
        <v>191782007.09182009</v>
      </c>
    </row>
    <row r="14601" spans="1:2" x14ac:dyDescent="0.25">
      <c r="A14601">
        <f ca="1">31334.4901102344*((RANDBETWEEN(2979,3282)))</f>
        <v>102745793.07145873</v>
      </c>
      <c r="B14601">
        <v>143821974.87874645</v>
      </c>
    </row>
    <row r="14602" spans="1:2" x14ac:dyDescent="0.25">
      <c r="A14602">
        <f ca="1">31743.5566615816*((RANDBETWEEN(2979,3282)))</f>
        <v>94944977.974790707</v>
      </c>
      <c r="B14602">
        <v>147225690.90200448</v>
      </c>
    </row>
    <row r="14603" spans="1:2" x14ac:dyDescent="0.25">
      <c r="A14603">
        <f ca="1">32536.5969759905*((RANDBETWEEN(2979,3282)))</f>
        <v>105255891.21732932</v>
      </c>
      <c r="B14603">
        <v>171752811.27711388</v>
      </c>
    </row>
    <row r="14604" spans="1:2" x14ac:dyDescent="0.25">
      <c r="A14604">
        <f ca="1">40276.4790947142*((RANDBETWEEN(2979,3282)))</f>
        <v>128401415.35394888</v>
      </c>
      <c r="B14604">
        <v>193780387.21900463</v>
      </c>
    </row>
    <row r="14605" spans="1:2" x14ac:dyDescent="0.25">
      <c r="A14605">
        <f ca="1">31904.1122483675*((RANDBETWEEN(2979,3282)))</f>
        <v>103528844.24595261</v>
      </c>
      <c r="B14605">
        <v>170153133.08470726</v>
      </c>
    </row>
    <row r="14606" spans="1:2" x14ac:dyDescent="0.25">
      <c r="A14606">
        <f ca="1">34685.3160596227*((RANDBETWEEN(2979,3282)))</f>
        <v>113698466.04344337</v>
      </c>
      <c r="B14606">
        <v>190455441.66156736</v>
      </c>
    </row>
    <row r="14607" spans="1:2" x14ac:dyDescent="0.25">
      <c r="A14607">
        <f ca="1">31693.7793222979*((RANDBETWEEN(2979,3282)))</f>
        <v>102878007.68017887</v>
      </c>
      <c r="B14607">
        <v>169106543.34333941</v>
      </c>
    </row>
    <row r="14608" spans="1:2" x14ac:dyDescent="0.25">
      <c r="A14608">
        <f ca="1">35199.7609801989*((RANDBETWEEN(2979,3282)))</f>
        <v>104965687.24295317</v>
      </c>
      <c r="B14608">
        <v>198101613.00698447</v>
      </c>
    </row>
    <row r="14609" spans="1:2" x14ac:dyDescent="0.25">
      <c r="A14609">
        <f ca="1">30811.2736440629*((RANDBETWEEN(2979,3282)))</f>
        <v>94128440.982612237</v>
      </c>
      <c r="B14609">
        <v>147504482.63663146</v>
      </c>
    </row>
    <row r="14610" spans="1:2" x14ac:dyDescent="0.25">
      <c r="A14610">
        <f ca="1">32450.1972375018*((RANDBETWEEN(2979,3282)))</f>
        <v>98064496.051730305</v>
      </c>
      <c r="B14610">
        <v>178743256.59096241</v>
      </c>
    </row>
    <row r="14611" spans="1:2" x14ac:dyDescent="0.25">
      <c r="A14611">
        <f ca="1">32560.4061021141*((RANDBETWEEN(2979,3282)))</f>
        <v>101034940.13486019</v>
      </c>
      <c r="B14611">
        <v>161205776.29217196</v>
      </c>
    </row>
    <row r="14612" spans="1:2" x14ac:dyDescent="0.25">
      <c r="A14612">
        <f ca="1">40051.4205098924*((RANDBETWEEN(2979,3282)))</f>
        <v>123879043.63709715</v>
      </c>
      <c r="B14612">
        <v>145292227.86975977</v>
      </c>
    </row>
    <row r="14613" spans="1:2" x14ac:dyDescent="0.25">
      <c r="A14613">
        <f ca="1">31915.324383306*((RANDBETWEEN(2979,3282)))</f>
        <v>96671517.557033882</v>
      </c>
      <c r="B14613">
        <v>146557275.33890632</v>
      </c>
    </row>
    <row r="14614" spans="1:2" x14ac:dyDescent="0.25">
      <c r="A14614">
        <f ca="1">32218.2297763817*((RANDBETWEEN(2979,3282)))</f>
        <v>100359785.75342906</v>
      </c>
      <c r="B14614">
        <v>160436152.61062333</v>
      </c>
    </row>
    <row r="14615" spans="1:2" x14ac:dyDescent="0.25">
      <c r="A14615">
        <f ca="1">32422.0659560826*((RANDBETWEEN(2979,3282)))</f>
        <v>106020155.67639026</v>
      </c>
      <c r="B14615">
        <v>164778368.87758306</v>
      </c>
    </row>
    <row r="14616" spans="1:2" x14ac:dyDescent="0.25">
      <c r="A14616">
        <f ca="1">32580.3050175765*((RANDBETWEEN(2979,3282)))</f>
        <v>100282178.84410036</v>
      </c>
      <c r="B14616">
        <v>182286285.49452674</v>
      </c>
    </row>
    <row r="14617" spans="1:2" x14ac:dyDescent="0.25">
      <c r="A14617">
        <f ca="1">29252.4244848682*((RANDBETWEEN(2979,3282)))</f>
        <v>88985875.282969058</v>
      </c>
      <c r="B14617">
        <v>144482621.61281821</v>
      </c>
    </row>
    <row r="14618" spans="1:2" x14ac:dyDescent="0.25">
      <c r="A14618">
        <f ca="1">37133.3624570681*((RANDBETWEEN(2979,3282)))</f>
        <v>112328421.43263113</v>
      </c>
      <c r="B14618">
        <v>160336968.59694257</v>
      </c>
    </row>
    <row r="14619" spans="1:2" x14ac:dyDescent="0.25">
      <c r="A14619">
        <f ca="1">36361.8099511313*((RANDBETWEEN(2979,3282)))</f>
        <v>111376223.88031523</v>
      </c>
      <c r="B14619">
        <v>143955942.22569972</v>
      </c>
    </row>
    <row r="14620" spans="1:2" x14ac:dyDescent="0.25">
      <c r="A14620">
        <f ca="1">36658.347619646*((RANDBETWEEN(2979,3282)))</f>
        <v>115180528.2209277</v>
      </c>
      <c r="B14620">
        <v>144746664.64773685</v>
      </c>
    </row>
    <row r="14621" spans="1:2" x14ac:dyDescent="0.25">
      <c r="A14621">
        <f ca="1">32485.6670989619*((RANDBETWEEN(2979,3282)))</f>
        <v>98334114.308557585</v>
      </c>
      <c r="B14621">
        <v>165571819.66754258</v>
      </c>
    </row>
    <row r="14622" spans="1:2" x14ac:dyDescent="0.25">
      <c r="A14622">
        <f ca="1">36304.5924342961*((RANDBETWEEN(2979,3282)))</f>
        <v>116791873.86113054</v>
      </c>
      <c r="B14622">
        <v>147772900.03812328</v>
      </c>
    </row>
    <row r="14623" spans="1:2" x14ac:dyDescent="0.25">
      <c r="A14623">
        <f ca="1">27988.5153527907*((RANDBETWEEN(2979,3282)))</f>
        <v>84357385.273311093</v>
      </c>
      <c r="B14623">
        <v>148198738.46694064</v>
      </c>
    </row>
    <row r="14624" spans="1:2" x14ac:dyDescent="0.25">
      <c r="A14624">
        <f ca="1">26861.5380237125*((RANDBETWEEN(2979,3282)))</f>
        <v>83727414.01991196</v>
      </c>
      <c r="B14624">
        <v>161296760.92916706</v>
      </c>
    </row>
    <row r="14625" spans="1:2" x14ac:dyDescent="0.25">
      <c r="A14625">
        <f ca="1">41361.7715421295*((RANDBETWEEN(2979,3282)))</f>
        <v>127931959.37980659</v>
      </c>
      <c r="B14625">
        <v>150002108.39166284</v>
      </c>
    </row>
    <row r="14626" spans="1:2" x14ac:dyDescent="0.25">
      <c r="A14626">
        <f ca="1">39430.4543757295*((RANDBETWEEN(2979,3282)))</f>
        <v>128701003.08238117</v>
      </c>
      <c r="B14626">
        <v>153668586.28418979</v>
      </c>
    </row>
    <row r="14627" spans="1:2" x14ac:dyDescent="0.25">
      <c r="A14627">
        <f ca="1">31426.4645761307*((RANDBETWEEN(2979,3282)))</f>
        <v>98899084.021083355</v>
      </c>
      <c r="B14627">
        <v>145765364.53865138</v>
      </c>
    </row>
    <row r="14628" spans="1:2" x14ac:dyDescent="0.25">
      <c r="A14628">
        <f ca="1">30197.5745014041*((RANDBETWEEN(2979,3282)))</f>
        <v>96571843.255490318</v>
      </c>
      <c r="B14628">
        <v>203347765.34623846</v>
      </c>
    </row>
    <row r="14629" spans="1:2" x14ac:dyDescent="0.25">
      <c r="A14629">
        <f ca="1">39790.9914649072*((RANDBETWEEN(2979,3282)))</f>
        <v>121680851.89968613</v>
      </c>
      <c r="B14629">
        <v>171174404.75267404</v>
      </c>
    </row>
    <row r="14630" spans="1:2" x14ac:dyDescent="0.25">
      <c r="A14630">
        <f ca="1">29577.5749440697*((RANDBETWEEN(2979,3282)))</f>
        <v>91128508.402678862</v>
      </c>
      <c r="B14630">
        <v>187343987.8742739</v>
      </c>
    </row>
    <row r="14631" spans="1:2" x14ac:dyDescent="0.25">
      <c r="A14631">
        <f ca="1">33093.753981471*((RANDBETWEEN(2979,3282)))</f>
        <v>105535981.44691089</v>
      </c>
      <c r="B14631">
        <v>196735868.76979733</v>
      </c>
    </row>
    <row r="14632" spans="1:2" x14ac:dyDescent="0.25">
      <c r="A14632">
        <f ca="1">30190.0123032663*((RANDBETWEEN(2979,3282)))</f>
        <v>90298326.799069464</v>
      </c>
      <c r="B14632">
        <v>149120081.58647048</v>
      </c>
    </row>
    <row r="14633" spans="1:2" x14ac:dyDescent="0.25">
      <c r="A14633">
        <f ca="1">32998.2704569783*((RANDBETWEEN(2979,3282)))</f>
        <v>100116752.56647223</v>
      </c>
      <c r="B14633">
        <v>146132007.44370916</v>
      </c>
    </row>
    <row r="14634" spans="1:2" x14ac:dyDescent="0.25">
      <c r="A14634">
        <f ca="1">36734.1914022242*((RANDBETWEEN(2979,3282)))</f>
        <v>115345361.00298412</v>
      </c>
      <c r="B14634">
        <v>167503524.34731579</v>
      </c>
    </row>
    <row r="14635" spans="1:2" x14ac:dyDescent="0.25">
      <c r="A14635">
        <f ca="1">28995.3243203598*((RANDBETWEEN(2979,3282)))</f>
        <v>87623870.096127197</v>
      </c>
      <c r="B14635">
        <v>154456101.77234703</v>
      </c>
    </row>
    <row r="14636" spans="1:2" x14ac:dyDescent="0.25">
      <c r="A14636">
        <f ca="1">30393.3933278514*((RANDBETWEEN(2979,3282)))</f>
        <v>92122375.176717713</v>
      </c>
      <c r="B14636">
        <v>167960727.00140458</v>
      </c>
    </row>
    <row r="14637" spans="1:2" x14ac:dyDescent="0.25">
      <c r="A14637">
        <f ca="1">33714.7220829136*((RANDBETWEEN(2979,3282)))</f>
        <v>101380169.30332121</v>
      </c>
      <c r="B14637">
        <v>190260563.11138725</v>
      </c>
    </row>
    <row r="14638" spans="1:2" x14ac:dyDescent="0.25">
      <c r="A14638">
        <f ca="1">33140.3817217733*((RANDBETWEEN(2979,3282)))</f>
        <v>106844590.67099726</v>
      </c>
      <c r="B14638">
        <v>162413331.42951688</v>
      </c>
    </row>
    <row r="14639" spans="1:2" x14ac:dyDescent="0.25">
      <c r="A14639">
        <f ca="1">28428.0556995557*((RANDBETWEEN(2979,3282)))</f>
        <v>91936332.132363021</v>
      </c>
      <c r="B14639">
        <v>161108447.83451411</v>
      </c>
    </row>
    <row r="14640" spans="1:2" x14ac:dyDescent="0.25">
      <c r="A14640">
        <f ca="1">37978.5107646158*((RANDBETWEEN(2979,3282)))</f>
        <v>124075794.66799986</v>
      </c>
      <c r="B14640">
        <v>145952740.13783765</v>
      </c>
    </row>
    <row r="14641" spans="1:2" x14ac:dyDescent="0.25">
      <c r="A14641">
        <f ca="1">40833.2852271994*((RANDBETWEEN(2979,3282)))</f>
        <v>126991517.0565902</v>
      </c>
      <c r="B14641">
        <v>197143931.19699258</v>
      </c>
    </row>
    <row r="14642" spans="1:2" x14ac:dyDescent="0.25">
      <c r="A14642">
        <f ca="1">30321.2537033583*((RANDBETWEEN(2979,3282)))</f>
        <v>94966166.598918319</v>
      </c>
      <c r="B14642">
        <v>152352548.35828513</v>
      </c>
    </row>
    <row r="14643" spans="1:2" x14ac:dyDescent="0.25">
      <c r="A14643">
        <f ca="1">33548.3626765792*((RANDBETWEEN(2979,3282)))</f>
        <v>104939278.45233984</v>
      </c>
      <c r="B14643">
        <v>160793167.05526277</v>
      </c>
    </row>
    <row r="14644" spans="1:2" x14ac:dyDescent="0.25">
      <c r="A14644">
        <f ca="1">27720.1495700526*((RANDBETWEEN(2979,3282)))</f>
        <v>84740497.235650942</v>
      </c>
      <c r="B14644">
        <v>187267012.32044381</v>
      </c>
    </row>
    <row r="14645" spans="1:2" x14ac:dyDescent="0.25">
      <c r="A14645">
        <f ca="1">31133.4668105233*((RANDBETWEEN(2979,3282)))</f>
        <v>97977020.052716851</v>
      </c>
      <c r="B14645">
        <v>154689211.20804322</v>
      </c>
    </row>
    <row r="14646" spans="1:2" x14ac:dyDescent="0.25">
      <c r="A14646">
        <f ca="1">34499.8155900324*((RANDBETWEEN(2979,3282)))</f>
        <v>110571908.96605398</v>
      </c>
      <c r="B14646">
        <v>150427307.1180765</v>
      </c>
    </row>
    <row r="14647" spans="1:2" x14ac:dyDescent="0.25">
      <c r="A14647">
        <f ca="1">32527.1513839517*((RANDBETWEEN(2979,3282)))</f>
        <v>103208651.3412789</v>
      </c>
      <c r="B14647">
        <v>148643273.93271303</v>
      </c>
    </row>
    <row r="14648" spans="1:2" x14ac:dyDescent="0.25">
      <c r="A14648">
        <f ca="1">32157.3605449328*((RANDBETWEEN(2979,3282)))</f>
        <v>101456472.51926303</v>
      </c>
      <c r="B14648">
        <v>167790127.90580449</v>
      </c>
    </row>
    <row r="14649" spans="1:2" x14ac:dyDescent="0.25">
      <c r="A14649">
        <f ca="1">31983.2348340878*((RANDBETWEEN(2979,3282)))</f>
        <v>96397469.789940506</v>
      </c>
      <c r="B14649">
        <v>148100474.27953613</v>
      </c>
    </row>
    <row r="14650" spans="1:2" x14ac:dyDescent="0.25">
      <c r="A14650">
        <f ca="1">32486.775679165*((RANDBETWEEN(2979,3282)))</f>
        <v>103372920.21110296</v>
      </c>
      <c r="B14650">
        <v>157052847.38279092</v>
      </c>
    </row>
    <row r="14651" spans="1:2" x14ac:dyDescent="0.25">
      <c r="A14651">
        <f ca="1">36925.0947467909*((RANDBETWEEN(2979,3282)))</f>
        <v>116498673.92612521</v>
      </c>
      <c r="B14651">
        <v>166216739.5206629</v>
      </c>
    </row>
    <row r="14652" spans="1:2" x14ac:dyDescent="0.25">
      <c r="A14652">
        <f ca="1">32691.9329878942*((RANDBETWEEN(2979,3282)))</f>
        <v>105300716.15400712</v>
      </c>
      <c r="B14652">
        <v>180909861.55212077</v>
      </c>
    </row>
    <row r="14653" spans="1:2" x14ac:dyDescent="0.25">
      <c r="A14653">
        <f ca="1">34648.1351426745*((RANDBETWEEN(2979,3282)))</f>
        <v>111636291.4296972</v>
      </c>
      <c r="B14653">
        <v>167715087.03700796</v>
      </c>
    </row>
    <row r="14654" spans="1:2" x14ac:dyDescent="0.25">
      <c r="A14654">
        <f ca="1">35787.6480267154*((RANDBETWEEN(2979,3282)))</f>
        <v>112444790.09993984</v>
      </c>
      <c r="B14654">
        <v>193351144.71674845</v>
      </c>
    </row>
    <row r="14655" spans="1:2" x14ac:dyDescent="0.25">
      <c r="A14655">
        <f ca="1">40979.1262853042*((RANDBETWEEN(2979,3282)))</f>
        <v>124412627.40218353</v>
      </c>
      <c r="B14655">
        <v>148969362.96299011</v>
      </c>
    </row>
    <row r="14656" spans="1:2" x14ac:dyDescent="0.25">
      <c r="A14656">
        <f ca="1">39528.9877729363*((RANDBETWEEN(2979,3282)))</f>
        <v>124239608.57033882</v>
      </c>
      <c r="B14656">
        <v>173408285.52143317</v>
      </c>
    </row>
    <row r="14657" spans="1:2" x14ac:dyDescent="0.25">
      <c r="A14657">
        <f ca="1">31223.8583997159*((RANDBETWEEN(2979,3282)))</f>
        <v>96138260.012725219</v>
      </c>
      <c r="B14657">
        <v>151270643.75103462</v>
      </c>
    </row>
    <row r="14658" spans="1:2" x14ac:dyDescent="0.25">
      <c r="A14658">
        <f ca="1">31601.1646730195*((RANDBETWEEN(2979,3282)))</f>
        <v>99859680.366741568</v>
      </c>
      <c r="B14658">
        <v>146420460.30322623</v>
      </c>
    </row>
    <row r="14659" spans="1:2" x14ac:dyDescent="0.25">
      <c r="A14659">
        <f ca="1">30624.5157742867*((RANDBETWEEN(2979,3282)))</f>
        <v>91567302.165117308</v>
      </c>
      <c r="B14659">
        <v>160402907.30606973</v>
      </c>
    </row>
    <row r="14660" spans="1:2" x14ac:dyDescent="0.25">
      <c r="A14660">
        <f ca="1">31759.2206223147*((RANDBETWEEN(2979,3282)))</f>
        <v>97691362.634240031</v>
      </c>
      <c r="B14660">
        <v>159687803.77178374</v>
      </c>
    </row>
    <row r="14661" spans="1:2" x14ac:dyDescent="0.25">
      <c r="A14661">
        <f ca="1">38302.4951543514*((RANDBETWEEN(2979,3282)))</f>
        <v>125708789.09658115</v>
      </c>
      <c r="B14661">
        <v>158502892.0510124</v>
      </c>
    </row>
    <row r="14662" spans="1:2" x14ac:dyDescent="0.25">
      <c r="A14662">
        <f ca="1">34019.4756395529*((RANDBETWEEN(2979,3282)))</f>
        <v>105188218.67749767</v>
      </c>
      <c r="B14662">
        <v>165740714.75325882</v>
      </c>
    </row>
    <row r="14663" spans="1:2" x14ac:dyDescent="0.25">
      <c r="A14663">
        <f ca="1">30190.0191809144*((RANDBETWEEN(2979,3282)))</f>
        <v>96034451.014488712</v>
      </c>
      <c r="B14663">
        <v>171871954.4078325</v>
      </c>
    </row>
    <row r="14664" spans="1:2" x14ac:dyDescent="0.25">
      <c r="A14664">
        <f ca="1">40049.059350643*((RANDBETWEEN(2979,3282)))</f>
        <v>120187227.11127967</v>
      </c>
      <c r="B14664">
        <v>178286347.57620165</v>
      </c>
    </row>
    <row r="14665" spans="1:2" x14ac:dyDescent="0.25">
      <c r="A14665">
        <f ca="1">33638.4354798295*((RANDBETWEEN(2979,3282)))</f>
        <v>105355579.92282605</v>
      </c>
      <c r="B14665">
        <v>175443349.5203433</v>
      </c>
    </row>
    <row r="14666" spans="1:2" x14ac:dyDescent="0.25">
      <c r="A14666">
        <f ca="1">30056.0218152308*((RANDBETWEEN(2979,3282)))</f>
        <v>91159914.165595114</v>
      </c>
      <c r="B14666">
        <v>194727404.50666612</v>
      </c>
    </row>
    <row r="14667" spans="1:2" x14ac:dyDescent="0.25">
      <c r="A14667">
        <f ca="1">29968.3975171032*((RANDBETWEEN(2979,3282)))</f>
        <v>94220641.793772578</v>
      </c>
      <c r="B14667">
        <v>155825579.14593583</v>
      </c>
    </row>
    <row r="14668" spans="1:2" x14ac:dyDescent="0.25">
      <c r="A14668">
        <f ca="1">32446.2388521483*((RANDBETWEEN(2979,3282)))</f>
        <v>97014254.16792345</v>
      </c>
      <c r="B14668">
        <v>175985959.29930004</v>
      </c>
    </row>
    <row r="14669" spans="1:2" x14ac:dyDescent="0.25">
      <c r="A14669">
        <f ca="1">41400.9123720862*((RANDBETWEEN(2979,3282)))</f>
        <v>128632634.7400717</v>
      </c>
      <c r="B14669">
        <v>175610296.16029382</v>
      </c>
    </row>
    <row r="14670" spans="1:2" x14ac:dyDescent="0.25">
      <c r="A14670">
        <f ca="1">28351.3177746984*((RANDBETWEEN(2979,3282)))</f>
        <v>86698329.755027726</v>
      </c>
      <c r="B14670">
        <v>189454578.5952433</v>
      </c>
    </row>
    <row r="14671" spans="1:2" x14ac:dyDescent="0.25">
      <c r="A14671">
        <f ca="1">37707.1743739555*((RANDBETWEEN(2979,3282)))</f>
        <v>115761025.32804339</v>
      </c>
      <c r="B14671">
        <v>183419272.89713746</v>
      </c>
    </row>
    <row r="14672" spans="1:2" x14ac:dyDescent="0.25">
      <c r="A14672">
        <f ca="1">31617.2419371*((RANDBETWEEN(2979,3282)))</f>
        <v>95705391.343601584</v>
      </c>
      <c r="B14672">
        <v>144802709.82425562</v>
      </c>
    </row>
    <row r="14673" spans="1:2" x14ac:dyDescent="0.25">
      <c r="A14673">
        <f ca="1">39764.5351289407*((RANDBETWEEN(2979,3282)))</f>
        <v>122991707.15381365</v>
      </c>
      <c r="B14673">
        <v>156337096.44839075</v>
      </c>
    </row>
    <row r="14674" spans="1:2" x14ac:dyDescent="0.25">
      <c r="A14674">
        <f ca="1">32244.5630439741*((RANDBETWEEN(2979,3282)))</f>
        <v>101731596.40373823</v>
      </c>
      <c r="B14674">
        <v>161400236.71110976</v>
      </c>
    </row>
    <row r="14675" spans="1:2" x14ac:dyDescent="0.25">
      <c r="A14675">
        <f ca="1">30737.8580305331*((RANDBETWEEN(2979,3282)))</f>
        <v>93135709.832515433</v>
      </c>
      <c r="B14675">
        <v>165306097.55564988</v>
      </c>
    </row>
    <row r="14676" spans="1:2" x14ac:dyDescent="0.25">
      <c r="A14676">
        <f ca="1">37656.744332567*((RANDBETWEEN(2979,3282)))</f>
        <v>113384457.18535931</v>
      </c>
      <c r="B14676">
        <v>181654526.87077576</v>
      </c>
    </row>
    <row r="14677" spans="1:2" x14ac:dyDescent="0.25">
      <c r="A14677">
        <f ca="1">35745.6856068574*((RANDBETWEEN(2979,3282)))</f>
        <v>109381797.95698379</v>
      </c>
      <c r="B14677">
        <v>160685910.46804479</v>
      </c>
    </row>
    <row r="14678" spans="1:2" x14ac:dyDescent="0.25">
      <c r="A14678">
        <f ca="1">34675.6067778201*((RANDBETWEEN(2979,3282)))</f>
        <v>113770665.83802789</v>
      </c>
      <c r="B14678">
        <v>188708918.86060226</v>
      </c>
    </row>
    <row r="14679" spans="1:2" x14ac:dyDescent="0.25">
      <c r="A14679">
        <f ca="1">35199.8977147973*((RANDBETWEEN(2979,3282)))</f>
        <v>111759675.24448149</v>
      </c>
      <c r="B14679">
        <v>148355736.00096592</v>
      </c>
    </row>
    <row r="14680" spans="1:2" x14ac:dyDescent="0.25">
      <c r="A14680">
        <f ca="1">40987.8059519845*((RANDBETWEEN(2979,3282)))</f>
        <v>125545649.63092858</v>
      </c>
      <c r="B14680">
        <v>156685181.35533509</v>
      </c>
    </row>
    <row r="14681" spans="1:2" x14ac:dyDescent="0.25">
      <c r="A14681">
        <f ca="1">39251.6261441166*((RANDBETWEEN(2979,3282)))</f>
        <v>119010930.46896166</v>
      </c>
      <c r="B14681">
        <v>160233038.94063503</v>
      </c>
    </row>
    <row r="14682" spans="1:2" x14ac:dyDescent="0.25">
      <c r="A14682">
        <f ca="1">38918.7148666454*((RANDBETWEEN(2979,3282)))</f>
        <v>127186360.1841971</v>
      </c>
      <c r="B14682">
        <v>161460450.65570658</v>
      </c>
    </row>
    <row r="14683" spans="1:2" x14ac:dyDescent="0.25">
      <c r="A14683">
        <f ca="1">30068.5229526768*((RANDBETWEEN(2979,3282)))</f>
        <v>93783723.089399084</v>
      </c>
      <c r="B14683">
        <v>173345362.55017471</v>
      </c>
    </row>
    <row r="14684" spans="1:2" x14ac:dyDescent="0.25">
      <c r="A14684">
        <f ca="1">33975.310587173*((RANDBETWEEN(2979,3282)))</f>
        <v>110147956.92361481</v>
      </c>
      <c r="B14684">
        <v>149841593.23259747</v>
      </c>
    </row>
    <row r="14685" spans="1:2" x14ac:dyDescent="0.25">
      <c r="A14685">
        <f ca="1">41485.2955949593*((RANDBETWEEN(2979,3282)))</f>
        <v>124372916.19368809</v>
      </c>
      <c r="B14685">
        <v>166630538.84438413</v>
      </c>
    </row>
    <row r="14686" spans="1:2" x14ac:dyDescent="0.25">
      <c r="A14686">
        <f ca="1">40553.8183533152*((RANDBETWEEN(2979,3282)))</f>
        <v>123648592.15925813</v>
      </c>
      <c r="B14686">
        <v>149469983.13082725</v>
      </c>
    </row>
    <row r="14687" spans="1:2" x14ac:dyDescent="0.25">
      <c r="A14687">
        <f ca="1">32242.16873113*((RANDBETWEEN(2979,3282)))</f>
        <v>103723056.80804531</v>
      </c>
      <c r="B14687">
        <v>152976827.75541764</v>
      </c>
    </row>
    <row r="14688" spans="1:2" x14ac:dyDescent="0.25">
      <c r="A14688">
        <f ca="1">33459.0323862685*((RANDBETWEEN(2979,3282)))</f>
        <v>101715458.4542563</v>
      </c>
      <c r="B14688">
        <v>193387221.82815936</v>
      </c>
    </row>
    <row r="14689" spans="1:2" x14ac:dyDescent="0.25">
      <c r="A14689">
        <f ca="1">36918.5730292198*((RANDBETWEEN(2979,3282)))</f>
        <v>117179550.79474351</v>
      </c>
      <c r="B14689">
        <v>164796725.4179846</v>
      </c>
    </row>
    <row r="14690" spans="1:2" x14ac:dyDescent="0.25">
      <c r="A14690">
        <f ca="1">31971.3169910874*((RANDBETWEEN(2979,3282)))</f>
        <v>97480545.505825594</v>
      </c>
      <c r="B14690">
        <v>184252605.35448796</v>
      </c>
    </row>
    <row r="14691" spans="1:2" x14ac:dyDescent="0.25">
      <c r="A14691">
        <f ca="1">39959.539026413*((RANDBETWEEN(2979,3282)))</f>
        <v>126192224.24541238</v>
      </c>
      <c r="B14691">
        <v>158449803.86443713</v>
      </c>
    </row>
    <row r="14692" spans="1:2" x14ac:dyDescent="0.25">
      <c r="A14692">
        <f ca="1">29322.8496428664*((RANDBETWEEN(2979,3282)))</f>
        <v>96120301.129315928</v>
      </c>
      <c r="B14692">
        <v>163862015.33985615</v>
      </c>
    </row>
    <row r="14693" spans="1:2" x14ac:dyDescent="0.25">
      <c r="A14693">
        <f ca="1">36607.5851350847*((RANDBETWEEN(2979,3282)))</f>
        <v>116448728.31470434</v>
      </c>
      <c r="B14693">
        <v>174739723.99795222</v>
      </c>
    </row>
    <row r="14694" spans="1:2" x14ac:dyDescent="0.25">
      <c r="A14694">
        <f ca="1">38077.6042553713*((RANDBETWEEN(2979,3282)))</f>
        <v>122838351.32782771</v>
      </c>
      <c r="B14694">
        <v>155824473.43181545</v>
      </c>
    </row>
    <row r="14695" spans="1:2" x14ac:dyDescent="0.25">
      <c r="A14695">
        <f ca="1">35436.8581633463*((RANDBETWEEN(2979,3282)))</f>
        <v>107692611.95840926</v>
      </c>
      <c r="B14695">
        <v>156659491.76754445</v>
      </c>
    </row>
    <row r="14696" spans="1:2" x14ac:dyDescent="0.25">
      <c r="A14696">
        <f ca="1">35550.400889704*((RANDBETWEEN(2979,3282)))</f>
        <v>111130553.18121478</v>
      </c>
      <c r="B14696">
        <v>170841297.42026037</v>
      </c>
    </row>
    <row r="14697" spans="1:2" x14ac:dyDescent="0.25">
      <c r="A14697">
        <f ca="1">39092.4075359887*((RANDBETWEEN(2979,3282)))</f>
        <v>127480340.97485918</v>
      </c>
      <c r="B14697">
        <v>154120381.25992408</v>
      </c>
    </row>
    <row r="14698" spans="1:2" x14ac:dyDescent="0.25">
      <c r="A14698">
        <f ca="1">32387.1778015027*((RANDBETWEEN(2979,3282)))</f>
        <v>100238315.29565088</v>
      </c>
      <c r="B14698">
        <v>185870244.36842397</v>
      </c>
    </row>
    <row r="14699" spans="1:2" x14ac:dyDescent="0.25">
      <c r="A14699">
        <f ca="1">29868.3980876547*((RANDBETWEEN(2979,3282)))</f>
        <v>90292167.418980181</v>
      </c>
      <c r="B14699">
        <v>150198195.39108199</v>
      </c>
    </row>
    <row r="14700" spans="1:2" x14ac:dyDescent="0.25">
      <c r="A14700">
        <f ca="1">31649.7210523296*((RANDBETWEEN(2979,3282)))</f>
        <v>102766644.25691427</v>
      </c>
      <c r="B14700">
        <v>163055530.96166393</v>
      </c>
    </row>
    <row r="14701" spans="1:2" x14ac:dyDescent="0.25">
      <c r="A14701">
        <f ca="1">38576.8144466869*((RANDBETWEEN(2979,3282)))</f>
        <v>119935316.11474954</v>
      </c>
      <c r="B14701">
        <v>199408186.18741846</v>
      </c>
    </row>
    <row r="14702" spans="1:2" x14ac:dyDescent="0.25">
      <c r="A14702">
        <f ca="1">28838.9913418615*((RANDBETWEEN(2979,3282)))</f>
        <v>87987762.584019363</v>
      </c>
      <c r="B14702">
        <v>160737284.27185422</v>
      </c>
    </row>
    <row r="14703" spans="1:2" x14ac:dyDescent="0.25">
      <c r="A14703">
        <f ca="1">29682.964845294*((RANDBETWEEN(2979,3282)))</f>
        <v>90087798.305467308</v>
      </c>
      <c r="B14703">
        <v>156960711.69778845</v>
      </c>
    </row>
    <row r="14704" spans="1:2" x14ac:dyDescent="0.25">
      <c r="A14704">
        <f ca="1">35360.5596057604*((RANDBETWEEN(2979,3282)))</f>
        <v>110289585.41036677</v>
      </c>
      <c r="B14704">
        <v>149586660.92667598</v>
      </c>
    </row>
    <row r="14705" spans="1:2" x14ac:dyDescent="0.25">
      <c r="A14705">
        <f ca="1">37316.7439019479*((RANDBETWEEN(2979,3282)))</f>
        <v>112733883.32778451</v>
      </c>
      <c r="B14705">
        <v>171262109.93970266</v>
      </c>
    </row>
    <row r="14706" spans="1:2" x14ac:dyDescent="0.25">
      <c r="A14706">
        <f ca="1">30490.021201275*((RANDBETWEEN(2979,3282)))</f>
        <v>95799646.614405945</v>
      </c>
      <c r="B14706">
        <v>158352320.06011748</v>
      </c>
    </row>
    <row r="14707" spans="1:2" x14ac:dyDescent="0.25">
      <c r="A14707">
        <f ca="1">31091.3208760237*((RANDBETWEEN(2979,3282)))</f>
        <v>93491601.874203146</v>
      </c>
      <c r="B14707">
        <v>202358041.09573767</v>
      </c>
    </row>
    <row r="14708" spans="1:2" x14ac:dyDescent="0.25">
      <c r="A14708">
        <f ca="1">30908.1309284384*((RANDBETWEEN(2979,3282)))</f>
        <v>94795237.557520688</v>
      </c>
      <c r="B14708">
        <v>197928358.26229101</v>
      </c>
    </row>
    <row r="14709" spans="1:2" x14ac:dyDescent="0.25">
      <c r="A14709">
        <f ca="1">31829.3254804995*((RANDBETWEEN(2979,3282)))</f>
        <v>100898961.7731833</v>
      </c>
      <c r="B14709">
        <v>157206644.50502306</v>
      </c>
    </row>
    <row r="14710" spans="1:2" x14ac:dyDescent="0.25">
      <c r="A14710">
        <f ca="1">30607.6650498495*((RANDBETWEEN(2979,3282)))</f>
        <v>98648504.455665052</v>
      </c>
      <c r="B14710">
        <v>151438205.8539193</v>
      </c>
    </row>
    <row r="14711" spans="1:2" x14ac:dyDescent="0.25">
      <c r="A14711">
        <f ca="1">32360.6709048629*((RANDBETWEEN(2979,3282)))</f>
        <v>97276176.740017861</v>
      </c>
      <c r="B14711">
        <v>149770451.2122429</v>
      </c>
    </row>
    <row r="14712" spans="1:2" x14ac:dyDescent="0.25">
      <c r="A14712">
        <f ca="1">32838.9264477045*((RANDBETWEEN(2979,3282)))</f>
        <v>106923544.51372597</v>
      </c>
      <c r="B14712">
        <v>175231577.19679484</v>
      </c>
    </row>
    <row r="14713" spans="1:2" x14ac:dyDescent="0.25">
      <c r="A14713">
        <f ca="1">33772.8414543243*((RANDBETWEEN(2979,3282)))</f>
        <v>104020351.67931873</v>
      </c>
      <c r="B14713">
        <v>154221368.21393746</v>
      </c>
    </row>
    <row r="14714" spans="1:2" x14ac:dyDescent="0.25">
      <c r="A14714">
        <f ca="1">38363.1444837724*((RANDBETWEEN(2979,3282)))</f>
        <v>121956436.31391254</v>
      </c>
      <c r="B14714">
        <v>145227846.46827254</v>
      </c>
    </row>
    <row r="14715" spans="1:2" x14ac:dyDescent="0.25">
      <c r="A14715">
        <f ca="1">33034.6517955228*((RANDBETWEEN(2979,3282)))</f>
        <v>99302163.2973416</v>
      </c>
      <c r="B14715">
        <v>185131236.01597798</v>
      </c>
    </row>
    <row r="14716" spans="1:2" x14ac:dyDescent="0.25">
      <c r="A14716">
        <f ca="1">38707.9197805107*((RANDBETWEEN(2979,3282)))</f>
        <v>122471858.18553582</v>
      </c>
      <c r="B14716">
        <v>201084396.34600371</v>
      </c>
    </row>
    <row r="14717" spans="1:2" x14ac:dyDescent="0.25">
      <c r="A14717">
        <f ca="1">30686.1253346284*((RANDBETWEEN(2979,3282)))</f>
        <v>93960915.774632081</v>
      </c>
      <c r="B14717">
        <v>148525347.90427679</v>
      </c>
    </row>
    <row r="14718" spans="1:2" x14ac:dyDescent="0.25">
      <c r="A14718">
        <f ca="1">32820.8169570946*((RANDBETWEEN(2979,3282)))</f>
        <v>97970138.616927236</v>
      </c>
      <c r="B14718">
        <v>180339531.50119758</v>
      </c>
    </row>
    <row r="14719" spans="1:2" x14ac:dyDescent="0.25">
      <c r="A14719">
        <f ca="1">30974.2124171726*((RANDBETWEEN(2979,3282)))</f>
        <v>92798740.401849002</v>
      </c>
      <c r="B14719">
        <v>169564426.07032949</v>
      </c>
    </row>
    <row r="14720" spans="1:2" x14ac:dyDescent="0.25">
      <c r="A14720">
        <f ca="1">31560.1885832945*((RANDBETWEEN(2979,3282)))</f>
        <v>98625589.322795197</v>
      </c>
      <c r="B14720">
        <v>144056800.59028831</v>
      </c>
    </row>
    <row r="14721" spans="1:2" x14ac:dyDescent="0.25">
      <c r="A14721">
        <f ca="1">31085.2537232627*((RANDBETWEEN(2979,3282)))</f>
        <v>101835291.19740865</v>
      </c>
      <c r="B14721">
        <v>151453214.29569179</v>
      </c>
    </row>
    <row r="14722" spans="1:2" x14ac:dyDescent="0.25">
      <c r="A14722">
        <f ca="1">34193.9202666617*((RANDBETWEEN(2979,3282)))</f>
        <v>111506373.98958386</v>
      </c>
      <c r="B14722">
        <v>143465545.23662865</v>
      </c>
    </row>
    <row r="14723" spans="1:2" x14ac:dyDescent="0.25">
      <c r="A14723">
        <f ca="1">31338.8468395849*((RANDBETWEEN(2979,3282)))</f>
        <v>100817070.28294474</v>
      </c>
      <c r="B14723">
        <v>154810056.29359901</v>
      </c>
    </row>
    <row r="14724" spans="1:2" x14ac:dyDescent="0.25">
      <c r="A14724">
        <f ca="1">31768.2385187449*((RANDBETWEEN(2979,3282)))</f>
        <v>96734286.28957814</v>
      </c>
      <c r="B14724">
        <v>173250938.80079994</v>
      </c>
    </row>
    <row r="14725" spans="1:2" x14ac:dyDescent="0.25">
      <c r="A14725">
        <f ca="1">42018.0659639737*((RANDBETWEEN(2979,3282)))</f>
        <v>131222420.00548977</v>
      </c>
      <c r="B14725">
        <v>160486674.44498384</v>
      </c>
    </row>
    <row r="14726" spans="1:2" x14ac:dyDescent="0.25">
      <c r="A14726">
        <f ca="1">36100.8169799202*((RANDBETWEEN(2979,3282)))</f>
        <v>110829508.12835492</v>
      </c>
      <c r="B14726">
        <v>150292110.1532591</v>
      </c>
    </row>
    <row r="14727" spans="1:2" x14ac:dyDescent="0.25">
      <c r="A14727">
        <f ca="1">31129.0027403522*((RANDBETWEEN(2979,3282)))</f>
        <v>100173130.81845322</v>
      </c>
      <c r="B14727">
        <v>155011407.75485951</v>
      </c>
    </row>
    <row r="14728" spans="1:2" x14ac:dyDescent="0.25">
      <c r="A14728">
        <f ca="1">30256.4160489858*((RANDBETWEEN(2979,3282)))</f>
        <v>94036941.08024773</v>
      </c>
      <c r="B14728">
        <v>166103546.86026895</v>
      </c>
    </row>
    <row r="14729" spans="1:2" x14ac:dyDescent="0.25">
      <c r="A14729">
        <f ca="1">31672.8657132097*((RANDBETWEEN(2979,3282)))</f>
        <v>102810122.10507861</v>
      </c>
      <c r="B14729">
        <v>195128348.75421792</v>
      </c>
    </row>
    <row r="14730" spans="1:2" x14ac:dyDescent="0.25">
      <c r="A14730">
        <f ca="1">29582.6950681971*((RANDBETWEEN(2979,3282)))</f>
        <v>96084593.581504077</v>
      </c>
      <c r="B14730">
        <v>170900021.310702</v>
      </c>
    </row>
    <row r="14731" spans="1:2" x14ac:dyDescent="0.25">
      <c r="A14731">
        <f ca="1">28549.0027175901*((RANDBETWEEN(2979,3282)))</f>
        <v>87531242.332131326</v>
      </c>
      <c r="B14731">
        <v>165538539.32667276</v>
      </c>
    </row>
    <row r="14732" spans="1:2" x14ac:dyDescent="0.25">
      <c r="A14732">
        <f ca="1">34570.7641736159*((RANDBETWEEN(2979,3282)))</f>
        <v>106443382.89056353</v>
      </c>
      <c r="B14732">
        <v>147093902.83003995</v>
      </c>
    </row>
    <row r="14733" spans="1:2" x14ac:dyDescent="0.25">
      <c r="A14733">
        <f ca="1">32796.6144744419*((RANDBETWEEN(2979,3282)))</f>
        <v>102292640.54578419</v>
      </c>
      <c r="B14733">
        <v>196440643.75121692</v>
      </c>
    </row>
    <row r="14734" spans="1:2" x14ac:dyDescent="0.25">
      <c r="A14734">
        <f ca="1">32746.7157339072*((RANDBETWEEN(2979,3282)))</f>
        <v>99746496.125481352</v>
      </c>
      <c r="B14734">
        <v>200301386.98419696</v>
      </c>
    </row>
    <row r="14735" spans="1:2" x14ac:dyDescent="0.25">
      <c r="A14735">
        <f ca="1">35716.7294369485*((RANDBETWEEN(2979,3282)))</f>
        <v>106650154.09872811</v>
      </c>
      <c r="B14735">
        <v>193272431.27066574</v>
      </c>
    </row>
    <row r="14736" spans="1:2" x14ac:dyDescent="0.25">
      <c r="A14736">
        <f ca="1">33382.1849595772*((RANDBETWEEN(2979,3282)))</f>
        <v>106722845.31576824</v>
      </c>
      <c r="B14736">
        <v>144931573.94133034</v>
      </c>
    </row>
    <row r="14737" spans="1:2" x14ac:dyDescent="0.25">
      <c r="A14737">
        <f ca="1">33817.5903800056*((RANDBETWEEN(2979,3282)))</f>
        <v>109805715.96387833</v>
      </c>
      <c r="B14737">
        <v>166174210.64343327</v>
      </c>
    </row>
    <row r="14738" spans="1:2" x14ac:dyDescent="0.25">
      <c r="A14738">
        <f ca="1">32342.1432594007*((RANDBETWEEN(2979,3282)))</f>
        <v>96864719.061905041</v>
      </c>
      <c r="B14738">
        <v>190120410.6578159</v>
      </c>
    </row>
    <row r="14739" spans="1:2" x14ac:dyDescent="0.25">
      <c r="A14739">
        <f ca="1">31620.3079353887*((RANDBETWEEN(2979,3282)))</f>
        <v>97011104.745772496</v>
      </c>
      <c r="B14739">
        <v>194415272.39056903</v>
      </c>
    </row>
    <row r="14740" spans="1:2" x14ac:dyDescent="0.25">
      <c r="A14740">
        <f ca="1">33622.8027678218*((RANDBETWEEN(2979,3282)))</f>
        <v>105205749.86051452</v>
      </c>
      <c r="B14740">
        <v>196905884.12696084</v>
      </c>
    </row>
    <row r="14741" spans="1:2" x14ac:dyDescent="0.25">
      <c r="A14741">
        <f ca="1">41666.537392267*((RANDBETWEEN(2979,3282)))</f>
        <v>133749585.02917701</v>
      </c>
      <c r="B14741">
        <v>156754755.63483599</v>
      </c>
    </row>
    <row r="14742" spans="1:2" x14ac:dyDescent="0.25">
      <c r="A14742">
        <f ca="1">30318.9848093712*((RANDBETWEEN(2979,3282)))</f>
        <v>95474483.164709926</v>
      </c>
      <c r="B14742">
        <v>143983839.91803542</v>
      </c>
    </row>
    <row r="14743" spans="1:2" x14ac:dyDescent="0.25">
      <c r="A14743">
        <f ca="1">31489.3319257905*((RANDBETWEEN(2979,3282)))</f>
        <v>99978628.86438477</v>
      </c>
      <c r="B14743">
        <v>186862918.44206354</v>
      </c>
    </row>
    <row r="14744" spans="1:2" x14ac:dyDescent="0.25">
      <c r="A14744">
        <f ca="1">29777.4445339854*((RANDBETWEEN(2979,3282)))</f>
        <v>96240700.733840913</v>
      </c>
      <c r="B14744">
        <v>172852389.63483593</v>
      </c>
    </row>
    <row r="14745" spans="1:2" x14ac:dyDescent="0.25">
      <c r="A14745">
        <f ca="1">32178.6420909167*((RANDBETWEEN(2979,3282)))</f>
        <v>105513767.41611578</v>
      </c>
      <c r="B14745">
        <v>148313832.1598748</v>
      </c>
    </row>
    <row r="14746" spans="1:2" x14ac:dyDescent="0.25">
      <c r="A14746">
        <f ca="1">32887.1688363821*((RANDBETWEEN(2979,3282)))</f>
        <v>102180433.57463917</v>
      </c>
      <c r="B14746">
        <v>161613161.73803955</v>
      </c>
    </row>
    <row r="14747" spans="1:2" x14ac:dyDescent="0.25">
      <c r="A14747">
        <f ca="1">35965.9706787098*((RANDBETWEEN(2979,3282)))</f>
        <v>113580535.40336566</v>
      </c>
      <c r="B14747">
        <v>166554447.27852485</v>
      </c>
    </row>
    <row r="14748" spans="1:2" x14ac:dyDescent="0.25">
      <c r="A14748">
        <f ca="1">27144.1510296147*((RANDBETWEEN(2979,3282)))</f>
        <v>86291256.123144999</v>
      </c>
      <c r="B14748">
        <v>198940955.96954513</v>
      </c>
    </row>
    <row r="14749" spans="1:2" x14ac:dyDescent="0.25">
      <c r="A14749">
        <f ca="1">31298.9972498368*((RANDBETWEEN(2979,3282)))</f>
        <v>100438482.17472629</v>
      </c>
      <c r="B14749">
        <v>171657126.66501755</v>
      </c>
    </row>
    <row r="14750" spans="1:2" x14ac:dyDescent="0.25">
      <c r="A14750">
        <f ca="1">29517.7265632388*((RANDBETWEEN(2979,3282)))</f>
        <v>93895888.197662756</v>
      </c>
      <c r="B14750">
        <v>160551093.64240149</v>
      </c>
    </row>
    <row r="14751" spans="1:2" x14ac:dyDescent="0.25">
      <c r="A14751">
        <f ca="1">37314.3029926186*((RANDBETWEEN(2979,3282)))</f>
        <v>111644394.55391487</v>
      </c>
      <c r="B14751">
        <v>194335693.91092449</v>
      </c>
    </row>
    <row r="14752" spans="1:2" x14ac:dyDescent="0.25">
      <c r="A14752">
        <f ca="1">30537.3452112343*((RANDBETWEEN(2979,3282)))</f>
        <v>97597355.295104936</v>
      </c>
      <c r="B14752">
        <v>177845272.53845513</v>
      </c>
    </row>
    <row r="14753" spans="1:2" x14ac:dyDescent="0.25">
      <c r="A14753">
        <f ca="1">32710.5820970392*((RANDBETWEEN(2979,3282)))</f>
        <v>98655115.604670092</v>
      </c>
      <c r="B14753">
        <v>158933998.44308895</v>
      </c>
    </row>
    <row r="14754" spans="1:2" x14ac:dyDescent="0.25">
      <c r="A14754">
        <f ca="1">38427.7319340873*((RANDBETWEEN(2979,3282)))</f>
        <v>116205461.3686801</v>
      </c>
      <c r="B14754">
        <v>173464512.19862711</v>
      </c>
    </row>
    <row r="14755" spans="1:2" x14ac:dyDescent="0.25">
      <c r="A14755">
        <f ca="1">42685.2698974511*((RANDBETWEEN(2979,3282)))</f>
        <v>130574240.61630279</v>
      </c>
      <c r="B14755">
        <v>145968530.3319149</v>
      </c>
    </row>
    <row r="14756" spans="1:2" x14ac:dyDescent="0.25">
      <c r="A14756">
        <f ca="1">33483.1463182291*((RANDBETWEEN(2979,3282)))</f>
        <v>108217528.90051654</v>
      </c>
      <c r="B14756">
        <v>145337368.3198266</v>
      </c>
    </row>
    <row r="14757" spans="1:2" x14ac:dyDescent="0.25">
      <c r="A14757">
        <f ca="1">32647.5293615786*((RANDBETWEEN(2979,3282)))</f>
        <v>104015028.54598953</v>
      </c>
      <c r="B14757">
        <v>161166130.54892412</v>
      </c>
    </row>
    <row r="14758" spans="1:2" x14ac:dyDescent="0.25">
      <c r="A14758">
        <f ca="1">31038.7588847117*((RANDBETWEEN(2979,3282)))</f>
        <v>95444183.570488542</v>
      </c>
      <c r="B14758">
        <v>153627448.11852229</v>
      </c>
    </row>
    <row r="14759" spans="1:2" x14ac:dyDescent="0.25">
      <c r="A14759">
        <f ca="1">37195.9703258015*((RANDBETWEEN(2979,3282)))</f>
        <v>119250280.86451957</v>
      </c>
      <c r="B14759">
        <v>199752093.25608867</v>
      </c>
    </row>
    <row r="14760" spans="1:2" x14ac:dyDescent="0.25">
      <c r="A14760">
        <f ca="1">36194.8881297319*((RANDBETWEEN(2979,3282)))</f>
        <v>109272367.26366059</v>
      </c>
      <c r="B14760">
        <v>173066039.44601893</v>
      </c>
    </row>
    <row r="14761" spans="1:2" x14ac:dyDescent="0.25">
      <c r="A14761">
        <f ca="1">30200.5839332869*((RANDBETWEEN(2979,3282)))</f>
        <v>97094877.345517233</v>
      </c>
      <c r="B14761">
        <v>153726336.99361825</v>
      </c>
    </row>
    <row r="14762" spans="1:2" x14ac:dyDescent="0.25">
      <c r="A14762">
        <f ca="1">33032.4107939824*((RANDBETWEEN(2979,3282)))</f>
        <v>106628622.04297504</v>
      </c>
      <c r="B14762">
        <v>169027821.28968549</v>
      </c>
    </row>
    <row r="14763" spans="1:2" x14ac:dyDescent="0.25">
      <c r="A14763">
        <f ca="1">33857.6034300545*((RANDBETWEEN(2979,3282)))</f>
        <v>101945243.92789412</v>
      </c>
      <c r="B14763">
        <v>164036549.13992369</v>
      </c>
    </row>
    <row r="14764" spans="1:2" x14ac:dyDescent="0.25">
      <c r="A14764">
        <f ca="1">36277.8010189633*((RANDBETWEEN(2979,3282)))</f>
        <v>115036907.03113268</v>
      </c>
      <c r="B14764">
        <v>180147770.61100724</v>
      </c>
    </row>
    <row r="14765" spans="1:2" x14ac:dyDescent="0.25">
      <c r="A14765">
        <f ca="1">30722.9234838531*((RANDBETWEEN(2979,3282)))</f>
        <v>92813951.844720289</v>
      </c>
      <c r="B14765">
        <v>191683828.59159997</v>
      </c>
    </row>
    <row r="14766" spans="1:2" x14ac:dyDescent="0.25">
      <c r="A14766">
        <f ca="1">29938.7894358889*((RANDBETWEEN(2979,3282)))</f>
        <v>94726329.775152326</v>
      </c>
      <c r="B14766">
        <v>145804642.90148273</v>
      </c>
    </row>
    <row r="14767" spans="1:2" x14ac:dyDescent="0.25">
      <c r="A14767">
        <f ca="1">29178.6960883209*((RANDBETWEEN(2979,3282)))</f>
        <v>89024201.765467063</v>
      </c>
      <c r="B14767">
        <v>151071163.7086927</v>
      </c>
    </row>
    <row r="14768" spans="1:2" x14ac:dyDescent="0.25">
      <c r="A14768">
        <f ca="1">40778.4929469496*((RANDBETWEEN(2979,3282)))</f>
        <v>123518055.13631035</v>
      </c>
      <c r="B14768">
        <v>202565239.89531118</v>
      </c>
    </row>
    <row r="14769" spans="1:2" x14ac:dyDescent="0.25">
      <c r="A14769">
        <f ca="1">33457.5207767491*((RANDBETWEEN(2979,3282)))</f>
        <v>109506465.50229967</v>
      </c>
      <c r="B14769">
        <v>190333900.21036676</v>
      </c>
    </row>
    <row r="14770" spans="1:2" x14ac:dyDescent="0.25">
      <c r="A14770">
        <f ca="1">31204.9036485581*((RANDBETWEEN(2979,3282)))</f>
        <v>95330980.646345019</v>
      </c>
      <c r="B14770">
        <v>183400268.03460443</v>
      </c>
    </row>
    <row r="14771" spans="1:2" x14ac:dyDescent="0.25">
      <c r="A14771">
        <f ca="1">29540.4720854917*((RANDBETWEEN(2979,3282)))</f>
        <v>90600627.886202946</v>
      </c>
      <c r="B14771">
        <v>153918286.72446257</v>
      </c>
    </row>
    <row r="14772" spans="1:2" x14ac:dyDescent="0.25">
      <c r="A14772">
        <f ca="1">35637.1071951*((RANDBETWEEN(2979,3282)))</f>
        <v>106448039.19176374</v>
      </c>
      <c r="B14772">
        <v>158779084.37231755</v>
      </c>
    </row>
    <row r="14773" spans="1:2" x14ac:dyDescent="0.25">
      <c r="A14773">
        <f ca="1">37058.7612518556*((RANDBETWEEN(2979,3282)))</f>
        <v>119662740.08224177</v>
      </c>
      <c r="B14773">
        <v>190398201.03310931</v>
      </c>
    </row>
    <row r="14774" spans="1:2" x14ac:dyDescent="0.25">
      <c r="A14774">
        <f ca="1">38677.8701350665*((RANDBETWEEN(2979,3282)))</f>
        <v>123846540.17248286</v>
      </c>
      <c r="B14774">
        <v>183077169.28737688</v>
      </c>
    </row>
    <row r="14775" spans="1:2" x14ac:dyDescent="0.25">
      <c r="A14775">
        <f ca="1">30595.9543036339*((RANDBETWEEN(2979,3282)))</f>
        <v>96775003.462393969</v>
      </c>
      <c r="B14775">
        <v>187592213.70704675</v>
      </c>
    </row>
    <row r="14776" spans="1:2" x14ac:dyDescent="0.25">
      <c r="A14776">
        <f ca="1">32441.6511379776*((RANDBETWEEN(2979,3282)))</f>
        <v>102483175.9448712</v>
      </c>
      <c r="B14776">
        <v>172177452.88878337</v>
      </c>
    </row>
    <row r="14777" spans="1:2" x14ac:dyDescent="0.25">
      <c r="A14777">
        <f ca="1">31079.1670386058*((RANDBETWEEN(2979,3282)))</f>
        <v>99639809.525770232</v>
      </c>
      <c r="B14777">
        <v>154596683.90011215</v>
      </c>
    </row>
    <row r="14778" spans="1:2" x14ac:dyDescent="0.25">
      <c r="A14778">
        <f ca="1">33649.7744510965*((RANDBETWEEN(2979,3282)))</f>
        <v>103405756.88821962</v>
      </c>
      <c r="B14778">
        <v>154400881.92033446</v>
      </c>
    </row>
    <row r="14779" spans="1:2" x14ac:dyDescent="0.25">
      <c r="A14779">
        <f ca="1">37164.4163723765*((RANDBETWEEN(2979,3282)))</f>
        <v>113760278.5158444</v>
      </c>
      <c r="B14779">
        <v>147167100.25267294</v>
      </c>
    </row>
    <row r="14780" spans="1:2" x14ac:dyDescent="0.25">
      <c r="A14780">
        <f ca="1">30618.8453866176*((RANDBETWEEN(2979,3282)))</f>
        <v>92040249.232172579</v>
      </c>
      <c r="B14780">
        <v>159979747.90802544</v>
      </c>
    </row>
    <row r="14781" spans="1:2" x14ac:dyDescent="0.25">
      <c r="A14781">
        <f ca="1">31475.9729798468*((RANDBETWEEN(2979,3282)))</f>
        <v>98205035.697121918</v>
      </c>
      <c r="B14781">
        <v>195471919.48787847</v>
      </c>
    </row>
    <row r="14782" spans="1:2" x14ac:dyDescent="0.25">
      <c r="A14782">
        <f ca="1">28609.5703452567*((RANDBETWEEN(2979,3282)))</f>
        <v>92208645.222762421</v>
      </c>
      <c r="B14782">
        <v>185895754.38092405</v>
      </c>
    </row>
    <row r="14783" spans="1:2" x14ac:dyDescent="0.25">
      <c r="A14783">
        <f ca="1">29407.9645459369*((RANDBETWEEN(2979,3282)))</f>
        <v>96164044.06521368</v>
      </c>
      <c r="B14783">
        <v>143798771.55637175</v>
      </c>
    </row>
    <row r="14784" spans="1:2" x14ac:dyDescent="0.25">
      <c r="A14784">
        <f ca="1">33419.9283517783*((RANDBETWEEN(2979,3282)))</f>
        <v>100360044.84039025</v>
      </c>
      <c r="B14784">
        <v>180983194.37719795</v>
      </c>
    </row>
    <row r="14785" spans="1:2" x14ac:dyDescent="0.25">
      <c r="A14785">
        <f ca="1">29694.5857431759*((RANDBETWEEN(2979,3282)))</f>
        <v>88875895.129325598</v>
      </c>
      <c r="B14785">
        <v>179724719.60248893</v>
      </c>
    </row>
    <row r="14786" spans="1:2" x14ac:dyDescent="0.25">
      <c r="A14786">
        <f ca="1">31651.1549264139*((RANDBETWEEN(2979,3282)))</f>
        <v>101885067.70812623</v>
      </c>
      <c r="B14786">
        <v>169109229.53906858</v>
      </c>
    </row>
    <row r="14787" spans="1:2" x14ac:dyDescent="0.25">
      <c r="A14787">
        <f ca="1">33737.190104381*((RANDBETWEEN(2979,3282)))</f>
        <v>109038598.41735929</v>
      </c>
      <c r="B14787">
        <v>170436600.27037513</v>
      </c>
    </row>
    <row r="14788" spans="1:2" x14ac:dyDescent="0.25">
      <c r="A14788">
        <f ca="1">34692.7586986105*((RANDBETWEEN(2979,3282)))</f>
        <v>106437383.68733712</v>
      </c>
      <c r="B14788">
        <v>184391426.21242553</v>
      </c>
    </row>
    <row r="14789" spans="1:2" x14ac:dyDescent="0.25">
      <c r="A14789">
        <f ca="1">32318.133282348*((RANDBETWEEN(2979,3282)))</f>
        <v>99959986.242302507</v>
      </c>
      <c r="B14789">
        <v>168893371.09032044</v>
      </c>
    </row>
    <row r="14790" spans="1:2" x14ac:dyDescent="0.25">
      <c r="A14790">
        <f ca="1">31130.7912742844*((RANDBETWEEN(2979,3282)))</f>
        <v>100708109.77231009</v>
      </c>
      <c r="B14790">
        <v>143462405.05595356</v>
      </c>
    </row>
    <row r="14791" spans="1:2" x14ac:dyDescent="0.25">
      <c r="A14791">
        <f ca="1">42060.2673784836*((RANDBETWEEN(2979,3282)))</f>
        <v>137284712.72337043</v>
      </c>
      <c r="B14791">
        <v>163863050.9462733</v>
      </c>
    </row>
    <row r="14792" spans="1:2" x14ac:dyDescent="0.25">
      <c r="A14792">
        <f ca="1">36040.3202869635*((RANDBETWEEN(2979,3282)))</f>
        <v>113671170.18508278</v>
      </c>
      <c r="B14792">
        <v>193134391.02768317</v>
      </c>
    </row>
    <row r="14793" spans="1:2" x14ac:dyDescent="0.25">
      <c r="A14793">
        <f ca="1">34547.2999319893*((RANDBETWEEN(2979,3282)))</f>
        <v>108616710.98617449</v>
      </c>
      <c r="B14793">
        <v>150350777.42825487</v>
      </c>
    </row>
    <row r="14794" spans="1:2" x14ac:dyDescent="0.25">
      <c r="A14794">
        <f ca="1">32980.6003230391*((RANDBETWEEN(2979,3282)))</f>
        <v>108110407.85892226</v>
      </c>
      <c r="B14794">
        <v>199996551.71696571</v>
      </c>
    </row>
    <row r="14795" spans="1:2" x14ac:dyDescent="0.25">
      <c r="A14795">
        <f ca="1">29789.0662952347*((RANDBETWEEN(2979,3282)))</f>
        <v>97559192.116893753</v>
      </c>
      <c r="B14795">
        <v>164145170.77012372</v>
      </c>
    </row>
    <row r="14796" spans="1:2" x14ac:dyDescent="0.25">
      <c r="A14796">
        <f ca="1">27382.5403737563*((RANDBETWEEN(2979,3282)))</f>
        <v>89294464.158819199</v>
      </c>
      <c r="B14796">
        <v>154861403.28356716</v>
      </c>
    </row>
    <row r="14797" spans="1:2" x14ac:dyDescent="0.25">
      <c r="A14797">
        <f ca="1">37756.3495092056*((RANDBETWEEN(2979,3282)))</f>
        <v>117535516.02215725</v>
      </c>
      <c r="B14797">
        <v>146675536.69638994</v>
      </c>
    </row>
    <row r="14798" spans="1:2" x14ac:dyDescent="0.25">
      <c r="A14798">
        <f ca="1">41838.7234227038*((RANDBETWEEN(2979,3282)))</f>
        <v>130076591.121186</v>
      </c>
      <c r="B14798">
        <v>198266973.64635327</v>
      </c>
    </row>
    <row r="14799" spans="1:2" x14ac:dyDescent="0.25">
      <c r="A14799">
        <f ca="1">31116.169165494*((RANDBETWEEN(2979,3282)))</f>
        <v>97673655.010485604</v>
      </c>
      <c r="B14799">
        <v>143829715.8308813</v>
      </c>
    </row>
    <row r="14800" spans="1:2" x14ac:dyDescent="0.25">
      <c r="A14800">
        <f ca="1">30289.9150727908*((RANDBETWEEN(2979,3282)))</f>
        <v>97472946.70424068</v>
      </c>
      <c r="B14800">
        <v>145427319.01033986</v>
      </c>
    </row>
    <row r="14801" spans="1:2" x14ac:dyDescent="0.25">
      <c r="A14801">
        <f ca="1">31723.6179984744*((RANDBETWEEN(2979,3282)))</f>
        <v>98343215.795270756</v>
      </c>
      <c r="B14801">
        <v>161083807.31707552</v>
      </c>
    </row>
    <row r="14802" spans="1:2" x14ac:dyDescent="0.25">
      <c r="A14802">
        <f ca="1">37085.4371303594*((RANDBETWEEN(2979,3282)))</f>
        <v>111145055.07968704</v>
      </c>
      <c r="B14802">
        <v>196765642.61890632</v>
      </c>
    </row>
    <row r="14803" spans="1:2" x14ac:dyDescent="0.25">
      <c r="A14803">
        <f ca="1">37111.2425588608*((RANDBETWEEN(2979,3282)))</f>
        <v>117494193.9413534</v>
      </c>
      <c r="B14803">
        <v>188079084.33197686</v>
      </c>
    </row>
    <row r="14804" spans="1:2" x14ac:dyDescent="0.25">
      <c r="A14804">
        <f ca="1">31402.4897313999*((RANDBETWEEN(2979,3282)))</f>
        <v>102497726.48328932</v>
      </c>
      <c r="B14804">
        <v>170947417.14054069</v>
      </c>
    </row>
    <row r="14805" spans="1:2" x14ac:dyDescent="0.25">
      <c r="A14805">
        <f ca="1">29900.9869650511*((RANDBETWEEN(2979,3282)))</f>
        <v>90749495.438930079</v>
      </c>
      <c r="B14805">
        <v>202921605.40737569</v>
      </c>
    </row>
    <row r="14806" spans="1:2" x14ac:dyDescent="0.25">
      <c r="A14806">
        <f ca="1">31834.2332900328*((RANDBETWEEN(2979,3282)))</f>
        <v>97126245.767890096</v>
      </c>
      <c r="B14806">
        <v>160696702.2250061</v>
      </c>
    </row>
    <row r="14807" spans="1:2" x14ac:dyDescent="0.25">
      <c r="A14807">
        <f ca="1">30582.4947314033*((RANDBETWEEN(2979,3282)))</f>
        <v>93980006.309602216</v>
      </c>
      <c r="B14807">
        <v>185223919.25086293</v>
      </c>
    </row>
    <row r="14808" spans="1:2" x14ac:dyDescent="0.25">
      <c r="A14808">
        <f ca="1">39105.4947258968*((RANDBETWEEN(2979,3282)))</f>
        <v>118958914.9561782</v>
      </c>
      <c r="B14808">
        <v>157911383.42950958</v>
      </c>
    </row>
    <row r="14809" spans="1:2" x14ac:dyDescent="0.25">
      <c r="A14809">
        <f ca="1">34555.1518611408*((RANDBETWEEN(2979,3282)))</f>
        <v>112235133.24498545</v>
      </c>
      <c r="B14809">
        <v>157401610.55762598</v>
      </c>
    </row>
    <row r="14810" spans="1:2" x14ac:dyDescent="0.25">
      <c r="A14810">
        <f ca="1">38683.9048451623*((RANDBETWEEN(2979,3282)))</f>
        <v>125065064.36440955</v>
      </c>
      <c r="B14810">
        <v>145219464.92566967</v>
      </c>
    </row>
    <row r="14811" spans="1:2" x14ac:dyDescent="0.25">
      <c r="A14811">
        <f ca="1">32884.391384111*((RANDBETWEEN(2979,3282)))</f>
        <v>100396046.89569081</v>
      </c>
      <c r="B14811">
        <v>156155226.10025683</v>
      </c>
    </row>
    <row r="14812" spans="1:2" x14ac:dyDescent="0.25">
      <c r="A14812">
        <f ca="1">31730.2342477386*((RANDBETWEEN(2979,3282)))</f>
        <v>96745484.221355066</v>
      </c>
      <c r="B14812">
        <v>171627339.02817193</v>
      </c>
    </row>
    <row r="14813" spans="1:2" x14ac:dyDescent="0.25">
      <c r="A14813">
        <f ca="1">39249.3713876426*((RANDBETWEEN(2979,3282)))</f>
        <v>120142325.81757404</v>
      </c>
      <c r="B14813">
        <v>174486446.30272692</v>
      </c>
    </row>
    <row r="14814" spans="1:2" x14ac:dyDescent="0.25">
      <c r="A14814">
        <f ca="1">32830.8823348024*((RANDBETWEEN(2979,3282)))</f>
        <v>99149264.651103348</v>
      </c>
      <c r="B14814">
        <v>173830853.55410516</v>
      </c>
    </row>
    <row r="14815" spans="1:2" x14ac:dyDescent="0.25">
      <c r="A14815">
        <f ca="1">32020.8149715196*((RANDBETWEEN(2979,3282)))</f>
        <v>103971586.21252418</v>
      </c>
      <c r="B14815">
        <v>176833020.58181897</v>
      </c>
    </row>
    <row r="14816" spans="1:2" x14ac:dyDescent="0.25">
      <c r="A14816">
        <f ca="1">33730.9897246115*((RANDBETWEEN(2979,3282)))</f>
        <v>100788197.2971392</v>
      </c>
      <c r="B14816">
        <v>145744493.18855619</v>
      </c>
    </row>
    <row r="14817" spans="1:2" x14ac:dyDescent="0.25">
      <c r="A14817">
        <f ca="1">34671.4583857463*((RANDBETWEEN(2979,3282)))</f>
        <v>104291746.82432497</v>
      </c>
      <c r="B14817">
        <v>195768444.31646895</v>
      </c>
    </row>
    <row r="14818" spans="1:2" x14ac:dyDescent="0.25">
      <c r="A14818">
        <f ca="1">40339.6078305766*((RANDBETWEEN(2979,3282)))</f>
        <v>124084633.68685354</v>
      </c>
      <c r="B14818">
        <v>150726050.0968709</v>
      </c>
    </row>
    <row r="14819" spans="1:2" x14ac:dyDescent="0.25">
      <c r="A14819">
        <f ca="1">31115.638854201*((RANDBETWEEN(2979,3282)))</f>
        <v>97703106.002191111</v>
      </c>
      <c r="B14819">
        <v>199865855.03750777</v>
      </c>
    </row>
    <row r="14820" spans="1:2" x14ac:dyDescent="0.25">
      <c r="A14820">
        <f ca="1">38911.5471167503*((RANDBETWEEN(2979,3282)))</f>
        <v>123232869.71874824</v>
      </c>
      <c r="B14820">
        <v>167306160.15092194</v>
      </c>
    </row>
    <row r="14821" spans="1:2" x14ac:dyDescent="0.25">
      <c r="A14821">
        <f ca="1">29899.9491469677*((RANDBETWEEN(2979,3282)))</f>
        <v>93915740.270625487</v>
      </c>
      <c r="B14821">
        <v>152031605.20929506</v>
      </c>
    </row>
    <row r="14822" spans="1:2" x14ac:dyDescent="0.25">
      <c r="A14822">
        <f ca="1">28149.7524264741*((RANDBETWEEN(2979,3282)))</f>
        <v>84111460.250304639</v>
      </c>
      <c r="B14822">
        <v>143053744.69771054</v>
      </c>
    </row>
    <row r="14823" spans="1:2" x14ac:dyDescent="0.25">
      <c r="A14823">
        <f ca="1">32155.5809225058*((RANDBETWEEN(2979,3282)))</f>
        <v>100711279.44928822</v>
      </c>
      <c r="B14823">
        <v>162276891.40523094</v>
      </c>
    </row>
    <row r="14824" spans="1:2" x14ac:dyDescent="0.25">
      <c r="A14824">
        <f ca="1">30014.7343212128*((RANDBETWEEN(2979,3282)))</f>
        <v>91664998.616984084</v>
      </c>
      <c r="B14824">
        <v>162828307.15146512</v>
      </c>
    </row>
    <row r="14825" spans="1:2" x14ac:dyDescent="0.25">
      <c r="A14825">
        <f ca="1">29541.5718403171*((RANDBETWEEN(2979,3282)))</f>
        <v>94887528.751098618</v>
      </c>
      <c r="B14825">
        <v>158596296.9237664</v>
      </c>
    </row>
    <row r="14826" spans="1:2" x14ac:dyDescent="0.25">
      <c r="A14826">
        <f ca="1">36721.3827804241*((RANDBETWEEN(2979,3282)))</f>
        <v>112881530.66702355</v>
      </c>
      <c r="B14826">
        <v>179765007.48650056</v>
      </c>
    </row>
    <row r="14827" spans="1:2" x14ac:dyDescent="0.25">
      <c r="A14827">
        <f ca="1">31599.1290022884*((RANDBETWEEN(2979,3282)))</f>
        <v>99158066.809181124</v>
      </c>
      <c r="B14827">
        <v>179558433.23339769</v>
      </c>
    </row>
    <row r="14828" spans="1:2" x14ac:dyDescent="0.25">
      <c r="A14828">
        <f ca="1">32771.1682902643*((RANDBETWEEN(2979,3282)))</f>
        <v>103098095.4411715</v>
      </c>
      <c r="B14828">
        <v>173219843.90832663</v>
      </c>
    </row>
    <row r="14829" spans="1:2" x14ac:dyDescent="0.25">
      <c r="A14829">
        <f ca="1">32821.5646215019*((RANDBETWEEN(2979,3282)))</f>
        <v>105324400.87039959</v>
      </c>
      <c r="B14829">
        <v>160256968.68250319</v>
      </c>
    </row>
    <row r="14830" spans="1:2" x14ac:dyDescent="0.25">
      <c r="A14830">
        <f ca="1">41954.176985184*((RANDBETWEEN(2979,3282)))</f>
        <v>132239565.85730001</v>
      </c>
      <c r="B14830">
        <v>173747199.32750744</v>
      </c>
    </row>
    <row r="14831" spans="1:2" x14ac:dyDescent="0.25">
      <c r="A14831">
        <f ca="1">31901.4031828368*((RANDBETWEEN(2979,3282)))</f>
        <v>98320124.609503031</v>
      </c>
      <c r="B14831">
        <v>181460325.33141446</v>
      </c>
    </row>
    <row r="14832" spans="1:2" x14ac:dyDescent="0.25">
      <c r="A14832">
        <f ca="1">40592.448460876*((RANDBETWEEN(2979,3282)))</f>
        <v>130017612.42018579</v>
      </c>
      <c r="B14832">
        <v>196707490.57503086</v>
      </c>
    </row>
    <row r="14833" spans="1:2" x14ac:dyDescent="0.25">
      <c r="A14833">
        <f ca="1">31695.9306282383*((RANDBETWEEN(2979,3282)))</f>
        <v>97972121.571884573</v>
      </c>
      <c r="B14833">
        <v>179866301.56643161</v>
      </c>
    </row>
    <row r="14834" spans="1:2" x14ac:dyDescent="0.25">
      <c r="A14834">
        <f ca="1">34571.9612417306*((RANDBETWEEN(2979,3282)))</f>
        <v>112116870.30693245</v>
      </c>
      <c r="B14834">
        <v>144291557.46841538</v>
      </c>
    </row>
    <row r="14835" spans="1:2" x14ac:dyDescent="0.25">
      <c r="A14835">
        <f ca="1">30412.4005839469*((RANDBETWEEN(2979,3282)))</f>
        <v>93396482.193300992</v>
      </c>
      <c r="B14835">
        <v>170791793.78593466</v>
      </c>
    </row>
    <row r="14836" spans="1:2" x14ac:dyDescent="0.25">
      <c r="A14836">
        <f ca="1">30165.2872112185*((RANDBETWEEN(2979,3282)))</f>
        <v>97765695.851559073</v>
      </c>
      <c r="B14836">
        <v>194305644.07887194</v>
      </c>
    </row>
    <row r="14837" spans="1:2" x14ac:dyDescent="0.25">
      <c r="A14837">
        <f ca="1">32024.2918072837*((RANDBETWEEN(2979,3282)))</f>
        <v>104495264.16716672</v>
      </c>
      <c r="B14837">
        <v>183245554.78392631</v>
      </c>
    </row>
    <row r="14838" spans="1:2" x14ac:dyDescent="0.25">
      <c r="A14838">
        <f ca="1">31832.9304476862*((RANDBETWEEN(2979,3282)))</f>
        <v>95721621.856192484</v>
      </c>
      <c r="B14838">
        <v>148975368.26592851</v>
      </c>
    </row>
    <row r="14839" spans="1:2" x14ac:dyDescent="0.25">
      <c r="A14839">
        <f ca="1">35854.0862960178*((RANDBETWEEN(2979,3282)))</f>
        <v>112474268.71060793</v>
      </c>
      <c r="B14839">
        <v>176777090.80747205</v>
      </c>
    </row>
    <row r="14840" spans="1:2" x14ac:dyDescent="0.25">
      <c r="A14840">
        <f ca="1">33212.0508014085*((RANDBETWEEN(2979,3282)))</f>
        <v>104186203.36401856</v>
      </c>
      <c r="B14840">
        <v>180035214.35918736</v>
      </c>
    </row>
    <row r="14841" spans="1:2" x14ac:dyDescent="0.25">
      <c r="A14841">
        <f ca="1">29960.8300404755*((RANDBETWEEN(2979,3282)))</f>
        <v>91050962.493005127</v>
      </c>
      <c r="B14841">
        <v>153436715.69985464</v>
      </c>
    </row>
    <row r="14842" spans="1:2" x14ac:dyDescent="0.25">
      <c r="A14842">
        <f ca="1">31784.3262076255*((RANDBETWEEN(2979,3282)))</f>
        <v>95607253.232537523</v>
      </c>
      <c r="B14842">
        <v>168313499.35789448</v>
      </c>
    </row>
    <row r="14843" spans="1:2" x14ac:dyDescent="0.25">
      <c r="A14843">
        <f ca="1">30210.8657266646*((RANDBETWEEN(2979,3282)))</f>
        <v>91780610.077607155</v>
      </c>
      <c r="B14843">
        <v>169056263.69086182</v>
      </c>
    </row>
    <row r="14844" spans="1:2" x14ac:dyDescent="0.25">
      <c r="A14844">
        <f ca="1">38151.4234803902*((RANDBETWEEN(2979,3282)))</f>
        <v>117468232.89612152</v>
      </c>
      <c r="B14844">
        <v>182510096.89482585</v>
      </c>
    </row>
    <row r="14845" spans="1:2" x14ac:dyDescent="0.25">
      <c r="A14845">
        <f ca="1">37246.8435284383*((RANDBETWEEN(2979,3282)))</f>
        <v>119115405.60394552</v>
      </c>
      <c r="B14845">
        <v>158698601.00618166</v>
      </c>
    </row>
    <row r="14846" spans="1:2" x14ac:dyDescent="0.25">
      <c r="A14846">
        <f ca="1">39557.6614739651*((RANDBETWEEN(2979,3282)))</f>
        <v>119226791.68253091</v>
      </c>
      <c r="B14846">
        <v>162355484.67233995</v>
      </c>
    </row>
    <row r="14847" spans="1:2" x14ac:dyDescent="0.25">
      <c r="A14847">
        <f ca="1">32386.4879002289*((RANDBETWEEN(2979,3282)))</f>
        <v>106065747.87324971</v>
      </c>
      <c r="B14847">
        <v>162264375.37843686</v>
      </c>
    </row>
    <row r="14848" spans="1:2" x14ac:dyDescent="0.25">
      <c r="A14848">
        <f ca="1">27691.6335752142*((RANDBETWEEN(2979,3282)))</f>
        <v>89277826.646490619</v>
      </c>
      <c r="B14848">
        <v>147696367.83085269</v>
      </c>
    </row>
    <row r="14849" spans="1:2" x14ac:dyDescent="0.25">
      <c r="A14849">
        <f ca="1">33278.5928942965*((RANDBETWEEN(2979,3282)))</f>
        <v>107855919.57041503</v>
      </c>
      <c r="B14849">
        <v>144146246.57923308</v>
      </c>
    </row>
    <row r="14850" spans="1:2" x14ac:dyDescent="0.25">
      <c r="A14850">
        <f ca="1">31442.4690353646*((RANDBETWEEN(2979,3282)))</f>
        <v>98163388.328408167</v>
      </c>
      <c r="B14850">
        <v>157981096.11558431</v>
      </c>
    </row>
    <row r="14851" spans="1:2" x14ac:dyDescent="0.25">
      <c r="A14851">
        <f ca="1">31904.2758742247*((RANDBETWEEN(2979,3282)))</f>
        <v>99094680.865341917</v>
      </c>
      <c r="B14851">
        <v>147337787.46631759</v>
      </c>
    </row>
    <row r="14852" spans="1:2" x14ac:dyDescent="0.25">
      <c r="A14852">
        <f ca="1">31498.9727436071*((RANDBETWEEN(2979,3282)))</f>
        <v>98906774.414926365</v>
      </c>
      <c r="B14852">
        <v>193869675.42605126</v>
      </c>
    </row>
    <row r="14853" spans="1:2" x14ac:dyDescent="0.25">
      <c r="A14853">
        <f ca="1">31498.9452734006*((RANDBETWEEN(2979,3282)))</f>
        <v>96512768.317699298</v>
      </c>
      <c r="B14853">
        <v>166238580.02937981</v>
      </c>
    </row>
    <row r="14854" spans="1:2" x14ac:dyDescent="0.25">
      <c r="A14854">
        <f ca="1">35313.9276939363*((RANDBETWEEN(2979,3282)))</f>
        <v>110638535.46510233</v>
      </c>
      <c r="B14854">
        <v>191444421.28359276</v>
      </c>
    </row>
    <row r="14855" spans="1:2" x14ac:dyDescent="0.25">
      <c r="A14855">
        <f ca="1">30209.0870107899*((RANDBETWEEN(2979,3282)))</f>
        <v>91775206.338779852</v>
      </c>
      <c r="B14855">
        <v>153520370.38022515</v>
      </c>
    </row>
    <row r="14856" spans="1:2" x14ac:dyDescent="0.25">
      <c r="A14856">
        <f ca="1">39098.395508059*((RANDBETWEEN(2979,3282)))</f>
        <v>116474120.21850763</v>
      </c>
      <c r="B14856">
        <v>165285158.1980508</v>
      </c>
    </row>
    <row r="14857" spans="1:2" x14ac:dyDescent="0.25">
      <c r="A14857">
        <f ca="1">36380.4561792353*((RANDBETWEEN(2979,3282)))</f>
        <v>110487445.41633771</v>
      </c>
      <c r="B14857">
        <v>196650509.21002609</v>
      </c>
    </row>
    <row r="14858" spans="1:2" x14ac:dyDescent="0.25">
      <c r="A14858">
        <f ca="1">34507.7582175779*((RANDBETWEEN(2979,3282)))</f>
        <v>111356535.76812373</v>
      </c>
      <c r="B14858">
        <v>184960172.38892782</v>
      </c>
    </row>
    <row r="14859" spans="1:2" x14ac:dyDescent="0.25">
      <c r="A14859">
        <f ca="1">31985.5616521832*((RANDBETWEEN(2979,3282)))</f>
        <v>99635024.546550512</v>
      </c>
      <c r="B14859">
        <v>176285069.76946446</v>
      </c>
    </row>
    <row r="14860" spans="1:2" x14ac:dyDescent="0.25">
      <c r="A14860">
        <f ca="1">38157.7885352192*((RANDBETWEEN(2979,3282)))</f>
        <v>122791763.50633553</v>
      </c>
      <c r="B14860">
        <v>177311785.14710233</v>
      </c>
    </row>
    <row r="14861" spans="1:2" x14ac:dyDescent="0.25">
      <c r="A14861">
        <f ca="1">31822.2161193593*((RANDBETWEEN(2979,3282)))</f>
        <v>95307537.27748096</v>
      </c>
      <c r="B14861">
        <v>148211977.34906924</v>
      </c>
    </row>
    <row r="14862" spans="1:2" x14ac:dyDescent="0.25">
      <c r="A14862">
        <f ca="1">33881.8197318928*((RANDBETWEEN(2979,3282)))</f>
        <v>103373432.00200482</v>
      </c>
      <c r="B14862">
        <v>167968849.51482692</v>
      </c>
    </row>
    <row r="14863" spans="1:2" x14ac:dyDescent="0.25">
      <c r="A14863">
        <f ca="1">30262.6749436138*((RANDBETWEEN(2979,3282)))</f>
        <v>99231311.140109628</v>
      </c>
      <c r="B14863">
        <v>147868308.7787047</v>
      </c>
    </row>
    <row r="14864" spans="1:2" x14ac:dyDescent="0.25">
      <c r="A14864">
        <f ca="1">32934.7574722531*((RANDBETWEEN(2979,3282)))</f>
        <v>98507859.599508971</v>
      </c>
      <c r="B14864">
        <v>175648193.52177048</v>
      </c>
    </row>
    <row r="14865" spans="1:2" x14ac:dyDescent="0.25">
      <c r="A14865">
        <f ca="1">32438.7894808391*((RANDBETWEEN(2979,3282)))</f>
        <v>102052431.70671971</v>
      </c>
      <c r="B14865">
        <v>183092017.21487767</v>
      </c>
    </row>
    <row r="14866" spans="1:2" x14ac:dyDescent="0.25">
      <c r="A14866">
        <f ca="1">33089.0984311799*((RANDBETWEEN(2979,3282)))</f>
        <v>106679253.34212406</v>
      </c>
      <c r="B14866">
        <v>176832791.07781458</v>
      </c>
    </row>
    <row r="14867" spans="1:2" x14ac:dyDescent="0.25">
      <c r="A14867">
        <f ca="1">35156.5971557474*((RANDBETWEEN(2979,3282)))</f>
        <v>113801904.99315435</v>
      </c>
      <c r="B14867">
        <v>149510286.26464412</v>
      </c>
    </row>
    <row r="14868" spans="1:2" x14ac:dyDescent="0.25">
      <c r="A14868">
        <f ca="1">38699.2967780636*((RANDBETWEEN(2979,3282)))</f>
        <v>120664407.35400234</v>
      </c>
      <c r="B14868">
        <v>177366190.38292807</v>
      </c>
    </row>
    <row r="14869" spans="1:2" x14ac:dyDescent="0.25">
      <c r="A14869">
        <f ca="1">30858.4430201573*((RANDBETWEEN(2979,3282)))</f>
        <v>99364186.52490665</v>
      </c>
      <c r="B14869">
        <v>173509584.68324518</v>
      </c>
    </row>
    <row r="14870" spans="1:2" x14ac:dyDescent="0.25">
      <c r="A14870">
        <f ca="1">32483.304909946*((RANDBETWEEN(2979,3282)))</f>
        <v>103784159.1872775</v>
      </c>
      <c r="B14870">
        <v>174520582.00710821</v>
      </c>
    </row>
    <row r="14871" spans="1:2" x14ac:dyDescent="0.25">
      <c r="A14871">
        <f ca="1">33893.6675767118*((RANDBETWEEN(2979,3282)))</f>
        <v>103070643.1007807</v>
      </c>
      <c r="B14871">
        <v>172257474.96364069</v>
      </c>
    </row>
    <row r="14872" spans="1:2" x14ac:dyDescent="0.25">
      <c r="A14872">
        <f ca="1">30966.704572875*((RANDBETWEEN(2979,3282)))</f>
        <v>98288320.314305365</v>
      </c>
      <c r="B14872">
        <v>144546060.35156161</v>
      </c>
    </row>
    <row r="14873" spans="1:2" x14ac:dyDescent="0.25">
      <c r="A14873">
        <f ca="1">33188.2984711387*((RANDBETWEEN(2979,3282)))</f>
        <v>99233012.428704634</v>
      </c>
      <c r="B14873">
        <v>186475099.40950489</v>
      </c>
    </row>
    <row r="14874" spans="1:2" x14ac:dyDescent="0.25">
      <c r="A14874">
        <f ca="1">36316.6769548636*((RANDBETWEEN(2979,3282)))</f>
        <v>116358632.96338284</v>
      </c>
      <c r="B14874">
        <v>174525322.46204081</v>
      </c>
    </row>
    <row r="14875" spans="1:2" x14ac:dyDescent="0.25">
      <c r="A14875">
        <f ca="1">41762.1511053452*((RANDBETWEEN(2979,3282)))</f>
        <v>129170333.36883259</v>
      </c>
      <c r="B14875">
        <v>158562036.28442097</v>
      </c>
    </row>
    <row r="14876" spans="1:2" x14ac:dyDescent="0.25">
      <c r="A14876">
        <f ca="1">40832.9456029284*((RANDBETWEEN(2979,3282)))</f>
        <v>123723825.17687303</v>
      </c>
      <c r="B14876">
        <v>202130842.49147999</v>
      </c>
    </row>
    <row r="14877" spans="1:2" x14ac:dyDescent="0.25">
      <c r="A14877">
        <f ca="1">30918.7774983627*((RANDBETWEEN(2979,3282)))</f>
        <v>94920646.919973388</v>
      </c>
      <c r="B14877">
        <v>187759007.55246297</v>
      </c>
    </row>
    <row r="14878" spans="1:2" x14ac:dyDescent="0.25">
      <c r="A14878">
        <f ca="1">27174.1047288171*((RANDBETWEEN(2979,3282)))</f>
        <v>80951657.987146035</v>
      </c>
      <c r="B14878">
        <v>200720658.47868499</v>
      </c>
    </row>
    <row r="14879" spans="1:2" x14ac:dyDescent="0.25">
      <c r="A14879">
        <f ca="1">30252.2724026664*((RANDBETWEEN(2979,3282)))</f>
        <v>96716514.871324331</v>
      </c>
      <c r="B14879">
        <v>180493810.39749384</v>
      </c>
    </row>
    <row r="14880" spans="1:2" x14ac:dyDescent="0.25">
      <c r="A14880">
        <f ca="1">31949.3182030724*((RANDBETWEEN(2979,3282)))</f>
        <v>99649923.475382894</v>
      </c>
      <c r="B14880">
        <v>154073549.08367303</v>
      </c>
    </row>
    <row r="14881" spans="1:2" x14ac:dyDescent="0.25">
      <c r="A14881">
        <f ca="1">32340.0365824259*((RANDBETWEEN(2979,3282)))</f>
        <v>98637111.576399073</v>
      </c>
      <c r="B14881">
        <v>152387295.12706256</v>
      </c>
    </row>
    <row r="14882" spans="1:2" x14ac:dyDescent="0.25">
      <c r="A14882">
        <f ca="1">35774.5242684251*((RANDBETWEEN(2979,3282)))</f>
        <v>113906085.27066559</v>
      </c>
      <c r="B14882">
        <v>180191754.27463484</v>
      </c>
    </row>
    <row r="14883" spans="1:2" x14ac:dyDescent="0.25">
      <c r="A14883">
        <f ca="1">38450.6197640858*((RANDBETWEEN(2979,3282)))</f>
        <v>123734094.40082823</v>
      </c>
      <c r="B14883">
        <v>150311799.27815926</v>
      </c>
    </row>
    <row r="14884" spans="1:2" x14ac:dyDescent="0.25">
      <c r="A14884">
        <f ca="1">33679.8427868151*((RANDBETWEEN(2979,3282)))</f>
        <v>102353042.22913118</v>
      </c>
      <c r="B14884">
        <v>199781299.18517289</v>
      </c>
    </row>
    <row r="14885" spans="1:2" x14ac:dyDescent="0.25">
      <c r="A14885">
        <f ca="1">34206.8038897159*((RANDBETWEEN(2979,3282)))</f>
        <v>108640809.15373774</v>
      </c>
      <c r="B14885">
        <v>144556882.3995437</v>
      </c>
    </row>
    <row r="14886" spans="1:2" x14ac:dyDescent="0.25">
      <c r="A14886">
        <f ca="1">33473.1808340777*((RANDBETWEEN(2979,3282)))</f>
        <v>102461406.5331119</v>
      </c>
      <c r="B14886">
        <v>164993054.35603416</v>
      </c>
    </row>
    <row r="14887" spans="1:2" x14ac:dyDescent="0.25">
      <c r="A14887">
        <f ca="1">38615.8412665497*((RANDBETWEEN(2979,3282)))</f>
        <v>115924755.48218231</v>
      </c>
      <c r="B14887">
        <v>191954237.51615542</v>
      </c>
    </row>
    <row r="14888" spans="1:2" x14ac:dyDescent="0.25">
      <c r="A14888">
        <f ca="1">30050.8736918627*((RANDBETWEEN(2979,3282)))</f>
        <v>96673660.666722313</v>
      </c>
      <c r="B14888">
        <v>157888558.63326132</v>
      </c>
    </row>
    <row r="14889" spans="1:2" x14ac:dyDescent="0.25">
      <c r="A14889">
        <f ca="1">31865.2085891888*((RANDBETWEEN(2979,3282)))</f>
        <v>99993024.552874461</v>
      </c>
      <c r="B14889">
        <v>154614074.01243389</v>
      </c>
    </row>
    <row r="14890" spans="1:2" x14ac:dyDescent="0.25">
      <c r="A14890">
        <f ca="1">29345.5707392471*((RANDBETWEEN(2979,3282)))</f>
        <v>90677813.584273487</v>
      </c>
      <c r="B14890">
        <v>153077975.44586831</v>
      </c>
    </row>
    <row r="14891" spans="1:2" x14ac:dyDescent="0.25">
      <c r="A14891">
        <f ca="1">32698.9923776043*((RANDBETWEEN(2979,3282)))</f>
        <v>99535732.797427475</v>
      </c>
      <c r="B14891">
        <v>161985923.77429461</v>
      </c>
    </row>
    <row r="14892" spans="1:2" x14ac:dyDescent="0.25">
      <c r="A14892">
        <f ca="1">32425.7199273053*((RANDBETWEEN(2979,3282)))</f>
        <v>96855625.422860876</v>
      </c>
      <c r="B14892">
        <v>180693854.91932392</v>
      </c>
    </row>
    <row r="14893" spans="1:2" x14ac:dyDescent="0.25">
      <c r="A14893">
        <f ca="1">34237.9868378488*((RANDBETWEEN(2979,3282)))</f>
        <v>108192038.40760222</v>
      </c>
      <c r="B14893">
        <v>184351823.14806336</v>
      </c>
    </row>
    <row r="14894" spans="1:2" x14ac:dyDescent="0.25">
      <c r="A14894">
        <f ca="1">35110.0432072975*((RANDBETWEEN(2979,3282)))</f>
        <v>112738348.73863249</v>
      </c>
      <c r="B14894">
        <v>165084773.79367933</v>
      </c>
    </row>
    <row r="14895" spans="1:2" x14ac:dyDescent="0.25">
      <c r="A14895">
        <f ca="1">34958.847424207*((RANDBETWEEN(2979,3282)))</f>
        <v>112847159.48534027</v>
      </c>
      <c r="B14895">
        <v>161725119.0408105</v>
      </c>
    </row>
    <row r="14896" spans="1:2" x14ac:dyDescent="0.25">
      <c r="A14896">
        <f ca="1">31609.0657533945*((RANDBETWEEN(2979,3282)))</f>
        <v>102887509.02729906</v>
      </c>
      <c r="B14896">
        <v>179185257.15830907</v>
      </c>
    </row>
    <row r="14897" spans="1:2" x14ac:dyDescent="0.25">
      <c r="A14897">
        <f ca="1">33764.0456887288*((RANDBETWEEN(2979,3282)))</f>
        <v>104567249.49799295</v>
      </c>
      <c r="B14897">
        <v>144401199.79757762</v>
      </c>
    </row>
    <row r="14898" spans="1:2" x14ac:dyDescent="0.25">
      <c r="A14898">
        <f ca="1">39922.3155975387*((RANDBETWEEN(2979,3282)))</f>
        <v>120166169.94859162</v>
      </c>
      <c r="B14898">
        <v>177943381.10922441</v>
      </c>
    </row>
    <row r="14899" spans="1:2" x14ac:dyDescent="0.25">
      <c r="A14899">
        <f ca="1">37744.47739122*((RANDBETWEEN(2979,3282)))</f>
        <v>121122027.94842497</v>
      </c>
      <c r="B14899">
        <v>169259409.81693962</v>
      </c>
    </row>
    <row r="14900" spans="1:2" x14ac:dyDescent="0.25">
      <c r="A14900">
        <f ca="1">31336.4998317066*((RANDBETWEEN(2979,3282)))</f>
        <v>95482314.98721005</v>
      </c>
      <c r="B14900">
        <v>168231800.59788573</v>
      </c>
    </row>
    <row r="14901" spans="1:2" x14ac:dyDescent="0.25">
      <c r="A14901">
        <f ca="1">30605.3677496273*((RANDBETWEEN(2979,3282)))</f>
        <v>97875966.063308135</v>
      </c>
      <c r="B14901">
        <v>194135220.12249368</v>
      </c>
    </row>
    <row r="14902" spans="1:2" x14ac:dyDescent="0.25">
      <c r="A14902">
        <f ca="1">35620.8461965666*((RANDBETWEEN(2979,3282)))</f>
        <v>113630499.36704759</v>
      </c>
      <c r="B14902">
        <v>172581235.58009854</v>
      </c>
    </row>
    <row r="14903" spans="1:2" x14ac:dyDescent="0.25">
      <c r="A14903">
        <f ca="1">32212.2331178236*((RANDBETWEEN(2979,3282)))</f>
        <v>101855081.11855838</v>
      </c>
      <c r="B14903">
        <v>184346887.34729689</v>
      </c>
    </row>
    <row r="14904" spans="1:2" x14ac:dyDescent="0.25">
      <c r="A14904">
        <f ca="1">29999.6406395277*((RANDBETWEEN(2979,3282)))</f>
        <v>97648830.281662792</v>
      </c>
      <c r="B14904">
        <v>157589420.7734744</v>
      </c>
    </row>
    <row r="14905" spans="1:2" x14ac:dyDescent="0.25">
      <c r="A14905">
        <f ca="1">28960.2049225819*((RANDBETWEEN(2979,3282)))</f>
        <v>92585775.137494221</v>
      </c>
      <c r="B14905">
        <v>142934698.80942214</v>
      </c>
    </row>
    <row r="14906" spans="1:2" x14ac:dyDescent="0.25">
      <c r="A14906">
        <f ca="1">34369.4374361375*((RANDBETWEEN(2979,3282)))</f>
        <v>110978913.48128793</v>
      </c>
      <c r="B14906">
        <v>160691167.17645246</v>
      </c>
    </row>
    <row r="14907" spans="1:2" x14ac:dyDescent="0.25">
      <c r="A14907">
        <f ca="1">39836.369958972*((RANDBETWEEN(2979,3282)))</f>
        <v>119110746.17732617</v>
      </c>
      <c r="B14907">
        <v>179095013.10905796</v>
      </c>
    </row>
    <row r="14908" spans="1:2" x14ac:dyDescent="0.25">
      <c r="A14908">
        <f ca="1">33424.9995983833*((RANDBETWEEN(2979,3282)))</f>
        <v>107762198.70518774</v>
      </c>
      <c r="B14908">
        <v>200063697.66622961</v>
      </c>
    </row>
    <row r="14909" spans="1:2" x14ac:dyDescent="0.25">
      <c r="A14909">
        <f ca="1">31402.2884735522*((RANDBETWEEN(2979,3282)))</f>
        <v>101963230.67362393</v>
      </c>
      <c r="B14909">
        <v>172039260.55321902</v>
      </c>
    </row>
    <row r="14910" spans="1:2" x14ac:dyDescent="0.25">
      <c r="A14910">
        <f ca="1">31857.7776490444*((RANDBETWEEN(2979,3282)))</f>
        <v>103155484.02760574</v>
      </c>
      <c r="B14910">
        <v>172193250.51630151</v>
      </c>
    </row>
    <row r="14911" spans="1:2" x14ac:dyDescent="0.25">
      <c r="A14911">
        <f ca="1">31965.9244792898*((RANDBETWEEN(2979,3282)))</f>
        <v>102706515.35195825</v>
      </c>
      <c r="B14911">
        <v>202945386.64621189</v>
      </c>
    </row>
    <row r="14912" spans="1:2" x14ac:dyDescent="0.25">
      <c r="A14912">
        <f ca="1">37770.5123690934*((RANDBETWEEN(2979,3282)))</f>
        <v>113009373.00832751</v>
      </c>
      <c r="B14912">
        <v>145787339.19782743</v>
      </c>
    </row>
    <row r="14913" spans="1:2" x14ac:dyDescent="0.25">
      <c r="A14913">
        <f ca="1">34120.5220491349*((RANDBETWEEN(2979,3282)))</f>
        <v>107547885.49887323</v>
      </c>
      <c r="B14913">
        <v>188323476.71251777</v>
      </c>
    </row>
    <row r="14914" spans="1:2" x14ac:dyDescent="0.25">
      <c r="A14914">
        <f ca="1">32698.5897005745*((RANDBETWEEN(2979,3282)))</f>
        <v>106433909.47537005</v>
      </c>
      <c r="B14914">
        <v>152599779.06648529</v>
      </c>
    </row>
    <row r="14915" spans="1:2" x14ac:dyDescent="0.25">
      <c r="A14915">
        <f ca="1">38942.2468949715*((RANDBETWEEN(2979,3282)))</f>
        <v>119513755.72066763</v>
      </c>
      <c r="B14915">
        <v>153686856.72706497</v>
      </c>
    </row>
    <row r="14916" spans="1:2" x14ac:dyDescent="0.25">
      <c r="A14916">
        <f ca="1">34361.7539441001*((RANDBETWEEN(2979,3282)))</f>
        <v>106693245.99643096</v>
      </c>
      <c r="B14916">
        <v>168950679.09555981</v>
      </c>
    </row>
    <row r="14917" spans="1:2" x14ac:dyDescent="0.25">
      <c r="A14917">
        <f ca="1">32176.0036550021*((RANDBETWEEN(2979,3282)))</f>
        <v>100614363.42919162</v>
      </c>
      <c r="B14917">
        <v>148615635.92552382</v>
      </c>
    </row>
    <row r="14918" spans="1:2" x14ac:dyDescent="0.25">
      <c r="A14918">
        <f ca="1">31401.6119075835*((RANDBETWEEN(2979,3282)))</f>
        <v>99323298.463686645</v>
      </c>
      <c r="B14918">
        <v>193355384.91773945</v>
      </c>
    </row>
    <row r="14919" spans="1:2" x14ac:dyDescent="0.25">
      <c r="A14919">
        <f ca="1">27698.1057446819*((RANDBETWEEN(2979,3282)))</f>
        <v>87249033.095748127</v>
      </c>
      <c r="B14919">
        <v>160134822.6507974</v>
      </c>
    </row>
    <row r="14920" spans="1:2" x14ac:dyDescent="0.25">
      <c r="A14920">
        <f ca="1">32493.1870038224*((RANDBETWEEN(2979,3282)))</f>
        <v>102873430.05410184</v>
      </c>
      <c r="B14920">
        <v>150789776.04321784</v>
      </c>
    </row>
    <row r="14921" spans="1:2" x14ac:dyDescent="0.25">
      <c r="A14921">
        <f ca="1">31523.0000986021*((RANDBETWEEN(2979,3282)))</f>
        <v>100211617.31345594</v>
      </c>
      <c r="B14921">
        <v>167713832.27475119</v>
      </c>
    </row>
    <row r="14922" spans="1:2" x14ac:dyDescent="0.25">
      <c r="A14922">
        <f ca="1">33101.5588219973*((RANDBETWEEN(2979,3282)))</f>
        <v>100860449.73062564</v>
      </c>
      <c r="B14922">
        <v>193305788.3896842</v>
      </c>
    </row>
    <row r="14923" spans="1:2" x14ac:dyDescent="0.25">
      <c r="A14923">
        <f ca="1">32545.903990082*((RANDBETWEEN(2979,3282)))</f>
        <v>99069731.745809615</v>
      </c>
      <c r="B14923">
        <v>151214634.50465125</v>
      </c>
    </row>
    <row r="14924" spans="1:2" x14ac:dyDescent="0.25">
      <c r="A14924">
        <f ca="1">29472.9627443661*((RANDBETWEEN(2979,3282)))</f>
        <v>91837751.911444664</v>
      </c>
      <c r="B14924">
        <v>147184384.51663649</v>
      </c>
    </row>
    <row r="14925" spans="1:2" x14ac:dyDescent="0.25">
      <c r="A14925">
        <f ca="1">30822.7526666914*((RANDBETWEEN(2979,3282)))</f>
        <v>99341731.844746307</v>
      </c>
      <c r="B14925">
        <v>158149186.24905187</v>
      </c>
    </row>
    <row r="14926" spans="1:2" x14ac:dyDescent="0.25">
      <c r="A14926">
        <f ca="1">29925.860984772*((RANDBETWEEN(2979,3282)))</f>
        <v>96331346.509980932</v>
      </c>
      <c r="B14926">
        <v>201274487.26216882</v>
      </c>
    </row>
    <row r="14927" spans="1:2" x14ac:dyDescent="0.25">
      <c r="A14927">
        <f ca="1">30086.3819307334*((RANDBETWEEN(2979,3282)))</f>
        <v>91161737.250122339</v>
      </c>
      <c r="B14927">
        <v>176535816.89031306</v>
      </c>
    </row>
    <row r="14928" spans="1:2" x14ac:dyDescent="0.25">
      <c r="A14928">
        <f ca="1">37523.5331776448*((RANDBETWEEN(2979,3282)))</f>
        <v>121989006.3605233</v>
      </c>
      <c r="B14928">
        <v>150532113.75568101</v>
      </c>
    </row>
    <row r="14929" spans="1:2" x14ac:dyDescent="0.25">
      <c r="A14929">
        <f ca="1">29697.2024086164*((RANDBETWEEN(2979,3282)))</f>
        <v>97288035.090627432</v>
      </c>
      <c r="B14929">
        <v>195718511.10426536</v>
      </c>
    </row>
    <row r="14930" spans="1:2" x14ac:dyDescent="0.25">
      <c r="A14930">
        <f ca="1">31238.429154901*((RANDBETWEEN(2979,3282)))</f>
        <v>94964824.630899116</v>
      </c>
      <c r="B14930">
        <v>144374542.27137482</v>
      </c>
    </row>
    <row r="14931" spans="1:2" x14ac:dyDescent="0.25">
      <c r="A14931">
        <f ca="1">38421.0451206837*((RANDBETWEEN(2979,3282)))</f>
        <v>115109451.1815685</v>
      </c>
      <c r="B14931">
        <v>145927905.28870672</v>
      </c>
    </row>
    <row r="14932" spans="1:2" x14ac:dyDescent="0.25">
      <c r="A14932">
        <f ca="1">35144.5243367344*((RANDBETWEEN(2979,3282)))</f>
        <v>110564673.56336638</v>
      </c>
      <c r="B14932">
        <v>174785619.35675216</v>
      </c>
    </row>
    <row r="14933" spans="1:2" x14ac:dyDescent="0.25">
      <c r="A14933">
        <f ca="1">37698.6393755985*((RANDBETWEEN(2979,3282)))</f>
        <v>123161454.84008025</v>
      </c>
      <c r="B14933">
        <v>173024906.18237281</v>
      </c>
    </row>
    <row r="14934" spans="1:2" x14ac:dyDescent="0.25">
      <c r="A14934">
        <f ca="1">34444.2269879461*((RANDBETWEEN(2979,3282)))</f>
        <v>107638209.33733155</v>
      </c>
      <c r="B14934">
        <v>144339637.71563649</v>
      </c>
    </row>
    <row r="14935" spans="1:2" x14ac:dyDescent="0.25">
      <c r="A14935">
        <f ca="1">30552.2199320659*((RANDBETWEEN(2979,3282)))</f>
        <v>93153718.572868839</v>
      </c>
      <c r="B14935">
        <v>194146933.29655635</v>
      </c>
    </row>
    <row r="14936" spans="1:2" x14ac:dyDescent="0.25">
      <c r="A14936">
        <f ca="1">32197.7402054869*((RANDBETWEEN(2979,3282)))</f>
        <v>101229695.20605086</v>
      </c>
      <c r="B14936">
        <v>173271710.75203916</v>
      </c>
    </row>
    <row r="14937" spans="1:2" x14ac:dyDescent="0.25">
      <c r="A14937">
        <f ca="1">29191.2688600376*((RANDBETWEEN(2979,3282)))</f>
        <v>92857426.24377957</v>
      </c>
      <c r="B14937">
        <v>198880754.91820258</v>
      </c>
    </row>
    <row r="14938" spans="1:2" x14ac:dyDescent="0.25">
      <c r="A14938">
        <f ca="1">34046.3074459293*((RANDBETWEEN(2979,3282)))</f>
        <v>104011469.2473139</v>
      </c>
      <c r="B14938">
        <v>190748778.13145417</v>
      </c>
    </row>
    <row r="14939" spans="1:2" x14ac:dyDescent="0.25">
      <c r="A14939">
        <f ca="1">40971.9688533402*((RANDBETWEEN(2979,3282)))</f>
        <v>130045029.1405018</v>
      </c>
      <c r="B14939">
        <v>162368677.91602921</v>
      </c>
    </row>
    <row r="14940" spans="1:2" x14ac:dyDescent="0.25">
      <c r="A14940">
        <f ca="1">29656.4680955709*((RANDBETWEEN(2979,3282)))</f>
        <v>88405931.39289692</v>
      </c>
      <c r="B14940">
        <v>155465616.50146717</v>
      </c>
    </row>
    <row r="14941" spans="1:2" x14ac:dyDescent="0.25">
      <c r="A14941">
        <f ca="1">30081.0303968313*((RANDBETWEEN(2979,3282)))</f>
        <v>98364969.397638395</v>
      </c>
      <c r="B14941">
        <v>150286147.57111454</v>
      </c>
    </row>
    <row r="14942" spans="1:2" x14ac:dyDescent="0.25">
      <c r="A14942">
        <f ca="1">32174.979967803*((RANDBETWEEN(2979,3282)))</f>
        <v>98777188.501155064</v>
      </c>
      <c r="B14942">
        <v>155282625.25607383</v>
      </c>
    </row>
    <row r="14943" spans="1:2" x14ac:dyDescent="0.25">
      <c r="A14943">
        <f ca="1">35213.3481119077*((RANDBETWEEN(2979,3282)))</f>
        <v>112753140.6543283</v>
      </c>
      <c r="B14943">
        <v>174373852.32678613</v>
      </c>
    </row>
    <row r="14944" spans="1:2" x14ac:dyDescent="0.25">
      <c r="A14944">
        <f ca="1">39195.5041300916*((RANDBETWEEN(2979,3282)))</f>
        <v>125347222.208033</v>
      </c>
      <c r="B14944">
        <v>178560483.56364653</v>
      </c>
    </row>
    <row r="14945" spans="1:2" x14ac:dyDescent="0.25">
      <c r="A14945">
        <f ca="1">33107.9758613912*((RANDBETWEEN(2979,3282)))</f>
        <v>100714462.57035214</v>
      </c>
      <c r="B14945">
        <v>176628452.4391554</v>
      </c>
    </row>
    <row r="14946" spans="1:2" x14ac:dyDescent="0.25">
      <c r="A14946">
        <f ca="1">34618.9758355182*((RANDBETWEEN(2979,3282)))</f>
        <v>109430582.61607307</v>
      </c>
      <c r="B14946">
        <v>154534432.59159011</v>
      </c>
    </row>
    <row r="14947" spans="1:2" x14ac:dyDescent="0.25">
      <c r="A14947">
        <f ca="1">30878.7653609528*((RANDBETWEEN(2979,3282)))</f>
        <v>93933204.228018522</v>
      </c>
      <c r="B14947">
        <v>172203879.49139613</v>
      </c>
    </row>
    <row r="14948" spans="1:2" x14ac:dyDescent="0.25">
      <c r="A14948">
        <f ca="1">31035.3217450234*((RANDBETWEEN(2979,3282)))</f>
        <v>92795612.017619953</v>
      </c>
      <c r="B14948">
        <v>189426536.90896907</v>
      </c>
    </row>
    <row r="14949" spans="1:2" x14ac:dyDescent="0.25">
      <c r="A14949">
        <f ca="1">33141.771410773*((RANDBETWEEN(2979,3282)))</f>
        <v>107644473.54219073</v>
      </c>
      <c r="B14949">
        <v>143852912.40147233</v>
      </c>
    </row>
    <row r="14950" spans="1:2" x14ac:dyDescent="0.25">
      <c r="A14950">
        <f ca="1">31941.9331909408*((RANDBETWEEN(2979,3282)))</f>
        <v>103108560.34035692</v>
      </c>
      <c r="B14950">
        <v>194087777.63662824</v>
      </c>
    </row>
    <row r="14951" spans="1:2" x14ac:dyDescent="0.25">
      <c r="A14951">
        <f ca="1">39362.1599654721*((RANDBETWEEN(2979,3282)))</f>
        <v>119582241.97510417</v>
      </c>
      <c r="B14951">
        <v>157488842.0525803</v>
      </c>
    </row>
    <row r="14952" spans="1:2" x14ac:dyDescent="0.25">
      <c r="A14952">
        <f ca="1">32123.9284520397*((RANDBETWEEN(2979,3282)))</f>
        <v>97785238.208008766</v>
      </c>
      <c r="B14952">
        <v>148399626.53465044</v>
      </c>
    </row>
    <row r="14953" spans="1:2" x14ac:dyDescent="0.25">
      <c r="A14953">
        <f ca="1">30698.953608132*((RANDBETWEEN(2979,3282)))</f>
        <v>97284983.984170347</v>
      </c>
      <c r="B14953">
        <v>190563782.52831653</v>
      </c>
    </row>
    <row r="14954" spans="1:2" x14ac:dyDescent="0.25">
      <c r="A14954">
        <f ca="1">39249.9245584689*((RANDBETWEEN(2979,3282)))</f>
        <v>122263514.9996307</v>
      </c>
      <c r="B14954">
        <v>178434221.29729503</v>
      </c>
    </row>
    <row r="14955" spans="1:2" x14ac:dyDescent="0.25">
      <c r="A14955">
        <f ca="1">30937.9720526739*((RANDBETWEEN(2979,3282)))</f>
        <v>92164218.744915441</v>
      </c>
      <c r="B14955">
        <v>155858646.59609824</v>
      </c>
    </row>
    <row r="14956" spans="1:2" x14ac:dyDescent="0.25">
      <c r="A14956">
        <f ca="1">33437.4763690566*((RANDBETWEEN(2979,3282)))</f>
        <v>107401174.09740993</v>
      </c>
      <c r="B14956">
        <v>169217461.36985007</v>
      </c>
    </row>
    <row r="14957" spans="1:2" x14ac:dyDescent="0.25">
      <c r="A14957">
        <f ca="1">32337.8533723647*((RANDBETWEEN(2979,3282)))</f>
        <v>98501101.372223005</v>
      </c>
      <c r="B14957">
        <v>149798553.19674021</v>
      </c>
    </row>
    <row r="14958" spans="1:2" x14ac:dyDescent="0.25">
      <c r="A14958">
        <f ca="1">31159.5126429604*((RANDBETWEEN(2979,3282)))</f>
        <v>93353899.87830925</v>
      </c>
      <c r="B14958">
        <v>164682612.07411608</v>
      </c>
    </row>
    <row r="14959" spans="1:2" x14ac:dyDescent="0.25">
      <c r="A14959">
        <f ca="1">27031.2733111147*((RANDBETWEEN(2979,3282)))</f>
        <v>82093977.045855224</v>
      </c>
      <c r="B14959">
        <v>151614825.64828998</v>
      </c>
    </row>
    <row r="14960" spans="1:2" x14ac:dyDescent="0.25">
      <c r="A14960">
        <f ca="1">31317.9336828817*((RANDBETWEEN(2979,3282)))</f>
        <v>102534914.87775464</v>
      </c>
      <c r="B14960">
        <v>192831789.16284025</v>
      </c>
    </row>
    <row r="14961" spans="1:2" x14ac:dyDescent="0.25">
      <c r="A14961">
        <f ca="1">32195.105308996*((RANDBETWEEN(2979,3282)))</f>
        <v>105406774.7816529</v>
      </c>
      <c r="B14961">
        <v>166368182.42572266</v>
      </c>
    </row>
    <row r="14962" spans="1:2" x14ac:dyDescent="0.25">
      <c r="A14962">
        <f ca="1">37429.140734345*((RANDBETWEEN(2979,3282)))</f>
        <v>122730152.46791741</v>
      </c>
      <c r="B14962">
        <v>163404554.22103432</v>
      </c>
    </row>
    <row r="14963" spans="1:2" x14ac:dyDescent="0.25">
      <c r="A14963">
        <f ca="1">32483.5402949952*((RANDBETWEEN(2979,3282)))</f>
        <v>103395108.75896981</v>
      </c>
      <c r="B14963">
        <v>167930351.17360237</v>
      </c>
    </row>
    <row r="14964" spans="1:2" x14ac:dyDescent="0.25">
      <c r="A14964">
        <f ca="1">33633.327037668*((RANDBETWEEN(2979,3282)))</f>
        <v>102211680.86747305</v>
      </c>
      <c r="B14964">
        <v>172808755.59720892</v>
      </c>
    </row>
    <row r="14965" spans="1:2" x14ac:dyDescent="0.25">
      <c r="A14965">
        <f ca="1">34975.3917017923*((RANDBETWEEN(2979,3282)))</f>
        <v>109053271.32618853</v>
      </c>
      <c r="B14965">
        <v>188960987.77191088</v>
      </c>
    </row>
    <row r="14966" spans="1:2" x14ac:dyDescent="0.25">
      <c r="A14966">
        <f ca="1">42735.116804309*((RANDBETWEEN(2979,3282)))</f>
        <v>128846377.16499166</v>
      </c>
      <c r="B14966">
        <v>200704743.74206755</v>
      </c>
    </row>
    <row r="14967" spans="1:2" x14ac:dyDescent="0.25">
      <c r="A14967">
        <f ca="1">38372.1163485766*((RANDBETWEEN(2979,3282)))</f>
        <v>114617511.53319828</v>
      </c>
      <c r="B14967">
        <v>182100769.70510957</v>
      </c>
    </row>
    <row r="14968" spans="1:2" x14ac:dyDescent="0.25">
      <c r="A14968">
        <f ca="1">29960.6228400688*((RANDBETWEEN(2979,3282)))</f>
        <v>96593048.036381975</v>
      </c>
      <c r="B14968">
        <v>188923637.57160741</v>
      </c>
    </row>
    <row r="14969" spans="1:2" x14ac:dyDescent="0.25">
      <c r="A14969">
        <f ca="1">30186.9170721509*((RANDBETWEEN(2979,3282)))</f>
        <v>93881312.094389394</v>
      </c>
      <c r="B14969">
        <v>146440136.13925695</v>
      </c>
    </row>
    <row r="14970" spans="1:2" x14ac:dyDescent="0.25">
      <c r="A14970">
        <f ca="1">32032.0070095861*((RANDBETWEEN(2979,3282)))</f>
        <v>99619541.799812853</v>
      </c>
      <c r="B14970">
        <v>203368986.13615316</v>
      </c>
    </row>
    <row r="14971" spans="1:2" x14ac:dyDescent="0.25">
      <c r="A14971">
        <f ca="1">38206.2086303177*((RANDBETWEEN(2979,3282)))</f>
        <v>124170178.04853262</v>
      </c>
      <c r="B14971">
        <v>191706325.09484914</v>
      </c>
    </row>
    <row r="14972" spans="1:2" x14ac:dyDescent="0.25">
      <c r="A14972">
        <f ca="1">32579.5781180461*((RANDBETWEEN(2979,3282)))</f>
        <v>106079106.35235797</v>
      </c>
      <c r="B14972">
        <v>182497345.36246294</v>
      </c>
    </row>
    <row r="14973" spans="1:2" x14ac:dyDescent="0.25">
      <c r="A14973">
        <f ca="1">30993.0597910641*((RANDBETWEEN(2979,3282)))</f>
        <v>94869756.020447195</v>
      </c>
      <c r="B14973">
        <v>186512638.88385385</v>
      </c>
    </row>
    <row r="14974" spans="1:2" x14ac:dyDescent="0.25">
      <c r="A14974">
        <f ca="1">30224.9172810076*((RANDBETWEEN(2979,3282)))</f>
        <v>90312052.835650668</v>
      </c>
      <c r="B14974">
        <v>189523636.29697451</v>
      </c>
    </row>
    <row r="14975" spans="1:2" x14ac:dyDescent="0.25">
      <c r="A14975">
        <f ca="1">35397.6312016551*((RANDBETWEEN(2979,3282)))</f>
        <v>106830050.96659499</v>
      </c>
      <c r="B14975">
        <v>175303054.422622</v>
      </c>
    </row>
    <row r="14976" spans="1:2" x14ac:dyDescent="0.25">
      <c r="A14976">
        <f ca="1">32138.9354537008*((RANDBETWEEN(2979,3282)))</f>
        <v>100016367.1319169</v>
      </c>
      <c r="B14976">
        <v>198981961.03703696</v>
      </c>
    </row>
    <row r="14977" spans="1:2" x14ac:dyDescent="0.25">
      <c r="A14977">
        <f ca="1">35311.5056256531*((RANDBETWEEN(2979,3282)))</f>
        <v>105510778.80945158</v>
      </c>
      <c r="B14977">
        <v>193629593.85326847</v>
      </c>
    </row>
    <row r="14978" spans="1:2" x14ac:dyDescent="0.25">
      <c r="A14978">
        <f ca="1">30339.8155769091*((RANDBETWEEN(2979,3282)))</f>
        <v>92354398.616111442</v>
      </c>
      <c r="B14978">
        <v>172871248.01121491</v>
      </c>
    </row>
    <row r="14979" spans="1:2" x14ac:dyDescent="0.25">
      <c r="A14979">
        <f ca="1">32910.6061891353*((RANDBETWEEN(2979,3282)))</f>
        <v>104688638.28763948</v>
      </c>
      <c r="B14979">
        <v>168102937.96230564</v>
      </c>
    </row>
    <row r="14980" spans="1:2" x14ac:dyDescent="0.25">
      <c r="A14980">
        <f ca="1">32186.0443983983*((RANDBETWEEN(2979,3282)))</f>
        <v>104765574.51678655</v>
      </c>
      <c r="B14980">
        <v>143717731.43799573</v>
      </c>
    </row>
    <row r="14981" spans="1:2" x14ac:dyDescent="0.25">
      <c r="A14981">
        <f ca="1">33539.1429265996*((RANDBETWEEN(2979,3282)))</f>
        <v>108834518.79681572</v>
      </c>
      <c r="B14981">
        <v>179419511.60290283</v>
      </c>
    </row>
    <row r="14982" spans="1:2" x14ac:dyDescent="0.25">
      <c r="A14982">
        <f ca="1">39051.0704821613*((RANDBETWEEN(2979,3282)))</f>
        <v>117973283.92660929</v>
      </c>
      <c r="B14982">
        <v>173185751.04338902</v>
      </c>
    </row>
    <row r="14983" spans="1:2" x14ac:dyDescent="0.25">
      <c r="A14983">
        <f ca="1">32498.6627980446*((RANDBETWEEN(2979,3282)))</f>
        <v>102825769.09301318</v>
      </c>
      <c r="B14983">
        <v>160031179.07971621</v>
      </c>
    </row>
    <row r="14984" spans="1:2" x14ac:dyDescent="0.25">
      <c r="A14984">
        <f ca="1">31446.3062949542*((RANDBETWEEN(2979,3282)))</f>
        <v>95030737.62335147</v>
      </c>
      <c r="B14984">
        <v>180466418.51534683</v>
      </c>
    </row>
    <row r="14985" spans="1:2" x14ac:dyDescent="0.25">
      <c r="A14985">
        <f ca="1">31933.0759796697*((RANDBETWEEN(2979,3282)))</f>
        <v>102058110.83102423</v>
      </c>
      <c r="B14985">
        <v>162540438.21624655</v>
      </c>
    </row>
    <row r="14986" spans="1:2" x14ac:dyDescent="0.25">
      <c r="A14986">
        <f ca="1">30177.7395475242*((RANDBETWEEN(2979,3282)))</f>
        <v>98288897.706286162</v>
      </c>
      <c r="B14986">
        <v>194227961.76992089</v>
      </c>
    </row>
    <row r="14987" spans="1:2" x14ac:dyDescent="0.25">
      <c r="A14987">
        <f ca="1">30661.5282509921*((RANDBETWEEN(2979,3282)))</f>
        <v>99619305.287473381</v>
      </c>
      <c r="B14987">
        <v>160683948.01084411</v>
      </c>
    </row>
    <row r="14988" spans="1:2" x14ac:dyDescent="0.25">
      <c r="A14988">
        <f ca="1">32754.870223056*((RANDBETWEEN(2979,3282)))</f>
        <v>99509295.737644091</v>
      </c>
      <c r="B14988">
        <v>155755337.2580196</v>
      </c>
    </row>
    <row r="14989" spans="1:2" x14ac:dyDescent="0.25">
      <c r="A14989">
        <f ca="1">34131.3404893668*((RANDBETWEEN(2979,3282)))</f>
        <v>110073573.078208</v>
      </c>
      <c r="B14989">
        <v>148239217.04743338</v>
      </c>
    </row>
    <row r="14990" spans="1:2" x14ac:dyDescent="0.25">
      <c r="A14990">
        <f ca="1">39710.1713184731*((RANDBETWEEN(2979,3282)))</f>
        <v>120321819.09497346</v>
      </c>
      <c r="B14990">
        <v>169018124.59358603</v>
      </c>
    </row>
    <row r="14991" spans="1:2" x14ac:dyDescent="0.25">
      <c r="A14991">
        <f ca="1">36858.7777883201*((RANDBETWEEN(2979,3282)))</f>
        <v>113856764.58812089</v>
      </c>
      <c r="B14991">
        <v>154993039.18429384</v>
      </c>
    </row>
    <row r="14992" spans="1:2" x14ac:dyDescent="0.25">
      <c r="A14992">
        <f ca="1">30518.4293165194*((RANDBETWEEN(2979,3282)))</f>
        <v>96773939.362683013</v>
      </c>
      <c r="B14992">
        <v>191507385.627736</v>
      </c>
    </row>
    <row r="14993" spans="1:2" x14ac:dyDescent="0.25">
      <c r="A14993">
        <f ca="1">31613.3226592345*((RANDBETWEEN(2979,3282)))</f>
        <v>98443886.760856315</v>
      </c>
      <c r="B14993">
        <v>188795080.87135914</v>
      </c>
    </row>
    <row r="14994" spans="1:2" x14ac:dyDescent="0.25">
      <c r="A14994">
        <f ca="1">39074.2760405576*((RANDBETWEEN(2979,3282)))</f>
        <v>121481924.21009363</v>
      </c>
      <c r="B14994">
        <v>180797228.0463945</v>
      </c>
    </row>
    <row r="14995" spans="1:2" x14ac:dyDescent="0.25">
      <c r="A14995">
        <f ca="1">35908.105353721*((RANDBETWEEN(2979,3282)))</f>
        <v>117455412.61202154</v>
      </c>
      <c r="B14995">
        <v>143647090.29538959</v>
      </c>
    </row>
    <row r="14996" spans="1:2" x14ac:dyDescent="0.25">
      <c r="A14996">
        <f ca="1">32560.1663295291*((RANDBETWEEN(2979,3282)))</f>
        <v>99210826.806075156</v>
      </c>
      <c r="B14996">
        <v>164064862.43608055</v>
      </c>
    </row>
    <row r="14997" spans="1:2" x14ac:dyDescent="0.25">
      <c r="A14997">
        <f ca="1">31132.6908224582*((RANDBETWEEN(2979,3282)))</f>
        <v>97943445.327453613</v>
      </c>
      <c r="B14997">
        <v>145543307.1624372</v>
      </c>
    </row>
    <row r="14998" spans="1:2" x14ac:dyDescent="0.25">
      <c r="A14998">
        <f ca="1">33400.191994852*((RANDBETWEEN(2979,3282)))</f>
        <v>103273393.64808241</v>
      </c>
      <c r="B14998">
        <v>143040625.1121479</v>
      </c>
    </row>
    <row r="14999" spans="1:2" x14ac:dyDescent="0.25">
      <c r="A14999">
        <f ca="1">33957.7760887702*((RANDBETWEEN(2979,3282)))</f>
        <v>105744514.7404305</v>
      </c>
      <c r="B14999">
        <v>143778987.65428883</v>
      </c>
    </row>
    <row r="15000" spans="1:2" x14ac:dyDescent="0.25">
      <c r="A15000">
        <f ca="1">30217.0542688529*((RANDBETWEEN(2979,3282)))</f>
        <v>93884387.613325894</v>
      </c>
      <c r="B15000">
        <v>148987685.07292372</v>
      </c>
    </row>
    <row r="15001" spans="1:2" x14ac:dyDescent="0.25">
      <c r="A15001">
        <f ca="1">29611.4006804934*((RANDBETWEEN(2979,3282)))</f>
        <v>94075419.961927548</v>
      </c>
      <c r="B15001">
        <v>151610054.94400096</v>
      </c>
    </row>
    <row r="15002" spans="1:2" x14ac:dyDescent="0.25">
      <c r="A15002">
        <f ca="1">32313.1892080887*((RANDBETWEEN(2979,3282)))</f>
        <v>99363056.814872816</v>
      </c>
      <c r="B15002">
        <v>200404022.05841121</v>
      </c>
    </row>
    <row r="15003" spans="1:2" x14ac:dyDescent="0.25">
      <c r="A15003">
        <f ca="1">30569.1423483522*((RANDBETWEEN(2979,3282)))</f>
        <v>100327925.18729201</v>
      </c>
      <c r="B15003">
        <v>174394705.88327286</v>
      </c>
    </row>
    <row r="15004" spans="1:2" x14ac:dyDescent="0.25">
      <c r="A15004">
        <f ca="1">34942.9265476897*((RANDBETWEEN(2979,3282)))</f>
        <v>106051782.07223837</v>
      </c>
      <c r="B15004">
        <v>191152058.87141991</v>
      </c>
    </row>
    <row r="15005" spans="1:2" x14ac:dyDescent="0.25">
      <c r="A15005">
        <f ca="1">30818.5359876445*((RANDBETWEEN(2979,3282)))</f>
        <v>99636326.848054618</v>
      </c>
      <c r="B15005">
        <v>190882969.13543984</v>
      </c>
    </row>
    <row r="15006" spans="1:2" x14ac:dyDescent="0.25">
      <c r="A15006">
        <f ca="1">37739.8713408765*((RANDBETWEEN(2979,3282)))</f>
        <v>114615989.26224191</v>
      </c>
      <c r="B15006">
        <v>189734765.71780413</v>
      </c>
    </row>
    <row r="15007" spans="1:2" x14ac:dyDescent="0.25">
      <c r="A15007">
        <f ca="1">42051.16290175*((RANDBETWEEN(2979,3282)))</f>
        <v>129601684.06319344</v>
      </c>
      <c r="B15007">
        <v>190385082.02028698</v>
      </c>
    </row>
    <row r="15008" spans="1:2" x14ac:dyDescent="0.25">
      <c r="A15008">
        <f ca="1">31768.6511473622*((RANDBETWEEN(2979,3282)))</f>
        <v>98609893.161412209</v>
      </c>
      <c r="B15008">
        <v>145448185.02406079</v>
      </c>
    </row>
    <row r="15009" spans="1:2" x14ac:dyDescent="0.25">
      <c r="A15009">
        <f ca="1">37582.431606982*((RANDBETWEEN(2979,3282)))</f>
        <v>123270375.67090112</v>
      </c>
      <c r="B15009">
        <v>154371418.98084557</v>
      </c>
    </row>
    <row r="15010" spans="1:2" x14ac:dyDescent="0.25">
      <c r="A15010">
        <f ca="1">33102.5048759177*((RANDBETWEEN(2979,3282)))</f>
        <v>108145883.42962301</v>
      </c>
      <c r="B15010">
        <v>151315627.97435436</v>
      </c>
    </row>
    <row r="15011" spans="1:2" x14ac:dyDescent="0.25">
      <c r="A15011">
        <f ca="1">37534.2029488084*((RANDBETWEEN(2979,3282)))</f>
        <v>121197941.32170238</v>
      </c>
      <c r="B15011">
        <v>146333550.96256751</v>
      </c>
    </row>
    <row r="15012" spans="1:2" x14ac:dyDescent="0.25">
      <c r="A15012">
        <f ca="1">31483.7267391079*((RANDBETWEEN(2979,3282)))</f>
        <v>94482663.944062784</v>
      </c>
      <c r="B15012">
        <v>152908067.45090091</v>
      </c>
    </row>
    <row r="15013" spans="1:2" x14ac:dyDescent="0.25">
      <c r="A15013">
        <f ca="1">39343.6509502325*((RANDBETWEEN(2979,3282)))</f>
        <v>122870221.91757603</v>
      </c>
      <c r="B15013">
        <v>176645733.49051484</v>
      </c>
    </row>
    <row r="15014" spans="1:2" x14ac:dyDescent="0.25">
      <c r="A15014">
        <f ca="1">30800.2141314035*((RANDBETWEEN(2979,3282)))</f>
        <v>97975481.151994482</v>
      </c>
      <c r="B15014">
        <v>176876851.13859692</v>
      </c>
    </row>
    <row r="15015" spans="1:2" x14ac:dyDescent="0.25">
      <c r="A15015">
        <f ca="1">29998.8642946245*((RANDBETWEEN(2979,3282)))</f>
        <v>93446462.27775526</v>
      </c>
      <c r="B15015">
        <v>169378381.81919569</v>
      </c>
    </row>
    <row r="15016" spans="1:2" x14ac:dyDescent="0.25">
      <c r="A15016">
        <f ca="1">34745.9583457554*((RANDBETWEEN(2979,3282)))</f>
        <v>112020969.70671551</v>
      </c>
      <c r="B15016">
        <v>147621824.31520733</v>
      </c>
    </row>
    <row r="15017" spans="1:2" x14ac:dyDescent="0.25">
      <c r="A15017">
        <f ca="1">31781.884515257*((RANDBETWEEN(2979,3282)))</f>
        <v>103005087.71394792</v>
      </c>
      <c r="B15017">
        <v>172329595.30708066</v>
      </c>
    </row>
    <row r="15018" spans="1:2" x14ac:dyDescent="0.25">
      <c r="A15018">
        <f ca="1">32654.1346076753*((RANDBETWEEN(2979,3282)))</f>
        <v>106256554.01337548</v>
      </c>
      <c r="B15018">
        <v>181914745.53305539</v>
      </c>
    </row>
    <row r="15019" spans="1:2" x14ac:dyDescent="0.25">
      <c r="A15019">
        <f ca="1">37328.4048061342*((RANDBETWEEN(2979,3282)))</f>
        <v>119226924.9507927</v>
      </c>
      <c r="B15019">
        <v>161003773.54194438</v>
      </c>
    </row>
    <row r="15020" spans="1:2" x14ac:dyDescent="0.25">
      <c r="A15020">
        <f ca="1">39368.3938419935*((RANDBETWEEN(2979,3282)))</f>
        <v>127238648.89732306</v>
      </c>
      <c r="B15020">
        <v>186757376.26297843</v>
      </c>
    </row>
    <row r="15021" spans="1:2" x14ac:dyDescent="0.25">
      <c r="A15021">
        <f ca="1">31499.6260618759*((RANDBETWEEN(2979,3282)))</f>
        <v>95286368.83717446</v>
      </c>
      <c r="B15021">
        <v>197182064.97976339</v>
      </c>
    </row>
    <row r="15022" spans="1:2" x14ac:dyDescent="0.25">
      <c r="A15022">
        <f ca="1">35672.4024813442*((RANDBETWEEN(2979,3282)))</f>
        <v>115756946.05196176</v>
      </c>
      <c r="B15022">
        <v>151034127.17960292</v>
      </c>
    </row>
    <row r="15023" spans="1:2" x14ac:dyDescent="0.25">
      <c r="A15023">
        <f ca="1">31624.2103517541*((RANDBETWEEN(2979,3282)))</f>
        <v>103316295.21918067</v>
      </c>
      <c r="B15023">
        <v>168138022.03920627</v>
      </c>
    </row>
    <row r="15024" spans="1:2" x14ac:dyDescent="0.25">
      <c r="A15024">
        <f ca="1">31542.7216803623*((RANDBETWEEN(2979,3282)))</f>
        <v>101851448.30588995</v>
      </c>
      <c r="B15024">
        <v>180541188.44663695</v>
      </c>
    </row>
    <row r="15025" spans="1:2" x14ac:dyDescent="0.25">
      <c r="A15025">
        <f ca="1">29711.8453348346*((RANDBETWEEN(2979,3282)))</f>
        <v>90918246.724593997</v>
      </c>
      <c r="B15025">
        <v>178769783.26301581</v>
      </c>
    </row>
    <row r="15026" spans="1:2" x14ac:dyDescent="0.25">
      <c r="A15026">
        <f ca="1">27896.2212521709*((RANDBETWEEN(2979,3282)))</f>
        <v>86366700.996721134</v>
      </c>
      <c r="B15026">
        <v>145762336.2148217</v>
      </c>
    </row>
    <row r="15027" spans="1:2" x14ac:dyDescent="0.25">
      <c r="A15027">
        <f ca="1">31377.732121315*((RANDBETWEEN(2979,3282)))</f>
        <v>100471498.25245059</v>
      </c>
      <c r="B15027">
        <v>165888318.8874</v>
      </c>
    </row>
    <row r="15028" spans="1:2" x14ac:dyDescent="0.25">
      <c r="A15028">
        <f ca="1">33437.3653366302*((RANDBETWEEN(2979,3282)))</f>
        <v>105227388.71437511</v>
      </c>
      <c r="B15028">
        <v>159661612.08308542</v>
      </c>
    </row>
    <row r="15029" spans="1:2" x14ac:dyDescent="0.25">
      <c r="A15029">
        <f ca="1">31801.4842984018*((RANDBETWEEN(2979,3282)))</f>
        <v>101224124.5218128</v>
      </c>
      <c r="B15029">
        <v>159553201.10177547</v>
      </c>
    </row>
    <row r="15030" spans="1:2" x14ac:dyDescent="0.25">
      <c r="A15030">
        <f ca="1">39800.5833425814*((RANDBETWEEN(2979,3282)))</f>
        <v>124894230.52902031</v>
      </c>
      <c r="B15030">
        <v>153866042.41752344</v>
      </c>
    </row>
    <row r="15031" spans="1:2" x14ac:dyDescent="0.25">
      <c r="A15031">
        <f ca="1">38240.8699687432*((RANDBETWEEN(2979,3282)))</f>
        <v>114531405.5563858</v>
      </c>
      <c r="B15031">
        <v>164757306.43259931</v>
      </c>
    </row>
    <row r="15032" spans="1:2" x14ac:dyDescent="0.25">
      <c r="A15032">
        <f ca="1">32779.688133582*((RANDBETWEEN(2979,3282)))</f>
        <v>98502962.84141396</v>
      </c>
      <c r="B15032">
        <v>149653426.08250177</v>
      </c>
    </row>
    <row r="15033" spans="1:2" x14ac:dyDescent="0.25">
      <c r="A15033">
        <f ca="1">26902.5649832136*((RANDBETWEEN(2979,3282)))</f>
        <v>81030525.729439512</v>
      </c>
      <c r="B15033">
        <v>151245934.42582369</v>
      </c>
    </row>
    <row r="15034" spans="1:2" x14ac:dyDescent="0.25">
      <c r="A15034">
        <f ca="1">36398.9821791725*((RANDBETWEEN(2979,3282)))</f>
        <v>115894359.25848518</v>
      </c>
      <c r="B15034">
        <v>162252582.26020092</v>
      </c>
    </row>
    <row r="15035" spans="1:2" x14ac:dyDescent="0.25">
      <c r="A15035">
        <f ca="1">29461.4415601606*((RANDBETWEEN(2979,3282)))</f>
        <v>87824557.290838614</v>
      </c>
      <c r="B15035">
        <v>160218160.87290356</v>
      </c>
    </row>
    <row r="15036" spans="1:2" x14ac:dyDescent="0.25">
      <c r="A15036">
        <f ca="1">31214.098107957*((RANDBETWEEN(2979,3282)))</f>
        <v>101664317.5376159</v>
      </c>
      <c r="B15036">
        <v>186254723.45125729</v>
      </c>
    </row>
    <row r="15037" spans="1:2" x14ac:dyDescent="0.25">
      <c r="A15037">
        <f ca="1">39053.9641277876*((RANDBETWEEN(2979,3282)))</f>
        <v>128018894.41088785</v>
      </c>
      <c r="B15037">
        <v>157332886.31300616</v>
      </c>
    </row>
    <row r="15038" spans="1:2" x14ac:dyDescent="0.25">
      <c r="A15038">
        <f ca="1">42509.2171946636*((RANDBETWEEN(2979,3282)))</f>
        <v>137262262.32156885</v>
      </c>
      <c r="B15038">
        <v>155907070.3085947</v>
      </c>
    </row>
    <row r="15039" spans="1:2" x14ac:dyDescent="0.25">
      <c r="A15039">
        <f ca="1">36822.4763170286*((RANDBETWEEN(2979,3282)))</f>
        <v>110982943.61952423</v>
      </c>
      <c r="B15039">
        <v>166406516.00119796</v>
      </c>
    </row>
    <row r="15040" spans="1:2" x14ac:dyDescent="0.25">
      <c r="A15040">
        <f ca="1">27621.0105346487*((RANDBETWEEN(2979,3282)))</f>
        <v>85348922.552064568</v>
      </c>
      <c r="B15040">
        <v>159718047.22581297</v>
      </c>
    </row>
    <row r="15041" spans="1:2" x14ac:dyDescent="0.25">
      <c r="A15041">
        <f ca="1">33397.1939742306*((RANDBETWEEN(2979,3282)))</f>
        <v>100325170.69858874</v>
      </c>
      <c r="B15041">
        <v>145861377.44614708</v>
      </c>
    </row>
    <row r="15042" spans="1:2" x14ac:dyDescent="0.25">
      <c r="A15042">
        <f ca="1">32716.0053373958*((RANDBETWEEN(2979,3282)))</f>
        <v>104135044.98893079</v>
      </c>
      <c r="B15042">
        <v>188048232.24326128</v>
      </c>
    </row>
    <row r="15043" spans="1:2" x14ac:dyDescent="0.25">
      <c r="A15043">
        <f ca="1">39499.9967334737*((RANDBETWEEN(2979,3282)))</f>
        <v>123160989.81497087</v>
      </c>
      <c r="B15043">
        <v>160998696.10622472</v>
      </c>
    </row>
    <row r="15044" spans="1:2" x14ac:dyDescent="0.25">
      <c r="A15044">
        <f ca="1">31606.8622635422*((RANDBETWEEN(2979,3282)))</f>
        <v>97601990.669818372</v>
      </c>
      <c r="B15044">
        <v>159409704.37642872</v>
      </c>
    </row>
    <row r="15045" spans="1:2" x14ac:dyDescent="0.25">
      <c r="A15045">
        <f ca="1">33227.4814135118*((RANDBETWEEN(2979,3282)))</f>
        <v>106494077.93030524</v>
      </c>
      <c r="B15045">
        <v>146003869.49587595</v>
      </c>
    </row>
    <row r="15046" spans="1:2" x14ac:dyDescent="0.25">
      <c r="A15046">
        <f ca="1">29871.0945813504*((RANDBETWEEN(2979,3282)))</f>
        <v>96214795.646529615</v>
      </c>
      <c r="B15046">
        <v>201510902.94057414</v>
      </c>
    </row>
    <row r="15047" spans="1:2" x14ac:dyDescent="0.25">
      <c r="A15047">
        <f ca="1">32262.6337869947*((RANDBETWEEN(2979,3282)))</f>
        <v>98142931.980037764</v>
      </c>
      <c r="B15047">
        <v>154171614.30120835</v>
      </c>
    </row>
    <row r="15048" spans="1:2" x14ac:dyDescent="0.25">
      <c r="A15048">
        <f ca="1">31943.9745253164*((RANDBETWEEN(2979,3282)))</f>
        <v>103051261.81867079</v>
      </c>
      <c r="B15048">
        <v>151933774.33294708</v>
      </c>
    </row>
    <row r="15049" spans="1:2" x14ac:dyDescent="0.25">
      <c r="A15049">
        <f ca="1">29981.9638708002*((RANDBETWEEN(2979,3282)))</f>
        <v>92224520.866581351</v>
      </c>
      <c r="B15049">
        <v>159492692.14776236</v>
      </c>
    </row>
    <row r="15050" spans="1:2" x14ac:dyDescent="0.25">
      <c r="A15050">
        <f ca="1">35172.3571299477*((RANDBETWEEN(2979,3282)))</f>
        <v>114978435.45779906</v>
      </c>
      <c r="B15050">
        <v>151164181.74221155</v>
      </c>
    </row>
    <row r="15051" spans="1:2" x14ac:dyDescent="0.25">
      <c r="A15051">
        <f ca="1">31659.7791751812*((RANDBETWEEN(2979,3282)))</f>
        <v>100266520.64779876</v>
      </c>
      <c r="B15051">
        <v>151555519.57498455</v>
      </c>
    </row>
    <row r="15052" spans="1:2" x14ac:dyDescent="0.25">
      <c r="A15052">
        <f ca="1">31070.7591963553*((RANDBETWEEN(2979,3282)))</f>
        <v>96816485.655843228</v>
      </c>
      <c r="B15052">
        <v>175791084.59051222</v>
      </c>
    </row>
    <row r="15053" spans="1:2" x14ac:dyDescent="0.25">
      <c r="A15053">
        <f ca="1">41181.1166279478*((RANDBETWEEN(2979,3282)))</f>
        <v>123337444.30070394</v>
      </c>
      <c r="B15053">
        <v>202256989.25306901</v>
      </c>
    </row>
    <row r="15054" spans="1:2" x14ac:dyDescent="0.25">
      <c r="A15054">
        <f ca="1">29015.0911166021*((RANDBETWEEN(2979,3282)))</f>
        <v>86726107.347523615</v>
      </c>
      <c r="B15054">
        <v>155786027.03448924</v>
      </c>
    </row>
    <row r="15055" spans="1:2" x14ac:dyDescent="0.25">
      <c r="A15055">
        <f ca="1">38191.6981056104*((RANDBETWEEN(2979,3282)))</f>
        <v>114651477.71304233</v>
      </c>
      <c r="B15055">
        <v>173106129.97275978</v>
      </c>
    </row>
    <row r="15056" spans="1:2" x14ac:dyDescent="0.25">
      <c r="A15056">
        <f ca="1">29772.4457677786*((RANDBETWEEN(2979,3282)))</f>
        <v>96909310.97411941</v>
      </c>
      <c r="B15056">
        <v>148984832.04306158</v>
      </c>
    </row>
    <row r="15057" spans="1:2" x14ac:dyDescent="0.25">
      <c r="A15057">
        <f ca="1">32514.5494667437*((RANDBETWEEN(2979,3282)))</f>
        <v>98161424.840099335</v>
      </c>
      <c r="B15057">
        <v>161707646.37239847</v>
      </c>
    </row>
    <row r="15058" spans="1:2" x14ac:dyDescent="0.25">
      <c r="A15058">
        <f ca="1">30414.2243192892*((RANDBETWEEN(2979,3282)))</f>
        <v>97781731.186514765</v>
      </c>
      <c r="B15058">
        <v>185376133.94559407</v>
      </c>
    </row>
    <row r="15059" spans="1:2" x14ac:dyDescent="0.25">
      <c r="A15059">
        <f ca="1">40757.8737212458*((RANDBETWEEN(2979,3282)))</f>
        <v>129569280.55984043</v>
      </c>
      <c r="B15059">
        <v>164777381.16687453</v>
      </c>
    </row>
    <row r="15060" spans="1:2" x14ac:dyDescent="0.25">
      <c r="A15060">
        <f ca="1">30818.8896767199*((RANDBETWEEN(2979,3282)))</f>
        <v>100500399.2357835</v>
      </c>
      <c r="B15060">
        <v>186628430.7554183</v>
      </c>
    </row>
    <row r="15061" spans="1:2" x14ac:dyDescent="0.25">
      <c r="A15061">
        <f ca="1">41952.9818403606*((RANDBETWEEN(2979,3282)))</f>
        <v>130222055.63247955</v>
      </c>
      <c r="B15061">
        <v>146894614.58493853</v>
      </c>
    </row>
    <row r="15062" spans="1:2" x14ac:dyDescent="0.25">
      <c r="A15062">
        <f ca="1">31309.1992077886*((RANDBETWEEN(2979,3282)))</f>
        <v>96150550.767118663</v>
      </c>
      <c r="B15062">
        <v>163625717.05464253</v>
      </c>
    </row>
    <row r="15063" spans="1:2" x14ac:dyDescent="0.25">
      <c r="A15063">
        <f ca="1">32994.5643687947*((RANDBETWEEN(2979,3282)))</f>
        <v>103734910.37549056</v>
      </c>
      <c r="B15063">
        <v>187278158.76360667</v>
      </c>
    </row>
    <row r="15064" spans="1:2" x14ac:dyDescent="0.25">
      <c r="A15064">
        <f ca="1">29197.5648249168*((RANDBETWEEN(2979,3282)))</f>
        <v>89607326.44766961</v>
      </c>
      <c r="B15064">
        <v>152334808.81684101</v>
      </c>
    </row>
    <row r="15065" spans="1:2" x14ac:dyDescent="0.25">
      <c r="A15065">
        <f ca="1">33754.6772854082*((RANDBETWEEN(2979,3282)))</f>
        <v>105584630.54875676</v>
      </c>
      <c r="B15065">
        <v>173306523.94266102</v>
      </c>
    </row>
    <row r="15066" spans="1:2" x14ac:dyDescent="0.25">
      <c r="A15066">
        <f ca="1">30515.3681803551*((RANDBETWEEN(2979,3282)))</f>
        <v>95238464.090888321</v>
      </c>
      <c r="B15066">
        <v>158988234.47896355</v>
      </c>
    </row>
    <row r="15067" spans="1:2" x14ac:dyDescent="0.25">
      <c r="A15067">
        <f ca="1">39430.9018662737*((RANDBETWEEN(2979,3282)))</f>
        <v>129136203.61204647</v>
      </c>
      <c r="B15067">
        <v>156009075.74847192</v>
      </c>
    </row>
    <row r="15068" spans="1:2" x14ac:dyDescent="0.25">
      <c r="A15068">
        <f ca="1">36908.7404036576*((RANDBETWEEN(2979,3282)))</f>
        <v>110726221.21097273</v>
      </c>
      <c r="B15068">
        <v>151988844.10697901</v>
      </c>
    </row>
    <row r="15069" spans="1:2" x14ac:dyDescent="0.25">
      <c r="A15069">
        <f ca="1">40317.6514710155*((RANDBETWEEN(2979,3282)))</f>
        <v>127323143.34546708</v>
      </c>
      <c r="B15069">
        <v>146453182.30060947</v>
      </c>
    </row>
    <row r="15070" spans="1:2" x14ac:dyDescent="0.25">
      <c r="A15070">
        <f ca="1">30228.2076008605*((RANDBETWEEN(2979,3282)))</f>
        <v>95853646.302328646</v>
      </c>
      <c r="B15070">
        <v>177058981.37430945</v>
      </c>
    </row>
    <row r="15071" spans="1:2" x14ac:dyDescent="0.25">
      <c r="A15071">
        <f ca="1">31364.0790007262*((RANDBETWEEN(2979,3282)))</f>
        <v>98200931.35127382</v>
      </c>
      <c r="B15071">
        <v>143194651.0755417</v>
      </c>
    </row>
    <row r="15072" spans="1:2" x14ac:dyDescent="0.25">
      <c r="A15072">
        <f ca="1">35780.7486928228*((RANDBETWEEN(2979,3282)))</f>
        <v>113854342.340562</v>
      </c>
      <c r="B15072">
        <v>171178471.53206056</v>
      </c>
    </row>
    <row r="15073" spans="1:2" x14ac:dyDescent="0.25">
      <c r="A15073">
        <f ca="1">31508.0442612427*((RANDBETWEEN(2979,3282)))</f>
        <v>101707966.8752915</v>
      </c>
      <c r="B15073">
        <v>191353111.09884423</v>
      </c>
    </row>
    <row r="15074" spans="1:2" x14ac:dyDescent="0.25">
      <c r="A15074">
        <f ca="1">32843.1338502078*((RANDBETWEEN(2979,3282)))</f>
        <v>101353911.06174131</v>
      </c>
      <c r="B15074">
        <v>143477964.69051328</v>
      </c>
    </row>
    <row r="15075" spans="1:2" x14ac:dyDescent="0.25">
      <c r="A15075">
        <f ca="1">28649.3088944224*((RANDBETWEEN(2979,3282)))</f>
        <v>88039326.232559919</v>
      </c>
      <c r="B15075">
        <v>150651797.52223653</v>
      </c>
    </row>
    <row r="15076" spans="1:2" x14ac:dyDescent="0.25">
      <c r="A15076">
        <f ca="1">29492.1565645104*((RANDBETWEEN(2979,3282)))</f>
        <v>89066312.824821532</v>
      </c>
      <c r="B15076">
        <v>147811284.22662053</v>
      </c>
    </row>
    <row r="15077" spans="1:2" x14ac:dyDescent="0.25">
      <c r="A15077">
        <f ca="1">31293.1788349961*((RANDBETWEEN(2979,3282)))</f>
        <v>97572131.607517898</v>
      </c>
      <c r="B15077">
        <v>154396401.22161895</v>
      </c>
    </row>
    <row r="15078" spans="1:2" x14ac:dyDescent="0.25">
      <c r="A15078">
        <f ca="1">31802.2701734644*((RANDBETWEEN(2979,3282)))</f>
        <v>102498716.76907577</v>
      </c>
      <c r="B15078">
        <v>166083739.09700781</v>
      </c>
    </row>
    <row r="15079" spans="1:2" x14ac:dyDescent="0.25">
      <c r="A15079">
        <f ca="1">39007.0513289443*((RANDBETWEEN(2979,3282)))</f>
        <v>126187811.04913494</v>
      </c>
      <c r="B15079">
        <v>167298402.54970428</v>
      </c>
    </row>
    <row r="15080" spans="1:2" x14ac:dyDescent="0.25">
      <c r="A15080">
        <f ca="1">28636.4218284603*((RANDBETWEEN(2979,3282)))</f>
        <v>92524278.927755296</v>
      </c>
      <c r="B15080">
        <v>147278381.70279354</v>
      </c>
    </row>
    <row r="15081" spans="1:2" x14ac:dyDescent="0.25">
      <c r="A15081">
        <f ca="1">31708.2223180628*((RANDBETWEEN(2979,3282)))</f>
        <v>96266162.957638815</v>
      </c>
      <c r="B15081">
        <v>171767101.31290126</v>
      </c>
    </row>
    <row r="15082" spans="1:2" x14ac:dyDescent="0.25">
      <c r="A15082">
        <f ca="1">33662.3381659572*((RANDBETWEEN(2979,3282)))</f>
        <v>103646339.21298216</v>
      </c>
      <c r="B15082">
        <v>199972322.15942162</v>
      </c>
    </row>
    <row r="15083" spans="1:2" x14ac:dyDescent="0.25">
      <c r="A15083">
        <f ca="1">38458.8635761418*((RANDBETWEEN(2979,3282)))</f>
        <v>116953404.13504727</v>
      </c>
      <c r="B15083">
        <v>181597402.00888979</v>
      </c>
    </row>
    <row r="15084" spans="1:2" x14ac:dyDescent="0.25">
      <c r="A15084">
        <f ca="1">33775.9708800598*((RANDBETWEEN(2979,3282)))</f>
        <v>103692230.60178363</v>
      </c>
      <c r="B15084">
        <v>182141342.97452089</v>
      </c>
    </row>
    <row r="15085" spans="1:2" x14ac:dyDescent="0.25">
      <c r="A15085">
        <f ca="1">36217.1583981266*((RANDBETWEEN(2979,3282)))</f>
        <v>114373786.22128376</v>
      </c>
      <c r="B15085">
        <v>158742503.85930228</v>
      </c>
    </row>
    <row r="15086" spans="1:2" x14ac:dyDescent="0.25">
      <c r="A15086">
        <f ca="1">32812.138546217*((RANDBETWEEN(2979,3282)))</f>
        <v>102439496.5412894</v>
      </c>
      <c r="B15086">
        <v>148582982.13056192</v>
      </c>
    </row>
    <row r="15087" spans="1:2" x14ac:dyDescent="0.25">
      <c r="A15087">
        <f ca="1">30935.8493843568*((RANDBETWEEN(2979,3282)))</f>
        <v>94137789.676597834</v>
      </c>
      <c r="B15087">
        <v>167465690.40636328</v>
      </c>
    </row>
    <row r="15088" spans="1:2" x14ac:dyDescent="0.25">
      <c r="A15088">
        <f ca="1">30771.9434384116*((RANDBETWEEN(2979,3282)))</f>
        <v>100931974.47799014</v>
      </c>
      <c r="B15088">
        <v>147678454.26814431</v>
      </c>
    </row>
    <row r="15089" spans="1:2" x14ac:dyDescent="0.25">
      <c r="A15089">
        <f ca="1">35333.1599617046*((RANDBETWEEN(2979,3282)))</f>
        <v>113808108.23665059</v>
      </c>
      <c r="B15089">
        <v>160693719.0596303</v>
      </c>
    </row>
    <row r="15090" spans="1:2" x14ac:dyDescent="0.25">
      <c r="A15090">
        <f ca="1">30549.2244912543*((RANDBETWEEN(2979,3282)))</f>
        <v>92075362.616640508</v>
      </c>
      <c r="B15090">
        <v>154333388.31824458</v>
      </c>
    </row>
    <row r="15091" spans="1:2" x14ac:dyDescent="0.25">
      <c r="A15091">
        <f ca="1">40840.0293020674*((RANDBETWEEN(2979,3282)))</f>
        <v>125787290.25036757</v>
      </c>
      <c r="B15091">
        <v>155923997.57583743</v>
      </c>
    </row>
    <row r="15092" spans="1:2" x14ac:dyDescent="0.25">
      <c r="A15092">
        <f ca="1">30356.4062570783*((RANDBETWEEN(2979,3282)))</f>
        <v>97352994.866450027</v>
      </c>
      <c r="B15092">
        <v>159265929.36704117</v>
      </c>
    </row>
    <row r="15093" spans="1:2" x14ac:dyDescent="0.25">
      <c r="A15093">
        <f ca="1">31041.2315883678*((RANDBETWEEN(2979,3282)))</f>
        <v>93496189.544163913</v>
      </c>
      <c r="B15093">
        <v>145877193.02889538</v>
      </c>
    </row>
    <row r="15094" spans="1:2" x14ac:dyDescent="0.25">
      <c r="A15094">
        <f ca="1">33071.91528134*((RANDBETWEEN(2979,3282)))</f>
        <v>103217447.59306209</v>
      </c>
      <c r="B15094">
        <v>148038700.1741502</v>
      </c>
    </row>
    <row r="15095" spans="1:2" x14ac:dyDescent="0.25">
      <c r="A15095">
        <f ca="1">29850.5414695223*((RANDBETWEEN(2979,3282)))</f>
        <v>90208336.320896521</v>
      </c>
      <c r="B15095">
        <v>166477272.22201854</v>
      </c>
    </row>
    <row r="15096" spans="1:2" x14ac:dyDescent="0.25">
      <c r="A15096">
        <f ca="1">32418.1391854858*((RANDBETWEEN(2979,3282)))</f>
        <v>97546180.809126824</v>
      </c>
      <c r="B15096">
        <v>154806619.85427934</v>
      </c>
    </row>
    <row r="15097" spans="1:2" x14ac:dyDescent="0.25">
      <c r="A15097">
        <f ca="1">27902.8487476066*((RANDBETWEEN(2979,3282)))</f>
        <v>87754459.311222687</v>
      </c>
      <c r="B15097">
        <v>171790947.60876504</v>
      </c>
    </row>
    <row r="15098" spans="1:2" x14ac:dyDescent="0.25">
      <c r="A15098">
        <f ca="1">32293.6636377437*((RANDBETWEEN(2979,3282)))</f>
        <v>100530174.9042961</v>
      </c>
      <c r="B15098">
        <v>149481452.43852702</v>
      </c>
    </row>
    <row r="15099" spans="1:2" x14ac:dyDescent="0.25">
      <c r="A15099">
        <f ca="1">30497.0824197381*((RANDBETWEEN(2979,3282)))</f>
        <v>93199083.874719515</v>
      </c>
      <c r="B15099">
        <v>152847907.8974278</v>
      </c>
    </row>
    <row r="15100" spans="1:2" x14ac:dyDescent="0.25">
      <c r="A15100">
        <f ca="1">37644.1476666014*((RANDBETWEEN(2979,3282)))</f>
        <v>113195952.03347038</v>
      </c>
      <c r="B15100">
        <v>182503681.72422773</v>
      </c>
    </row>
    <row r="15101" spans="1:2" x14ac:dyDescent="0.25">
      <c r="A15101">
        <f ca="1">34650.1975015481*((RANDBETWEEN(2979,3282)))</f>
        <v>105301950.20720457</v>
      </c>
      <c r="B15101">
        <v>172229309.66915801</v>
      </c>
    </row>
    <row r="15102" spans="1:2" x14ac:dyDescent="0.25">
      <c r="A15102">
        <f ca="1">32775.6271890009*((RANDBETWEEN(2979,3282)))</f>
        <v>100457297.33428773</v>
      </c>
      <c r="B15102">
        <v>199501822.62602884</v>
      </c>
    </row>
    <row r="15103" spans="1:2" x14ac:dyDescent="0.25">
      <c r="A15103">
        <f ca="1">41185.7442429771*((RANDBETWEEN(2979,3282)))</f>
        <v>134800940.9072639</v>
      </c>
      <c r="B15103">
        <v>170484628.79530469</v>
      </c>
    </row>
    <row r="15104" spans="1:2" x14ac:dyDescent="0.25">
      <c r="A15104">
        <f ca="1">34994.7450675004*((RANDBETWEEN(2979,3282)))</f>
        <v>107608841.08256362</v>
      </c>
      <c r="B15104">
        <v>144912563.56464422</v>
      </c>
    </row>
    <row r="15105" spans="1:2" x14ac:dyDescent="0.25">
      <c r="A15105">
        <f ca="1">29833.5999948924*((RANDBETWEEN(2979,3282)))</f>
        <v>90067638.384580061</v>
      </c>
      <c r="B15105">
        <v>188777349.35509574</v>
      </c>
    </row>
    <row r="15106" spans="1:2" x14ac:dyDescent="0.25">
      <c r="A15106">
        <f ca="1">31521.6094780443*((RANDBETWEEN(2979,3282)))</f>
        <v>95163739.014215857</v>
      </c>
      <c r="B15106">
        <v>160269873.06741273</v>
      </c>
    </row>
    <row r="15107" spans="1:2" x14ac:dyDescent="0.25">
      <c r="A15107">
        <f ca="1">31068.1557917906*((RANDBETWEEN(2979,3282)))</f>
        <v>97740418.120973513</v>
      </c>
      <c r="B15107">
        <v>146323386.24286702</v>
      </c>
    </row>
    <row r="15108" spans="1:2" x14ac:dyDescent="0.25">
      <c r="A15108">
        <f ca="1">31783.6511211649*((RANDBETWEEN(2979,3282)))</f>
        <v>99037856.89354986</v>
      </c>
      <c r="B15108">
        <v>178143455.38202643</v>
      </c>
    </row>
    <row r="15109" spans="1:2" x14ac:dyDescent="0.25">
      <c r="A15109">
        <f ca="1">38383.0365617678*((RANDBETWEEN(2979,3282)))</f>
        <v>121021714.27925393</v>
      </c>
      <c r="B15109">
        <v>201738812.2988193</v>
      </c>
    </row>
    <row r="15110" spans="1:2" x14ac:dyDescent="0.25">
      <c r="A15110">
        <f ca="1">30285.312481937*((RANDBETWEEN(2979,3282)))</f>
        <v>95641016.817957059</v>
      </c>
      <c r="B15110">
        <v>187802600.7228612</v>
      </c>
    </row>
    <row r="15111" spans="1:2" x14ac:dyDescent="0.25">
      <c r="A15111">
        <f ca="1">37274.6930902415*((RANDBETWEEN(2979,3282)))</f>
        <v>112644122.51870994</v>
      </c>
      <c r="B15111">
        <v>158059057.25726482</v>
      </c>
    </row>
    <row r="15112" spans="1:2" x14ac:dyDescent="0.25">
      <c r="A15112">
        <f ca="1">37363.097884479*((RANDBETWEEN(2979,3282)))</f>
        <v>116610228.49745892</v>
      </c>
      <c r="B15112">
        <v>187836100.93626237</v>
      </c>
    </row>
    <row r="15113" spans="1:2" x14ac:dyDescent="0.25">
      <c r="A15113">
        <f ca="1">33828.7762711034*((RANDBETWEEN(2979,3282)))</f>
        <v>110518612.07769488</v>
      </c>
      <c r="B15113">
        <v>161897997.07650149</v>
      </c>
    </row>
    <row r="15114" spans="1:2" x14ac:dyDescent="0.25">
      <c r="A15114">
        <f ca="1">30747.1212724316*((RANDBETWEEN(2979,3282)))</f>
        <v>93501995.789464548</v>
      </c>
      <c r="B15114">
        <v>164457518.41072622</v>
      </c>
    </row>
    <row r="15115" spans="1:2" x14ac:dyDescent="0.25">
      <c r="A15115">
        <f ca="1">31097.6929686901*((RANDBETWEEN(2979,3282)))</f>
        <v>98268709.781060591</v>
      </c>
      <c r="B15115">
        <v>160617444.1702224</v>
      </c>
    </row>
    <row r="15116" spans="1:2" x14ac:dyDescent="0.25">
      <c r="A15116">
        <f ca="1">41835.3637676502*((RANDBETWEEN(2979,3282)))</f>
        <v>130735511.77390702</v>
      </c>
      <c r="B15116">
        <v>161650884.68256226</v>
      </c>
    </row>
    <row r="15117" spans="1:2" x14ac:dyDescent="0.25">
      <c r="A15117">
        <f ca="1">30243.2392705288*((RANDBETWEEN(2979,3282)))</f>
        <v>91818474.425325349</v>
      </c>
      <c r="B15117">
        <v>165356965.28269392</v>
      </c>
    </row>
    <row r="15118" spans="1:2" x14ac:dyDescent="0.25">
      <c r="A15118">
        <f ca="1">31066.044162746*((RANDBETWEEN(2979,3282)))</f>
        <v>93601991.062353596</v>
      </c>
      <c r="B15118">
        <v>147768899.24779832</v>
      </c>
    </row>
    <row r="15119" spans="1:2" x14ac:dyDescent="0.25">
      <c r="A15119">
        <f ca="1">31082.0013122346*((RANDBETWEEN(2979,3282)))</f>
        <v>99711060.209648654</v>
      </c>
      <c r="B15119">
        <v>149493666.07504562</v>
      </c>
    </row>
    <row r="15120" spans="1:2" x14ac:dyDescent="0.25">
      <c r="A15120">
        <f ca="1">36179.1926898722*((RANDBETWEEN(2979,3282)))</f>
        <v>114724220.01958477</v>
      </c>
      <c r="B15120">
        <v>173201493.75129592</v>
      </c>
    </row>
    <row r="15121" spans="1:2" x14ac:dyDescent="0.25">
      <c r="A15121">
        <f ca="1">38476.2438234559*((RANDBETWEEN(2979,3282)))</f>
        <v>118468354.73242062</v>
      </c>
      <c r="B15121">
        <v>202921640.00446999</v>
      </c>
    </row>
    <row r="15122" spans="1:2" x14ac:dyDescent="0.25">
      <c r="A15122">
        <f ca="1">31997.34941232*((RANDBETWEEN(2979,3282)))</f>
        <v>102359520.77001166</v>
      </c>
      <c r="B15122">
        <v>143628858.58310875</v>
      </c>
    </row>
    <row r="15123" spans="1:2" x14ac:dyDescent="0.25">
      <c r="A15123">
        <f ca="1">30203.9164373308*((RANDBETWEEN(2979,3282)))</f>
        <v>90581545.395555079</v>
      </c>
      <c r="B15123">
        <v>173689157.29942861</v>
      </c>
    </row>
    <row r="15124" spans="1:2" x14ac:dyDescent="0.25">
      <c r="A15124">
        <f ca="1">30778.7220514556*((RANDBETWEEN(2979,3282)))</f>
        <v>100923429.60672304</v>
      </c>
      <c r="B15124">
        <v>154698002.24439776</v>
      </c>
    </row>
    <row r="15125" spans="1:2" x14ac:dyDescent="0.25">
      <c r="A15125">
        <f ca="1">29859.1624126875*((RANDBETWEEN(2979,3282)))</f>
        <v>96176362.13126646</v>
      </c>
      <c r="B15125">
        <v>149229343.56564838</v>
      </c>
    </row>
    <row r="15126" spans="1:2" x14ac:dyDescent="0.25">
      <c r="A15126">
        <f ca="1">29128.3887610593*((RANDBETWEEN(2979,3282)))</f>
        <v>87996862.447160274</v>
      </c>
      <c r="B15126">
        <v>144751982.48343682</v>
      </c>
    </row>
    <row r="15127" spans="1:2" x14ac:dyDescent="0.25">
      <c r="A15127">
        <f ca="1">38207.1497956795*((RANDBETWEEN(2979,3282)))</f>
        <v>120352521.85639036</v>
      </c>
      <c r="B15127">
        <v>181652778.22331139</v>
      </c>
    </row>
    <row r="15128" spans="1:2" x14ac:dyDescent="0.25">
      <c r="A15128">
        <f ca="1">39315.6903515922*((RANDBETWEEN(2979,3282)))</f>
        <v>128837517.2821676</v>
      </c>
      <c r="B15128">
        <v>191290010.64811012</v>
      </c>
    </row>
    <row r="15129" spans="1:2" x14ac:dyDescent="0.25">
      <c r="A15129">
        <f ca="1">33795.9736106462*((RANDBETWEEN(2979,3282)))</f>
        <v>102266616.1458154</v>
      </c>
      <c r="B15129">
        <v>194847794.08216125</v>
      </c>
    </row>
    <row r="15130" spans="1:2" x14ac:dyDescent="0.25">
      <c r="A15130">
        <f ca="1">37992.4031646889*((RANDBETWEEN(2979,3282)))</f>
        <v>115306943.60483094</v>
      </c>
      <c r="B15130">
        <v>177202903.38185</v>
      </c>
    </row>
    <row r="15131" spans="1:2" x14ac:dyDescent="0.25">
      <c r="A15131">
        <f ca="1">31039.1005801871*((RANDBETWEEN(2979,3282)))</f>
        <v>98952652.649636537</v>
      </c>
      <c r="B15131">
        <v>193931421.39251596</v>
      </c>
    </row>
    <row r="15132" spans="1:2" x14ac:dyDescent="0.25">
      <c r="A15132">
        <f ca="1">34356.5725985596*((RANDBETWEEN(2979,3282)))</f>
        <v>104615763.56261396</v>
      </c>
      <c r="B15132">
        <v>180182686.94431406</v>
      </c>
    </row>
    <row r="15133" spans="1:2" x14ac:dyDescent="0.25">
      <c r="A15133">
        <f ca="1">30185.5796825534*((RANDBETWEEN(2979,3282)))</f>
        <v>98193690.707346231</v>
      </c>
      <c r="B15133">
        <v>170526256.5330655</v>
      </c>
    </row>
    <row r="15134" spans="1:2" x14ac:dyDescent="0.25">
      <c r="A15134">
        <f ca="1">30357.4191980467*((RANDBETWEEN(2979,3282)))</f>
        <v>91375831.786120504</v>
      </c>
      <c r="B15134">
        <v>198737302.07788485</v>
      </c>
    </row>
    <row r="15135" spans="1:2" x14ac:dyDescent="0.25">
      <c r="A15135">
        <f ca="1">29203.5746537686*((RANDBETWEEN(2979,3282)))</f>
        <v>95291264.095246911</v>
      </c>
      <c r="B15135">
        <v>159902540.90717852</v>
      </c>
    </row>
    <row r="15136" spans="1:2" x14ac:dyDescent="0.25">
      <c r="A15136">
        <f ca="1">32093.2609416255*((RANDBETWEEN(2979,3282)))</f>
        <v>97338860.435950279</v>
      </c>
      <c r="B15136">
        <v>163173577.35105103</v>
      </c>
    </row>
    <row r="15137" spans="1:2" x14ac:dyDescent="0.25">
      <c r="A15137">
        <f ca="1">29206.1911308744*((RANDBETWEEN(2979,3282)))</f>
        <v>88553171.508811072</v>
      </c>
      <c r="B15137">
        <v>149165543.2661885</v>
      </c>
    </row>
    <row r="15138" spans="1:2" x14ac:dyDescent="0.25">
      <c r="A15138">
        <f ca="1">38292.8433885678*((RANDBETWEEN(2979,3282)))</f>
        <v>125102719.35045092</v>
      </c>
      <c r="B15138">
        <v>158613342.39948148</v>
      </c>
    </row>
    <row r="15139" spans="1:2" x14ac:dyDescent="0.25">
      <c r="A15139">
        <f ca="1">30780.5165065818*((RANDBETWEEN(2979,3282)))</f>
        <v>98005164.556956366</v>
      </c>
      <c r="B15139">
        <v>146422095.83206892</v>
      </c>
    </row>
    <row r="15140" spans="1:2" x14ac:dyDescent="0.25">
      <c r="A15140">
        <f ca="1">31139.2719094465*((RANDBETWEEN(2979,3282)))</f>
        <v>97870731.611390248</v>
      </c>
      <c r="B15140">
        <v>173357972.4235481</v>
      </c>
    </row>
    <row r="15141" spans="1:2" x14ac:dyDescent="0.25">
      <c r="A15141">
        <f ca="1">28978.092138192*((RANDBETWEEN(2979,3282)))</f>
        <v>89049677.140664101</v>
      </c>
      <c r="B15141">
        <v>161543307.11070466</v>
      </c>
    </row>
    <row r="15142" spans="1:2" x14ac:dyDescent="0.25">
      <c r="A15142">
        <f ca="1">36206.2235442902*((RANDBETWEEN(2979,3282)))</f>
        <v>108039371.05616207</v>
      </c>
      <c r="B15142">
        <v>145028684.15581295</v>
      </c>
    </row>
    <row r="15143" spans="1:2" x14ac:dyDescent="0.25">
      <c r="A15143">
        <f ca="1">29276.6767564336*((RANDBETWEEN(2979,3282)))</f>
        <v>95676179.64002499</v>
      </c>
      <c r="B15143">
        <v>190975649.85452089</v>
      </c>
    </row>
    <row r="15144" spans="1:2" x14ac:dyDescent="0.25">
      <c r="A15144">
        <f ca="1">35741.891861532*((RANDBETWEEN(2979,3282)))</f>
        <v>113873667.47084086</v>
      </c>
      <c r="B15144">
        <v>164225462.04115972</v>
      </c>
    </row>
    <row r="15145" spans="1:2" x14ac:dyDescent="0.25">
      <c r="A15145">
        <f ca="1">29772.2953099074*((RANDBETWEEN(2979,3282)))</f>
        <v>96253830.736930594</v>
      </c>
      <c r="B15145">
        <v>158747125.91450936</v>
      </c>
    </row>
    <row r="15146" spans="1:2" x14ac:dyDescent="0.25">
      <c r="A15146">
        <f ca="1">31761.5709134857*((RANDBETWEEN(2979,3282)))</f>
        <v>97349214.849833816</v>
      </c>
      <c r="B15146">
        <v>163972290.1521568</v>
      </c>
    </row>
    <row r="15147" spans="1:2" x14ac:dyDescent="0.25">
      <c r="A15147">
        <f ca="1">29019.8036212067*((RANDBETWEEN(2979,3282)))</f>
        <v>89526094.17142278</v>
      </c>
      <c r="B15147">
        <v>167554852.35102671</v>
      </c>
    </row>
    <row r="15148" spans="1:2" x14ac:dyDescent="0.25">
      <c r="A15148">
        <f ca="1">31160.1886900985*((RANDBETWEEN(2979,3282)))</f>
        <v>101177132.6767499</v>
      </c>
      <c r="B15148">
        <v>170530087.88368767</v>
      </c>
    </row>
    <row r="15149" spans="1:2" x14ac:dyDescent="0.25">
      <c r="A15149">
        <f ca="1">36801.7924864171*((RANDBETWEEN(2979,3282)))</f>
        <v>110773395.38411552</v>
      </c>
      <c r="B15149">
        <v>179743072.30667597</v>
      </c>
    </row>
    <row r="15150" spans="1:2" x14ac:dyDescent="0.25">
      <c r="A15150">
        <f ca="1">37729.9074702548*((RANDBETWEEN(2979,3282)))</f>
        <v>115113947.69174725</v>
      </c>
      <c r="B15150">
        <v>193358204.83220285</v>
      </c>
    </row>
    <row r="15151" spans="1:2" x14ac:dyDescent="0.25">
      <c r="A15151">
        <f ca="1">32348.1405698817*((RANDBETWEEN(2979,3282)))</f>
        <v>103222916.55849242</v>
      </c>
      <c r="B15151">
        <v>147763672.43233711</v>
      </c>
    </row>
    <row r="15152" spans="1:2" x14ac:dyDescent="0.25">
      <c r="A15152">
        <f ca="1">30456.4478059033*((RANDBETWEEN(2979,3282)))</f>
        <v>98252500.621844202</v>
      </c>
      <c r="B15152">
        <v>200085223.10469404</v>
      </c>
    </row>
    <row r="15153" spans="1:2" x14ac:dyDescent="0.25">
      <c r="A15153">
        <f ca="1">38360.850219285*((RANDBETWEEN(2979,3282)))</f>
        <v>118573388.02781002</v>
      </c>
      <c r="B15153">
        <v>157621027.80787516</v>
      </c>
    </row>
    <row r="15154" spans="1:2" x14ac:dyDescent="0.25">
      <c r="A15154">
        <f ca="1">31189.2387680302*((RANDBETWEEN(2979,3282)))</f>
        <v>100335781.11675303</v>
      </c>
      <c r="B15154">
        <v>145944847.17665932</v>
      </c>
    </row>
    <row r="15155" spans="1:2" x14ac:dyDescent="0.25">
      <c r="A15155">
        <f ca="1">30342.6173955928*((RANDBETWEEN(2979,3282)))</f>
        <v>96155754.526633605</v>
      </c>
      <c r="B15155">
        <v>145227252.04502076</v>
      </c>
    </row>
    <row r="15156" spans="1:2" x14ac:dyDescent="0.25">
      <c r="A15156">
        <f ca="1">29515.0680989286*((RANDBETWEEN(2979,3282)))</f>
        <v>93946461.75888969</v>
      </c>
      <c r="B15156">
        <v>155919286.75094175</v>
      </c>
    </row>
    <row r="15157" spans="1:2" x14ac:dyDescent="0.25">
      <c r="A15157">
        <f ca="1">35246.3185446356*((RANDBETWEEN(2979,3282)))</f>
        <v>113916101.53626218</v>
      </c>
      <c r="B15157">
        <v>185473826.6567778</v>
      </c>
    </row>
    <row r="15158" spans="1:2" x14ac:dyDescent="0.25">
      <c r="A15158">
        <f ca="1">38762.1166973029*((RANDBETWEEN(2979,3282)))</f>
        <v>118379504.39356306</v>
      </c>
      <c r="B15158">
        <v>143223108.90565264</v>
      </c>
    </row>
    <row r="15159" spans="1:2" x14ac:dyDescent="0.25">
      <c r="A15159">
        <f ca="1">30339.8003328502*((RANDBETWEEN(2979,3282)))</f>
        <v>92475711.414527491</v>
      </c>
      <c r="B15159">
        <v>183644187.1885576</v>
      </c>
    </row>
    <row r="15160" spans="1:2" x14ac:dyDescent="0.25">
      <c r="A15160">
        <f ca="1">32542.8180541113*((RANDBETWEEN(2979,3282)))</f>
        <v>104494988.77175154</v>
      </c>
      <c r="B15160">
        <v>176312584.93578517</v>
      </c>
    </row>
    <row r="15161" spans="1:2" x14ac:dyDescent="0.25">
      <c r="A15161">
        <f ca="1">27932.6364532396*((RANDBETWEEN(2979,3282)))</f>
        <v>83742044.086812228</v>
      </c>
      <c r="B15161">
        <v>188528467.77109775</v>
      </c>
    </row>
    <row r="15162" spans="1:2" x14ac:dyDescent="0.25">
      <c r="A15162">
        <f ca="1">31962.4909243505*((RANDBETWEEN(2979,3282)))</f>
        <v>97070084.937252328</v>
      </c>
      <c r="B15162">
        <v>154974643.7299265</v>
      </c>
    </row>
    <row r="15163" spans="1:2" x14ac:dyDescent="0.25">
      <c r="A15163">
        <f ca="1">40131.0268417831*((RANDBETWEEN(2979,3282)))</f>
        <v>119670722.04219735</v>
      </c>
      <c r="B15163">
        <v>181334585.23088074</v>
      </c>
    </row>
    <row r="15164" spans="1:2" x14ac:dyDescent="0.25">
      <c r="A15164">
        <f ca="1">37474.2439437508*((RANDBETWEEN(2979,3282)))</f>
        <v>119392941.20479015</v>
      </c>
      <c r="B15164">
        <v>146898045.65600991</v>
      </c>
    </row>
    <row r="15165" spans="1:2" x14ac:dyDescent="0.25">
      <c r="A15165">
        <f ca="1">33619.2709160299*((RANDBETWEEN(2979,3282)))</f>
        <v>107447189.84763165</v>
      </c>
      <c r="B15165">
        <v>168090601.26313776</v>
      </c>
    </row>
    <row r="15166" spans="1:2" x14ac:dyDescent="0.25">
      <c r="A15166">
        <f ca="1">29649.1643958872*((RANDBETWEEN(2979,3282)))</f>
        <v>91942058.791646153</v>
      </c>
      <c r="B15166">
        <v>200541373.85179955</v>
      </c>
    </row>
    <row r="15167" spans="1:2" x14ac:dyDescent="0.25">
      <c r="A15167">
        <f ca="1">30815.1733764871*((RANDBETWEEN(2979,3282)))</f>
        <v>91829216.661931664</v>
      </c>
      <c r="B15167">
        <v>187273281.99160102</v>
      </c>
    </row>
    <row r="15168" spans="1:2" x14ac:dyDescent="0.25">
      <c r="A15168">
        <f ca="1">28836.5120663337*((RANDBETWEEN(2979,3282)))</f>
        <v>92219165.588135317</v>
      </c>
      <c r="B15168">
        <v>157016621.82800233</v>
      </c>
    </row>
    <row r="15169" spans="1:2" x14ac:dyDescent="0.25">
      <c r="A15169">
        <f ca="1">32498.0138296995*((RANDBETWEEN(2979,3282)))</f>
        <v>103538672.06142265</v>
      </c>
      <c r="B15169">
        <v>163387047.26426858</v>
      </c>
    </row>
    <row r="15170" spans="1:2" x14ac:dyDescent="0.25">
      <c r="A15170">
        <f ca="1">34805.3554276622*((RANDBETWEEN(2979,3282)))</f>
        <v>108175044.66917408</v>
      </c>
      <c r="B15170">
        <v>191696198.77681917</v>
      </c>
    </row>
    <row r="15171" spans="1:2" x14ac:dyDescent="0.25">
      <c r="A15171">
        <f ca="1">39003.1163820215*((RANDBETWEEN(2979,3282)))</f>
        <v>116541311.74948034</v>
      </c>
      <c r="B15171">
        <v>164135041.57481641</v>
      </c>
    </row>
    <row r="15172" spans="1:2" x14ac:dyDescent="0.25">
      <c r="A15172">
        <f ca="1">40000.325397688*((RANDBETWEEN(2979,3282)))</f>
        <v>124761014.91538881</v>
      </c>
      <c r="B15172">
        <v>180499513.51478297</v>
      </c>
    </row>
    <row r="15173" spans="1:2" x14ac:dyDescent="0.25">
      <c r="A15173">
        <f ca="1">40128.6335664923*((RANDBETWEEN(2979,3282)))</f>
        <v>123235033.68269774</v>
      </c>
      <c r="B15173">
        <v>188856635.18121535</v>
      </c>
    </row>
    <row r="15174" spans="1:2" x14ac:dyDescent="0.25">
      <c r="A15174">
        <f ca="1">29053.3835315417*((RANDBETWEEN(2979,3282)))</f>
        <v>87363524.279346034</v>
      </c>
      <c r="B15174">
        <v>187883858.69501197</v>
      </c>
    </row>
    <row r="15175" spans="1:2" x14ac:dyDescent="0.25">
      <c r="A15175">
        <f ca="1">38785.2781724715*((RANDBETWEEN(2979,3282)))</f>
        <v>118139957.31334837</v>
      </c>
      <c r="B15175">
        <v>145834220.84615079</v>
      </c>
    </row>
    <row r="15176" spans="1:2" x14ac:dyDescent="0.25">
      <c r="A15176">
        <f ca="1">31268.7887320738*((RANDBETWEEN(2979,3282)))</f>
        <v>98402878.139836162</v>
      </c>
      <c r="B15176">
        <v>148402254.92371404</v>
      </c>
    </row>
    <row r="15177" spans="1:2" x14ac:dyDescent="0.25">
      <c r="A15177">
        <f ca="1">32281.8073780863*((RANDBETWEEN(2979,3282)))</f>
        <v>99783066.605664685</v>
      </c>
      <c r="B15177">
        <v>151874869.26104286</v>
      </c>
    </row>
    <row r="15178" spans="1:2" x14ac:dyDescent="0.25">
      <c r="A15178">
        <f ca="1">32633.9753748138*((RANDBETWEEN(2979,3282)))</f>
        <v>105897250.0912707</v>
      </c>
      <c r="B15178">
        <v>170788158.11773732</v>
      </c>
    </row>
    <row r="15179" spans="1:2" x14ac:dyDescent="0.25">
      <c r="A15179">
        <f ca="1">31550.8734693315*((RANDBETWEEN(2979,3282)))</f>
        <v>100174023.26512755</v>
      </c>
      <c r="B15179">
        <v>200270431.68819425</v>
      </c>
    </row>
    <row r="15180" spans="1:2" x14ac:dyDescent="0.25">
      <c r="A15180">
        <f ca="1">29721.219899341*((RANDBETWEEN(2979,3282)))</f>
        <v>94840412.698797062</v>
      </c>
      <c r="B15180">
        <v>167928276.24047196</v>
      </c>
    </row>
    <row r="15181" spans="1:2" x14ac:dyDescent="0.25">
      <c r="A15181">
        <f ca="1">31948.5989341839*((RANDBETWEEN(2979,3282)))</f>
        <v>103545409.14569011</v>
      </c>
      <c r="B15181">
        <v>158273685.34033239</v>
      </c>
    </row>
    <row r="15182" spans="1:2" x14ac:dyDescent="0.25">
      <c r="A15182">
        <f ca="1">27856.6198800804*((RANDBETWEEN(2979,3282)))</f>
        <v>90478301.37050128</v>
      </c>
      <c r="B15182">
        <v>173007945.477815</v>
      </c>
    </row>
    <row r="15183" spans="1:2" x14ac:dyDescent="0.25">
      <c r="A15183">
        <f ca="1">31066.5370871264*((RANDBETWEEN(2979,3282)))</f>
        <v>97766392.213186741</v>
      </c>
      <c r="B15183">
        <v>157819242.73451221</v>
      </c>
    </row>
    <row r="15184" spans="1:2" x14ac:dyDescent="0.25">
      <c r="A15184">
        <f ca="1">30621.8958701012*((RANDBETWEEN(2979,3282)))</f>
        <v>93947976.529470414</v>
      </c>
      <c r="B15184">
        <v>178499961.59991705</v>
      </c>
    </row>
    <row r="15185" spans="1:2" x14ac:dyDescent="0.25">
      <c r="A15185">
        <f ca="1">30170.5325490477*((RANDBETWEEN(2979,3282)))</f>
        <v>98536959.305189773</v>
      </c>
      <c r="B15185">
        <v>154290143.66280925</v>
      </c>
    </row>
    <row r="15186" spans="1:2" x14ac:dyDescent="0.25">
      <c r="A15186">
        <f ca="1">29997.8972756031*((RANDBETWEEN(2979,3282)))</f>
        <v>93923416.36991322</v>
      </c>
      <c r="B15186">
        <v>176108265.06928909</v>
      </c>
    </row>
    <row r="15187" spans="1:2" x14ac:dyDescent="0.25">
      <c r="A15187">
        <f ca="1">30323.6997772022*((RANDBETWEEN(2979,3282)))</f>
        <v>96550660.090611741</v>
      </c>
      <c r="B15187">
        <v>146944058.91968587</v>
      </c>
    </row>
    <row r="15188" spans="1:2" x14ac:dyDescent="0.25">
      <c r="A15188">
        <f ca="1">30893.764135993*((RANDBETWEEN(2979,3282)))</f>
        <v>100219370.85716128</v>
      </c>
      <c r="B15188">
        <v>144471962.90155613</v>
      </c>
    </row>
    <row r="15189" spans="1:2" x14ac:dyDescent="0.25">
      <c r="A15189">
        <f ca="1">32761.7153792276*((RANDBETWEEN(2979,3282)))</f>
        <v>98547239.860716552</v>
      </c>
      <c r="B15189">
        <v>186950589.5250943</v>
      </c>
    </row>
    <row r="15190" spans="1:2" x14ac:dyDescent="0.25">
      <c r="A15190">
        <f ca="1">35624.6178756528*((RANDBETWEEN(2979,3282)))</f>
        <v>106446358.21245064</v>
      </c>
      <c r="B15190">
        <v>198858690.92519483</v>
      </c>
    </row>
    <row r="15191" spans="1:2" x14ac:dyDescent="0.25">
      <c r="A15191">
        <f ca="1">32740.5313713386*((RANDBETWEEN(2979,3282)))</f>
        <v>99105588.461042017</v>
      </c>
      <c r="B15191">
        <v>153253525.45891815</v>
      </c>
    </row>
    <row r="15192" spans="1:2" x14ac:dyDescent="0.25">
      <c r="A15192">
        <f ca="1">33599.0235436778*((RANDBETWEEN(2979,3282)))</f>
        <v>100864268.6781207</v>
      </c>
      <c r="B15192">
        <v>195603453.76546401</v>
      </c>
    </row>
    <row r="15193" spans="1:2" x14ac:dyDescent="0.25">
      <c r="A15193">
        <f ca="1">32474.5745713441*((RANDBETWEEN(2979,3282)))</f>
        <v>99631994.784883559</v>
      </c>
      <c r="B15193">
        <v>158673688.32473823</v>
      </c>
    </row>
    <row r="15194" spans="1:2" x14ac:dyDescent="0.25">
      <c r="A15194">
        <f ca="1">29636.5825323799*((RANDBETWEEN(2979,3282)))</f>
        <v>89235750.004995808</v>
      </c>
      <c r="B15194">
        <v>146870071.10788608</v>
      </c>
    </row>
    <row r="15195" spans="1:2" x14ac:dyDescent="0.25">
      <c r="A15195">
        <f ca="1">41818.3243036124*((RANDBETWEEN(2979,3282)))</f>
        <v>129176803.77385858</v>
      </c>
      <c r="B15195">
        <v>193739161.22260931</v>
      </c>
    </row>
    <row r="15196" spans="1:2" x14ac:dyDescent="0.25">
      <c r="A15196">
        <f ca="1">30442.8550816069*((RANDBETWEEN(2979,3282)))</f>
        <v>95377464.970674425</v>
      </c>
      <c r="B15196">
        <v>161367226.01243314</v>
      </c>
    </row>
    <row r="15197" spans="1:2" x14ac:dyDescent="0.25">
      <c r="A15197">
        <f ca="1">32539.1617335281*((RANDBETWEEN(2979,3282)))</f>
        <v>105914971.44263387</v>
      </c>
      <c r="B15197">
        <v>155664079.29415318</v>
      </c>
    </row>
    <row r="15198" spans="1:2" x14ac:dyDescent="0.25">
      <c r="A15198">
        <f ca="1">31620.771928854*((RANDBETWEEN(2979,3282)))</f>
        <v>102672646.45298903</v>
      </c>
      <c r="B15198">
        <v>172348773.66310477</v>
      </c>
    </row>
    <row r="15199" spans="1:2" x14ac:dyDescent="0.25">
      <c r="A15199">
        <f ca="1">33678.3783070482*((RANDBETWEEN(2979,3282)))</f>
        <v>110094618.68574065</v>
      </c>
      <c r="B15199">
        <v>161017635.29034156</v>
      </c>
    </row>
    <row r="15200" spans="1:2" x14ac:dyDescent="0.25">
      <c r="A15200">
        <f ca="1">36527.9053050221*((RANDBETWEEN(2979,3282)))</f>
        <v>116012627.24875017</v>
      </c>
      <c r="B15200">
        <v>149680022.01637977</v>
      </c>
    </row>
    <row r="15201" spans="1:2" x14ac:dyDescent="0.25">
      <c r="A15201">
        <f ca="1">34960.4683676563*((RANDBETWEEN(2979,3282)))</f>
        <v>112397905.80201489</v>
      </c>
      <c r="B15201">
        <v>189650256.88995647</v>
      </c>
    </row>
    <row r="15202" spans="1:2" x14ac:dyDescent="0.25">
      <c r="A15202">
        <f ca="1">38699.8556934391*((RANDBETWEEN(2979,3282)))</f>
        <v>116757464.62710591</v>
      </c>
      <c r="B15202">
        <v>176910047.59194112</v>
      </c>
    </row>
    <row r="15203" spans="1:2" x14ac:dyDescent="0.25">
      <c r="A15203">
        <f ca="1">33319.4590101512*((RANDBETWEEN(2979,3282)))</f>
        <v>102124141.86611341</v>
      </c>
      <c r="B15203">
        <v>161689774.65363783</v>
      </c>
    </row>
    <row r="15204" spans="1:2" x14ac:dyDescent="0.25">
      <c r="A15204">
        <f ca="1">34199.9409296783*((RANDBETWEEN(2979,3282)))</f>
        <v>108071813.33778349</v>
      </c>
      <c r="B15204">
        <v>147422603.16778705</v>
      </c>
    </row>
    <row r="15205" spans="1:2" x14ac:dyDescent="0.25">
      <c r="A15205">
        <f ca="1">32742.4365672407*((RANDBETWEEN(2979,3282)))</f>
        <v>100322825.64202546</v>
      </c>
      <c r="B15205">
        <v>153208992.91611126</v>
      </c>
    </row>
    <row r="15206" spans="1:2" x14ac:dyDescent="0.25">
      <c r="A15206">
        <f ca="1">31276.3053295707*((RANDBETWEEN(2979,3282)))</f>
        <v>94861034.06458801</v>
      </c>
      <c r="B15206">
        <v>160259947.3589085</v>
      </c>
    </row>
    <row r="15207" spans="1:2" x14ac:dyDescent="0.25">
      <c r="A15207">
        <f ca="1">29198.659371464*((RANDBETWEEN(2979,3282)))</f>
        <v>94954040.276000813</v>
      </c>
      <c r="B15207">
        <v>191075154.85219976</v>
      </c>
    </row>
    <row r="15208" spans="1:2" x14ac:dyDescent="0.25">
      <c r="A15208">
        <f ca="1">29645.5517477911*((RANDBETWEEN(2979,3282)))</f>
        <v>94598955.627201527</v>
      </c>
      <c r="B15208">
        <v>149232009.27373815</v>
      </c>
    </row>
    <row r="15209" spans="1:2" x14ac:dyDescent="0.25">
      <c r="A15209">
        <f ca="1">32671.757146071*((RANDBETWEEN(2979,3282)))</f>
        <v>98636034.823988229</v>
      </c>
      <c r="B15209">
        <v>160499048.80067751</v>
      </c>
    </row>
    <row r="15210" spans="1:2" x14ac:dyDescent="0.25">
      <c r="A15210">
        <f ca="1">34567.8248724005*((RANDBETWEEN(2979,3282)))</f>
        <v>107920749.25163439</v>
      </c>
      <c r="B15210">
        <v>158581234.60791326</v>
      </c>
    </row>
    <row r="15211" spans="1:2" x14ac:dyDescent="0.25">
      <c r="A15211">
        <f ca="1">38506.9146503296*((RANDBETWEEN(2979,3282)))</f>
        <v>126341186.96773137</v>
      </c>
      <c r="B15211">
        <v>179302052.80459753</v>
      </c>
    </row>
    <row r="15212" spans="1:2" x14ac:dyDescent="0.25">
      <c r="A15212">
        <f ca="1">38203.6743658128*((RANDBETWEEN(2979,3282)))</f>
        <v>117017854.58248445</v>
      </c>
      <c r="B15212">
        <v>170979480.44888693</v>
      </c>
    </row>
    <row r="15213" spans="1:2" x14ac:dyDescent="0.25">
      <c r="A15213">
        <f ca="1">40600.0415764348*((RANDBETWEEN(2979,3282)))</f>
        <v>130975734.12557852</v>
      </c>
      <c r="B15213">
        <v>177013750.40412799</v>
      </c>
    </row>
    <row r="15214" spans="1:2" x14ac:dyDescent="0.25">
      <c r="A15214">
        <f ca="1">30313.1524284422*((RANDBETWEEN(2979,3282)))</f>
        <v>96426137.874874711</v>
      </c>
      <c r="B15214">
        <v>143287272.22811067</v>
      </c>
    </row>
    <row r="15215" spans="1:2" x14ac:dyDescent="0.25">
      <c r="A15215">
        <f ca="1">30721.6893244935*((RANDBETWEEN(2979,3282)))</f>
        <v>93639709.061056256</v>
      </c>
      <c r="B15215">
        <v>161286285.63755876</v>
      </c>
    </row>
    <row r="15216" spans="1:2" x14ac:dyDescent="0.25">
      <c r="A15216">
        <f ca="1">31936.0608684861*((RANDBETWEEN(2979,3282)))</f>
        <v>100087614.76183541</v>
      </c>
      <c r="B15216">
        <v>202445811.76579407</v>
      </c>
    </row>
    <row r="15217" spans="1:2" x14ac:dyDescent="0.25">
      <c r="A15217">
        <f ca="1">35447.5127241817*((RANDBETWEEN(2979,3282)))</f>
        <v>106307090.65982099</v>
      </c>
      <c r="B15217">
        <v>162433275.70363629</v>
      </c>
    </row>
    <row r="15218" spans="1:2" x14ac:dyDescent="0.25">
      <c r="A15218">
        <f ca="1">32708.6892318023*((RANDBETWEEN(2979,3282)))</f>
        <v>106434074.76028454</v>
      </c>
      <c r="B15218">
        <v>144382671.90778622</v>
      </c>
    </row>
    <row r="15219" spans="1:2" x14ac:dyDescent="0.25">
      <c r="A15219">
        <f ca="1">32569.5979228945*((RANDBETWEEN(2979,3282)))</f>
        <v>99858387.231594607</v>
      </c>
      <c r="B15219">
        <v>146958872.5939126</v>
      </c>
    </row>
    <row r="15220" spans="1:2" x14ac:dyDescent="0.25">
      <c r="A15220">
        <f ca="1">37291.2124695214*((RANDBETWEEN(2979,3282)))</f>
        <v>113104247.4200585</v>
      </c>
      <c r="B15220">
        <v>176882078.52418494</v>
      </c>
    </row>
    <row r="15221" spans="1:2" x14ac:dyDescent="0.25">
      <c r="A15221">
        <f ca="1">35518.0900671844*((RANDBETWEEN(2979,3282)))</f>
        <v>114403768.10640091</v>
      </c>
      <c r="B15221">
        <v>172241020.05691335</v>
      </c>
    </row>
    <row r="15222" spans="1:2" x14ac:dyDescent="0.25">
      <c r="A15222">
        <f ca="1">29625.8063284384*((RANDBETWEEN(2979,3282)))</f>
        <v>91425238.329560965</v>
      </c>
      <c r="B15222">
        <v>143999210.12609896</v>
      </c>
    </row>
    <row r="15223" spans="1:2" x14ac:dyDescent="0.25">
      <c r="A15223">
        <f ca="1">40349.5168431003*((RANDBETWEEN(2979,3282)))</f>
        <v>127302725.63998131</v>
      </c>
      <c r="B15223">
        <v>151905629.15379542</v>
      </c>
    </row>
    <row r="15224" spans="1:2" x14ac:dyDescent="0.25">
      <c r="A15224">
        <f ca="1">30210.2124163126*((RANDBETWEEN(2979,3282)))</f>
        <v>93228715.516740665</v>
      </c>
      <c r="B15224">
        <v>151265171.46916527</v>
      </c>
    </row>
    <row r="15225" spans="1:2" x14ac:dyDescent="0.25">
      <c r="A15225">
        <f ca="1">31011.6716040588*((RANDBETWEEN(2979,3282)))</f>
        <v>94368516.691150889</v>
      </c>
      <c r="B15225">
        <v>143397553.11269313</v>
      </c>
    </row>
    <row r="15226" spans="1:2" x14ac:dyDescent="0.25">
      <c r="A15226">
        <f ca="1">33792.110940137*((RANDBETWEEN(2979,3282)))</f>
        <v>101173580.15477033</v>
      </c>
      <c r="B15226">
        <v>148748055.14396566</v>
      </c>
    </row>
    <row r="15227" spans="1:2" x14ac:dyDescent="0.25">
      <c r="A15227">
        <f ca="1">38220.8808990152*((RANDBETWEEN(2979,3282)))</f>
        <v>116344361.45660232</v>
      </c>
      <c r="B15227">
        <v>149018785.21245852</v>
      </c>
    </row>
    <row r="15228" spans="1:2" x14ac:dyDescent="0.25">
      <c r="A15228">
        <f ca="1">30666.1360986872*((RANDBETWEEN(2979,3282)))</f>
        <v>95218352.58642377</v>
      </c>
      <c r="B15228">
        <v>153634991.37802497</v>
      </c>
    </row>
    <row r="15229" spans="1:2" x14ac:dyDescent="0.25">
      <c r="A15229">
        <f ca="1">31882.4221160274*((RANDBETWEEN(2979,3282)))</f>
        <v>97209505.031767517</v>
      </c>
      <c r="B15229">
        <v>149807711.47745442</v>
      </c>
    </row>
    <row r="15230" spans="1:2" x14ac:dyDescent="0.25">
      <c r="A15230">
        <f ca="1">34133.8919680495*((RANDBETWEEN(2979,3282)))</f>
        <v>102504077.58005266</v>
      </c>
      <c r="B15230">
        <v>155909770.67350203</v>
      </c>
    </row>
    <row r="15231" spans="1:2" x14ac:dyDescent="0.25">
      <c r="A15231">
        <f ca="1">36898.2646449347*((RANDBETWEEN(2979,3282)))</f>
        <v>117041295.45373277</v>
      </c>
      <c r="B15231">
        <v>147089781.0335106</v>
      </c>
    </row>
    <row r="15232" spans="1:2" x14ac:dyDescent="0.25">
      <c r="A15232">
        <f ca="1">40934.5524675264*((RANDBETWEEN(2979,3282)))</f>
        <v>123827021.2142673</v>
      </c>
      <c r="B15232">
        <v>164630832.76532942</v>
      </c>
    </row>
    <row r="15233" spans="1:2" x14ac:dyDescent="0.25">
      <c r="A15233">
        <f ca="1">32140.5621090606*((RANDBETWEEN(2979,3282)))</f>
        <v>96196702.392418295</v>
      </c>
      <c r="B15233">
        <v>199018109.45567304</v>
      </c>
    </row>
    <row r="15234" spans="1:2" x14ac:dyDescent="0.25">
      <c r="A15234">
        <f ca="1">40346.8002078338*((RANDBETWEEN(2979,3282)))</f>
        <v>120233464.61934465</v>
      </c>
      <c r="B15234">
        <v>144293904.01062644</v>
      </c>
    </row>
    <row r="15235" spans="1:2" x14ac:dyDescent="0.25">
      <c r="A15235">
        <f ca="1">36579.9674351446*((RANDBETWEEN(2979,3282)))</f>
        <v>119140953.93626602</v>
      </c>
      <c r="B15235">
        <v>143166802.44387203</v>
      </c>
    </row>
    <row r="15236" spans="1:2" x14ac:dyDescent="0.25">
      <c r="A15236">
        <f ca="1">30387.828206397*((RANDBETWEEN(2979,3282)))</f>
        <v>94688472.691133052</v>
      </c>
      <c r="B15236">
        <v>147885185.75352177</v>
      </c>
    </row>
    <row r="15237" spans="1:2" x14ac:dyDescent="0.25">
      <c r="A15237">
        <f ca="1">28259.3447115615*((RANDBETWEEN(2979,3282)))</f>
        <v>89695160.114496231</v>
      </c>
      <c r="B15237">
        <v>144433628.0991686</v>
      </c>
    </row>
    <row r="15238" spans="1:2" x14ac:dyDescent="0.25">
      <c r="A15238">
        <f ca="1">35066.0325617489*((RANDBETWEEN(2979,3282)))</f>
        <v>110598266.69975631</v>
      </c>
      <c r="B15238">
        <v>172652088.81394896</v>
      </c>
    </row>
    <row r="15239" spans="1:2" x14ac:dyDescent="0.25">
      <c r="A15239">
        <f ca="1">33951.6892317568*((RANDBETWEEN(2979,3282)))</f>
        <v>109426294.39395232</v>
      </c>
      <c r="B15239">
        <v>202374684.52513009</v>
      </c>
    </row>
    <row r="15240" spans="1:2" x14ac:dyDescent="0.25">
      <c r="A15240">
        <f ca="1">30635.9491855843*((RANDBETWEEN(2979,3282)))</f>
        <v>93286465.270104274</v>
      </c>
      <c r="B15240">
        <v>147965618.49240628</v>
      </c>
    </row>
    <row r="15241" spans="1:2" x14ac:dyDescent="0.25">
      <c r="A15241">
        <f ca="1">33395.489203779*((RANDBETWEEN(2979,3282)))</f>
        <v>102357174.40958267</v>
      </c>
      <c r="B15241">
        <v>167848799.92902219</v>
      </c>
    </row>
    <row r="15242" spans="1:2" x14ac:dyDescent="0.25">
      <c r="A15242">
        <f ca="1">35113.6742455237*((RANDBETWEEN(2979,3282)))</f>
        <v>115137737.8510721</v>
      </c>
      <c r="B15242">
        <v>150097945.44666949</v>
      </c>
    </row>
    <row r="15243" spans="1:2" x14ac:dyDescent="0.25">
      <c r="A15243">
        <f ca="1">29907.0564321412*((RANDBETWEEN(2979,3282)))</f>
        <v>89332377.562805846</v>
      </c>
      <c r="B15243">
        <v>164364366.69599509</v>
      </c>
    </row>
    <row r="15244" spans="1:2" x14ac:dyDescent="0.25">
      <c r="A15244">
        <f ca="1">32072.6283847739*((RANDBETWEEN(2979,3282)))</f>
        <v>97180064.005864814</v>
      </c>
      <c r="B15244">
        <v>151100116.43184155</v>
      </c>
    </row>
    <row r="15245" spans="1:2" x14ac:dyDescent="0.25">
      <c r="A15245">
        <f ca="1">32779.3734275481*((RANDBETWEEN(2979,3282)))</f>
        <v>102533880.08137043</v>
      </c>
      <c r="B15245">
        <v>148071801.3032608</v>
      </c>
    </row>
    <row r="15246" spans="1:2" x14ac:dyDescent="0.25">
      <c r="A15246">
        <f ca="1">29973.1459816279*((RANDBETWEEN(2979,3282)))</f>
        <v>89769572.214975446</v>
      </c>
      <c r="B15246">
        <v>165908394.16166079</v>
      </c>
    </row>
    <row r="15247" spans="1:2" x14ac:dyDescent="0.25">
      <c r="A15247">
        <f ca="1">29268.0401236546*((RANDBETWEEN(2979,3282)))</f>
        <v>89238254.337022975</v>
      </c>
      <c r="B15247">
        <v>147452447.27005851</v>
      </c>
    </row>
    <row r="15248" spans="1:2" x14ac:dyDescent="0.25">
      <c r="A15248">
        <f ca="1">29859.4847468152*((RANDBETWEEN(2979,3282)))</f>
        <v>93639344.166012406</v>
      </c>
      <c r="B15248">
        <v>195750099.42918682</v>
      </c>
    </row>
    <row r="15249" spans="1:2" x14ac:dyDescent="0.25">
      <c r="A15249">
        <f ca="1">30718.3826899748*((RANDBETWEEN(2979,3282)))</f>
        <v>99404686.384758547</v>
      </c>
      <c r="B15249">
        <v>150056321.73193875</v>
      </c>
    </row>
    <row r="15250" spans="1:2" x14ac:dyDescent="0.25">
      <c r="A15250">
        <f ca="1">31531.5544064859*((RANDBETWEEN(2979,3282)))</f>
        <v>100900974.10075502</v>
      </c>
      <c r="B15250">
        <v>163455726.63915354</v>
      </c>
    </row>
    <row r="15251" spans="1:2" x14ac:dyDescent="0.25">
      <c r="A15251">
        <f ca="1">29447.7690723142*((RANDBETWEEN(2979,3282)))</f>
        <v>94733473.10563463</v>
      </c>
      <c r="B15251">
        <v>160969161.43928725</v>
      </c>
    </row>
    <row r="15252" spans="1:2" x14ac:dyDescent="0.25">
      <c r="A15252">
        <f ca="1">29404.172148411*((RANDBETWEEN(2979,3282)))</f>
        <v>93681692.464837402</v>
      </c>
      <c r="B15252">
        <v>161852732.07744837</v>
      </c>
    </row>
    <row r="15253" spans="1:2" x14ac:dyDescent="0.25">
      <c r="A15253">
        <f ca="1">36607.6089896159*((RANDBETWEEN(2979,3282)))</f>
        <v>116997918.33081229</v>
      </c>
      <c r="B15253">
        <v>167565804.15841299</v>
      </c>
    </row>
    <row r="15254" spans="1:2" x14ac:dyDescent="0.25">
      <c r="A15254">
        <f ca="1">35735.5715558302*((RANDBETWEEN(2979,3282)))</f>
        <v>108064368.38483045</v>
      </c>
      <c r="B15254">
        <v>203154858.50108534</v>
      </c>
    </row>
    <row r="15255" spans="1:2" x14ac:dyDescent="0.25">
      <c r="A15255">
        <f ca="1">36320.9725392602*((RANDBETWEEN(2979,3282)))</f>
        <v>118551654.3681452</v>
      </c>
      <c r="B15255">
        <v>173525442.61300316</v>
      </c>
    </row>
    <row r="15256" spans="1:2" x14ac:dyDescent="0.25">
      <c r="A15256">
        <f ca="1">32586.4317113943*((RANDBETWEEN(2979,3282)))</f>
        <v>104081062.88619339</v>
      </c>
      <c r="B15256">
        <v>156007782.27849823</v>
      </c>
    </row>
    <row r="15257" spans="1:2" x14ac:dyDescent="0.25">
      <c r="A15257">
        <f ca="1">37272.4282480472*((RANDBETWEEN(2979,3282)))</f>
        <v>114389082.29325682</v>
      </c>
      <c r="B15257">
        <v>186258675.39108226</v>
      </c>
    </row>
    <row r="15258" spans="1:2" x14ac:dyDescent="0.25">
      <c r="A15258">
        <f ca="1">32740.0469642194*((RANDBETWEEN(2979,3282)))</f>
        <v>103032927.79639833</v>
      </c>
      <c r="B15258">
        <v>190038025.41870975</v>
      </c>
    </row>
    <row r="15259" spans="1:2" x14ac:dyDescent="0.25">
      <c r="A15259">
        <f ca="1">29280.0759387695*((RANDBETWEEN(2979,3282)))</f>
        <v>93930483.611572489</v>
      </c>
      <c r="B15259">
        <v>150898923.15313852</v>
      </c>
    </row>
    <row r="15260" spans="1:2" x14ac:dyDescent="0.25">
      <c r="A15260">
        <f ca="1">31910.6835173668*((RANDBETWEEN(2979,3282)))</f>
        <v>97008477.892794952</v>
      </c>
      <c r="B15260">
        <v>192723933.39176959</v>
      </c>
    </row>
    <row r="15261" spans="1:2" x14ac:dyDescent="0.25">
      <c r="A15261">
        <f ca="1">30356.4331028894*((RANDBETWEEN(2979,3282)))</f>
        <v>91463932.939005628</v>
      </c>
      <c r="B15261">
        <v>173585639.75979933</v>
      </c>
    </row>
    <row r="15262" spans="1:2" x14ac:dyDescent="0.25">
      <c r="A15262">
        <f ca="1">35099.6808177764*((RANDBETWEEN(2979,3282)))</f>
        <v>113863364.57286665</v>
      </c>
      <c r="B15262">
        <v>191385339.34181079</v>
      </c>
    </row>
    <row r="15263" spans="1:2" x14ac:dyDescent="0.25">
      <c r="A15263">
        <f ca="1">33431.9850243731*((RANDBETWEEN(2979,3282)))</f>
        <v>104608681.14126329</v>
      </c>
      <c r="B15263">
        <v>164905007.34244642</v>
      </c>
    </row>
    <row r="15264" spans="1:2" x14ac:dyDescent="0.25">
      <c r="A15264">
        <f ca="1">38313.4065049135*((RANDBETWEEN(2979,3282)))</f>
        <v>123790616.4173755</v>
      </c>
      <c r="B15264">
        <v>149549589.17014313</v>
      </c>
    </row>
    <row r="15265" spans="1:2" x14ac:dyDescent="0.25">
      <c r="A15265">
        <f ca="1">30514.9644141755*((RANDBETWEEN(2979,3282)))</f>
        <v>95603383.509611994</v>
      </c>
      <c r="B15265">
        <v>151984225.18613839</v>
      </c>
    </row>
    <row r="15266" spans="1:2" x14ac:dyDescent="0.25">
      <c r="A15266">
        <f ca="1">35972.3977462241*((RANDBETWEEN(2979,3282)))</f>
        <v>108097055.22740345</v>
      </c>
      <c r="B15266">
        <v>162852328.89283919</v>
      </c>
    </row>
    <row r="15267" spans="1:2" x14ac:dyDescent="0.25">
      <c r="A15267">
        <f ca="1">33767.8705652849*((RANDBETWEEN(2979,3282)))</f>
        <v>107449364.13873665</v>
      </c>
      <c r="B15267">
        <v>174464708.5561668</v>
      </c>
    </row>
    <row r="15268" spans="1:2" x14ac:dyDescent="0.25">
      <c r="A15268">
        <f ca="1">30839.1393497729*((RANDBETWEEN(2979,3282)))</f>
        <v>93072522.557614505</v>
      </c>
      <c r="B15268">
        <v>157741347.7127434</v>
      </c>
    </row>
    <row r="15269" spans="1:2" x14ac:dyDescent="0.25">
      <c r="A15269">
        <f ca="1">28261.4186154043*((RANDBETWEEN(2979,3282)))</f>
        <v>91312643.5463714</v>
      </c>
      <c r="B15269">
        <v>144684809.0826059</v>
      </c>
    </row>
    <row r="15270" spans="1:2" x14ac:dyDescent="0.25">
      <c r="A15270">
        <f ca="1">38419.6980708445*((RANDBETWEEN(2979,3282)))</f>
        <v>125901350.57815759</v>
      </c>
      <c r="B15270">
        <v>197322657.01425889</v>
      </c>
    </row>
    <row r="15271" spans="1:2" x14ac:dyDescent="0.25">
      <c r="A15271">
        <f ca="1">30808.6177854004*((RANDBETWEEN(2979,3282)))</f>
        <v>93689006.685402662</v>
      </c>
      <c r="B15271">
        <v>146498399.42217743</v>
      </c>
    </row>
    <row r="15272" spans="1:2" x14ac:dyDescent="0.25">
      <c r="A15272">
        <f ca="1">32083.5748619498*((RANDBETWEEN(2979,3282)))</f>
        <v>98079488.352980688</v>
      </c>
      <c r="B15272">
        <v>182581434.58680615</v>
      </c>
    </row>
    <row r="15273" spans="1:2" x14ac:dyDescent="0.25">
      <c r="A15273">
        <f ca="1">28825.4777075651*((RANDBETWEEN(2979,3282)))</f>
        <v>92731561.785237074</v>
      </c>
      <c r="B15273">
        <v>185611718.50173223</v>
      </c>
    </row>
    <row r="15274" spans="1:2" x14ac:dyDescent="0.25">
      <c r="A15274">
        <f ca="1">30770.1583686112*((RANDBETWEEN(2979,3282)))</f>
        <v>94372075.716530666</v>
      </c>
      <c r="B15274">
        <v>145235156.47296792</v>
      </c>
    </row>
    <row r="15275" spans="1:2" x14ac:dyDescent="0.25">
      <c r="A15275">
        <f ca="1">40800.8970617144*((RANDBETWEEN(2979,3282)))</f>
        <v>130726074.18573289</v>
      </c>
      <c r="B15275">
        <v>170474945.28949299</v>
      </c>
    </row>
    <row r="15276" spans="1:2" x14ac:dyDescent="0.25">
      <c r="A15276">
        <f ca="1">41055.0371915047*((RANDBETWEEN(2979,3282)))</f>
        <v>123986212.31834415</v>
      </c>
      <c r="B15276">
        <v>158033644.96928224</v>
      </c>
    </row>
    <row r="15277" spans="1:2" x14ac:dyDescent="0.25">
      <c r="A15277">
        <f ca="1">33366.8477806765*((RANDBETWEEN(2979,3282)))</f>
        <v>105873008.00808658</v>
      </c>
      <c r="B15277">
        <v>150773931.83384916</v>
      </c>
    </row>
    <row r="15278" spans="1:2" x14ac:dyDescent="0.25">
      <c r="A15278">
        <f ca="1">33548.6161643561*((RANDBETWEEN(2979,3282)))</f>
        <v>106181370.16018714</v>
      </c>
      <c r="B15278">
        <v>179675845.95027947</v>
      </c>
    </row>
    <row r="15279" spans="1:2" x14ac:dyDescent="0.25">
      <c r="A15279">
        <f ca="1">32071.2757597755*((RANDBETWEEN(2979,3282)))</f>
        <v>101345231.40089056</v>
      </c>
      <c r="B15279">
        <v>169049783.45477429</v>
      </c>
    </row>
    <row r="15280" spans="1:2" x14ac:dyDescent="0.25">
      <c r="A15280">
        <f ca="1">30832.3269348403*((RANDBETWEEN(2979,3282)))</f>
        <v>99896739.268882513</v>
      </c>
      <c r="B15280">
        <v>163106659.46261126</v>
      </c>
    </row>
    <row r="15281" spans="1:2" x14ac:dyDescent="0.25">
      <c r="A15281">
        <f ca="1">41008.56433283*((RANDBETWEEN(2979,3282)))</f>
        <v>128643866.31208764</v>
      </c>
      <c r="B15281">
        <v>150892000.75302246</v>
      </c>
    </row>
    <row r="15282" spans="1:2" x14ac:dyDescent="0.25">
      <c r="A15282">
        <f ca="1">39073.9452895184*((RANDBETWEEN(2979,3282)))</f>
        <v>126130695.39456533</v>
      </c>
      <c r="B15282">
        <v>171862394.92795879</v>
      </c>
    </row>
    <row r="15283" spans="1:2" x14ac:dyDescent="0.25">
      <c r="A15283">
        <f ca="1">34704.9975647041*((RANDBETWEEN(2979,3282)))</f>
        <v>106127882.55286521</v>
      </c>
      <c r="B15283">
        <v>168156666.88113201</v>
      </c>
    </row>
    <row r="15284" spans="1:2" x14ac:dyDescent="0.25">
      <c r="A15284">
        <f ca="1">31972.5496090266*((RANDBETWEEN(2979,3282)))</f>
        <v>99690409.680944845</v>
      </c>
      <c r="B15284">
        <v>173942732.93232465</v>
      </c>
    </row>
    <row r="15285" spans="1:2" x14ac:dyDescent="0.25">
      <c r="A15285">
        <f ca="1">34818.1270578973*((RANDBETWEEN(2979,3282)))</f>
        <v>109642282.10531859</v>
      </c>
      <c r="B15285">
        <v>194776012.46570775</v>
      </c>
    </row>
    <row r="15286" spans="1:2" x14ac:dyDescent="0.25">
      <c r="A15286">
        <f ca="1">30983.8992527941*((RANDBETWEEN(2979,3282)))</f>
        <v>93416456.247174323</v>
      </c>
      <c r="B15286">
        <v>196790204.41690809</v>
      </c>
    </row>
    <row r="15287" spans="1:2" x14ac:dyDescent="0.25">
      <c r="A15287">
        <f ca="1">31879.9249495158*((RANDBETWEEN(2979,3282)))</f>
        <v>98764007.493599966</v>
      </c>
      <c r="B15287">
        <v>152378680.06996077</v>
      </c>
    </row>
    <row r="15288" spans="1:2" x14ac:dyDescent="0.25">
      <c r="A15288">
        <f ca="1">36911.1528583494*((RANDBETWEEN(2979,3282)))</f>
        <v>117635844.15955964</v>
      </c>
      <c r="B15288">
        <v>201554042.0245322</v>
      </c>
    </row>
    <row r="15289" spans="1:2" x14ac:dyDescent="0.25">
      <c r="A15289">
        <f ca="1">31697.9574463678*((RANDBETWEEN(2979,3282)))</f>
        <v>101243276.0836986</v>
      </c>
      <c r="B15289">
        <v>145941619.30157197</v>
      </c>
    </row>
    <row r="15290" spans="1:2" x14ac:dyDescent="0.25">
      <c r="A15290">
        <f ca="1">30097.0916190769*((RANDBETWEEN(2979,3282)))</f>
        <v>96250498.997808084</v>
      </c>
      <c r="B15290">
        <v>153684940.10778281</v>
      </c>
    </row>
    <row r="15291" spans="1:2" x14ac:dyDescent="0.25">
      <c r="A15291">
        <f ca="1">39495.0783482635*((RANDBETWEEN(2979,3282)))</f>
        <v>120104533.25706926</v>
      </c>
      <c r="B15291">
        <v>163759936.54857615</v>
      </c>
    </row>
    <row r="15292" spans="1:2" x14ac:dyDescent="0.25">
      <c r="A15292">
        <f ca="1">30574.2661697229*((RANDBETWEEN(2979,3282)))</f>
        <v>97042720.822700351</v>
      </c>
      <c r="B15292">
        <v>176678345.2707383</v>
      </c>
    </row>
    <row r="15293" spans="1:2" x14ac:dyDescent="0.25">
      <c r="A15293">
        <f ca="1">29071.0106536274*((RANDBETWEEN(2979,3282)))</f>
        <v>87009534.886306688</v>
      </c>
      <c r="B15293">
        <v>149485441.94450763</v>
      </c>
    </row>
    <row r="15294" spans="1:2" x14ac:dyDescent="0.25">
      <c r="A15294">
        <f ca="1">39675.1857690371*((RANDBETWEEN(2979,3282)))</f>
        <v>125095860.72977407</v>
      </c>
      <c r="B15294">
        <v>160268638.7626245</v>
      </c>
    </row>
    <row r="15295" spans="1:2" x14ac:dyDescent="0.25">
      <c r="A15295">
        <f ca="1">30054.4150546545*((RANDBETWEEN(2979,3282)))</f>
        <v>97526576.85235402</v>
      </c>
      <c r="B15295">
        <v>177709766.26404491</v>
      </c>
    </row>
    <row r="15296" spans="1:2" x14ac:dyDescent="0.25">
      <c r="A15296">
        <f ca="1">32235.9323324431*((RANDBETWEEN(2979,3282)))</f>
        <v>100898468.20054698</v>
      </c>
      <c r="B15296">
        <v>180252764.92056128</v>
      </c>
    </row>
    <row r="15297" spans="1:4" x14ac:dyDescent="0.25">
      <c r="A15297">
        <f ca="1">30900.4517585109*((RANDBETWEEN(2979,3282)))</f>
        <v>92886757.986083865</v>
      </c>
      <c r="B15297">
        <v>166765887.61939096</v>
      </c>
    </row>
    <row r="15298" spans="1:4" x14ac:dyDescent="0.25">
      <c r="A15298">
        <f ca="1">31273.6267988188*((RANDBETWEEN(2979,3282)))</f>
        <v>101701834.34975874</v>
      </c>
      <c r="B15298">
        <v>186412144.10793138</v>
      </c>
    </row>
    <row r="15299" spans="1:4" x14ac:dyDescent="0.25">
      <c r="A15299">
        <f ca="1">34752.053332779*((RANDBETWEEN(2979,3282)))</f>
        <v>107731365.33161482</v>
      </c>
      <c r="B15299">
        <v>160236060.97471017</v>
      </c>
    </row>
    <row r="15300" spans="1:4" x14ac:dyDescent="0.25">
      <c r="A15300">
        <f ca="1">31941.680184242*((RANDBETWEEN(2979,3282)))</f>
        <v>98763675.129676208</v>
      </c>
      <c r="B15300">
        <v>165511943.2362397</v>
      </c>
    </row>
    <row r="15301" spans="1:4" x14ac:dyDescent="0.25">
      <c r="A15301">
        <f ca="1">30637.5632144465*((RANDBETWEEN(2979,3282)))</f>
        <v>97090437.826581031</v>
      </c>
      <c r="B15301">
        <v>174767394.57049966</v>
      </c>
    </row>
    <row r="15302" spans="1:4" x14ac:dyDescent="0.25">
      <c r="A15302">
        <f ca="1">35903.8520538838*((RANDBETWEEN(2979,3282)))</f>
        <v>114820518.86832039</v>
      </c>
      <c r="B15302">
        <v>151877811.35010427</v>
      </c>
    </row>
    <row r="15303" spans="1:4" x14ac:dyDescent="0.25">
      <c r="A15303">
        <f ca="1">33145.048570462*((RANDBETWEEN(2979,3282)))</f>
        <v>108152293.48541762</v>
      </c>
      <c r="B15303">
        <v>183475894.46134734</v>
      </c>
    </row>
    <row r="15304" spans="1:4" x14ac:dyDescent="0.25">
      <c r="A15304">
        <f ca="1">38065.6022740211*((RANDBETWEEN(2979,3282)))</f>
        <v>119373728.73133023</v>
      </c>
      <c r="B15304">
        <v>145802283.32086244</v>
      </c>
    </row>
    <row r="15305" spans="1:4" x14ac:dyDescent="0.25">
      <c r="A15305">
        <f ca="1">32624.3133480513*((RANDBETWEEN(2979,3282)))</f>
        <v>99308409.831468031</v>
      </c>
      <c r="B15305">
        <v>164557011.96546853</v>
      </c>
    </row>
    <row r="15306" spans="1:4" x14ac:dyDescent="0.25">
      <c r="A15306">
        <f ca="1">30052.7235124862*((RANDBETWEEN(2979,3282)))</f>
        <v>97370824.180455372</v>
      </c>
      <c r="B15306">
        <v>184815276.03453204</v>
      </c>
    </row>
    <row r="15307" spans="1:4" x14ac:dyDescent="0.25">
      <c r="A15307">
        <f ca="1">32773.6598761603*((RANDBETWEEN(2979,3282)))</f>
        <v>106284978.978388</v>
      </c>
      <c r="B15307">
        <v>164798047.38181162</v>
      </c>
    </row>
    <row r="15308" spans="1:4" x14ac:dyDescent="0.25">
      <c r="A15308">
        <f ca="1">32181.2377050513*((RANDBETWEEN(2979,3282)))</f>
        <v>97187337.869254962</v>
      </c>
      <c r="B15308">
        <v>181571278.9505305</v>
      </c>
      <c r="D15308">
        <f ca="1">(RANDBETWEEN(2979,3282))</f>
        <v>3057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46EAB-BAC7-4731-8717-497542FD35BA}">
  <dimension ref="A1:B8658"/>
  <sheetViews>
    <sheetView tabSelected="1" topLeftCell="A8643" workbookViewId="0">
      <selection activeCell="A8658" sqref="A1:A8658"/>
    </sheetView>
  </sheetViews>
  <sheetFormatPr defaultRowHeight="13.8" x14ac:dyDescent="0.25"/>
  <cols>
    <col min="1" max="1" width="12.88671875" customWidth="1"/>
    <col min="2" max="2" width="10.88671875" customWidth="1"/>
  </cols>
  <sheetData>
    <row r="1" spans="1:2" x14ac:dyDescent="0.25">
      <c r="A1">
        <f ca="1">35552.0777614514*(RANDBETWEEN(2890,3282))</f>
        <v>112771190.65932383</v>
      </c>
      <c r="B1">
        <v>253824426.70302281</v>
      </c>
    </row>
    <row r="2" spans="1:2" x14ac:dyDescent="0.25">
      <c r="A2">
        <f ca="1">34203.3196826482*(RANDBETWEEN(2890,3282))</f>
        <v>105209411.34382573</v>
      </c>
      <c r="B2">
        <v>214286896.45713454</v>
      </c>
    </row>
    <row r="3" spans="1:2" x14ac:dyDescent="0.25">
      <c r="A3">
        <f ca="1">33223.9946029907*(RANDBETWEEN(2890,3282))</f>
        <v>99107175.900721237</v>
      </c>
      <c r="B3">
        <v>207446941.34368998</v>
      </c>
    </row>
    <row r="4" spans="1:2" x14ac:dyDescent="0.25">
      <c r="A4">
        <f ca="1">40508.3897994115*(RANDBETWEEN(2890,3282))</f>
        <v>124725332.19238806</v>
      </c>
      <c r="B4">
        <v>204557398.09814709</v>
      </c>
    </row>
    <row r="5" spans="1:2" x14ac:dyDescent="0.25">
      <c r="A5">
        <f ca="1">33768.6201070489*(RANDBETWEEN(2890,3282))</f>
        <v>107958278.48223534</v>
      </c>
      <c r="B5">
        <v>259931441.4395178</v>
      </c>
    </row>
    <row r="6" spans="1:2" x14ac:dyDescent="0.25">
      <c r="A6">
        <f ca="1">30768.0849818567*(RANDBETWEEN(2890,3282))</f>
        <v>89412054.957275525</v>
      </c>
      <c r="B6">
        <v>212129002.0728339</v>
      </c>
    </row>
    <row r="7" spans="1:2" x14ac:dyDescent="0.25">
      <c r="A7">
        <f ca="1">37625.6252329334*(RANDBETWEEN(2890,3282))</f>
        <v>109904451.30539845</v>
      </c>
      <c r="B7">
        <v>235678166.6279344</v>
      </c>
    </row>
    <row r="8" spans="1:2" x14ac:dyDescent="0.25">
      <c r="A8">
        <f ca="1">39015.2904925488*(RANDBETWEEN(2890,3282))</f>
        <v>114665938.75760098</v>
      </c>
      <c r="B8">
        <v>245574536.28170967</v>
      </c>
    </row>
    <row r="9" spans="1:2" x14ac:dyDescent="0.25">
      <c r="A9">
        <f ca="1">27721.8821057812*(RANDBETWEEN(2890,3282))</f>
        <v>85910112.645815983</v>
      </c>
      <c r="B9">
        <v>215995686.73108214</v>
      </c>
    </row>
    <row r="10" spans="1:2" x14ac:dyDescent="0.25">
      <c r="A10">
        <f ca="1">37171.4853344933*(RANDBETWEEN(2890,3282))</f>
        <v>111514456.00347981</v>
      </c>
      <c r="B10">
        <v>251836358.4279888</v>
      </c>
    </row>
    <row r="11" spans="1:2" x14ac:dyDescent="0.25">
      <c r="A11">
        <f ca="1">31780.5663119372*(RANDBETWEEN(2890,3282))</f>
        <v>93593767.788655177</v>
      </c>
      <c r="B11">
        <v>207137490.41196096</v>
      </c>
    </row>
    <row r="12" spans="1:2" x14ac:dyDescent="0.25">
      <c r="A12">
        <f ca="1">30950.5583445212*(RANDBETWEEN(2890,3282))</f>
        <v>91644603.258127287</v>
      </c>
      <c r="B12">
        <v>264022900.30448192</v>
      </c>
    </row>
    <row r="13" spans="1:2" x14ac:dyDescent="0.25">
      <c r="A13">
        <f ca="1">35098.8509155269*(RANDBETWEEN(2890,3282))</f>
        <v>108034263.11799166</v>
      </c>
      <c r="B13">
        <v>227447947.93301836</v>
      </c>
    </row>
    <row r="14" spans="1:2" x14ac:dyDescent="0.25">
      <c r="A14">
        <f ca="1">34870.9035039608*(RANDBETWEEN(2890,3282))</f>
        <v>101892780.03857341</v>
      </c>
      <c r="B14">
        <v>210551132.12987909</v>
      </c>
    </row>
    <row r="15" spans="1:2" x14ac:dyDescent="0.25">
      <c r="A15">
        <f ca="1">28610.7141467017*(RANDBETWEEN(2890,3282))</f>
        <v>87462953.146467134</v>
      </c>
      <c r="B15">
        <v>230735095.83424574</v>
      </c>
    </row>
    <row r="16" spans="1:2" x14ac:dyDescent="0.25">
      <c r="A16">
        <f ca="1">35358.9234237782*(RANDBETWEEN(2890,3282))</f>
        <v>102965185.01004215</v>
      </c>
      <c r="B16">
        <v>225001883.29384238</v>
      </c>
    </row>
    <row r="17" spans="1:2" x14ac:dyDescent="0.25">
      <c r="A17">
        <f ca="1">33010.0619648195*(RANDBETWEEN(2890,3282))</f>
        <v>105764238.53528176</v>
      </c>
      <c r="B17">
        <v>257610849.00243822</v>
      </c>
    </row>
    <row r="18" spans="1:2" x14ac:dyDescent="0.25">
      <c r="A18">
        <f ca="1">30469.1249715727*(RANDBETWEEN(2890,3282))</f>
        <v>90676115.915400237</v>
      </c>
      <c r="B18">
        <v>235088446.25568086</v>
      </c>
    </row>
    <row r="19" spans="1:2" x14ac:dyDescent="0.25">
      <c r="A19">
        <f ca="1">30959.0326641174*(RANDBETWEEN(2890,3282))</f>
        <v>91267228.293818012</v>
      </c>
      <c r="B19">
        <v>208425650.84773907</v>
      </c>
    </row>
    <row r="20" spans="1:2" x14ac:dyDescent="0.25">
      <c r="A20">
        <f ca="1">31919.2343929039*(RANDBETWEEN(2890,3282))</f>
        <v>98662353.50846608</v>
      </c>
      <c r="B20">
        <v>260690929.89191794</v>
      </c>
    </row>
    <row r="21" spans="1:2" x14ac:dyDescent="0.25">
      <c r="A21">
        <f ca="1">29971.4194942357*(RANDBETWEEN(2890,3282))</f>
        <v>98066484.585139126</v>
      </c>
      <c r="B21">
        <v>235156052.18924829</v>
      </c>
    </row>
    <row r="22" spans="1:2" x14ac:dyDescent="0.25">
      <c r="A22">
        <f ca="1">30263.9188524233*(RANDBETWEEN(2890,3282))</f>
        <v>95573455.735952705</v>
      </c>
      <c r="B22">
        <v>251832873.04533792</v>
      </c>
    </row>
    <row r="23" spans="1:2" x14ac:dyDescent="0.25">
      <c r="A23">
        <f ca="1">38549.3539549632*(RANDBETWEEN(2890,3282))</f>
        <v>116881641.19144844</v>
      </c>
      <c r="B23">
        <v>208340718.43968266</v>
      </c>
    </row>
    <row r="24" spans="1:2" x14ac:dyDescent="0.25">
      <c r="A24">
        <f ca="1">30691.7336240643*(RANDBETWEEN(2890,3282))</f>
        <v>99840209.479081079</v>
      </c>
      <c r="B24">
        <v>236810385.37537804</v>
      </c>
    </row>
    <row r="25" spans="1:2" x14ac:dyDescent="0.25">
      <c r="A25">
        <f ca="1">35424.4680842757*(RANDBETWEEN(2890,3282))</f>
        <v>111268254.25270993</v>
      </c>
      <c r="B25">
        <v>267359847.37789005</v>
      </c>
    </row>
    <row r="26" spans="1:2" x14ac:dyDescent="0.25">
      <c r="A26">
        <f ca="1">32747.4135051861*(RANDBETWEEN(2890,3282))</f>
        <v>95524205.194628</v>
      </c>
      <c r="B26">
        <v>235414098.11162603</v>
      </c>
    </row>
    <row r="27" spans="1:2" x14ac:dyDescent="0.25">
      <c r="A27">
        <f ca="1">31432.9535433441*(RANDBETWEEN(2890,3282))</f>
        <v>92915810.674125299</v>
      </c>
      <c r="B27">
        <v>205757833.6659995</v>
      </c>
    </row>
    <row r="28" spans="1:2" x14ac:dyDescent="0.25">
      <c r="A28">
        <f ca="1">28257.6748353868*(RANDBETWEEN(2890,3282))</f>
        <v>90113725.050048649</v>
      </c>
      <c r="B28">
        <v>258845385.96286944</v>
      </c>
    </row>
    <row r="29" spans="1:2" x14ac:dyDescent="0.25">
      <c r="A29">
        <f ca="1">31097.165936486*(RANDBETWEEN(2890,3282))</f>
        <v>91456765.019205272</v>
      </c>
      <c r="B29">
        <v>264684816.83985659</v>
      </c>
    </row>
    <row r="30" spans="1:2" x14ac:dyDescent="0.25">
      <c r="A30">
        <f ca="1">34986.0634823234*(RANDBETWEEN(2890,3282))</f>
        <v>110695904.85807136</v>
      </c>
      <c r="B30">
        <v>216224614.84519506</v>
      </c>
    </row>
    <row r="31" spans="1:2" x14ac:dyDescent="0.25">
      <c r="A31">
        <f ca="1">39780.1005276376*(RANDBETWEEN(2890,3282))</f>
        <v>128609065.00585233</v>
      </c>
      <c r="B31">
        <v>225973428.94558662</v>
      </c>
    </row>
    <row r="32" spans="1:2" x14ac:dyDescent="0.25">
      <c r="A32">
        <f ca="1">32314.9840518857*(RANDBETWEEN(2890,3282))</f>
        <v>97235787.012124076</v>
      </c>
      <c r="B32">
        <v>212373446.95503289</v>
      </c>
    </row>
    <row r="33" spans="1:2" x14ac:dyDescent="0.25">
      <c r="A33">
        <f ca="1">32015.5792681176*(RANDBETWEEN(2890,3282))</f>
        <v>97615501.188490689</v>
      </c>
      <c r="B33">
        <v>232461386.45782116</v>
      </c>
    </row>
    <row r="34" spans="1:2" x14ac:dyDescent="0.25">
      <c r="A34">
        <f ca="1">28138.871605316*(RANDBETWEEN(2890,3282))</f>
        <v>90775999.798749298</v>
      </c>
      <c r="B34">
        <v>263000749.5741055</v>
      </c>
    </row>
    <row r="35" spans="1:2" x14ac:dyDescent="0.25">
      <c r="A35">
        <f ca="1">31610.4383886146*(RANDBETWEEN(2890,3282))</f>
        <v>99920595.746410862</v>
      </c>
      <c r="B35">
        <v>258635451.232398</v>
      </c>
    </row>
    <row r="36" spans="1:2" x14ac:dyDescent="0.25">
      <c r="A36">
        <f ca="1">28899.4064453098*(RANDBETWEEN(2890,3282))</f>
        <v>90166148.109366626</v>
      </c>
      <c r="B36">
        <v>207646939.82443017</v>
      </c>
    </row>
    <row r="37" spans="1:2" x14ac:dyDescent="0.25">
      <c r="A37">
        <f ca="1">35289.7229677303*(RANDBETWEEN(2890,3282))</f>
        <v>102975411.61983688</v>
      </c>
      <c r="B37">
        <v>259273054.01217321</v>
      </c>
    </row>
    <row r="38" spans="1:2" x14ac:dyDescent="0.25">
      <c r="A38">
        <f ca="1">32066.3426949447*(RANDBETWEEN(2890,3282))</f>
        <v>97449615.44993706</v>
      </c>
      <c r="B38">
        <v>239481101.56269532</v>
      </c>
    </row>
    <row r="39" spans="1:2" x14ac:dyDescent="0.25">
      <c r="A39">
        <f ca="1">33507.9027662367*(RANDBETWEEN(2890,3282))</f>
        <v>99786534.437852845</v>
      </c>
      <c r="B39">
        <v>213857014.1387516</v>
      </c>
    </row>
    <row r="40" spans="1:2" x14ac:dyDescent="0.25">
      <c r="A40">
        <f ca="1">30379.2142609509*(RANDBETWEEN(2890,3282))</f>
        <v>89709819.712588117</v>
      </c>
      <c r="B40">
        <v>245001680.44588509</v>
      </c>
    </row>
    <row r="41" spans="1:2" x14ac:dyDescent="0.25">
      <c r="A41">
        <f ca="1">31706.5145089739*(RANDBETWEEN(2890,3282))</f>
        <v>97909716.803711295</v>
      </c>
      <c r="B41">
        <v>246352092.15911499</v>
      </c>
    </row>
    <row r="42" spans="1:2" x14ac:dyDescent="0.25">
      <c r="A42">
        <f ca="1">34071.6584577944*(RANDBETWEEN(2890,3282))</f>
        <v>99727744.305964142</v>
      </c>
      <c r="B42">
        <v>238730184.60871103</v>
      </c>
    </row>
    <row r="43" spans="1:2" x14ac:dyDescent="0.25">
      <c r="A43">
        <f ca="1">30974.9448510356*(RANDBETWEEN(2890,3282))</f>
        <v>95433805.086040616</v>
      </c>
      <c r="B43">
        <v>214138496.04929453</v>
      </c>
    </row>
    <row r="44" spans="1:2" x14ac:dyDescent="0.25">
      <c r="A44">
        <f ca="1">29475.7257829001*(RANDBETWEEN(2890,3282))</f>
        <v>92966439.119267017</v>
      </c>
      <c r="B44">
        <v>225063348.27199066</v>
      </c>
    </row>
    <row r="45" spans="1:2" x14ac:dyDescent="0.25">
      <c r="A45">
        <f ca="1">35360.179849487*(RANDBETWEEN(2890,3282))</f>
        <v>106080539.54846095</v>
      </c>
      <c r="B45">
        <v>246753287.2220394</v>
      </c>
    </row>
    <row r="46" spans="1:2" x14ac:dyDescent="0.25">
      <c r="A46">
        <f ca="1">29498.2486854447*(RANDBETWEEN(2890,3282))</f>
        <v>92801490.364408866</v>
      </c>
      <c r="B46">
        <v>255066659.15830553</v>
      </c>
    </row>
    <row r="47" spans="1:2" x14ac:dyDescent="0.25">
      <c r="A47">
        <f ca="1">34986.7856252992*(RANDBETWEEN(2890,3282))</f>
        <v>109368691.86468536</v>
      </c>
      <c r="B47">
        <v>213188528.28524899</v>
      </c>
    </row>
    <row r="48" spans="1:2" x14ac:dyDescent="0.25">
      <c r="A48">
        <f ca="1">31595.2197211052*(RANDBETWEEN(2890,3282))</f>
        <v>100504393.93283549</v>
      </c>
      <c r="B48">
        <v>264354437.33072245</v>
      </c>
    </row>
    <row r="49" spans="1:2" x14ac:dyDescent="0.25">
      <c r="A49">
        <f ca="1">39160.0703636279*(RANDBETWEEN(2890,3282))</f>
        <v>128249230.44088145</v>
      </c>
      <c r="B49">
        <v>218184885.38809645</v>
      </c>
    </row>
    <row r="50" spans="1:2" x14ac:dyDescent="0.25">
      <c r="A50">
        <f ca="1">39092.6045287574*(RANDBETWEEN(2890,3282))</f>
        <v>125682723.55995513</v>
      </c>
      <c r="B50">
        <v>224046427.94609556</v>
      </c>
    </row>
    <row r="51" spans="1:2" x14ac:dyDescent="0.25">
      <c r="A51">
        <f ca="1">32587.4071079382*(RANDBETWEEN(2890,3282))</f>
        <v>102128933.87627834</v>
      </c>
      <c r="B51">
        <v>245991994.45581734</v>
      </c>
    </row>
    <row r="52" spans="1:2" x14ac:dyDescent="0.25">
      <c r="A52">
        <f ca="1">31527.0092115828*(RANDBETWEEN(2890,3282))</f>
        <v>93792852.404458955</v>
      </c>
      <c r="B52">
        <v>236231227.83812076</v>
      </c>
    </row>
    <row r="53" spans="1:2" x14ac:dyDescent="0.25">
      <c r="A53">
        <f ca="1">37930.7497481478*(RANDBETWEEN(2890,3282))</f>
        <v>114664656.48865081</v>
      </c>
      <c r="B53">
        <v>226624191.44700953</v>
      </c>
    </row>
    <row r="54" spans="1:2" x14ac:dyDescent="0.25">
      <c r="A54">
        <f ca="1">36784.7063215769*(RANDBETWEEN(2890,3282))</f>
        <v>114510790.77906883</v>
      </c>
      <c r="B54">
        <v>210703835.17258528</v>
      </c>
    </row>
    <row r="55" spans="1:2" x14ac:dyDescent="0.25">
      <c r="A55">
        <f ca="1">41859.6510140793*(RANDBETWEEN(2890,3282))</f>
        <v>129137023.3784347</v>
      </c>
      <c r="B55">
        <v>243220849.17335367</v>
      </c>
    </row>
    <row r="56" spans="1:2" x14ac:dyDescent="0.25">
      <c r="A56">
        <f ca="1">36956.2403171461*(RANDBETWEEN(2890,3282))</f>
        <v>113566526.49458995</v>
      </c>
      <c r="B56">
        <v>231928633.21852013</v>
      </c>
    </row>
    <row r="57" spans="1:2" x14ac:dyDescent="0.25">
      <c r="A57">
        <f ca="1">38030.3137480004*(RANDBETWEEN(2890,3282))</f>
        <v>116182608.50014111</v>
      </c>
      <c r="B57">
        <v>225278639.58986461</v>
      </c>
    </row>
    <row r="58" spans="1:2" x14ac:dyDescent="0.25">
      <c r="A58">
        <f ca="1">31684.4555672314*(RANDBETWEEN(2890,3282))</f>
        <v>98982239.192030787</v>
      </c>
      <c r="B58">
        <v>208151984.46183273</v>
      </c>
    </row>
    <row r="59" spans="1:2" x14ac:dyDescent="0.25">
      <c r="A59">
        <f ca="1">33636.8171857902*(RANDBETWEEN(2890,3282))</f>
        <v>102289561.06198813</v>
      </c>
      <c r="B59">
        <v>204672187.07430258</v>
      </c>
    </row>
    <row r="60" spans="1:2" x14ac:dyDescent="0.25">
      <c r="A60">
        <f ca="1">37712.2642961039*(RANDBETWEEN(2890,3282))</f>
        <v>122112311.79078439</v>
      </c>
      <c r="B60">
        <v>232524235.95167658</v>
      </c>
    </row>
    <row r="61" spans="1:2" x14ac:dyDescent="0.25">
      <c r="A61">
        <f ca="1">29349.1842457357*(RANDBETWEEN(2890,3282))</f>
        <v>91892295.873398572</v>
      </c>
      <c r="B61">
        <v>263461640.22061911</v>
      </c>
    </row>
    <row r="62" spans="1:2" x14ac:dyDescent="0.25">
      <c r="A62">
        <f ca="1">30032.9552629789*(RANDBETWEEN(2890,3282))</f>
        <v>88987646.444206461</v>
      </c>
      <c r="B62">
        <v>253180892.72051325</v>
      </c>
    </row>
    <row r="63" spans="1:2" x14ac:dyDescent="0.25">
      <c r="A63">
        <f ca="1">37132.7827662633*(RANDBETWEEN(2890,3282))</f>
        <v>107350874.97726719</v>
      </c>
      <c r="B63">
        <v>255104481.95252711</v>
      </c>
    </row>
    <row r="64" spans="1:2" x14ac:dyDescent="0.25">
      <c r="A64">
        <f ca="1">32036.2156736999*(RANDBETWEEN(2890,3282))</f>
        <v>103541049.05739798</v>
      </c>
      <c r="B64">
        <v>233077795.33876267</v>
      </c>
    </row>
    <row r="65" spans="1:2" x14ac:dyDescent="0.25">
      <c r="A65">
        <f ca="1">30260.6211582751*(RANDBETWEEN(2890,3282))</f>
        <v>91447597.140307397</v>
      </c>
      <c r="B65">
        <v>208069750.81504431</v>
      </c>
    </row>
    <row r="66" spans="1:2" x14ac:dyDescent="0.25">
      <c r="A66">
        <f ca="1">33208.3370967507*(RANDBETWEEN(2890,3282))</f>
        <v>96702677.625737995</v>
      </c>
      <c r="B66">
        <v>245092720.42048407</v>
      </c>
    </row>
    <row r="67" spans="1:2" x14ac:dyDescent="0.25">
      <c r="A67">
        <f ca="1">36631.5438620865*(RANDBETWEEN(2890,3282))</f>
        <v>108612527.55108654</v>
      </c>
      <c r="B67">
        <v>216094274.51558834</v>
      </c>
    </row>
    <row r="68" spans="1:2" x14ac:dyDescent="0.25">
      <c r="A68">
        <f ca="1">29454.9357557239*(RANDBETWEEN(2890,3282))</f>
        <v>91280845.906988502</v>
      </c>
      <c r="B68">
        <v>215457422.83141986</v>
      </c>
    </row>
    <row r="69" spans="1:2" x14ac:dyDescent="0.25">
      <c r="A69">
        <f ca="1">38612.3200503392*(RANDBETWEEN(2890,3282))</f>
        <v>126069224.96435758</v>
      </c>
      <c r="B69">
        <v>257634934.66326678</v>
      </c>
    </row>
    <row r="70" spans="1:2" x14ac:dyDescent="0.25">
      <c r="A70">
        <f ca="1">39588.5239068316*(RANDBETWEEN(2890,3282))</f>
        <v>126683276.50186114</v>
      </c>
      <c r="B70">
        <v>240751282.36307931</v>
      </c>
    </row>
    <row r="71" spans="1:2" x14ac:dyDescent="0.25">
      <c r="A71">
        <f ca="1">33829.0681275085*(RANDBETWEEN(2890,3282))</f>
        <v>106257102.98850429</v>
      </c>
      <c r="B71">
        <v>216480007.47608173</v>
      </c>
    </row>
    <row r="72" spans="1:2" x14ac:dyDescent="0.25">
      <c r="A72">
        <f ca="1">32224.7206683181*(RANDBETWEEN(2890,3282))</f>
        <v>101604544.26720704</v>
      </c>
      <c r="B72">
        <v>231214360.70983404</v>
      </c>
    </row>
    <row r="73" spans="1:2" x14ac:dyDescent="0.25">
      <c r="A73">
        <f ca="1">38931.8322533601*(RANDBETWEEN(2890,3282))</f>
        <v>127190295.97172755</v>
      </c>
      <c r="B73">
        <v>261005552.67465758</v>
      </c>
    </row>
    <row r="74" spans="1:2" x14ac:dyDescent="0.25">
      <c r="A74">
        <f ca="1">37237.1850785477*(RANDBETWEEN(2890,3282))</f>
        <v>121579409.28145832</v>
      </c>
      <c r="B74">
        <v>252182956.40832886</v>
      </c>
    </row>
    <row r="75" spans="1:2" x14ac:dyDescent="0.25">
      <c r="A75">
        <f ca="1">29870.9579739586*(RANDBETWEEN(2890,3282))</f>
        <v>95706549.348563507</v>
      </c>
      <c r="B75">
        <v>226511400.27162552</v>
      </c>
    </row>
    <row r="76" spans="1:2" x14ac:dyDescent="0.25">
      <c r="A76">
        <f ca="1">30935.7655419203*(RANDBETWEEN(2890,3282))</f>
        <v>99891586.934860587</v>
      </c>
      <c r="B76">
        <v>223261359.99459258</v>
      </c>
    </row>
    <row r="77" spans="1:2" x14ac:dyDescent="0.25">
      <c r="A77">
        <f ca="1">31803.5971874956*(RANDBETWEEN(2890,3282))</f>
        <v>102184957.76342329</v>
      </c>
      <c r="B77">
        <v>248126575.76644</v>
      </c>
    </row>
    <row r="78" spans="1:2" x14ac:dyDescent="0.25">
      <c r="A78">
        <f ca="1">37483.3394243719*(RANDBETWEEN(2890,3282))</f>
        <v>122458069.89942308</v>
      </c>
      <c r="B78">
        <v>206074848.15795141</v>
      </c>
    </row>
    <row r="79" spans="1:2" x14ac:dyDescent="0.25">
      <c r="A79">
        <f ca="1">31216.1414368214*(RANDBETWEEN(2890,3282))</f>
        <v>90401945.601034701</v>
      </c>
      <c r="B79">
        <v>213188084.08795622</v>
      </c>
    </row>
    <row r="80" spans="1:2" x14ac:dyDescent="0.25">
      <c r="A80">
        <f ca="1">32863.1535809394*(RANDBETWEEN(2890,3282))</f>
        <v>101251376.18287417</v>
      </c>
      <c r="B80">
        <v>239771335.25195757</v>
      </c>
    </row>
    <row r="81" spans="1:2" x14ac:dyDescent="0.25">
      <c r="A81">
        <f ca="1">31707.4785941289*(RANDBETWEEN(2890,3282))</f>
        <v>98927333.213682041</v>
      </c>
      <c r="B81">
        <v>230456746.14270425</v>
      </c>
    </row>
    <row r="82" spans="1:2" x14ac:dyDescent="0.25">
      <c r="A82">
        <f ca="1">37709.6865685397*(RANDBETWEEN(2890,3282))</f>
        <v>117088576.79531567</v>
      </c>
      <c r="B82">
        <v>262669950.53603452</v>
      </c>
    </row>
    <row r="83" spans="1:2" x14ac:dyDescent="0.25">
      <c r="A83">
        <f ca="1">38974.8777111852*(RANDBETWEEN(2890,3282))</f>
        <v>125187307.20832676</v>
      </c>
      <c r="B83">
        <v>241353903.76238954</v>
      </c>
    </row>
    <row r="84" spans="1:2" x14ac:dyDescent="0.25">
      <c r="A84">
        <f ca="1">39712.6716964665*(RANDBETWEEN(2890,3282))</f>
        <v>121917902.10815203</v>
      </c>
      <c r="B84">
        <v>231265368.8554281</v>
      </c>
    </row>
    <row r="85" spans="1:2" x14ac:dyDescent="0.25">
      <c r="A85">
        <f ca="1">36870.0156812111*(RANDBETWEEN(2890,3282))</f>
        <v>118758320.50918105</v>
      </c>
      <c r="B85">
        <v>262618144.45754188</v>
      </c>
    </row>
    <row r="86" spans="1:2" x14ac:dyDescent="0.25">
      <c r="A86">
        <f ca="1">31907.8165210837*(RANDBETWEEN(2890,3282))</f>
        <v>99775742.261428863</v>
      </c>
      <c r="B86">
        <v>230941916.27871472</v>
      </c>
    </row>
    <row r="87" spans="1:2" x14ac:dyDescent="0.25">
      <c r="A87">
        <f ca="1">31436.1136153995*(RANDBETWEEN(2890,3282))</f>
        <v>97011846.617122769</v>
      </c>
      <c r="B87">
        <v>237630807.78496668</v>
      </c>
    </row>
    <row r="88" spans="1:2" x14ac:dyDescent="0.25">
      <c r="A88">
        <f ca="1">35058.3467672103*(RANDBETWEEN(2890,3282))</f>
        <v>110714259.09085023</v>
      </c>
      <c r="B88">
        <v>219090472.18160287</v>
      </c>
    </row>
    <row r="89" spans="1:2" x14ac:dyDescent="0.25">
      <c r="A89">
        <f ca="1">29537.8052306593*(RANDBETWEEN(2890,3282))</f>
        <v>88436188.860594064</v>
      </c>
      <c r="B89">
        <v>234898405.64415312</v>
      </c>
    </row>
    <row r="90" spans="1:2" x14ac:dyDescent="0.25">
      <c r="A90">
        <f ca="1">37010.5141902381*(RANDBETWEEN(2890,3282))</f>
        <v>109477100.97472434</v>
      </c>
      <c r="B90">
        <v>225601058.45888275</v>
      </c>
    </row>
    <row r="91" spans="1:2" x14ac:dyDescent="0.25">
      <c r="A91">
        <f ca="1">37405.9076313201*(RANDBETWEEN(2890,3282))</f>
        <v>108140478.96214649</v>
      </c>
      <c r="B91">
        <v>255292746.13829732</v>
      </c>
    </row>
    <row r="92" spans="1:2" x14ac:dyDescent="0.25">
      <c r="A92">
        <f ca="1">31892.2021012264*(RANDBETWEEN(2890,3282))</f>
        <v>102182615.53232923</v>
      </c>
      <c r="B92">
        <v>238434248.17009926</v>
      </c>
    </row>
    <row r="93" spans="1:2" x14ac:dyDescent="0.25">
      <c r="A93">
        <f ca="1">39256.9337588925*(RANDBETWEEN(2890,3282))</f>
        <v>115572412.98617949</v>
      </c>
      <c r="B93">
        <v>265074277.48426145</v>
      </c>
    </row>
    <row r="94" spans="1:2" x14ac:dyDescent="0.25">
      <c r="A94">
        <f ca="1">41090.8326522023*(RANDBETWEEN(2890,3282))</f>
        <v>124998312.92799939</v>
      </c>
      <c r="B94">
        <v>203747277.86727774</v>
      </c>
    </row>
    <row r="95" spans="1:2" x14ac:dyDescent="0.25">
      <c r="A95">
        <f ca="1">31598.8552755121*(RANDBETWEEN(2890,3282))</f>
        <v>92837436.799454629</v>
      </c>
      <c r="B95">
        <v>261193026.99053735</v>
      </c>
    </row>
    <row r="96" spans="1:2" x14ac:dyDescent="0.25">
      <c r="A96">
        <f ca="1">32906.3187346906*(RANDBETWEEN(2890,3282))</f>
        <v>102503182.85856132</v>
      </c>
      <c r="B96">
        <v>241564198.61695707</v>
      </c>
    </row>
    <row r="97" spans="1:2" x14ac:dyDescent="0.25">
      <c r="A97">
        <f ca="1">40313.8274759836*(RANDBETWEEN(2890,3282))</f>
        <v>128157657.546152</v>
      </c>
      <c r="B97">
        <v>229766600.05245328</v>
      </c>
    </row>
    <row r="98" spans="1:2" x14ac:dyDescent="0.25">
      <c r="A98">
        <f ca="1">31451.1606634318*(RANDBETWEEN(2890,3282))</f>
        <v>101555797.78222121</v>
      </c>
      <c r="B98">
        <v>225027976.12148502</v>
      </c>
    </row>
    <row r="99" spans="1:2" x14ac:dyDescent="0.25">
      <c r="A99">
        <f ca="1">36061.8703493546*(RANDBETWEEN(2890,3282))</f>
        <v>107644682.99282339</v>
      </c>
      <c r="B99">
        <v>242719251.63228682</v>
      </c>
    </row>
    <row r="100" spans="1:2" x14ac:dyDescent="0.25">
      <c r="A100">
        <f ca="1">38428.4552691444*(RANDBETWEEN(2890,3282))</f>
        <v>119320353.61069338</v>
      </c>
      <c r="B100">
        <v>243114314.2631861</v>
      </c>
    </row>
    <row r="101" spans="1:2" x14ac:dyDescent="0.25">
      <c r="A101">
        <f ca="1">30931.1482555964*(RANDBETWEEN(2890,3282))</f>
        <v>93350205.435389996</v>
      </c>
      <c r="B101">
        <v>237834748.59039754</v>
      </c>
    </row>
    <row r="102" spans="1:2" x14ac:dyDescent="0.25">
      <c r="A102">
        <f ca="1">34895.2581400447*(RANDBETWEEN(2890,3282))</f>
        <v>112781474.30862445</v>
      </c>
      <c r="B102">
        <v>255457436.52058741</v>
      </c>
    </row>
    <row r="103" spans="1:2" x14ac:dyDescent="0.25">
      <c r="A103">
        <f ca="1">42861.2606039068*(RANDBETWEEN(2890,3282))</f>
        <v>140627796.04141816</v>
      </c>
      <c r="B103">
        <v>205656684.97817677</v>
      </c>
    </row>
    <row r="104" spans="1:2" x14ac:dyDescent="0.25">
      <c r="A104">
        <f ca="1">33322.4277412113*(RANDBETWEEN(2890,3282))</f>
        <v>102333175.59325989</v>
      </c>
      <c r="B104">
        <v>217737122.94880885</v>
      </c>
    </row>
    <row r="105" spans="1:2" x14ac:dyDescent="0.25">
      <c r="A105">
        <f ca="1">28778.7793741458*(RANDBETWEEN(2890,3282))</f>
        <v>86134886.666818485</v>
      </c>
      <c r="B105">
        <v>245872591.48454511</v>
      </c>
    </row>
    <row r="106" spans="1:2" x14ac:dyDescent="0.25">
      <c r="A106">
        <f ca="1">32822.6336322136*(RANDBETWEEN(2890,3282))</f>
        <v>96859591.848662347</v>
      </c>
      <c r="B106">
        <v>222018278.71424967</v>
      </c>
    </row>
    <row r="107" spans="1:2" x14ac:dyDescent="0.25">
      <c r="A107">
        <f ca="1">31624.0044358898*(RANDBETWEEN(2890,3282))</f>
        <v>98888261.871027678</v>
      </c>
      <c r="B107">
        <v>213232614.86465079</v>
      </c>
    </row>
    <row r="108" spans="1:2" x14ac:dyDescent="0.25">
      <c r="A108">
        <f ca="1">33395.1222887281*(RANDBETWEEN(2890,3282))</f>
        <v>106630625.4679089</v>
      </c>
      <c r="B108">
        <v>264770981.82004589</v>
      </c>
    </row>
    <row r="109" spans="1:2" x14ac:dyDescent="0.25">
      <c r="A109">
        <f ca="1">35833.3775372883*(RANDBETWEEN(2890,3282))</f>
        <v>112839305.86492096</v>
      </c>
      <c r="B109">
        <v>211869087.43052879</v>
      </c>
    </row>
    <row r="110" spans="1:2" x14ac:dyDescent="0.25">
      <c r="A110">
        <f ca="1">38276.9198122017*(RANDBETWEEN(2890,3282))</f>
        <v>120495743.56881107</v>
      </c>
      <c r="B110">
        <v>225296700.40858406</v>
      </c>
    </row>
    <row r="111" spans="1:2" x14ac:dyDescent="0.25">
      <c r="A111">
        <f ca="1">37098.7051934528*(RANDBETWEEN(2890,3282))</f>
        <v>114189814.5854477</v>
      </c>
      <c r="B111">
        <v>256868793.86095887</v>
      </c>
    </row>
    <row r="112" spans="1:2" x14ac:dyDescent="0.25">
      <c r="A112">
        <f ca="1">32926.2780932971*(RANDBETWEEN(2890,3282))</f>
        <v>105857984.06995018</v>
      </c>
      <c r="B112">
        <v>236517591.93442157</v>
      </c>
    </row>
    <row r="113" spans="1:2" x14ac:dyDescent="0.25">
      <c r="A113">
        <f ca="1">35095.1178616871*(RANDBETWEEN(2890,3282))</f>
        <v>104969497.52430613</v>
      </c>
      <c r="B113">
        <v>236675587.01443332</v>
      </c>
    </row>
    <row r="114" spans="1:2" x14ac:dyDescent="0.25">
      <c r="A114">
        <f ca="1">32185.1296667699*(RANDBETWEEN(2890,3282))</f>
        <v>98357756.261648878</v>
      </c>
      <c r="B114">
        <v>212568189.54956019</v>
      </c>
    </row>
    <row r="115" spans="1:2" x14ac:dyDescent="0.25">
      <c r="A115">
        <f ca="1">32365.2528639598*(RANDBETWEEN(2890,3282))</f>
        <v>103050965.11884789</v>
      </c>
      <c r="B115">
        <v>241932690.80648449</v>
      </c>
    </row>
    <row r="116" spans="1:2" x14ac:dyDescent="0.25">
      <c r="A116">
        <f ca="1">33321.9732404158*(RANDBETWEEN(2890,3282))</f>
        <v>104764283.86786723</v>
      </c>
      <c r="B116">
        <v>228008419.36829859</v>
      </c>
    </row>
    <row r="117" spans="1:2" x14ac:dyDescent="0.25">
      <c r="A117">
        <f ca="1">30605.5255648921*(RANDBETWEEN(2890,3282))</f>
        <v>89215107.021660581</v>
      </c>
      <c r="B117">
        <v>222957850.36167213</v>
      </c>
    </row>
    <row r="118" spans="1:2" x14ac:dyDescent="0.25">
      <c r="A118">
        <f ca="1">37287.4663800656*(RANDBETWEEN(2890,3282))</f>
        <v>120289366.54209159</v>
      </c>
      <c r="B118">
        <v>245388167.13158524</v>
      </c>
    </row>
    <row r="119" spans="1:2" x14ac:dyDescent="0.25">
      <c r="A119">
        <f ca="1">27560.0485188803*(RANDBETWEEN(2890,3282))</f>
        <v>89845758.171549618</v>
      </c>
      <c r="B119">
        <v>221021398.75925636</v>
      </c>
    </row>
    <row r="120" spans="1:2" x14ac:dyDescent="0.25">
      <c r="A120">
        <f ca="1">40635.716341953*(RANDBETWEEN(2890,3282))</f>
        <v>124182749.14100833</v>
      </c>
      <c r="B120">
        <v>233146764.4811765</v>
      </c>
    </row>
    <row r="121" spans="1:2" x14ac:dyDescent="0.25">
      <c r="A121">
        <f ca="1">36844.0173531417*(RANDBETWEEN(2890,3282))</f>
        <v>116463938.85328107</v>
      </c>
      <c r="B121">
        <v>231834041.73619291</v>
      </c>
    </row>
    <row r="122" spans="1:2" x14ac:dyDescent="0.25">
      <c r="A122">
        <f ca="1">38118.450178585*(RANDBETWEEN(2890,3282))</f>
        <v>111343992.97164677</v>
      </c>
      <c r="B122">
        <v>212390424.5668816</v>
      </c>
    </row>
    <row r="123" spans="1:2" x14ac:dyDescent="0.25">
      <c r="A123">
        <f ca="1">33106.3838435379*(RANDBETWEEN(2890,3282))</f>
        <v>98557704.702212438</v>
      </c>
      <c r="B123">
        <v>249654856.10190788</v>
      </c>
    </row>
    <row r="124" spans="1:2" x14ac:dyDescent="0.25">
      <c r="A124">
        <f ca="1">31505.1509916214*(RANDBETWEEN(2890,3282))</f>
        <v>99209720.472615927</v>
      </c>
      <c r="B124">
        <v>204769899.48938733</v>
      </c>
    </row>
    <row r="125" spans="1:2" x14ac:dyDescent="0.25">
      <c r="A125">
        <f ca="1">33462.627387638*(RANDBETWEEN(2890,3282))</f>
        <v>105373813.64367215</v>
      </c>
      <c r="B125">
        <v>267111111.84604162</v>
      </c>
    </row>
    <row r="126" spans="1:2" x14ac:dyDescent="0.25">
      <c r="A126">
        <f ca="1">33256.4082116467*(RANDBETWEEN(2890,3282))</f>
        <v>107384942.11540718</v>
      </c>
      <c r="B126">
        <v>213708223.07337955</v>
      </c>
    </row>
    <row r="127" spans="1:2" x14ac:dyDescent="0.25">
      <c r="A127">
        <f ca="1">35596.111727526*(RANDBETWEEN(2890,3282))</f>
        <v>115616170.89100446</v>
      </c>
      <c r="B127">
        <v>254539159.9933967</v>
      </c>
    </row>
    <row r="128" spans="1:2" x14ac:dyDescent="0.25">
      <c r="A128">
        <f ca="1">33711.6461413632*(RANDBETWEEN(2890,3282))</f>
        <v>105416317.48404288</v>
      </c>
      <c r="B128">
        <v>247217642.5721831</v>
      </c>
    </row>
    <row r="129" spans="1:2" x14ac:dyDescent="0.25">
      <c r="A129">
        <f ca="1">29175.8690167309*(RANDBETWEEN(2890,3282))</f>
        <v>93450308.460588977</v>
      </c>
      <c r="B129">
        <v>228639800.97092307</v>
      </c>
    </row>
    <row r="130" spans="1:2" x14ac:dyDescent="0.25">
      <c r="A130">
        <f ca="1">33417.8178386506*(RANDBETWEEN(2890,3282))</f>
        <v>108474236.70425984</v>
      </c>
      <c r="B130">
        <v>255276038.3137835</v>
      </c>
    </row>
    <row r="131" spans="1:2" x14ac:dyDescent="0.25">
      <c r="A131">
        <f ca="1">38326.3120500633*(RANDBETWEEN(2890,3282))</f>
        <v>115745462.39119115</v>
      </c>
      <c r="B131">
        <v>265732475.41727513</v>
      </c>
    </row>
    <row r="132" spans="1:2" x14ac:dyDescent="0.25">
      <c r="A132">
        <f ca="1">29872.8491495764*(RANDBETWEEN(2890,3282))</f>
        <v>88602870.577643663</v>
      </c>
      <c r="B132">
        <v>238250255.92335919</v>
      </c>
    </row>
    <row r="133" spans="1:2" x14ac:dyDescent="0.25">
      <c r="A133">
        <f ca="1">38180.4230066067*(RANDBETWEEN(2890,3282))</f>
        <v>116259388.05511728</v>
      </c>
      <c r="B133">
        <v>262225564.10890496</v>
      </c>
    </row>
    <row r="134" spans="1:2" x14ac:dyDescent="0.25">
      <c r="A134">
        <f ca="1">30720.3014617182*(RANDBETWEEN(2890,3282))</f>
        <v>95294375.13424997</v>
      </c>
      <c r="B134">
        <v>205396239.60998124</v>
      </c>
    </row>
    <row r="135" spans="1:2" x14ac:dyDescent="0.25">
      <c r="A135">
        <f ca="1">39961.2602085793*(RANDBETWEEN(2890,3282))</f>
        <v>120003664.40636367</v>
      </c>
      <c r="B135">
        <v>264466071.72511566</v>
      </c>
    </row>
    <row r="136" spans="1:2" x14ac:dyDescent="0.25">
      <c r="A136">
        <f ca="1">32812.837866035*(RANDBETWEEN(2890,3282))</f>
        <v>103360439.27801029</v>
      </c>
      <c r="B136">
        <v>233615873.76988763</v>
      </c>
    </row>
    <row r="137" spans="1:2" x14ac:dyDescent="0.25">
      <c r="A137">
        <f ca="1">33481.9681988972*(RANDBETWEEN(2890,3282))</f>
        <v>107644527.75945443</v>
      </c>
      <c r="B137">
        <v>255992671.03422138</v>
      </c>
    </row>
    <row r="138" spans="1:2" x14ac:dyDescent="0.25">
      <c r="A138">
        <f ca="1">32145.2831495075*(RANDBETWEEN(2890,3282))</f>
        <v>100293283.42646348</v>
      </c>
      <c r="B138">
        <v>217231666.39618018</v>
      </c>
    </row>
    <row r="139" spans="1:2" x14ac:dyDescent="0.25">
      <c r="A139">
        <f ca="1">40837.0019383466*(RANDBETWEEN(2890,3282))</f>
        <v>130841754.21046244</v>
      </c>
      <c r="B139">
        <v>247014659.40608236</v>
      </c>
    </row>
    <row r="140" spans="1:2" x14ac:dyDescent="0.25">
      <c r="A140">
        <f ca="1">28599.6086961806*(RANDBETWEEN(2890,3282))</f>
        <v>85713027.262453258</v>
      </c>
      <c r="B140">
        <v>249917933.16279072</v>
      </c>
    </row>
    <row r="141" spans="1:2" x14ac:dyDescent="0.25">
      <c r="A141">
        <f ca="1">31749.2609043391*(RANDBETWEEN(2890,3282))</f>
        <v>92834838.884287402</v>
      </c>
      <c r="B141">
        <v>252536936.03774989</v>
      </c>
    </row>
    <row r="142" spans="1:2" x14ac:dyDescent="0.25">
      <c r="A142">
        <f ca="1">36711.0448175908*(RANDBETWEEN(2890,3282))</f>
        <v>116117034.75803971</v>
      </c>
      <c r="B142">
        <v>264527995.53871152</v>
      </c>
    </row>
    <row r="143" spans="1:2" x14ac:dyDescent="0.25">
      <c r="A143">
        <f ca="1">29755.6562139547*(RANDBETWEEN(2890,3282))</f>
        <v>88552832.892729178</v>
      </c>
      <c r="B143">
        <v>236324668.09014377</v>
      </c>
    </row>
    <row r="144" spans="1:2" x14ac:dyDescent="0.25">
      <c r="A144">
        <f ca="1">36277.469662683*(RANDBETWEEN(2890,3282))</f>
        <v>109811900.66894139</v>
      </c>
      <c r="B144">
        <v>251850534.77278495</v>
      </c>
    </row>
    <row r="145" spans="1:2" x14ac:dyDescent="0.25">
      <c r="A145">
        <f ca="1">32140.62468067*(RANDBETWEEN(2890,3282))</f>
        <v>96454014.666690543</v>
      </c>
      <c r="B145">
        <v>248968890.24639866</v>
      </c>
    </row>
    <row r="146" spans="1:2" x14ac:dyDescent="0.25">
      <c r="A146">
        <f ca="1">30670.580481184*(RANDBETWEEN(2890,3282))</f>
        <v>88822001.073508933</v>
      </c>
      <c r="B146">
        <v>213106389.01272771</v>
      </c>
    </row>
    <row r="147" spans="1:2" x14ac:dyDescent="0.25">
      <c r="A147">
        <f ca="1">38329.2402615027*(RANDBETWEEN(2890,3282))</f>
        <v>118782315.57039717</v>
      </c>
      <c r="B147">
        <v>204962460.48737791</v>
      </c>
    </row>
    <row r="148" spans="1:2" x14ac:dyDescent="0.25">
      <c r="A148">
        <f ca="1">28359.857926426*(RANDBETWEEN(2890,3282))</f>
        <v>88652915.87800777</v>
      </c>
      <c r="B148">
        <v>205492568.87747872</v>
      </c>
    </row>
    <row r="149" spans="1:2" x14ac:dyDescent="0.25">
      <c r="A149">
        <f ca="1">38472.9770422086*(RANDBETWEEN(2890,3282))</f>
        <v>113649174.18268433</v>
      </c>
      <c r="B149">
        <v>233636886.35023308</v>
      </c>
    </row>
    <row r="150" spans="1:2" x14ac:dyDescent="0.25">
      <c r="A150">
        <f ca="1">29372.99713199*(RANDBETWEEN(2890,3282))</f>
        <v>93259265.894068286</v>
      </c>
      <c r="B150">
        <v>229045160.36816311</v>
      </c>
    </row>
    <row r="151" spans="1:2" x14ac:dyDescent="0.25">
      <c r="A151">
        <f ca="1">31861.105658272*(RANDBETWEEN(2890,3282))</f>
        <v>94754928.227700949</v>
      </c>
      <c r="B151">
        <v>245625022.89741063</v>
      </c>
    </row>
    <row r="152" spans="1:2" x14ac:dyDescent="0.25">
      <c r="A152">
        <f ca="1">38688.4355644514*(RANDBETWEEN(2890,3282))</f>
        <v>118850874.0539946</v>
      </c>
      <c r="B152">
        <v>218670254.34183919</v>
      </c>
    </row>
    <row r="153" spans="1:2" x14ac:dyDescent="0.25">
      <c r="A153">
        <f ca="1">36408.0083444362*(RANDBETWEEN(2890,3282))</f>
        <v>109005576.98324212</v>
      </c>
      <c r="B153">
        <v>262788744.11072013</v>
      </c>
    </row>
    <row r="154" spans="1:2" x14ac:dyDescent="0.25">
      <c r="A154">
        <f ca="1">33532.8218663488*(RANDBETWEEN(2890,3282))</f>
        <v>102543369.26729459</v>
      </c>
      <c r="B154">
        <v>221211903.21142673</v>
      </c>
    </row>
    <row r="155" spans="1:2" x14ac:dyDescent="0.25">
      <c r="A155">
        <f ca="1">38867.5547531974*(RANDBETWEEN(2890,3282))</f>
        <v>121461108.60374188</v>
      </c>
      <c r="B155">
        <v>249253402.35884988</v>
      </c>
    </row>
    <row r="156" spans="1:2" x14ac:dyDescent="0.25">
      <c r="A156">
        <f ca="1">35770.9058066422*(RANDBETWEEN(2890,3282))</f>
        <v>106168048.43411407</v>
      </c>
      <c r="B156">
        <v>242878950.61699241</v>
      </c>
    </row>
    <row r="157" spans="1:2" x14ac:dyDescent="0.25">
      <c r="A157">
        <f ca="1">29372.7682077697*(RANDBETWEEN(2890,3282))</f>
        <v>94756550.238264918</v>
      </c>
      <c r="B157">
        <v>263726784.11188814</v>
      </c>
    </row>
    <row r="158" spans="1:2" x14ac:dyDescent="0.25">
      <c r="A158">
        <f ca="1">30954.488422109*(RANDBETWEEN(2890,3282))</f>
        <v>90449015.169402465</v>
      </c>
      <c r="B158">
        <v>221583463.46310657</v>
      </c>
    </row>
    <row r="159" spans="1:2" x14ac:dyDescent="0.25">
      <c r="A159">
        <f ca="1">32928.0278991905*(RANDBETWEEN(2890,3282))</f>
        <v>107510011.090857</v>
      </c>
      <c r="B159">
        <v>238113527.31957573</v>
      </c>
    </row>
    <row r="160" spans="1:2" x14ac:dyDescent="0.25">
      <c r="A160">
        <f ca="1">32522.2004940198*(RANDBETWEEN(2890,3282))</f>
        <v>95680313.853406161</v>
      </c>
      <c r="B160">
        <v>238458274.82872468</v>
      </c>
    </row>
    <row r="161" spans="1:2" x14ac:dyDescent="0.25">
      <c r="A161">
        <f ca="1">33761.7250674694*(RANDBETWEEN(2890,3282))</f>
        <v>97807717.520458922</v>
      </c>
      <c r="B161">
        <v>261308644.96503299</v>
      </c>
    </row>
    <row r="162" spans="1:2" x14ac:dyDescent="0.25">
      <c r="A162">
        <f ca="1">40997.9498594714*(RANDBETWEEN(2890,3282))</f>
        <v>130373480.55311902</v>
      </c>
      <c r="B162">
        <v>254481717.04108894</v>
      </c>
    </row>
    <row r="163" spans="1:2" x14ac:dyDescent="0.25">
      <c r="A163">
        <f ca="1">34213.5821036635*(RANDBETWEEN(2890,3282))</f>
        <v>102674959.89309415</v>
      </c>
      <c r="B163">
        <v>265571437.20031685</v>
      </c>
    </row>
    <row r="164" spans="1:2" x14ac:dyDescent="0.25">
      <c r="A164">
        <f ca="1">39807.1946213034*(RANDBETWEEN(2890,3282))</f>
        <v>125233434.27862056</v>
      </c>
      <c r="B164">
        <v>249982832.47354352</v>
      </c>
    </row>
    <row r="165" spans="1:2" x14ac:dyDescent="0.25">
      <c r="A165">
        <f ca="1">29954.7924763583*(RANDBETWEEN(2890,3282))</f>
        <v>90942749.958223805</v>
      </c>
      <c r="B165">
        <v>241726147.89929619</v>
      </c>
    </row>
    <row r="166" spans="1:2" x14ac:dyDescent="0.25">
      <c r="A166">
        <f ca="1">37571.9354830355*(RANDBETWEEN(2890,3282))</f>
        <v>114519259.35229231</v>
      </c>
      <c r="B166">
        <v>227372637.48453376</v>
      </c>
    </row>
    <row r="167" spans="1:2" x14ac:dyDescent="0.25">
      <c r="A167">
        <f ca="1">40837.1451223575*(RANDBETWEEN(2890,3282))</f>
        <v>129902958.63421918</v>
      </c>
      <c r="B167">
        <v>266706075.64763361</v>
      </c>
    </row>
    <row r="168" spans="1:2" x14ac:dyDescent="0.25">
      <c r="A168">
        <f ca="1">27751.0692698239*(RANDBETWEEN(2890,3282))</f>
        <v>81421637.23766318</v>
      </c>
      <c r="B168">
        <v>220027890.95850787</v>
      </c>
    </row>
    <row r="169" spans="1:2" x14ac:dyDescent="0.25">
      <c r="A169">
        <f ca="1">31865.2783074807*(RANDBETWEEN(2890,3282))</f>
        <v>93906975.172145516</v>
      </c>
      <c r="B169">
        <v>244316614.77538243</v>
      </c>
    </row>
    <row r="170" spans="1:2" x14ac:dyDescent="0.25">
      <c r="A170">
        <f ca="1">30659.142740628*(RANDBETWEEN(2890,3282))</f>
        <v>99918146.191706777</v>
      </c>
      <c r="B170">
        <v>221692486.35106999</v>
      </c>
    </row>
    <row r="171" spans="1:2" x14ac:dyDescent="0.25">
      <c r="A171">
        <f ca="1">32657.3579904718*(RANDBETWEEN(2890,3282))</f>
        <v>96763751.725767836</v>
      </c>
      <c r="B171">
        <v>228083889.98313975</v>
      </c>
    </row>
    <row r="172" spans="1:2" x14ac:dyDescent="0.25">
      <c r="A172">
        <f ca="1">33269.5122958527*(RANDBETWEEN(2890,3282))</f>
        <v>101139317.37939213</v>
      </c>
      <c r="B172">
        <v>252118996.70285454</v>
      </c>
    </row>
    <row r="173" spans="1:2" x14ac:dyDescent="0.25">
      <c r="A173">
        <f ca="1">30855.7463026447*(RANDBETWEEN(2890,3282))</f>
        <v>89512520.023972273</v>
      </c>
      <c r="B173">
        <v>248842949.53813869</v>
      </c>
    </row>
    <row r="174" spans="1:2" x14ac:dyDescent="0.25">
      <c r="A174">
        <f ca="1">39280.0744127091*(RANDBETWEEN(2890,3282))</f>
        <v>125185597.15330389</v>
      </c>
      <c r="B174">
        <v>258725324.5653345</v>
      </c>
    </row>
    <row r="175" spans="1:2" x14ac:dyDescent="0.25">
      <c r="A175">
        <f ca="1">31706.1491777735*(RANDBETWEEN(2890,3282))</f>
        <v>94325793.803876057</v>
      </c>
      <c r="B175">
        <v>223285489.71615651</v>
      </c>
    </row>
    <row r="176" spans="1:2" x14ac:dyDescent="0.25">
      <c r="A176">
        <f ca="1">29473.1878340528*(RANDBETWEEN(2890,3282))</f>
        <v>86120654.851102188</v>
      </c>
      <c r="B176">
        <v>231724791.46067631</v>
      </c>
    </row>
    <row r="177" spans="1:2" x14ac:dyDescent="0.25">
      <c r="A177">
        <f ca="1">37465.705202126*(RANDBETWEEN(2890,3282))</f>
        <v>109549722.01101634</v>
      </c>
      <c r="B177">
        <v>247411934.46553653</v>
      </c>
    </row>
    <row r="178" spans="1:2" x14ac:dyDescent="0.25">
      <c r="A178">
        <f ca="1">28724.5310528842*(RANDBETWEEN(2890,3282))</f>
        <v>84967162.854431376</v>
      </c>
      <c r="B178">
        <v>247401338.58637089</v>
      </c>
    </row>
    <row r="179" spans="1:2" x14ac:dyDescent="0.25">
      <c r="A179">
        <f ca="1">39708.6653115488*(RANDBETWEEN(2890,3282))</f>
        <v>120793759.87773138</v>
      </c>
      <c r="B179">
        <v>207857821.03057158</v>
      </c>
    </row>
    <row r="180" spans="1:2" x14ac:dyDescent="0.25">
      <c r="A180">
        <f ca="1">31080.4421015183*(RANDBETWEEN(2890,3282))</f>
        <v>90879212.704839647</v>
      </c>
      <c r="B180">
        <v>235108422.19073758</v>
      </c>
    </row>
    <row r="181" spans="1:2" x14ac:dyDescent="0.25">
      <c r="A181">
        <f ca="1">31153.3341055285*(RANDBETWEEN(2890,3282))</f>
        <v>95765349.040394604</v>
      </c>
      <c r="B181">
        <v>217209490.45312065</v>
      </c>
    </row>
    <row r="182" spans="1:2" x14ac:dyDescent="0.25">
      <c r="A182">
        <f ca="1">34214.463666785*(RANDBETWEEN(2890,3282))</f>
        <v>107809775.01403961</v>
      </c>
      <c r="B182">
        <v>213222591.89745826</v>
      </c>
    </row>
    <row r="183" spans="1:2" x14ac:dyDescent="0.25">
      <c r="A183">
        <f ca="1">33809.3783289538*(RANDBETWEEN(2890,3282))</f>
        <v>103727172.71323034</v>
      </c>
      <c r="B183">
        <v>232480143.17968088</v>
      </c>
    </row>
    <row r="184" spans="1:2" x14ac:dyDescent="0.25">
      <c r="A184">
        <f ca="1">35978.6452442171*(RANDBETWEEN(2890,3282))</f>
        <v>113152839.29306285</v>
      </c>
      <c r="B184">
        <v>257878157.25636223</v>
      </c>
    </row>
    <row r="185" spans="1:2" x14ac:dyDescent="0.25">
      <c r="A185">
        <f ca="1">36334.0089844272*(RANDBETWEEN(2890,3282))</f>
        <v>106858320.42320041</v>
      </c>
      <c r="B185">
        <v>230089984.05452794</v>
      </c>
    </row>
    <row r="186" spans="1:2" x14ac:dyDescent="0.25">
      <c r="A186">
        <f ca="1">36376.4380078006*(RANDBETWEEN(2890,3282))</f>
        <v>107274115.68500406</v>
      </c>
      <c r="B186">
        <v>264824338.55304372</v>
      </c>
    </row>
    <row r="187" spans="1:2" x14ac:dyDescent="0.25">
      <c r="A187">
        <f ca="1">34855.2632517865*(RANDBETWEEN(2890,3282))</f>
        <v>104182381.85958974</v>
      </c>
      <c r="B187">
        <v>210490426.68847442</v>
      </c>
    </row>
    <row r="188" spans="1:2" x14ac:dyDescent="0.25">
      <c r="A188">
        <f ca="1">34500.3288997896*(RANDBETWEEN(2890,3282))</f>
        <v>113057577.80461045</v>
      </c>
      <c r="B188">
        <v>225165765.38284481</v>
      </c>
    </row>
    <row r="189" spans="1:2" x14ac:dyDescent="0.25">
      <c r="A189">
        <f ca="1">31309.3604614581*(RANDBETWEEN(2890,3282))</f>
        <v>93270584.814683616</v>
      </c>
      <c r="B189">
        <v>239799599.53666067</v>
      </c>
    </row>
    <row r="190" spans="1:2" x14ac:dyDescent="0.25">
      <c r="A190">
        <f ca="1">36847.7438555723*(RANDBETWEEN(2890,3282))</f>
        <v>109474646.99490538</v>
      </c>
      <c r="B190">
        <v>221369209.51913616</v>
      </c>
    </row>
    <row r="191" spans="1:2" x14ac:dyDescent="0.25">
      <c r="A191">
        <f ca="1">42665.5851012802*(RANDBETWEEN(2890,3282))</f>
        <v>126930115.67630857</v>
      </c>
      <c r="B191">
        <v>213559677.9140192</v>
      </c>
    </row>
    <row r="192" spans="1:2" x14ac:dyDescent="0.25">
      <c r="A192">
        <f ca="1">31278.8908941519*(RANDBETWEEN(2890,3282))</f>
        <v>100936980.91542824</v>
      </c>
      <c r="B192">
        <v>257654946.58649641</v>
      </c>
    </row>
    <row r="193" spans="1:2" x14ac:dyDescent="0.25">
      <c r="A193">
        <f ca="1">30155.3656868787*(RANDBETWEEN(2890,3282))</f>
        <v>88505998.290989086</v>
      </c>
      <c r="B193">
        <v>234775421.17604852</v>
      </c>
    </row>
    <row r="194" spans="1:2" x14ac:dyDescent="0.25">
      <c r="A194">
        <f ca="1">31945.4617529058*(RANDBETWEEN(2890,3282))</f>
        <v>94814130.482624412</v>
      </c>
      <c r="B194">
        <v>214226274.87565792</v>
      </c>
    </row>
    <row r="195" spans="1:2" x14ac:dyDescent="0.25">
      <c r="A195">
        <f ca="1">31707.5252166587*(RANDBETWEEN(2890,3282))</f>
        <v>94710377.822159588</v>
      </c>
      <c r="B195">
        <v>217100966.82469454</v>
      </c>
    </row>
    <row r="196" spans="1:2" x14ac:dyDescent="0.25">
      <c r="A196">
        <f ca="1">32041.1593247311*(RANDBETWEEN(2890,3282))</f>
        <v>104518261.71727285</v>
      </c>
      <c r="B196">
        <v>217801145.70954829</v>
      </c>
    </row>
    <row r="197" spans="1:2" x14ac:dyDescent="0.25">
      <c r="A197">
        <f ca="1">36050.9107579694*(RANDBETWEEN(2890,3282))</f>
        <v>109198208.6858893</v>
      </c>
      <c r="B197">
        <v>248572833.95807344</v>
      </c>
    </row>
    <row r="198" spans="1:2" x14ac:dyDescent="0.25">
      <c r="A198">
        <f ca="1">33569.9771010012*(RANDBETWEEN(2890,3282))</f>
        <v>110176664.84548604</v>
      </c>
      <c r="B198">
        <v>216261593.83792973</v>
      </c>
    </row>
    <row r="199" spans="1:2" x14ac:dyDescent="0.25">
      <c r="A199">
        <f ca="1">33349.2648046622*(RANDBETWEEN(2890,3282))</f>
        <v>107984919.43749605</v>
      </c>
      <c r="B199">
        <v>261382981.29249802</v>
      </c>
    </row>
    <row r="200" spans="1:2" x14ac:dyDescent="0.25">
      <c r="A200">
        <f ca="1">31690.3715652863*(RANDBETWEEN(2890,3282))</f>
        <v>96877465.875080258</v>
      </c>
      <c r="B200">
        <v>221687305.04473919</v>
      </c>
    </row>
    <row r="201" spans="1:2" x14ac:dyDescent="0.25">
      <c r="A201">
        <f ca="1">33251.9274607924*(RANDBETWEEN(2890,3282))</f>
        <v>98392453.356484801</v>
      </c>
      <c r="B201">
        <v>231466720.31479681</v>
      </c>
    </row>
    <row r="202" spans="1:2" x14ac:dyDescent="0.25">
      <c r="A202">
        <f ca="1">39551.6650036363*(RANDBETWEEN(2890,3282))</f>
        <v>120790784.92110524</v>
      </c>
      <c r="B202">
        <v>214280293.01071286</v>
      </c>
    </row>
    <row r="203" spans="1:2" x14ac:dyDescent="0.25">
      <c r="A203">
        <f ca="1">38515.6329181211*(RANDBETWEEN(2890,3282))</f>
        <v>121555337.48959005</v>
      </c>
      <c r="B203">
        <v>204932956.0833897</v>
      </c>
    </row>
    <row r="204" spans="1:2" x14ac:dyDescent="0.25">
      <c r="A204">
        <f ca="1">31262.3041879888*(RANDBETWEEN(2890,3282))</f>
        <v>90691944.449355602</v>
      </c>
      <c r="B204">
        <v>235934605.56576037</v>
      </c>
    </row>
    <row r="205" spans="1:2" x14ac:dyDescent="0.25">
      <c r="A205">
        <f ca="1">36448.7601940081*(RANDBETWEEN(2890,3282))</f>
        <v>119369689.63537638</v>
      </c>
      <c r="B205">
        <v>209106510.682421</v>
      </c>
    </row>
    <row r="206" spans="1:2" x14ac:dyDescent="0.25">
      <c r="A206">
        <f ca="1">31730.7623012817*(RANDBETWEEN(2890,3282))</f>
        <v>92241326.009825915</v>
      </c>
      <c r="B206">
        <v>261687477.00885627</v>
      </c>
    </row>
    <row r="207" spans="1:2" x14ac:dyDescent="0.25">
      <c r="A207">
        <f ca="1">31112.0082748423*(RANDBETWEEN(2890,3282))</f>
        <v>94611617.163795307</v>
      </c>
      <c r="B207">
        <v>232973449.31568834</v>
      </c>
    </row>
    <row r="208" spans="1:2" x14ac:dyDescent="0.25">
      <c r="A208">
        <f ca="1">40142.7431224279*(RANDBETWEEN(2890,3282))</f>
        <v>123719934.30332276</v>
      </c>
      <c r="B208">
        <v>258466574.97449657</v>
      </c>
    </row>
    <row r="209" spans="1:2" x14ac:dyDescent="0.25">
      <c r="A209">
        <f ca="1">31403.9261784568*(RANDBETWEEN(2890,3282))</f>
        <v>99676061.69042179</v>
      </c>
      <c r="B209">
        <v>231769903.01454169</v>
      </c>
    </row>
    <row r="210" spans="1:2" x14ac:dyDescent="0.25">
      <c r="A210">
        <f ca="1">35159.7692641155*(RANDBETWEEN(2890,3282))</f>
        <v>106393461.79321349</v>
      </c>
      <c r="B210">
        <v>215358086.54386234</v>
      </c>
    </row>
    <row r="211" spans="1:2" x14ac:dyDescent="0.25">
      <c r="A211">
        <f ca="1">34207.4039944987*(RANDBETWEEN(2890,3282))</f>
        <v>104298374.77922648</v>
      </c>
      <c r="B211">
        <v>264012256.67163545</v>
      </c>
    </row>
    <row r="212" spans="1:2" x14ac:dyDescent="0.25">
      <c r="A212">
        <f ca="1">29324.710827393*(RANDBETWEEN(2890,3282))</f>
        <v>85129635.531921864</v>
      </c>
      <c r="B212">
        <v>222239149.09514725</v>
      </c>
    </row>
    <row r="213" spans="1:2" x14ac:dyDescent="0.25">
      <c r="A213">
        <f ca="1">40039.8074176518*(RANDBETWEEN(2890,3282))</f>
        <v>122962248.57960883</v>
      </c>
      <c r="B213">
        <v>214537367.07091898</v>
      </c>
    </row>
    <row r="214" spans="1:2" x14ac:dyDescent="0.25">
      <c r="A214">
        <f ca="1">33111.9962830861*(RANDBETWEEN(2890,3282))</f>
        <v>96753253.139177516</v>
      </c>
      <c r="B214">
        <v>248725620.52755195</v>
      </c>
    </row>
    <row r="215" spans="1:2" x14ac:dyDescent="0.25">
      <c r="A215">
        <f ca="1">31524.2730570443*(RANDBETWEEN(2890,3282))</f>
        <v>103178945.71570602</v>
      </c>
      <c r="B215">
        <v>249000172.17583752</v>
      </c>
    </row>
    <row r="216" spans="1:2" x14ac:dyDescent="0.25">
      <c r="A216">
        <f ca="1">31499.3601144358*(RANDBETWEEN(2890,3282))</f>
        <v>101049947.24711017</v>
      </c>
      <c r="B216">
        <v>218913479.19865206</v>
      </c>
    </row>
    <row r="217" spans="1:2" x14ac:dyDescent="0.25">
      <c r="A217">
        <f ca="1">29252.0955196078*(RANDBETWEEN(2890,3282))</f>
        <v>90301218.869029254</v>
      </c>
      <c r="B217">
        <v>211228527.88930529</v>
      </c>
    </row>
    <row r="218" spans="1:2" x14ac:dyDescent="0.25">
      <c r="A218">
        <f ca="1">31544.6418615961*(RANDBETWEEN(2890,3282))</f>
        <v>99649523.640782043</v>
      </c>
      <c r="B218">
        <v>211535841.23297945</v>
      </c>
    </row>
    <row r="219" spans="1:2" x14ac:dyDescent="0.25">
      <c r="A219">
        <f ca="1">38542.8031016688*(RANDBETWEEN(2890,3282))</f>
        <v>125726623.71764378</v>
      </c>
      <c r="B219">
        <v>266137680.14114141</v>
      </c>
    </row>
    <row r="220" spans="1:2" x14ac:dyDescent="0.25">
      <c r="A220">
        <f ca="1">30647.4678165593*(RANDBETWEEN(2890,3282))</f>
        <v>93015064.823257357</v>
      </c>
      <c r="B220">
        <v>206447126.966066</v>
      </c>
    </row>
    <row r="221" spans="1:2" x14ac:dyDescent="0.25">
      <c r="A221">
        <f ca="1">40513.1434713458*(RANDBETWEEN(2890,3282))</f>
        <v>123119443.00942002</v>
      </c>
      <c r="B221">
        <v>263789220.55206507</v>
      </c>
    </row>
    <row r="222" spans="1:2" x14ac:dyDescent="0.25">
      <c r="A222">
        <f ca="1">32340.3910238161*(RANDBETWEEN(2890,3282))</f>
        <v>102260316.41730657</v>
      </c>
      <c r="B222">
        <v>261965208.86221734</v>
      </c>
    </row>
    <row r="223" spans="1:2" x14ac:dyDescent="0.25">
      <c r="A223">
        <f ca="1">31924.5390917846*(RANDBETWEEN(2890,3282))</f>
        <v>102318147.78916976</v>
      </c>
      <c r="B223">
        <v>240499901.5137338</v>
      </c>
    </row>
    <row r="224" spans="1:2" x14ac:dyDescent="0.25">
      <c r="A224">
        <f ca="1">35045.6830395238*(RANDBETWEEN(2890,3282))</f>
        <v>103384764.96659529</v>
      </c>
      <c r="B224">
        <v>224760756.33564293</v>
      </c>
    </row>
    <row r="225" spans="1:2" x14ac:dyDescent="0.25">
      <c r="A225">
        <f ca="1">32095.2371435193*(RANDBETWEEN(2890,3282))</f>
        <v>101388854.13637756</v>
      </c>
      <c r="B225">
        <v>244987624.73728496</v>
      </c>
    </row>
    <row r="226" spans="1:2" x14ac:dyDescent="0.25">
      <c r="A226">
        <f ca="1">28647.7387324536*(RANDBETWEEN(2890,3282))</f>
        <v>90269024.745961189</v>
      </c>
      <c r="B226">
        <v>209481085.0383099</v>
      </c>
    </row>
    <row r="227" spans="1:2" x14ac:dyDescent="0.25">
      <c r="A227">
        <f ca="1">33124.6028001217*(RANDBETWEEN(2890,3282))</f>
        <v>98843814.75556317</v>
      </c>
      <c r="B227">
        <v>204382452.11858094</v>
      </c>
    </row>
    <row r="228" spans="1:2" x14ac:dyDescent="0.25">
      <c r="A228">
        <f ca="1">31052.665093482*(RANDBETWEEN(2890,3282))</f>
        <v>99275370.303861991</v>
      </c>
      <c r="B228">
        <v>245569150.35434893</v>
      </c>
    </row>
    <row r="229" spans="1:2" x14ac:dyDescent="0.25">
      <c r="A229">
        <f ca="1">38520.3723352012*(RANDBETWEEN(2890,3282))</f>
        <v>118257543.06906764</v>
      </c>
      <c r="B229">
        <v>242987151.05520242</v>
      </c>
    </row>
    <row r="230" spans="1:2" x14ac:dyDescent="0.25">
      <c r="A230">
        <f ca="1">34035.1707016375*(RANDBETWEEN(2890,3282))</f>
        <v>101935336.25140433</v>
      </c>
      <c r="B230">
        <v>232959260.4405973</v>
      </c>
    </row>
    <row r="231" spans="1:2" x14ac:dyDescent="0.25">
      <c r="A231">
        <f ca="1">32577.9200363078*(RANDBETWEEN(2890,3282))</f>
        <v>98971721.070303202</v>
      </c>
      <c r="B231">
        <v>260971383.99919087</v>
      </c>
    </row>
    <row r="232" spans="1:2" x14ac:dyDescent="0.25">
      <c r="A232">
        <f ca="1">31622.715089996*(RANDBETWEEN(2890,3282))</f>
        <v>98757739.226057574</v>
      </c>
      <c r="B232">
        <v>222670227.22131139</v>
      </c>
    </row>
    <row r="233" spans="1:2" x14ac:dyDescent="0.25">
      <c r="A233">
        <f ca="1">30024.7620190791*(RANDBETWEEN(2890,3282))</f>
        <v>97550451.799988136</v>
      </c>
      <c r="B233">
        <v>232655706.61062574</v>
      </c>
    </row>
    <row r="234" spans="1:2" x14ac:dyDescent="0.25">
      <c r="A234">
        <f ca="1">32290.3786368881*(RANDBETWEEN(2890,3282))</f>
        <v>102909436.71576241</v>
      </c>
      <c r="B234">
        <v>222850817.53479666</v>
      </c>
    </row>
    <row r="235" spans="1:2" x14ac:dyDescent="0.25">
      <c r="A235">
        <f ca="1">34531.0331673618*(RANDBETWEEN(2890,3282))</f>
        <v>102764354.70606884</v>
      </c>
      <c r="B235">
        <v>237066320.02463681</v>
      </c>
    </row>
    <row r="236" spans="1:2" x14ac:dyDescent="0.25">
      <c r="A236">
        <f ca="1">31426.3451987136*(RANDBETWEEN(2890,3282))</f>
        <v>97390243.770813361</v>
      </c>
      <c r="B236">
        <v>253084448.17433694</v>
      </c>
    </row>
    <row r="237" spans="1:2" x14ac:dyDescent="0.25">
      <c r="A237">
        <f ca="1">39028.1854645779*(RANDBETWEEN(2890,3282))</f>
        <v>113025625.10541771</v>
      </c>
      <c r="B237">
        <v>234652008.42006323</v>
      </c>
    </row>
    <row r="238" spans="1:2" x14ac:dyDescent="0.25">
      <c r="A238">
        <f ca="1">31122.3340163764*(RANDBETWEEN(2890,3282))</f>
        <v>101956766.23764911</v>
      </c>
      <c r="B238">
        <v>260377462.88124102</v>
      </c>
    </row>
    <row r="239" spans="1:2" x14ac:dyDescent="0.25">
      <c r="A239">
        <f ca="1">33368.2062957505*(RANDBETWEEN(2890,3282))</f>
        <v>108980561.761921</v>
      </c>
      <c r="B239">
        <v>256081371.07426167</v>
      </c>
    </row>
    <row r="240" spans="1:2" x14ac:dyDescent="0.25">
      <c r="A240">
        <f ca="1">37909.4222295904*(RANDBETWEEN(2890,3282))</f>
        <v>121234332.29023018</v>
      </c>
      <c r="B240">
        <v>227191089.10981488</v>
      </c>
    </row>
    <row r="241" spans="1:2" x14ac:dyDescent="0.25">
      <c r="A241">
        <f ca="1">41003.0004451712*(RANDBETWEEN(2890,3282))</f>
        <v>132562700.43923844</v>
      </c>
      <c r="B241">
        <v>252694014.98593962</v>
      </c>
    </row>
    <row r="242" spans="1:2" x14ac:dyDescent="0.25">
      <c r="A242">
        <f ca="1">33233.6619221546*(RANDBETWEEN(2890,3282))</f>
        <v>100598294.63836199</v>
      </c>
      <c r="B242">
        <v>248921702.70471406</v>
      </c>
    </row>
    <row r="243" spans="1:2" x14ac:dyDescent="0.25">
      <c r="A243">
        <f ca="1">30241.5556484459*(RANDBETWEEN(2890,3282))</f>
        <v>95563315.849089071</v>
      </c>
      <c r="B243">
        <v>213817400.49926224</v>
      </c>
    </row>
    <row r="244" spans="1:2" x14ac:dyDescent="0.25">
      <c r="A244">
        <f ca="1">36044.4537823057*(RANDBETWEEN(2890,3282))</f>
        <v>107376427.81748869</v>
      </c>
      <c r="B244">
        <v>266055225.31931728</v>
      </c>
    </row>
    <row r="245" spans="1:2" x14ac:dyDescent="0.25">
      <c r="A245">
        <f ca="1">32017.4737639784*(RANDBETWEEN(2890,3282))</f>
        <v>95284001.921599627</v>
      </c>
      <c r="B245">
        <v>229134687.08985573</v>
      </c>
    </row>
    <row r="246" spans="1:2" x14ac:dyDescent="0.25">
      <c r="A246">
        <f ca="1">32104.3189454323*(RANDBETWEEN(2890,3282))</f>
        <v>99170241.222440302</v>
      </c>
      <c r="B246">
        <v>239301311.86778516</v>
      </c>
    </row>
    <row r="247" spans="1:2" x14ac:dyDescent="0.25">
      <c r="A247">
        <f ca="1">35960.9035778367*(RANDBETWEEN(2890,3282))</f>
        <v>108889616.03368945</v>
      </c>
      <c r="B247">
        <v>205616820.48202711</v>
      </c>
    </row>
    <row r="248" spans="1:2" x14ac:dyDescent="0.25">
      <c r="A248">
        <f ca="1">40637.7647935465*(RANDBETWEEN(2890,3282))</f>
        <v>124148371.44428442</v>
      </c>
      <c r="B248">
        <v>243424021.53323591</v>
      </c>
    </row>
    <row r="249" spans="1:2" x14ac:dyDescent="0.25">
      <c r="A249">
        <f ca="1">40158.384160715*(RANDBETWEEN(2890,3282))</f>
        <v>123768139.98332357</v>
      </c>
      <c r="B249">
        <v>212291539.4232322</v>
      </c>
    </row>
    <row r="250" spans="1:2" x14ac:dyDescent="0.25">
      <c r="A250">
        <f ca="1">31483.5496433392*(RANDBETWEEN(2890,3282))</f>
        <v>97063783.550414622</v>
      </c>
      <c r="B250">
        <v>214719443.98182911</v>
      </c>
    </row>
    <row r="251" spans="1:2" x14ac:dyDescent="0.25">
      <c r="A251">
        <f ca="1">38205.9284220592*(RANDBETWEEN(2890,3282))</f>
        <v>114082902.26826873</v>
      </c>
      <c r="B251">
        <v>228843886.59054258</v>
      </c>
    </row>
    <row r="252" spans="1:2" x14ac:dyDescent="0.25">
      <c r="A252">
        <f ca="1">32257.4813203544*(RANDBETWEEN(2890,3282))</f>
        <v>96062779.372015357</v>
      </c>
      <c r="B252">
        <v>222377402.70980498</v>
      </c>
    </row>
    <row r="253" spans="1:2" x14ac:dyDescent="0.25">
      <c r="A253">
        <f ca="1">33340.5647200358*(RANDBETWEEN(2890,3282))</f>
        <v>109357052.28171752</v>
      </c>
      <c r="B253">
        <v>258253371.38003695</v>
      </c>
    </row>
    <row r="254" spans="1:2" x14ac:dyDescent="0.25">
      <c r="A254">
        <f ca="1">34493.7044311579*(RANDBETWEEN(2890,3282))</f>
        <v>102756745.50041923</v>
      </c>
      <c r="B254">
        <v>223215067.22632983</v>
      </c>
    </row>
    <row r="255" spans="1:2" x14ac:dyDescent="0.25">
      <c r="A255">
        <f ca="1">28170.2431021355*(RANDBETWEEN(2890,3282))</f>
        <v>91496949.595736176</v>
      </c>
      <c r="B255">
        <v>206212825.50878158</v>
      </c>
    </row>
    <row r="256" spans="1:2" x14ac:dyDescent="0.25">
      <c r="A256">
        <f ca="1">32414.870665741*(RANDBETWEEN(2890,3282))</f>
        <v>100486099.06379706</v>
      </c>
      <c r="B256">
        <v>252708743.6601516</v>
      </c>
    </row>
    <row r="257" spans="1:2" x14ac:dyDescent="0.25">
      <c r="A257">
        <f ca="1">40196.3221425615*(RANDBETWEEN(2890,3282))</f>
        <v>116810512.14628358</v>
      </c>
      <c r="B257">
        <v>215429209.71964929</v>
      </c>
    </row>
    <row r="258" spans="1:2" x14ac:dyDescent="0.25">
      <c r="A258">
        <f ca="1">39102.3660182694*(RANDBETWEEN(2890,3282))</f>
        <v>125714106.74873619</v>
      </c>
      <c r="B258">
        <v>241570693.14974597</v>
      </c>
    </row>
    <row r="259" spans="1:2" x14ac:dyDescent="0.25">
      <c r="A259">
        <f ca="1">39104.9078672333*(RANDBETWEEN(2890,3282))</f>
        <v>122437466.53230746</v>
      </c>
      <c r="B259">
        <v>220669925.49145371</v>
      </c>
    </row>
    <row r="260" spans="1:2" x14ac:dyDescent="0.25">
      <c r="A260">
        <f ca="1">42325.6140498637*(RANDBETWEEN(2890,3282))</f>
        <v>132733125.66037251</v>
      </c>
      <c r="B260">
        <v>229000142.6001969</v>
      </c>
    </row>
    <row r="261" spans="1:2" x14ac:dyDescent="0.25">
      <c r="A261">
        <f ca="1">34936.5245367564*(RANDBETWEEN(2890,3282))</f>
        <v>101595413.3528875</v>
      </c>
      <c r="B261">
        <v>247776422.14330128</v>
      </c>
    </row>
    <row r="262" spans="1:2" x14ac:dyDescent="0.25">
      <c r="A262">
        <f ca="1">36735.074152576*(RANDBETWEEN(2890,3282))</f>
        <v>113033823.16747631</v>
      </c>
      <c r="B262">
        <v>249284744.19494525</v>
      </c>
    </row>
    <row r="263" spans="1:2" x14ac:dyDescent="0.25">
      <c r="A263">
        <f ca="1">31752.9722827688*(RANDBETWEEN(2890,3282))</f>
        <v>98624731.910279825</v>
      </c>
      <c r="B263">
        <v>209450352.96424228</v>
      </c>
    </row>
    <row r="264" spans="1:2" x14ac:dyDescent="0.25">
      <c r="A264">
        <f ca="1">31708.1049648736*(RANDBETWEEN(2890,3282))</f>
        <v>99373200.959913984</v>
      </c>
      <c r="B264">
        <v>264506593.48172426</v>
      </c>
    </row>
    <row r="265" spans="1:2" x14ac:dyDescent="0.25">
      <c r="A265">
        <f ca="1">38429.499109566*(RANDBETWEEN(2890,3282))</f>
        <v>123089685.64793988</v>
      </c>
      <c r="B265">
        <v>239661936.34473208</v>
      </c>
    </row>
    <row r="266" spans="1:2" x14ac:dyDescent="0.25">
      <c r="A266">
        <f ca="1">34919.6748461483*(RANDBETWEEN(2890,3282))</f>
        <v>109996975.76536725</v>
      </c>
      <c r="B266">
        <v>242486947.25171119</v>
      </c>
    </row>
    <row r="267" spans="1:2" x14ac:dyDescent="0.25">
      <c r="A267">
        <f ca="1">32484.2658481122*(RANDBETWEEN(2890,3282))</f>
        <v>94106918.161981165</v>
      </c>
      <c r="B267">
        <v>227071167.98282757</v>
      </c>
    </row>
    <row r="268" spans="1:2" x14ac:dyDescent="0.25">
      <c r="A268">
        <f ca="1">32684.2223880137*(RANDBETWEEN(2890,3282))</f>
        <v>96679929.82374458</v>
      </c>
      <c r="B268">
        <v>260607874.61530018</v>
      </c>
    </row>
    <row r="269" spans="1:2" x14ac:dyDescent="0.25">
      <c r="A269">
        <f ca="1">27096.1695775174*(RANDBETWEEN(2890,3282))</f>
        <v>87276762.209183395</v>
      </c>
      <c r="B269">
        <v>257760945.84992921</v>
      </c>
    </row>
    <row r="270" spans="1:2" x14ac:dyDescent="0.25">
      <c r="A270">
        <f ca="1">34202.3804773665*(RANDBETWEEN(2890,3282))</f>
        <v>104454069.97787736</v>
      </c>
      <c r="B270">
        <v>223355571.70021236</v>
      </c>
    </row>
    <row r="271" spans="1:2" x14ac:dyDescent="0.25">
      <c r="A271">
        <f ca="1">32938.3969712249*(RANDBETWEEN(2890,3282))</f>
        <v>101252632.28954524</v>
      </c>
      <c r="B271">
        <v>231390384.22320083</v>
      </c>
    </row>
    <row r="272" spans="1:2" x14ac:dyDescent="0.25">
      <c r="A272">
        <f ca="1">31527.6554504765*(RANDBETWEEN(2890,3282))</f>
        <v>100289471.98796573</v>
      </c>
      <c r="B272">
        <v>252332171.55560935</v>
      </c>
    </row>
    <row r="273" spans="1:2" x14ac:dyDescent="0.25">
      <c r="A273">
        <f ca="1">29843.1057946154*(RANDBETWEEN(2890,3282))</f>
        <v>92245040.011156157</v>
      </c>
      <c r="B273">
        <v>222156807.78821129</v>
      </c>
    </row>
    <row r="274" spans="1:2" x14ac:dyDescent="0.25">
      <c r="A274">
        <f ca="1">31560.2344613019*(RANDBETWEEN(2890,3282))</f>
        <v>99919702.304481924</v>
      </c>
      <c r="B274">
        <v>227708505.66506201</v>
      </c>
    </row>
    <row r="275" spans="1:2" x14ac:dyDescent="0.25">
      <c r="A275">
        <f ca="1">31560.6446678751*(RANDBETWEEN(2890,3282))</f>
        <v>102288049.36858317</v>
      </c>
      <c r="B275">
        <v>224405361.35634476</v>
      </c>
    </row>
    <row r="276" spans="1:2" x14ac:dyDescent="0.25">
      <c r="A276">
        <f ca="1">34582.7233115782*(RANDBETWEEN(2890,3282))</f>
        <v>112497598.93256402</v>
      </c>
      <c r="B276">
        <v>260218879.60692358</v>
      </c>
    </row>
    <row r="277" spans="1:2" x14ac:dyDescent="0.25">
      <c r="A277">
        <f ca="1">40285.1521245933*(RANDBETWEEN(2890,3282))</f>
        <v>123836557.63099991</v>
      </c>
      <c r="B277">
        <v>224257709.39412266</v>
      </c>
    </row>
    <row r="278" spans="1:2" x14ac:dyDescent="0.25">
      <c r="A278">
        <f ca="1">29392.4987917804*(RANDBETWEEN(2890,3282))</f>
        <v>85679133.97803992</v>
      </c>
      <c r="B278">
        <v>220108400.60598475</v>
      </c>
    </row>
    <row r="279" spans="1:2" x14ac:dyDescent="0.25">
      <c r="A279">
        <f ca="1">38530.3336801648*(RANDBETWEEN(2890,3282))</f>
        <v>118789018.73594795</v>
      </c>
      <c r="B279">
        <v>254731477.21904421</v>
      </c>
    </row>
    <row r="280" spans="1:2" x14ac:dyDescent="0.25">
      <c r="A280">
        <f ca="1">32091.2386111773*(RANDBETWEEN(2890,3282))</f>
        <v>96434172.02658774</v>
      </c>
      <c r="B280">
        <v>210226703.50152999</v>
      </c>
    </row>
    <row r="281" spans="1:2" x14ac:dyDescent="0.25">
      <c r="A281">
        <f ca="1">34239.0651194211*(RANDBETWEEN(2890,3282))</f>
        <v>100251982.66966495</v>
      </c>
      <c r="B281">
        <v>249776500.27240062</v>
      </c>
    </row>
    <row r="282" spans="1:2" x14ac:dyDescent="0.25">
      <c r="A282">
        <f ca="1">32616.1597685531*(RANDBETWEEN(2890,3282))</f>
        <v>106426529.32478875</v>
      </c>
      <c r="B282">
        <v>233628137.62549478</v>
      </c>
    </row>
    <row r="283" spans="1:2" x14ac:dyDescent="0.25">
      <c r="A283">
        <f ca="1">32336.9751372098*(RANDBETWEEN(2890,3282))</f>
        <v>102508211.18495494</v>
      </c>
      <c r="B283">
        <v>218090314.27176666</v>
      </c>
    </row>
    <row r="284" spans="1:2" x14ac:dyDescent="0.25">
      <c r="A284">
        <f ca="1">37579.4865568515*(RANDBETWEEN(2890,3282))</f>
        <v>116383669.86656894</v>
      </c>
      <c r="B284">
        <v>209805265.79135948</v>
      </c>
    </row>
    <row r="285" spans="1:2" x14ac:dyDescent="0.25">
      <c r="A285">
        <f ca="1">36611.0642959921*(RANDBETWEEN(2890,3282))</f>
        <v>110455580.98100822</v>
      </c>
      <c r="B285">
        <v>232628603.01988953</v>
      </c>
    </row>
    <row r="286" spans="1:2" x14ac:dyDescent="0.25">
      <c r="A286">
        <f ca="1">31848.3089492388*(RANDBETWEEN(2890,3282))</f>
        <v>93602180.001812771</v>
      </c>
      <c r="B286">
        <v>258657892.94690868</v>
      </c>
    </row>
    <row r="287" spans="1:2" x14ac:dyDescent="0.25">
      <c r="A287">
        <f ca="1">39688.7294271167*(RANDBETWEEN(2890,3282))</f>
        <v>127480198.91989876</v>
      </c>
      <c r="B287">
        <v>230585207.31830329</v>
      </c>
    </row>
    <row r="288" spans="1:2" x14ac:dyDescent="0.25">
      <c r="A288">
        <f ca="1">34945.5646868504*(RANDBETWEEN(2890,3282))</f>
        <v>103543708.16713786</v>
      </c>
      <c r="B288">
        <v>237538240.24602562</v>
      </c>
    </row>
    <row r="289" spans="1:2" x14ac:dyDescent="0.25">
      <c r="A289">
        <f ca="1">29638.3766489594*(RANDBETWEEN(2890,3282))</f>
        <v>88233447.283952132</v>
      </c>
      <c r="B289">
        <v>253696436.95006549</v>
      </c>
    </row>
    <row r="290" spans="1:2" x14ac:dyDescent="0.25">
      <c r="A290">
        <f ca="1">33877.8900104067*(RANDBETWEEN(2890,3282))</f>
        <v>110577432.99396735</v>
      </c>
      <c r="B290">
        <v>260929958.11220902</v>
      </c>
    </row>
    <row r="291" spans="1:2" x14ac:dyDescent="0.25">
      <c r="A291">
        <f ca="1">29559.5439900197*(RANDBETWEEN(2890,3282))</f>
        <v>87259773.858538225</v>
      </c>
      <c r="B291">
        <v>232290193.30168873</v>
      </c>
    </row>
    <row r="292" spans="1:2" x14ac:dyDescent="0.25">
      <c r="A292">
        <f ca="1">32138.274506391*(RANDBETWEEN(2890,3282))</f>
        <v>103870903.20465559</v>
      </c>
      <c r="B292">
        <v>240942576.48979506</v>
      </c>
    </row>
    <row r="293" spans="1:2" x14ac:dyDescent="0.25">
      <c r="A293">
        <f ca="1">32209.1317366005*(RANDBETWEEN(2890,3282))</f>
        <v>95661121.257703528</v>
      </c>
      <c r="B293">
        <v>213922109.61146772</v>
      </c>
    </row>
    <row r="294" spans="1:2" x14ac:dyDescent="0.25">
      <c r="A294">
        <f ca="1">28389.8714889093*(RANDBETWEEN(2890,3282))</f>
        <v>88491229.430930346</v>
      </c>
      <c r="B294">
        <v>221830513.1566819</v>
      </c>
    </row>
    <row r="295" spans="1:2" x14ac:dyDescent="0.25">
      <c r="A295">
        <f ca="1">30674.4950298352*(RANDBETWEEN(2890,3282))</f>
        <v>93557209.840997219</v>
      </c>
      <c r="B295">
        <v>221661021.90409857</v>
      </c>
    </row>
    <row r="296" spans="1:2" x14ac:dyDescent="0.25">
      <c r="A296">
        <f ca="1">35166.1161849566*(RANDBETWEEN(2890,3282))</f>
        <v>114184379.25255415</v>
      </c>
      <c r="B296">
        <v>238083755.96245876</v>
      </c>
    </row>
    <row r="297" spans="1:2" x14ac:dyDescent="0.25">
      <c r="A297">
        <f ca="1">41015.1076709735*(RANDBETWEEN(2890,3282))</f>
        <v>127187848.88768886</v>
      </c>
      <c r="B297">
        <v>234366063.61443847</v>
      </c>
    </row>
    <row r="298" spans="1:2" x14ac:dyDescent="0.25">
      <c r="A298">
        <f ca="1">30618.5551442034*(RANDBETWEEN(2890,3282))</f>
        <v>93754015.851550847</v>
      </c>
      <c r="B298">
        <v>248682727.66273293</v>
      </c>
    </row>
    <row r="299" spans="1:2" x14ac:dyDescent="0.25">
      <c r="A299">
        <f ca="1">32312.3304546993*(RANDBETWEEN(2890,3282))</f>
        <v>104853512.32549912</v>
      </c>
      <c r="B299">
        <v>256914301.92464179</v>
      </c>
    </row>
    <row r="300" spans="1:2" x14ac:dyDescent="0.25">
      <c r="A300">
        <f ca="1">41404.7632359072*(RANDBETWEEN(2890,3282))</f>
        <v>123427599.20623939</v>
      </c>
      <c r="B300">
        <v>235325034.27676082</v>
      </c>
    </row>
    <row r="301" spans="1:2" x14ac:dyDescent="0.25">
      <c r="A301">
        <f ca="1">33232.2659488747*(RANDBETWEEN(2890,3282))</f>
        <v>101956591.93114752</v>
      </c>
      <c r="B301">
        <v>219579375.98701358</v>
      </c>
    </row>
    <row r="302" spans="1:2" x14ac:dyDescent="0.25">
      <c r="A302">
        <f ca="1">32373.1419876211*(RANDBETWEEN(2890,3282))</f>
        <v>105406950.31169429</v>
      </c>
      <c r="B302">
        <v>247801845.87096336</v>
      </c>
    </row>
    <row r="303" spans="1:2" x14ac:dyDescent="0.25">
      <c r="A303">
        <f ca="1">29264.8911802143*(RANDBETWEEN(2890,3282))</f>
        <v>93559857.103145078</v>
      </c>
      <c r="B303">
        <v>261974134.21177262</v>
      </c>
    </row>
    <row r="304" spans="1:2" x14ac:dyDescent="0.25">
      <c r="A304">
        <f ca="1">30864.8043556661*(RANDBETWEEN(2890,3282))</f>
        <v>101143963.87351778</v>
      </c>
      <c r="B304">
        <v>210232952.19865954</v>
      </c>
    </row>
    <row r="305" spans="1:2" x14ac:dyDescent="0.25">
      <c r="A305">
        <f ca="1">31886.0633664774*(RANDBETWEEN(2890,3282))</f>
        <v>97124949.014290109</v>
      </c>
      <c r="B305">
        <v>229837364.58240151</v>
      </c>
    </row>
    <row r="306" spans="1:2" x14ac:dyDescent="0.25">
      <c r="A306">
        <f ca="1">32652.2166323026*(RANDBETWEEN(2890,3282))</f>
        <v>100111696.19463986</v>
      </c>
      <c r="B306">
        <v>204483344.813609</v>
      </c>
    </row>
    <row r="307" spans="1:2" x14ac:dyDescent="0.25">
      <c r="A307">
        <f ca="1">28909.6389985786*(RANDBETWEEN(2890,3282))</f>
        <v>90747356.816538244</v>
      </c>
      <c r="B307">
        <v>221576651.79162905</v>
      </c>
    </row>
    <row r="308" spans="1:2" x14ac:dyDescent="0.25">
      <c r="A308">
        <f ca="1">38466.4850874677*(RANDBETWEEN(2890,3282))</f>
        <v>111552806.75365621</v>
      </c>
      <c r="B308">
        <v>227964679.41640818</v>
      </c>
    </row>
    <row r="309" spans="1:2" x14ac:dyDescent="0.25">
      <c r="A309">
        <f ca="1">29750.7534846689*(RANDBETWEEN(2890,3282))</f>
        <v>87348212.230987802</v>
      </c>
      <c r="B309">
        <v>241868311.43883869</v>
      </c>
    </row>
    <row r="310" spans="1:2" x14ac:dyDescent="0.25">
      <c r="A310">
        <f ca="1">34166.8743780181*(RANDBETWEEN(2890,3282))</f>
        <v>107625654.29075713</v>
      </c>
      <c r="B310">
        <v>249024789.85266954</v>
      </c>
    </row>
    <row r="311" spans="1:2" x14ac:dyDescent="0.25">
      <c r="A311">
        <f ca="1">28666.2773342808*(RANDBETWEEN(2890,3282))</f>
        <v>83791528.648102894</v>
      </c>
      <c r="B311">
        <v>232177463.2549575</v>
      </c>
    </row>
    <row r="312" spans="1:2" x14ac:dyDescent="0.25">
      <c r="A312">
        <f ca="1">30534.803599458*(RANDBETWEEN(2890,3282))</f>
        <v>99268646.501837924</v>
      </c>
      <c r="B312">
        <v>236045832.90446645</v>
      </c>
    </row>
    <row r="313" spans="1:2" x14ac:dyDescent="0.25">
      <c r="A313">
        <f ca="1">28324.7985405525*(RANDBETWEEN(2890,3282))</f>
        <v>87523627.490307361</v>
      </c>
      <c r="B313">
        <v>242807540.24385789</v>
      </c>
    </row>
    <row r="314" spans="1:2" x14ac:dyDescent="0.25">
      <c r="A314">
        <f ca="1">31212.0225683886*(RANDBETWEEN(2890,3282))</f>
        <v>94978184.675606444</v>
      </c>
      <c r="B314">
        <v>211023147.26020098</v>
      </c>
    </row>
    <row r="315" spans="1:2" x14ac:dyDescent="0.25">
      <c r="A315">
        <f ca="1">31948.2345222715*(RANDBETWEEN(2890,3282))</f>
        <v>97250425.88579455</v>
      </c>
      <c r="B315">
        <v>259678408.04401916</v>
      </c>
    </row>
    <row r="316" spans="1:2" x14ac:dyDescent="0.25">
      <c r="A316">
        <f ca="1">37867.6627562957*(RANDBETWEEN(2890,3282))</f>
        <v>122994168.63244857</v>
      </c>
      <c r="B316">
        <v>249310456.21278647</v>
      </c>
    </row>
    <row r="317" spans="1:2" x14ac:dyDescent="0.25">
      <c r="A317">
        <f ca="1">31298.5632674642*(RANDBETWEEN(2890,3282))</f>
        <v>102565391.82748029</v>
      </c>
      <c r="B317">
        <v>210534387.40891311</v>
      </c>
    </row>
    <row r="318" spans="1:2" x14ac:dyDescent="0.25">
      <c r="A318">
        <f ca="1">36468.2100511637*(RANDBETWEEN(2890,3282))</f>
        <v>105466063.46796571</v>
      </c>
      <c r="B318">
        <v>258869747.14707476</v>
      </c>
    </row>
    <row r="319" spans="1:2" x14ac:dyDescent="0.25">
      <c r="A319">
        <f ca="1">31645.8541395571*(RANDBETWEEN(2890,3282))</f>
        <v>103323713.76565377</v>
      </c>
      <c r="B319">
        <v>266427622.61346185</v>
      </c>
    </row>
    <row r="320" spans="1:2" x14ac:dyDescent="0.25">
      <c r="A320">
        <f ca="1">37611.2093587306*(RANDBETWEEN(2890,3282))</f>
        <v>113661074.68208393</v>
      </c>
      <c r="B320">
        <v>228133026.7939027</v>
      </c>
    </row>
    <row r="321" spans="1:2" x14ac:dyDescent="0.25">
      <c r="A321">
        <f ca="1">31917.3320615817*(RANDBETWEEN(2890,3282))</f>
        <v>102103545.26499975</v>
      </c>
      <c r="B321">
        <v>243888900.03348675</v>
      </c>
    </row>
    <row r="322" spans="1:2" x14ac:dyDescent="0.25">
      <c r="A322">
        <f ca="1">37865.7266531809*(RANDBETWEEN(2890,3282))</f>
        <v>115793392.10542732</v>
      </c>
      <c r="B322">
        <v>252554242.39993334</v>
      </c>
    </row>
    <row r="323" spans="1:2" x14ac:dyDescent="0.25">
      <c r="A323">
        <f ca="1">35570.4366069298*(RANDBETWEEN(2890,3282))</f>
        <v>110481776.1011239</v>
      </c>
      <c r="B323">
        <v>225077777.32743448</v>
      </c>
    </row>
    <row r="324" spans="1:2" x14ac:dyDescent="0.25">
      <c r="A324">
        <f ca="1">32468.3020335763*(RANDBETWEEN(2890,3282))</f>
        <v>100619268.00205295</v>
      </c>
      <c r="B324">
        <v>256746635.67445475</v>
      </c>
    </row>
    <row r="325" spans="1:2" x14ac:dyDescent="0.25">
      <c r="A325">
        <f ca="1">38861.8285477254*(RANDBETWEEN(2890,3282))</f>
        <v>115536216.27238758</v>
      </c>
      <c r="B325">
        <v>251658775.39561224</v>
      </c>
    </row>
    <row r="326" spans="1:2" x14ac:dyDescent="0.25">
      <c r="A326">
        <f ca="1">30856.3524209135*(RANDBETWEEN(2890,3282))</f>
        <v>99882012.786496937</v>
      </c>
      <c r="B326">
        <v>250866458.06080976</v>
      </c>
    </row>
    <row r="327" spans="1:2" x14ac:dyDescent="0.25">
      <c r="A327">
        <f ca="1">30922.4966159401*(RANDBETWEEN(2890,3282))</f>
        <v>98024314.272529975</v>
      </c>
      <c r="B327">
        <v>209600223.72195965</v>
      </c>
    </row>
    <row r="328" spans="1:2" x14ac:dyDescent="0.25">
      <c r="A328">
        <f ca="1">37815.9924840668*(RANDBETWEEN(2890,3282))</f>
        <v>121956575.76111539</v>
      </c>
      <c r="B328">
        <v>254998685.83728719</v>
      </c>
    </row>
    <row r="329" spans="1:2" x14ac:dyDescent="0.25">
      <c r="A329">
        <f ca="1">38948.2886438641*(RANDBETWEEN(2890,3282))</f>
        <v>115286934.38583764</v>
      </c>
      <c r="B329">
        <v>215964414.70425978</v>
      </c>
    </row>
    <row r="330" spans="1:2" x14ac:dyDescent="0.25">
      <c r="A330">
        <f ca="1">31850.452783532*(RANDBETWEEN(2890,3282))</f>
        <v>103004364.30194265</v>
      </c>
      <c r="B330">
        <v>234629132.02030247</v>
      </c>
    </row>
    <row r="331" spans="1:2" x14ac:dyDescent="0.25">
      <c r="A331">
        <f ca="1">32373.8447506027*(RANDBETWEEN(2890,3282))</f>
        <v>102042358.65389965</v>
      </c>
      <c r="B331">
        <v>215402833.22010994</v>
      </c>
    </row>
    <row r="332" spans="1:2" x14ac:dyDescent="0.25">
      <c r="A332">
        <f ca="1">34037.6479126243*(RANDBETWEEN(2890,3282))</f>
        <v>100819513.11719304</v>
      </c>
      <c r="B332">
        <v>218733909.11729506</v>
      </c>
    </row>
    <row r="333" spans="1:2" x14ac:dyDescent="0.25">
      <c r="A333">
        <f ca="1">31251.9627149248*(RANDBETWEEN(2890,3282))</f>
        <v>99068721.806311578</v>
      </c>
      <c r="B333">
        <v>211764061.29237047</v>
      </c>
    </row>
    <row r="334" spans="1:2" x14ac:dyDescent="0.25">
      <c r="A334">
        <f ca="1">31841.2934914339*(RANDBETWEEN(2890,3282))</f>
        <v>104152871.01048033</v>
      </c>
      <c r="B334">
        <v>244659765.26217383</v>
      </c>
    </row>
    <row r="335" spans="1:2" x14ac:dyDescent="0.25">
      <c r="A335">
        <f ca="1">39708.4776210106*(RANDBETWEEN(2890,3282))</f>
        <v>121825609.34126058</v>
      </c>
      <c r="B335">
        <v>267673701.01433593</v>
      </c>
    </row>
    <row r="336" spans="1:2" x14ac:dyDescent="0.25">
      <c r="A336">
        <f ca="1">33287.0757879431*(RANDBETWEEN(2890,3282))</f>
        <v>100992987.9406193</v>
      </c>
      <c r="B336">
        <v>263829555.40978667</v>
      </c>
    </row>
    <row r="337" spans="1:2" x14ac:dyDescent="0.25">
      <c r="A337">
        <f ca="1">35657.8241013149*(RANDBETWEEN(2890,3282))</f>
        <v>109362546.51873285</v>
      </c>
      <c r="B337">
        <v>249411502.12340048</v>
      </c>
    </row>
    <row r="338" spans="1:2" x14ac:dyDescent="0.25">
      <c r="A338">
        <f ca="1">29528.0836603025*(RANDBETWEEN(2890,3282))</f>
        <v>89735846.243659213</v>
      </c>
      <c r="B338">
        <v>222163421.26704806</v>
      </c>
    </row>
    <row r="339" spans="1:2" x14ac:dyDescent="0.25">
      <c r="A339">
        <f ca="1">31776.8355930153*(RANDBETWEEN(2890,3282))</f>
        <v>104291574.4162761</v>
      </c>
      <c r="B339">
        <v>235636613.51854625</v>
      </c>
    </row>
    <row r="340" spans="1:2" x14ac:dyDescent="0.25">
      <c r="A340">
        <f ca="1">37306.9202001503*(RANDBETWEEN(2890,3282))</f>
        <v>116845274.06687076</v>
      </c>
      <c r="B340">
        <v>206028721.70240673</v>
      </c>
    </row>
    <row r="341" spans="1:2" x14ac:dyDescent="0.25">
      <c r="A341">
        <f ca="1">37578.2721448031*(RANDBETWEEN(2890,3282))</f>
        <v>110705589.73858997</v>
      </c>
      <c r="B341">
        <v>243307150.31314105</v>
      </c>
    </row>
    <row r="342" spans="1:2" x14ac:dyDescent="0.25">
      <c r="A342">
        <f ca="1">32947.5720392701*(RANDBETWEEN(2890,3282))</f>
        <v>95416168.625726283</v>
      </c>
      <c r="B342">
        <v>238113703.89812291</v>
      </c>
    </row>
    <row r="343" spans="1:2" x14ac:dyDescent="0.25">
      <c r="A343">
        <f ca="1">31939.5448403755*(RANDBETWEEN(2890,3282))</f>
        <v>101982966.67531906</v>
      </c>
      <c r="B343">
        <v>220540521.09417537</v>
      </c>
    </row>
    <row r="344" spans="1:2" x14ac:dyDescent="0.25">
      <c r="A344">
        <f ca="1">31216.2892459447*(RANDBETWEEN(2890,3282))</f>
        <v>96364684.902231336</v>
      </c>
      <c r="B344">
        <v>236112289.50167564</v>
      </c>
    </row>
    <row r="345" spans="1:2" x14ac:dyDescent="0.25">
      <c r="A345">
        <f ca="1">29087.9068178002*(RANDBETWEEN(2890,3282))</f>
        <v>92383192.053333357</v>
      </c>
      <c r="B345">
        <v>209281701.48287249</v>
      </c>
    </row>
    <row r="346" spans="1:2" x14ac:dyDescent="0.25">
      <c r="A346">
        <f ca="1">38497.7073271509*(RANDBETWEEN(2890,3282))</f>
        <v>119265897.29951335</v>
      </c>
      <c r="B346">
        <v>237420214.29142156</v>
      </c>
    </row>
    <row r="347" spans="1:2" x14ac:dyDescent="0.25">
      <c r="A347">
        <f ca="1">41129.8869763711*(RANDBETWEEN(2890,3282))</f>
        <v>120716218.27564922</v>
      </c>
      <c r="B347">
        <v>217419776.16684616</v>
      </c>
    </row>
    <row r="348" spans="1:2" x14ac:dyDescent="0.25">
      <c r="A348">
        <f ca="1">38809.3890513062*(RANDBETWEEN(2890,3282))</f>
        <v>122443622.45687115</v>
      </c>
      <c r="B348">
        <v>267476280.44598436</v>
      </c>
    </row>
    <row r="349" spans="1:2" x14ac:dyDescent="0.25">
      <c r="A349">
        <f ca="1">28293.4807884612*(RANDBETWEEN(2890,3282))</f>
        <v>90369377.638345227</v>
      </c>
      <c r="B349">
        <v>255893416.71522048</v>
      </c>
    </row>
    <row r="350" spans="1:2" x14ac:dyDescent="0.25">
      <c r="A350">
        <f ca="1">33183.9840827678*(RANDBETWEEN(2890,3282))</f>
        <v>99651504.200551614</v>
      </c>
      <c r="B350">
        <v>212912355.44384554</v>
      </c>
    </row>
    <row r="351" spans="1:2" x14ac:dyDescent="0.25">
      <c r="A351">
        <f ca="1">34169.7798721565*(RANDBETWEEN(2890,3282))</f>
        <v>104422847.28931041</v>
      </c>
      <c r="B351">
        <v>228053806.18269116</v>
      </c>
    </row>
    <row r="352" spans="1:2" x14ac:dyDescent="0.25">
      <c r="A352">
        <f ca="1">34693.54391602*(RANDBETWEEN(2890,3282))</f>
        <v>102866357.71099953</v>
      </c>
      <c r="B352">
        <v>253278354.70457488</v>
      </c>
    </row>
    <row r="353" spans="1:2" x14ac:dyDescent="0.25">
      <c r="A353">
        <f ca="1">29970.7318579144*(RANDBETWEEN(2890,3282))</f>
        <v>92339824.854234204</v>
      </c>
      <c r="B353">
        <v>259680583.12254629</v>
      </c>
    </row>
    <row r="354" spans="1:2" x14ac:dyDescent="0.25">
      <c r="A354">
        <f ca="1">38778.7689440947*(RANDBETWEEN(2890,3282))</f>
        <v>113466677.93042117</v>
      </c>
      <c r="B354">
        <v>212027764.44993576</v>
      </c>
    </row>
    <row r="355" spans="1:2" x14ac:dyDescent="0.25">
      <c r="A355">
        <f ca="1">31469.2701254093*(RANDBETWEEN(2890,3282))</f>
        <v>94691033.807356462</v>
      </c>
      <c r="B355">
        <v>265763113.04883343</v>
      </c>
    </row>
    <row r="356" spans="1:2" x14ac:dyDescent="0.25">
      <c r="A356">
        <f ca="1">33345.9284709034*(RANDBETWEEN(2890,3282))</f>
        <v>101938503.33555184</v>
      </c>
      <c r="B356">
        <v>247347578.19627953</v>
      </c>
    </row>
    <row r="357" spans="1:2" x14ac:dyDescent="0.25">
      <c r="A357">
        <f ca="1">34917.3015629359*(RANDBETWEEN(2890,3282))</f>
        <v>109395905.79667825</v>
      </c>
      <c r="B357">
        <v>257893158.47775126</v>
      </c>
    </row>
    <row r="358" spans="1:2" x14ac:dyDescent="0.25">
      <c r="A358">
        <f ca="1">38838.2203277661*(RANDBETWEEN(2890,3282))</f>
        <v>115271837.93280983</v>
      </c>
      <c r="B358">
        <v>254594937.39883423</v>
      </c>
    </row>
    <row r="359" spans="1:2" x14ac:dyDescent="0.25">
      <c r="A359">
        <f ca="1">39611.9393139224*(RANDBETWEEN(2890,3282))</f>
        <v>119667668.66735952</v>
      </c>
      <c r="B359">
        <v>211334998.64891231</v>
      </c>
    </row>
    <row r="360" spans="1:2" x14ac:dyDescent="0.25">
      <c r="A360">
        <f ca="1">33822.9953194904*(RANDBETWEEN(2890,3282))</f>
        <v>107286541.15342346</v>
      </c>
      <c r="B360">
        <v>239750537.17603999</v>
      </c>
    </row>
    <row r="361" spans="1:2" x14ac:dyDescent="0.25">
      <c r="A361">
        <f ca="1">36318.0979428594*(RANDBETWEEN(2890,3282))</f>
        <v>109208520.51417835</v>
      </c>
      <c r="B361">
        <v>256205106.08333281</v>
      </c>
    </row>
    <row r="362" spans="1:2" x14ac:dyDescent="0.25">
      <c r="A362">
        <f ca="1">33767.1590773365*(RANDBETWEEN(2890,3282))</f>
        <v>102179423.36802024</v>
      </c>
      <c r="B362">
        <v>240340549.05399066</v>
      </c>
    </row>
    <row r="363" spans="1:2" x14ac:dyDescent="0.25">
      <c r="A363">
        <f ca="1">34185.4403659376*(RANDBETWEEN(2890,3282))</f>
        <v>104402334.87757331</v>
      </c>
      <c r="B363">
        <v>245908322.94254196</v>
      </c>
    </row>
    <row r="364" spans="1:2" x14ac:dyDescent="0.25">
      <c r="A364">
        <f ca="1">33246.1333130509*(RANDBETWEEN(2890,3282))</f>
        <v>105955426.86869326</v>
      </c>
      <c r="B364">
        <v>241113854.45696211</v>
      </c>
    </row>
    <row r="365" spans="1:2" x14ac:dyDescent="0.25">
      <c r="A365">
        <f ca="1">31029.1974680993*(RANDBETWEEN(2890,3282))</f>
        <v>99479607.0827263</v>
      </c>
      <c r="B365">
        <v>252338871.33443338</v>
      </c>
    </row>
    <row r="366" spans="1:2" x14ac:dyDescent="0.25">
      <c r="A366">
        <f ca="1">32290.0439382988*(RANDBETWEEN(2890,3282))</f>
        <v>98516924.055749699</v>
      </c>
      <c r="B366">
        <v>265309302.60251367</v>
      </c>
    </row>
    <row r="367" spans="1:2" x14ac:dyDescent="0.25">
      <c r="A367">
        <f ca="1">37141.2144999097*(RANDBETWEEN(2890,3282))</f>
        <v>107672380.83523828</v>
      </c>
      <c r="B367">
        <v>267566518.85114759</v>
      </c>
    </row>
    <row r="368" spans="1:2" x14ac:dyDescent="0.25">
      <c r="A368">
        <f ca="1">34804.3760607418*(RANDBETWEEN(2890,3282))</f>
        <v>111443612.14649539</v>
      </c>
      <c r="B368">
        <v>242650621.96106884</v>
      </c>
    </row>
    <row r="369" spans="1:2" x14ac:dyDescent="0.25">
      <c r="A369">
        <f ca="1">29505.2920085446*(RANDBETWEEN(2890,3282))</f>
        <v>94682482.055419624</v>
      </c>
      <c r="B369">
        <v>208430081.400116</v>
      </c>
    </row>
    <row r="370" spans="1:2" x14ac:dyDescent="0.25">
      <c r="A370">
        <f ca="1">30521.405811438*(RANDBETWEEN(2890,3282))</f>
        <v>99469261.539476514</v>
      </c>
      <c r="B370">
        <v>214384040.60150766</v>
      </c>
    </row>
    <row r="371" spans="1:2" x14ac:dyDescent="0.25">
      <c r="A371">
        <f ca="1">33081.7329340697*(RANDBETWEEN(2890,3282))</f>
        <v>99807588.262088403</v>
      </c>
      <c r="B371">
        <v>232180479.0011808</v>
      </c>
    </row>
    <row r="372" spans="1:2" x14ac:dyDescent="0.25">
      <c r="A372">
        <f ca="1">31965.0814146256*(RANDBETWEEN(2890,3282))</f>
        <v>95767383.91821821</v>
      </c>
      <c r="B372">
        <v>226056198.84545827</v>
      </c>
    </row>
    <row r="373" spans="1:2" x14ac:dyDescent="0.25">
      <c r="A373">
        <f ca="1">40111.0894596755*(RANDBETWEEN(2890,3282))</f>
        <v>130722040.54908244</v>
      </c>
      <c r="B373">
        <v>254360914.58672726</v>
      </c>
    </row>
    <row r="374" spans="1:2" x14ac:dyDescent="0.25">
      <c r="A374">
        <f ca="1">37781.9256573653*(RANDBETWEEN(2890,3282))</f>
        <v>115650474.43719526</v>
      </c>
      <c r="B374">
        <v>224907980.19663107</v>
      </c>
    </row>
    <row r="375" spans="1:2" x14ac:dyDescent="0.25">
      <c r="A375">
        <f ca="1">31302.1215305915*(RANDBETWEEN(2890,3282))</f>
        <v>92560373.365958929</v>
      </c>
      <c r="B375">
        <v>211378566.48393124</v>
      </c>
    </row>
    <row r="376" spans="1:2" x14ac:dyDescent="0.25">
      <c r="A376">
        <f ca="1">38602.8560720638*(RANDBETWEEN(2890,3282))</f>
        <v>125922516.50707203</v>
      </c>
      <c r="B376">
        <v>236043305.42901817</v>
      </c>
    </row>
    <row r="377" spans="1:2" x14ac:dyDescent="0.25">
      <c r="A377">
        <f ca="1">31052.3295752478*(RANDBETWEEN(2890,3282))</f>
        <v>95299599.466435552</v>
      </c>
      <c r="B377">
        <v>205641324.11559576</v>
      </c>
    </row>
    <row r="378" spans="1:2" x14ac:dyDescent="0.25">
      <c r="A378">
        <f ca="1">40671.8168237673*(RANDBETWEEN(2890,3282))</f>
        <v>129051674.7818135</v>
      </c>
      <c r="B378">
        <v>241864085.29013085</v>
      </c>
    </row>
    <row r="379" spans="1:2" x14ac:dyDescent="0.25">
      <c r="A379">
        <f ca="1">29177.6490024983*(RANDBETWEEN(2890,3282))</f>
        <v>86365841.047394961</v>
      </c>
      <c r="B379">
        <v>236905240.51501113</v>
      </c>
    </row>
    <row r="380" spans="1:2" x14ac:dyDescent="0.25">
      <c r="A380">
        <f ca="1">31216.7667977476*(RANDBETWEEN(2890,3282))</f>
        <v>92495280.02172628</v>
      </c>
      <c r="B380">
        <v>263383303.46486473</v>
      </c>
    </row>
    <row r="381" spans="1:2" x14ac:dyDescent="0.25">
      <c r="A381">
        <f ca="1">31241.4613317253*(RANDBETWEEN(2890,3282))</f>
        <v>93130796.229872987</v>
      </c>
      <c r="B381">
        <v>244524327.43608496</v>
      </c>
    </row>
    <row r="382" spans="1:2" x14ac:dyDescent="0.25">
      <c r="A382">
        <f ca="1">36467.4836732677*(RANDBETWEEN(2890,3282))</f>
        <v>115273715.89119934</v>
      </c>
      <c r="B382">
        <v>262316278.54314083</v>
      </c>
    </row>
    <row r="383" spans="1:2" x14ac:dyDescent="0.25">
      <c r="A383">
        <f ca="1">38276.4764769138*(RANDBETWEEN(2890,3282))</f>
        <v>116628423.82515632</v>
      </c>
      <c r="B383">
        <v>251990700.8775737</v>
      </c>
    </row>
    <row r="384" spans="1:2" x14ac:dyDescent="0.25">
      <c r="A384">
        <f ca="1">32325.5621865655*(RANDBETWEEN(2890,3282))</f>
        <v>100694126.21115164</v>
      </c>
      <c r="B384">
        <v>267512574.31822774</v>
      </c>
    </row>
    <row r="385" spans="1:2" x14ac:dyDescent="0.25">
      <c r="A385">
        <f ca="1">32648.4007419491*(RANDBETWEEN(2890,3282))</f>
        <v>102809813.93639767</v>
      </c>
      <c r="B385">
        <v>216454729.02495545</v>
      </c>
    </row>
    <row r="386" spans="1:2" x14ac:dyDescent="0.25">
      <c r="A386">
        <f ca="1">32541.6463948461*(RANDBETWEEN(2890,3282))</f>
        <v>97234439.427800059</v>
      </c>
      <c r="B386">
        <v>209628944.35058117</v>
      </c>
    </row>
    <row r="387" spans="1:2" x14ac:dyDescent="0.25">
      <c r="A387">
        <f ca="1">30676.5473693202*(RANDBETWEEN(2890,3282))</f>
        <v>90679874.023710653</v>
      </c>
      <c r="B387">
        <v>227765908.47855198</v>
      </c>
    </row>
    <row r="388" spans="1:2" x14ac:dyDescent="0.25">
      <c r="A388">
        <f ca="1">36973.5786042215*(RANDBETWEEN(2890,3282))</f>
        <v>113582833.47216846</v>
      </c>
      <c r="B388">
        <v>235466952.01992917</v>
      </c>
    </row>
    <row r="389" spans="1:2" x14ac:dyDescent="0.25">
      <c r="A389">
        <f ca="1">33023.2583909436*(RANDBETWEEN(2890,3282))</f>
        <v>96659077.310291961</v>
      </c>
      <c r="B389">
        <v>257356738.27012712</v>
      </c>
    </row>
    <row r="390" spans="1:2" x14ac:dyDescent="0.25">
      <c r="A390">
        <f ca="1">37817.5299146752*(RANDBETWEEN(2890,3282))</f>
        <v>111145720.41923046</v>
      </c>
      <c r="B390">
        <v>229585459.96784416</v>
      </c>
    </row>
    <row r="391" spans="1:2" x14ac:dyDescent="0.25">
      <c r="A391">
        <f ca="1">40868.6885567115*(RANDBETWEEN(2890,3282))</f>
        <v>121012186.81642267</v>
      </c>
      <c r="B391">
        <v>213530802.36143118</v>
      </c>
    </row>
    <row r="392" spans="1:2" x14ac:dyDescent="0.25">
      <c r="A392">
        <f ca="1">30522.6346128973*(RANDBETWEEN(2890,3282))</f>
        <v>89065047.800434336</v>
      </c>
      <c r="B392">
        <v>237629053.45834917</v>
      </c>
    </row>
    <row r="393" spans="1:2" x14ac:dyDescent="0.25">
      <c r="A393">
        <f ca="1">35594.6801595928*(RANDBETWEEN(2890,3282))</f>
        <v>111268970.17888716</v>
      </c>
      <c r="B393">
        <v>223792680.98047391</v>
      </c>
    </row>
    <row r="394" spans="1:2" x14ac:dyDescent="0.25">
      <c r="A394">
        <f ca="1">33063.7884962695*(RANDBETWEEN(2890,3282))</f>
        <v>104150933.76324891</v>
      </c>
      <c r="B394">
        <v>203873718.1203264</v>
      </c>
    </row>
    <row r="395" spans="1:2" x14ac:dyDescent="0.25">
      <c r="A395">
        <f ca="1">40792.5425954074*(RANDBETWEEN(2890,3282))</f>
        <v>124702802.71416047</v>
      </c>
      <c r="B395">
        <v>233664408.79703927</v>
      </c>
    </row>
    <row r="396" spans="1:2" x14ac:dyDescent="0.25">
      <c r="A396">
        <f ca="1">39895.8238987248*(RANDBETWEEN(2890,3282))</f>
        <v>120046534.11126287</v>
      </c>
      <c r="B396">
        <v>219271349.67106506</v>
      </c>
    </row>
    <row r="397" spans="1:2" x14ac:dyDescent="0.25">
      <c r="A397">
        <f ca="1">32558.5729419775*(RANDBETWEEN(2890,3282))</f>
        <v>99140854.608321577</v>
      </c>
      <c r="B397">
        <v>227050653.90416354</v>
      </c>
    </row>
    <row r="398" spans="1:2" x14ac:dyDescent="0.25">
      <c r="A398">
        <f ca="1">34123.4013277668*(RANDBETWEEN(2890,3282))</f>
        <v>102916178.40454467</v>
      </c>
      <c r="B398">
        <v>241095233.40335649</v>
      </c>
    </row>
    <row r="399" spans="1:2" x14ac:dyDescent="0.25">
      <c r="A399">
        <f ca="1">31411.9125914475*(RANDBETWEEN(2890,3282))</f>
        <v>101994480.18442988</v>
      </c>
      <c r="B399">
        <v>210281584.48803651</v>
      </c>
    </row>
    <row r="400" spans="1:2" x14ac:dyDescent="0.25">
      <c r="A400">
        <f ca="1">36136.0957064179*(RANDBETWEEN(2890,3282))</f>
        <v>105553535.55844674</v>
      </c>
      <c r="B400">
        <v>241267147.29253235</v>
      </c>
    </row>
    <row r="401" spans="1:2" x14ac:dyDescent="0.25">
      <c r="A401">
        <f ca="1">31757.6509782965*(RANDBETWEEN(2890,3282))</f>
        <v>103879276.35000776</v>
      </c>
      <c r="B401">
        <v>215060179.22467783</v>
      </c>
    </row>
    <row r="402" spans="1:2" x14ac:dyDescent="0.25">
      <c r="A402">
        <f ca="1">34115.3737714582*(RANDBETWEEN(2890,3282))</f>
        <v>103847197.76031883</v>
      </c>
      <c r="B402">
        <v>236017924.88634121</v>
      </c>
    </row>
    <row r="403" spans="1:2" x14ac:dyDescent="0.25">
      <c r="A403">
        <f ca="1">30658.7014886339*(RANDBETWEEN(2890,3282))</f>
        <v>100437906.07676461</v>
      </c>
      <c r="B403">
        <v>250673573.56048957</v>
      </c>
    </row>
    <row r="404" spans="1:2" x14ac:dyDescent="0.25">
      <c r="A404">
        <f ca="1">40530.1665576335*(RANDBETWEEN(2890,3282))</f>
        <v>128683278.82048625</v>
      </c>
      <c r="B404">
        <v>262254555.19946077</v>
      </c>
    </row>
    <row r="405" spans="1:2" x14ac:dyDescent="0.25">
      <c r="A405">
        <f ca="1">30347.7687135256*(RANDBETWEEN(2890,3282))</f>
        <v>91073653.909290388</v>
      </c>
      <c r="B405">
        <v>232388560.68752959</v>
      </c>
    </row>
    <row r="406" spans="1:2" x14ac:dyDescent="0.25">
      <c r="A406">
        <f ca="1">40892.4607901692*(RANDBETWEEN(2890,3282))</f>
        <v>131101229.29328248</v>
      </c>
      <c r="B406">
        <v>245808393.0154756</v>
      </c>
    </row>
    <row r="407" spans="1:2" x14ac:dyDescent="0.25">
      <c r="A407">
        <f ca="1">39127.5406419776*(RANDBETWEEN(2890,3282))</f>
        <v>127634037.574131</v>
      </c>
      <c r="B407">
        <v>212642871.93131027</v>
      </c>
    </row>
    <row r="408" spans="1:2" x14ac:dyDescent="0.25">
      <c r="A408">
        <f ca="1">36834.0904530445*(RANDBETWEEN(2890,3282))</f>
        <v>117132407.64068167</v>
      </c>
      <c r="B408">
        <v>222397965.72669762</v>
      </c>
    </row>
    <row r="409" spans="1:2" x14ac:dyDescent="0.25">
      <c r="A409">
        <f ca="1">32411.5568405666*(RANDBETWEEN(2890,3282))</f>
        <v>96683674.055410147</v>
      </c>
      <c r="B409">
        <v>267373581.42850965</v>
      </c>
    </row>
    <row r="410" spans="1:2" x14ac:dyDescent="0.25">
      <c r="A410">
        <f ca="1">33617.4161318611*(RANDBETWEEN(2890,3282))</f>
        <v>100347987.15360533</v>
      </c>
      <c r="B410">
        <v>226200888.99625292</v>
      </c>
    </row>
    <row r="411" spans="1:2" x14ac:dyDescent="0.25">
      <c r="A411">
        <f ca="1">27095.9765059844*(RANDBETWEEN(2890,3282))</f>
        <v>88441267.315533146</v>
      </c>
      <c r="B411">
        <v>245277728.1339131</v>
      </c>
    </row>
    <row r="412" spans="1:2" x14ac:dyDescent="0.25">
      <c r="A412">
        <f ca="1">33734.1193669969*(RANDBETWEEN(2890,3282))</f>
        <v>103496278.21794656</v>
      </c>
      <c r="B412">
        <v>242540946.19662184</v>
      </c>
    </row>
    <row r="413" spans="1:2" x14ac:dyDescent="0.25">
      <c r="A413">
        <f ca="1">42012.3174414844*(RANDBETWEEN(2890,3282))</f>
        <v>124440484.26167674</v>
      </c>
      <c r="B413">
        <v>256401470.49112037</v>
      </c>
    </row>
    <row r="414" spans="1:2" x14ac:dyDescent="0.25">
      <c r="A414">
        <f ca="1">40555.4365691247*(RANDBETWEEN(2890,3282))</f>
        <v>124099635.90152171</v>
      </c>
      <c r="B414">
        <v>223331896.84607425</v>
      </c>
    </row>
    <row r="415" spans="1:2" x14ac:dyDescent="0.25">
      <c r="A415">
        <f ca="1">40623.5796877995*(RANDBETWEEN(2890,3282))</f>
        <v>127354922.32125144</v>
      </c>
      <c r="B415">
        <v>226061542.32549477</v>
      </c>
    </row>
    <row r="416" spans="1:2" x14ac:dyDescent="0.25">
      <c r="A416">
        <f ca="1">41194.6318670037*(RANDBETWEEN(2890,3282))</f>
        <v>131081318.60080589</v>
      </c>
      <c r="B416">
        <v>229170409.44506714</v>
      </c>
    </row>
    <row r="417" spans="1:2" x14ac:dyDescent="0.25">
      <c r="A417">
        <f ca="1">36600.9802419854*(RANDBETWEEN(2890,3282))</f>
        <v>106216044.66224173</v>
      </c>
      <c r="B417">
        <v>225912541.39211994</v>
      </c>
    </row>
    <row r="418" spans="1:2" x14ac:dyDescent="0.25">
      <c r="A418">
        <f ca="1">36131.752879448*(RANDBETWEEN(2890,3282))</f>
        <v>110960613.0927847</v>
      </c>
      <c r="B418">
        <v>253218798.50215417</v>
      </c>
    </row>
    <row r="419" spans="1:2" x14ac:dyDescent="0.25">
      <c r="A419">
        <f ca="1">32901.2361533951*(RANDBETWEEN(2890,3282))</f>
        <v>97914078.792503893</v>
      </c>
      <c r="B419">
        <v>247541893.28281054</v>
      </c>
    </row>
    <row r="420" spans="1:2" x14ac:dyDescent="0.25">
      <c r="A420">
        <f ca="1">31979.5278066547*(RANDBETWEEN(2890,3282))</f>
        <v>101183225.98025548</v>
      </c>
      <c r="B420">
        <v>219391134.12449694</v>
      </c>
    </row>
    <row r="421" spans="1:2" x14ac:dyDescent="0.25">
      <c r="A421">
        <f ca="1">31694.2088328395*(RANDBETWEEN(2890,3282))</f>
        <v>103766839.71871664</v>
      </c>
      <c r="B421">
        <v>227909294.27446255</v>
      </c>
    </row>
    <row r="422" spans="1:2" x14ac:dyDescent="0.25">
      <c r="A422">
        <f ca="1">35689.496105335*(RANDBETWEEN(2890,3282))</f>
        <v>115348451.41244264</v>
      </c>
      <c r="B422">
        <v>249513977.76429844</v>
      </c>
    </row>
    <row r="423" spans="1:2" x14ac:dyDescent="0.25">
      <c r="A423">
        <f ca="1">33080.3821097711*(RANDBETWEEN(2890,3282))</f>
        <v>99108824.800874248</v>
      </c>
      <c r="B423">
        <v>252102362.50744</v>
      </c>
    </row>
    <row r="424" spans="1:2" x14ac:dyDescent="0.25">
      <c r="A424">
        <f ca="1">38432.8591897799*(RANDBETWEEN(2890,3282))</f>
        <v>114107158.93445651</v>
      </c>
      <c r="B424">
        <v>209504755.54740864</v>
      </c>
    </row>
    <row r="425" spans="1:2" x14ac:dyDescent="0.25">
      <c r="A425">
        <f ca="1">40619.0079295469*(RANDBETWEEN(2890,3282))</f>
        <v>122710022.9551613</v>
      </c>
      <c r="B425">
        <v>240628306.98713079</v>
      </c>
    </row>
    <row r="426" spans="1:2" x14ac:dyDescent="0.25">
      <c r="A426">
        <f ca="1">39730.33472546*(RANDBETWEEN(2890,3282))</f>
        <v>118356667.1471453</v>
      </c>
      <c r="B426">
        <v>253295048.5358021</v>
      </c>
    </row>
    <row r="427" spans="1:2" x14ac:dyDescent="0.25">
      <c r="A427">
        <f ca="1">34527.9330152383*(RANDBETWEEN(2890,3282))</f>
        <v>100994204.06957205</v>
      </c>
      <c r="B427">
        <v>227258155.26786265</v>
      </c>
    </row>
    <row r="428" spans="1:2" x14ac:dyDescent="0.25">
      <c r="A428">
        <f ca="1">35048.166274087*(RANDBETWEEN(2890,3282))</f>
        <v>110962494.4237594</v>
      </c>
      <c r="B428">
        <v>222939350.50235528</v>
      </c>
    </row>
    <row r="429" spans="1:2" x14ac:dyDescent="0.25">
      <c r="A429">
        <f ca="1">30349.14039094*(RANDBETWEEN(2890,3282))</f>
        <v>94051986.071523115</v>
      </c>
      <c r="B429">
        <v>261933453.89818561</v>
      </c>
    </row>
    <row r="430" spans="1:2" x14ac:dyDescent="0.25">
      <c r="A430">
        <f ca="1">37858.3989657512*(RANDBETWEEN(2890,3282))</f>
        <v>118004629.57624635</v>
      </c>
      <c r="B430">
        <v>231664270.80492795</v>
      </c>
    </row>
    <row r="431" spans="1:2" x14ac:dyDescent="0.25">
      <c r="A431">
        <f ca="1">37086.1086880973*(RANDBETWEEN(2890,3282))</f>
        <v>121160317.08401398</v>
      </c>
      <c r="B431">
        <v>260135449.45198551</v>
      </c>
    </row>
    <row r="432" spans="1:2" x14ac:dyDescent="0.25">
      <c r="A432">
        <f ca="1">31360.3293231452*(RANDBETWEEN(2890,3282))</f>
        <v>93516502.041618854</v>
      </c>
      <c r="B432">
        <v>254255214.39176667</v>
      </c>
    </row>
    <row r="433" spans="1:2" x14ac:dyDescent="0.25">
      <c r="A433">
        <f ca="1">37869.9990138678*(RANDBETWEEN(2890,3282))</f>
        <v>119404106.8907253</v>
      </c>
      <c r="B433">
        <v>215362454.28265774</v>
      </c>
    </row>
    <row r="434" spans="1:2" x14ac:dyDescent="0.25">
      <c r="A434">
        <f ca="1">40408.2872992085*(RANDBETWEEN(2890,3282))</f>
        <v>129993460.24155362</v>
      </c>
      <c r="B434">
        <v>237249658.22202253</v>
      </c>
    </row>
    <row r="435" spans="1:2" x14ac:dyDescent="0.25">
      <c r="A435">
        <f ca="1">40779.9638201111*(RANDBETWEEN(2890,3282))</f>
        <v>121687412.03921163</v>
      </c>
      <c r="B435">
        <v>222759406.70130789</v>
      </c>
    </row>
    <row r="436" spans="1:2" x14ac:dyDescent="0.25">
      <c r="A436">
        <f ca="1">30632.4790369135*(RANDBETWEEN(2890,3282))</f>
        <v>97993300.439086348</v>
      </c>
      <c r="B436">
        <v>211415087.17720997</v>
      </c>
    </row>
    <row r="437" spans="1:2" x14ac:dyDescent="0.25">
      <c r="A437">
        <f ca="1">32000.2902248622*(RANDBETWEEN(2890,3282))</f>
        <v>101408919.7225883</v>
      </c>
      <c r="B437">
        <v>216652309.36709809</v>
      </c>
    </row>
    <row r="438" spans="1:2" x14ac:dyDescent="0.25">
      <c r="A438">
        <f ca="1">36520.2218439063*(RANDBETWEEN(2890,3282))</f>
        <v>113176167.49426556</v>
      </c>
      <c r="B438">
        <v>241421880.13352054</v>
      </c>
    </row>
    <row r="439" spans="1:2" x14ac:dyDescent="0.25">
      <c r="A439">
        <f ca="1">31491.8541816913*(RANDBETWEEN(2890,3282))</f>
        <v>97120878.296335846</v>
      </c>
      <c r="B439">
        <v>237462286.68235648</v>
      </c>
    </row>
    <row r="440" spans="1:2" x14ac:dyDescent="0.25">
      <c r="A440">
        <f ca="1">33270.0424479207*(RANDBETWEEN(2890,3282))</f>
        <v>99477426.919282913</v>
      </c>
      <c r="B440">
        <v>222207736.8718968</v>
      </c>
    </row>
    <row r="441" spans="1:2" x14ac:dyDescent="0.25">
      <c r="A441">
        <f ca="1">37955.1692462936*(RANDBETWEEN(2890,3282))</f>
        <v>112461166.47676779</v>
      </c>
      <c r="B441">
        <v>264609039.82931748</v>
      </c>
    </row>
    <row r="442" spans="1:2" x14ac:dyDescent="0.25">
      <c r="A442">
        <f ca="1">29294.9353040852*(RANDBETWEEN(2890,3282))</f>
        <v>87064547.723741114</v>
      </c>
      <c r="B442">
        <v>247135708.70944536</v>
      </c>
    </row>
    <row r="443" spans="1:2" x14ac:dyDescent="0.25">
      <c r="A443">
        <f ca="1">37414.6916304553*(RANDBETWEEN(2890,3282))</f>
        <v>112805295.2658228</v>
      </c>
      <c r="B443">
        <v>220353692.36566746</v>
      </c>
    </row>
    <row r="444" spans="1:2" x14ac:dyDescent="0.25">
      <c r="A444">
        <f ca="1">36985.9648267716*(RANDBETWEEN(2890,3282))</f>
        <v>112178431.31959835</v>
      </c>
      <c r="B444">
        <v>255515555.59570804</v>
      </c>
    </row>
    <row r="445" spans="1:2" x14ac:dyDescent="0.25">
      <c r="A445">
        <f ca="1">31846.2613379048*(RANDBETWEEN(2890,3282))</f>
        <v>94997397.570970163</v>
      </c>
      <c r="B445">
        <v>248453724.85340208</v>
      </c>
    </row>
    <row r="446" spans="1:2" x14ac:dyDescent="0.25">
      <c r="A446">
        <f ca="1">27948.1367756565*(RANDBETWEEN(2890,3282))</f>
        <v>88288164.074298769</v>
      </c>
      <c r="B446">
        <v>232592338.96614668</v>
      </c>
    </row>
    <row r="447" spans="1:2" x14ac:dyDescent="0.25">
      <c r="A447">
        <f ca="1">30214.1931000495*(RANDBETWEEN(2890,3282))</f>
        <v>91488576.706949934</v>
      </c>
      <c r="B447">
        <v>210959528.38043401</v>
      </c>
    </row>
    <row r="448" spans="1:2" x14ac:dyDescent="0.25">
      <c r="A448">
        <f ca="1">34697.6435216611*(RANDBETWEEN(2890,3282))</f>
        <v>107493299.63010609</v>
      </c>
      <c r="B448">
        <v>207183189.70376566</v>
      </c>
    </row>
    <row r="449" spans="1:2" x14ac:dyDescent="0.25">
      <c r="A449">
        <f ca="1">38882.2930062798*(RANDBETWEEN(2890,3282))</f>
        <v>117385642.58595884</v>
      </c>
      <c r="B449">
        <v>249976454.64170346</v>
      </c>
    </row>
    <row r="450" spans="1:2" x14ac:dyDescent="0.25">
      <c r="A450">
        <f ca="1">29582.9432393305*(RANDBETWEEN(2890,3282))</f>
        <v>92890441.77149792</v>
      </c>
      <c r="B450">
        <v>255499862.00411892</v>
      </c>
    </row>
    <row r="451" spans="1:2" x14ac:dyDescent="0.25">
      <c r="A451">
        <f ca="1">40992.7086353934*(RANDBETWEEN(2890,3282))</f>
        <v>133349281.19093487</v>
      </c>
      <c r="B451">
        <v>219749531.25732061</v>
      </c>
    </row>
    <row r="452" spans="1:2" x14ac:dyDescent="0.25">
      <c r="A452">
        <f ca="1">38764.3202431006*(RANDBETWEEN(2890,3282))</f>
        <v>114432273.35763299</v>
      </c>
      <c r="B452">
        <v>205603626.19265479</v>
      </c>
    </row>
    <row r="453" spans="1:2" x14ac:dyDescent="0.25">
      <c r="A453">
        <f ca="1">32274.1641260801*(RANDBETWEEN(2890,3282))</f>
        <v>101760439.48953056</v>
      </c>
      <c r="B453">
        <v>250939055.14544925</v>
      </c>
    </row>
    <row r="454" spans="1:2" x14ac:dyDescent="0.25">
      <c r="A454">
        <f ca="1">33905.0908149247*(RANDBETWEEN(2890,3282))</f>
        <v>103444432.07633527</v>
      </c>
      <c r="B454">
        <v>236938055.68791392</v>
      </c>
    </row>
    <row r="455" spans="1:2" x14ac:dyDescent="0.25">
      <c r="A455">
        <f ca="1">34040.1281382012*(RANDBETWEEN(2890,3282))</f>
        <v>108622048.88900001</v>
      </c>
      <c r="B455">
        <v>243132159.02114326</v>
      </c>
    </row>
    <row r="456" spans="1:2" x14ac:dyDescent="0.25">
      <c r="A456">
        <f ca="1">34711.1284470403*(RANDBETWEEN(2890,3282))</f>
        <v>110173121.69090593</v>
      </c>
      <c r="B456">
        <v>234033692.38902313</v>
      </c>
    </row>
    <row r="457" spans="1:2" x14ac:dyDescent="0.25">
      <c r="A457">
        <f ca="1">32298.5141168591*(RANDBETWEEN(2890,3282))</f>
        <v>96281870.582357109</v>
      </c>
      <c r="B457">
        <v>223608711.59344506</v>
      </c>
    </row>
    <row r="458" spans="1:2" x14ac:dyDescent="0.25">
      <c r="A458">
        <f ca="1">33964.1779388443*(RANDBETWEEN(2890,3282))</f>
        <v>110825112.61444901</v>
      </c>
      <c r="B458">
        <v>251116698.15087041</v>
      </c>
    </row>
    <row r="459" spans="1:2" x14ac:dyDescent="0.25">
      <c r="A459">
        <f ca="1">28671.318018904*(RANDBETWEEN(2890,3282))</f>
        <v>91633532.38841714</v>
      </c>
      <c r="B459">
        <v>266936380.34558031</v>
      </c>
    </row>
    <row r="460" spans="1:2" x14ac:dyDescent="0.25">
      <c r="A460">
        <f ca="1">33478.1235950764*(RANDBETWEEN(2890,3282))</f>
        <v>107598689.23457554</v>
      </c>
      <c r="B460">
        <v>266592892.51349267</v>
      </c>
    </row>
    <row r="461" spans="1:2" x14ac:dyDescent="0.25">
      <c r="A461">
        <f ca="1">30532.2729332296*(RANDBETWEEN(2890,3282))</f>
        <v>89917543.788361222</v>
      </c>
      <c r="B461">
        <v>241302399.89218575</v>
      </c>
    </row>
    <row r="462" spans="1:2" x14ac:dyDescent="0.25">
      <c r="A462">
        <f ca="1">34124.1333875606*(RANDBETWEEN(2890,3282))</f>
        <v>106842661.63645229</v>
      </c>
      <c r="B462">
        <v>228459813.67062259</v>
      </c>
    </row>
    <row r="463" spans="1:2" x14ac:dyDescent="0.25">
      <c r="A463">
        <f ca="1">34537.1063758157*(RANDBETWEEN(2890,3282))</f>
        <v>103576782.02107127</v>
      </c>
      <c r="B463">
        <v>209035848.05481255</v>
      </c>
    </row>
    <row r="464" spans="1:2" x14ac:dyDescent="0.25">
      <c r="A464">
        <f ca="1">30167.3133631188*(RANDBETWEEN(2890,3282))</f>
        <v>87937718.453491226</v>
      </c>
      <c r="B464">
        <v>255178248.95459402</v>
      </c>
    </row>
    <row r="465" spans="1:2" x14ac:dyDescent="0.25">
      <c r="A465">
        <f ca="1">36910.5767149859*(RANDBETWEEN(2890,3282))</f>
        <v>118040024.33452499</v>
      </c>
      <c r="B465">
        <v>250899464.1787008</v>
      </c>
    </row>
    <row r="466" spans="1:2" x14ac:dyDescent="0.25">
      <c r="A466">
        <f ca="1">29898.3901821133*(RANDBETWEEN(2890,3282))</f>
        <v>97827532.675874874</v>
      </c>
      <c r="B466">
        <v>216413328.00086153</v>
      </c>
    </row>
    <row r="467" spans="1:2" x14ac:dyDescent="0.25">
      <c r="A467">
        <f ca="1">29677.5702429627*(RANDBETWEEN(2890,3282))</f>
        <v>95888229.455012351</v>
      </c>
      <c r="B467">
        <v>259192400.2115953</v>
      </c>
    </row>
    <row r="468" spans="1:2" x14ac:dyDescent="0.25">
      <c r="A468">
        <f ca="1">42603.8524872927*(RANDBETWEEN(2890,3282))</f>
        <v>132199754.2680693</v>
      </c>
      <c r="B468">
        <v>219632228.7569755</v>
      </c>
    </row>
    <row r="469" spans="1:2" x14ac:dyDescent="0.25">
      <c r="A469">
        <f ca="1">31228.4021205276*(RANDBETWEEN(2890,3282))</f>
        <v>94934342.446403846</v>
      </c>
      <c r="B469">
        <v>216261580.9048124</v>
      </c>
    </row>
    <row r="470" spans="1:2" x14ac:dyDescent="0.25">
      <c r="A470">
        <f ca="1">31420.1707067658*(RANDBETWEEN(2890,3282))</f>
        <v>92343881.707184672</v>
      </c>
      <c r="B470">
        <v>262721981.40358707</v>
      </c>
    </row>
    <row r="471" spans="1:2" x14ac:dyDescent="0.25">
      <c r="A471">
        <f ca="1">29568.4655050249*(RANDBETWEEN(2890,3282))</f>
        <v>90893462.96244666</v>
      </c>
      <c r="B471">
        <v>227301451.97079736</v>
      </c>
    </row>
    <row r="472" spans="1:2" x14ac:dyDescent="0.25">
      <c r="A472">
        <f ca="1">35391.1472419556*(RANDBETWEEN(2890,3282))</f>
        <v>112685412.81838647</v>
      </c>
      <c r="B472">
        <v>218791137.49149972</v>
      </c>
    </row>
    <row r="473" spans="1:2" x14ac:dyDescent="0.25">
      <c r="A473">
        <f ca="1">32874.3022504586*(RANDBETWEEN(2890,3282))</f>
        <v>103422554.8799427</v>
      </c>
      <c r="B473">
        <v>241888765.42665625</v>
      </c>
    </row>
    <row r="474" spans="1:2" x14ac:dyDescent="0.25">
      <c r="A474">
        <f ca="1">31051.2785595761*(RANDBETWEEN(2890,3282))</f>
        <v>90452374.444045305</v>
      </c>
      <c r="B474">
        <v>211700701.74746141</v>
      </c>
    </row>
    <row r="475" spans="1:2" x14ac:dyDescent="0.25">
      <c r="A475">
        <f ca="1">37154.0237661494*(RANDBETWEEN(2890,3282))</f>
        <v>108712673.53975324</v>
      </c>
      <c r="B475">
        <v>266227572.95799696</v>
      </c>
    </row>
    <row r="476" spans="1:2" x14ac:dyDescent="0.25">
      <c r="A476">
        <f ca="1">35434.6140814366*(RANDBETWEEN(2890,3282))</f>
        <v>113851415.04365584</v>
      </c>
      <c r="B476">
        <v>217379306.45354134</v>
      </c>
    </row>
    <row r="477" spans="1:2" x14ac:dyDescent="0.25">
      <c r="A477">
        <f ca="1">30061.1346839681*(RANDBETWEEN(2890,3282))</f>
        <v>98660644.032783464</v>
      </c>
      <c r="B477">
        <v>208883490.55817795</v>
      </c>
    </row>
    <row r="478" spans="1:2" x14ac:dyDescent="0.25">
      <c r="A478">
        <f ca="1">32042.7928867324*(RANDBETWEEN(2890,3282))</f>
        <v>99012230.02000317</v>
      </c>
      <c r="B478">
        <v>240893623.16099244</v>
      </c>
    </row>
    <row r="479" spans="1:2" x14ac:dyDescent="0.25">
      <c r="A479">
        <f ca="1">29128.6416859619*(RANDBETWEEN(2890,3282))</f>
        <v>85550820.631670132</v>
      </c>
      <c r="B479">
        <v>225281810.96344852</v>
      </c>
    </row>
    <row r="480" spans="1:2" x14ac:dyDescent="0.25">
      <c r="A480">
        <f ca="1">39367.0717610024*(RANDBETWEEN(2890,3282))</f>
        <v>114479444.68099494</v>
      </c>
      <c r="B480">
        <v>211195406.00673914</v>
      </c>
    </row>
    <row r="481" spans="1:2" x14ac:dyDescent="0.25">
      <c r="A481">
        <f ca="1">36660.4620936654*(RANDBETWEEN(2890,3282))</f>
        <v>117936706.55532146</v>
      </c>
      <c r="B481">
        <v>214749778.62560913</v>
      </c>
    </row>
    <row r="482" spans="1:2" x14ac:dyDescent="0.25">
      <c r="A482">
        <f ca="1">32043.7524245599*(RANDBETWEEN(2890,3282))</f>
        <v>97701401.142483115</v>
      </c>
      <c r="B482">
        <v>241616807.5709247</v>
      </c>
    </row>
    <row r="483" spans="1:2" x14ac:dyDescent="0.25">
      <c r="A483">
        <f ca="1">32712.5886063253*(RANDBETWEEN(2890,3282))</f>
        <v>104582145.774422</v>
      </c>
      <c r="B483">
        <v>240547295.95190307</v>
      </c>
    </row>
    <row r="484" spans="1:2" x14ac:dyDescent="0.25">
      <c r="A484">
        <f ca="1">31937.684613115*(RANDBETWEEN(2890,3282))</f>
        <v>101721525.49277134</v>
      </c>
      <c r="B484">
        <v>254765100.96855965</v>
      </c>
    </row>
    <row r="485" spans="1:2" x14ac:dyDescent="0.25">
      <c r="A485">
        <f ca="1">38019.0148641823*(RANDBETWEEN(2890,3282))</f>
        <v>111623827.6412393</v>
      </c>
      <c r="B485">
        <v>212911716.35094801</v>
      </c>
    </row>
    <row r="486" spans="1:2" x14ac:dyDescent="0.25">
      <c r="A486">
        <f ca="1">31640.5435618452*(RANDBETWEEN(2890,3282))</f>
        <v>97231390.365550295</v>
      </c>
      <c r="B486">
        <v>204575071.94501144</v>
      </c>
    </row>
    <row r="487" spans="1:2" x14ac:dyDescent="0.25">
      <c r="A487">
        <f ca="1">31731.2361731427*(RANDBETWEEN(2890,3282))</f>
        <v>97605282.468586922</v>
      </c>
      <c r="B487">
        <v>259937535.25633442</v>
      </c>
    </row>
    <row r="488" spans="1:2" x14ac:dyDescent="0.25">
      <c r="A488">
        <f ca="1">32500.4161024417*(RANDBETWEEN(2890,3282))</f>
        <v>96818739.569173813</v>
      </c>
      <c r="B488">
        <v>210747145.99482736</v>
      </c>
    </row>
    <row r="489" spans="1:2" x14ac:dyDescent="0.25">
      <c r="A489">
        <f ca="1">30450.4829627262*(RANDBETWEEN(2890,3282))</f>
        <v>98659564.799232826</v>
      </c>
      <c r="B489">
        <v>232058006.01878634</v>
      </c>
    </row>
    <row r="490" spans="1:2" x14ac:dyDescent="0.25">
      <c r="A490">
        <f ca="1">40751.7338526603*(RANDBETWEEN(2890,3282))</f>
        <v>132809900.62581994</v>
      </c>
      <c r="B490">
        <v>225061290.91678029</v>
      </c>
    </row>
    <row r="491" spans="1:2" x14ac:dyDescent="0.25">
      <c r="A491">
        <f ca="1">36357.9219929258*(RANDBETWEEN(2890,3282))</f>
        <v>106819574.81521609</v>
      </c>
      <c r="B491">
        <v>265058477.29874876</v>
      </c>
    </row>
    <row r="492" spans="1:2" x14ac:dyDescent="0.25">
      <c r="A492">
        <f ca="1">32766.8126877215*(RANDBETWEEN(2890,3282))</f>
        <v>95548025.79739587</v>
      </c>
      <c r="B492">
        <v>215284667.63724253</v>
      </c>
    </row>
    <row r="493" spans="1:2" x14ac:dyDescent="0.25">
      <c r="A493">
        <f ca="1">40193.236699677*(RANDBETWEEN(2890,3282))</f>
        <v>129984927.48675546</v>
      </c>
      <c r="B493">
        <v>230818350.35064971</v>
      </c>
    </row>
    <row r="494" spans="1:2" x14ac:dyDescent="0.25">
      <c r="A494">
        <f ca="1">42763.5855775611*(RANDBETWEEN(2890,3282))</f>
        <v>137570454.80301398</v>
      </c>
      <c r="B494">
        <v>236638275.55309886</v>
      </c>
    </row>
    <row r="495" spans="1:2" x14ac:dyDescent="0.25">
      <c r="A495">
        <f ca="1">34053.9638226221*(RANDBETWEEN(2890,3282))</f>
        <v>109892141.25560166</v>
      </c>
      <c r="B495">
        <v>207325137.84203899</v>
      </c>
    </row>
    <row r="496" spans="1:2" x14ac:dyDescent="0.25">
      <c r="A496">
        <f ca="1">32200.1035422215*(RANDBETWEEN(2890,3282))</f>
        <v>96503710.316037729</v>
      </c>
      <c r="B496">
        <v>228580969.81480816</v>
      </c>
    </row>
    <row r="497" spans="1:2" x14ac:dyDescent="0.25">
      <c r="A497">
        <f ca="1">29550.2669392828*(RANDBETWEEN(2890,3282))</f>
        <v>88650800.81784825</v>
      </c>
      <c r="B497">
        <v>243076159.80667257</v>
      </c>
    </row>
    <row r="498" spans="1:2" x14ac:dyDescent="0.25">
      <c r="A498">
        <f ca="1">37745.1281120231*(RANDBETWEEN(2890,3282))</f>
        <v>112291756.13326868</v>
      </c>
      <c r="B498">
        <v>229037380.35313615</v>
      </c>
    </row>
    <row r="499" spans="1:2" x14ac:dyDescent="0.25">
      <c r="A499">
        <f ca="1">39184.03365738*(RANDBETWEEN(2890,3282))</f>
        <v>122489289.21296991</v>
      </c>
      <c r="B499">
        <v>263303635.17151511</v>
      </c>
    </row>
    <row r="500" spans="1:2" x14ac:dyDescent="0.25">
      <c r="A500">
        <f ca="1">31929.8676610202*(RANDBETWEEN(2890,3282))</f>
        <v>102718384.26550183</v>
      </c>
      <c r="B500">
        <v>252578950.55509382</v>
      </c>
    </row>
    <row r="501" spans="1:2" x14ac:dyDescent="0.25">
      <c r="A501">
        <f ca="1">30435.2099599824*(RANDBETWEEN(2890,3282))</f>
        <v>95840476.163984478</v>
      </c>
      <c r="B501">
        <v>221338213.58018705</v>
      </c>
    </row>
    <row r="502" spans="1:2" x14ac:dyDescent="0.25">
      <c r="A502">
        <f ca="1">38679.6582909871*(RANDBETWEEN(2890,3282))</f>
        <v>118437113.68700261</v>
      </c>
      <c r="B502">
        <v>217848162.87499094</v>
      </c>
    </row>
    <row r="503" spans="1:2" x14ac:dyDescent="0.25">
      <c r="A503">
        <f ca="1">33531.2536192425*(RANDBETWEEN(2890,3282))</f>
        <v>108104761.66843797</v>
      </c>
      <c r="B503">
        <v>223073220.60419968</v>
      </c>
    </row>
    <row r="504" spans="1:2" x14ac:dyDescent="0.25">
      <c r="A504">
        <f ca="1">33197.6433724034*(RANDBETWEEN(2890,3282))</f>
        <v>106033272.93145646</v>
      </c>
      <c r="B504">
        <v>250659740.44003534</v>
      </c>
    </row>
    <row r="505" spans="1:2" x14ac:dyDescent="0.25">
      <c r="A505">
        <f ca="1">27090.7433842662*(RANDBETWEEN(2890,3282))</f>
        <v>80865869.002034754</v>
      </c>
      <c r="B505">
        <v>212688240.19129276</v>
      </c>
    </row>
    <row r="506" spans="1:2" x14ac:dyDescent="0.25">
      <c r="A506">
        <f ca="1">35457.900548495*(RANDBETWEEN(2890,3282))</f>
        <v>106480075.34713048</v>
      </c>
      <c r="B506">
        <v>210587723.27249676</v>
      </c>
    </row>
    <row r="507" spans="1:2" x14ac:dyDescent="0.25">
      <c r="A507">
        <f ca="1">31381.8393223684*(RANDBETWEEN(2890,3282))</f>
        <v>101269195.49328278</v>
      </c>
      <c r="B507">
        <v>215845076.40370971</v>
      </c>
    </row>
    <row r="508" spans="1:2" x14ac:dyDescent="0.25">
      <c r="A508">
        <f ca="1">34948.7616735668*(RANDBETWEEN(2890,3282))</f>
        <v>107677134.71625926</v>
      </c>
      <c r="B508">
        <v>267431684.97400522</v>
      </c>
    </row>
    <row r="509" spans="1:2" x14ac:dyDescent="0.25">
      <c r="A509">
        <f ca="1">33078.0149569084*(RANDBETWEEN(2890,3282))</f>
        <v>99796371.124992743</v>
      </c>
      <c r="B509">
        <v>251869106.40021747</v>
      </c>
    </row>
    <row r="510" spans="1:2" x14ac:dyDescent="0.25">
      <c r="A510">
        <f ca="1">32006.4246883523*(RANDBETWEEN(2890,3282))</f>
        <v>94322933.5565743</v>
      </c>
      <c r="B510">
        <v>224977288.03385669</v>
      </c>
    </row>
    <row r="511" spans="1:2" x14ac:dyDescent="0.25">
      <c r="A511">
        <f ca="1">31358.9680482939*(RANDBETWEEN(2890,3282))</f>
        <v>102261594.80548631</v>
      </c>
      <c r="B511">
        <v>259564619.28455669</v>
      </c>
    </row>
    <row r="512" spans="1:2" x14ac:dyDescent="0.25">
      <c r="A512">
        <f ca="1">33479.4668995151*(RANDBETWEEN(2890,3282))</f>
        <v>105862074.33626686</v>
      </c>
      <c r="B512">
        <v>223773961.55786037</v>
      </c>
    </row>
    <row r="513" spans="1:2" x14ac:dyDescent="0.25">
      <c r="A513">
        <f ca="1">39168.7804983956*(RANDBETWEEN(2890,3282))</f>
        <v>126906848.81480187</v>
      </c>
      <c r="B513">
        <v>258561888.5981997</v>
      </c>
    </row>
    <row r="514" spans="1:2" x14ac:dyDescent="0.25">
      <c r="A514">
        <f ca="1">30619.7268535894*(RANDBETWEEN(2890,3282))</f>
        <v>91399884.657964483</v>
      </c>
      <c r="B514">
        <v>250027902.99062642</v>
      </c>
    </row>
    <row r="515" spans="1:2" x14ac:dyDescent="0.25">
      <c r="A515">
        <f ca="1">32958.3527233465*(RANDBETWEEN(2890,3282))</f>
        <v>106554354.35457925</v>
      </c>
      <c r="B515">
        <v>243565742.20640612</v>
      </c>
    </row>
    <row r="516" spans="1:2" x14ac:dyDescent="0.25">
      <c r="A516">
        <f ca="1">30435.1465088063*(RANDBETWEEN(2890,3282))</f>
        <v>99401188.497761279</v>
      </c>
      <c r="B516">
        <v>205683905.28031778</v>
      </c>
    </row>
    <row r="517" spans="1:2" x14ac:dyDescent="0.25">
      <c r="A517">
        <f ca="1">35310.5763675968*(RANDBETWEEN(2890,3282))</f>
        <v>103742473.36799948</v>
      </c>
      <c r="B517">
        <v>256306222.05456156</v>
      </c>
    </row>
    <row r="518" spans="1:2" x14ac:dyDescent="0.25">
      <c r="A518">
        <f ca="1">36639.1890455255*(RANDBETWEEN(2890,3282))</f>
        <v>106033813.09775092</v>
      </c>
      <c r="B518">
        <v>249151868.42187297</v>
      </c>
    </row>
    <row r="519" spans="1:2" x14ac:dyDescent="0.25">
      <c r="A519">
        <f ca="1">32894.2490630456*(RANDBETWEEN(2890,3282))</f>
        <v>107268146.19459173</v>
      </c>
      <c r="B519">
        <v>263494236.63169235</v>
      </c>
    </row>
    <row r="520" spans="1:2" x14ac:dyDescent="0.25">
      <c r="A520">
        <f ca="1">40913.1185924981*(RANDBETWEEN(2890,3282))</f>
        <v>123066660.72623421</v>
      </c>
      <c r="B520">
        <v>237198947.22588581</v>
      </c>
    </row>
    <row r="521" spans="1:2" x14ac:dyDescent="0.25">
      <c r="A521">
        <f ca="1">32827.4847992805*(RANDBETWEEN(2890,3282))</f>
        <v>103275267.17853656</v>
      </c>
      <c r="B521">
        <v>257009219.53995061</v>
      </c>
    </row>
    <row r="522" spans="1:2" x14ac:dyDescent="0.25">
      <c r="A522">
        <f ca="1">37064.0364939456*(RANDBETWEEN(2890,3282))</f>
        <v>115899242.11656804</v>
      </c>
      <c r="B522">
        <v>247727807.83642796</v>
      </c>
    </row>
    <row r="523" spans="1:2" x14ac:dyDescent="0.25">
      <c r="A523">
        <f ca="1">36099.2628191795*(RANDBETWEEN(2890,3282))</f>
        <v>109272468.55365631</v>
      </c>
      <c r="B523">
        <v>218232130.37448812</v>
      </c>
    </row>
    <row r="524" spans="1:2" x14ac:dyDescent="0.25">
      <c r="A524">
        <f ca="1">35766.8155846038*(RANDBETWEEN(2890,3282))</f>
        <v>106692410.88887303</v>
      </c>
      <c r="B524">
        <v>259658257.97669888</v>
      </c>
    </row>
    <row r="525" spans="1:2" x14ac:dyDescent="0.25">
      <c r="A525">
        <f ca="1">42256.1901403199*(RANDBETWEEN(2890,3282))</f>
        <v>131543519.90681577</v>
      </c>
      <c r="B525">
        <v>225308082.4617416</v>
      </c>
    </row>
    <row r="526" spans="1:2" x14ac:dyDescent="0.25">
      <c r="A526">
        <f ca="1">33281.9153753619*(RANDBETWEEN(2890,3282))</f>
        <v>98747442.918698892</v>
      </c>
      <c r="B526">
        <v>225892091.54832292</v>
      </c>
    </row>
    <row r="527" spans="1:2" x14ac:dyDescent="0.25">
      <c r="A527">
        <f ca="1">34917.5929835092*(RANDBETWEEN(2890,3282))</f>
        <v>106812916.93655463</v>
      </c>
      <c r="B527">
        <v>208966885.23916608</v>
      </c>
    </row>
    <row r="528" spans="1:2" x14ac:dyDescent="0.25">
      <c r="A528">
        <f ca="1">29981.1113277679*(RANDBETWEEN(2890,3282))</f>
        <v>96449235.141429216</v>
      </c>
      <c r="B528">
        <v>204163023.75031</v>
      </c>
    </row>
    <row r="529" spans="1:2" x14ac:dyDescent="0.25">
      <c r="A529">
        <f ca="1">30324.8777635282*(RANDBETWEEN(2890,3282))</f>
        <v>89761638.180043504</v>
      </c>
      <c r="B529">
        <v>224775462.40002012</v>
      </c>
    </row>
    <row r="530" spans="1:2" x14ac:dyDescent="0.25">
      <c r="A530">
        <f ca="1">32871.6135766895*(RANDBETWEEN(2890,3282))</f>
        <v>95853625.189626575</v>
      </c>
      <c r="B530">
        <v>254183150.77734905</v>
      </c>
    </row>
    <row r="531" spans="1:2" x14ac:dyDescent="0.25">
      <c r="A531">
        <f ca="1">29451.821700847*(RANDBETWEEN(2890,3282))</f>
        <v>88856146.071455345</v>
      </c>
      <c r="B531">
        <v>207455815.01227593</v>
      </c>
    </row>
    <row r="532" spans="1:2" x14ac:dyDescent="0.25">
      <c r="A532">
        <f ca="1">31074.9294892559*(RANDBETWEEN(2890,3282))</f>
        <v>101925768.72475933</v>
      </c>
      <c r="B532">
        <v>225327724.80243129</v>
      </c>
    </row>
    <row r="533" spans="1:2" x14ac:dyDescent="0.25">
      <c r="A533">
        <f ca="1">33588.7933905929*(RANDBETWEEN(2890,3282))</f>
        <v>107719260.40363143</v>
      </c>
      <c r="B533">
        <v>214020652.42013517</v>
      </c>
    </row>
    <row r="534" spans="1:2" x14ac:dyDescent="0.25">
      <c r="A534">
        <f ca="1">37714.0953159963*(RANDBETWEEN(2890,3282))</f>
        <v>121665671.48940413</v>
      </c>
      <c r="B534">
        <v>215085944.3118405</v>
      </c>
    </row>
    <row r="535" spans="1:2" x14ac:dyDescent="0.25">
      <c r="A535">
        <f ca="1">39858.2160132702*(RANDBETWEEN(2890,3282))</f>
        <v>125114940.06565531</v>
      </c>
      <c r="B535">
        <v>222862402.00848895</v>
      </c>
    </row>
    <row r="536" spans="1:2" x14ac:dyDescent="0.25">
      <c r="A536">
        <f ca="1">30892.0691617093*(RANDBETWEEN(2890,3282))</f>
        <v>96970205.098605409</v>
      </c>
      <c r="B536">
        <v>241629877.14861321</v>
      </c>
    </row>
    <row r="537" spans="1:2" x14ac:dyDescent="0.25">
      <c r="A537">
        <f ca="1">36561.1285640397*(RANDBETWEEN(2890,3282))</f>
        <v>114180404.50549597</v>
      </c>
      <c r="B537">
        <v>216094152.6017288</v>
      </c>
    </row>
    <row r="538" spans="1:2" x14ac:dyDescent="0.25">
      <c r="A538">
        <f ca="1">29413.6101215769*(RANDBETWEEN(2890,3282))</f>
        <v>91535154.69834739</v>
      </c>
      <c r="B538">
        <v>216034671.18602133</v>
      </c>
    </row>
    <row r="539" spans="1:2" x14ac:dyDescent="0.25">
      <c r="A539">
        <f ca="1">31136.1895307646*(RANDBETWEEN(2890,3282))</f>
        <v>100632164.56343122</v>
      </c>
      <c r="B539">
        <v>264345127.42604461</v>
      </c>
    </row>
    <row r="540" spans="1:2" x14ac:dyDescent="0.25">
      <c r="A540">
        <f ca="1">32819.7646429724*(RANDBETWEEN(2890,3282))</f>
        <v>100526939.10142441</v>
      </c>
      <c r="B540">
        <v>227564439.84124973</v>
      </c>
    </row>
    <row r="541" spans="1:2" x14ac:dyDescent="0.25">
      <c r="A541">
        <f ca="1">30606.5397582664*(RANDBETWEEN(2890,3282))</f>
        <v>91023849.241084337</v>
      </c>
      <c r="B541">
        <v>222987504.29640341</v>
      </c>
    </row>
    <row r="542" spans="1:2" x14ac:dyDescent="0.25">
      <c r="A542">
        <f ca="1">33474.6655852046*(RANDBETWEEN(2890,3282))</f>
        <v>109763428.45388582</v>
      </c>
      <c r="B542">
        <v>262456309.32942241</v>
      </c>
    </row>
    <row r="543" spans="1:2" x14ac:dyDescent="0.25">
      <c r="A543">
        <f ca="1">36374.7506593439*(RANDBETWEEN(2890,3282))</f>
        <v>119309182.16264813</v>
      </c>
      <c r="B543">
        <v>246687280.29036427</v>
      </c>
    </row>
    <row r="544" spans="1:2" x14ac:dyDescent="0.25">
      <c r="A544">
        <f ca="1">30688.8064619354*(RANDBETWEEN(2890,3282))</f>
        <v>91943664.159958556</v>
      </c>
      <c r="B544">
        <v>209542458.24701375</v>
      </c>
    </row>
    <row r="545" spans="1:2" x14ac:dyDescent="0.25">
      <c r="A545">
        <f ca="1">31126.7843392592*(RANDBETWEEN(2890,3282))</f>
        <v>92788944.11533165</v>
      </c>
      <c r="B545">
        <v>240997326.33601406</v>
      </c>
    </row>
    <row r="546" spans="1:2" x14ac:dyDescent="0.25">
      <c r="A546">
        <f ca="1">28210.1560239738*(RANDBETWEEN(2890,3282))</f>
        <v>92190789.88634634</v>
      </c>
      <c r="B546">
        <v>233081564.0091686</v>
      </c>
    </row>
    <row r="547" spans="1:2" x14ac:dyDescent="0.25">
      <c r="A547">
        <f ca="1">35084.6661617649*(RANDBETWEEN(2890,3282))</f>
        <v>105253998.48529477</v>
      </c>
      <c r="B547">
        <v>207460054.62902105</v>
      </c>
    </row>
    <row r="548" spans="1:2" x14ac:dyDescent="0.25">
      <c r="A548">
        <f ca="1">36057.1585795733*(RANDBETWEEN(2890,3282))</f>
        <v>109036847.5446298</v>
      </c>
      <c r="B548">
        <v>210745388.77111501</v>
      </c>
    </row>
    <row r="549" spans="1:2" x14ac:dyDescent="0.25">
      <c r="A549">
        <f ca="1">36211.0972345696*(RANDBETWEEN(2890,3282))</f>
        <v>110262791.07926443</v>
      </c>
      <c r="B549">
        <v>250030207.12420037</v>
      </c>
    </row>
    <row r="550" spans="1:2" x14ac:dyDescent="0.25">
      <c r="A550">
        <f ca="1">34683.3866801649*(RANDBETWEEN(2890,3282))</f>
        <v>100998022.01264028</v>
      </c>
      <c r="B550">
        <v>229222186.3012647</v>
      </c>
    </row>
    <row r="551" spans="1:2" x14ac:dyDescent="0.25">
      <c r="A551">
        <f ca="1">41608.0200471091*(RANDBETWEEN(2890,3282))</f>
        <v>136474305.75451776</v>
      </c>
      <c r="B551">
        <v>245463017.63822046</v>
      </c>
    </row>
    <row r="552" spans="1:2" x14ac:dyDescent="0.25">
      <c r="A552">
        <f ca="1">33184.212581274*(RANDBETWEEN(2890,3282))</f>
        <v>98689848.216708854</v>
      </c>
      <c r="B552">
        <v>204348433.2396968</v>
      </c>
    </row>
    <row r="553" spans="1:2" x14ac:dyDescent="0.25">
      <c r="A553">
        <f ca="1">33193.3353238961*(RANDBETWEEN(2890,3282))</f>
        <v>108708173.18575957</v>
      </c>
      <c r="B553">
        <v>243046187.95496398</v>
      </c>
    </row>
    <row r="554" spans="1:2" x14ac:dyDescent="0.25">
      <c r="A554">
        <f ca="1">31943.1866354971*(RANDBETWEEN(2890,3282))</f>
        <v>96021219.026304409</v>
      </c>
      <c r="B554">
        <v>244657553.64520562</v>
      </c>
    </row>
    <row r="555" spans="1:2" x14ac:dyDescent="0.25">
      <c r="A555">
        <f ca="1">29495.0318853516*(RANDBETWEEN(2890,3282))</f>
        <v>95504913.244768471</v>
      </c>
      <c r="B555">
        <v>233978490.47188184</v>
      </c>
    </row>
    <row r="556" spans="1:2" x14ac:dyDescent="0.25">
      <c r="A556">
        <f ca="1">36843.2274397072*(RANDBETWEEN(2890,3282))</f>
        <v>111192860.41303647</v>
      </c>
      <c r="B556">
        <v>257152117.36705583</v>
      </c>
    </row>
    <row r="557" spans="1:2" x14ac:dyDescent="0.25">
      <c r="A557">
        <f ca="1">40935.9084954213*(RANDBETWEEN(2890,3282))</f>
        <v>133205446.24410099</v>
      </c>
      <c r="B557">
        <v>218058899.75114495</v>
      </c>
    </row>
    <row r="558" spans="1:2" x14ac:dyDescent="0.25">
      <c r="A558">
        <f ca="1">37124.1576198978*(RANDBETWEEN(2890,3282))</f>
        <v>120430767.31894833</v>
      </c>
      <c r="B558">
        <v>219263636.67839897</v>
      </c>
    </row>
    <row r="559" spans="1:2" x14ac:dyDescent="0.25">
      <c r="A559">
        <f ca="1">37202.7267432836*(RANDBETWEEN(2890,3282))</f>
        <v>121801727.35751034</v>
      </c>
      <c r="B559">
        <v>205913357.38698235</v>
      </c>
    </row>
    <row r="560" spans="1:2" x14ac:dyDescent="0.25">
      <c r="A560">
        <f ca="1">34589.1706318317*(RANDBETWEEN(2890,3282))</f>
        <v>102626069.26464453</v>
      </c>
      <c r="B560">
        <v>241134708.04323986</v>
      </c>
    </row>
    <row r="561" spans="1:2" x14ac:dyDescent="0.25">
      <c r="A561">
        <f ca="1">39105.9221689012*(RANDBETWEEN(2890,3282))</f>
        <v>123496502.20938985</v>
      </c>
      <c r="B561">
        <v>249355732.0950363</v>
      </c>
    </row>
    <row r="562" spans="1:2" x14ac:dyDescent="0.25">
      <c r="A562">
        <f ca="1">36243.1558041008*(RANDBETWEEN(2890,3282))</f>
        <v>111556433.56502233</v>
      </c>
      <c r="B562">
        <v>248324957.89424181</v>
      </c>
    </row>
    <row r="563" spans="1:2" x14ac:dyDescent="0.25">
      <c r="A563">
        <f ca="1">30069.9650557804*(RANDBETWEEN(2890,3282))</f>
        <v>92555352.441691995</v>
      </c>
      <c r="B563">
        <v>236919671.76231512</v>
      </c>
    </row>
    <row r="564" spans="1:2" x14ac:dyDescent="0.25">
      <c r="A564">
        <f ca="1">39395.0285629115*(RANDBETWEEN(2890,3282))</f>
        <v>115545618.77501957</v>
      </c>
      <c r="B564">
        <v>245148155.91887379</v>
      </c>
    </row>
    <row r="565" spans="1:2" x14ac:dyDescent="0.25">
      <c r="A565">
        <f ca="1">29425.0896866293*(RANDBETWEEN(2890,3282))</f>
        <v>86097812.423077509</v>
      </c>
      <c r="B565">
        <v>229746640.87702361</v>
      </c>
    </row>
    <row r="566" spans="1:2" x14ac:dyDescent="0.25">
      <c r="A566">
        <f ca="1">34792.602724209*(RANDBETWEEN(2890,3282))</f>
        <v>101072510.91382714</v>
      </c>
      <c r="B566">
        <v>215340659.7926749</v>
      </c>
    </row>
    <row r="567" spans="1:2" x14ac:dyDescent="0.25">
      <c r="A567">
        <f ca="1">38465.2164143102*(RANDBETWEEN(2890,3282))</f>
        <v>119896079.56340477</v>
      </c>
      <c r="B567">
        <v>230330751.72263637</v>
      </c>
    </row>
    <row r="568" spans="1:2" x14ac:dyDescent="0.25">
      <c r="A568">
        <f ca="1">41397.6359584339*(RANDBETWEEN(2890,3282))</f>
        <v>123240762.24825777</v>
      </c>
      <c r="B568">
        <v>249457436.21224031</v>
      </c>
    </row>
    <row r="569" spans="1:2" x14ac:dyDescent="0.25">
      <c r="A569">
        <f ca="1">30647.6720142964*(RANDBETWEEN(2890,3282))</f>
        <v>95773975.044676393</v>
      </c>
      <c r="B569">
        <v>203830192.19973174</v>
      </c>
    </row>
    <row r="570" spans="1:2" x14ac:dyDescent="0.25">
      <c r="A570">
        <f ca="1">28958.3194378257*(RANDBETWEEN(2890,3282))</f>
        <v>90668498.159832388</v>
      </c>
      <c r="B570">
        <v>249227340.74489138</v>
      </c>
    </row>
    <row r="571" spans="1:2" x14ac:dyDescent="0.25">
      <c r="A571">
        <f ca="1">39178.7861429453*(RANDBETWEEN(2890,3282))</f>
        <v>115930028.19697526</v>
      </c>
      <c r="B571">
        <v>266383849.43080112</v>
      </c>
    </row>
    <row r="572" spans="1:2" x14ac:dyDescent="0.25">
      <c r="A572">
        <f ca="1">34248.5365605884*(RANDBETWEEN(2890,3282))</f>
        <v>106410203.09374802</v>
      </c>
      <c r="B572">
        <v>225700079.14392525</v>
      </c>
    </row>
    <row r="573" spans="1:2" x14ac:dyDescent="0.25">
      <c r="A573">
        <f ca="1">30771.1546517286*(RANDBETWEEN(2890,3282))</f>
        <v>91698040.862151116</v>
      </c>
      <c r="B573">
        <v>237099112.4721238</v>
      </c>
    </row>
    <row r="574" spans="1:2" x14ac:dyDescent="0.25">
      <c r="A574">
        <f ca="1">39721.5832995135*(RANDBETWEEN(2890,3282))</f>
        <v>124765493.1437719</v>
      </c>
      <c r="B574">
        <v>227828912.24441594</v>
      </c>
    </row>
    <row r="575" spans="1:2" x14ac:dyDescent="0.25">
      <c r="A575">
        <f ca="1">33368.3860386394*(RANDBETWEEN(2890,3282))</f>
        <v>105911257.28664151</v>
      </c>
      <c r="B575">
        <v>231253845.88955656</v>
      </c>
    </row>
    <row r="576" spans="1:2" x14ac:dyDescent="0.25">
      <c r="A576">
        <f ca="1">32669.713682189*(RANDBETWEEN(2890,3282))</f>
        <v>98662535.320210829</v>
      </c>
      <c r="B576">
        <v>237286989.3600038</v>
      </c>
    </row>
    <row r="577" spans="1:2" x14ac:dyDescent="0.25">
      <c r="A577">
        <f ca="1">36376.7591216243*(RANDBETWEEN(2890,3282))</f>
        <v>117606062.2402114</v>
      </c>
      <c r="B577">
        <v>217301248.15285891</v>
      </c>
    </row>
    <row r="578" spans="1:2" x14ac:dyDescent="0.25">
      <c r="A578">
        <f ca="1">36955.4820920044*(RANDBETWEEN(2890,3282))</f>
        <v>115744569.91215788</v>
      </c>
      <c r="B578">
        <v>236640383.05002058</v>
      </c>
    </row>
    <row r="579" spans="1:2" x14ac:dyDescent="0.25">
      <c r="A579">
        <f ca="1">36018.363690109*(RANDBETWEEN(2890,3282))</f>
        <v>112845533.44111139</v>
      </c>
      <c r="B579">
        <v>237909617.06040531</v>
      </c>
    </row>
    <row r="580" spans="1:2" x14ac:dyDescent="0.25">
      <c r="A580">
        <f ca="1">30679.5428167494*(RANDBETWEEN(2890,3282))</f>
        <v>96548521.244310468</v>
      </c>
      <c r="B580">
        <v>229372536.24191913</v>
      </c>
    </row>
    <row r="581" spans="1:2" x14ac:dyDescent="0.25">
      <c r="A581">
        <f ca="1">30346.2696748733*(RANDBETWEEN(2890,3282))</f>
        <v>94407244.958530724</v>
      </c>
      <c r="B581">
        <v>241964106.20176435</v>
      </c>
    </row>
    <row r="582" spans="1:2" x14ac:dyDescent="0.25">
      <c r="A582">
        <f ca="1">30138.0466056223*(RANDBETWEEN(2890,3282))</f>
        <v>94934846.807710186</v>
      </c>
      <c r="B582">
        <v>217624681.31282702</v>
      </c>
    </row>
    <row r="583" spans="1:2" x14ac:dyDescent="0.25">
      <c r="A583">
        <f ca="1">31134.4788043813*(RANDBETWEEN(2890,3282))</f>
        <v>90757005.714771628</v>
      </c>
      <c r="B583">
        <v>249979369.55942136</v>
      </c>
    </row>
    <row r="584" spans="1:2" x14ac:dyDescent="0.25">
      <c r="A584">
        <f ca="1">37906.1292783189*(RANDBETWEEN(2890,3282))</f>
        <v>111595644.5953708</v>
      </c>
      <c r="B584">
        <v>213047900.84367031</v>
      </c>
    </row>
    <row r="585" spans="1:2" x14ac:dyDescent="0.25">
      <c r="A585">
        <f ca="1">39269.8599813871*(RANDBETWEEN(2890,3282))</f>
        <v>125977710.82028984</v>
      </c>
      <c r="B585">
        <v>238517371.80599493</v>
      </c>
    </row>
    <row r="586" spans="1:2" x14ac:dyDescent="0.25">
      <c r="A586">
        <f ca="1">36391.3836827732*(RANDBETWEEN(2890,3282))</f>
        <v>109356107.96673332</v>
      </c>
      <c r="B586">
        <v>211262916.25693429</v>
      </c>
    </row>
    <row r="587" spans="1:2" x14ac:dyDescent="0.25">
      <c r="A587">
        <f ca="1">32542.7599863767*(RANDBETWEEN(2890,3282))</f>
        <v>96456740.599620581</v>
      </c>
      <c r="B587">
        <v>267638753.2283856</v>
      </c>
    </row>
    <row r="588" spans="1:2" x14ac:dyDescent="0.25">
      <c r="A588">
        <f ca="1">31607.9329158876*(RANDBETWEEN(2890,3282))</f>
        <v>93243402.101868466</v>
      </c>
      <c r="B588">
        <v>252244023.19327337</v>
      </c>
    </row>
    <row r="589" spans="1:2" x14ac:dyDescent="0.25">
      <c r="A589">
        <f ca="1">40760.7630975882*(RANDBETWEEN(2890,3282))</f>
        <v>126154561.78703557</v>
      </c>
      <c r="B589">
        <v>233447381.91425014</v>
      </c>
    </row>
    <row r="590" spans="1:2" x14ac:dyDescent="0.25">
      <c r="A590">
        <f ca="1">39000.0302940696*(RANDBETWEEN(2890,3282))</f>
        <v>114192088.70103584</v>
      </c>
      <c r="B590">
        <v>257921568.73041606</v>
      </c>
    </row>
    <row r="591" spans="1:2" x14ac:dyDescent="0.25">
      <c r="A591">
        <f ca="1">38614.5645775396*(RANDBETWEEN(2890,3282))</f>
        <v>111982237.27486496</v>
      </c>
      <c r="B591">
        <v>226823170.8858065</v>
      </c>
    </row>
    <row r="592" spans="1:2" x14ac:dyDescent="0.25">
      <c r="A592">
        <f ca="1">34242.8853391834*(RANDBETWEEN(2890,3282))</f>
        <v>110775734.07225832</v>
      </c>
      <c r="B592">
        <v>246216220.34303373</v>
      </c>
    </row>
    <row r="593" spans="1:2" x14ac:dyDescent="0.25">
      <c r="A593">
        <f ca="1">30734.4450854265*(RANDBETWEEN(2890,3282))</f>
        <v>93924464.181063503</v>
      </c>
      <c r="B593">
        <v>254720969.46276516</v>
      </c>
    </row>
    <row r="594" spans="1:2" x14ac:dyDescent="0.25">
      <c r="A594">
        <f ca="1">34370.4921996323*(RANDBETWEEN(2890,3282))</f>
        <v>100877394.60592066</v>
      </c>
      <c r="B594">
        <v>235790708.36687016</v>
      </c>
    </row>
    <row r="595" spans="1:2" x14ac:dyDescent="0.25">
      <c r="A595">
        <f ca="1">32009.1324952654*(RANDBETWEEN(2890,3282))</f>
        <v>104765890.65700381</v>
      </c>
      <c r="B595">
        <v>217972037.21265021</v>
      </c>
    </row>
    <row r="596" spans="1:2" x14ac:dyDescent="0.25">
      <c r="A596">
        <f ca="1">30117.8065046281*(RANDBETWEEN(2890,3282))</f>
        <v>90323301.707379788</v>
      </c>
      <c r="B596">
        <v>222497335.21502814</v>
      </c>
    </row>
    <row r="597" spans="1:2" x14ac:dyDescent="0.25">
      <c r="A597">
        <f ca="1">34239.8623870127*(RANDBETWEEN(2890,3282))</f>
        <v>106383252.4364486</v>
      </c>
      <c r="B597">
        <v>210917977.52430615</v>
      </c>
    </row>
    <row r="598" spans="1:2" x14ac:dyDescent="0.25">
      <c r="A598">
        <f ca="1">32860.0899904659*(RANDBETWEEN(2890,3282))</f>
        <v>102852081.67015834</v>
      </c>
      <c r="B598">
        <v>250577795.68504497</v>
      </c>
    </row>
    <row r="599" spans="1:2" x14ac:dyDescent="0.25">
      <c r="A599">
        <f ca="1">33313.6245807584*(RANDBETWEEN(2890,3282))</f>
        <v>104038449.56570834</v>
      </c>
      <c r="B599">
        <v>254390348.25939563</v>
      </c>
    </row>
    <row r="600" spans="1:2" x14ac:dyDescent="0.25">
      <c r="A600">
        <f ca="1">34373.7663263301*(RANDBETWEEN(2890,3282))</f>
        <v>104427502.09939095</v>
      </c>
      <c r="B600">
        <v>244151024.55442038</v>
      </c>
    </row>
    <row r="601" spans="1:2" x14ac:dyDescent="0.25">
      <c r="A601">
        <f ca="1">29396.7429554435*(RANDBETWEEN(2890,3282))</f>
        <v>86455821.031959429</v>
      </c>
      <c r="B601">
        <v>245365760.37089121</v>
      </c>
    </row>
    <row r="602" spans="1:2" x14ac:dyDescent="0.25">
      <c r="A602">
        <f ca="1">40511.1988074625*(RANDBETWEEN(2890,3282))</f>
        <v>126354429.08047581</v>
      </c>
      <c r="B602">
        <v>224456863.32503137</v>
      </c>
    </row>
    <row r="603" spans="1:2" x14ac:dyDescent="0.25">
      <c r="A603">
        <f ca="1">30529.5695976794*(RANDBETWEEN(2890,3282))</f>
        <v>93023598.564129218</v>
      </c>
      <c r="B603">
        <v>254777482.73187286</v>
      </c>
    </row>
    <row r="604" spans="1:2" x14ac:dyDescent="0.25">
      <c r="A604">
        <f ca="1">32843.1301155444*(RANDBETWEEN(2890,3282))</f>
        <v>102470565.96049868</v>
      </c>
      <c r="B604">
        <v>232318210.3117235</v>
      </c>
    </row>
    <row r="605" spans="1:2" x14ac:dyDescent="0.25">
      <c r="A605">
        <f ca="1">41459.514247725*(RANDBETWEEN(2890,3282))</f>
        <v>119817996.17592524</v>
      </c>
      <c r="B605">
        <v>217103533.18991432</v>
      </c>
    </row>
    <row r="606" spans="1:2" x14ac:dyDescent="0.25">
      <c r="A606">
        <f ca="1">31219.826856708*(RANDBETWEEN(2890,3282))</f>
        <v>98529773.55977045</v>
      </c>
      <c r="B606">
        <v>227403133.12530339</v>
      </c>
    </row>
    <row r="607" spans="1:2" x14ac:dyDescent="0.25">
      <c r="A607">
        <f ca="1">34470.3933356968*(RANDBETWEEN(2890,3282))</f>
        <v>103480120.7937617</v>
      </c>
      <c r="B607">
        <v>206709059.83617657</v>
      </c>
    </row>
    <row r="608" spans="1:2" x14ac:dyDescent="0.25">
      <c r="A608">
        <f ca="1">32348.9465120401*(RANDBETWEEN(2890,3282))</f>
        <v>98146703.71752961</v>
      </c>
      <c r="B608">
        <v>217130545.82546797</v>
      </c>
    </row>
    <row r="609" spans="1:2" x14ac:dyDescent="0.25">
      <c r="A609">
        <f ca="1">32429.5199777855*(RANDBETWEEN(2890,3282))</f>
        <v>95958949.61426717</v>
      </c>
      <c r="B609">
        <v>223097683.56261274</v>
      </c>
    </row>
    <row r="610" spans="1:2" x14ac:dyDescent="0.25">
      <c r="A610">
        <f ca="1">36636.9304760934*(RANDBETWEEN(2890,3282))</f>
        <v>116688623.56635763</v>
      </c>
      <c r="B610">
        <v>235438471.46507302</v>
      </c>
    </row>
    <row r="611" spans="1:2" x14ac:dyDescent="0.25">
      <c r="A611">
        <f ca="1">30400.432299663*(RANDBETWEEN(2890,3282))</f>
        <v>88130853.23672305</v>
      </c>
      <c r="B611">
        <v>212251896.60755539</v>
      </c>
    </row>
    <row r="612" spans="1:2" x14ac:dyDescent="0.25">
      <c r="A612">
        <f ca="1">36398.6374460225*(RANDBETWEEN(2890,3282))</f>
        <v>112107803.33374959</v>
      </c>
      <c r="B612">
        <v>210477927.82951996</v>
      </c>
    </row>
    <row r="613" spans="1:2" x14ac:dyDescent="0.25">
      <c r="A613">
        <f ca="1">35299.5419823764*(RANDBETWEEN(2890,3282))</f>
        <v>108263695.25994839</v>
      </c>
      <c r="B613">
        <v>206248581.66449267</v>
      </c>
    </row>
    <row r="614" spans="1:2" x14ac:dyDescent="0.25">
      <c r="A614">
        <f ca="1">37516.5450902938*(RANDBETWEEN(2890,3282))</f>
        <v>110336159.11055417</v>
      </c>
      <c r="B614">
        <v>265731679.72667527</v>
      </c>
    </row>
    <row r="615" spans="1:2" x14ac:dyDescent="0.25">
      <c r="A615">
        <f ca="1">38708.1253108832*(RANDBETWEEN(2890,3282))</f>
        <v>114847007.79739055</v>
      </c>
      <c r="B615">
        <v>255756185.63364726</v>
      </c>
    </row>
    <row r="616" spans="1:2" x14ac:dyDescent="0.25">
      <c r="A616">
        <f ca="1">29371.1171596323*(RANDBETWEEN(2890,3282))</f>
        <v>95808584.174720466</v>
      </c>
      <c r="B616">
        <v>250846829.10220677</v>
      </c>
    </row>
    <row r="617" spans="1:2" x14ac:dyDescent="0.25">
      <c r="A617">
        <f ca="1">34381.0110831827*(RANDBETWEEN(2890,3282))</f>
        <v>110706855.68784815</v>
      </c>
      <c r="B617">
        <v>240699159.31478441</v>
      </c>
    </row>
    <row r="618" spans="1:2" x14ac:dyDescent="0.25">
      <c r="A618">
        <f ca="1">35523.9125118478*(RANDBETWEEN(2890,3282))</f>
        <v>115523763.48852898</v>
      </c>
      <c r="B618">
        <v>258128742.66253662</v>
      </c>
    </row>
    <row r="619" spans="1:2" x14ac:dyDescent="0.25">
      <c r="A619">
        <f ca="1">39547.9598039593*(RANDBETWEEN(2890,3282))</f>
        <v>121807716.19619474</v>
      </c>
      <c r="B619">
        <v>241939861.20917213</v>
      </c>
    </row>
    <row r="620" spans="1:2" x14ac:dyDescent="0.25">
      <c r="A620">
        <f ca="1">38323.4182862267*(RANDBETWEEN(2890,3282))</f>
        <v>123593023.97308105</v>
      </c>
      <c r="B620">
        <v>217902769.86401206</v>
      </c>
    </row>
    <row r="621" spans="1:2" x14ac:dyDescent="0.25">
      <c r="A621">
        <f ca="1">31710.4905214243*(RANDBETWEEN(2890,3282))</f>
        <v>101473569.66855767</v>
      </c>
      <c r="B621">
        <v>245011716.25342578</v>
      </c>
    </row>
    <row r="622" spans="1:2" x14ac:dyDescent="0.25">
      <c r="A622">
        <f ca="1">32550.7404226479*(RANDBETWEEN(2890,3282))</f>
        <v>103836861.94824691</v>
      </c>
      <c r="B622">
        <v>226190164.53033319</v>
      </c>
    </row>
    <row r="623" spans="1:2" x14ac:dyDescent="0.25">
      <c r="A623">
        <f ca="1">32571.0956509217*(RANDBETWEEN(2890,3282))</f>
        <v>95140170.396342158</v>
      </c>
      <c r="B623">
        <v>243050783.13473961</v>
      </c>
    </row>
    <row r="624" spans="1:2" x14ac:dyDescent="0.25">
      <c r="A624">
        <f ca="1">29093.6302518373*(RANDBETWEEN(2890,3282))</f>
        <v>85884396.50342375</v>
      </c>
      <c r="B624">
        <v>220110909.60430095</v>
      </c>
    </row>
    <row r="625" spans="1:2" x14ac:dyDescent="0.25">
      <c r="A625">
        <f ca="1">36645.233039969*(RANDBETWEEN(2890,3282))</f>
        <v>112171058.33534515</v>
      </c>
      <c r="B625">
        <v>206107949.85357279</v>
      </c>
    </row>
    <row r="626" spans="1:2" x14ac:dyDescent="0.25">
      <c r="A626">
        <f ca="1">34498.7859077624*(RANDBETWEEN(2890,3282))</f>
        <v>104324328.5850735</v>
      </c>
      <c r="B626">
        <v>214758717.56276625</v>
      </c>
    </row>
    <row r="627" spans="1:2" x14ac:dyDescent="0.25">
      <c r="A627">
        <f ca="1">35166.8721338372*(RANDBETWEEN(2890,3282))</f>
        <v>104621444.5981656</v>
      </c>
      <c r="B627">
        <v>209513406.21087682</v>
      </c>
    </row>
    <row r="628" spans="1:2" x14ac:dyDescent="0.25">
      <c r="A628">
        <f ca="1">32662.4234288255*(RANDBETWEEN(2890,3282))</f>
        <v>106610150.07168657</v>
      </c>
      <c r="B628">
        <v>204683902.10498518</v>
      </c>
    </row>
    <row r="629" spans="1:2" x14ac:dyDescent="0.25">
      <c r="A629">
        <f ca="1">41417.8478977178*(RANDBETWEEN(2890,3282))</f>
        <v>121975562.05877906</v>
      </c>
      <c r="B629">
        <v>255205483.70828086</v>
      </c>
    </row>
    <row r="630" spans="1:2" x14ac:dyDescent="0.25">
      <c r="A630">
        <f ca="1">35739.1811293116*(RANDBETWEEN(2890,3282))</f>
        <v>106073889.59179689</v>
      </c>
      <c r="B630">
        <v>265151884.16830817</v>
      </c>
    </row>
    <row r="631" spans="1:2" x14ac:dyDescent="0.25">
      <c r="A631">
        <f ca="1">30062.706582972*(RANDBETWEEN(2890,3282))</f>
        <v>91210251.772736922</v>
      </c>
      <c r="B631">
        <v>218647837.54817152</v>
      </c>
    </row>
    <row r="632" spans="1:2" x14ac:dyDescent="0.25">
      <c r="A632">
        <f ca="1">39460.900383225*(RANDBETWEEN(2890,3282))</f>
        <v>125367280.5175059</v>
      </c>
      <c r="B632">
        <v>220272786.41835189</v>
      </c>
    </row>
    <row r="633" spans="1:2" x14ac:dyDescent="0.25">
      <c r="A633">
        <f ca="1">31518.1781512932*(RANDBETWEEN(2890,3282))</f>
        <v>98462788.544639945</v>
      </c>
      <c r="B633">
        <v>259026321.0488275</v>
      </c>
    </row>
    <row r="634" spans="1:2" x14ac:dyDescent="0.25">
      <c r="A634">
        <f ca="1">30785.8163254876*(RANDBETWEEN(2890,3282))</f>
        <v>96144104.384497672</v>
      </c>
      <c r="B634">
        <v>205046646.40879029</v>
      </c>
    </row>
    <row r="635" spans="1:2" x14ac:dyDescent="0.25">
      <c r="A635">
        <f ca="1">30782.2821851705*(RANDBETWEEN(2890,3282))</f>
        <v>90099739.955994159</v>
      </c>
      <c r="B635">
        <v>262277831.6229271</v>
      </c>
    </row>
    <row r="636" spans="1:2" x14ac:dyDescent="0.25">
      <c r="A636">
        <f ca="1">38506.7881189194*(RANDBETWEEN(2890,3282))</f>
        <v>123876337.3785636</v>
      </c>
      <c r="B636">
        <v>252222265.31738612</v>
      </c>
    </row>
    <row r="637" spans="1:2" x14ac:dyDescent="0.25">
      <c r="A637">
        <f ca="1">31133.1295724502*(RANDBETWEEN(2890,3282))</f>
        <v>95609840.916994676</v>
      </c>
      <c r="B637">
        <v>258977031.37498268</v>
      </c>
    </row>
    <row r="638" spans="1:2" x14ac:dyDescent="0.25">
      <c r="A638">
        <f ca="1">33528.7975377606*(RANDBETWEEN(2890,3282))</f>
        <v>106554518.57500334</v>
      </c>
      <c r="B638">
        <v>265064109.78084791</v>
      </c>
    </row>
    <row r="639" spans="1:2" x14ac:dyDescent="0.25">
      <c r="A639">
        <f ca="1">39471.862567725*(RANDBETWEEN(2890,3282))</f>
        <v>123310098.66157281</v>
      </c>
      <c r="B639">
        <v>247524751.02816653</v>
      </c>
    </row>
    <row r="640" spans="1:2" x14ac:dyDescent="0.25">
      <c r="A640">
        <f ca="1">34043.8389313862*(RANDBETWEEN(2890,3282))</f>
        <v>104786936.2308066</v>
      </c>
      <c r="B640">
        <v>230545218.92959243</v>
      </c>
    </row>
    <row r="641" spans="1:2" x14ac:dyDescent="0.25">
      <c r="A641">
        <f ca="1">34793.5943370335*(RANDBETWEEN(2890,3282))</f>
        <v>105424590.84121153</v>
      </c>
      <c r="B641">
        <v>240985514.10156518</v>
      </c>
    </row>
    <row r="642" spans="1:2" x14ac:dyDescent="0.25">
      <c r="A642">
        <f ca="1">38204.3503402999*(RANDBETWEEN(2890,3282))</f>
        <v>111365681.24197407</v>
      </c>
      <c r="B642">
        <v>209152408.96426281</v>
      </c>
    </row>
    <row r="643" spans="1:2" x14ac:dyDescent="0.25">
      <c r="A643">
        <f ca="1">32867.36415941*(RANDBETWEEN(2890,3282))</f>
        <v>104321013.8419674</v>
      </c>
      <c r="B643">
        <v>229707849.52847892</v>
      </c>
    </row>
    <row r="644" spans="1:2" x14ac:dyDescent="0.25">
      <c r="A644">
        <f ca="1">40968.7771196154*(RANDBETWEEN(2890,3282))</f>
        <v>122127924.59357339</v>
      </c>
      <c r="B644">
        <v>213102075.19835201</v>
      </c>
    </row>
    <row r="645" spans="1:2" x14ac:dyDescent="0.25">
      <c r="A645">
        <f ca="1">30220.5564943345*(RANDBETWEEN(2890,3282))</f>
        <v>96584898.555893049</v>
      </c>
      <c r="B645">
        <v>228024015.05248973</v>
      </c>
    </row>
    <row r="646" spans="1:2" x14ac:dyDescent="0.25">
      <c r="A646">
        <f ca="1">34865.4222704957*(RANDBETWEEN(2890,3282))</f>
        <v>103410842.45429035</v>
      </c>
      <c r="B646">
        <v>229667115.59395522</v>
      </c>
    </row>
    <row r="647" spans="1:2" x14ac:dyDescent="0.25">
      <c r="A647">
        <f ca="1">30397.2972146059*(RANDBETWEEN(2890,3282))</f>
        <v>97575324.058884963</v>
      </c>
      <c r="B647">
        <v>215096890.90332574</v>
      </c>
    </row>
    <row r="648" spans="1:2" x14ac:dyDescent="0.25">
      <c r="A648">
        <f ca="1">31491.4565471968*(RANDBETWEEN(2890,3282))</f>
        <v>100615203.66829371</v>
      </c>
      <c r="B648">
        <v>211241156.32696187</v>
      </c>
    </row>
    <row r="649" spans="1:2" x14ac:dyDescent="0.25">
      <c r="A649">
        <f ca="1">30122.9829127566*(RANDBETWEEN(2890,3282))</f>
        <v>93290878.08080709</v>
      </c>
      <c r="B649">
        <v>215586024.37423033</v>
      </c>
    </row>
    <row r="650" spans="1:2" x14ac:dyDescent="0.25">
      <c r="A650">
        <f ca="1">29997.7035750702*(RANDBETWEEN(2890,3282))</f>
        <v>95902658.329499483</v>
      </c>
      <c r="B650">
        <v>220802584.78083569</v>
      </c>
    </row>
    <row r="651" spans="1:2" x14ac:dyDescent="0.25">
      <c r="A651">
        <f ca="1">31714.1724229*(RANDBETWEEN(2890,3282))</f>
        <v>96506226.682884663</v>
      </c>
      <c r="B651">
        <v>252146446.63016576</v>
      </c>
    </row>
    <row r="652" spans="1:2" x14ac:dyDescent="0.25">
      <c r="A652">
        <f ca="1">35188.1152323133*(RANDBETWEEN(2890,3282))</f>
        <v>101939969.82801156</v>
      </c>
      <c r="B652">
        <v>239767739.49015945</v>
      </c>
    </row>
    <row r="653" spans="1:2" x14ac:dyDescent="0.25">
      <c r="A653">
        <f ca="1">31024.6045514373*(RANDBETWEEN(2890,3282))</f>
        <v>99309759.169150651</v>
      </c>
      <c r="B653">
        <v>206730416.53814626</v>
      </c>
    </row>
    <row r="654" spans="1:2" x14ac:dyDescent="0.25">
      <c r="A654">
        <f ca="1">40660.2279230355*(RANDBETWEEN(2890,3282))</f>
        <v>119500409.86580139</v>
      </c>
      <c r="B654">
        <v>252850354.24000221</v>
      </c>
    </row>
    <row r="655" spans="1:2" x14ac:dyDescent="0.25">
      <c r="A655">
        <f ca="1">33752.88272896*(RANDBETWEEN(2890,3282))</f>
        <v>100043544.40863751</v>
      </c>
      <c r="B655">
        <v>215129737.49802417</v>
      </c>
    </row>
    <row r="656" spans="1:2" x14ac:dyDescent="0.25">
      <c r="A656">
        <f ca="1">35272.4110893615*(RANDBETWEEN(2890,3282))</f>
        <v>107439764.17819513</v>
      </c>
      <c r="B656">
        <v>235754669.65781838</v>
      </c>
    </row>
    <row r="657" spans="1:2" x14ac:dyDescent="0.25">
      <c r="A657">
        <f ca="1">32365.5108627865*(RANDBETWEEN(2890,3282))</f>
        <v>104249310.48903532</v>
      </c>
      <c r="B657">
        <v>211825174.25068122</v>
      </c>
    </row>
    <row r="658" spans="1:2" x14ac:dyDescent="0.25">
      <c r="A658">
        <f ca="1">40785.4668044378*(RANDBETWEEN(2890,3282))</f>
        <v>128351864.03356582</v>
      </c>
      <c r="B658">
        <v>216523321.45187187</v>
      </c>
    </row>
    <row r="659" spans="1:2" x14ac:dyDescent="0.25">
      <c r="A659">
        <f ca="1">35155.2790253387*(RANDBETWEEN(2890,3282))</f>
        <v>106415029.60970022</v>
      </c>
      <c r="B659">
        <v>213804896.72551987</v>
      </c>
    </row>
    <row r="660" spans="1:2" x14ac:dyDescent="0.25">
      <c r="A660">
        <f ca="1">33518.9010167258*(RANDBETWEEN(2890,3282))</f>
        <v>104344338.86506742</v>
      </c>
      <c r="B660">
        <v>215683891.47581935</v>
      </c>
    </row>
    <row r="661" spans="1:2" x14ac:dyDescent="0.25">
      <c r="A661">
        <f ca="1">28874.9229933105*(RANDBETWEEN(2890,3282))</f>
        <v>87895265.59163706</v>
      </c>
      <c r="B661">
        <v>203783836.10117954</v>
      </c>
    </row>
    <row r="662" spans="1:2" x14ac:dyDescent="0.25">
      <c r="A662">
        <f ca="1">39020.2647457106*(RANDBETWEEN(2890,3282))</f>
        <v>113666031.20425506</v>
      </c>
      <c r="B662">
        <v>260403262.11494711</v>
      </c>
    </row>
    <row r="663" spans="1:2" x14ac:dyDescent="0.25">
      <c r="A663">
        <f ca="1">31298.9752202959*(RANDBETWEEN(2890,3282))</f>
        <v>100845298.15979339</v>
      </c>
      <c r="B663">
        <v>241529306.8099308</v>
      </c>
    </row>
    <row r="664" spans="1:2" x14ac:dyDescent="0.25">
      <c r="A664">
        <f ca="1">29114.6749757884*(RANDBETWEEN(2890,3282))</f>
        <v>95117643.145900771</v>
      </c>
      <c r="B664">
        <v>249331065.82188737</v>
      </c>
    </row>
    <row r="665" spans="1:2" x14ac:dyDescent="0.25">
      <c r="A665">
        <f ca="1">34541.4197052801*(RANDBETWEEN(2890,3282))</f>
        <v>103106137.82026115</v>
      </c>
      <c r="B665">
        <v>251497888.79922482</v>
      </c>
    </row>
    <row r="666" spans="1:2" x14ac:dyDescent="0.25">
      <c r="A666">
        <f ca="1">41829.4215316574*(RANDBETWEEN(2890,3282))</f>
        <v>123396793.51838933</v>
      </c>
      <c r="B666">
        <v>266941014.86238763</v>
      </c>
    </row>
    <row r="667" spans="1:2" x14ac:dyDescent="0.25">
      <c r="A667">
        <f ca="1">39659.4001741541*(RANDBETWEEN(2890,3282))</f>
        <v>129924194.9705289</v>
      </c>
      <c r="B667">
        <v>256203725.33219174</v>
      </c>
    </row>
    <row r="668" spans="1:2" x14ac:dyDescent="0.25">
      <c r="A668">
        <f ca="1">39144.2083058742*(RANDBETWEEN(2890,3282))</f>
        <v>124635159.24590357</v>
      </c>
      <c r="B668">
        <v>244283509.66673148</v>
      </c>
    </row>
    <row r="669" spans="1:2" x14ac:dyDescent="0.25">
      <c r="A669">
        <f ca="1">33356.6709434225*(RANDBETWEEN(2890,3282))</f>
        <v>96534205.710264757</v>
      </c>
      <c r="B669">
        <v>229330014.41761401</v>
      </c>
    </row>
    <row r="670" spans="1:2" x14ac:dyDescent="0.25">
      <c r="A670">
        <f ca="1">35159.6781447958*(RANDBETWEEN(2890,3282))</f>
        <v>113530600.72954552</v>
      </c>
      <c r="B670">
        <v>245922265.07580125</v>
      </c>
    </row>
    <row r="671" spans="1:2" x14ac:dyDescent="0.25">
      <c r="A671">
        <f ca="1">31326.9425374953*(RANDBETWEEN(2890,3282))</f>
        <v>91036095.013961226</v>
      </c>
      <c r="B671">
        <v>211308587.5516662</v>
      </c>
    </row>
    <row r="672" spans="1:2" x14ac:dyDescent="0.25">
      <c r="A672">
        <f ca="1">31307.1951515691*(RANDBETWEEN(2890,3282))</f>
        <v>101216161.925023</v>
      </c>
      <c r="B672">
        <v>225235387.32778099</v>
      </c>
    </row>
    <row r="673" spans="1:2" x14ac:dyDescent="0.25">
      <c r="A673">
        <f ca="1">41110.8208350706*(RANDBETWEEN(2890,3282))</f>
        <v>120249150.94258149</v>
      </c>
      <c r="B673">
        <v>222931616.81800517</v>
      </c>
    </row>
    <row r="674" spans="1:2" x14ac:dyDescent="0.25">
      <c r="A674">
        <f ca="1">31572.9660661407*(RANDBETWEEN(2890,3282))</f>
        <v>98444508.194226786</v>
      </c>
      <c r="B674">
        <v>238995404.32674536</v>
      </c>
    </row>
    <row r="675" spans="1:2" x14ac:dyDescent="0.25">
      <c r="A675">
        <f ca="1">35904.8733895064*(RANDBETWEEN(2890,3282))</f>
        <v>113603019.40439832</v>
      </c>
      <c r="B675">
        <v>238744750.08180624</v>
      </c>
    </row>
    <row r="676" spans="1:2" x14ac:dyDescent="0.25">
      <c r="A676">
        <f ca="1">29479.9995332129*(RANDBETWEEN(2890,3282))</f>
        <v>91270078.554827005</v>
      </c>
      <c r="B676">
        <v>246081927.09293982</v>
      </c>
    </row>
    <row r="677" spans="1:2" x14ac:dyDescent="0.25">
      <c r="A677">
        <f ca="1">36412.5607050019*(RANDBETWEEN(2890,3282))</f>
        <v>107526291.76187058</v>
      </c>
      <c r="B677">
        <v>253286458.39128935</v>
      </c>
    </row>
    <row r="678" spans="1:2" x14ac:dyDescent="0.25">
      <c r="A678">
        <f ca="1">32544.605717975*(RANDBETWEEN(2890,3282))</f>
        <v>105542156.34339303</v>
      </c>
      <c r="B678">
        <v>218637640.16987756</v>
      </c>
    </row>
    <row r="679" spans="1:2" x14ac:dyDescent="0.25">
      <c r="A679">
        <f ca="1">39169.2248670959*(RANDBETWEEN(2890,3282))</f>
        <v>127809180.74133393</v>
      </c>
      <c r="B679">
        <v>242501104.75695813</v>
      </c>
    </row>
    <row r="680" spans="1:2" x14ac:dyDescent="0.25">
      <c r="A680">
        <f ca="1">33787.2860640401*(RANDBETWEEN(2890,3282))</f>
        <v>98625088.020933166</v>
      </c>
      <c r="B680">
        <v>244212652.37325719</v>
      </c>
    </row>
    <row r="681" spans="1:2" x14ac:dyDescent="0.25">
      <c r="A681">
        <f ca="1">41683.3473102452*(RANDBETWEEN(2890,3282))</f>
        <v>128176292.97900388</v>
      </c>
      <c r="B681">
        <v>249183683.48610315</v>
      </c>
    </row>
    <row r="682" spans="1:2" x14ac:dyDescent="0.25">
      <c r="A682">
        <f ca="1">32214.1873690596*(RANDBETWEEN(2890,3282))</f>
        <v>104212896.13890788</v>
      </c>
      <c r="B682">
        <v>210552936.8866592</v>
      </c>
    </row>
    <row r="683" spans="1:2" x14ac:dyDescent="0.25">
      <c r="A683">
        <f ca="1">32545.1804942*(RANDBETWEEN(2890,3282))</f>
        <v>103200767.3471083</v>
      </c>
      <c r="B683">
        <v>260148946.00541896</v>
      </c>
    </row>
    <row r="684" spans="1:2" x14ac:dyDescent="0.25">
      <c r="A684">
        <f ca="1">33237.6152646562*(RANDBETWEEN(2890,3282))</f>
        <v>108155200.07119139</v>
      </c>
      <c r="B684">
        <v>256262249.70867169</v>
      </c>
    </row>
    <row r="685" spans="1:2" x14ac:dyDescent="0.25">
      <c r="A685">
        <f ca="1">31305.2168479781*(RANDBETWEEN(2890,3282))</f>
        <v>92913883.604799062</v>
      </c>
      <c r="B685">
        <v>227345712.27869654</v>
      </c>
    </row>
    <row r="686" spans="1:2" x14ac:dyDescent="0.25">
      <c r="A686">
        <f ca="1">33711.6500428046*(RANDBETWEEN(2890,3282))</f>
        <v>109933690.78958592</v>
      </c>
      <c r="B686">
        <v>209704216.47081807</v>
      </c>
    </row>
    <row r="687" spans="1:2" x14ac:dyDescent="0.25">
      <c r="A687">
        <f ca="1">30804.6688261841*(RANDBETWEEN(2890,3282))</f>
        <v>91274233.731983587</v>
      </c>
      <c r="B687">
        <v>242206899.86553106</v>
      </c>
    </row>
    <row r="688" spans="1:2" x14ac:dyDescent="0.25">
      <c r="A688">
        <f ca="1">38837.3409876842*(RANDBETWEEN(2890,3282))</f>
        <v>117482956.48774463</v>
      </c>
      <c r="B688">
        <v>231387235.24291316</v>
      </c>
    </row>
    <row r="689" spans="1:2" x14ac:dyDescent="0.25">
      <c r="A689">
        <f ca="1">31205.3076890664*(RANDBETWEEN(2890,3282))</f>
        <v>96018731.759257287</v>
      </c>
      <c r="B689">
        <v>204294317.38275337</v>
      </c>
    </row>
    <row r="690" spans="1:2" x14ac:dyDescent="0.25">
      <c r="A690">
        <f ca="1">33499.8679550891*(RANDBETWEEN(2890,3282))</f>
        <v>100399104.26140207</v>
      </c>
      <c r="B690">
        <v>263318649.03431022</v>
      </c>
    </row>
    <row r="691" spans="1:2" x14ac:dyDescent="0.25">
      <c r="A691">
        <f ca="1">31950.5566684548*(RANDBETWEEN(2890,3282))</f>
        <v>96330928.355391115</v>
      </c>
      <c r="B691">
        <v>228157446.81594104</v>
      </c>
    </row>
    <row r="692" spans="1:2" x14ac:dyDescent="0.25">
      <c r="A692">
        <f ca="1">29800.3797882267*(RANDBETWEEN(2890,3282))</f>
        <v>86987308.601833835</v>
      </c>
      <c r="B692">
        <v>207610973.6304419</v>
      </c>
    </row>
    <row r="693" spans="1:2" x14ac:dyDescent="0.25">
      <c r="A693">
        <f ca="1">35604.2318605018*(RANDBETWEEN(2890,3282))</f>
        <v>114823647.75011824</v>
      </c>
      <c r="B693">
        <v>207655766.36005989</v>
      </c>
    </row>
    <row r="694" spans="1:2" x14ac:dyDescent="0.25">
      <c r="A694">
        <f ca="1">39646.0227441886*(RANDBETWEEN(2890,3282))</f>
        <v>117312581.30005401</v>
      </c>
      <c r="B694">
        <v>246145328.18305928</v>
      </c>
    </row>
    <row r="695" spans="1:2" x14ac:dyDescent="0.25">
      <c r="A695">
        <f ca="1">30701.9936339051*(RANDBETWEEN(2890,3282))</f>
        <v>92934934.729830652</v>
      </c>
      <c r="B695">
        <v>206797288.91362622</v>
      </c>
    </row>
    <row r="696" spans="1:2" x14ac:dyDescent="0.25">
      <c r="A696">
        <f ca="1">30105.9926563943*(RANDBETWEEN(2890,3282))</f>
        <v>97001508.338902444</v>
      </c>
      <c r="B696">
        <v>214054461.98441935</v>
      </c>
    </row>
    <row r="697" spans="1:2" x14ac:dyDescent="0.25">
      <c r="A697">
        <f ca="1">32414.5835008014*(RANDBETWEEN(2890,3282))</f>
        <v>103791496.36956614</v>
      </c>
      <c r="B697">
        <v>244241562.969302</v>
      </c>
    </row>
    <row r="698" spans="1:2" x14ac:dyDescent="0.25">
      <c r="A698">
        <f ca="1">39595.1383854776*(RANDBETWEEN(2890,3282))</f>
        <v>122111406.78081283</v>
      </c>
      <c r="B698">
        <v>214656074.56795138</v>
      </c>
    </row>
    <row r="699" spans="1:2" x14ac:dyDescent="0.25">
      <c r="A699">
        <f ca="1">31011.0346445861*(RANDBETWEEN(2890,3282))</f>
        <v>98956211.550874248</v>
      </c>
      <c r="B699">
        <v>245256251.95659426</v>
      </c>
    </row>
    <row r="700" spans="1:2" x14ac:dyDescent="0.25">
      <c r="A700">
        <f ca="1">33152.9634500715*(RANDBETWEEN(2890,3282))</f>
        <v>96176746.968657479</v>
      </c>
      <c r="B700">
        <v>228032308.58707535</v>
      </c>
    </row>
    <row r="701" spans="1:2" x14ac:dyDescent="0.25">
      <c r="A701">
        <f ca="1">39939.5661725845*(RANDBETWEEN(2890,3282))</f>
        <v>127527034.78906226</v>
      </c>
      <c r="B701">
        <v>233276139.14631867</v>
      </c>
    </row>
    <row r="702" spans="1:2" x14ac:dyDescent="0.25">
      <c r="A702">
        <f ca="1">39389.0534347453*(RANDBETWEEN(2890,3282))</f>
        <v>114503978.33480451</v>
      </c>
      <c r="B702">
        <v>227284046.24292207</v>
      </c>
    </row>
    <row r="703" spans="1:2" x14ac:dyDescent="0.25">
      <c r="A703">
        <f ca="1">30456.2564333966*(RANDBETWEEN(2890,3282))</f>
        <v>98769639.613505244</v>
      </c>
      <c r="B703">
        <v>225691196.89658594</v>
      </c>
    </row>
    <row r="704" spans="1:2" x14ac:dyDescent="0.25">
      <c r="A704">
        <f ca="1">36732.1315430885*(RANDBETWEEN(2890,3282))</f>
        <v>109498484.12994695</v>
      </c>
      <c r="B704">
        <v>210522588.58756405</v>
      </c>
    </row>
    <row r="705" spans="1:2" x14ac:dyDescent="0.25">
      <c r="A705">
        <f ca="1">36173.3513981739*(RANDBETWEEN(2890,3282))</f>
        <v>107471027.00397471</v>
      </c>
      <c r="B705">
        <v>244502455.33122942</v>
      </c>
    </row>
    <row r="706" spans="1:2" x14ac:dyDescent="0.25">
      <c r="A706">
        <f ca="1">35014.7872758775*(RANDBETWEEN(2890,3282))</f>
        <v>109876402.47170365</v>
      </c>
      <c r="B706">
        <v>211255467.76391485</v>
      </c>
    </row>
    <row r="707" spans="1:2" x14ac:dyDescent="0.25">
      <c r="A707">
        <f ca="1">32567.11591975*(RANDBETWEEN(2890,3282))</f>
        <v>105582589.81182951</v>
      </c>
      <c r="B707">
        <v>249218115.09949735</v>
      </c>
    </row>
    <row r="708" spans="1:2" x14ac:dyDescent="0.25">
      <c r="A708">
        <f ca="1">32791.468864792*(RANDBETWEEN(2890,3282))</f>
        <v>99620482.411238179</v>
      </c>
      <c r="B708">
        <v>226822411.47338337</v>
      </c>
    </row>
    <row r="709" spans="1:2" x14ac:dyDescent="0.25">
      <c r="A709">
        <f ca="1">30422.0532324869*(RANDBETWEEN(2890,3282))</f>
        <v>97137615.971330822</v>
      </c>
      <c r="B709">
        <v>264308142.75829983</v>
      </c>
    </row>
    <row r="710" spans="1:2" x14ac:dyDescent="0.25">
      <c r="A710">
        <f ca="1">30546.2173793324*(RANDBETWEEN(2890,3282))</f>
        <v>90874996.703514025</v>
      </c>
      <c r="B710">
        <v>260978706.38856077</v>
      </c>
    </row>
    <row r="711" spans="1:2" x14ac:dyDescent="0.25">
      <c r="A711">
        <f ca="1">39117.1306643042*(RANDBETWEEN(2890,3282))</f>
        <v>122123681.93395765</v>
      </c>
      <c r="B711">
        <v>246997397.18173492</v>
      </c>
    </row>
    <row r="712" spans="1:2" x14ac:dyDescent="0.25">
      <c r="A712">
        <f ca="1">35649.5241830878*(RANDBETWEEN(2890,3282))</f>
        <v>104381806.80808115</v>
      </c>
      <c r="B712">
        <v>212328184.25132206</v>
      </c>
    </row>
    <row r="713" spans="1:2" x14ac:dyDescent="0.25">
      <c r="A713">
        <f ca="1">32270.3273351439*(RANDBETWEEN(2890,3282))</f>
        <v>100973854.23166542</v>
      </c>
      <c r="B713">
        <v>206906207.37469476</v>
      </c>
    </row>
    <row r="714" spans="1:2" x14ac:dyDescent="0.25">
      <c r="A714">
        <f ca="1">38032.6924364674*(RANDBETWEEN(2890,3282))</f>
        <v>118205608.09254071</v>
      </c>
      <c r="B714">
        <v>227918963.4875997</v>
      </c>
    </row>
    <row r="715" spans="1:2" x14ac:dyDescent="0.25">
      <c r="A715">
        <f ca="1">33646.1639402001*(RANDBETWEEN(2890,3282))</f>
        <v>108407940.21532466</v>
      </c>
      <c r="B715">
        <v>229197467.66008675</v>
      </c>
    </row>
    <row r="716" spans="1:2" x14ac:dyDescent="0.25">
      <c r="A716">
        <f ca="1">38312.6014381934*(RANDBETWEEN(2890,3282))</f>
        <v>116278745.36491692</v>
      </c>
      <c r="B716">
        <v>234319507.17645067</v>
      </c>
    </row>
    <row r="717" spans="1:2" x14ac:dyDescent="0.25">
      <c r="A717">
        <f ca="1">41037.3544290029*(RANDBETWEEN(2890,3282))</f>
        <v>131688870.36267033</v>
      </c>
      <c r="B717">
        <v>214487969.91757596</v>
      </c>
    </row>
    <row r="718" spans="1:2" x14ac:dyDescent="0.25">
      <c r="A718">
        <f ca="1">29903.4655163679*(RANDBETWEEN(2890,3282))</f>
        <v>92371804.980060577</v>
      </c>
      <c r="B718">
        <v>212518284.71079388</v>
      </c>
    </row>
    <row r="719" spans="1:2" x14ac:dyDescent="0.25">
      <c r="A719">
        <f ca="1">41593.4568999212*(RANDBETWEEN(2890,3282))</f>
        <v>130145926.63985352</v>
      </c>
      <c r="B719">
        <v>230293982.91335696</v>
      </c>
    </row>
    <row r="720" spans="1:2" x14ac:dyDescent="0.25">
      <c r="A720">
        <f ca="1">32284.0435418174*(RANDBETWEEN(2890,3282))</f>
        <v>93720578.40189606</v>
      </c>
      <c r="B720">
        <v>242412872.32762778</v>
      </c>
    </row>
    <row r="721" spans="1:2" x14ac:dyDescent="0.25">
      <c r="A721">
        <f ca="1">34617.8684124517*(RANDBETWEEN(2890,3282))</f>
        <v>106934595.52606314</v>
      </c>
      <c r="B721">
        <v>251331207.57852355</v>
      </c>
    </row>
    <row r="722" spans="1:2" x14ac:dyDescent="0.25">
      <c r="A722">
        <f ca="1">31895.1847082026*(RANDBETWEEN(2890,3282))</f>
        <v>93325310.456200898</v>
      </c>
      <c r="B722">
        <v>213795188.75362921</v>
      </c>
    </row>
    <row r="723" spans="1:2" x14ac:dyDescent="0.25">
      <c r="A723">
        <f ca="1">39349.3516838155*(RANDBETWEEN(2890,3282))</f>
        <v>125445733.16800369</v>
      </c>
      <c r="B723">
        <v>207734300.65099636</v>
      </c>
    </row>
    <row r="724" spans="1:2" x14ac:dyDescent="0.25">
      <c r="A724">
        <f ca="1">39087.0397359587*(RANDBETWEEN(2890,3282))</f>
        <v>126915618.02265775</v>
      </c>
      <c r="B724">
        <v>238632470.92640752</v>
      </c>
    </row>
    <row r="725" spans="1:2" x14ac:dyDescent="0.25">
      <c r="A725">
        <f ca="1">40333.8853031596*(RANDBETWEEN(2890,3282))</f>
        <v>123946029.53660943</v>
      </c>
      <c r="B725">
        <v>266435941.27455881</v>
      </c>
    </row>
    <row r="726" spans="1:2" x14ac:dyDescent="0.25">
      <c r="A726">
        <f ca="1">28796.1022685738*(RANDBETWEEN(2890,3282))</f>
        <v>87108209.362435848</v>
      </c>
      <c r="B726">
        <v>209403141.37647545</v>
      </c>
    </row>
    <row r="727" spans="1:2" x14ac:dyDescent="0.25">
      <c r="A727">
        <f ca="1">29309.1607662526*(RANDBETWEEN(2890,3282))</f>
        <v>85582749.437457606</v>
      </c>
      <c r="B727">
        <v>243630908.59967768</v>
      </c>
    </row>
    <row r="728" spans="1:2" x14ac:dyDescent="0.25">
      <c r="A728">
        <f ca="1">38613.019805898*(RANDBETWEEN(2890,3282))</f>
        <v>121901303.52721988</v>
      </c>
      <c r="B728">
        <v>254219231.22881198</v>
      </c>
    </row>
    <row r="729" spans="1:2" x14ac:dyDescent="0.25">
      <c r="A729">
        <f ca="1">27090.1982085478*(RANDBETWEEN(2890,3282))</f>
        <v>81947849.580856949</v>
      </c>
      <c r="B729">
        <v>214510218.54039094</v>
      </c>
    </row>
    <row r="730" spans="1:2" x14ac:dyDescent="0.25">
      <c r="A730">
        <f ca="1">37635.0058673929*(RANDBETWEEN(2890,3282))</f>
        <v>109028611.9978372</v>
      </c>
      <c r="B730">
        <v>248510113.71522927</v>
      </c>
    </row>
    <row r="731" spans="1:2" x14ac:dyDescent="0.25">
      <c r="A731">
        <f ca="1">40368.7210677304*(RANDBETWEEN(2890,3282))</f>
        <v>122801649.4880358</v>
      </c>
      <c r="B731">
        <v>216543886.11285701</v>
      </c>
    </row>
    <row r="732" spans="1:2" x14ac:dyDescent="0.25">
      <c r="A732">
        <f ca="1">27413.524454271*(RANDBETWEEN(2890,3282))</f>
        <v>84625549.990334496</v>
      </c>
      <c r="B732">
        <v>229633300.30722573</v>
      </c>
    </row>
    <row r="733" spans="1:2" x14ac:dyDescent="0.25">
      <c r="A733">
        <f ca="1">31358.7101344985*(RANDBETWEEN(2890,3282))</f>
        <v>98278197.561518282</v>
      </c>
      <c r="B733">
        <v>265020315.52710456</v>
      </c>
    </row>
    <row r="734" spans="1:2" x14ac:dyDescent="0.25">
      <c r="A734">
        <f ca="1">31619.7576298869*(RANDBETWEEN(2890,3282))</f>
        <v>93594482.58446528</v>
      </c>
      <c r="B734">
        <v>249118730.36533797</v>
      </c>
    </row>
    <row r="735" spans="1:2" x14ac:dyDescent="0.25">
      <c r="A735">
        <f ca="1">29227.7806820888*(RANDBETWEEN(2890,3282))</f>
        <v>92096736.929261699</v>
      </c>
      <c r="B735">
        <v>231582057.01361555</v>
      </c>
    </row>
    <row r="736" spans="1:2" x14ac:dyDescent="0.25">
      <c r="A736">
        <f ca="1">36236.0266646231*(RANDBETWEEN(2890,3282))</f>
        <v>105628017.72737619</v>
      </c>
      <c r="B736">
        <v>212133235.62849003</v>
      </c>
    </row>
    <row r="737" spans="1:2" x14ac:dyDescent="0.25">
      <c r="A737">
        <f ca="1">33761.8805158109*(RANDBETWEEN(2890,3282))</f>
        <v>97605596.571209341</v>
      </c>
      <c r="B737">
        <v>265503252.88852546</v>
      </c>
    </row>
    <row r="738" spans="1:2" x14ac:dyDescent="0.25">
      <c r="A738">
        <f ca="1">33022.2396508447*(RANDBETWEEN(2890,3282))</f>
        <v>107553434.54280114</v>
      </c>
      <c r="B738">
        <v>249163573.45519656</v>
      </c>
    </row>
    <row r="739" spans="1:2" x14ac:dyDescent="0.25">
      <c r="A739">
        <f ca="1">32343.6390206317*(RANDBETWEEN(2890,3282))</f>
        <v>93990614.993955687</v>
      </c>
      <c r="B739">
        <v>228037964.24478298</v>
      </c>
    </row>
    <row r="740" spans="1:2" x14ac:dyDescent="0.25">
      <c r="A740">
        <f ca="1">32173.3850435764*(RANDBETWEEN(2890,3282))</f>
        <v>101378336.2723092</v>
      </c>
      <c r="B740">
        <v>222383508.39511389</v>
      </c>
    </row>
    <row r="741" spans="1:2" x14ac:dyDescent="0.25">
      <c r="A741">
        <f ca="1">39002.4418047761*(RANDBETWEEN(2890,3282))</f>
        <v>112834064.14121717</v>
      </c>
      <c r="B741">
        <v>267917924.26125795</v>
      </c>
    </row>
    <row r="742" spans="1:2" x14ac:dyDescent="0.25">
      <c r="A742">
        <f ca="1">31508.2183291119*(RANDBETWEEN(2890,3282))</f>
        <v>91279308.499437168</v>
      </c>
      <c r="B742">
        <v>222826246.12225485</v>
      </c>
    </row>
    <row r="743" spans="1:2" x14ac:dyDescent="0.25">
      <c r="A743">
        <f ca="1">34646.7979364721*(RANDBETWEEN(2890,3282))</f>
        <v>108479124.33909425</v>
      </c>
      <c r="B743">
        <v>252491665.44825783</v>
      </c>
    </row>
    <row r="744" spans="1:2" x14ac:dyDescent="0.25">
      <c r="A744">
        <f ca="1">32909.2377433467*(RANDBETWEEN(2890,3282))</f>
        <v>95568426.406678706</v>
      </c>
      <c r="B744">
        <v>230058481.04540193</v>
      </c>
    </row>
    <row r="745" spans="1:2" x14ac:dyDescent="0.25">
      <c r="A745">
        <f ca="1">33288.2342380725*(RANDBETWEEN(2890,3282))</f>
        <v>105723431.94011828</v>
      </c>
      <c r="B745">
        <v>205459169.18282086</v>
      </c>
    </row>
    <row r="746" spans="1:2" x14ac:dyDescent="0.25">
      <c r="A746">
        <f ca="1">36953.4447957999*(RANDBETWEEN(2890,3282))</f>
        <v>109271336.26118042</v>
      </c>
      <c r="B746">
        <v>210696194.69639146</v>
      </c>
    </row>
    <row r="747" spans="1:2" x14ac:dyDescent="0.25">
      <c r="A747">
        <f ca="1">38111.945296245*(RANDBETWEEN(2890,3282))</f>
        <v>121615217.44031766</v>
      </c>
      <c r="B747">
        <v>246449359.85869789</v>
      </c>
    </row>
    <row r="748" spans="1:2" x14ac:dyDescent="0.25">
      <c r="A748">
        <f ca="1">30334.0552522427*(RANDBETWEEN(2890,3282))</f>
        <v>87938426.17625165</v>
      </c>
      <c r="B748">
        <v>210776971.04681474</v>
      </c>
    </row>
    <row r="749" spans="1:2" x14ac:dyDescent="0.25">
      <c r="A749">
        <f ca="1">33820.3613807527*(RANDBETWEEN(2890,3282))</f>
        <v>98417251.61799036</v>
      </c>
      <c r="B749">
        <v>264088348.60942137</v>
      </c>
    </row>
    <row r="750" spans="1:2" x14ac:dyDescent="0.25">
      <c r="A750">
        <f ca="1">32862.1547803026*(RANDBETWEEN(2890,3282))</f>
        <v>106933451.65510482</v>
      </c>
      <c r="B750">
        <v>233959772.02002075</v>
      </c>
    </row>
    <row r="751" spans="1:2" x14ac:dyDescent="0.25">
      <c r="A751">
        <f ca="1">34101.4333503649*(RANDBETWEEN(2890,3282))</f>
        <v>111375281.32229179</v>
      </c>
      <c r="B751">
        <v>250233294.4585582</v>
      </c>
    </row>
    <row r="752" spans="1:2" x14ac:dyDescent="0.25">
      <c r="A752">
        <f ca="1">33419.0927318007*(RANDBETWEEN(2890,3282))</f>
        <v>100090182.73174301</v>
      </c>
      <c r="B752">
        <v>226139160.88438201</v>
      </c>
    </row>
    <row r="753" spans="1:2" x14ac:dyDescent="0.25">
      <c r="A753">
        <f ca="1">38069.5813147179*(RANDBETWEEN(2890,3282))</f>
        <v>123954556.76072139</v>
      </c>
      <c r="B753">
        <v>220647165.31175804</v>
      </c>
    </row>
    <row r="754" spans="1:2" x14ac:dyDescent="0.25">
      <c r="A754">
        <f ca="1">30516.2302680961*(RANDBETWEEN(2890,3282))</f>
        <v>91792820.6464331</v>
      </c>
      <c r="B754">
        <v>241690130.81973761</v>
      </c>
    </row>
    <row r="755" spans="1:2" x14ac:dyDescent="0.25">
      <c r="A755">
        <f ca="1">31128.0286802169*(RANDBETWEEN(2890,3282))</f>
        <v>95718688.191666886</v>
      </c>
      <c r="B755">
        <v>247414272.02477157</v>
      </c>
    </row>
    <row r="756" spans="1:2" x14ac:dyDescent="0.25">
      <c r="A756">
        <f ca="1">41103.1118927888*(RANDBETWEEN(2890,3282))</f>
        <v>124295810.36379318</v>
      </c>
      <c r="B756">
        <v>264185726.60703346</v>
      </c>
    </row>
    <row r="757" spans="1:2" x14ac:dyDescent="0.25">
      <c r="A757">
        <f ca="1">39720.11551105*(RANDBETWEEN(2890,3282))</f>
        <v>117929022.95230752</v>
      </c>
      <c r="B757">
        <v>225322586.52830228</v>
      </c>
    </row>
    <row r="758" spans="1:2" x14ac:dyDescent="0.25">
      <c r="A758">
        <f ca="1">31574.5944428144*(RANDBETWEEN(2890,3282))</f>
        <v>93018755.228531182</v>
      </c>
      <c r="B758">
        <v>235147280.81104165</v>
      </c>
    </row>
    <row r="759" spans="1:2" x14ac:dyDescent="0.25">
      <c r="A759">
        <f ca="1">33976.166228316*(RANDBETWEEN(2890,3282))</f>
        <v>104918401.31303984</v>
      </c>
      <c r="B759">
        <v>242222825.0181396</v>
      </c>
    </row>
    <row r="760" spans="1:2" x14ac:dyDescent="0.25">
      <c r="A760">
        <f ca="1">31657.7799267304*(RANDBETWEEN(2890,3282))</f>
        <v>94086921.942242742</v>
      </c>
      <c r="B760">
        <v>228317292.62204748</v>
      </c>
    </row>
    <row r="761" spans="1:2" x14ac:dyDescent="0.25">
      <c r="A761">
        <f ca="1">32471.1066717206*(RANDBETWEEN(2890,3282))</f>
        <v>99361586.415465102</v>
      </c>
      <c r="B761">
        <v>245373758.66737908</v>
      </c>
    </row>
    <row r="762" spans="1:2" x14ac:dyDescent="0.25">
      <c r="A762">
        <f ca="1">32965.6401348023*(RANDBETWEEN(2890,3282))</f>
        <v>106314189.43473755</v>
      </c>
      <c r="B762">
        <v>266482712.23338059</v>
      </c>
    </row>
    <row r="763" spans="1:2" x14ac:dyDescent="0.25">
      <c r="A763">
        <f ca="1">32943.749806615*(RANDBETWEEN(2890,3282))</f>
        <v>106111818.12710698</v>
      </c>
      <c r="B763">
        <v>217846017.75623387</v>
      </c>
    </row>
    <row r="764" spans="1:2" x14ac:dyDescent="0.25">
      <c r="A764">
        <f ca="1">36461.985083877*(RANDBETWEEN(2890,3282))</f>
        <v>117371129.985</v>
      </c>
      <c r="B764">
        <v>217142668.8308278</v>
      </c>
    </row>
    <row r="765" spans="1:2" x14ac:dyDescent="0.25">
      <c r="A765">
        <f ca="1">35967.5300403139*(RANDBETWEEN(2890,3282))</f>
        <v>117541888.17174582</v>
      </c>
      <c r="B765">
        <v>260365263.34845108</v>
      </c>
    </row>
    <row r="766" spans="1:2" x14ac:dyDescent="0.25">
      <c r="A766">
        <f ca="1">37275.6328122408*(RANDBETWEEN(2890,3282))</f>
        <v>114585295.26482813</v>
      </c>
      <c r="B766">
        <v>210859410.18152654</v>
      </c>
    </row>
    <row r="767" spans="1:2" x14ac:dyDescent="0.25">
      <c r="A767">
        <f ca="1">38833.9661072868*(RANDBETWEEN(2890,3282))</f>
        <v>125705548.28928727</v>
      </c>
      <c r="B767">
        <v>210479709.05402571</v>
      </c>
    </row>
    <row r="768" spans="1:2" x14ac:dyDescent="0.25">
      <c r="A768">
        <f ca="1">30315.8875243717*(RANDBETWEEN(2890,3282))</f>
        <v>93251670.024967462</v>
      </c>
      <c r="B768">
        <v>264870917.6283471</v>
      </c>
    </row>
    <row r="769" spans="1:2" x14ac:dyDescent="0.25">
      <c r="A769">
        <f ca="1">31283.0344788221*(RANDBETWEEN(2890,3282))</f>
        <v>93004461.505538091</v>
      </c>
      <c r="B769">
        <v>230274694.04472029</v>
      </c>
    </row>
    <row r="770" spans="1:2" x14ac:dyDescent="0.25">
      <c r="A770">
        <f ca="1">33822.1766139661*(RANDBETWEEN(2890,3282))</f>
        <v>100181287.13056773</v>
      </c>
      <c r="B770">
        <v>239091894.37039271</v>
      </c>
    </row>
    <row r="771" spans="1:2" x14ac:dyDescent="0.25">
      <c r="A771">
        <f ca="1">39376.8822718192*(RANDBETWEEN(2890,3282))</f>
        <v>115453018.82097401</v>
      </c>
      <c r="B771">
        <v>253370828.82649967</v>
      </c>
    </row>
    <row r="772" spans="1:2" x14ac:dyDescent="0.25">
      <c r="A772">
        <f ca="1">36153.1613621777*(RANDBETWEEN(2890,3282))</f>
        <v>118654675.59066711</v>
      </c>
      <c r="B772">
        <v>208243952.68410748</v>
      </c>
    </row>
    <row r="773" spans="1:2" x14ac:dyDescent="0.25">
      <c r="A773">
        <f ca="1">35930.4347340787*(RANDBETWEEN(2890,3282))</f>
        <v>116055304.19107431</v>
      </c>
      <c r="B773">
        <v>217015084.79797015</v>
      </c>
    </row>
    <row r="774" spans="1:2" x14ac:dyDescent="0.25">
      <c r="A774">
        <f ca="1">29295.7753854872*(RANDBETWEEN(2890,3282))</f>
        <v>86334650.06103079</v>
      </c>
      <c r="B774">
        <v>228168695.50779819</v>
      </c>
    </row>
    <row r="775" spans="1:2" x14ac:dyDescent="0.25">
      <c r="A775">
        <f ca="1">40948.5273884921*(RANDBETWEEN(2890,3282))</f>
        <v>129315449.4928579</v>
      </c>
      <c r="B775">
        <v>244650988.42729557</v>
      </c>
    </row>
    <row r="776" spans="1:2" x14ac:dyDescent="0.25">
      <c r="A776">
        <f ca="1">30046.9843199455*(RANDBETWEEN(2890,3282))</f>
        <v>97442370.149583235</v>
      </c>
      <c r="B776">
        <v>216618451.59731165</v>
      </c>
    </row>
    <row r="777" spans="1:2" x14ac:dyDescent="0.25">
      <c r="A777">
        <f ca="1">33134.9717724779*(RANDBETWEEN(2890,3282))</f>
        <v>105866234.81306699</v>
      </c>
      <c r="B777">
        <v>207006769.88244927</v>
      </c>
    </row>
    <row r="778" spans="1:2" x14ac:dyDescent="0.25">
      <c r="A778">
        <f ca="1">36497.2650592057*(RANDBETWEEN(2890,3282))</f>
        <v>116061302.88827413</v>
      </c>
      <c r="B778">
        <v>257463599.84146675</v>
      </c>
    </row>
    <row r="779" spans="1:2" x14ac:dyDescent="0.25">
      <c r="A779">
        <f ca="1">31403.1315693462*(RANDBETWEEN(2890,3282))</f>
        <v>101463518.10055771</v>
      </c>
      <c r="B779">
        <v>218474508.19563231</v>
      </c>
    </row>
    <row r="780" spans="1:2" x14ac:dyDescent="0.25">
      <c r="A780">
        <f ca="1">37092.0021253812*(RANDBETWEEN(2890,3282))</f>
        <v>120882834.92661743</v>
      </c>
      <c r="B780">
        <v>222416933.34501326</v>
      </c>
    </row>
    <row r="781" spans="1:2" x14ac:dyDescent="0.25">
      <c r="A781">
        <f ca="1">32865.5563346249*(RANDBETWEEN(2890,3282))</f>
        <v>95901693.384435341</v>
      </c>
      <c r="B781">
        <v>232721750.86621687</v>
      </c>
    </row>
    <row r="782" spans="1:2" x14ac:dyDescent="0.25">
      <c r="A782">
        <f ca="1">27776.1161802568*(RANDBETWEEN(2890,3282))</f>
        <v>90244601.469654232</v>
      </c>
      <c r="B782">
        <v>209467918.11163312</v>
      </c>
    </row>
    <row r="783" spans="1:2" x14ac:dyDescent="0.25">
      <c r="A783">
        <f ca="1">41602.0331182091*(RANDBETWEEN(2890,3282))</f>
        <v>121020314.34087031</v>
      </c>
      <c r="B783">
        <v>210758516.39862576</v>
      </c>
    </row>
    <row r="784" spans="1:2" x14ac:dyDescent="0.25">
      <c r="A784">
        <f ca="1">27338.3362217339*(RANDBETWEEN(2890,3282))</f>
        <v>83272572.131401539</v>
      </c>
      <c r="B784">
        <v>236551260.65559408</v>
      </c>
    </row>
    <row r="785" spans="1:2" x14ac:dyDescent="0.25">
      <c r="A785">
        <f ca="1">30524.012756776*(RANDBETWEEN(2890,3282))</f>
        <v>91968850.436166212</v>
      </c>
      <c r="B785">
        <v>214065921.70843446</v>
      </c>
    </row>
    <row r="786" spans="1:2" x14ac:dyDescent="0.25">
      <c r="A786">
        <f ca="1">40888.0459295144*(RANDBETWEEN(2890,3282))</f>
        <v>126139621.692552</v>
      </c>
      <c r="B786">
        <v>239172369.79053035</v>
      </c>
    </row>
    <row r="787" spans="1:2" x14ac:dyDescent="0.25">
      <c r="A787">
        <f ca="1">36915.0024288095*(RANDBETWEEN(2890,3282))</f>
        <v>107791807.0921237</v>
      </c>
      <c r="B787">
        <v>257494372.25162157</v>
      </c>
    </row>
    <row r="788" spans="1:2" x14ac:dyDescent="0.25">
      <c r="A788">
        <f ca="1">30872.9321404144*(RANDBETWEEN(2890,3282))</f>
        <v>100244410.65992545</v>
      </c>
      <c r="B788">
        <v>255319395.94554859</v>
      </c>
    </row>
    <row r="789" spans="1:2" x14ac:dyDescent="0.25">
      <c r="A789">
        <f ca="1">33010.2596919592*(RANDBETWEEN(2890,3282))</f>
        <v>105236707.89796598</v>
      </c>
      <c r="B789">
        <v>228626097.56314799</v>
      </c>
    </row>
    <row r="790" spans="1:2" x14ac:dyDescent="0.25">
      <c r="A790">
        <f ca="1">31440.9046457075*(RANDBETWEEN(2890,3282))</f>
        <v>95391704.695076481</v>
      </c>
      <c r="B790">
        <v>265834943.02297109</v>
      </c>
    </row>
    <row r="791" spans="1:2" x14ac:dyDescent="0.25">
      <c r="A791">
        <f ca="1">40234.7904052296*(RANDBETWEEN(2890,3282))</f>
        <v>117968405.46813326</v>
      </c>
      <c r="B791">
        <v>207961206.90343836</v>
      </c>
    </row>
    <row r="792" spans="1:2" x14ac:dyDescent="0.25">
      <c r="A792">
        <f ca="1">34080.7201859603*(RANDBETWEEN(2890,3282))</f>
        <v>107320187.86558908</v>
      </c>
      <c r="B792">
        <v>221748484.91867304</v>
      </c>
    </row>
    <row r="793" spans="1:2" x14ac:dyDescent="0.25">
      <c r="A793">
        <f ca="1">29397.2815864532*(RANDBETWEEN(2890,3282))</f>
        <v>88221242.040946066</v>
      </c>
      <c r="B793">
        <v>226991797.9750343</v>
      </c>
    </row>
    <row r="794" spans="1:2" x14ac:dyDescent="0.25">
      <c r="A794">
        <f ca="1">32057.7787551379*(RANDBETWEEN(2890,3282))</f>
        <v>98834131.902090088</v>
      </c>
      <c r="B794">
        <v>235231653.87790444</v>
      </c>
    </row>
    <row r="795" spans="1:2" x14ac:dyDescent="0.25">
      <c r="A795">
        <f ca="1">28749.7791188059*(RANDBETWEEN(2890,3282))</f>
        <v>85415593.761972383</v>
      </c>
      <c r="B795">
        <v>219453674.00832826</v>
      </c>
    </row>
    <row r="796" spans="1:2" x14ac:dyDescent="0.25">
      <c r="A796">
        <f ca="1">32384.6421932788*(RANDBETWEEN(2890,3282))</f>
        <v>95567079.112365752</v>
      </c>
      <c r="B796">
        <v>217447336.26507786</v>
      </c>
    </row>
    <row r="797" spans="1:2" x14ac:dyDescent="0.25">
      <c r="A797">
        <f ca="1">31172.3543849212*(RANDBETWEEN(2890,3282))</f>
        <v>96322575.049406454</v>
      </c>
      <c r="B797">
        <v>228919930.31121325</v>
      </c>
    </row>
    <row r="798" spans="1:2" x14ac:dyDescent="0.25">
      <c r="A798">
        <f ca="1">32728.9534038906*(RANDBETWEEN(2890,3282))</f>
        <v>99986952.648885772</v>
      </c>
      <c r="B798">
        <v>249821210.64611721</v>
      </c>
    </row>
    <row r="799" spans="1:2" x14ac:dyDescent="0.25">
      <c r="A799">
        <f ca="1">31065.1223274592*(RANDBETWEEN(2890,3282))</f>
        <v>92511934.291173726</v>
      </c>
      <c r="B799">
        <v>215331644.90527117</v>
      </c>
    </row>
    <row r="800" spans="1:2" x14ac:dyDescent="0.25">
      <c r="A800">
        <f ca="1">36269.5985344083*(RANDBETWEEN(2890,3282))</f>
        <v>104855409.36297433</v>
      </c>
      <c r="B800">
        <v>252369272.17519253</v>
      </c>
    </row>
    <row r="801" spans="1:2" x14ac:dyDescent="0.25">
      <c r="A801">
        <f ca="1">30900.9179507765*(RANDBETWEEN(2890,3282))</f>
        <v>101169605.37084217</v>
      </c>
      <c r="B801">
        <v>231209854.4664408</v>
      </c>
    </row>
    <row r="802" spans="1:2" x14ac:dyDescent="0.25">
      <c r="A802">
        <f ca="1">39527.200816167*(RANDBETWEEN(2890,3282))</f>
        <v>116328552.00197938</v>
      </c>
      <c r="B802">
        <v>228327475.1966624</v>
      </c>
    </row>
    <row r="803" spans="1:2" x14ac:dyDescent="0.25">
      <c r="A803">
        <f ca="1">32977.3875337718*(RANDBETWEEN(2890,3282))</f>
        <v>95634423.847938359</v>
      </c>
      <c r="B803">
        <v>249323336.89870793</v>
      </c>
    </row>
    <row r="804" spans="1:2" x14ac:dyDescent="0.25">
      <c r="A804">
        <f ca="1">33116.4151713362*(RANDBETWEEN(2890,3282))</f>
        <v>108025746.28889857</v>
      </c>
      <c r="B804">
        <v>217953163.42845133</v>
      </c>
    </row>
    <row r="805" spans="1:2" x14ac:dyDescent="0.25">
      <c r="A805">
        <f ca="1">32350.712195881*(RANDBETWEEN(2890,3282))</f>
        <v>93752363.943663105</v>
      </c>
      <c r="B805">
        <v>207684317.99833667</v>
      </c>
    </row>
    <row r="806" spans="1:2" x14ac:dyDescent="0.25">
      <c r="A806">
        <f ca="1">31370.0643305089*(RANDBETWEEN(2890,3282))</f>
        <v>93671012.090899676</v>
      </c>
      <c r="B806">
        <v>247402805.44478625</v>
      </c>
    </row>
    <row r="807" spans="1:2" x14ac:dyDescent="0.25">
      <c r="A807">
        <f ca="1">40522.1436051144*(RANDBETWEEN(2890,3282))</f>
        <v>124281414.43688583</v>
      </c>
      <c r="B807">
        <v>205511938.3766169</v>
      </c>
    </row>
    <row r="808" spans="1:2" x14ac:dyDescent="0.25">
      <c r="A808">
        <f ca="1">36745.5932544018*(RANDBETWEEN(2890,3282))</f>
        <v>119423178.07680595</v>
      </c>
      <c r="B808">
        <v>255656559.7904551</v>
      </c>
    </row>
    <row r="809" spans="1:2" x14ac:dyDescent="0.25">
      <c r="A809">
        <f ca="1">32190.5706172369*(RANDBETWEEN(2890,3282))</f>
        <v>94511515.332207397</v>
      </c>
      <c r="B809">
        <v>245562919.20665097</v>
      </c>
    </row>
    <row r="810" spans="1:2" x14ac:dyDescent="0.25">
      <c r="A810">
        <f ca="1">32535.0437779714*(RANDBETWEEN(2890,3282))</f>
        <v>98841462.997477189</v>
      </c>
      <c r="B810">
        <v>217038779.29297638</v>
      </c>
    </row>
    <row r="811" spans="1:2" x14ac:dyDescent="0.25">
      <c r="A811">
        <f ca="1">29676.0377425349*(RANDBETWEEN(2890,3282))</f>
        <v>86624354.1704593</v>
      </c>
      <c r="B811">
        <v>212322019.85556632</v>
      </c>
    </row>
    <row r="812" spans="1:2" x14ac:dyDescent="0.25">
      <c r="A812">
        <f ca="1">35594.988421701*(RANDBETWEEN(2890,3282))</f>
        <v>113227658.16943081</v>
      </c>
      <c r="B812">
        <v>263305013.72254264</v>
      </c>
    </row>
    <row r="813" spans="1:2" x14ac:dyDescent="0.25">
      <c r="A813">
        <f ca="1">40235.7755651803*(RANDBETWEEN(2890,3282))</f>
        <v>118132237.05936939</v>
      </c>
      <c r="B813">
        <v>217364306.43859991</v>
      </c>
    </row>
    <row r="814" spans="1:2" x14ac:dyDescent="0.25">
      <c r="A814">
        <f ca="1">36285.4886921174*(RANDBETWEEN(2890,3282))</f>
        <v>111432735.77349249</v>
      </c>
      <c r="B814">
        <v>227312006.73470956</v>
      </c>
    </row>
    <row r="815" spans="1:2" x14ac:dyDescent="0.25">
      <c r="A815">
        <f ca="1">41454.3747912006*(RANDBETWEEN(2890,3282))</f>
        <v>129254740.59896359</v>
      </c>
      <c r="B815">
        <v>255457004.85855922</v>
      </c>
    </row>
    <row r="816" spans="1:2" x14ac:dyDescent="0.25">
      <c r="A816">
        <f ca="1">32550.3643370189*(RANDBETWEEN(2890,3282))</f>
        <v>96153776.251553863</v>
      </c>
      <c r="B816">
        <v>267696667.53508943</v>
      </c>
    </row>
    <row r="817" spans="1:2" x14ac:dyDescent="0.25">
      <c r="A817">
        <f ca="1">41263.9264901374*(RANDBETWEEN(2890,3282))</f>
        <v>129197353.84062035</v>
      </c>
      <c r="B817">
        <v>222574405.92192978</v>
      </c>
    </row>
    <row r="818" spans="1:2" x14ac:dyDescent="0.25">
      <c r="A818">
        <f ca="1">31510.7520599088*(RANDBETWEEN(2890,3282))</f>
        <v>97714842.137777343</v>
      </c>
      <c r="B818">
        <v>256599262.69732162</v>
      </c>
    </row>
    <row r="819" spans="1:2" x14ac:dyDescent="0.25">
      <c r="A819">
        <f ca="1">28915.9526038007*(RANDBETWEEN(2890,3282))</f>
        <v>87702084.247327417</v>
      </c>
      <c r="B819">
        <v>245538237.39461887</v>
      </c>
    </row>
    <row r="820" spans="1:2" x14ac:dyDescent="0.25">
      <c r="A820">
        <f ca="1">40306.3290069163*(RANDBETWEEN(2890,3282))</f>
        <v>127609837.63589698</v>
      </c>
      <c r="B820">
        <v>216422723.19328249</v>
      </c>
    </row>
    <row r="821" spans="1:2" x14ac:dyDescent="0.25">
      <c r="A821">
        <f ca="1">31687.2404550226*(RANDBETWEEN(2890,3282))</f>
        <v>101050609.81106715</v>
      </c>
      <c r="B821">
        <v>213648703.61526856</v>
      </c>
    </row>
    <row r="822" spans="1:2" x14ac:dyDescent="0.25">
      <c r="A822">
        <f ca="1">32090.2814708749*(RANDBETWEEN(2890,3282))</f>
        <v>105159852.38005707</v>
      </c>
      <c r="B822">
        <v>225914156.52899745</v>
      </c>
    </row>
    <row r="823" spans="1:2" x14ac:dyDescent="0.25">
      <c r="A823">
        <f ca="1">32588.7207179658*(RANDBETWEEN(2890,3282))</f>
        <v>98287581.68538478</v>
      </c>
      <c r="B823">
        <v>231415993.41442329</v>
      </c>
    </row>
    <row r="824" spans="1:2" x14ac:dyDescent="0.25">
      <c r="A824">
        <f ca="1">37554.5488276533*(RANDBETWEEN(2890,3282))</f>
        <v>114203382.98489377</v>
      </c>
      <c r="B824">
        <v>225550316.78527036</v>
      </c>
    </row>
    <row r="825" spans="1:2" x14ac:dyDescent="0.25">
      <c r="A825">
        <f ca="1">32491.8870435664*(RANDBETWEEN(2890,3282))</f>
        <v>96338445.084174246</v>
      </c>
      <c r="B825">
        <v>219415818.44289318</v>
      </c>
    </row>
    <row r="826" spans="1:2" x14ac:dyDescent="0.25">
      <c r="A826">
        <f ca="1">36182.6210821713*(RANDBETWEEN(2890,3282))</f>
        <v>118389536.18086438</v>
      </c>
      <c r="B826">
        <v>234755830.23161945</v>
      </c>
    </row>
    <row r="827" spans="1:2" x14ac:dyDescent="0.25">
      <c r="A827">
        <f ca="1">41839.4054030541*(RANDBETWEEN(2890,3282))</f>
        <v>129451120.31704946</v>
      </c>
      <c r="B827">
        <v>231413361.97513604</v>
      </c>
    </row>
    <row r="828" spans="1:2" x14ac:dyDescent="0.25">
      <c r="A828">
        <f ca="1">32939.3538516033*(RANDBETWEEN(2890,3282))</f>
        <v>97368729.985339269</v>
      </c>
      <c r="B828">
        <v>224002142.62588853</v>
      </c>
    </row>
    <row r="829" spans="1:2" x14ac:dyDescent="0.25">
      <c r="A829">
        <f ca="1">35461.6477775292*(RANDBETWEEN(2890,3282))</f>
        <v>115073047.03808239</v>
      </c>
      <c r="B829">
        <v>228584371.12657019</v>
      </c>
    </row>
    <row r="830" spans="1:2" x14ac:dyDescent="0.25">
      <c r="A830">
        <f ca="1">36799.5287529208*(RANDBETWEEN(2890,3282))</f>
        <v>115476921.22666542</v>
      </c>
      <c r="B830">
        <v>213343131.24549061</v>
      </c>
    </row>
    <row r="831" spans="1:2" x14ac:dyDescent="0.25">
      <c r="A831">
        <f ca="1">32372.5060066922*(RANDBETWEEN(2890,3282))</f>
        <v>101196453.77691978</v>
      </c>
      <c r="B831">
        <v>211188592.08272222</v>
      </c>
    </row>
    <row r="832" spans="1:2" x14ac:dyDescent="0.25">
      <c r="A832">
        <f ca="1">32031.0109760418*(RANDBETWEEN(2890,3282))</f>
        <v>95260226.642748326</v>
      </c>
      <c r="B832">
        <v>267620890.63889873</v>
      </c>
    </row>
    <row r="833" spans="1:2" x14ac:dyDescent="0.25">
      <c r="A833">
        <f ca="1">36535.5361313844*(RANDBETWEEN(2890,3282))</f>
        <v>112602522.35692658</v>
      </c>
      <c r="B833">
        <v>240514032.21592984</v>
      </c>
    </row>
    <row r="834" spans="1:2" x14ac:dyDescent="0.25">
      <c r="A834">
        <f ca="1">31761.9678102151*(RANDBETWEEN(2890,3282))</f>
        <v>100526628.11933072</v>
      </c>
      <c r="B834">
        <v>247904908.41948837</v>
      </c>
    </row>
    <row r="835" spans="1:2" x14ac:dyDescent="0.25">
      <c r="A835">
        <f ca="1">42020.7575383281*(RANDBETWEEN(2890,3282))</f>
        <v>124087297.01068275</v>
      </c>
      <c r="B835">
        <v>214640136.86926246</v>
      </c>
    </row>
    <row r="836" spans="1:2" x14ac:dyDescent="0.25">
      <c r="A836">
        <f ca="1">38439.9194456132*(RANDBETWEEN(2890,3282))</f>
        <v>122584903.11206059</v>
      </c>
      <c r="B836">
        <v>221245449.72278172</v>
      </c>
    </row>
    <row r="837" spans="1:2" x14ac:dyDescent="0.25">
      <c r="A837">
        <f ca="1">40978.3510885607*(RANDBETWEEN(2890,3282))</f>
        <v>120968092.41343106</v>
      </c>
      <c r="B837">
        <v>258973468.26106834</v>
      </c>
    </row>
    <row r="838" spans="1:2" x14ac:dyDescent="0.25">
      <c r="A838">
        <f ca="1">40175.8456703776*(RANDBETWEEN(2890,3282))</f>
        <v>128843937.06490092</v>
      </c>
      <c r="B838">
        <v>214462387.24082497</v>
      </c>
    </row>
    <row r="839" spans="1:2" x14ac:dyDescent="0.25">
      <c r="A839">
        <f ca="1">28802.9857129433*(RANDBETWEEN(2890,3282))</f>
        <v>88396363.153023109</v>
      </c>
      <c r="B839">
        <v>263466293.28977436</v>
      </c>
    </row>
    <row r="840" spans="1:2" x14ac:dyDescent="0.25">
      <c r="A840">
        <f ca="1">33830.5477696838*(RANDBETWEEN(2890,3282))</f>
        <v>104130426.03508674</v>
      </c>
      <c r="B840">
        <v>259960699.36393267</v>
      </c>
    </row>
    <row r="841" spans="1:2" x14ac:dyDescent="0.25">
      <c r="A841">
        <f ca="1">29071.8809574561*(RANDBETWEEN(2890,3282))</f>
        <v>85529473.776835918</v>
      </c>
      <c r="B841">
        <v>237186994.38358152</v>
      </c>
    </row>
    <row r="842" spans="1:2" x14ac:dyDescent="0.25">
      <c r="A842">
        <f ca="1">42345.8778870888*(RANDBETWEEN(2890,3282))</f>
        <v>132415560.1529267</v>
      </c>
      <c r="B842">
        <v>239333812.48046768</v>
      </c>
    </row>
    <row r="843" spans="1:2" x14ac:dyDescent="0.25">
      <c r="A843">
        <f ca="1">35133.4179750079*(RANDBETWEEN(2890,3282))</f>
        <v>105154319.99919866</v>
      </c>
      <c r="B843">
        <v>265608390.05525649</v>
      </c>
    </row>
    <row r="844" spans="1:2" x14ac:dyDescent="0.25">
      <c r="A844">
        <f ca="1">36923.9093821037*(RANDBETWEEN(2890,3282))</f>
        <v>119596542.48863389</v>
      </c>
      <c r="B844">
        <v>250949005.69379628</v>
      </c>
    </row>
    <row r="845" spans="1:2" x14ac:dyDescent="0.25">
      <c r="A845">
        <f ca="1">38496.0559372752*(RANDBETWEEN(2890,3282))</f>
        <v>119761230.02086309</v>
      </c>
      <c r="B845">
        <v>253873614.16512978</v>
      </c>
    </row>
    <row r="846" spans="1:2" x14ac:dyDescent="0.25">
      <c r="A846">
        <f ca="1">40583.0489374545*(RANDBETWEEN(2890,3282))</f>
        <v>120450489.24636498</v>
      </c>
      <c r="B846">
        <v>247613292.78100577</v>
      </c>
    </row>
    <row r="847" spans="1:2" x14ac:dyDescent="0.25">
      <c r="A847">
        <f ca="1">41869.5521531901*(RANDBETWEEN(2890,3282))</f>
        <v>136955305.09308472</v>
      </c>
      <c r="B847">
        <v>244028643.09348959</v>
      </c>
    </row>
    <row r="848" spans="1:2" x14ac:dyDescent="0.25">
      <c r="A848">
        <f ca="1">31223.567754609*(RANDBETWEEN(2890,3282))</f>
        <v>96886730.742551804</v>
      </c>
      <c r="B848">
        <v>251887335.08409178</v>
      </c>
    </row>
    <row r="849" spans="1:2" x14ac:dyDescent="0.25">
      <c r="A849">
        <f ca="1">35661.6679070186*(RANDBETWEEN(2890,3282))</f>
        <v>106521402.03826466</v>
      </c>
      <c r="B849">
        <v>233992948.23055387</v>
      </c>
    </row>
    <row r="850" spans="1:2" x14ac:dyDescent="0.25">
      <c r="A850">
        <f ca="1">31126.500083685*(RANDBETWEEN(2890,3282))</f>
        <v>94437801.253900275</v>
      </c>
      <c r="B850">
        <v>261236966.70870122</v>
      </c>
    </row>
    <row r="851" spans="1:2" x14ac:dyDescent="0.25">
      <c r="A851">
        <f ca="1">37308.8045069591*(RANDBETWEEN(2890,3282))</f>
        <v>111292163.84425889</v>
      </c>
      <c r="B851">
        <v>237482273.64085481</v>
      </c>
    </row>
    <row r="852" spans="1:2" x14ac:dyDescent="0.25">
      <c r="A852">
        <f ca="1">32640.6237072651*(RANDBETWEEN(2890,3282))</f>
        <v>103438136.52832316</v>
      </c>
      <c r="B852">
        <v>260193982.3641631</v>
      </c>
    </row>
    <row r="853" spans="1:2" x14ac:dyDescent="0.25">
      <c r="A853">
        <f ca="1">29888.747479378*(RANDBETWEEN(2890,3282))</f>
        <v>94089777.065081909</v>
      </c>
      <c r="B853">
        <v>254701149.18920213</v>
      </c>
    </row>
    <row r="854" spans="1:2" x14ac:dyDescent="0.25">
      <c r="A854">
        <f ca="1">37227.3386860134*(RANDBETWEEN(2890,3282))</f>
        <v>108406010.25367117</v>
      </c>
      <c r="B854">
        <v>261686365.06526294</v>
      </c>
    </row>
    <row r="855" spans="1:2" x14ac:dyDescent="0.25">
      <c r="A855">
        <f ca="1">33484.1667446849*(RANDBETWEEN(2890,3282))</f>
        <v>104671505.24388503</v>
      </c>
      <c r="B855">
        <v>209674025.24978098</v>
      </c>
    </row>
    <row r="856" spans="1:2" x14ac:dyDescent="0.25">
      <c r="A856">
        <f ca="1">31820.6324693445*(RANDBETWEEN(2890,3282))</f>
        <v>93075349.972832769</v>
      </c>
      <c r="B856">
        <v>223427445.41379094</v>
      </c>
    </row>
    <row r="857" spans="1:2" x14ac:dyDescent="0.25">
      <c r="A857">
        <f ca="1">40622.9206955828*(RANDBETWEEN(2890,3282))</f>
        <v>130399575.43282066</v>
      </c>
      <c r="B857">
        <v>226707320.75475895</v>
      </c>
    </row>
    <row r="858" spans="1:2" x14ac:dyDescent="0.25">
      <c r="A858">
        <f ca="1">38869.115211666*(RANDBETWEEN(2890,3282))</f>
        <v>118084372.01304138</v>
      </c>
      <c r="B858">
        <v>206809298.76409072</v>
      </c>
    </row>
    <row r="859" spans="1:2" x14ac:dyDescent="0.25">
      <c r="A859">
        <f ca="1">37376.273497844*(RANDBETWEEN(2890,3282))</f>
        <v>119491946.37260725</v>
      </c>
      <c r="B859">
        <v>205189509.08849221</v>
      </c>
    </row>
    <row r="860" spans="1:2" x14ac:dyDescent="0.25">
      <c r="A860">
        <f ca="1">32329.0407591359*(RANDBETWEEN(2890,3282))</f>
        <v>104034853.16289946</v>
      </c>
      <c r="B860">
        <v>223920070.63680819</v>
      </c>
    </row>
    <row r="861" spans="1:2" x14ac:dyDescent="0.25">
      <c r="A861">
        <f ca="1">30373.6512518895*(RANDBETWEEN(2890,3282))</f>
        <v>95160649.372169718</v>
      </c>
      <c r="B861">
        <v>210186053.38889331</v>
      </c>
    </row>
    <row r="862" spans="1:2" x14ac:dyDescent="0.25">
      <c r="A862">
        <f ca="1">35999.7279429086*(RANDBETWEEN(2890,3282))</f>
        <v>117647110.91742517</v>
      </c>
      <c r="B862">
        <v>203737905.16261235</v>
      </c>
    </row>
    <row r="863" spans="1:2" x14ac:dyDescent="0.25">
      <c r="A863">
        <f ca="1">31814.0286481089*(RANDBETWEEN(2890,3282))</f>
        <v>97891766.150231183</v>
      </c>
      <c r="B863">
        <v>213469354.73583567</v>
      </c>
    </row>
    <row r="864" spans="1:2" x14ac:dyDescent="0.25">
      <c r="A864">
        <f ca="1">30998.807839036*(RANDBETWEEN(2890,3282))</f>
        <v>89772547.50184828</v>
      </c>
      <c r="B864">
        <v>209057736.65947407</v>
      </c>
    </row>
    <row r="865" spans="1:2" x14ac:dyDescent="0.25">
      <c r="A865">
        <f ca="1">32386.6298438897*(RANDBETWEEN(2890,3282))</f>
        <v>105321320.25232922</v>
      </c>
      <c r="B865">
        <v>241533904.62188059</v>
      </c>
    </row>
    <row r="866" spans="1:2" x14ac:dyDescent="0.25">
      <c r="A866">
        <f ca="1">34999.3784353255*(RANDBETWEEN(2890,3282))</f>
        <v>107028099.25522535</v>
      </c>
      <c r="B866">
        <v>241108840.13806871</v>
      </c>
    </row>
    <row r="867" spans="1:2" x14ac:dyDescent="0.25">
      <c r="A867">
        <f ca="1">30236.4735041429*(RANDBETWEEN(2890,3282))</f>
        <v>95033236.223521203</v>
      </c>
      <c r="B867">
        <v>249558756.95155215</v>
      </c>
    </row>
    <row r="868" spans="1:2" x14ac:dyDescent="0.25">
      <c r="A868">
        <f ca="1">32757.8509926406*(RANDBETWEEN(2890,3282))</f>
        <v>101582095.92817858</v>
      </c>
      <c r="B868">
        <v>266526450.37192488</v>
      </c>
    </row>
    <row r="869" spans="1:2" x14ac:dyDescent="0.25">
      <c r="A869">
        <f ca="1">32105.3799442788*(RANDBETWEEN(2890,3282))</f>
        <v>98370884.149270251</v>
      </c>
      <c r="B869">
        <v>214265945.483477</v>
      </c>
    </row>
    <row r="870" spans="1:2" x14ac:dyDescent="0.25">
      <c r="A870">
        <f ca="1">29644.9414476959*(RANDBETWEEN(2890,3282))</f>
        <v>87452577.270703003</v>
      </c>
      <c r="B870">
        <v>223545380.89210179</v>
      </c>
    </row>
    <row r="871" spans="1:2" x14ac:dyDescent="0.25">
      <c r="A871">
        <f ca="1">31538.3654164314*(RANDBETWEEN(2890,3282))</f>
        <v>101364306.44841044</v>
      </c>
      <c r="B871">
        <v>225767692.31331062</v>
      </c>
    </row>
    <row r="872" spans="1:2" x14ac:dyDescent="0.25">
      <c r="A872">
        <f ca="1">35714.2196573509*(RANDBETWEEN(2890,3282))</f>
        <v>111464079.55059206</v>
      </c>
      <c r="B872">
        <v>246633021.65772814</v>
      </c>
    </row>
    <row r="873" spans="1:2" x14ac:dyDescent="0.25">
      <c r="A873">
        <f ca="1">30328.4067409779*(RANDBETWEEN(2890,3282))</f>
        <v>91015548.629674762</v>
      </c>
      <c r="B873">
        <v>214103889.22817218</v>
      </c>
    </row>
    <row r="874" spans="1:2" x14ac:dyDescent="0.25">
      <c r="A874">
        <f ca="1">37252.2262590666*(RANDBETWEEN(2890,3282))</f>
        <v>121405005.37829809</v>
      </c>
      <c r="B874">
        <v>204607170.86228907</v>
      </c>
    </row>
    <row r="875" spans="1:2" x14ac:dyDescent="0.25">
      <c r="A875">
        <f ca="1">39320.8347172316*(RANDBETWEEN(2890,3282))</f>
        <v>125748029.42570677</v>
      </c>
      <c r="B875">
        <v>215046994.55893767</v>
      </c>
    </row>
    <row r="876" spans="1:2" x14ac:dyDescent="0.25">
      <c r="A876">
        <f ca="1">31971.5153686009*(RANDBETWEEN(2890,3282))</f>
        <v>100678301.89572421</v>
      </c>
      <c r="B876">
        <v>207787761.74037725</v>
      </c>
    </row>
    <row r="877" spans="1:2" x14ac:dyDescent="0.25">
      <c r="A877">
        <f ca="1">30497.3466622594*(RANDBETWEEN(2890,3282))</f>
        <v>96341118.106077477</v>
      </c>
      <c r="B877">
        <v>248797291.79327163</v>
      </c>
    </row>
    <row r="878" spans="1:2" x14ac:dyDescent="0.25">
      <c r="A878">
        <f ca="1">35302.3116760477*(RANDBETWEEN(2890,3282))</f>
        <v>105483307.28803064</v>
      </c>
      <c r="B878">
        <v>215717358.4592624</v>
      </c>
    </row>
    <row r="879" spans="1:2" x14ac:dyDescent="0.25">
      <c r="A879">
        <f ca="1">40844.1086315009*(RANDBETWEEN(2890,3282))</f>
        <v>128904006.84101671</v>
      </c>
      <c r="B879">
        <v>231578293.73098058</v>
      </c>
    </row>
    <row r="880" spans="1:2" x14ac:dyDescent="0.25">
      <c r="A880">
        <f ca="1">33568.2115019643*(RANDBETWEEN(2890,3282))</f>
        <v>105135638.42415224</v>
      </c>
      <c r="B880">
        <v>218996625.62526539</v>
      </c>
    </row>
    <row r="881" spans="1:2" x14ac:dyDescent="0.25">
      <c r="A881">
        <f ca="1">29997.5632106312*(RANDBETWEEN(2890,3282))</f>
        <v>89602721.310155347</v>
      </c>
      <c r="B881">
        <v>254737014.62510169</v>
      </c>
    </row>
    <row r="882" spans="1:2" x14ac:dyDescent="0.25">
      <c r="A882">
        <f ca="1">37182.3324946825*(RANDBETWEEN(2890,3282))</f>
        <v>114930589.74106368</v>
      </c>
      <c r="B882">
        <v>210207123.87819228</v>
      </c>
    </row>
    <row r="883" spans="1:2" x14ac:dyDescent="0.25">
      <c r="A883">
        <f ca="1">34194.4281725898*(RANDBETWEEN(2890,3282))</f>
        <v>103677506.21929239</v>
      </c>
      <c r="B883">
        <v>223486120.00667375</v>
      </c>
    </row>
    <row r="884" spans="1:2" x14ac:dyDescent="0.25">
      <c r="A884">
        <f ca="1">34608.5665766726*(RANDBETWEEN(2890,3282))</f>
        <v>100226408.80604389</v>
      </c>
      <c r="B884">
        <v>258352733.60784519</v>
      </c>
    </row>
    <row r="885" spans="1:2" x14ac:dyDescent="0.25">
      <c r="A885">
        <f ca="1">29170.653291154*(RANDBETWEEN(2890,3282))</f>
        <v>88095372.939285219</v>
      </c>
      <c r="B885">
        <v>250370406.73458096</v>
      </c>
    </row>
    <row r="886" spans="1:2" x14ac:dyDescent="0.25">
      <c r="A886">
        <f ca="1">30111.2252501143*(RANDBETWEEN(2890,3282))</f>
        <v>91809125.787598655</v>
      </c>
      <c r="B886">
        <v>209742521.94420174</v>
      </c>
    </row>
    <row r="887" spans="1:2" x14ac:dyDescent="0.25">
      <c r="A887">
        <f ca="1">32316.5777388323*(RANDBETWEEN(2890,3282))</f>
        <v>93911974.90904662</v>
      </c>
      <c r="B887">
        <v>239421721.85268098</v>
      </c>
    </row>
    <row r="888" spans="1:2" x14ac:dyDescent="0.25">
      <c r="A888">
        <f ca="1">31005.5533432233*(RANDBETWEEN(2890,3282))</f>
        <v>94442915.48345831</v>
      </c>
      <c r="B888">
        <v>238673232.13424468</v>
      </c>
    </row>
    <row r="889" spans="1:2" x14ac:dyDescent="0.25">
      <c r="A889">
        <f ca="1">28780.9421345045*(RANDBETWEEN(2890,3282))</f>
        <v>89882882.286057651</v>
      </c>
      <c r="B889">
        <v>224769885.61875543</v>
      </c>
    </row>
    <row r="890" spans="1:2" x14ac:dyDescent="0.25">
      <c r="A890">
        <f ca="1">31441.4258809398*(RANDBETWEEN(2890,3282))</f>
        <v>97782834.489722669</v>
      </c>
      <c r="B890">
        <v>243592838.16990098</v>
      </c>
    </row>
    <row r="891" spans="1:2" x14ac:dyDescent="0.25">
      <c r="A891">
        <f ca="1">32963.9513399585*(RANDBETWEEN(2890,3282))</f>
        <v>101232294.56501268</v>
      </c>
      <c r="B891">
        <v>222349895.69647577</v>
      </c>
    </row>
    <row r="892" spans="1:2" x14ac:dyDescent="0.25">
      <c r="A892">
        <f ca="1">27099.4203957426*(RANDBETWEEN(2890,3282))</f>
        <v>82300939.741870314</v>
      </c>
      <c r="B892">
        <v>220734495.29183072</v>
      </c>
    </row>
    <row r="893" spans="1:2" x14ac:dyDescent="0.25">
      <c r="A893">
        <f ca="1">33137.4326507295*(RANDBETWEEN(2890,3282))</f>
        <v>96098554.687115565</v>
      </c>
      <c r="B893">
        <v>258886267.24421677</v>
      </c>
    </row>
    <row r="894" spans="1:2" x14ac:dyDescent="0.25">
      <c r="A894">
        <f ca="1">39733.4472893542*(RANDBETWEEN(2890,3282))</f>
        <v>129610505.05787334</v>
      </c>
      <c r="B894">
        <v>227512305.74130294</v>
      </c>
    </row>
    <row r="895" spans="1:2" x14ac:dyDescent="0.25">
      <c r="A895">
        <f ca="1">34701.8110773968*(RANDBETWEEN(2890,3282))</f>
        <v>108200246.93932322</v>
      </c>
      <c r="B895">
        <v>227742632.75585708</v>
      </c>
    </row>
    <row r="896" spans="1:2" x14ac:dyDescent="0.25">
      <c r="A896">
        <f ca="1">34692.3736982239*(RANDBETWEEN(2890,3282))</f>
        <v>105638277.91109173</v>
      </c>
      <c r="B896">
        <v>251744389.14758271</v>
      </c>
    </row>
    <row r="897" spans="1:2" x14ac:dyDescent="0.25">
      <c r="A897">
        <f ca="1">33806.6903197895*(RANDBETWEEN(2890,3282))</f>
        <v>106119200.91381913</v>
      </c>
      <c r="B897">
        <v>238116270.74227506</v>
      </c>
    </row>
    <row r="898" spans="1:2" x14ac:dyDescent="0.25">
      <c r="A898">
        <f ca="1">29021.6109236897*(RANDBETWEEN(2890,3282))</f>
        <v>89734820.976048633</v>
      </c>
      <c r="B898">
        <v>207623189.88985956</v>
      </c>
    </row>
    <row r="899" spans="1:2" x14ac:dyDescent="0.25">
      <c r="A899">
        <f ca="1">38696.3159379992*(RANDBETWEEN(2890,3282))</f>
        <v>114386309.91272575</v>
      </c>
      <c r="B899">
        <v>239997823.84617189</v>
      </c>
    </row>
    <row r="900" spans="1:2" x14ac:dyDescent="0.25">
      <c r="A900">
        <f ca="1">35068.1111093272*(RANDBETWEEN(2890,3282))</f>
        <v>104327630.55024838</v>
      </c>
      <c r="B900">
        <v>247360009.39442587</v>
      </c>
    </row>
    <row r="901" spans="1:2" x14ac:dyDescent="0.25">
      <c r="A901">
        <f ca="1">40809.2397569337*(RANDBETWEEN(2890,3282))</f>
        <v>130630376.46194483</v>
      </c>
      <c r="B901">
        <v>216501740.27526161</v>
      </c>
    </row>
    <row r="902" spans="1:2" x14ac:dyDescent="0.25">
      <c r="A902">
        <f ca="1">32416.859903561*(RANDBETWEEN(2890,3282))</f>
        <v>104868541.78801978</v>
      </c>
      <c r="B902">
        <v>245754946.54925001</v>
      </c>
    </row>
    <row r="903" spans="1:2" x14ac:dyDescent="0.25">
      <c r="A903">
        <f ca="1">32527.6984724293*(RANDBETWEEN(2890,3282))</f>
        <v>104999410.6690017</v>
      </c>
      <c r="B903">
        <v>255483067.47820151</v>
      </c>
    </row>
    <row r="904" spans="1:2" x14ac:dyDescent="0.25">
      <c r="A904">
        <f ca="1">28919.7557453592*(RANDBETWEEN(2890,3282))</f>
        <v>88957168.672724783</v>
      </c>
      <c r="B904">
        <v>264962503.95072943</v>
      </c>
    </row>
    <row r="905" spans="1:2" x14ac:dyDescent="0.25">
      <c r="A905">
        <f ca="1">31175.1281036723*(RANDBETWEEN(2890,3282))</f>
        <v>99012206.857263327</v>
      </c>
      <c r="B905">
        <v>248864390.3810575</v>
      </c>
    </row>
    <row r="906" spans="1:2" x14ac:dyDescent="0.25">
      <c r="A906">
        <f ca="1">35329.5949570495*(RANDBETWEEN(2890,3282))</f>
        <v>107295979.88455947</v>
      </c>
      <c r="B906">
        <v>203813162.10958004</v>
      </c>
    </row>
    <row r="907" spans="1:2" x14ac:dyDescent="0.25">
      <c r="A907">
        <f ca="1">30832.6287689319*(RANDBETWEEN(2890,3282))</f>
        <v>91973731.617723733</v>
      </c>
      <c r="B907">
        <v>213916424.72694746</v>
      </c>
    </row>
    <row r="908" spans="1:2" x14ac:dyDescent="0.25">
      <c r="A908">
        <f ca="1">30089.020789442*(RANDBETWEEN(2890,3282))</f>
        <v>94389258.216479436</v>
      </c>
      <c r="B908">
        <v>265385312.16004336</v>
      </c>
    </row>
    <row r="909" spans="1:2" x14ac:dyDescent="0.25">
      <c r="A909">
        <f ca="1">38921.3919762269*(RANDBETWEEN(2890,3282))</f>
        <v>116647411.75275202</v>
      </c>
      <c r="B909">
        <v>205559477.33252841</v>
      </c>
    </row>
    <row r="910" spans="1:2" x14ac:dyDescent="0.25">
      <c r="A910">
        <f ca="1">40487.3089878668*(RANDBETWEEN(2890,3282))</f>
        <v>124498475.13769042</v>
      </c>
      <c r="B910">
        <v>237032289.80533534</v>
      </c>
    </row>
    <row r="911" spans="1:2" x14ac:dyDescent="0.25">
      <c r="A911">
        <f ca="1">34061.1199664442*(RANDBETWEEN(2890,3282))</f>
        <v>105180738.45637982</v>
      </c>
      <c r="B911">
        <v>242047242.53496143</v>
      </c>
    </row>
    <row r="912" spans="1:2" x14ac:dyDescent="0.25">
      <c r="A912">
        <f ca="1">38974.7711091195*(RANDBETWEEN(2890,3282))</f>
        <v>112715038.04757348</v>
      </c>
      <c r="B912">
        <v>247468420.47188643</v>
      </c>
    </row>
    <row r="913" spans="1:2" x14ac:dyDescent="0.25">
      <c r="A913">
        <f ca="1">31405.6165669103*(RANDBETWEEN(2890,3282))</f>
        <v>91296127.360008255</v>
      </c>
      <c r="B913">
        <v>225288403.35466087</v>
      </c>
    </row>
    <row r="914" spans="1:2" x14ac:dyDescent="0.25">
      <c r="A914">
        <f ca="1">32041.0974446314*(RANDBETWEEN(2890,3282))</f>
        <v>97789429.401015148</v>
      </c>
      <c r="B914">
        <v>223017560.60077414</v>
      </c>
    </row>
    <row r="915" spans="1:2" x14ac:dyDescent="0.25">
      <c r="A915">
        <f ca="1">32768.4946028647*(RANDBETWEEN(2890,3282))</f>
        <v>94799254.886087522</v>
      </c>
      <c r="B915">
        <v>214088541.50670442</v>
      </c>
    </row>
    <row r="916" spans="1:2" x14ac:dyDescent="0.25">
      <c r="A916">
        <f ca="1">34278.5834846667*(RANDBETWEEN(2890,3282))</f>
        <v>111371117.7416822</v>
      </c>
      <c r="B916">
        <v>256684407.79954758</v>
      </c>
    </row>
    <row r="917" spans="1:2" x14ac:dyDescent="0.25">
      <c r="A917">
        <f ca="1">30601.462945378*(RANDBETWEEN(2890,3282))</f>
        <v>90763939.09599112</v>
      </c>
      <c r="B917">
        <v>244515484.47810683</v>
      </c>
    </row>
    <row r="918" spans="1:2" x14ac:dyDescent="0.25">
      <c r="A918">
        <f ca="1">33159.022458362*(RANDBETWEEN(2890,3282))</f>
        <v>98415978.656418368</v>
      </c>
      <c r="B918">
        <v>262533244.71945828</v>
      </c>
    </row>
    <row r="919" spans="1:2" x14ac:dyDescent="0.25">
      <c r="A919">
        <f ca="1">38001.128849359*(RANDBETWEEN(2890,3282))</f>
        <v>123769676.6623624</v>
      </c>
      <c r="B919">
        <v>253272763.86282331</v>
      </c>
    </row>
    <row r="920" spans="1:2" x14ac:dyDescent="0.25">
      <c r="A920">
        <f ca="1">40225.4468927099*(RANDBETWEEN(2890,3282))</f>
        <v>130410898.82616562</v>
      </c>
      <c r="B920">
        <v>258985439.83895889</v>
      </c>
    </row>
    <row r="921" spans="1:2" x14ac:dyDescent="0.25">
      <c r="A921">
        <f ca="1">33519.1036252426*(RANDBETWEEN(2890,3282))</f>
        <v>102534937.98961715</v>
      </c>
      <c r="B921">
        <v>223337269.38790476</v>
      </c>
    </row>
    <row r="922" spans="1:2" x14ac:dyDescent="0.25">
      <c r="A922">
        <f ca="1">31699.0834768309*(RANDBETWEEN(2890,3282))</f>
        <v>102831826.7988393</v>
      </c>
      <c r="B922">
        <v>221388365.66426411</v>
      </c>
    </row>
    <row r="923" spans="1:2" x14ac:dyDescent="0.25">
      <c r="A923">
        <f ca="1">35568.9213173926*(RANDBETWEEN(2890,3282))</f>
        <v>103861250.2467864</v>
      </c>
      <c r="B923">
        <v>266036052.60454017</v>
      </c>
    </row>
    <row r="924" spans="1:2" x14ac:dyDescent="0.25">
      <c r="A924">
        <f ca="1">34366.4095605394*(RANDBETWEEN(2890,3282))</f>
        <v>101105976.92710701</v>
      </c>
      <c r="B924">
        <v>229092089.62314847</v>
      </c>
    </row>
    <row r="925" spans="1:2" x14ac:dyDescent="0.25">
      <c r="A925">
        <f ca="1">29358.744306841*(RANDBETWEEN(2890,3282))</f>
        <v>87342264.31285201</v>
      </c>
      <c r="B925">
        <v>227590766.53824815</v>
      </c>
    </row>
    <row r="926" spans="1:2" x14ac:dyDescent="0.25">
      <c r="A926">
        <f ca="1">30543.9771506043*(RANDBETWEEN(2890,3282))</f>
        <v>96580055.750210658</v>
      </c>
      <c r="B926">
        <v>257162727.04567489</v>
      </c>
    </row>
    <row r="927" spans="1:2" x14ac:dyDescent="0.25">
      <c r="A927">
        <f ca="1">35820.5211624609*(RANDBETWEEN(2890,3282))</f>
        <v>114160000.94476275</v>
      </c>
      <c r="B927">
        <v>206066476.01558262</v>
      </c>
    </row>
    <row r="928" spans="1:2" x14ac:dyDescent="0.25">
      <c r="A928">
        <f ca="1">29637.6594855861*(RANDBETWEEN(2890,3282))</f>
        <v>89742832.922354639</v>
      </c>
      <c r="B928">
        <v>242629082.17235553</v>
      </c>
    </row>
    <row r="929" spans="1:2" x14ac:dyDescent="0.25">
      <c r="A929">
        <f ca="1">35736.492189351*(RANDBETWEEN(2890,3282))</f>
        <v>104350557.1929048</v>
      </c>
      <c r="B929">
        <v>228207176.08800793</v>
      </c>
    </row>
    <row r="930" spans="1:2" x14ac:dyDescent="0.25">
      <c r="A930">
        <f ca="1">31138.1269707028*(RANDBETWEEN(2890,3282))</f>
        <v>101043222.01993074</v>
      </c>
      <c r="B930">
        <v>238753734.68447542</v>
      </c>
    </row>
    <row r="931" spans="1:2" x14ac:dyDescent="0.25">
      <c r="A931">
        <f ca="1">32416.4952762738*(RANDBETWEEN(2890,3282))</f>
        <v>96341823.961085677</v>
      </c>
      <c r="B931">
        <v>216182877.15159637</v>
      </c>
    </row>
    <row r="932" spans="1:2" x14ac:dyDescent="0.25">
      <c r="A932">
        <f ca="1">33408.0178515994*(RANDBETWEEN(2890,3282))</f>
        <v>101293110.12604928</v>
      </c>
      <c r="B932">
        <v>215813069.10651034</v>
      </c>
    </row>
    <row r="933" spans="1:2" x14ac:dyDescent="0.25">
      <c r="A933">
        <f ca="1">29053.9324300694*(RANDBETWEEN(2890,3282))</f>
        <v>84198296.182341218</v>
      </c>
      <c r="B933">
        <v>225169627.9854849</v>
      </c>
    </row>
    <row r="934" spans="1:2" x14ac:dyDescent="0.25">
      <c r="A934">
        <f ca="1">32001.8862432148*(RANDBETWEEN(2890,3282))</f>
        <v>98373798.311642304</v>
      </c>
      <c r="B934">
        <v>214814351.46103847</v>
      </c>
    </row>
    <row r="935" spans="1:2" x14ac:dyDescent="0.25">
      <c r="A935">
        <f ca="1">30025.9010588599*(RANDBETWEEN(2890,3282))</f>
        <v>89086848.441637427</v>
      </c>
      <c r="B935">
        <v>232989299.93504158</v>
      </c>
    </row>
    <row r="936" spans="1:2" x14ac:dyDescent="0.25">
      <c r="A936">
        <f ca="1">28621.0609832398*(RANDBETWEEN(2890,3282))</f>
        <v>82743487.302546248</v>
      </c>
      <c r="B936">
        <v>233658366.29186267</v>
      </c>
    </row>
    <row r="937" spans="1:2" x14ac:dyDescent="0.25">
      <c r="A937">
        <f ca="1">39319.4154709761*(RANDBETWEEN(2890,3282))</f>
        <v>120946521.98872256</v>
      </c>
      <c r="B937">
        <v>265723477.77466077</v>
      </c>
    </row>
    <row r="938" spans="1:2" x14ac:dyDescent="0.25">
      <c r="A938">
        <f ca="1">34982.0119080547*(RANDBETWEEN(2890,3282))</f>
        <v>105680657.97423322</v>
      </c>
      <c r="B938">
        <v>267290976.14762816</v>
      </c>
    </row>
    <row r="939" spans="1:2" x14ac:dyDescent="0.25">
      <c r="A939">
        <f ca="1">36093.0884573582*(RANDBETWEEN(2890,3282))</f>
        <v>111924667.30626787</v>
      </c>
      <c r="B939">
        <v>235089136.21347857</v>
      </c>
    </row>
    <row r="940" spans="1:2" x14ac:dyDescent="0.25">
      <c r="A940">
        <f ca="1">41427.381568179*(RANDBETWEEN(2890,3282))</f>
        <v>124654991.13865075</v>
      </c>
      <c r="B940">
        <v>207199786.20749372</v>
      </c>
    </row>
    <row r="941" spans="1:2" x14ac:dyDescent="0.25">
      <c r="A941">
        <f ca="1">36681.3072676672*(RANDBETWEEN(2890,3282))</f>
        <v>106742604.14891163</v>
      </c>
      <c r="B941">
        <v>241736411.53222281</v>
      </c>
    </row>
    <row r="942" spans="1:2" x14ac:dyDescent="0.25">
      <c r="A942">
        <f ca="1">30477.1723446175*(RANDBETWEEN(2890,3282))</f>
        <v>96582159.16009289</v>
      </c>
      <c r="B942">
        <v>222717426.91536677</v>
      </c>
    </row>
    <row r="943" spans="1:2" x14ac:dyDescent="0.25">
      <c r="A943">
        <f ca="1">29448.352102391*(RANDBETWEEN(2890,3282))</f>
        <v>89493542.039166152</v>
      </c>
      <c r="B943">
        <v>249736463.20984575</v>
      </c>
    </row>
    <row r="944" spans="1:2" x14ac:dyDescent="0.25">
      <c r="A944">
        <f ca="1">36451.389595513*(RANDBETWEEN(2890,3282))</f>
        <v>110301904.91602238</v>
      </c>
      <c r="B944">
        <v>251629094.14952287</v>
      </c>
    </row>
    <row r="945" spans="1:2" x14ac:dyDescent="0.25">
      <c r="A945">
        <f ca="1">40408.8544655757*(RANDBETWEEN(2890,3282))</f>
        <v>120741657.14314023</v>
      </c>
      <c r="B945">
        <v>233867111.77701738</v>
      </c>
    </row>
    <row r="946" spans="1:2" x14ac:dyDescent="0.25">
      <c r="A946">
        <f ca="1">31563.4602233876*(RANDBETWEEN(2890,3282))</f>
        <v>94816634.511056244</v>
      </c>
      <c r="B946">
        <v>211207378.60500652</v>
      </c>
    </row>
    <row r="947" spans="1:2" x14ac:dyDescent="0.25">
      <c r="A947">
        <f ca="1">33003.0234140715*(RANDBETWEEN(2890,3282))</f>
        <v>103563487.47335631</v>
      </c>
      <c r="B947">
        <v>262305711.71064153</v>
      </c>
    </row>
    <row r="948" spans="1:2" x14ac:dyDescent="0.25">
      <c r="A948">
        <f ca="1">38575.8175149416*(RANDBETWEEN(2890,3282))</f>
        <v>117926274.14317657</v>
      </c>
      <c r="B948">
        <v>210939294.44176033</v>
      </c>
    </row>
    <row r="949" spans="1:2" x14ac:dyDescent="0.25">
      <c r="A949">
        <f ca="1">36242.1518896895*(RANDBETWEEN(2890,3282))</f>
        <v>105682114.9103346</v>
      </c>
      <c r="B949">
        <v>214788211.2641964</v>
      </c>
    </row>
    <row r="950" spans="1:2" x14ac:dyDescent="0.25">
      <c r="A950">
        <f ca="1">33478.5538012165*(RANDBETWEEN(2890,3282))</f>
        <v>96819977.593118116</v>
      </c>
      <c r="B950">
        <v>258614992.42419863</v>
      </c>
    </row>
    <row r="951" spans="1:2" x14ac:dyDescent="0.25">
      <c r="A951">
        <f ca="1">32591.5952413825*(RANDBETWEEN(2890,3282))</f>
        <v>103087215.7484927</v>
      </c>
      <c r="B951">
        <v>234116861.32754457</v>
      </c>
    </row>
    <row r="952" spans="1:2" x14ac:dyDescent="0.25">
      <c r="A952">
        <f ca="1">30611.246469427*(RANDBETWEEN(2890,3282))</f>
        <v>89384839.690726817</v>
      </c>
      <c r="B952">
        <v>214714135.04929385</v>
      </c>
    </row>
    <row r="953" spans="1:2" x14ac:dyDescent="0.25">
      <c r="A953">
        <f ca="1">31195.8184420386*(RANDBETWEEN(2890,3282))</f>
        <v>93275497.141695336</v>
      </c>
      <c r="B953">
        <v>248255739.47226721</v>
      </c>
    </row>
    <row r="954" spans="1:2" x14ac:dyDescent="0.25">
      <c r="A954">
        <f ca="1">35067.3068579109*(RANDBETWEEN(2890,3282))</f>
        <v>114424622.27736326</v>
      </c>
      <c r="B954">
        <v>235633930.33505452</v>
      </c>
    </row>
    <row r="955" spans="1:2" x14ac:dyDescent="0.25">
      <c r="A955">
        <f ca="1">33023.8843864239*(RANDBETWEEN(2890,3282))</f>
        <v>98444199.355929673</v>
      </c>
      <c r="B955">
        <v>261945656.28527397</v>
      </c>
    </row>
    <row r="956" spans="1:2" x14ac:dyDescent="0.25">
      <c r="A956">
        <f ca="1">28551.7110793411*(RANDBETWEEN(2890,3282))</f>
        <v>85341064.416150644</v>
      </c>
      <c r="B956">
        <v>216542222.39585093</v>
      </c>
    </row>
    <row r="957" spans="1:2" x14ac:dyDescent="0.25">
      <c r="A957">
        <f ca="1">29580.7923563273*(RANDBETWEEN(2890,3282))</f>
        <v>95427636.141511977</v>
      </c>
      <c r="B957">
        <v>243646653.87917513</v>
      </c>
    </row>
    <row r="958" spans="1:2" x14ac:dyDescent="0.25">
      <c r="A958">
        <f ca="1">32139.1556577858*(RANDBETWEEN(2890,3282))</f>
        <v>96995971.77519764</v>
      </c>
      <c r="B958">
        <v>213022896.61541331</v>
      </c>
    </row>
    <row r="959" spans="1:2" x14ac:dyDescent="0.25">
      <c r="A959">
        <f ca="1">34467.6465141789*(RANDBETWEEN(2890,3282))</f>
        <v>100335319.00277463</v>
      </c>
      <c r="B959">
        <v>246115723.11924699</v>
      </c>
    </row>
    <row r="960" spans="1:2" x14ac:dyDescent="0.25">
      <c r="A960">
        <f ca="1">40262.0993342664*(RANDBETWEEN(2890,3282))</f>
        <v>116719825.97003824</v>
      </c>
      <c r="B960">
        <v>228724954.68155992</v>
      </c>
    </row>
    <row r="961" spans="1:2" x14ac:dyDescent="0.25">
      <c r="A961">
        <f ca="1">33869.8615722571*(RANDBETWEEN(2890,3282))</f>
        <v>111127015.81857547</v>
      </c>
      <c r="B961">
        <v>267121906.43325019</v>
      </c>
    </row>
    <row r="962" spans="1:2" x14ac:dyDescent="0.25">
      <c r="A962">
        <f ca="1">34094.1106058225*(RANDBETWEEN(2890,3282))</f>
        <v>103100590.47200739</v>
      </c>
      <c r="B962">
        <v>207048504.42853543</v>
      </c>
    </row>
    <row r="963" spans="1:2" x14ac:dyDescent="0.25">
      <c r="A963">
        <f ca="1">31380.4963059794*(RANDBETWEEN(2890,3282))</f>
        <v>93137313.036146909</v>
      </c>
      <c r="B963">
        <v>221300828.25093383</v>
      </c>
    </row>
    <row r="964" spans="1:2" x14ac:dyDescent="0.25">
      <c r="A964">
        <f ca="1">30880.5449592205*(RANDBETWEEN(2890,3282))</f>
        <v>91838740.708721727</v>
      </c>
      <c r="B964">
        <v>254094621.59109166</v>
      </c>
    </row>
    <row r="965" spans="1:2" x14ac:dyDescent="0.25">
      <c r="A965">
        <f ca="1">41856.8839143877*(RANDBETWEEN(2890,3282))</f>
        <v>135114021.27564335</v>
      </c>
      <c r="B965">
        <v>250894901.08643708</v>
      </c>
    </row>
    <row r="966" spans="1:2" x14ac:dyDescent="0.25">
      <c r="A966">
        <f ca="1">31866.7867360071*(RANDBETWEEN(2890,3282))</f>
        <v>102770387.22362278</v>
      </c>
      <c r="B966">
        <v>204024457.93547532</v>
      </c>
    </row>
    <row r="967" spans="1:2" x14ac:dyDescent="0.25">
      <c r="A967">
        <f ca="1">41287.4978850524*(RANDBETWEEN(2890,3282))</f>
        <v>129353730.87386918</v>
      </c>
      <c r="B967">
        <v>239506015.10762817</v>
      </c>
    </row>
    <row r="968" spans="1:2" x14ac:dyDescent="0.25">
      <c r="A968">
        <f ca="1">38281.5256947656*(RANDBETWEEN(2890,3282))</f>
        <v>111437521.2974626</v>
      </c>
      <c r="B968">
        <v>223522437.63817227</v>
      </c>
    </row>
    <row r="969" spans="1:2" x14ac:dyDescent="0.25">
      <c r="A969">
        <f ca="1">34304.4894632018*(RANDBETWEEN(2890,3282))</f>
        <v>100340631.67986532</v>
      </c>
      <c r="B969">
        <v>223167521.70299527</v>
      </c>
    </row>
    <row r="970" spans="1:2" x14ac:dyDescent="0.25">
      <c r="A970">
        <f ca="1">31777.9307790944*(RANDBETWEEN(2890,3282))</f>
        <v>95206680.614166871</v>
      </c>
      <c r="B970">
        <v>229563429.19378403</v>
      </c>
    </row>
    <row r="971" spans="1:2" x14ac:dyDescent="0.25">
      <c r="A971">
        <f ca="1">31931.621533661*(RANDBETWEEN(2890,3282))</f>
        <v>102436641.87998459</v>
      </c>
      <c r="B971">
        <v>264591210.88136199</v>
      </c>
    </row>
    <row r="972" spans="1:2" x14ac:dyDescent="0.25">
      <c r="A972">
        <f ca="1">27961.8688047275*(RANDBETWEEN(2890,3282))</f>
        <v>86430136.475412771</v>
      </c>
      <c r="B972">
        <v>224865165.63414776</v>
      </c>
    </row>
    <row r="973" spans="1:2" x14ac:dyDescent="0.25">
      <c r="A973">
        <f ca="1">35375.3896804561*(RANDBETWEEN(2890,3282))</f>
        <v>111290975.93471491</v>
      </c>
      <c r="B973">
        <v>237842652.83986056</v>
      </c>
    </row>
    <row r="974" spans="1:2" x14ac:dyDescent="0.25">
      <c r="A974">
        <f ca="1">38140.82043724*(RANDBETWEEN(2890,3282))</f>
        <v>123766962.31884387</v>
      </c>
      <c r="B974">
        <v>210357652.79455587</v>
      </c>
    </row>
    <row r="975" spans="1:2" x14ac:dyDescent="0.25">
      <c r="A975">
        <f ca="1">31637.3905810857*(RANDBETWEEN(2890,3282))</f>
        <v>98455559.488338813</v>
      </c>
      <c r="B975">
        <v>204957943.79669341</v>
      </c>
    </row>
    <row r="976" spans="1:2" x14ac:dyDescent="0.25">
      <c r="A976">
        <f ca="1">31303.419268834*(RANDBETWEEN(2890,3282))</f>
        <v>95099787.738717809</v>
      </c>
      <c r="B976">
        <v>216253457.09078738</v>
      </c>
    </row>
    <row r="977" spans="1:2" x14ac:dyDescent="0.25">
      <c r="A977">
        <f ca="1">39002.7903614315*(RANDBETWEEN(2890,3282))</f>
        <v>124106878.93007515</v>
      </c>
      <c r="B977">
        <v>240006485.17615879</v>
      </c>
    </row>
    <row r="978" spans="1:2" x14ac:dyDescent="0.25">
      <c r="A978">
        <f ca="1">27726.417910962*(RANDBETWEEN(2890,3282))</f>
        <v>84149678.359769613</v>
      </c>
      <c r="B978">
        <v>226116491.13064557</v>
      </c>
    </row>
    <row r="979" spans="1:2" x14ac:dyDescent="0.25">
      <c r="A979">
        <f ca="1">38985.5286370981*(RANDBETWEEN(2890,3282))</f>
        <v>114188613.37806036</v>
      </c>
      <c r="B979">
        <v>205898158.12027687</v>
      </c>
    </row>
    <row r="980" spans="1:2" x14ac:dyDescent="0.25">
      <c r="A980">
        <f ca="1">37799.2158249869*(RANDBETWEEN(2890,3282))</f>
        <v>117101970.62580928</v>
      </c>
      <c r="B980">
        <v>215771402.4174282</v>
      </c>
    </row>
    <row r="981" spans="1:2" x14ac:dyDescent="0.25">
      <c r="A981">
        <f ca="1">33093.8425321356*(RANDBETWEEN(2890,3282))</f>
        <v>100505999.77009578</v>
      </c>
      <c r="B981">
        <v>205205914.47448635</v>
      </c>
    </row>
    <row r="982" spans="1:2" x14ac:dyDescent="0.25">
      <c r="A982">
        <f ca="1">35674.2289894687*(RANDBETWEEN(2890,3282))</f>
        <v>111160897.53118435</v>
      </c>
      <c r="B982">
        <v>223879195.70551157</v>
      </c>
    </row>
    <row r="983" spans="1:2" x14ac:dyDescent="0.25">
      <c r="A983">
        <f ca="1">33908.2977308765*(RANDBETWEEN(2890,3282))</f>
        <v>106675504.66133735</v>
      </c>
      <c r="B983">
        <v>222272153.63757041</v>
      </c>
    </row>
    <row r="984" spans="1:2" x14ac:dyDescent="0.25">
      <c r="A984">
        <f ca="1">29569.876591079*(RANDBETWEEN(2890,3282))</f>
        <v>90986510.270749986</v>
      </c>
      <c r="B984">
        <v>213660107.85355005</v>
      </c>
    </row>
    <row r="985" spans="1:2" x14ac:dyDescent="0.25">
      <c r="A985">
        <f ca="1">33939.4997445215*(RANDBETWEEN(2890,3282))</f>
        <v>103210018.72308983</v>
      </c>
      <c r="B985">
        <v>242467745.77668822</v>
      </c>
    </row>
    <row r="986" spans="1:2" x14ac:dyDescent="0.25">
      <c r="A986">
        <f ca="1">40305.387394301*(RANDBETWEEN(2890,3282))</f>
        <v>131798616.77936438</v>
      </c>
      <c r="B986">
        <v>232050870.03759491</v>
      </c>
    </row>
    <row r="987" spans="1:2" x14ac:dyDescent="0.25">
      <c r="A987">
        <f ca="1">31417.9113224906*(RANDBETWEEN(2890,3282))</f>
        <v>95416196.686404049</v>
      </c>
      <c r="B987">
        <v>241994140.56068057</v>
      </c>
    </row>
    <row r="988" spans="1:2" x14ac:dyDescent="0.25">
      <c r="A988">
        <f ca="1">30765.153628704*(RANDBETWEEN(2890,3282))</f>
        <v>93895248.87480475</v>
      </c>
      <c r="B988">
        <v>224907696.19003862</v>
      </c>
    </row>
    <row r="989" spans="1:2" x14ac:dyDescent="0.25">
      <c r="A989">
        <f ca="1">40828.2590501623*(RANDBETWEEN(2890,3282))</f>
        <v>118442779.5045208</v>
      </c>
      <c r="B989">
        <v>254993485.74559993</v>
      </c>
    </row>
    <row r="990" spans="1:2" x14ac:dyDescent="0.25">
      <c r="A990">
        <f ca="1">33196.5883333574*(RANDBETWEEN(2890,3282))</f>
        <v>103208193.12840809</v>
      </c>
      <c r="B990">
        <v>214396563.73537594</v>
      </c>
    </row>
    <row r="991" spans="1:2" x14ac:dyDescent="0.25">
      <c r="A991">
        <f ca="1">30433.0163645701*(RANDBETWEEN(2890,3282))</f>
        <v>88468778.571805343</v>
      </c>
      <c r="B991">
        <v>232565379.36967516</v>
      </c>
    </row>
    <row r="992" spans="1:2" x14ac:dyDescent="0.25">
      <c r="A992">
        <f ca="1">32427.5399181509*(RANDBETWEEN(2890,3282))</f>
        <v>100622656.36602233</v>
      </c>
      <c r="B992">
        <v>250507621.75302976</v>
      </c>
    </row>
    <row r="993" spans="1:2" x14ac:dyDescent="0.25">
      <c r="A993">
        <f ca="1">39500.189083381*(RANDBETWEEN(2890,3282))</f>
        <v>121107579.7296463</v>
      </c>
      <c r="B993">
        <v>229252512.51549298</v>
      </c>
    </row>
    <row r="994" spans="1:2" x14ac:dyDescent="0.25">
      <c r="A994">
        <f ca="1">30721.7829645997*(RANDBETWEEN(2890,3282))</f>
        <v>93240611.297560155</v>
      </c>
      <c r="B994">
        <v>206264298.24431914</v>
      </c>
    </row>
    <row r="995" spans="1:2" x14ac:dyDescent="0.25">
      <c r="A995">
        <f ca="1">38140.8972716694*(RANDBETWEEN(2890,3282))</f>
        <v>115795764.11678816</v>
      </c>
      <c r="B995">
        <v>254988960.65658808</v>
      </c>
    </row>
    <row r="996" spans="1:2" x14ac:dyDescent="0.25">
      <c r="A996">
        <f ca="1">41785.2543104668*(RANDBETWEEN(2890,3282))</f>
        <v>121804016.31501083</v>
      </c>
      <c r="B996">
        <v>250103417.93120202</v>
      </c>
    </row>
    <row r="997" spans="1:2" x14ac:dyDescent="0.25">
      <c r="A997">
        <f ca="1">37117.1638515116*(RANDBETWEEN(2890,3282))</f>
        <v>108827524.4126319</v>
      </c>
      <c r="B997">
        <v>254194429.4141826</v>
      </c>
    </row>
    <row r="998" spans="1:2" x14ac:dyDescent="0.25">
      <c r="A998">
        <f ca="1">42057.3959261526*(RANDBETWEEN(2890,3282))</f>
        <v>122681423.91658704</v>
      </c>
      <c r="B998">
        <v>216757379.1101557</v>
      </c>
    </row>
    <row r="999" spans="1:2" x14ac:dyDescent="0.25">
      <c r="A999">
        <f ca="1">42559.5983381968*(RANDBETWEEN(2890,3282))</f>
        <v>133892496.37196705</v>
      </c>
      <c r="B999">
        <v>238573904.68020844</v>
      </c>
    </row>
    <row r="1000" spans="1:2" x14ac:dyDescent="0.25">
      <c r="A1000">
        <f ca="1">30723.303354063*(RANDBETWEEN(2890,3282))</f>
        <v>92231356.668897241</v>
      </c>
      <c r="B1000">
        <v>219765537.60333049</v>
      </c>
    </row>
    <row r="1001" spans="1:2" x14ac:dyDescent="0.25">
      <c r="A1001">
        <f ca="1">34107.113137587*(RANDBETWEEN(2890,3282))</f>
        <v>108324191.32497646</v>
      </c>
      <c r="B1001">
        <v>239006752.38952616</v>
      </c>
    </row>
    <row r="1002" spans="1:2" x14ac:dyDescent="0.25">
      <c r="A1002">
        <f ca="1">42144.8449476173*(RANDBETWEEN(2890,3282))</f>
        <v>125128044.64947583</v>
      </c>
      <c r="B1002">
        <v>244556706.32368958</v>
      </c>
    </row>
    <row r="1003" spans="1:2" x14ac:dyDescent="0.25">
      <c r="A1003">
        <f ca="1">39751.5319155334*(RANDBETWEEN(2890,3282))</f>
        <v>118976335.02319141</v>
      </c>
      <c r="B1003">
        <v>226084156.48753339</v>
      </c>
    </row>
    <row r="1004" spans="1:2" x14ac:dyDescent="0.25">
      <c r="A1004">
        <f ca="1">31706.4939119922*(RANDBETWEEN(2890,3282))</f>
        <v>96165796.035072371</v>
      </c>
      <c r="B1004">
        <v>239228373.80694497</v>
      </c>
    </row>
    <row r="1005" spans="1:2" x14ac:dyDescent="0.25">
      <c r="A1005">
        <f ca="1">30683.9780766303*(RANDBETWEEN(2890,3282))</f>
        <v>94936228.169094175</v>
      </c>
      <c r="B1005">
        <v>233021437.07528836</v>
      </c>
    </row>
    <row r="1006" spans="1:2" x14ac:dyDescent="0.25">
      <c r="A1006">
        <f ca="1">29393.033446787*(RANDBETWEEN(2890,3282))</f>
        <v>92588055.357379049</v>
      </c>
      <c r="B1006">
        <v>251453968.89866322</v>
      </c>
    </row>
    <row r="1007" spans="1:2" x14ac:dyDescent="0.25">
      <c r="A1007">
        <f ca="1">30702.4794680646*(RANDBETWEEN(2890,3282))</f>
        <v>95208388.830468342</v>
      </c>
      <c r="B1007">
        <v>236101673.43327698</v>
      </c>
    </row>
    <row r="1008" spans="1:2" x14ac:dyDescent="0.25">
      <c r="A1008">
        <f ca="1">30600.4337211444*(RANDBETWEEN(2890,3282))</f>
        <v>98533396.582084998</v>
      </c>
      <c r="B1008">
        <v>259707096.75591069</v>
      </c>
    </row>
    <row r="1009" spans="1:2" x14ac:dyDescent="0.25">
      <c r="A1009">
        <f ca="1">38899.9895140662*(RANDBETWEEN(2890,3282))</f>
        <v>127047365.75294025</v>
      </c>
      <c r="B1009">
        <v>240470638.35290426</v>
      </c>
    </row>
    <row r="1010" spans="1:2" x14ac:dyDescent="0.25">
      <c r="A1010">
        <f ca="1">29338.055445866*(RANDBETWEEN(2890,3282))</f>
        <v>88776955.779190436</v>
      </c>
      <c r="B1010">
        <v>216248571.99826658</v>
      </c>
    </row>
    <row r="1011" spans="1:2" x14ac:dyDescent="0.25">
      <c r="A1011">
        <f ca="1">40407.3703238276*(RANDBETWEEN(2890,3282))</f>
        <v>119767445.63982494</v>
      </c>
      <c r="B1011">
        <v>219558815.67606473</v>
      </c>
    </row>
    <row r="1012" spans="1:2" x14ac:dyDescent="0.25">
      <c r="A1012">
        <f ca="1">37614.0032622905*(RANDBETWEEN(2890,3282))</f>
        <v>110622783.59439644</v>
      </c>
      <c r="B1012">
        <v>259000644.18523163</v>
      </c>
    </row>
    <row r="1013" spans="1:2" x14ac:dyDescent="0.25">
      <c r="A1013">
        <f ca="1">33063.5514821232*(RANDBETWEEN(2890,3282))</f>
        <v>102860708.66088516</v>
      </c>
      <c r="B1013">
        <v>205556136.81059137</v>
      </c>
    </row>
    <row r="1014" spans="1:2" x14ac:dyDescent="0.25">
      <c r="A1014">
        <f ca="1">28756.9439689545*(RANDBETWEEN(2890,3282))</f>
        <v>86328345.794801429</v>
      </c>
      <c r="B1014">
        <v>227758425.45128888</v>
      </c>
    </row>
    <row r="1015" spans="1:2" x14ac:dyDescent="0.25">
      <c r="A1015">
        <f ca="1">36364.1227279854*(RANDBETWEEN(2890,3282))</f>
        <v>109528737.65669231</v>
      </c>
      <c r="B1015">
        <v>204028823.07295617</v>
      </c>
    </row>
    <row r="1016" spans="1:2" x14ac:dyDescent="0.25">
      <c r="A1016">
        <f ca="1">32242.9306460831*(RANDBETWEEN(2890,3282))</f>
        <v>103403078.5819886</v>
      </c>
      <c r="B1016">
        <v>265487737.86666876</v>
      </c>
    </row>
    <row r="1017" spans="1:2" x14ac:dyDescent="0.25">
      <c r="A1017">
        <f ca="1">40065.6161815918*(RANDBETWEEN(2890,3282))</f>
        <v>116831336.78552181</v>
      </c>
      <c r="B1017">
        <v>265688456.58353913</v>
      </c>
    </row>
    <row r="1018" spans="1:2" x14ac:dyDescent="0.25">
      <c r="A1018">
        <f ca="1">30293.8511276898*(RANDBETWEEN(2890,3282))</f>
        <v>89185097.719918698</v>
      </c>
      <c r="B1018">
        <v>215976044.54411662</v>
      </c>
    </row>
    <row r="1019" spans="1:2" x14ac:dyDescent="0.25">
      <c r="A1019">
        <f ca="1">32379.9719509852*(RANDBETWEEN(2890,3282))</f>
        <v>101025512.48707396</v>
      </c>
      <c r="B1019">
        <v>222563534.21796167</v>
      </c>
    </row>
    <row r="1020" spans="1:2" x14ac:dyDescent="0.25">
      <c r="A1020">
        <f ca="1">31378.5977308903*(RANDBETWEEN(2890,3282))</f>
        <v>91092069.212774605</v>
      </c>
      <c r="B1020">
        <v>259146410.71263772</v>
      </c>
    </row>
    <row r="1021" spans="1:2" x14ac:dyDescent="0.25">
      <c r="A1021">
        <f ca="1">37053.5044037317*(RANDBETWEEN(2890,3282))</f>
        <v>114198900.57230112</v>
      </c>
      <c r="B1021">
        <v>251353618.01397735</v>
      </c>
    </row>
    <row r="1022" spans="1:2" x14ac:dyDescent="0.25">
      <c r="A1022">
        <f ca="1">33884.1149886763*(RANDBETWEEN(2890,3282))</f>
        <v>111139897.1628581</v>
      </c>
      <c r="B1022">
        <v>205756963.50200742</v>
      </c>
    </row>
    <row r="1023" spans="1:2" x14ac:dyDescent="0.25">
      <c r="A1023">
        <f ca="1">38235.3450382064*(RANDBETWEEN(2890,3282))</f>
        <v>115241329.9451541</v>
      </c>
      <c r="B1023">
        <v>255420707.61073655</v>
      </c>
    </row>
    <row r="1024" spans="1:2" x14ac:dyDescent="0.25">
      <c r="A1024">
        <f ca="1">39210.1159298685*(RANDBETWEEN(2890,3282))</f>
        <v>115081690.25416395</v>
      </c>
      <c r="B1024">
        <v>259225645.64799204</v>
      </c>
    </row>
    <row r="1025" spans="1:2" x14ac:dyDescent="0.25">
      <c r="A1025">
        <f ca="1">32229.2998575472*(RANDBETWEEN(2890,3282))</f>
        <v>100329810.45654447</v>
      </c>
      <c r="B1025">
        <v>221757907.15607774</v>
      </c>
    </row>
    <row r="1026" spans="1:2" x14ac:dyDescent="0.25">
      <c r="A1026">
        <f ca="1">32256.0337664058*(RANDBETWEEN(2890,3282))</f>
        <v>100767849.48625156</v>
      </c>
      <c r="B1026">
        <v>247249323.7978074</v>
      </c>
    </row>
    <row r="1027" spans="1:2" x14ac:dyDescent="0.25">
      <c r="A1027">
        <f ca="1">30784.2500859349*(RANDBETWEEN(2890,3282))</f>
        <v>89766873.250586241</v>
      </c>
      <c r="B1027">
        <v>226725183.01725805</v>
      </c>
    </row>
    <row r="1028" spans="1:2" x14ac:dyDescent="0.25">
      <c r="A1028">
        <f ca="1">29655.0779207111*(RANDBETWEEN(2890,3282))</f>
        <v>89736265.788071916</v>
      </c>
      <c r="B1028">
        <v>213068005.64678618</v>
      </c>
    </row>
    <row r="1029" spans="1:2" x14ac:dyDescent="0.25">
      <c r="A1029">
        <f ca="1">32542.2392811099*(RANDBETWEEN(2890,3282))</f>
        <v>97626717.843329847</v>
      </c>
      <c r="B1029">
        <v>246217565.2398957</v>
      </c>
    </row>
    <row r="1030" spans="1:2" x14ac:dyDescent="0.25">
      <c r="A1030">
        <f ca="1">41012.1775232093*(RANDBETWEEN(2890,3282))</f>
        <v>133576662.19309266</v>
      </c>
      <c r="B1030">
        <v>262200417.48013711</v>
      </c>
    </row>
    <row r="1031" spans="1:2" x14ac:dyDescent="0.25">
      <c r="A1031">
        <f ca="1">32573.8754690925*(RANDBETWEEN(2890,3282))</f>
        <v>105148470.01423046</v>
      </c>
      <c r="B1031">
        <v>254486847.57956496</v>
      </c>
    </row>
    <row r="1032" spans="1:2" x14ac:dyDescent="0.25">
      <c r="A1032">
        <f ca="1">34072.7428557954*(RANDBETWEEN(2890,3282))</f>
        <v>106000303.02437942</v>
      </c>
      <c r="B1032">
        <v>239777224.30127183</v>
      </c>
    </row>
    <row r="1033" spans="1:2" x14ac:dyDescent="0.25">
      <c r="A1033">
        <f ca="1">37968.0726471462*(RANDBETWEEN(2890,3282))</f>
        <v>110145378.74937111</v>
      </c>
      <c r="B1033">
        <v>247943492.74355596</v>
      </c>
    </row>
    <row r="1034" spans="1:2" x14ac:dyDescent="0.25">
      <c r="A1034">
        <f ca="1">30147.8822201307*(RANDBETWEEN(2890,3282))</f>
        <v>91317935.244775862</v>
      </c>
      <c r="B1034">
        <v>262583202.5574286</v>
      </c>
    </row>
    <row r="1035" spans="1:2" x14ac:dyDescent="0.25">
      <c r="A1035">
        <f ca="1">36890.4092496731*(RANDBETWEEN(2890,3282))</f>
        <v>117090158.9584624</v>
      </c>
      <c r="B1035">
        <v>215512149.97012359</v>
      </c>
    </row>
    <row r="1036" spans="1:2" x14ac:dyDescent="0.25">
      <c r="A1036">
        <f ca="1">39590.0996048096*(RANDBETWEEN(2890,3282))</f>
        <v>127202990.03025326</v>
      </c>
      <c r="B1036">
        <v>228755349.21926498</v>
      </c>
    </row>
    <row r="1037" spans="1:2" x14ac:dyDescent="0.25">
      <c r="A1037">
        <f ca="1">32703.7694037648*(RANDBETWEEN(2890,3282))</f>
        <v>98013196.90308325</v>
      </c>
      <c r="B1037">
        <v>208614580.97662362</v>
      </c>
    </row>
    <row r="1038" spans="1:2" x14ac:dyDescent="0.25">
      <c r="A1038">
        <f ca="1">32823.3933775159*(RANDBETWEEN(2890,3282))</f>
        <v>100406760.3418213</v>
      </c>
      <c r="B1038">
        <v>258122927.38931227</v>
      </c>
    </row>
    <row r="1039" spans="1:2" x14ac:dyDescent="0.25">
      <c r="A1039">
        <f ca="1">37379.2417047541*(RANDBETWEEN(2890,3282))</f>
        <v>108960489.56935818</v>
      </c>
      <c r="B1039">
        <v>260642692.84857684</v>
      </c>
    </row>
    <row r="1040" spans="1:2" x14ac:dyDescent="0.25">
      <c r="A1040">
        <f ca="1">34251.1958071685*(RANDBETWEEN(2890,3282))</f>
        <v>109158561.03744605</v>
      </c>
      <c r="B1040">
        <v>226005228.10202861</v>
      </c>
    </row>
    <row r="1041" spans="1:2" x14ac:dyDescent="0.25">
      <c r="A1041">
        <f ca="1">36196.051607828*(RANDBETWEEN(2890,3282))</f>
        <v>113981366.51305023</v>
      </c>
      <c r="B1041">
        <v>233980045.43303764</v>
      </c>
    </row>
    <row r="1042" spans="1:2" x14ac:dyDescent="0.25">
      <c r="A1042">
        <f ca="1">33238.9387022396*(RANDBETWEEN(2890,3282))</f>
        <v>102841276.34472927</v>
      </c>
      <c r="B1042">
        <v>216565664.00000107</v>
      </c>
    </row>
    <row r="1043" spans="1:2" x14ac:dyDescent="0.25">
      <c r="A1043">
        <f ca="1">29808.0438413363*(RANDBETWEEN(2890,3282))</f>
        <v>96220365.519833431</v>
      </c>
      <c r="B1043">
        <v>203981281.78220087</v>
      </c>
    </row>
    <row r="1044" spans="1:2" x14ac:dyDescent="0.25">
      <c r="A1044">
        <f ca="1">39912.6563400317*(RANDBETWEEN(2890,3282))</f>
        <v>116704607.13825262</v>
      </c>
      <c r="B1044">
        <v>246549009.40024748</v>
      </c>
    </row>
    <row r="1045" spans="1:2" x14ac:dyDescent="0.25">
      <c r="A1045">
        <f ca="1">31594.4741965921*(RANDBETWEEN(2890,3282))</f>
        <v>99206648.977299243</v>
      </c>
      <c r="B1045">
        <v>214381319.56761634</v>
      </c>
    </row>
    <row r="1046" spans="1:2" x14ac:dyDescent="0.25">
      <c r="A1046">
        <f ca="1">36096.333690219*(RANDBETWEEN(2890,3282))</f>
        <v>106231510.05031456</v>
      </c>
      <c r="B1046">
        <v>216329967.06450611</v>
      </c>
    </row>
    <row r="1047" spans="1:2" x14ac:dyDescent="0.25">
      <c r="A1047">
        <f ca="1">39382.2684047382*(RANDBETWEEN(2890,3282))</f>
        <v>122833295.1543785</v>
      </c>
      <c r="B1047">
        <v>217315352.65590447</v>
      </c>
    </row>
    <row r="1048" spans="1:2" x14ac:dyDescent="0.25">
      <c r="A1048">
        <f ca="1">36050.5943710787*(RANDBETWEEN(2890,3282))</f>
        <v>113739625.24075322</v>
      </c>
      <c r="B1048">
        <v>252170499.59173134</v>
      </c>
    </row>
    <row r="1049" spans="1:2" x14ac:dyDescent="0.25">
      <c r="A1049">
        <f ca="1">31238.2515459675*(RANDBETWEEN(2890,3282))</f>
        <v>91715506.538960606</v>
      </c>
      <c r="B1049">
        <v>234645794.63802871</v>
      </c>
    </row>
    <row r="1050" spans="1:2" x14ac:dyDescent="0.25">
      <c r="A1050">
        <f ca="1">31677.4142469682*(RANDBETWEEN(2890,3282))</f>
        <v>96584436.039006174</v>
      </c>
      <c r="B1050">
        <v>247595499.17151174</v>
      </c>
    </row>
    <row r="1051" spans="1:2" x14ac:dyDescent="0.25">
      <c r="A1051">
        <f ca="1">30355.3715351285*(RANDBETWEEN(2890,3282))</f>
        <v>88273420.424153537</v>
      </c>
      <c r="B1051">
        <v>264274519.26179457</v>
      </c>
    </row>
    <row r="1052" spans="1:2" x14ac:dyDescent="0.25">
      <c r="A1052">
        <f ca="1">33952.2004374909*(RANDBETWEEN(2890,3282))</f>
        <v>101449174.90722276</v>
      </c>
      <c r="B1052">
        <v>267267449.64994967</v>
      </c>
    </row>
    <row r="1053" spans="1:2" x14ac:dyDescent="0.25">
      <c r="A1053">
        <f ca="1">33115.4694780284*(RANDBETWEEN(2890,3282))</f>
        <v>103949458.69153126</v>
      </c>
      <c r="B1053">
        <v>210241821.52716097</v>
      </c>
    </row>
    <row r="1054" spans="1:2" x14ac:dyDescent="0.25">
      <c r="A1054">
        <f ca="1">33119.3383214224*(RANDBETWEEN(2890,3282))</f>
        <v>101643249.30844547</v>
      </c>
      <c r="B1054">
        <v>227049686.96438757</v>
      </c>
    </row>
    <row r="1055" spans="1:2" x14ac:dyDescent="0.25">
      <c r="A1055">
        <f ca="1">35585.9345369796*(RANDBETWEEN(2890,3282))</f>
        <v>109070889.35584238</v>
      </c>
      <c r="B1055">
        <v>244648954.99226427</v>
      </c>
    </row>
    <row r="1056" spans="1:2" x14ac:dyDescent="0.25">
      <c r="A1056">
        <f ca="1">30357.7386097424*(RANDBETWEEN(2890,3282))</f>
        <v>92408956.328055814</v>
      </c>
      <c r="B1056">
        <v>263213644.9867253</v>
      </c>
    </row>
    <row r="1057" spans="1:2" x14ac:dyDescent="0.25">
      <c r="A1057">
        <f ca="1">35862.0096493748*(RANDBETWEEN(2890,3282))</f>
        <v>111172229.91306187</v>
      </c>
      <c r="B1057">
        <v>260506429.63092509</v>
      </c>
    </row>
    <row r="1058" spans="1:2" x14ac:dyDescent="0.25">
      <c r="A1058">
        <f ca="1">38891.6901492144*(RANDBETWEEN(2890,3282))</f>
        <v>123870033.12524785</v>
      </c>
      <c r="B1058">
        <v>218556423.25370005</v>
      </c>
    </row>
    <row r="1059" spans="1:2" x14ac:dyDescent="0.25">
      <c r="A1059">
        <f ca="1">32448.0519724965*(RANDBETWEEN(2890,3282))</f>
        <v>102276259.81730908</v>
      </c>
      <c r="B1059">
        <v>252801665.67132032</v>
      </c>
    </row>
    <row r="1060" spans="1:2" x14ac:dyDescent="0.25">
      <c r="A1060">
        <f ca="1">32868.0811000371*(RANDBETWEEN(2890,3282))</f>
        <v>99327341.084311992</v>
      </c>
      <c r="B1060">
        <v>254230884.07537451</v>
      </c>
    </row>
    <row r="1061" spans="1:2" x14ac:dyDescent="0.25">
      <c r="A1061">
        <f ca="1">33972.5652742353*(RANDBETWEEN(2890,3282))</f>
        <v>100626738.3422851</v>
      </c>
      <c r="B1061">
        <v>243669034.56715375</v>
      </c>
    </row>
    <row r="1062" spans="1:2" x14ac:dyDescent="0.25">
      <c r="A1062">
        <f ca="1">39317.4447816985*(RANDBETWEEN(2890,3282))</f>
        <v>120940460.14850469</v>
      </c>
      <c r="B1062">
        <v>223140809.35014731</v>
      </c>
    </row>
    <row r="1063" spans="1:2" x14ac:dyDescent="0.25">
      <c r="A1063">
        <f ca="1">33105.1438342448*(RANDBETWEEN(2890,3282))</f>
        <v>97130492.009674355</v>
      </c>
      <c r="B1063">
        <v>204054805.10534322</v>
      </c>
    </row>
    <row r="1064" spans="1:2" x14ac:dyDescent="0.25">
      <c r="A1064">
        <f ca="1">32307.4289999097*(RANDBETWEEN(2890,3282))</f>
        <v>106032981.97770359</v>
      </c>
      <c r="B1064">
        <v>239697416.42992356</v>
      </c>
    </row>
    <row r="1065" spans="1:2" x14ac:dyDescent="0.25">
      <c r="A1065">
        <f ca="1">30074.1365346241*(RANDBETWEEN(2890,3282))</f>
        <v>90252483.740407005</v>
      </c>
      <c r="B1065">
        <v>214252365.31272337</v>
      </c>
    </row>
    <row r="1066" spans="1:2" x14ac:dyDescent="0.25">
      <c r="A1066">
        <f ca="1">28993.9449243322*(RANDBETWEEN(2890,3282))</f>
        <v>84807288.903671578</v>
      </c>
      <c r="B1066">
        <v>231938950.56563821</v>
      </c>
    </row>
    <row r="1067" spans="1:2" x14ac:dyDescent="0.25">
      <c r="A1067">
        <f ca="1">41690.4813176211*(RANDBETWEEN(2890,3282))</f>
        <v>135910969.09544462</v>
      </c>
      <c r="B1067">
        <v>236824809.48891908</v>
      </c>
    </row>
    <row r="1068" spans="1:2" x14ac:dyDescent="0.25">
      <c r="A1068">
        <f ca="1">29494.7373038442*(RANDBETWEEN(2890,3282))</f>
        <v>87776338.216240376</v>
      </c>
      <c r="B1068">
        <v>224738512.17031807</v>
      </c>
    </row>
    <row r="1069" spans="1:2" x14ac:dyDescent="0.25">
      <c r="A1069">
        <f ca="1">33149.0342059966*(RANDBETWEEN(2890,3282))</f>
        <v>107568615.99845897</v>
      </c>
      <c r="B1069">
        <v>213084025.14141276</v>
      </c>
    </row>
    <row r="1070" spans="1:2" x14ac:dyDescent="0.25">
      <c r="A1070">
        <f ca="1">30261.0911380393*(RANDBETWEEN(2890,3282))</f>
        <v>91085884.325498164</v>
      </c>
      <c r="B1070">
        <v>216305499.34596527</v>
      </c>
    </row>
    <row r="1071" spans="1:2" x14ac:dyDescent="0.25">
      <c r="A1071">
        <f ca="1">38893.9883859695*(RANDBETWEEN(2890,3282))</f>
        <v>122360487.46226017</v>
      </c>
      <c r="B1071">
        <v>208961115.1246382</v>
      </c>
    </row>
    <row r="1072" spans="1:2" x14ac:dyDescent="0.25">
      <c r="A1072">
        <f ca="1">30005.5881412047*(RANDBETWEEN(2890,3282))</f>
        <v>97848222.92846857</v>
      </c>
      <c r="B1072">
        <v>250869849.46222049</v>
      </c>
    </row>
    <row r="1073" spans="1:2" x14ac:dyDescent="0.25">
      <c r="A1073">
        <f ca="1">39341.6209674608*(RANDBETWEEN(2890,3282))</f>
        <v>121998366.62009597</v>
      </c>
      <c r="B1073">
        <v>257398813.44166064</v>
      </c>
    </row>
    <row r="1074" spans="1:2" x14ac:dyDescent="0.25">
      <c r="A1074">
        <f ca="1">34010.120519447*(RANDBETWEEN(2890,3282))</f>
        <v>106145586.14119408</v>
      </c>
      <c r="B1074">
        <v>243021038.76294008</v>
      </c>
    </row>
    <row r="1075" spans="1:2" x14ac:dyDescent="0.25">
      <c r="A1075">
        <f ca="1">40450.2504107812*(RANDBETWEEN(2890,3282))</f>
        <v>123615965.25534742</v>
      </c>
      <c r="B1075">
        <v>222827018.59664479</v>
      </c>
    </row>
    <row r="1076" spans="1:2" x14ac:dyDescent="0.25">
      <c r="A1076">
        <f ca="1">35206.0626238373*(RANDBETWEEN(2890,3282))</f>
        <v>103717060.48982476</v>
      </c>
      <c r="B1076">
        <v>245756529.89766347</v>
      </c>
    </row>
    <row r="1077" spans="1:2" x14ac:dyDescent="0.25">
      <c r="A1077">
        <f ca="1">39101.605088023*(RANDBETWEEN(2890,3282))</f>
        <v>116835596.00301282</v>
      </c>
      <c r="B1077">
        <v>240469881.10250956</v>
      </c>
    </row>
    <row r="1078" spans="1:2" x14ac:dyDescent="0.25">
      <c r="A1078">
        <f ca="1">37294.5580471728*(RANDBETWEEN(2890,3282))</f>
        <v>114046758.50825442</v>
      </c>
      <c r="B1078">
        <v>260545403.97357112</v>
      </c>
    </row>
    <row r="1079" spans="1:2" x14ac:dyDescent="0.25">
      <c r="A1079">
        <f ca="1">30891.3626083593*(RANDBETWEEN(2890,3282))</f>
        <v>89832082.465108842</v>
      </c>
      <c r="B1079">
        <v>264547621.88358399</v>
      </c>
    </row>
    <row r="1080" spans="1:2" x14ac:dyDescent="0.25">
      <c r="A1080">
        <f ca="1">32374.7511322098*(RANDBETWEEN(2890,3282))</f>
        <v>105412189.68647502</v>
      </c>
      <c r="B1080">
        <v>250233308.19138741</v>
      </c>
    </row>
    <row r="1081" spans="1:2" x14ac:dyDescent="0.25">
      <c r="A1081">
        <f ca="1">29101.8357020246*(RANDBETWEEN(2890,3282))</f>
        <v>85995924.499482602</v>
      </c>
      <c r="B1081">
        <v>242832001.72309402</v>
      </c>
    </row>
    <row r="1082" spans="1:2" x14ac:dyDescent="0.25">
      <c r="A1082">
        <f ca="1">30630.6577701037*(RANDBETWEEN(2890,3282))</f>
        <v>89533412.662013143</v>
      </c>
      <c r="B1082">
        <v>229561993.55527318</v>
      </c>
    </row>
    <row r="1083" spans="1:2" x14ac:dyDescent="0.25">
      <c r="A1083">
        <f ca="1">31543.4362331994*(RANDBETWEEN(2890,3282))</f>
        <v>99519541.315744236</v>
      </c>
      <c r="B1083">
        <v>265093603.79323411</v>
      </c>
    </row>
    <row r="1084" spans="1:2" x14ac:dyDescent="0.25">
      <c r="A1084">
        <f ca="1">36034.0344995979*(RANDBETWEEN(2890,3282))</f>
        <v>106264367.73931426</v>
      </c>
      <c r="B1084">
        <v>225973823.89137369</v>
      </c>
    </row>
    <row r="1085" spans="1:2" x14ac:dyDescent="0.25">
      <c r="A1085">
        <f ca="1">29770.6338200093*(RANDBETWEEN(2890,3282))</f>
        <v>93688184.6315694</v>
      </c>
      <c r="B1085">
        <v>242572545.23019525</v>
      </c>
    </row>
    <row r="1086" spans="1:2" x14ac:dyDescent="0.25">
      <c r="A1086">
        <f ca="1">30129.507697429*(RANDBETWEEN(2890,3282))</f>
        <v>91232149.307814956</v>
      </c>
      <c r="B1086">
        <v>251945844.56939048</v>
      </c>
    </row>
    <row r="1087" spans="1:2" x14ac:dyDescent="0.25">
      <c r="A1087">
        <f ca="1">29819.5625257516*(RANDBETWEEN(2890,3282))</f>
        <v>87967709.450967327</v>
      </c>
      <c r="B1087">
        <v>260626884.99971071</v>
      </c>
    </row>
    <row r="1088" spans="1:2" x14ac:dyDescent="0.25">
      <c r="A1088">
        <f ca="1">31581.1907849433*(RANDBETWEEN(2890,3282))</f>
        <v>94869897.117969528</v>
      </c>
      <c r="B1088">
        <v>248497754.71132487</v>
      </c>
    </row>
    <row r="1089" spans="1:2" x14ac:dyDescent="0.25">
      <c r="A1089">
        <f ca="1">37041.9444941448*(RANDBETWEEN(2890,3282))</f>
        <v>115237489.32128455</v>
      </c>
      <c r="B1089">
        <v>231722207.14386252</v>
      </c>
    </row>
    <row r="1090" spans="1:2" x14ac:dyDescent="0.25">
      <c r="A1090">
        <f ca="1">29975.2232236823*(RANDBETWEEN(2890,3282))</f>
        <v>86778271.232560128</v>
      </c>
      <c r="B1090">
        <v>208398811.20960864</v>
      </c>
    </row>
    <row r="1091" spans="1:2" x14ac:dyDescent="0.25">
      <c r="A1091">
        <f ca="1">31881.7128236358*(RANDBETWEEN(2890,3282))</f>
        <v>93572827.137371004</v>
      </c>
      <c r="B1091">
        <v>249905346.4900015</v>
      </c>
    </row>
    <row r="1092" spans="1:2" x14ac:dyDescent="0.25">
      <c r="A1092">
        <f ca="1">35876.8423013923*(RANDBETWEEN(2890,3282))</f>
        <v>114985279.57596223</v>
      </c>
      <c r="B1092">
        <v>232259121.34288329</v>
      </c>
    </row>
    <row r="1093" spans="1:2" x14ac:dyDescent="0.25">
      <c r="A1093">
        <f ca="1">28268.2271346358*(RANDBETWEEN(2890,3282))</f>
        <v>91278105.417739049</v>
      </c>
      <c r="B1093">
        <v>260159657.16289058</v>
      </c>
    </row>
    <row r="1094" spans="1:2" x14ac:dyDescent="0.25">
      <c r="A1094">
        <f ca="1">36662.382545933*(RANDBETWEEN(2890,3282))</f>
        <v>109437211.89961004</v>
      </c>
      <c r="B1094">
        <v>246370584.52173385</v>
      </c>
    </row>
    <row r="1095" spans="1:2" x14ac:dyDescent="0.25">
      <c r="A1095">
        <f ca="1">32003.8972529323*(RANDBETWEEN(2890,3282))</f>
        <v>97323851.546167165</v>
      </c>
      <c r="B1095">
        <v>225427100.96296406</v>
      </c>
    </row>
    <row r="1096" spans="1:2" x14ac:dyDescent="0.25">
      <c r="A1096">
        <f ca="1">37287.3556680666*(RANDBETWEEN(2890,3282))</f>
        <v>109401101.53010727</v>
      </c>
      <c r="B1096">
        <v>263732748.31387997</v>
      </c>
    </row>
    <row r="1097" spans="1:2" x14ac:dyDescent="0.25">
      <c r="A1097">
        <f ca="1">40646.9608028073*(RANDBETWEEN(2890,3282))</f>
        <v>119176889.07383087</v>
      </c>
      <c r="B1097">
        <v>237090211.5645088</v>
      </c>
    </row>
    <row r="1098" spans="1:2" x14ac:dyDescent="0.25">
      <c r="A1098">
        <f ca="1">40774.7812479555*(RANDBETWEEN(2890,3282))</f>
        <v>127013443.58738132</v>
      </c>
      <c r="B1098">
        <v>253922020.9286283</v>
      </c>
    </row>
    <row r="1099" spans="1:2" x14ac:dyDescent="0.25">
      <c r="A1099">
        <f ca="1">32160.3354620617*(RANDBETWEEN(2890,3282))</f>
        <v>96834770.076267734</v>
      </c>
      <c r="B1099">
        <v>220094135.28803539</v>
      </c>
    </row>
    <row r="1100" spans="1:2" x14ac:dyDescent="0.25">
      <c r="A1100">
        <f ca="1">37810.1009873833*(RANDBETWEEN(2890,3282))</f>
        <v>119215248.41321947</v>
      </c>
      <c r="B1100">
        <v>216517296.34146816</v>
      </c>
    </row>
    <row r="1101" spans="1:2" x14ac:dyDescent="0.25">
      <c r="A1101">
        <f ca="1">28604.8845967125*(RANDBETWEEN(2890,3282))</f>
        <v>87960020.134890869</v>
      </c>
      <c r="B1101">
        <v>244170038.70991114</v>
      </c>
    </row>
    <row r="1102" spans="1:2" x14ac:dyDescent="0.25">
      <c r="A1102">
        <f ca="1">30995.7353786013*(RANDBETWEEN(2890,3282))</f>
        <v>101263067.4818906</v>
      </c>
      <c r="B1102">
        <v>209330753.58874193</v>
      </c>
    </row>
    <row r="1103" spans="1:2" x14ac:dyDescent="0.25">
      <c r="A1103">
        <f ca="1">30790.4635803883*(RANDBETWEEN(2890,3282))</f>
        <v>95173322.926980212</v>
      </c>
      <c r="B1103">
        <v>228795626.40809679</v>
      </c>
    </row>
    <row r="1104" spans="1:2" x14ac:dyDescent="0.25">
      <c r="A1104">
        <f ca="1">35106.3517195542*(RANDBETWEEN(2890,3282))</f>
        <v>106442458.41368847</v>
      </c>
      <c r="B1104">
        <v>262245700.0425235</v>
      </c>
    </row>
    <row r="1105" spans="1:2" x14ac:dyDescent="0.25">
      <c r="A1105">
        <f ca="1">37244.0154100479*(RANDBETWEEN(2890,3282))</f>
        <v>120856830.00560531</v>
      </c>
      <c r="B1105">
        <v>215513407.7737416</v>
      </c>
    </row>
    <row r="1106" spans="1:2" x14ac:dyDescent="0.25">
      <c r="A1106">
        <f ca="1">30769.3860265421*(RANDBETWEEN(2890,3282))</f>
        <v>95877406.858705401</v>
      </c>
      <c r="B1106">
        <v>232652232.79859713</v>
      </c>
    </row>
    <row r="1107" spans="1:2" x14ac:dyDescent="0.25">
      <c r="A1107">
        <f ca="1">36440.8958114355*(RANDBETWEEN(2890,3282))</f>
        <v>107937933.39347184</v>
      </c>
      <c r="B1107">
        <v>258559793.24468586</v>
      </c>
    </row>
    <row r="1108" spans="1:2" x14ac:dyDescent="0.25">
      <c r="A1108">
        <f ca="1">31960.159635664*(RANDBETWEEN(2890,3282))</f>
        <v>93163865.337960437</v>
      </c>
      <c r="B1108">
        <v>245204811.91192588</v>
      </c>
    </row>
    <row r="1109" spans="1:2" x14ac:dyDescent="0.25">
      <c r="A1109">
        <f ca="1">30649.1854414404*(RANDBETWEEN(2890,3282))</f>
        <v>97678954.001870528</v>
      </c>
      <c r="B1109">
        <v>253190454.89501977</v>
      </c>
    </row>
    <row r="1110" spans="1:2" x14ac:dyDescent="0.25">
      <c r="A1110">
        <f ca="1">41484.2092400399*(RANDBETWEEN(2890,3282))</f>
        <v>122710290.93203795</v>
      </c>
      <c r="B1110">
        <v>225429522.41102207</v>
      </c>
    </row>
    <row r="1111" spans="1:2" x14ac:dyDescent="0.25">
      <c r="A1111">
        <f ca="1">39570.1872494204*(RANDBETWEEN(2890,3282))</f>
        <v>125397923.39341313</v>
      </c>
      <c r="B1111">
        <v>260426307.73696491</v>
      </c>
    </row>
    <row r="1112" spans="1:2" x14ac:dyDescent="0.25">
      <c r="A1112">
        <f ca="1">31187.6836267302*(RANDBETWEEN(2890,3282))</f>
        <v>99426335.402015895</v>
      </c>
      <c r="B1112">
        <v>267693522.32899264</v>
      </c>
    </row>
    <row r="1113" spans="1:2" x14ac:dyDescent="0.25">
      <c r="A1113">
        <f ca="1">38137.3306620099*(RANDBETWEEN(2890,3282))</f>
        <v>121505535.48916338</v>
      </c>
      <c r="B1113">
        <v>251894258.94273654</v>
      </c>
    </row>
    <row r="1114" spans="1:2" x14ac:dyDescent="0.25">
      <c r="A1114">
        <f ca="1">35117.6667636026*(RANDBETWEEN(2890,3282))</f>
        <v>114869887.98374423</v>
      </c>
      <c r="B1114">
        <v>236715201.68501148</v>
      </c>
    </row>
    <row r="1115" spans="1:2" x14ac:dyDescent="0.25">
      <c r="A1115">
        <f ca="1">41821.149210172*(RANDBETWEEN(2890,3282))</f>
        <v>129060066.46259072</v>
      </c>
      <c r="B1115">
        <v>244841565.5090988</v>
      </c>
    </row>
    <row r="1116" spans="1:2" x14ac:dyDescent="0.25">
      <c r="A1116">
        <f ca="1">37685.6715316494*(RANDBETWEEN(2890,3282))</f>
        <v>117127067.12036619</v>
      </c>
      <c r="B1116">
        <v>262114114.90906125</v>
      </c>
    </row>
    <row r="1117" spans="1:2" x14ac:dyDescent="0.25">
      <c r="A1117">
        <f ca="1">39231.8719107774*(RANDBETWEEN(2890,3282))</f>
        <v>116361732.08736584</v>
      </c>
      <c r="B1117">
        <v>257791380.82984099</v>
      </c>
    </row>
    <row r="1118" spans="1:2" x14ac:dyDescent="0.25">
      <c r="A1118">
        <f ca="1">32012.8119226223*(RANDBETWEEN(2890,3282))</f>
        <v>102793139.08354034</v>
      </c>
      <c r="B1118">
        <v>239675435.54305536</v>
      </c>
    </row>
    <row r="1119" spans="1:2" x14ac:dyDescent="0.25">
      <c r="A1119">
        <f ca="1">40118.443950417*(RANDBETWEEN(2890,3282))</f>
        <v>121879832.72136673</v>
      </c>
      <c r="B1119">
        <v>233947082.78213456</v>
      </c>
    </row>
    <row r="1120" spans="1:2" x14ac:dyDescent="0.25">
      <c r="A1120">
        <f ca="1">30816.6388067898*(RANDBETWEEN(2890,3282))</f>
        <v>99044677.12502268</v>
      </c>
      <c r="B1120">
        <v>251494643.60313147</v>
      </c>
    </row>
    <row r="1121" spans="1:2" x14ac:dyDescent="0.25">
      <c r="A1121">
        <f ca="1">32175.8659044489*(RANDBETWEEN(2890,3282))</f>
        <v>93567418.050137341</v>
      </c>
      <c r="B1121">
        <v>211465010.72871545</v>
      </c>
    </row>
    <row r="1122" spans="1:2" x14ac:dyDescent="0.25">
      <c r="A1122">
        <f ca="1">32626.580392577*(RANDBETWEEN(2890,3282))</f>
        <v>106362652.07980117</v>
      </c>
      <c r="B1122">
        <v>232324491.64298266</v>
      </c>
    </row>
    <row r="1123" spans="1:2" x14ac:dyDescent="0.25">
      <c r="A1123">
        <f ca="1">31860.4915763719*(RANDBETWEEN(2890,3282))</f>
        <v>96760312.917441368</v>
      </c>
      <c r="B1123">
        <v>265077391.76263189</v>
      </c>
    </row>
    <row r="1124" spans="1:2" x14ac:dyDescent="0.25">
      <c r="A1124">
        <f ca="1">38727.4649483846*(RANDBETWEEN(2890,3282))</f>
        <v>116956944.14412145</v>
      </c>
      <c r="B1124">
        <v>236922304.01831117</v>
      </c>
    </row>
    <row r="1125" spans="1:2" x14ac:dyDescent="0.25">
      <c r="A1125">
        <f ca="1">29607.6416358892*(RANDBETWEEN(2890,3282))</f>
        <v>94093085.118855909</v>
      </c>
      <c r="B1125">
        <v>225400415.8946175</v>
      </c>
    </row>
    <row r="1126" spans="1:2" x14ac:dyDescent="0.25">
      <c r="A1126">
        <f ca="1">38114.1485659528*(RANDBETWEEN(2890,3282))</f>
        <v>117201006.8403049</v>
      </c>
      <c r="B1126">
        <v>218805635.1260432</v>
      </c>
    </row>
    <row r="1127" spans="1:2" x14ac:dyDescent="0.25">
      <c r="A1127">
        <f ca="1">31648.2427480458*(RANDBETWEEN(2890,3282))</f>
        <v>99280537.500619575</v>
      </c>
      <c r="B1127">
        <v>241327548.43788171</v>
      </c>
    </row>
    <row r="1128" spans="1:2" x14ac:dyDescent="0.25">
      <c r="A1128">
        <f ca="1">38622.7060021096*(RANDBETWEEN(2890,3282))</f>
        <v>112662433.40815371</v>
      </c>
      <c r="B1128">
        <v>256329271.7271522</v>
      </c>
    </row>
    <row r="1129" spans="1:2" x14ac:dyDescent="0.25">
      <c r="A1129">
        <f ca="1">39054.8649538879*(RANDBETWEEN(2890,3282))</f>
        <v>122749440.55006954</v>
      </c>
      <c r="B1129">
        <v>226238839.43561655</v>
      </c>
    </row>
    <row r="1130" spans="1:2" x14ac:dyDescent="0.25">
      <c r="A1130">
        <f ca="1">35368.1945914474*(RANDBETWEEN(2890,3282))</f>
        <v>111515917.54683365</v>
      </c>
      <c r="B1130">
        <v>209838392.0215047</v>
      </c>
    </row>
    <row r="1131" spans="1:2" x14ac:dyDescent="0.25">
      <c r="A1131">
        <f ca="1">31832.913137073*(RANDBETWEEN(2890,3282))</f>
        <v>100974000.47079568</v>
      </c>
      <c r="B1131">
        <v>251280208.74245337</v>
      </c>
    </row>
    <row r="1132" spans="1:2" x14ac:dyDescent="0.25">
      <c r="A1132">
        <f ca="1">31226.1809722918*(RANDBETWEEN(2890,3282))</f>
        <v>96832387.195077002</v>
      </c>
      <c r="B1132">
        <v>229018067.87060964</v>
      </c>
    </row>
    <row r="1133" spans="1:2" x14ac:dyDescent="0.25">
      <c r="A1133">
        <f ca="1">35451.1478126769*(RANDBETWEEN(2890,3282))</f>
        <v>107133368.68990956</v>
      </c>
      <c r="B1133">
        <v>247813003.84709561</v>
      </c>
    </row>
    <row r="1134" spans="1:2" x14ac:dyDescent="0.25">
      <c r="A1134">
        <f ca="1">41503.9892844018*(RANDBETWEEN(2890,3282))</f>
        <v>131733661.98869126</v>
      </c>
      <c r="B1134">
        <v>223073384.62587699</v>
      </c>
    </row>
    <row r="1135" spans="1:2" x14ac:dyDescent="0.25">
      <c r="A1135">
        <f ca="1">38587.5181853758*(RANDBETWEEN(2890,3282))</f>
        <v>120585994.32929952</v>
      </c>
      <c r="B1135">
        <v>232964638.71946862</v>
      </c>
    </row>
    <row r="1136" spans="1:2" x14ac:dyDescent="0.25">
      <c r="A1136">
        <f ca="1">33031.0729182703*(RANDBETWEEN(2890,3282))</f>
        <v>105666402.2655468</v>
      </c>
      <c r="B1136">
        <v>229439297.35736215</v>
      </c>
    </row>
    <row r="1137" spans="1:2" x14ac:dyDescent="0.25">
      <c r="A1137">
        <f ca="1">38311.5776022054*(RANDBETWEEN(2890,3282))</f>
        <v>123746395.65512344</v>
      </c>
      <c r="B1137">
        <v>216164285.65761462</v>
      </c>
    </row>
    <row r="1138" spans="1:2" x14ac:dyDescent="0.25">
      <c r="A1138">
        <f ca="1">32022.7975838063*(RANDBETWEEN(2890,3282))</f>
        <v>101704405.12616885</v>
      </c>
      <c r="B1138">
        <v>222271652.88154206</v>
      </c>
    </row>
    <row r="1139" spans="1:2" x14ac:dyDescent="0.25">
      <c r="A1139">
        <f ca="1">32784.1763964215*(RANDBETWEEN(2890,3282))</f>
        <v>98090255.778093085</v>
      </c>
      <c r="B1139">
        <v>261527557.02079007</v>
      </c>
    </row>
    <row r="1140" spans="1:2" x14ac:dyDescent="0.25">
      <c r="A1140">
        <f ca="1">30654.4856408504*(RANDBETWEEN(2890,3282))</f>
        <v>99289878.990714386</v>
      </c>
      <c r="B1140">
        <v>217616534.73809221</v>
      </c>
    </row>
    <row r="1141" spans="1:2" x14ac:dyDescent="0.25">
      <c r="A1141">
        <f ca="1">30488.5656855545*(RANDBETWEEN(2890,3282))</f>
        <v>98935395.649624243</v>
      </c>
      <c r="B1141">
        <v>207224065.81826621</v>
      </c>
    </row>
    <row r="1142" spans="1:2" x14ac:dyDescent="0.25">
      <c r="A1142">
        <f ca="1">32613.0793681681*(RANDBETWEEN(2890,3282))</f>
        <v>95588935.628100738</v>
      </c>
      <c r="B1142">
        <v>213701688.94060925</v>
      </c>
    </row>
    <row r="1143" spans="1:2" x14ac:dyDescent="0.25">
      <c r="A1143">
        <f ca="1">32520.386487603*(RANDBETWEEN(2890,3282))</f>
        <v>103057104.77921404</v>
      </c>
      <c r="B1143">
        <v>233902874.0276531</v>
      </c>
    </row>
    <row r="1144" spans="1:2" x14ac:dyDescent="0.25">
      <c r="A1144">
        <f ca="1">33533.4451933943*(RANDBETWEEN(2890,3282))</f>
        <v>105395618.2428382</v>
      </c>
      <c r="B1144">
        <v>214577785.03527734</v>
      </c>
    </row>
    <row r="1145" spans="1:2" x14ac:dyDescent="0.25">
      <c r="A1145">
        <f ca="1">36549.8873652402*(RANDBETWEEN(2890,3282))</f>
        <v>111952304.99973081</v>
      </c>
      <c r="B1145">
        <v>204943244.10004321</v>
      </c>
    </row>
    <row r="1146" spans="1:2" x14ac:dyDescent="0.25">
      <c r="A1146">
        <f ca="1">32480.373605964*(RANDBETWEEN(2890,3282))</f>
        <v>102832862.83648199</v>
      </c>
      <c r="B1146">
        <v>232046216.84444103</v>
      </c>
    </row>
    <row r="1147" spans="1:2" x14ac:dyDescent="0.25">
      <c r="A1147">
        <f ca="1">31698.7210583631*(RANDBETWEEN(2890,3282))</f>
        <v>94462188.753922135</v>
      </c>
      <c r="B1147">
        <v>226901244.13465071</v>
      </c>
    </row>
    <row r="1148" spans="1:2" x14ac:dyDescent="0.25">
      <c r="A1148">
        <f ca="1">33974.0779505497*(RANDBETWEEN(2890,3282))</f>
        <v>108241412.35045126</v>
      </c>
      <c r="B1148">
        <v>212891012.74928385</v>
      </c>
    </row>
    <row r="1149" spans="1:2" x14ac:dyDescent="0.25">
      <c r="A1149">
        <f ca="1">30860.8143514783*(RANDBETWEEN(2890,3282))</f>
        <v>97767059.865483254</v>
      </c>
      <c r="B1149">
        <v>217049149.8717252</v>
      </c>
    </row>
    <row r="1150" spans="1:2" x14ac:dyDescent="0.25">
      <c r="A1150">
        <f ca="1">31768.5983650574*(RANDBETWEEN(2890,3282))</f>
        <v>96513001.833044469</v>
      </c>
      <c r="B1150">
        <v>225059885.10750833</v>
      </c>
    </row>
    <row r="1151" spans="1:2" x14ac:dyDescent="0.25">
      <c r="A1151">
        <f ca="1">33413.0995907249*(RANDBETWEEN(2890,3282))</f>
        <v>108458921.27149291</v>
      </c>
      <c r="B1151">
        <v>222823727.83656901</v>
      </c>
    </row>
    <row r="1152" spans="1:2" x14ac:dyDescent="0.25">
      <c r="A1152">
        <f ca="1">38515.1019515213*(RANDBETWEEN(2890,3282))</f>
        <v>111308644.63989659</v>
      </c>
      <c r="B1152">
        <v>262151983.01469448</v>
      </c>
    </row>
    <row r="1153" spans="1:2" x14ac:dyDescent="0.25">
      <c r="A1153">
        <f ca="1">33056.3912245813*(RANDBETWEEN(2890,3282))</f>
        <v>103268166.18559188</v>
      </c>
      <c r="B1153">
        <v>219251726.00765496</v>
      </c>
    </row>
    <row r="1154" spans="1:2" x14ac:dyDescent="0.25">
      <c r="A1154">
        <f ca="1">32568.5082502596*(RANDBETWEEN(2890,3282))</f>
        <v>106889844.07735184</v>
      </c>
      <c r="B1154">
        <v>211401788.72619194</v>
      </c>
    </row>
    <row r="1155" spans="1:2" x14ac:dyDescent="0.25">
      <c r="A1155">
        <f ca="1">38026.3016045974*(RANDBETWEEN(2890,3282))</f>
        <v>118147719.08548416</v>
      </c>
      <c r="B1155">
        <v>258193857.12518558</v>
      </c>
    </row>
    <row r="1156" spans="1:2" x14ac:dyDescent="0.25">
      <c r="A1156">
        <f ca="1">31886.3671964077*(RANDBETWEEN(2890,3282))</f>
        <v>98815851.941667348</v>
      </c>
      <c r="B1156">
        <v>214234284.24765724</v>
      </c>
    </row>
    <row r="1157" spans="1:2" x14ac:dyDescent="0.25">
      <c r="A1157">
        <f ca="1">29686.0316516496*(RANDBETWEEN(2890,3282))</f>
        <v>95648393.981615171</v>
      </c>
      <c r="B1157">
        <v>211631727.65437037</v>
      </c>
    </row>
    <row r="1158" spans="1:2" x14ac:dyDescent="0.25">
      <c r="A1158">
        <f ca="1">40864.6321822706*(RANDBETWEEN(2890,3282))</f>
        <v>125944796.385758</v>
      </c>
      <c r="B1158">
        <v>250496004.48774731</v>
      </c>
    </row>
    <row r="1159" spans="1:2" x14ac:dyDescent="0.25">
      <c r="A1159">
        <f ca="1">30114.8660778382*(RANDBETWEEN(2890,3282))</f>
        <v>90645746.8942931</v>
      </c>
      <c r="B1159">
        <v>264506876.33153355</v>
      </c>
    </row>
    <row r="1160" spans="1:2" x14ac:dyDescent="0.25">
      <c r="A1160">
        <f ca="1">37321.8278101676*(RANDBETWEEN(2890,3282))</f>
        <v>113644965.68196023</v>
      </c>
      <c r="B1160">
        <v>251047030.60508668</v>
      </c>
    </row>
    <row r="1161" spans="1:2" x14ac:dyDescent="0.25">
      <c r="A1161">
        <f ca="1">36839.9254990574*(RANDBETWEEN(2890,3282))</f>
        <v>109635618.28519496</v>
      </c>
      <c r="B1161">
        <v>204227058.49726206</v>
      </c>
    </row>
    <row r="1162" spans="1:2" x14ac:dyDescent="0.25">
      <c r="A1162">
        <f ca="1">36051.0110267295*(RANDBETWEEN(2890,3282))</f>
        <v>109522971.49920437</v>
      </c>
      <c r="B1162">
        <v>237469560.7587679</v>
      </c>
    </row>
    <row r="1163" spans="1:2" x14ac:dyDescent="0.25">
      <c r="A1163">
        <f ca="1">34043.1730165917*(RANDBETWEEN(2890,3282))</f>
        <v>109891362.49755812</v>
      </c>
      <c r="B1163">
        <v>212456583.02236077</v>
      </c>
    </row>
    <row r="1164" spans="1:2" x14ac:dyDescent="0.25">
      <c r="A1164">
        <f ca="1">35667.2133725501*(RANDBETWEEN(2890,3282))</f>
        <v>105753287.64961115</v>
      </c>
      <c r="B1164">
        <v>265400986.73704219</v>
      </c>
    </row>
    <row r="1165" spans="1:2" x14ac:dyDescent="0.25">
      <c r="A1165">
        <f ca="1">32244.0447652888*(RANDBETWEEN(2890,3282))</f>
        <v>94733003.520418629</v>
      </c>
      <c r="B1165">
        <v>211512191.06798649</v>
      </c>
    </row>
    <row r="1166" spans="1:2" x14ac:dyDescent="0.25">
      <c r="A1166">
        <f ca="1">35341.3667206851*(RANDBETWEEN(2890,3282))</f>
        <v>105069883.26059668</v>
      </c>
      <c r="B1166">
        <v>257689764.16538832</v>
      </c>
    </row>
    <row r="1167" spans="1:2" x14ac:dyDescent="0.25">
      <c r="A1167">
        <f ca="1">33365.9222967874*(RANDBETWEEN(2890,3282))</f>
        <v>107571733.48484258</v>
      </c>
      <c r="B1167">
        <v>228740274.14313862</v>
      </c>
    </row>
    <row r="1168" spans="1:2" x14ac:dyDescent="0.25">
      <c r="A1168">
        <f ca="1">29558.989389373*(RANDBETWEEN(2890,3282))</f>
        <v>89534178.86041069</v>
      </c>
      <c r="B1168">
        <v>210062813.26541483</v>
      </c>
    </row>
    <row r="1169" spans="1:2" x14ac:dyDescent="0.25">
      <c r="A1169">
        <f ca="1">30942.9877694916*(RANDBETWEEN(2890,3282))</f>
        <v>94809314.525722131</v>
      </c>
      <c r="B1169">
        <v>247695434.46498698</v>
      </c>
    </row>
    <row r="1170" spans="1:2" x14ac:dyDescent="0.25">
      <c r="A1170">
        <f ca="1">29279.0250298994*(RANDBETWEEN(2890,3282))</f>
        <v>88569050.715445772</v>
      </c>
      <c r="B1170">
        <v>213783953.61777797</v>
      </c>
    </row>
    <row r="1171" spans="1:2" x14ac:dyDescent="0.25">
      <c r="A1171">
        <f ca="1">31578.4275192929*(RANDBETWEEN(2890,3282))</f>
        <v>97735233.172211424</v>
      </c>
      <c r="B1171">
        <v>227280580.5154092</v>
      </c>
    </row>
    <row r="1172" spans="1:2" x14ac:dyDescent="0.25">
      <c r="A1172">
        <f ca="1">42910.9948762491*(RANDBETWEEN(2890,3282))</f>
        <v>137572649.57325456</v>
      </c>
      <c r="B1172">
        <v>266940095.62925631</v>
      </c>
    </row>
    <row r="1173" spans="1:2" x14ac:dyDescent="0.25">
      <c r="A1173">
        <f ca="1">39572.1996243138*(RANDBETWEEN(2890,3282))</f>
        <v>117450288.48496348</v>
      </c>
      <c r="B1173">
        <v>215548375.57789814</v>
      </c>
    </row>
    <row r="1174" spans="1:2" x14ac:dyDescent="0.25">
      <c r="A1174">
        <f ca="1">32477.2972388809*(RANDBETWEEN(2890,3282))</f>
        <v>95580685.774026632</v>
      </c>
      <c r="B1174">
        <v>216221354.45264357</v>
      </c>
    </row>
    <row r="1175" spans="1:2" x14ac:dyDescent="0.25">
      <c r="A1175">
        <f ca="1">32397.5902428934*(RANDBETWEEN(2890,3282))</f>
        <v>95637686.397021264</v>
      </c>
      <c r="B1175">
        <v>215956078.01076859</v>
      </c>
    </row>
    <row r="1176" spans="1:2" x14ac:dyDescent="0.25">
      <c r="A1176">
        <f ca="1">32199.4878370314*(RANDBETWEEN(2890,3282))</f>
        <v>103972146.22577447</v>
      </c>
      <c r="B1176">
        <v>208241118.66469681</v>
      </c>
    </row>
    <row r="1177" spans="1:2" x14ac:dyDescent="0.25">
      <c r="A1177">
        <f ca="1">34426.960829616*(RANDBETWEEN(2890,3282))</f>
        <v>102385781.50727788</v>
      </c>
      <c r="B1177">
        <v>256210483.1686812</v>
      </c>
    </row>
    <row r="1178" spans="1:2" x14ac:dyDescent="0.25">
      <c r="A1178">
        <f ca="1">32387.825075828*(RANDBETWEEN(2890,3282))</f>
        <v>105908187.99795772</v>
      </c>
      <c r="B1178">
        <v>245328528.76183298</v>
      </c>
    </row>
    <row r="1179" spans="1:2" x14ac:dyDescent="0.25">
      <c r="A1179">
        <f ca="1">32028.0445627386*(RANDBETWEEN(2890,3282))</f>
        <v>93329721.855820179</v>
      </c>
      <c r="B1179">
        <v>267513678.04199612</v>
      </c>
    </row>
    <row r="1180" spans="1:2" x14ac:dyDescent="0.25">
      <c r="A1180">
        <f ca="1">37442.9075570585*(RANDBETWEEN(2890,3282))</f>
        <v>116260227.96466652</v>
      </c>
      <c r="B1180">
        <v>215168912.2573494</v>
      </c>
    </row>
    <row r="1181" spans="1:2" x14ac:dyDescent="0.25">
      <c r="A1181">
        <f ca="1">32321.3340506264*(RANDBETWEEN(2890,3282))</f>
        <v>103395947.62795395</v>
      </c>
      <c r="B1181">
        <v>238939502.0049729</v>
      </c>
    </row>
    <row r="1182" spans="1:2" x14ac:dyDescent="0.25">
      <c r="A1182">
        <f ca="1">39656.5493452208*(RANDBETWEEN(2890,3282))</f>
        <v>126861301.35536121</v>
      </c>
      <c r="B1182">
        <v>241475703.79161277</v>
      </c>
    </row>
    <row r="1183" spans="1:2" x14ac:dyDescent="0.25">
      <c r="A1183">
        <f ca="1">36737.0420190371*(RANDBETWEEN(2890,3282))</f>
        <v>114472622.9313197</v>
      </c>
      <c r="B1183">
        <v>236716413.74633044</v>
      </c>
    </row>
    <row r="1184" spans="1:2" x14ac:dyDescent="0.25">
      <c r="A1184">
        <f ca="1">42058.9964449357*(RANDBETWEEN(2890,3282))</f>
        <v>121676676.71519908</v>
      </c>
      <c r="B1184">
        <v>229392374.51847234</v>
      </c>
    </row>
    <row r="1185" spans="1:2" x14ac:dyDescent="0.25">
      <c r="A1185">
        <f ca="1">37594.5285476902*(RANDBETWEEN(2890,3282))</f>
        <v>110415130.34456614</v>
      </c>
      <c r="B1185">
        <v>256646440.36578605</v>
      </c>
    </row>
    <row r="1186" spans="1:2" x14ac:dyDescent="0.25">
      <c r="A1186">
        <f ca="1">34655.5598344244*(RANDBETWEEN(2890,3282))</f>
        <v>111140380.38899891</v>
      </c>
      <c r="B1186">
        <v>243748188.40753835</v>
      </c>
    </row>
    <row r="1187" spans="1:2" x14ac:dyDescent="0.25">
      <c r="A1187">
        <f ca="1">35674.6719636495*(RANDBETWEEN(2890,3282))</f>
        <v>104776511.55723846</v>
      </c>
      <c r="B1187">
        <v>256335661.76973999</v>
      </c>
    </row>
    <row r="1188" spans="1:2" x14ac:dyDescent="0.25">
      <c r="A1188">
        <f ca="1">28186.8302898391*(RANDBETWEEN(2890,3282))</f>
        <v>84532304.039227605</v>
      </c>
      <c r="B1188">
        <v>233910201.80715212</v>
      </c>
    </row>
    <row r="1189" spans="1:2" x14ac:dyDescent="0.25">
      <c r="A1189">
        <f ca="1">33611.4480074216*(RANDBETWEEN(2890,3282))</f>
        <v>108968314.44006093</v>
      </c>
      <c r="B1189">
        <v>237802322.89113718</v>
      </c>
    </row>
    <row r="1190" spans="1:2" x14ac:dyDescent="0.25">
      <c r="A1190">
        <f ca="1">31905.8034073594*(RANDBETWEEN(2890,3282))</f>
        <v>100248034.30592322</v>
      </c>
      <c r="B1190">
        <v>254998623.52968863</v>
      </c>
    </row>
    <row r="1191" spans="1:2" x14ac:dyDescent="0.25">
      <c r="A1191">
        <f ca="1">30603.015217493*(RANDBETWEEN(2890,3282))</f>
        <v>92206884.850306436</v>
      </c>
      <c r="B1191">
        <v>217030247.64813459</v>
      </c>
    </row>
    <row r="1192" spans="1:2" x14ac:dyDescent="0.25">
      <c r="A1192">
        <f ca="1">31463.3042327043*(RANDBETWEEN(2890,3282))</f>
        <v>96875513.732496589</v>
      </c>
      <c r="B1192">
        <v>210526665.85489163</v>
      </c>
    </row>
    <row r="1193" spans="1:2" x14ac:dyDescent="0.25">
      <c r="A1193">
        <f ca="1">39826.9124973724*(RANDBETWEEN(2890,3282))</f>
        <v>123821870.95433086</v>
      </c>
      <c r="B1193">
        <v>239446871.19343704</v>
      </c>
    </row>
    <row r="1194" spans="1:2" x14ac:dyDescent="0.25">
      <c r="A1194">
        <f ca="1">39460.3296687374*(RANDBETWEEN(2890,3282))</f>
        <v>125917911.97294098</v>
      </c>
      <c r="B1194">
        <v>263835987.46550429</v>
      </c>
    </row>
    <row r="1195" spans="1:2" x14ac:dyDescent="0.25">
      <c r="A1195">
        <f ca="1">32631.9455018222*(RANDBETWEEN(2890,3282))</f>
        <v>96655822.57639733</v>
      </c>
      <c r="B1195">
        <v>204467863.97055385</v>
      </c>
    </row>
    <row r="1196" spans="1:2" x14ac:dyDescent="0.25">
      <c r="A1196">
        <f ca="1">34157.8836204953*(RANDBETWEEN(2890,3282))</f>
        <v>99296967.684779704</v>
      </c>
      <c r="B1196">
        <v>243599354.47367576</v>
      </c>
    </row>
    <row r="1197" spans="1:2" x14ac:dyDescent="0.25">
      <c r="A1197">
        <f ca="1">31438.8612770927*(RANDBETWEEN(2890,3282))</f>
        <v>100195650.8900945</v>
      </c>
      <c r="B1197">
        <v>260509942.05441526</v>
      </c>
    </row>
    <row r="1198" spans="1:2" x14ac:dyDescent="0.25">
      <c r="A1198">
        <f ca="1">31941.740911286*(RANDBETWEEN(2890,3282))</f>
        <v>103938424.92532466</v>
      </c>
      <c r="B1198">
        <v>240626683.39996299</v>
      </c>
    </row>
    <row r="1199" spans="1:2" x14ac:dyDescent="0.25">
      <c r="A1199">
        <f ca="1">41284.3377226653*(RANDBETWEEN(2890,3282))</f>
        <v>130830066.24312641</v>
      </c>
      <c r="B1199">
        <v>240430455.20981044</v>
      </c>
    </row>
    <row r="1200" spans="1:2" x14ac:dyDescent="0.25">
      <c r="A1200">
        <f ca="1">31233.8429694257*(RANDBETWEEN(2890,3282))</f>
        <v>101072715.84906168</v>
      </c>
      <c r="B1200">
        <v>224454931.27790737</v>
      </c>
    </row>
    <row r="1201" spans="1:2" x14ac:dyDescent="0.25">
      <c r="A1201">
        <f ca="1">32173.6307607804*(RANDBETWEEN(2890,3282))</f>
        <v>99609560.835376248</v>
      </c>
      <c r="B1201">
        <v>230858988.76543045</v>
      </c>
    </row>
    <row r="1202" spans="1:2" x14ac:dyDescent="0.25">
      <c r="A1202">
        <f ca="1">38915.6476278894*(RANDBETWEEN(2890,3282))</f>
        <v>119548869.51287621</v>
      </c>
      <c r="B1202">
        <v>260944985.01861081</v>
      </c>
    </row>
    <row r="1203" spans="1:2" x14ac:dyDescent="0.25">
      <c r="A1203">
        <f ca="1">31726.005709837*(RANDBETWEEN(2890,3282))</f>
        <v>94702127.043863535</v>
      </c>
      <c r="B1203">
        <v>216350765.27568123</v>
      </c>
    </row>
    <row r="1204" spans="1:2" x14ac:dyDescent="0.25">
      <c r="A1204">
        <f ca="1">30297.6103364043*(RANDBETWEEN(2890,3282))</f>
        <v>91286699.943586171</v>
      </c>
      <c r="B1204">
        <v>221405420.26355746</v>
      </c>
    </row>
    <row r="1205" spans="1:2" x14ac:dyDescent="0.25">
      <c r="A1205">
        <f ca="1">33221.7253871045*(RANDBETWEEN(2890,3282))</f>
        <v>105711530.18176652</v>
      </c>
      <c r="B1205">
        <v>207708420.66345286</v>
      </c>
    </row>
    <row r="1206" spans="1:2" x14ac:dyDescent="0.25">
      <c r="A1206">
        <f ca="1">31102.1899052369*(RANDBETWEEN(2890,3282))</f>
        <v>94706168.261446506</v>
      </c>
      <c r="B1206">
        <v>245308911.58197868</v>
      </c>
    </row>
    <row r="1207" spans="1:2" x14ac:dyDescent="0.25">
      <c r="A1207">
        <f ca="1">38492.349785552*(RANDBETWEEN(2890,3282))</f>
        <v>112243691.97466977</v>
      </c>
      <c r="B1207">
        <v>247669096.26680958</v>
      </c>
    </row>
    <row r="1208" spans="1:2" x14ac:dyDescent="0.25">
      <c r="A1208">
        <f ca="1">29459.2290090944*(RANDBETWEEN(2890,3282))</f>
        <v>87670665.531064823</v>
      </c>
      <c r="B1208">
        <v>224045719.24688023</v>
      </c>
    </row>
    <row r="1209" spans="1:2" x14ac:dyDescent="0.25">
      <c r="A1209">
        <f ca="1">28894.763736913*(RANDBETWEEN(2890,3282))</f>
        <v>86106395.936000839</v>
      </c>
      <c r="B1209">
        <v>259646238.00660968</v>
      </c>
    </row>
    <row r="1210" spans="1:2" x14ac:dyDescent="0.25">
      <c r="A1210">
        <f ca="1">31877.9375716431*(RANDBETWEEN(2890,3282))</f>
        <v>94486206.96235013</v>
      </c>
      <c r="B1210">
        <v>210753843.85471463</v>
      </c>
    </row>
    <row r="1211" spans="1:2" x14ac:dyDescent="0.25">
      <c r="A1211">
        <f ca="1">31460.9932308352*(RANDBETWEEN(2890,3282))</f>
        <v>94036908.766966388</v>
      </c>
      <c r="B1211">
        <v>240239706.4239153</v>
      </c>
    </row>
    <row r="1212" spans="1:2" x14ac:dyDescent="0.25">
      <c r="A1212">
        <f ca="1">31789.5484334384*(RANDBETWEEN(2890,3282))</f>
        <v>98166125.562457621</v>
      </c>
      <c r="B1212">
        <v>226895120.04135662</v>
      </c>
    </row>
    <row r="1213" spans="1:2" x14ac:dyDescent="0.25">
      <c r="A1213">
        <f ca="1">35873.7012195878*(RANDBETWEEN(2890,3282))</f>
        <v>113647885.46365428</v>
      </c>
      <c r="B1213">
        <v>247501263.19383734</v>
      </c>
    </row>
    <row r="1214" spans="1:2" x14ac:dyDescent="0.25">
      <c r="A1214">
        <f ca="1">39510.9183340932*(RANDBETWEEN(2890,3282))</f>
        <v>123511130.71237548</v>
      </c>
      <c r="B1214">
        <v>262771805.73966891</v>
      </c>
    </row>
    <row r="1215" spans="1:2" x14ac:dyDescent="0.25">
      <c r="A1215">
        <f ca="1">36162.4863585872*(RANDBETWEEN(2890,3282))</f>
        <v>117817380.55627705</v>
      </c>
      <c r="B1215">
        <v>212951209.33764294</v>
      </c>
    </row>
    <row r="1216" spans="1:2" x14ac:dyDescent="0.25">
      <c r="A1216">
        <f ca="1">32259.4708881657*(RANDBETWEEN(2890,3282))</f>
        <v>96036444.834069163</v>
      </c>
      <c r="B1216">
        <v>212559763.06781548</v>
      </c>
    </row>
    <row r="1217" spans="1:2" x14ac:dyDescent="0.25">
      <c r="A1217">
        <f ca="1">29468.1966957289*(RANDBETWEEN(2890,3282))</f>
        <v>85988197.958136931</v>
      </c>
      <c r="B1217">
        <v>208313418.69584957</v>
      </c>
    </row>
    <row r="1218" spans="1:2" x14ac:dyDescent="0.25">
      <c r="A1218">
        <f ca="1">39456.4997435339*(RANDBETWEEN(2890,3282))</f>
        <v>114976240.25265791</v>
      </c>
      <c r="B1218">
        <v>254099851.92821762</v>
      </c>
    </row>
    <row r="1219" spans="1:2" x14ac:dyDescent="0.25">
      <c r="A1219">
        <f ca="1">33181.308094293*(RANDBETWEEN(2890,3282))</f>
        <v>107706526.07407504</v>
      </c>
      <c r="B1219">
        <v>244342589.175026</v>
      </c>
    </row>
    <row r="1220" spans="1:2" x14ac:dyDescent="0.25">
      <c r="A1220">
        <f ca="1">35176.4568802488*(RANDBETWEEN(2890,3282))</f>
        <v>113092308.86999975</v>
      </c>
      <c r="B1220">
        <v>224997163.26705942</v>
      </c>
    </row>
    <row r="1221" spans="1:2" x14ac:dyDescent="0.25">
      <c r="A1221">
        <f ca="1">35734.4088171202*(RANDBETWEEN(2890,3282))</f>
        <v>116101094.24682344</v>
      </c>
      <c r="B1221">
        <v>221043094.79496777</v>
      </c>
    </row>
    <row r="1222" spans="1:2" x14ac:dyDescent="0.25">
      <c r="A1222">
        <f ca="1">31876.523187627*(RANDBETWEEN(2890,3282))</f>
        <v>98912851.45120658</v>
      </c>
      <c r="B1222">
        <v>211752668.73137754</v>
      </c>
    </row>
    <row r="1223" spans="1:2" x14ac:dyDescent="0.25">
      <c r="A1223">
        <f ca="1">29651.0766028215*(RANDBETWEEN(2890,3282))</f>
        <v>96099139.26974459</v>
      </c>
      <c r="B1223">
        <v>217027576.96966484</v>
      </c>
    </row>
    <row r="1224" spans="1:2" x14ac:dyDescent="0.25">
      <c r="A1224">
        <f ca="1">32847.8940596989*(RANDBETWEEN(2890,3282))</f>
        <v>105376044.14351414</v>
      </c>
      <c r="B1224">
        <v>224325474.64001599</v>
      </c>
    </row>
    <row r="1225" spans="1:2" x14ac:dyDescent="0.25">
      <c r="A1225">
        <f ca="1">33528.318599088*(RANDBETWEEN(2890,3282))</f>
        <v>100685540.75306137</v>
      </c>
      <c r="B1225">
        <v>254082994.15401259</v>
      </c>
    </row>
    <row r="1226" spans="1:2" x14ac:dyDescent="0.25">
      <c r="A1226">
        <f ca="1">30649.266822699*(RANDBETWEEN(2890,3282))</f>
        <v>89679754.723217189</v>
      </c>
      <c r="B1226">
        <v>239182530.37949058</v>
      </c>
    </row>
    <row r="1227" spans="1:2" x14ac:dyDescent="0.25">
      <c r="A1227">
        <f ca="1">39871.6223878841*(RANDBETWEEN(2890,3282))</f>
        <v>127110732.17257439</v>
      </c>
      <c r="B1227">
        <v>239740904.698713</v>
      </c>
    </row>
    <row r="1228" spans="1:2" x14ac:dyDescent="0.25">
      <c r="A1228">
        <f ca="1">31089.8296208541*(RANDBETWEEN(2890,3282))</f>
        <v>90657943.174410522</v>
      </c>
      <c r="B1228">
        <v>229470160.2835356</v>
      </c>
    </row>
    <row r="1229" spans="1:2" x14ac:dyDescent="0.25">
      <c r="A1229">
        <f ca="1">41118.693405533*(RANDBETWEEN(2890,3282))</f>
        <v>133101210.55371046</v>
      </c>
      <c r="B1229">
        <v>246924183.37049228</v>
      </c>
    </row>
    <row r="1230" spans="1:2" x14ac:dyDescent="0.25">
      <c r="A1230">
        <f ca="1">32713.7916927231*(RANDBETWEEN(2890,3282))</f>
        <v>101609036.99759799</v>
      </c>
      <c r="B1230">
        <v>204798240.20598999</v>
      </c>
    </row>
    <row r="1231" spans="1:2" x14ac:dyDescent="0.25">
      <c r="A1231">
        <f ca="1">40032.1704060499*(RANDBETWEEN(2890,3282))</f>
        <v>118255031.37947153</v>
      </c>
      <c r="B1231">
        <v>258194224.98974869</v>
      </c>
    </row>
    <row r="1232" spans="1:2" x14ac:dyDescent="0.25">
      <c r="A1232">
        <f ca="1">35840.3696145883*(RANDBETWEEN(2890,3282))</f>
        <v>114474140.5489949</v>
      </c>
      <c r="B1232">
        <v>239381282.66905862</v>
      </c>
    </row>
    <row r="1233" spans="1:2" x14ac:dyDescent="0.25">
      <c r="A1233">
        <f ca="1">31639.5311445841*(RANDBETWEEN(2890,3282))</f>
        <v>92988582.033932671</v>
      </c>
      <c r="B1233">
        <v>250195674.31102034</v>
      </c>
    </row>
    <row r="1234" spans="1:2" x14ac:dyDescent="0.25">
      <c r="A1234">
        <f ca="1">32429.8317176177*(RANDBETWEEN(2890,3282))</f>
        <v>101764811.92988428</v>
      </c>
      <c r="B1234">
        <v>214057763.9707298</v>
      </c>
    </row>
    <row r="1235" spans="1:2" x14ac:dyDescent="0.25">
      <c r="A1235">
        <f ca="1">30113.8983935056*(RANDBETWEEN(2890,3282))</f>
        <v>97538916.896564722</v>
      </c>
      <c r="B1235">
        <v>219952085.12954482</v>
      </c>
    </row>
    <row r="1236" spans="1:2" x14ac:dyDescent="0.25">
      <c r="A1236">
        <f ca="1">31882.1841699414*(RANDBETWEEN(2890,3282))</f>
        <v>101895460.60713263</v>
      </c>
      <c r="B1236">
        <v>265844965.55991584</v>
      </c>
    </row>
    <row r="1237" spans="1:2" x14ac:dyDescent="0.25">
      <c r="A1237">
        <f ca="1">38507.5484286218*(RANDBETWEEN(2890,3282))</f>
        <v>111633382.89457466</v>
      </c>
      <c r="B1237">
        <v>226922383.48207515</v>
      </c>
    </row>
    <row r="1238" spans="1:2" x14ac:dyDescent="0.25">
      <c r="A1238">
        <f ca="1">30910.6514449587*(RANDBETWEEN(2890,3282))</f>
        <v>99810493.515771776</v>
      </c>
      <c r="B1238">
        <v>210620565.76614887</v>
      </c>
    </row>
    <row r="1239" spans="1:2" x14ac:dyDescent="0.25">
      <c r="A1239">
        <f ca="1">40402.4262886573*(RANDBETWEEN(2890,3282))</f>
        <v>118338706.59947719</v>
      </c>
      <c r="B1239">
        <v>252158176.45849246</v>
      </c>
    </row>
    <row r="1240" spans="1:2" x14ac:dyDescent="0.25">
      <c r="A1240">
        <f ca="1">30633.0353011671*(RANDBETWEEN(2890,3282))</f>
        <v>93614555.880366728</v>
      </c>
      <c r="B1240">
        <v>257943447.33642915</v>
      </c>
    </row>
    <row r="1241" spans="1:2" x14ac:dyDescent="0.25">
      <c r="A1241">
        <f ca="1">38773.3242750538*(RANDBETWEEN(2890,3282))</f>
        <v>121942104.84504406</v>
      </c>
      <c r="B1241">
        <v>224274414.82581717</v>
      </c>
    </row>
    <row r="1242" spans="1:2" x14ac:dyDescent="0.25">
      <c r="A1242">
        <f ca="1">40437.8818554977*(RANDBETWEEN(2890,3282))</f>
        <v>130937861.44810157</v>
      </c>
      <c r="B1242">
        <v>204659534.25209546</v>
      </c>
    </row>
    <row r="1243" spans="1:2" x14ac:dyDescent="0.25">
      <c r="A1243">
        <f ca="1">32455.2639964268*(RANDBETWEEN(2890,3282))</f>
        <v>96716686.709351838</v>
      </c>
      <c r="B1243">
        <v>229586810.0432165</v>
      </c>
    </row>
    <row r="1244" spans="1:2" x14ac:dyDescent="0.25">
      <c r="A1244">
        <f ca="1">32966.2875876049*(RANDBETWEEN(2890,3282))</f>
        <v>108195355.8625192</v>
      </c>
      <c r="B1244">
        <v>257171823.10721129</v>
      </c>
    </row>
    <row r="1245" spans="1:2" x14ac:dyDescent="0.25">
      <c r="A1245">
        <f ca="1">36587.4134271011*(RANDBETWEEN(2890,3282))</f>
        <v>114518604.02682631</v>
      </c>
      <c r="B1245">
        <v>241421541.19865316</v>
      </c>
    </row>
    <row r="1246" spans="1:2" x14ac:dyDescent="0.25">
      <c r="A1246">
        <f ca="1">34119.6520852001*(RANDBETWEEN(2890,3282))</f>
        <v>110172356.58311106</v>
      </c>
      <c r="B1246">
        <v>239200071.65202802</v>
      </c>
    </row>
    <row r="1247" spans="1:2" x14ac:dyDescent="0.25">
      <c r="A1247">
        <f ca="1">28842.7872795131*(RANDBETWEEN(2890,3282))</f>
        <v>88951155.970018253</v>
      </c>
      <c r="B1247">
        <v>209092749.86974984</v>
      </c>
    </row>
    <row r="1248" spans="1:2" x14ac:dyDescent="0.25">
      <c r="A1248">
        <f ca="1">40759.1715167976*(RANDBETWEEN(2890,3282))</f>
        <v>122073718.69280893</v>
      </c>
      <c r="B1248">
        <v>214091136.34278935</v>
      </c>
    </row>
    <row r="1249" spans="1:2" x14ac:dyDescent="0.25">
      <c r="A1249">
        <f ca="1">37807.6533120093*(RANDBETWEEN(2890,3282))</f>
        <v>109264118.07170697</v>
      </c>
      <c r="B1249">
        <v>265471321.18824601</v>
      </c>
    </row>
    <row r="1250" spans="1:2" x14ac:dyDescent="0.25">
      <c r="A1250">
        <f ca="1">32688.4472653275*(RANDBETWEEN(2890,3282))</f>
        <v>105420242.43068108</v>
      </c>
      <c r="B1250">
        <v>252938983.89857119</v>
      </c>
    </row>
    <row r="1251" spans="1:2" x14ac:dyDescent="0.25">
      <c r="A1251">
        <f ca="1">41923.1075391833*(RANDBETWEEN(2890,3282))</f>
        <v>132057788.74842733</v>
      </c>
      <c r="B1251">
        <v>228423862.83326584</v>
      </c>
    </row>
    <row r="1252" spans="1:2" x14ac:dyDescent="0.25">
      <c r="A1252">
        <f ca="1">40161.0741294502*(RANDBETWEEN(2890,3282))</f>
        <v>126908994.24906275</v>
      </c>
      <c r="B1252">
        <v>218589156.62146303</v>
      </c>
    </row>
    <row r="1253" spans="1:2" x14ac:dyDescent="0.25">
      <c r="A1253">
        <f ca="1">32069.371741468*(RANDBETWEEN(2890,3282))</f>
        <v>105091331.19679058</v>
      </c>
      <c r="B1253">
        <v>210571252.75820041</v>
      </c>
    </row>
    <row r="1254" spans="1:2" x14ac:dyDescent="0.25">
      <c r="A1254">
        <f ca="1">30742.546170438*(RANDBETWEEN(2890,3282))</f>
        <v>92903974.527063772</v>
      </c>
      <c r="B1254">
        <v>252077502.03418434</v>
      </c>
    </row>
    <row r="1255" spans="1:2" x14ac:dyDescent="0.25">
      <c r="A1255">
        <f ca="1">29517.3781464492*(RANDBETWEEN(2890,3282))</f>
        <v>95783892.085227549</v>
      </c>
      <c r="B1255">
        <v>261847129.75416279</v>
      </c>
    </row>
    <row r="1256" spans="1:2" x14ac:dyDescent="0.25">
      <c r="A1256">
        <f ca="1">41946.5374997479*(RANDBETWEEN(2890,3282))</f>
        <v>127894992.83673148</v>
      </c>
      <c r="B1256">
        <v>218674203.63349473</v>
      </c>
    </row>
    <row r="1257" spans="1:2" x14ac:dyDescent="0.25">
      <c r="A1257">
        <f ca="1">32472.9068009664*(RANDBETWEEN(2890,3282))</f>
        <v>95860020.876452819</v>
      </c>
      <c r="B1257">
        <v>240500006.79833612</v>
      </c>
    </row>
    <row r="1258" spans="1:2" x14ac:dyDescent="0.25">
      <c r="A1258">
        <f ca="1">32452.3041998999*(RANDBETWEEN(2890,3282))</f>
        <v>102289662.83808446</v>
      </c>
      <c r="B1258">
        <v>250038918.66066223</v>
      </c>
    </row>
    <row r="1259" spans="1:2" x14ac:dyDescent="0.25">
      <c r="A1259">
        <f ca="1">33834.1601599688*(RANDBETWEEN(2890,3282))</f>
        <v>105697916.33974256</v>
      </c>
      <c r="B1259">
        <v>220497908.48389369</v>
      </c>
    </row>
    <row r="1260" spans="1:2" x14ac:dyDescent="0.25">
      <c r="A1260">
        <f ca="1">39196.1458303381*(RANDBETWEEN(2890,3282))</f>
        <v>125466862.80291212</v>
      </c>
      <c r="B1260">
        <v>260091873.73387948</v>
      </c>
    </row>
    <row r="1261" spans="1:2" x14ac:dyDescent="0.25">
      <c r="A1261">
        <f ca="1">32918.9843915314*(RANDBETWEEN(2890,3282))</f>
        <v>102542636.37962025</v>
      </c>
      <c r="B1261">
        <v>213053304.48478439</v>
      </c>
    </row>
    <row r="1262" spans="1:2" x14ac:dyDescent="0.25">
      <c r="A1262">
        <f ca="1">40110.7260921701*(RANDBETWEEN(2890,3282))</f>
        <v>120251956.82432596</v>
      </c>
      <c r="B1262">
        <v>252035102.3701818</v>
      </c>
    </row>
    <row r="1263" spans="1:2" x14ac:dyDescent="0.25">
      <c r="A1263">
        <f ca="1">29491.032524717*(RANDBETWEEN(2890,3282))</f>
        <v>86851090.785291672</v>
      </c>
      <c r="B1263">
        <v>267140359.2986089</v>
      </c>
    </row>
    <row r="1264" spans="1:2" x14ac:dyDescent="0.25">
      <c r="A1264">
        <f ca="1">33961.1319305835*(RANDBETWEEN(2890,3282))</f>
        <v>111018940.28107755</v>
      </c>
      <c r="B1264">
        <v>266687491.04058689</v>
      </c>
    </row>
    <row r="1265" spans="1:2" x14ac:dyDescent="0.25">
      <c r="A1265">
        <f ca="1">28999.6301691713*(RANDBETWEEN(2890,3282))</f>
        <v>92363822.088810638</v>
      </c>
      <c r="B1265">
        <v>227459684.80763918</v>
      </c>
    </row>
    <row r="1266" spans="1:2" x14ac:dyDescent="0.25">
      <c r="A1266">
        <f ca="1">32555.6669054404*(RANDBETWEEN(2890,3282))</f>
        <v>105578027.77434327</v>
      </c>
      <c r="B1266">
        <v>259289291.11211756</v>
      </c>
    </row>
    <row r="1267" spans="1:2" x14ac:dyDescent="0.25">
      <c r="A1267">
        <f ca="1">31917.6961631145*(RANDBETWEEN(2890,3282))</f>
        <v>97827738.739945978</v>
      </c>
      <c r="B1267">
        <v>220120713.89223048</v>
      </c>
    </row>
    <row r="1268" spans="1:2" x14ac:dyDescent="0.25">
      <c r="A1268">
        <f ca="1">32482.6791063563*(RANDBETWEEN(2890,3282))</f>
        <v>105503741.73744531</v>
      </c>
      <c r="B1268">
        <v>260052124.35912427</v>
      </c>
    </row>
    <row r="1269" spans="1:2" x14ac:dyDescent="0.25">
      <c r="A1269">
        <f ca="1">30918.4740265741*(RANDBETWEEN(2890,3282))</f>
        <v>98073399.612292945</v>
      </c>
      <c r="B1269">
        <v>216556653.48549372</v>
      </c>
    </row>
    <row r="1270" spans="1:2" x14ac:dyDescent="0.25">
      <c r="A1270">
        <f ca="1">35446.2414653668*(RANDBETWEEN(2890,3282))</f>
        <v>107685681.57178441</v>
      </c>
      <c r="B1270">
        <v>214080621.51549613</v>
      </c>
    </row>
    <row r="1271" spans="1:2" x14ac:dyDescent="0.25">
      <c r="A1271">
        <f ca="1">31511.6248047998*(RANDBETWEEN(2890,3282))</f>
        <v>91383711.93391943</v>
      </c>
      <c r="B1271">
        <v>236660175.79896826</v>
      </c>
    </row>
    <row r="1272" spans="1:2" x14ac:dyDescent="0.25">
      <c r="A1272">
        <f ca="1">31276.5317262022*(RANDBETWEEN(2890,3282))</f>
        <v>99146605.572061002</v>
      </c>
      <c r="B1272">
        <v>225325468.27721778</v>
      </c>
    </row>
    <row r="1273" spans="1:2" x14ac:dyDescent="0.25">
      <c r="A1273">
        <f ca="1">32800.7338404953*(RANDBETWEEN(2890,3282))</f>
        <v>103223909.39603865</v>
      </c>
      <c r="B1273">
        <v>253297957.14290488</v>
      </c>
    </row>
    <row r="1274" spans="1:2" x14ac:dyDescent="0.25">
      <c r="A1274">
        <f ca="1">31637.849602707*(RANDBETWEEN(2890,3282))</f>
        <v>97634403.873953938</v>
      </c>
      <c r="B1274">
        <v>224645854.28109798</v>
      </c>
    </row>
    <row r="1275" spans="1:2" x14ac:dyDescent="0.25">
      <c r="A1275">
        <f ca="1">34305.0300117427*(RANDBETWEEN(2890,3282))</f>
        <v>109295825.61741216</v>
      </c>
      <c r="B1275">
        <v>221497393.7800402</v>
      </c>
    </row>
    <row r="1276" spans="1:2" x14ac:dyDescent="0.25">
      <c r="A1276">
        <f ca="1">32559.9452573996*(RANDBETWEEN(2890,3282))</f>
        <v>97712395.717456162</v>
      </c>
      <c r="B1276">
        <v>242767147.84842989</v>
      </c>
    </row>
    <row r="1277" spans="1:2" x14ac:dyDescent="0.25">
      <c r="A1277">
        <f ca="1">37299.2379011265*(RANDBETWEEN(2890,3282))</f>
        <v>110070051.04622422</v>
      </c>
      <c r="B1277">
        <v>253933338.58807409</v>
      </c>
    </row>
    <row r="1278" spans="1:2" x14ac:dyDescent="0.25">
      <c r="A1278">
        <f ca="1">31616.8255725722*(RANDBETWEEN(2890,3282))</f>
        <v>101142225.00665838</v>
      </c>
      <c r="B1278">
        <v>215682913.96975905</v>
      </c>
    </row>
    <row r="1279" spans="1:2" x14ac:dyDescent="0.25">
      <c r="A1279">
        <f ca="1">38182.4782645992*(RANDBETWEEN(2890,3282))</f>
        <v>110461909.61948551</v>
      </c>
      <c r="B1279">
        <v>245101275.53800568</v>
      </c>
    </row>
    <row r="1280" spans="1:2" x14ac:dyDescent="0.25">
      <c r="A1280">
        <f ca="1">28534.8901132977*(RANDBETWEEN(2890,3282))</f>
        <v>89228601.384281904</v>
      </c>
      <c r="B1280">
        <v>217914228.32966727</v>
      </c>
    </row>
    <row r="1281" spans="1:2" x14ac:dyDescent="0.25">
      <c r="A1281">
        <f ca="1">33899.0611737008*(RANDBETWEEN(2890,3282))</f>
        <v>106375253.96307309</v>
      </c>
      <c r="B1281">
        <v>236076133.14064449</v>
      </c>
    </row>
    <row r="1282" spans="1:2" x14ac:dyDescent="0.25">
      <c r="A1282">
        <f ca="1">30890.9009295874*(RANDBETWEEN(2890,3282))</f>
        <v>98850882.974679798</v>
      </c>
      <c r="B1282">
        <v>224403436.70579821</v>
      </c>
    </row>
    <row r="1283" spans="1:2" x14ac:dyDescent="0.25">
      <c r="A1283">
        <f ca="1">30249.9415583537*(RANDBETWEEN(2890,3282))</f>
        <v>89358327.363376737</v>
      </c>
      <c r="B1283">
        <v>258432811.38919964</v>
      </c>
    </row>
    <row r="1284" spans="1:2" x14ac:dyDescent="0.25">
      <c r="A1284">
        <f ca="1">40737.0112535907*(RANDBETWEEN(2890,3282))</f>
        <v>131947179.45038028</v>
      </c>
      <c r="B1284">
        <v>255149221.62553144</v>
      </c>
    </row>
    <row r="1285" spans="1:2" x14ac:dyDescent="0.25">
      <c r="A1285">
        <f ca="1">43023.9979736542*(RANDBETWEEN(2890,3282))</f>
        <v>132255769.7710129</v>
      </c>
      <c r="B1285">
        <v>238655347.69161695</v>
      </c>
    </row>
    <row r="1286" spans="1:2" x14ac:dyDescent="0.25">
      <c r="A1286">
        <f ca="1">41341.7095420385*(RANDBETWEEN(2890,3282))</f>
        <v>124231837.17382555</v>
      </c>
      <c r="B1286">
        <v>210923174.37332875</v>
      </c>
    </row>
    <row r="1287" spans="1:2" x14ac:dyDescent="0.25">
      <c r="A1287">
        <f ca="1">32082.2739515952*(RANDBETWEEN(2890,3282))</f>
        <v>99390884.70204182</v>
      </c>
      <c r="B1287">
        <v>266091857.87024936</v>
      </c>
    </row>
    <row r="1288" spans="1:2" x14ac:dyDescent="0.25">
      <c r="A1288">
        <f ca="1">33806.4021106073*(RANDBETWEEN(2890,3282))</f>
        <v>109194678.81726143</v>
      </c>
      <c r="B1288">
        <v>224002380.52559936</v>
      </c>
    </row>
    <row r="1289" spans="1:2" x14ac:dyDescent="0.25">
      <c r="A1289">
        <f ca="1">33778.0445583138*(RANDBETWEEN(2890,3282))</f>
        <v>109271974.14614509</v>
      </c>
      <c r="B1289">
        <v>254745031.11687097</v>
      </c>
    </row>
    <row r="1290" spans="1:2" x14ac:dyDescent="0.25">
      <c r="A1290">
        <f ca="1">32958.1049722998*(RANDBETWEEN(2890,3282))</f>
        <v>103554365.82296604</v>
      </c>
      <c r="B1290">
        <v>225200269.72081658</v>
      </c>
    </row>
    <row r="1291" spans="1:2" x14ac:dyDescent="0.25">
      <c r="A1291">
        <f ca="1">41834.512994153*(RANDBETWEEN(2890,3282))</f>
        <v>136673353.95189774</v>
      </c>
      <c r="B1291">
        <v>226044919.58426017</v>
      </c>
    </row>
    <row r="1292" spans="1:2" x14ac:dyDescent="0.25">
      <c r="A1292">
        <f ca="1">32535.5986150221*(RANDBETWEEN(2890,3282))</f>
        <v>105512946.30851679</v>
      </c>
      <c r="B1292">
        <v>233286036.66737294</v>
      </c>
    </row>
    <row r="1293" spans="1:2" x14ac:dyDescent="0.25">
      <c r="A1293">
        <f ca="1">32512.0057107166*(RANDBETWEEN(2890,3282))</f>
        <v>102055185.92593953</v>
      </c>
      <c r="B1293">
        <v>206817508.03177238</v>
      </c>
    </row>
    <row r="1294" spans="1:2" x14ac:dyDescent="0.25">
      <c r="A1294">
        <f ca="1">38281.9332977385*(RANDBETWEEN(2890,3282))</f>
        <v>120090424.7550056</v>
      </c>
      <c r="B1294">
        <v>239855164.99123165</v>
      </c>
    </row>
    <row r="1295" spans="1:2" x14ac:dyDescent="0.25">
      <c r="A1295">
        <f ca="1">35615.6641562083*(RANDBETWEEN(2890,3282))</f>
        <v>109340088.95955953</v>
      </c>
      <c r="B1295">
        <v>231376693.55750993</v>
      </c>
    </row>
    <row r="1296" spans="1:2" x14ac:dyDescent="0.25">
      <c r="A1296">
        <f ca="1">32736.1820297804*(RANDBETWEEN(2890,3282))</f>
        <v>105377769.95386297</v>
      </c>
      <c r="B1296">
        <v>266335762.22596395</v>
      </c>
    </row>
    <row r="1297" spans="1:2" x14ac:dyDescent="0.25">
      <c r="A1297">
        <f ca="1">31105.4576102474*(RANDBETWEEN(2890,3282))</f>
        <v>94218431.101439387</v>
      </c>
      <c r="B1297">
        <v>224595950.57021296</v>
      </c>
    </row>
    <row r="1298" spans="1:2" x14ac:dyDescent="0.25">
      <c r="A1298">
        <f ca="1">36088.5681473559*(RANDBETWEEN(2890,3282))</f>
        <v>109420538.62278309</v>
      </c>
      <c r="B1298">
        <v>252743219.36505473</v>
      </c>
    </row>
    <row r="1299" spans="1:2" x14ac:dyDescent="0.25">
      <c r="A1299">
        <f ca="1">31314.6595561169*(RANDBETWEEN(2890,3282))</f>
        <v>102211048.79116569</v>
      </c>
      <c r="B1299">
        <v>255759498.40537617</v>
      </c>
    </row>
    <row r="1300" spans="1:2" x14ac:dyDescent="0.25">
      <c r="A1300">
        <f ca="1">28078.1783718234*(RANDBETWEEN(2890,3282))</f>
        <v>92012190.524465144</v>
      </c>
      <c r="B1300">
        <v>219357870.73957431</v>
      </c>
    </row>
    <row r="1301" spans="1:2" x14ac:dyDescent="0.25">
      <c r="A1301">
        <f ca="1">34141.9167686606*(RANDBETWEEN(2890,3282))</f>
        <v>105566806.64869872</v>
      </c>
      <c r="B1301">
        <v>235150797.39414841</v>
      </c>
    </row>
    <row r="1302" spans="1:2" x14ac:dyDescent="0.25">
      <c r="A1302">
        <f ca="1">33317.7481230685*(RANDBETWEEN(2890,3282))</f>
        <v>106383569.75695786</v>
      </c>
      <c r="B1302">
        <v>253302098.32433429</v>
      </c>
    </row>
    <row r="1303" spans="1:2" x14ac:dyDescent="0.25">
      <c r="A1303">
        <f ca="1">39718.8358819384*(RANDBETWEEN(2890,3282))</f>
        <v>121698513.14225917</v>
      </c>
      <c r="B1303">
        <v>247942593.34397572</v>
      </c>
    </row>
    <row r="1304" spans="1:2" x14ac:dyDescent="0.25">
      <c r="A1304">
        <f ca="1">40144.5929143924*(RANDBETWEEN(2890,3282))</f>
        <v>124929973.14958927</v>
      </c>
      <c r="B1304">
        <v>255521285.24061549</v>
      </c>
    </row>
    <row r="1305" spans="1:2" x14ac:dyDescent="0.25">
      <c r="A1305">
        <f ca="1">32164.3834040564*(RANDBETWEEN(2890,3282))</f>
        <v>99259287.184918106</v>
      </c>
      <c r="B1305">
        <v>215377728.90940601</v>
      </c>
    </row>
    <row r="1306" spans="1:2" x14ac:dyDescent="0.25">
      <c r="A1306">
        <f ca="1">42325.2584759187*(RANDBETWEEN(2890,3282))</f>
        <v>134805948.24580109</v>
      </c>
      <c r="B1306">
        <v>254181263.60777223</v>
      </c>
    </row>
    <row r="1307" spans="1:2" x14ac:dyDescent="0.25">
      <c r="A1307">
        <f ca="1">28759.2345884081*(RANDBETWEEN(2890,3282))</f>
        <v>84638427.393684953</v>
      </c>
      <c r="B1307">
        <v>259178223.66563386</v>
      </c>
    </row>
    <row r="1308" spans="1:2" x14ac:dyDescent="0.25">
      <c r="A1308">
        <f ca="1">30272.905717557*(RANDBETWEEN(2890,3282))</f>
        <v>96086202.747525945</v>
      </c>
      <c r="B1308">
        <v>250458747.99263042</v>
      </c>
    </row>
    <row r="1309" spans="1:2" x14ac:dyDescent="0.25">
      <c r="A1309">
        <f ca="1">31476.4731400389*(RANDBETWEEN(2890,3282))</f>
        <v>97419684.368420541</v>
      </c>
      <c r="B1309">
        <v>227301663.50119802</v>
      </c>
    </row>
    <row r="1310" spans="1:2" x14ac:dyDescent="0.25">
      <c r="A1310">
        <f ca="1">37295.7070263765*(RANDBETWEEN(2890,3282))</f>
        <v>114908073.34826587</v>
      </c>
      <c r="B1310">
        <v>224428485.9406372</v>
      </c>
    </row>
    <row r="1311" spans="1:2" x14ac:dyDescent="0.25">
      <c r="A1311">
        <f ca="1">39562.236989029*(RANDBETWEEN(2890,3282))</f>
        <v>125610102.44016701</v>
      </c>
      <c r="B1311">
        <v>267874408.80836815</v>
      </c>
    </row>
    <row r="1312" spans="1:2" x14ac:dyDescent="0.25">
      <c r="A1312">
        <f ca="1">38404.7665154304*(RANDBETWEEN(2890,3282))</f>
        <v>113524489.81961222</v>
      </c>
      <c r="B1312">
        <v>226386201.8014605</v>
      </c>
    </row>
    <row r="1313" spans="1:2" x14ac:dyDescent="0.25">
      <c r="A1313">
        <f ca="1">37885.6442431295*(RANDBETWEEN(2890,3282))</f>
        <v>121006747.71255577</v>
      </c>
      <c r="B1313">
        <v>246610635.8398357</v>
      </c>
    </row>
    <row r="1314" spans="1:2" x14ac:dyDescent="0.25">
      <c r="A1314">
        <f ca="1">29377.7556298003*(RANDBETWEEN(2890,3282))</f>
        <v>88133266.889401004</v>
      </c>
      <c r="B1314">
        <v>218115567.79319447</v>
      </c>
    </row>
    <row r="1315" spans="1:2" x14ac:dyDescent="0.25">
      <c r="A1315">
        <f ca="1">31851.9270903505*(RANDBETWEEN(2890,3282))</f>
        <v>96160967.88576816</v>
      </c>
      <c r="B1315">
        <v>243199502.66220784</v>
      </c>
    </row>
    <row r="1316" spans="1:2" x14ac:dyDescent="0.25">
      <c r="A1316">
        <f ca="1">37250.5739311487*(RANDBETWEEN(2890,3282))</f>
        <v>117935317.06601682</v>
      </c>
      <c r="B1316">
        <v>224182094.652944</v>
      </c>
    </row>
    <row r="1317" spans="1:2" x14ac:dyDescent="0.25">
      <c r="A1317">
        <f ca="1">35912.594921497*(RANDBETWEEN(2890,3282))</f>
        <v>112765548.05350065</v>
      </c>
      <c r="B1317">
        <v>241898342.80570808</v>
      </c>
    </row>
    <row r="1318" spans="1:2" x14ac:dyDescent="0.25">
      <c r="A1318">
        <f ca="1">32147.3451803417*(RANDBETWEEN(2890,3282))</f>
        <v>99045970.500632897</v>
      </c>
      <c r="B1318">
        <v>233901538.25955376</v>
      </c>
    </row>
    <row r="1319" spans="1:2" x14ac:dyDescent="0.25">
      <c r="A1319">
        <f ca="1">31483.3489882388*(RANDBETWEEN(2890,3282))</f>
        <v>97157614.977704838</v>
      </c>
      <c r="B1319">
        <v>231138308.1229454</v>
      </c>
    </row>
    <row r="1320" spans="1:2" x14ac:dyDescent="0.25">
      <c r="A1320">
        <f ca="1">32947.3687778088*(RANDBETWEEN(2890,3282))</f>
        <v>100357685.29720572</v>
      </c>
      <c r="B1320">
        <v>220006991.47771734</v>
      </c>
    </row>
    <row r="1321" spans="1:2" x14ac:dyDescent="0.25">
      <c r="A1321">
        <f ca="1">40374.6822325681*(RANDBETWEEN(2890,3282))</f>
        <v>118540067.03482009</v>
      </c>
      <c r="B1321">
        <v>229455115.73818833</v>
      </c>
    </row>
    <row r="1322" spans="1:2" x14ac:dyDescent="0.25">
      <c r="A1322">
        <f ca="1">42967.8781210305*(RANDBETWEEN(2890,3282))</f>
        <v>124306071.40414131</v>
      </c>
      <c r="B1322">
        <v>259951866.83167893</v>
      </c>
    </row>
    <row r="1323" spans="1:2" x14ac:dyDescent="0.25">
      <c r="A1323">
        <f ca="1">31058.4853785375*(RANDBETWEEN(2890,3282))</f>
        <v>97741053.486257523</v>
      </c>
      <c r="B1323">
        <v>264755940.01709625</v>
      </c>
    </row>
    <row r="1324" spans="1:2" x14ac:dyDescent="0.25">
      <c r="A1324">
        <f ca="1">33829.9191207926*(RANDBETWEEN(2890,3282))</f>
        <v>108492550.62038183</v>
      </c>
      <c r="B1324">
        <v>243202114.50283375</v>
      </c>
    </row>
    <row r="1325" spans="1:2" x14ac:dyDescent="0.25">
      <c r="A1325">
        <f ca="1">31896.8977885096*(RANDBETWEEN(2890,3282))</f>
        <v>95786384.058894366</v>
      </c>
      <c r="B1325">
        <v>247009152.72026235</v>
      </c>
    </row>
    <row r="1326" spans="1:2" x14ac:dyDescent="0.25">
      <c r="A1326">
        <f ca="1">31593.4433887674*(RANDBETWEEN(2890,3282))</f>
        <v>93895713.751416773</v>
      </c>
      <c r="B1326">
        <v>240587475.76189795</v>
      </c>
    </row>
    <row r="1327" spans="1:2" x14ac:dyDescent="0.25">
      <c r="A1327">
        <f ca="1">30738.3373063421*(RANDBETWEEN(2890,3282))</f>
        <v>89417823.224149257</v>
      </c>
      <c r="B1327">
        <v>243835131.53412554</v>
      </c>
    </row>
    <row r="1328" spans="1:2" x14ac:dyDescent="0.25">
      <c r="A1328">
        <f ca="1">29979.1062617269*(RANDBETWEEN(2890,3282))</f>
        <v>95603369.868647218</v>
      </c>
      <c r="B1328">
        <v>217828870.74713114</v>
      </c>
    </row>
    <row r="1329" spans="1:2" x14ac:dyDescent="0.25">
      <c r="A1329">
        <f ca="1">31029.2803406648*(RANDBETWEEN(2890,3282))</f>
        <v>101062366.0695454</v>
      </c>
      <c r="B1329">
        <v>218446318.60051957</v>
      </c>
    </row>
    <row r="1330" spans="1:2" x14ac:dyDescent="0.25">
      <c r="A1330">
        <f ca="1">28098.1443173606*(RANDBETWEEN(2890,3282))</f>
        <v>83507684.911195844</v>
      </c>
      <c r="B1330">
        <v>230704881.19452775</v>
      </c>
    </row>
    <row r="1331" spans="1:2" x14ac:dyDescent="0.25">
      <c r="A1331">
        <f ca="1">34707.5092723485*(RANDBETWEEN(2890,3282))</f>
        <v>106204978.37338637</v>
      </c>
      <c r="B1331">
        <v>207973683.85488692</v>
      </c>
    </row>
    <row r="1332" spans="1:2" x14ac:dyDescent="0.25">
      <c r="A1332">
        <f ca="1">30122.1644228128*(RANDBETWEEN(2890,3282))</f>
        <v>94914940.096283048</v>
      </c>
      <c r="B1332">
        <v>248692900.28073916</v>
      </c>
    </row>
    <row r="1333" spans="1:2" x14ac:dyDescent="0.25">
      <c r="A1333">
        <f ca="1">35205.3538021422*(RANDBETWEEN(2890,3282))</f>
        <v>104700722.20757084</v>
      </c>
      <c r="B1333">
        <v>211377962.24162203</v>
      </c>
    </row>
    <row r="1334" spans="1:2" x14ac:dyDescent="0.25">
      <c r="A1334">
        <f ca="1">38695.3205865169*(RANDBETWEEN(2890,3282))</f>
        <v>126301526.39439102</v>
      </c>
      <c r="B1334">
        <v>208598906.53858113</v>
      </c>
    </row>
    <row r="1335" spans="1:2" x14ac:dyDescent="0.25">
      <c r="A1335">
        <f ca="1">32967.1339314399*(RANDBETWEEN(2890,3282))</f>
        <v>102725589.33036661</v>
      </c>
      <c r="B1335">
        <v>231128302.82855338</v>
      </c>
    </row>
    <row r="1336" spans="1:2" x14ac:dyDescent="0.25">
      <c r="A1336">
        <f ca="1">30435.217741481*(RANDBETWEEN(2890,3282))</f>
        <v>97057909.377582967</v>
      </c>
      <c r="B1336">
        <v>225420173.49743083</v>
      </c>
    </row>
    <row r="1337" spans="1:2" x14ac:dyDescent="0.25">
      <c r="A1337">
        <f ca="1">32554.8583527777*(RANDBETWEEN(2890,3282))</f>
        <v>98348227.083741531</v>
      </c>
      <c r="B1337">
        <v>260856266.03985342</v>
      </c>
    </row>
    <row r="1338" spans="1:2" x14ac:dyDescent="0.25">
      <c r="A1338">
        <f ca="1">33718.207635136*(RANDBETWEEN(2890,3282))</f>
        <v>109550456.6065568</v>
      </c>
      <c r="B1338">
        <v>216981521.47449261</v>
      </c>
    </row>
    <row r="1339" spans="1:2" x14ac:dyDescent="0.25">
      <c r="A1339">
        <f ca="1">37739.2023256079*(RANDBETWEEN(2890,3282))</f>
        <v>109556904.35123979</v>
      </c>
      <c r="B1339">
        <v>262409361.58008876</v>
      </c>
    </row>
    <row r="1340" spans="1:2" x14ac:dyDescent="0.25">
      <c r="A1340">
        <f ca="1">35799.0510838538*(RANDBETWEEN(2890,3282))</f>
        <v>105285009.23761395</v>
      </c>
      <c r="B1340">
        <v>238421744.15746412</v>
      </c>
    </row>
    <row r="1341" spans="1:2" x14ac:dyDescent="0.25">
      <c r="A1341">
        <f ca="1">36250.2731138968*(RANDBETWEEN(2890,3282))</f>
        <v>116145875.05692546</v>
      </c>
      <c r="B1341">
        <v>227838485.30958498</v>
      </c>
    </row>
    <row r="1342" spans="1:2" x14ac:dyDescent="0.25">
      <c r="A1342">
        <f ca="1">32506.3088688613*(RANDBETWEEN(2890,3282))</f>
        <v>101939784.61274894</v>
      </c>
      <c r="B1342">
        <v>210653859.84733838</v>
      </c>
    </row>
    <row r="1343" spans="1:2" x14ac:dyDescent="0.25">
      <c r="A1343">
        <f ca="1">33809.3654730315*(RANDBETWEEN(2890,3282))</f>
        <v>103456658.34747629</v>
      </c>
      <c r="B1343">
        <v>236435927.15075073</v>
      </c>
    </row>
    <row r="1344" spans="1:2" x14ac:dyDescent="0.25">
      <c r="A1344">
        <f ca="1">39359.9806460395*(RANDBETWEEN(2890,3282))</f>
        <v>119969221.00912835</v>
      </c>
      <c r="B1344">
        <v>208717979.08946514</v>
      </c>
    </row>
    <row r="1345" spans="1:2" x14ac:dyDescent="0.25">
      <c r="A1345">
        <f ca="1">42066.3898023248*(RANDBETWEEN(2890,3282))</f>
        <v>127881824.99906749</v>
      </c>
      <c r="B1345">
        <v>220055954.02296039</v>
      </c>
    </row>
    <row r="1346" spans="1:2" x14ac:dyDescent="0.25">
      <c r="A1346">
        <f ca="1">32783.1787797241*(RANDBETWEEN(2890,3282))</f>
        <v>106020800.17362782</v>
      </c>
      <c r="B1346">
        <v>207022150.81510824</v>
      </c>
    </row>
    <row r="1347" spans="1:2" x14ac:dyDescent="0.25">
      <c r="A1347">
        <f ca="1">31816.7435354061*(RANDBETWEEN(2890,3282))</f>
        <v>96213832.451067924</v>
      </c>
      <c r="B1347">
        <v>243469084.20730954</v>
      </c>
    </row>
    <row r="1348" spans="1:2" x14ac:dyDescent="0.25">
      <c r="A1348">
        <f ca="1">37009.7143126972*(RANDBETWEEN(2890,3282))</f>
        <v>110992133.22377881</v>
      </c>
      <c r="B1348">
        <v>225249977.8953436</v>
      </c>
    </row>
    <row r="1349" spans="1:2" x14ac:dyDescent="0.25">
      <c r="A1349">
        <f ca="1">38924.3199556388*(RANDBETWEEN(2890,3282))</f>
        <v>125881250.73653576</v>
      </c>
      <c r="B1349">
        <v>248401315.42537546</v>
      </c>
    </row>
    <row r="1350" spans="1:2" x14ac:dyDescent="0.25">
      <c r="A1350">
        <f ca="1">38256.642953771*(RANDBETWEEN(2890,3282))</f>
        <v>116721017.65195534</v>
      </c>
      <c r="B1350">
        <v>208438664.58001903</v>
      </c>
    </row>
    <row r="1351" spans="1:2" x14ac:dyDescent="0.25">
      <c r="A1351">
        <f ca="1">32800.729724179*(RANDBETWEEN(2890,3282))</f>
        <v>103453501.55006061</v>
      </c>
      <c r="B1351">
        <v>226468390.2089991</v>
      </c>
    </row>
    <row r="1352" spans="1:2" x14ac:dyDescent="0.25">
      <c r="A1352">
        <f ca="1">29996.9653348916*(RANDBETWEEN(2890,3282))</f>
        <v>92450647.162136018</v>
      </c>
      <c r="B1352">
        <v>243570569.81676674</v>
      </c>
    </row>
    <row r="1353" spans="1:2" x14ac:dyDescent="0.25">
      <c r="A1353">
        <f ca="1">30596.6142421165*(RANDBETWEEN(2890,3282))</f>
        <v>89525693.272432953</v>
      </c>
      <c r="B1353">
        <v>226051328.16211426</v>
      </c>
    </row>
    <row r="1354" spans="1:2" x14ac:dyDescent="0.25">
      <c r="A1354">
        <f ca="1">31638.2714267439*(RANDBETWEEN(2890,3282))</f>
        <v>93934027.866002634</v>
      </c>
      <c r="B1354">
        <v>256482182.00274509</v>
      </c>
    </row>
    <row r="1355" spans="1:2" x14ac:dyDescent="0.25">
      <c r="A1355">
        <f ca="1">34594.1043228512*(RANDBETWEEN(2890,3282))</f>
        <v>113468662.17895178</v>
      </c>
      <c r="B1355">
        <v>242300739.82142979</v>
      </c>
    </row>
    <row r="1356" spans="1:2" x14ac:dyDescent="0.25">
      <c r="A1356">
        <f ca="1">32658.4737671391*(RANDBETWEEN(2890,3282))</f>
        <v>105846113.47929767</v>
      </c>
      <c r="B1356">
        <v>235760774.53361967</v>
      </c>
    </row>
    <row r="1357" spans="1:2" x14ac:dyDescent="0.25">
      <c r="A1357">
        <f ca="1">35224.8923048765*(RANDBETWEEN(2890,3282))</f>
        <v>114234325.74471451</v>
      </c>
      <c r="B1357">
        <v>239116217.76495558</v>
      </c>
    </row>
    <row r="1358" spans="1:2" x14ac:dyDescent="0.25">
      <c r="A1358">
        <f ca="1">29458.5260058701*(RANDBETWEEN(2890,3282))</f>
        <v>96093711.831148386</v>
      </c>
      <c r="B1358">
        <v>223307440.2381416</v>
      </c>
    </row>
    <row r="1359" spans="1:2" x14ac:dyDescent="0.25">
      <c r="A1359">
        <f ca="1">40650.2594335847*(RANDBETWEEN(2890,3282))</f>
        <v>123048335.30546083</v>
      </c>
      <c r="B1359">
        <v>231795014.11233163</v>
      </c>
    </row>
    <row r="1360" spans="1:2" x14ac:dyDescent="0.25">
      <c r="A1360">
        <f ca="1">31705.9973322958*(RANDBETWEEN(2890,3282))</f>
        <v>99842185.599399358</v>
      </c>
      <c r="B1360">
        <v>221694662.5860182</v>
      </c>
    </row>
    <row r="1361" spans="1:2" x14ac:dyDescent="0.25">
      <c r="A1361">
        <f ca="1">36940.0481261058*(RANDBETWEEN(2890,3282))</f>
        <v>116102571.26035048</v>
      </c>
      <c r="B1361">
        <v>266779747.16822666</v>
      </c>
    </row>
    <row r="1362" spans="1:2" x14ac:dyDescent="0.25">
      <c r="A1362">
        <f ca="1">34050.6582728342*(RANDBETWEEN(2890,3282))</f>
        <v>102526532.05950381</v>
      </c>
      <c r="B1362">
        <v>250258877.77008951</v>
      </c>
    </row>
    <row r="1363" spans="1:2" x14ac:dyDescent="0.25">
      <c r="A1363">
        <f ca="1">38535.0934174123*(RANDBETWEEN(2890,3282))</f>
        <v>123196693.65546724</v>
      </c>
      <c r="B1363">
        <v>246399932.24441499</v>
      </c>
    </row>
    <row r="1364" spans="1:2" x14ac:dyDescent="0.25">
      <c r="A1364">
        <f ca="1">32852.3130540293*(RANDBETWEEN(2890,3282))</f>
        <v>101973579.71970685</v>
      </c>
      <c r="B1364">
        <v>249877526.39709496</v>
      </c>
    </row>
    <row r="1365" spans="1:2" x14ac:dyDescent="0.25">
      <c r="A1365">
        <f ca="1">31591.4068018921*(RANDBETWEEN(2890,3282))</f>
        <v>103556631.49660222</v>
      </c>
      <c r="B1365">
        <v>236405112.48271847</v>
      </c>
    </row>
    <row r="1366" spans="1:2" x14ac:dyDescent="0.25">
      <c r="A1366">
        <f ca="1">32626.1162265417*(RANDBETWEEN(2890,3282))</f>
        <v>102576509.41624722</v>
      </c>
      <c r="B1366">
        <v>265921169.73366439</v>
      </c>
    </row>
    <row r="1367" spans="1:2" x14ac:dyDescent="0.25">
      <c r="A1367">
        <f ca="1">33164.822597342*(RANDBETWEEN(2890,3282))</f>
        <v>106392750.89227329</v>
      </c>
      <c r="B1367">
        <v>232743734.19776049</v>
      </c>
    </row>
    <row r="1368" spans="1:2" x14ac:dyDescent="0.25">
      <c r="A1368">
        <f ca="1">39316.4817033227*(RANDBETWEEN(2890,3282))</f>
        <v>122077675.68881702</v>
      </c>
      <c r="B1368">
        <v>263268713.09779105</v>
      </c>
    </row>
    <row r="1369" spans="1:2" x14ac:dyDescent="0.25">
      <c r="A1369">
        <f ca="1">33095.1654038194*(RANDBETWEEN(2890,3282))</f>
        <v>99781923.692515418</v>
      </c>
      <c r="B1369">
        <v>247386160.35546479</v>
      </c>
    </row>
    <row r="1370" spans="1:2" x14ac:dyDescent="0.25">
      <c r="A1370">
        <f ca="1">33444.437403859*(RANDBETWEEN(2890,3282))</f>
        <v>109196088.12359972</v>
      </c>
      <c r="B1370">
        <v>252557324.82065058</v>
      </c>
    </row>
    <row r="1371" spans="1:2" x14ac:dyDescent="0.25">
      <c r="A1371">
        <f ca="1">30439.9969003508*(RANDBETWEEN(2890,3282))</f>
        <v>99356149.882745177</v>
      </c>
      <c r="B1371">
        <v>225094649.11396611</v>
      </c>
    </row>
    <row r="1372" spans="1:2" x14ac:dyDescent="0.25">
      <c r="A1372">
        <f ca="1">30402.4818727486*(RANDBETWEEN(2890,3282))</f>
        <v>90660200.944536239</v>
      </c>
      <c r="B1372">
        <v>245695136.74896199</v>
      </c>
    </row>
    <row r="1373" spans="1:2" x14ac:dyDescent="0.25">
      <c r="A1373">
        <f ca="1">30613.9598693808*(RANDBETWEEN(2890,3282))</f>
        <v>96893182.986590177</v>
      </c>
      <c r="B1373">
        <v>261952685.77929574</v>
      </c>
    </row>
    <row r="1374" spans="1:2" x14ac:dyDescent="0.25">
      <c r="A1374">
        <f ca="1">33298.9664011826*(RANDBETWEEN(2890,3282))</f>
        <v>105591022.45815007</v>
      </c>
      <c r="B1374">
        <v>207465772.88926268</v>
      </c>
    </row>
    <row r="1375" spans="1:2" x14ac:dyDescent="0.25">
      <c r="A1375">
        <f ca="1">38566.6450633008*(RANDBETWEEN(2890,3282))</f>
        <v>116509834.73623158</v>
      </c>
      <c r="B1375">
        <v>237509065.1259459</v>
      </c>
    </row>
    <row r="1376" spans="1:2" x14ac:dyDescent="0.25">
      <c r="A1376">
        <f ca="1">31625.9240068525*(RANDBETWEEN(2890,3282))</f>
        <v>94435009.084461555</v>
      </c>
      <c r="B1376">
        <v>262451447.68390816</v>
      </c>
    </row>
    <row r="1377" spans="1:2" x14ac:dyDescent="0.25">
      <c r="A1377">
        <f ca="1">29933.514950688*(RANDBETWEEN(2890,3282))</f>
        <v>94530040.214272812</v>
      </c>
      <c r="B1377">
        <v>240545507.55471721</v>
      </c>
    </row>
    <row r="1378" spans="1:2" x14ac:dyDescent="0.25">
      <c r="A1378">
        <f ca="1">32559.225078594*(RANDBETWEEN(2890,3282))</f>
        <v>100054498.66651948</v>
      </c>
      <c r="B1378">
        <v>206175901.01959848</v>
      </c>
    </row>
    <row r="1379" spans="1:2" x14ac:dyDescent="0.25">
      <c r="A1379">
        <f ca="1">38871.2644050735*(RANDBETWEEN(2890,3282))</f>
        <v>116691535.74403064</v>
      </c>
      <c r="B1379">
        <v>204211305.19124958</v>
      </c>
    </row>
    <row r="1380" spans="1:2" x14ac:dyDescent="0.25">
      <c r="A1380">
        <f ca="1">37667.5529666984*(RANDBETWEEN(2890,3282))</f>
        <v>109235903.60342538</v>
      </c>
      <c r="B1380">
        <v>252438539.86016643</v>
      </c>
    </row>
    <row r="1381" spans="1:2" x14ac:dyDescent="0.25">
      <c r="A1381">
        <f ca="1">32033.7342479361*(RANDBETWEEN(2890,3282))</f>
        <v>100521858.07002348</v>
      </c>
      <c r="B1381">
        <v>259740376.75864017</v>
      </c>
    </row>
    <row r="1382" spans="1:2" x14ac:dyDescent="0.25">
      <c r="A1382">
        <f ca="1">29673.0980518812*(RANDBETWEEN(2890,3282))</f>
        <v>94538490.393293485</v>
      </c>
      <c r="B1382">
        <v>240703297.48317236</v>
      </c>
    </row>
    <row r="1383" spans="1:2" x14ac:dyDescent="0.25">
      <c r="A1383">
        <f ca="1">31723.5923247191*(RANDBETWEEN(2890,3282))</f>
        <v>92728060.365154043</v>
      </c>
      <c r="B1383">
        <v>215568486.56019264</v>
      </c>
    </row>
    <row r="1384" spans="1:2" x14ac:dyDescent="0.25">
      <c r="A1384">
        <f ca="1">28564.8467383218*(RANDBETWEEN(2890,3282))</f>
        <v>87351301.325788185</v>
      </c>
      <c r="B1384">
        <v>260410420.21148089</v>
      </c>
    </row>
    <row r="1385" spans="1:2" x14ac:dyDescent="0.25">
      <c r="A1385">
        <f ca="1">43157.6253014108*(RANDBETWEEN(2890,3282))</f>
        <v>128178147.14519015</v>
      </c>
      <c r="B1385">
        <v>213753399.59386709</v>
      </c>
    </row>
    <row r="1386" spans="1:2" x14ac:dyDescent="0.25">
      <c r="A1386">
        <f ca="1">28809.356303618*(RANDBETWEEN(2890,3282))</f>
        <v>93543979.917847782</v>
      </c>
      <c r="B1386">
        <v>218037328.18882191</v>
      </c>
    </row>
    <row r="1387" spans="1:2" x14ac:dyDescent="0.25">
      <c r="A1387">
        <f ca="1">32475.9883698289*(RANDBETWEEN(2890,3282))</f>
        <v>97363013.132747129</v>
      </c>
      <c r="B1387">
        <v>262633197.87553829</v>
      </c>
    </row>
    <row r="1388" spans="1:2" x14ac:dyDescent="0.25">
      <c r="A1388">
        <f ca="1">40126.367756909*(RANDBETWEEN(2890,3282))</f>
        <v>116366466.49503604</v>
      </c>
      <c r="B1388">
        <v>224451269.52834222</v>
      </c>
    </row>
    <row r="1389" spans="1:2" x14ac:dyDescent="0.25">
      <c r="A1389">
        <f ca="1">36667.446539424*(RANDBETWEEN(2890,3282))</f>
        <v>110955693.22829691</v>
      </c>
      <c r="B1389">
        <v>255800643.31759846</v>
      </c>
    </row>
    <row r="1390" spans="1:2" x14ac:dyDescent="0.25">
      <c r="A1390">
        <f ca="1">38847.8859084631*(RANDBETWEEN(2890,3282))</f>
        <v>112969652.22181083</v>
      </c>
      <c r="B1390">
        <v>222734390.90365151</v>
      </c>
    </row>
    <row r="1391" spans="1:2" x14ac:dyDescent="0.25">
      <c r="A1391">
        <f ca="1">38186.5289417298*(RANDBETWEEN(2890,3282))</f>
        <v>113413990.95693757</v>
      </c>
      <c r="B1391">
        <v>255552221.09605891</v>
      </c>
    </row>
    <row r="1392" spans="1:2" x14ac:dyDescent="0.25">
      <c r="A1392">
        <f ca="1">31541.3454644512*(RANDBETWEEN(2890,3282))</f>
        <v>92605390.283628583</v>
      </c>
      <c r="B1392">
        <v>209712830.13497359</v>
      </c>
    </row>
    <row r="1393" spans="1:2" x14ac:dyDescent="0.25">
      <c r="A1393">
        <f ca="1">39294.1386846879*(RANDBETWEEN(2890,3282))</f>
        <v>127430891.754443</v>
      </c>
      <c r="B1393">
        <v>250756922.95872736</v>
      </c>
    </row>
    <row r="1394" spans="1:2" x14ac:dyDescent="0.25">
      <c r="A1394">
        <f ca="1">31211.9635578566*(RANDBETWEEN(2890,3282))</f>
        <v>98973136.441963419</v>
      </c>
      <c r="B1394">
        <v>258539460.1133315</v>
      </c>
    </row>
    <row r="1395" spans="1:2" x14ac:dyDescent="0.25">
      <c r="A1395">
        <f ca="1">30001.4006610783*(RANDBETWEEN(2890,3282))</f>
        <v>94774424.688346475</v>
      </c>
      <c r="B1395">
        <v>206667205.6254648</v>
      </c>
    </row>
    <row r="1396" spans="1:2" x14ac:dyDescent="0.25">
      <c r="A1396">
        <f ca="1">31241.3446825417*(RANDBETWEEN(2890,3282))</f>
        <v>97691684.822307959</v>
      </c>
      <c r="B1396">
        <v>222316702.80273438</v>
      </c>
    </row>
    <row r="1397" spans="1:2" x14ac:dyDescent="0.25">
      <c r="A1397">
        <f ca="1">37054.5729024615*(RANDBETWEEN(2890,3282))</f>
        <v>107865861.71906529</v>
      </c>
      <c r="B1397">
        <v>231493969.5567168</v>
      </c>
    </row>
    <row r="1398" spans="1:2" x14ac:dyDescent="0.25">
      <c r="A1398">
        <f ca="1">31498.9694051392*(RANDBETWEEN(2890,3282))</f>
        <v>98717770.115706325</v>
      </c>
      <c r="B1398">
        <v>235727933.99457204</v>
      </c>
    </row>
    <row r="1399" spans="1:2" x14ac:dyDescent="0.25">
      <c r="A1399">
        <f ca="1">38315.6393457424*(RANDBETWEEN(2890,3282))</f>
        <v>124372565.31627983</v>
      </c>
      <c r="B1399">
        <v>219968733.52547613</v>
      </c>
    </row>
    <row r="1400" spans="1:2" x14ac:dyDescent="0.25">
      <c r="A1400">
        <f ca="1">37080.5851546408*(RANDBETWEEN(2890,3282))</f>
        <v>109313565.03588119</v>
      </c>
      <c r="B1400">
        <v>205393584.65166834</v>
      </c>
    </row>
    <row r="1401" spans="1:2" x14ac:dyDescent="0.25">
      <c r="A1401">
        <f ca="1">40049.9984874635*(RANDBETWEEN(2890,3282))</f>
        <v>117226345.5728056</v>
      </c>
      <c r="B1401">
        <v>264441746.93202674</v>
      </c>
    </row>
    <row r="1402" spans="1:2" x14ac:dyDescent="0.25">
      <c r="A1402">
        <f ca="1">31666.6383539385*(RANDBETWEEN(2890,3282))</f>
        <v>96773246.809636101</v>
      </c>
      <c r="B1402">
        <v>227801366.59936029</v>
      </c>
    </row>
    <row r="1403" spans="1:2" x14ac:dyDescent="0.25">
      <c r="A1403">
        <f ca="1">33977.6531834859*(RANDBETWEEN(2890,3282))</f>
        <v>105262769.56243944</v>
      </c>
      <c r="B1403">
        <v>242318124.59983319</v>
      </c>
    </row>
    <row r="1404" spans="1:2" x14ac:dyDescent="0.25">
      <c r="A1404">
        <f ca="1">32480.0568461009*(RANDBETWEEN(2890,3282))</f>
        <v>95199046.615921631</v>
      </c>
      <c r="B1404">
        <v>265868818.54110777</v>
      </c>
    </row>
    <row r="1405" spans="1:2" x14ac:dyDescent="0.25">
      <c r="A1405">
        <f ca="1">31277.8323980551*(RANDBETWEEN(2890,3282))</f>
        <v>91831715.920689821</v>
      </c>
      <c r="B1405">
        <v>232156934.86495611</v>
      </c>
    </row>
    <row r="1406" spans="1:2" x14ac:dyDescent="0.25">
      <c r="A1406">
        <f ca="1">38327.1346148559*(RANDBETWEEN(2890,3282))</f>
        <v>113065047.11382499</v>
      </c>
      <c r="B1406">
        <v>221476498.84196568</v>
      </c>
    </row>
    <row r="1407" spans="1:2" x14ac:dyDescent="0.25">
      <c r="A1407">
        <f ca="1">34049.7810018204*(RANDBETWEEN(2890,3282))</f>
        <v>105690520.22965057</v>
      </c>
      <c r="B1407">
        <v>238500115.77370685</v>
      </c>
    </row>
    <row r="1408" spans="1:2" x14ac:dyDescent="0.25">
      <c r="A1408">
        <f ca="1">31541.3874130182*(RANDBETWEEN(2890,3282))</f>
        <v>95854276.348162442</v>
      </c>
      <c r="B1408">
        <v>267032043.28495228</v>
      </c>
    </row>
    <row r="1409" spans="1:2" x14ac:dyDescent="0.25">
      <c r="A1409">
        <f ca="1">30838.8984835267*(RANDBETWEEN(2890,3282))</f>
        <v>94829612.836844504</v>
      </c>
      <c r="B1409">
        <v>204209993.66270098</v>
      </c>
    </row>
    <row r="1410" spans="1:2" x14ac:dyDescent="0.25">
      <c r="A1410">
        <f ca="1">31963.551254803*(RANDBETWEEN(2890,3282))</f>
        <v>98415774.313538283</v>
      </c>
      <c r="B1410">
        <v>231109733.08537513</v>
      </c>
    </row>
    <row r="1411" spans="1:2" x14ac:dyDescent="0.25">
      <c r="A1411">
        <f ca="1">31986.4091337469*(RANDBETWEEN(2890,3282))</f>
        <v>100533283.90736665</v>
      </c>
      <c r="B1411">
        <v>249225737.96854877</v>
      </c>
    </row>
    <row r="1412" spans="1:2" x14ac:dyDescent="0.25">
      <c r="A1412">
        <f ca="1">32276.1549812547*(RANDBETWEEN(2890,3282))</f>
        <v>95021000.26481387</v>
      </c>
      <c r="B1412">
        <v>222294801.70471561</v>
      </c>
    </row>
    <row r="1413" spans="1:2" x14ac:dyDescent="0.25">
      <c r="A1413">
        <f ca="1">36650.6946129763*(RANDBETWEEN(2890,3282))</f>
        <v>109255720.64128244</v>
      </c>
      <c r="B1413">
        <v>234420399.76438224</v>
      </c>
    </row>
    <row r="1414" spans="1:2" x14ac:dyDescent="0.25">
      <c r="A1414">
        <f ca="1">39750.1501494496*(RANDBETWEEN(2890,3282))</f>
        <v>126047726.1239046</v>
      </c>
      <c r="B1414">
        <v>213768532.76146421</v>
      </c>
    </row>
    <row r="1415" spans="1:2" x14ac:dyDescent="0.25">
      <c r="A1415">
        <f ca="1">33475.3863393905*(RANDBETWEEN(2890,3282))</f>
        <v>107489465.53578275</v>
      </c>
      <c r="B1415">
        <v>259368746.81926554</v>
      </c>
    </row>
    <row r="1416" spans="1:2" x14ac:dyDescent="0.25">
      <c r="A1416">
        <f ca="1">28885.7953819226*(RANDBETWEEN(2890,3282))</f>
        <v>87928361.142572328</v>
      </c>
      <c r="B1416">
        <v>216536535.77337557</v>
      </c>
    </row>
    <row r="1417" spans="1:2" x14ac:dyDescent="0.25">
      <c r="A1417">
        <f ca="1">33666.8818211414*(RANDBETWEEN(2890,3282))</f>
        <v>110494706.13698614</v>
      </c>
      <c r="B1417">
        <v>226269355.49400428</v>
      </c>
    </row>
    <row r="1418" spans="1:2" x14ac:dyDescent="0.25">
      <c r="A1418">
        <f ca="1">40278.5868384547*(RANDBETWEEN(2890,3282))</f>
        <v>128528970.60150899</v>
      </c>
      <c r="B1418">
        <v>251167023.5505138</v>
      </c>
    </row>
    <row r="1419" spans="1:2" x14ac:dyDescent="0.25">
      <c r="A1419">
        <f ca="1">40898.4259292422*(RANDBETWEEN(2890,3282))</f>
        <v>121182036.02834472</v>
      </c>
      <c r="B1419">
        <v>206890688.84750193</v>
      </c>
    </row>
    <row r="1420" spans="1:2" x14ac:dyDescent="0.25">
      <c r="A1420">
        <f ca="1">28987.0877789174*(RANDBETWEEN(2890,3282))</f>
        <v>92613745.453640938</v>
      </c>
      <c r="B1420">
        <v>225419579.2388863</v>
      </c>
    </row>
    <row r="1421" spans="1:2" x14ac:dyDescent="0.25">
      <c r="A1421">
        <f ca="1">32518.7394737674*(RANDBETWEEN(2890,3282))</f>
        <v>105263159.67658517</v>
      </c>
      <c r="B1421">
        <v>255202738.39695883</v>
      </c>
    </row>
    <row r="1422" spans="1:2" x14ac:dyDescent="0.25">
      <c r="A1422">
        <f ca="1">31859.4228343623*(RANDBETWEEN(2890,3282))</f>
        <v>96151738.114105329</v>
      </c>
      <c r="B1422">
        <v>263776222.87942123</v>
      </c>
    </row>
    <row r="1423" spans="1:2" x14ac:dyDescent="0.25">
      <c r="A1423">
        <f ca="1">36676.804028169*(RANDBETWEEN(2890,3282))</f>
        <v>117732540.93042244</v>
      </c>
      <c r="B1423">
        <v>228283445.73931161</v>
      </c>
    </row>
    <row r="1424" spans="1:2" x14ac:dyDescent="0.25">
      <c r="A1424">
        <f ca="1">31793.2113160283*(RANDBETWEEN(2890,3282))</f>
        <v>100371168.1247014</v>
      </c>
      <c r="B1424">
        <v>258092959.29817721</v>
      </c>
    </row>
    <row r="1425" spans="1:2" x14ac:dyDescent="0.25">
      <c r="A1425">
        <f ca="1">38431.5025223939*(RANDBETWEEN(2890,3282))</f>
        <v>116370589.6378088</v>
      </c>
      <c r="B1425">
        <v>206088662.88516539</v>
      </c>
    </row>
    <row r="1426" spans="1:2" x14ac:dyDescent="0.25">
      <c r="A1426">
        <f ca="1">31096.4620661103*(RANDBETWEEN(2890,3282))</f>
        <v>92543071.108744204</v>
      </c>
      <c r="B1426">
        <v>252555130.21176416</v>
      </c>
    </row>
    <row r="1427" spans="1:2" x14ac:dyDescent="0.25">
      <c r="A1427">
        <f ca="1">28755.3776904135*(RANDBETWEEN(2890,3282))</f>
        <v>88365275.642640814</v>
      </c>
      <c r="B1427">
        <v>205418474.51286355</v>
      </c>
    </row>
    <row r="1428" spans="1:2" x14ac:dyDescent="0.25">
      <c r="A1428">
        <f ca="1">31405.8168724145*(RANDBETWEEN(2890,3282))</f>
        <v>100215961.63987458</v>
      </c>
      <c r="B1428">
        <v>214127914.18610567</v>
      </c>
    </row>
    <row r="1429" spans="1:2" x14ac:dyDescent="0.25">
      <c r="A1429">
        <f ca="1">38768.6006390361*(RANDBETWEEN(2890,3282))</f>
        <v>114871363.69346383</v>
      </c>
      <c r="B1429">
        <v>235934130.41225648</v>
      </c>
    </row>
    <row r="1430" spans="1:2" x14ac:dyDescent="0.25">
      <c r="A1430">
        <f ca="1">37897.8775630578*(RANDBETWEEN(2890,3282))</f>
        <v>116005403.22051989</v>
      </c>
      <c r="B1430">
        <v>204416265.20600927</v>
      </c>
    </row>
    <row r="1431" spans="1:2" x14ac:dyDescent="0.25">
      <c r="A1431">
        <f ca="1">31011.3944359322*(RANDBETWEEN(2890,3282))</f>
        <v>98275108.967469186</v>
      </c>
      <c r="B1431">
        <v>257134744.94451141</v>
      </c>
    </row>
    <row r="1432" spans="1:2" x14ac:dyDescent="0.25">
      <c r="A1432">
        <f ca="1">34776.7355421023*(RANDBETWEEN(2890,3282))</f>
        <v>109233726.33774322</v>
      </c>
      <c r="B1432">
        <v>217207458.77662486</v>
      </c>
    </row>
    <row r="1433" spans="1:2" x14ac:dyDescent="0.25">
      <c r="A1433">
        <f ca="1">30822.0230789262*(RANDBETWEEN(2890,3282))</f>
        <v>90061951.436622292</v>
      </c>
      <c r="B1433">
        <v>240381132.25364414</v>
      </c>
    </row>
    <row r="1434" spans="1:2" x14ac:dyDescent="0.25">
      <c r="A1434">
        <f ca="1">32667.196679666*(RANDBETWEEN(2890,3282))</f>
        <v>96433564.598374158</v>
      </c>
      <c r="B1434">
        <v>235500230.75465202</v>
      </c>
    </row>
    <row r="1435" spans="1:2" x14ac:dyDescent="0.25">
      <c r="A1435">
        <f ca="1">30049.223430237*(RANDBETWEEN(2890,3282))</f>
        <v>88675258.342629373</v>
      </c>
      <c r="B1435">
        <v>214053268.21187598</v>
      </c>
    </row>
    <row r="1436" spans="1:2" x14ac:dyDescent="0.25">
      <c r="A1436">
        <f ca="1">31482.1606506493*(RANDBETWEEN(2890,3282))</f>
        <v>97090983.446602359</v>
      </c>
      <c r="B1436">
        <v>207723423.72889051</v>
      </c>
    </row>
    <row r="1437" spans="1:2" x14ac:dyDescent="0.25">
      <c r="A1437">
        <f ca="1">39285.7853131645*(RANDBETWEEN(2890,3282))</f>
        <v>114203777.90536915</v>
      </c>
      <c r="B1437">
        <v>252236622.27335274</v>
      </c>
    </row>
    <row r="1438" spans="1:2" x14ac:dyDescent="0.25">
      <c r="A1438">
        <f ca="1">33491.6069996513*(RANDBETWEEN(2890,3282))</f>
        <v>98197391.722977519</v>
      </c>
      <c r="B1438">
        <v>249329146.48761037</v>
      </c>
    </row>
    <row r="1439" spans="1:2" x14ac:dyDescent="0.25">
      <c r="A1439">
        <f ca="1">41795.9640001896*(RANDBETWEEN(2890,3282))</f>
        <v>129818264.18458898</v>
      </c>
      <c r="B1439">
        <v>228491846.84039092</v>
      </c>
    </row>
    <row r="1440" spans="1:2" x14ac:dyDescent="0.25">
      <c r="A1440">
        <f ca="1">40155.7280266126*(RANDBETWEEN(2890,3282))</f>
        <v>120266405.43970488</v>
      </c>
      <c r="B1440">
        <v>267883051.84882993</v>
      </c>
    </row>
    <row r="1441" spans="1:2" x14ac:dyDescent="0.25">
      <c r="A1441">
        <f ca="1">29691.2860357151*(RANDBETWEEN(2890,3282))</f>
        <v>87886206.665716693</v>
      </c>
      <c r="B1441">
        <v>224859826.08901837</v>
      </c>
    </row>
    <row r="1442" spans="1:2" x14ac:dyDescent="0.25">
      <c r="A1442">
        <f ca="1">40276.1119843418*(RANDBETWEEN(2890,3282))</f>
        <v>116559068.08268525</v>
      </c>
      <c r="B1442">
        <v>255498493.6635493</v>
      </c>
    </row>
    <row r="1443" spans="1:2" x14ac:dyDescent="0.25">
      <c r="A1443">
        <f ca="1">37908.4119161162*(RANDBETWEEN(2890,3282))</f>
        <v>114104319.86750962</v>
      </c>
      <c r="B1443">
        <v>214336202.63333279</v>
      </c>
    </row>
    <row r="1444" spans="1:2" x14ac:dyDescent="0.25">
      <c r="A1444">
        <f ca="1">29972.2433181467*(RANDBETWEEN(2890,3282))</f>
        <v>93333565.692708969</v>
      </c>
      <c r="B1444">
        <v>227198268.47046116</v>
      </c>
    </row>
    <row r="1445" spans="1:2" x14ac:dyDescent="0.25">
      <c r="A1445">
        <f ca="1">38653.239833966*(RANDBETWEEN(2890,3282))</f>
        <v>114838775.54671305</v>
      </c>
      <c r="B1445">
        <v>246710538.84671342</v>
      </c>
    </row>
    <row r="1446" spans="1:2" x14ac:dyDescent="0.25">
      <c r="A1446">
        <f ca="1">32786.8774680397*(RANDBETWEEN(2890,3282))</f>
        <v>99180304.34082</v>
      </c>
      <c r="B1446">
        <v>219447042.18297684</v>
      </c>
    </row>
    <row r="1447" spans="1:2" x14ac:dyDescent="0.25">
      <c r="A1447">
        <f ca="1">31369.7385001868*(RANDBETWEEN(2890,3282))</f>
        <v>100822339.53960024</v>
      </c>
      <c r="B1447">
        <v>250487607.18138668</v>
      </c>
    </row>
    <row r="1448" spans="1:2" x14ac:dyDescent="0.25">
      <c r="A1448">
        <f ca="1">37610.000954262*(RANDBETWEEN(2890,3282))</f>
        <v>122721433.11375691</v>
      </c>
      <c r="B1448">
        <v>214779782.4306255</v>
      </c>
    </row>
    <row r="1449" spans="1:2" x14ac:dyDescent="0.25">
      <c r="A1449">
        <f ca="1">30321.779100119*(RANDBETWEEN(2890,3282))</f>
        <v>98576103.854486853</v>
      </c>
      <c r="B1449">
        <v>232906581.39964864</v>
      </c>
    </row>
    <row r="1450" spans="1:2" x14ac:dyDescent="0.25">
      <c r="A1450">
        <f ca="1">33331.3008105013*(RANDBETWEEN(2890,3282))</f>
        <v>100127227.63474579</v>
      </c>
      <c r="B1450">
        <v>244474979.85349846</v>
      </c>
    </row>
    <row r="1451" spans="1:2" x14ac:dyDescent="0.25">
      <c r="A1451">
        <f ca="1">32275.1977263249*(RANDBETWEEN(2890,3282))</f>
        <v>93953100.58133173</v>
      </c>
      <c r="B1451">
        <v>216422645.33639863</v>
      </c>
    </row>
    <row r="1452" spans="1:2" x14ac:dyDescent="0.25">
      <c r="A1452">
        <f ca="1">39447.7010058642*(RANDBETWEEN(2890,3282))</f>
        <v>115068943.83410573</v>
      </c>
      <c r="B1452">
        <v>225616988.80026618</v>
      </c>
    </row>
    <row r="1453" spans="1:2" x14ac:dyDescent="0.25">
      <c r="A1453">
        <f ca="1">32788.6272642547*(RANDBETWEEN(2890,3282))</f>
        <v>101874264.91003945</v>
      </c>
      <c r="B1453">
        <v>226671191.40222967</v>
      </c>
    </row>
    <row r="1454" spans="1:2" x14ac:dyDescent="0.25">
      <c r="A1454">
        <f ca="1">33027.3032222955*(RANDBETWEEN(2890,3282))</f>
        <v>105125906.15656672</v>
      </c>
      <c r="B1454">
        <v>255439410.05582571</v>
      </c>
    </row>
    <row r="1455" spans="1:2" x14ac:dyDescent="0.25">
      <c r="A1455">
        <f ca="1">28285.0434895311*(RANDBETWEEN(2890,3282))</f>
        <v>82818607.33734706</v>
      </c>
      <c r="B1455">
        <v>251396284.01250291</v>
      </c>
    </row>
    <row r="1456" spans="1:2" x14ac:dyDescent="0.25">
      <c r="A1456">
        <f ca="1">37141.6459450602*(RANDBETWEEN(2890,3282))</f>
        <v>114210561.28106043</v>
      </c>
      <c r="B1456">
        <v>234667751.64925337</v>
      </c>
    </row>
    <row r="1457" spans="1:2" x14ac:dyDescent="0.25">
      <c r="A1457">
        <f ca="1">34648.801965105*(RANDBETWEEN(2890,3282))</f>
        <v>102664400.22260609</v>
      </c>
      <c r="B1457">
        <v>207018205.78839719</v>
      </c>
    </row>
    <row r="1458" spans="1:2" x14ac:dyDescent="0.25">
      <c r="A1458">
        <f ca="1">34599.5339426125*(RANDBETWEEN(2890,3282))</f>
        <v>111168302.55761401</v>
      </c>
      <c r="B1458">
        <v>213559692.60917771</v>
      </c>
    </row>
    <row r="1459" spans="1:2" x14ac:dyDescent="0.25">
      <c r="A1459">
        <f ca="1">40706.9225276936*(RANDBETWEEN(2890,3282))</f>
        <v>132663860.51775339</v>
      </c>
      <c r="B1459">
        <v>262880684.67089611</v>
      </c>
    </row>
    <row r="1460" spans="1:2" x14ac:dyDescent="0.25">
      <c r="A1460">
        <f ca="1">31750.8774339846*(RANDBETWEEN(2890,3282))</f>
        <v>97094183.193124965</v>
      </c>
      <c r="B1460">
        <v>220366944.10237339</v>
      </c>
    </row>
    <row r="1461" spans="1:2" x14ac:dyDescent="0.25">
      <c r="A1461">
        <f ca="1">35217.1369024338*(RANDBETWEEN(2890,3282))</f>
        <v>110440941.32603237</v>
      </c>
      <c r="B1461">
        <v>211905973.00652453</v>
      </c>
    </row>
    <row r="1462" spans="1:2" x14ac:dyDescent="0.25">
      <c r="A1462">
        <f ca="1">31034.0234288578*(RANDBETWEEN(2890,3282))</f>
        <v>91519335.091701612</v>
      </c>
      <c r="B1462">
        <v>227931160.3831808</v>
      </c>
    </row>
    <row r="1463" spans="1:2" x14ac:dyDescent="0.25">
      <c r="A1463">
        <f ca="1">28921.888135693*(RANDBETWEEN(2890,3282))</f>
        <v>85001429.230801791</v>
      </c>
      <c r="B1463">
        <v>245462584.2442517</v>
      </c>
    </row>
    <row r="1464" spans="1:2" x14ac:dyDescent="0.25">
      <c r="A1464">
        <f ca="1">37830.8894554259*(RANDBETWEEN(2890,3282))</f>
        <v>119015978.22676994</v>
      </c>
      <c r="B1464">
        <v>255834715.43074679</v>
      </c>
    </row>
    <row r="1465" spans="1:2" x14ac:dyDescent="0.25">
      <c r="A1465">
        <f ca="1">31481.0515823145*(RANDBETWEEN(2890,3282))</f>
        <v>95230181.036501259</v>
      </c>
      <c r="B1465">
        <v>253561186.49766719</v>
      </c>
    </row>
    <row r="1466" spans="1:2" x14ac:dyDescent="0.25">
      <c r="A1466">
        <f ca="1">32474.3734856709*(RANDBETWEEN(2890,3282))</f>
        <v>103755623.28671843</v>
      </c>
      <c r="B1466">
        <v>224445711.85788476</v>
      </c>
    </row>
    <row r="1467" spans="1:2" x14ac:dyDescent="0.25">
      <c r="A1467">
        <f ca="1">41306.7977931775*(RANDBETWEEN(2890,3282))</f>
        <v>131438230.57789069</v>
      </c>
      <c r="B1467">
        <v>205981330.49835378</v>
      </c>
    </row>
    <row r="1468" spans="1:2" x14ac:dyDescent="0.25">
      <c r="A1468">
        <f ca="1">32578.3763951402*(RANDBETWEEN(2890,3282))</f>
        <v>106368398.93013282</v>
      </c>
      <c r="B1468">
        <v>217771457.83957344</v>
      </c>
    </row>
    <row r="1469" spans="1:2" x14ac:dyDescent="0.25">
      <c r="A1469">
        <f ca="1">30907.2921361619*(RANDBETWEEN(2890,3282))</f>
        <v>93587280.588298246</v>
      </c>
      <c r="B1469">
        <v>216009691.51891428</v>
      </c>
    </row>
    <row r="1470" spans="1:2" x14ac:dyDescent="0.25">
      <c r="A1470">
        <f ca="1">37704.5258156363*(RANDBETWEEN(2890,3282))</f>
        <v>117525006.96733843</v>
      </c>
      <c r="B1470">
        <v>213902215.91336372</v>
      </c>
    </row>
    <row r="1471" spans="1:2" x14ac:dyDescent="0.25">
      <c r="A1471">
        <f ca="1">30720.5563063189*(RANDBETWEEN(2890,3282))</f>
        <v>91731581.130668372</v>
      </c>
      <c r="B1471">
        <v>250197544.1493746</v>
      </c>
    </row>
    <row r="1472" spans="1:2" x14ac:dyDescent="0.25">
      <c r="A1472">
        <f ca="1">37847.2536875755*(RANDBETWEEN(2890,3282))</f>
        <v>109492104.91815579</v>
      </c>
      <c r="B1472">
        <v>209150611.86048502</v>
      </c>
    </row>
    <row r="1473" spans="1:2" x14ac:dyDescent="0.25">
      <c r="A1473">
        <f ca="1">32216.1650267708*(RANDBETWEEN(2890,3282))</f>
        <v>102415188.62010439</v>
      </c>
      <c r="B1473">
        <v>224979372.39711785</v>
      </c>
    </row>
    <row r="1474" spans="1:2" x14ac:dyDescent="0.25">
      <c r="A1474">
        <f ca="1">31869.7973419276*(RANDBETWEEN(2890,3282))</f>
        <v>104118627.91607738</v>
      </c>
      <c r="B1474">
        <v>221735098.11400577</v>
      </c>
    </row>
    <row r="1475" spans="1:2" x14ac:dyDescent="0.25">
      <c r="A1475">
        <f ca="1">32047.2906556738*(RANDBETWEEN(2890,3282))</f>
        <v>96686675.908167779</v>
      </c>
      <c r="B1475">
        <v>266628607.7419613</v>
      </c>
    </row>
    <row r="1476" spans="1:2" x14ac:dyDescent="0.25">
      <c r="A1476">
        <f ca="1">32623.1487283405*(RANDBETWEEN(2890,3282))</f>
        <v>99043879.539241776</v>
      </c>
      <c r="B1476">
        <v>224826919.65767995</v>
      </c>
    </row>
    <row r="1477" spans="1:2" x14ac:dyDescent="0.25">
      <c r="A1477">
        <f ca="1">34604.5864144224*(RANDBETWEEN(2890,3282))</f>
        <v>110215607.72993533</v>
      </c>
      <c r="B1477">
        <v>213699323.44729349</v>
      </c>
    </row>
    <row r="1478" spans="1:2" x14ac:dyDescent="0.25">
      <c r="A1478">
        <f ca="1">33022.1379799642*(RANDBETWEEN(2890,3282))</f>
        <v>102533738.4277887</v>
      </c>
      <c r="B1478">
        <v>236224680.0081273</v>
      </c>
    </row>
    <row r="1479" spans="1:2" x14ac:dyDescent="0.25">
      <c r="A1479">
        <f ca="1">38856.4442950363*(RANDBETWEEN(2890,3282))</f>
        <v>122164660.86359401</v>
      </c>
      <c r="B1479">
        <v>232755044.00344661</v>
      </c>
    </row>
    <row r="1480" spans="1:2" x14ac:dyDescent="0.25">
      <c r="A1480">
        <f ca="1">37544.0527822421*(RANDBETWEEN(2890,3282))</f>
        <v>115110065.83035435</v>
      </c>
      <c r="B1480">
        <v>217733984.64991322</v>
      </c>
    </row>
    <row r="1481" spans="1:2" x14ac:dyDescent="0.25">
      <c r="A1481">
        <f ca="1">31168.6921314582*(RANDBETWEEN(2890,3282))</f>
        <v>99303453.130825952</v>
      </c>
      <c r="B1481">
        <v>229638052.81578994</v>
      </c>
    </row>
    <row r="1482" spans="1:2" x14ac:dyDescent="0.25">
      <c r="A1482">
        <f ca="1">37324.8906199341*(RANDBETWEEN(2890,3282))</f>
        <v>108428807.25090852</v>
      </c>
      <c r="B1482">
        <v>246595970.0648908</v>
      </c>
    </row>
    <row r="1483" spans="1:2" x14ac:dyDescent="0.25">
      <c r="A1483">
        <f ca="1">37577.700135338*(RANDBETWEEN(2890,3282))</f>
        <v>111117259.30019446</v>
      </c>
      <c r="B1483">
        <v>259327810.60249931</v>
      </c>
    </row>
    <row r="1484" spans="1:2" x14ac:dyDescent="0.25">
      <c r="A1484">
        <f ca="1">33070.854082772*(RANDBETWEEN(2890,3282))</f>
        <v>103776340.11173844</v>
      </c>
      <c r="B1484">
        <v>260274807.70116842</v>
      </c>
    </row>
    <row r="1485" spans="1:2" x14ac:dyDescent="0.25">
      <c r="A1485">
        <f ca="1">35749.0163457555*(RANDBETWEEN(2890,3282))</f>
        <v>110929197.72087944</v>
      </c>
      <c r="B1485">
        <v>265772443.44260836</v>
      </c>
    </row>
    <row r="1486" spans="1:2" x14ac:dyDescent="0.25">
      <c r="A1486">
        <f ca="1">31239.5884606922*(RANDBETWEEN(2890,3282))</f>
        <v>90469848.182164505</v>
      </c>
      <c r="B1486">
        <v>214667800.39302269</v>
      </c>
    </row>
    <row r="1487" spans="1:2" x14ac:dyDescent="0.25">
      <c r="A1487">
        <f ca="1">31169.2072886069*(RANDBETWEEN(2890,3282))</f>
        <v>96655711.801970124</v>
      </c>
      <c r="B1487">
        <v>241605917.67928481</v>
      </c>
    </row>
    <row r="1488" spans="1:2" x14ac:dyDescent="0.25">
      <c r="A1488">
        <f ca="1">35668.8321019289*(RANDBETWEEN(2890,3282))</f>
        <v>110537710.68387762</v>
      </c>
      <c r="B1488">
        <v>259637319.91845745</v>
      </c>
    </row>
    <row r="1489" spans="1:2" x14ac:dyDescent="0.25">
      <c r="A1489">
        <f ca="1">35301.8810669855*(RANDBETWEEN(2890,3282))</f>
        <v>112189378.03087994</v>
      </c>
      <c r="B1489">
        <v>252233712.48052219</v>
      </c>
    </row>
    <row r="1490" spans="1:2" x14ac:dyDescent="0.25">
      <c r="A1490">
        <f ca="1">40443.8600918938*(RANDBETWEEN(2890,3282))</f>
        <v>120603590.79402725</v>
      </c>
      <c r="B1490">
        <v>236842102.88356468</v>
      </c>
    </row>
    <row r="1491" spans="1:2" x14ac:dyDescent="0.25">
      <c r="A1491">
        <f ca="1">33095.1581632584*(RANDBETWEEN(2890,3282))</f>
        <v>104216653.05610083</v>
      </c>
      <c r="B1491">
        <v>246921412.00347257</v>
      </c>
    </row>
    <row r="1492" spans="1:2" x14ac:dyDescent="0.25">
      <c r="A1492">
        <f ca="1">32650.1460126429*(RANDBETWEEN(2890,3282))</f>
        <v>102717359.35577457</v>
      </c>
      <c r="B1492">
        <v>219625249.53069508</v>
      </c>
    </row>
    <row r="1493" spans="1:2" x14ac:dyDescent="0.25">
      <c r="A1493">
        <f ca="1">28892.5110455229*(RANDBETWEEN(2890,3282))</f>
        <v>90635807.149805278</v>
      </c>
      <c r="B1493">
        <v>217251827.94670489</v>
      </c>
    </row>
    <row r="1494" spans="1:2" x14ac:dyDescent="0.25">
      <c r="A1494">
        <f ca="1">30496.0862356145*(RANDBETWEEN(2890,3282))</f>
        <v>97556979.867730886</v>
      </c>
      <c r="B1494">
        <v>204842151.4745124</v>
      </c>
    </row>
    <row r="1495" spans="1:2" x14ac:dyDescent="0.25">
      <c r="A1495">
        <f ca="1">31929.805574938*(RANDBETWEEN(2890,3282))</f>
        <v>104665902.67464668</v>
      </c>
      <c r="B1495">
        <v>264356888.16213426</v>
      </c>
    </row>
    <row r="1496" spans="1:2" x14ac:dyDescent="0.25">
      <c r="A1496">
        <f ca="1">27966.6217897196*(RANDBETWEEN(2890,3282))</f>
        <v>90947454.060168147</v>
      </c>
      <c r="B1496">
        <v>254217543.97127217</v>
      </c>
    </row>
    <row r="1497" spans="1:2" x14ac:dyDescent="0.25">
      <c r="A1497">
        <f ca="1">38182.4827389923*(RANDBETWEEN(2890,3282))</f>
        <v>120771192.90343276</v>
      </c>
      <c r="B1497">
        <v>238397637.7552931</v>
      </c>
    </row>
    <row r="1498" spans="1:2" x14ac:dyDescent="0.25">
      <c r="A1498">
        <f ca="1">31638.608521532*(RANDBETWEEN(2890,3282))</f>
        <v>95010741.390160516</v>
      </c>
      <c r="B1498">
        <v>212869189.26901352</v>
      </c>
    </row>
    <row r="1499" spans="1:2" x14ac:dyDescent="0.25">
      <c r="A1499">
        <f ca="1">39130.1446907799*(RANDBETWEEN(2890,3282))</f>
        <v>119659982.4644049</v>
      </c>
      <c r="B1499">
        <v>248850928.93556774</v>
      </c>
    </row>
    <row r="1500" spans="1:2" x14ac:dyDescent="0.25">
      <c r="A1500">
        <f ca="1">40097.1604463246*(RANDBETWEEN(2890,3282))</f>
        <v>120692452.94343708</v>
      </c>
      <c r="B1500">
        <v>205675762.13479334</v>
      </c>
    </row>
    <row r="1501" spans="1:2" x14ac:dyDescent="0.25">
      <c r="A1501">
        <f ca="1">33356.6888336214*(RANDBETWEEN(2890,3282))</f>
        <v>107541964.79959534</v>
      </c>
      <c r="B1501">
        <v>209868178.00422239</v>
      </c>
    </row>
    <row r="1502" spans="1:2" x14ac:dyDescent="0.25">
      <c r="A1502">
        <f ca="1">30170.2616549482*(RANDBETWEEN(2890,3282))</f>
        <v>92864065.373930633</v>
      </c>
      <c r="B1502">
        <v>220097074.0858492</v>
      </c>
    </row>
    <row r="1503" spans="1:2" x14ac:dyDescent="0.25">
      <c r="A1503">
        <f ca="1">39286.556880301*(RANDBETWEEN(2890,3282))</f>
        <v>113734582.16847129</v>
      </c>
      <c r="B1503">
        <v>250929341.95321268</v>
      </c>
    </row>
    <row r="1504" spans="1:2" x14ac:dyDescent="0.25">
      <c r="A1504">
        <f ca="1">31284.150578022*(RANDBETWEEN(2890,3282))</f>
        <v>94728407.950250611</v>
      </c>
      <c r="B1504">
        <v>237786831.30292046</v>
      </c>
    </row>
    <row r="1505" spans="1:2" x14ac:dyDescent="0.25">
      <c r="A1505">
        <f ca="1">30539.0857920875*(RANDBETWEEN(2890,3282))</f>
        <v>97755613.620472148</v>
      </c>
      <c r="B1505">
        <v>249667475.165452</v>
      </c>
    </row>
    <row r="1506" spans="1:2" x14ac:dyDescent="0.25">
      <c r="A1506">
        <f ca="1">33883.3111195013*(RANDBETWEEN(2890,3282))</f>
        <v>98295485.55767332</v>
      </c>
      <c r="B1506">
        <v>264712378.98904034</v>
      </c>
    </row>
    <row r="1507" spans="1:2" x14ac:dyDescent="0.25">
      <c r="A1507">
        <f ca="1">31642.3625195615*(RANDBETWEEN(2890,3282))</f>
        <v>93060188.170030296</v>
      </c>
      <c r="B1507">
        <v>238959314.6903137</v>
      </c>
    </row>
    <row r="1508" spans="1:2" x14ac:dyDescent="0.25">
      <c r="A1508">
        <f ca="1">39005.7390493431*(RANDBETWEEN(2890,3282))</f>
        <v>121463871.39965448</v>
      </c>
      <c r="B1508">
        <v>266564010.5827699</v>
      </c>
    </row>
    <row r="1509" spans="1:2" x14ac:dyDescent="0.25">
      <c r="A1509">
        <f ca="1">34303.5430098476*(RANDBETWEEN(2890,3282))</f>
        <v>99240149.927489102</v>
      </c>
      <c r="B1509">
        <v>221353576.32432607</v>
      </c>
    </row>
    <row r="1510" spans="1:2" x14ac:dyDescent="0.25">
      <c r="A1510">
        <f ca="1">36678.3524114778*(RANDBETWEEN(2890,3282))</f>
        <v>120378352.61447011</v>
      </c>
      <c r="B1510">
        <v>253573853.40034586</v>
      </c>
    </row>
    <row r="1511" spans="1:2" x14ac:dyDescent="0.25">
      <c r="A1511">
        <f ca="1">28418.3821266369*(RANDBETWEEN(2890,3282))</f>
        <v>92984946.318355858</v>
      </c>
      <c r="B1511">
        <v>254747797.4030661</v>
      </c>
    </row>
    <row r="1512" spans="1:2" x14ac:dyDescent="0.25">
      <c r="A1512">
        <f ca="1">36006.1395549579*(RANDBETWEEN(2890,3282))</f>
        <v>107406314.29243934</v>
      </c>
      <c r="B1512">
        <v>231871206.91762328</v>
      </c>
    </row>
    <row r="1513" spans="1:2" x14ac:dyDescent="0.25">
      <c r="A1513">
        <f ca="1">39412.6792837465*(RANDBETWEEN(2890,3282))</f>
        <v>114139119.2057298</v>
      </c>
      <c r="B1513">
        <v>263895910.2513735</v>
      </c>
    </row>
    <row r="1514" spans="1:2" x14ac:dyDescent="0.25">
      <c r="A1514">
        <f ca="1">39860.476880434*(RANDBETWEEN(2890,3282))</f>
        <v>125759804.55776943</v>
      </c>
      <c r="B1514">
        <v>219345198.93365046</v>
      </c>
    </row>
    <row r="1515" spans="1:2" x14ac:dyDescent="0.25">
      <c r="A1515">
        <f ca="1">29057.5334751664*(RANDBETWEEN(2890,3282))</f>
        <v>94204523.526489601</v>
      </c>
      <c r="B1515">
        <v>234074626.82400608</v>
      </c>
    </row>
    <row r="1516" spans="1:2" x14ac:dyDescent="0.25">
      <c r="A1516">
        <f ca="1">29439.8719610048*(RANDBETWEEN(2890,3282))</f>
        <v>86435464.077510044</v>
      </c>
      <c r="B1516">
        <v>229543511.45656589</v>
      </c>
    </row>
    <row r="1517" spans="1:2" x14ac:dyDescent="0.25">
      <c r="A1517">
        <f ca="1">40794.6321146227*(RANDBETWEEN(2890,3282))</f>
        <v>126381770.29110111</v>
      </c>
      <c r="B1517">
        <v>205367870.32091093</v>
      </c>
    </row>
    <row r="1518" spans="1:2" x14ac:dyDescent="0.25">
      <c r="A1518">
        <f ca="1">31571.8960696812*(RANDBETWEEN(2890,3282))</f>
        <v>96736289.557503343</v>
      </c>
      <c r="B1518">
        <v>243394814.53037691</v>
      </c>
    </row>
    <row r="1519" spans="1:2" x14ac:dyDescent="0.25">
      <c r="A1519">
        <f ca="1">33946.8190534158*(RANDBETWEEN(2890,3282))</f>
        <v>107713256.85648821</v>
      </c>
      <c r="B1519">
        <v>227300902.32979459</v>
      </c>
    </row>
    <row r="1520" spans="1:2" x14ac:dyDescent="0.25">
      <c r="A1520">
        <f ca="1">35958.3194930191*(RANDBETWEEN(2890,3282))</f>
        <v>104243168.21026233</v>
      </c>
      <c r="B1520">
        <v>255770437.32614601</v>
      </c>
    </row>
    <row r="1521" spans="1:2" x14ac:dyDescent="0.25">
      <c r="A1521">
        <f ca="1">32926.427872407*(RANDBETWEEN(2890,3282))</f>
        <v>100129267.15998974</v>
      </c>
      <c r="B1521">
        <v>229171869.36351877</v>
      </c>
    </row>
    <row r="1522" spans="1:2" x14ac:dyDescent="0.25">
      <c r="A1522">
        <f ca="1">40802.8987220818*(RANDBETWEEN(2890,3282))</f>
        <v>130038838.22727478</v>
      </c>
      <c r="B1522">
        <v>257999661.22329295</v>
      </c>
    </row>
    <row r="1523" spans="1:2" x14ac:dyDescent="0.25">
      <c r="A1523">
        <f ca="1">31720.2434191265*(RANDBETWEEN(2890,3282))</f>
        <v>95858575.612600371</v>
      </c>
      <c r="B1523">
        <v>246039610.95882502</v>
      </c>
    </row>
    <row r="1524" spans="1:2" x14ac:dyDescent="0.25">
      <c r="A1524">
        <f ca="1">31767.2075870709*(RANDBETWEEN(2890,3282))</f>
        <v>101972736.35449763</v>
      </c>
      <c r="B1524">
        <v>238871384.7547501</v>
      </c>
    </row>
    <row r="1525" spans="1:2" x14ac:dyDescent="0.25">
      <c r="A1525">
        <f ca="1">40504.859100307*(RANDBETWEEN(2890,3282))</f>
        <v>121514577.3009209</v>
      </c>
      <c r="B1525">
        <v>239983128.82954326</v>
      </c>
    </row>
    <row r="1526" spans="1:2" x14ac:dyDescent="0.25">
      <c r="A1526">
        <f ca="1">35076.068543523*(RANDBETWEEN(2890,3282))</f>
        <v>106420791.96104872</v>
      </c>
      <c r="B1526">
        <v>257170909.03638175</v>
      </c>
    </row>
    <row r="1527" spans="1:2" x14ac:dyDescent="0.25">
      <c r="A1527">
        <f ca="1">30246.9069478846*(RANDBETWEEN(2890,3282))</f>
        <v>98453682.115364283</v>
      </c>
      <c r="B1527">
        <v>244216304.65687037</v>
      </c>
    </row>
    <row r="1528" spans="1:2" x14ac:dyDescent="0.25">
      <c r="A1528">
        <f ca="1">30842.5101010713*(RANDBETWEEN(2890,3282))</f>
        <v>95951048.924432725</v>
      </c>
      <c r="B1528">
        <v>235670406.92492348</v>
      </c>
    </row>
    <row r="1529" spans="1:2" x14ac:dyDescent="0.25">
      <c r="A1529">
        <f ca="1">29554.0423257236*(RANDBETWEEN(2890,3282))</f>
        <v>93213449.495332107</v>
      </c>
      <c r="B1529">
        <v>209505671.1294966</v>
      </c>
    </row>
    <row r="1530" spans="1:2" x14ac:dyDescent="0.25">
      <c r="A1530">
        <f ca="1">39438.8890756964*(RANDBETWEEN(2890,3282))</f>
        <v>115713700.54809313</v>
      </c>
      <c r="B1530">
        <v>221571995.39042184</v>
      </c>
    </row>
    <row r="1531" spans="1:2" x14ac:dyDescent="0.25">
      <c r="A1531">
        <f ca="1">33150.8653767738*(RANDBETWEEN(2890,3282))</f>
        <v>107475105.55150054</v>
      </c>
      <c r="B1531">
        <v>220319356.249286</v>
      </c>
    </row>
    <row r="1532" spans="1:2" x14ac:dyDescent="0.25">
      <c r="A1532">
        <f ca="1">31786.7129745736*(RANDBETWEEN(2890,3282))</f>
        <v>103370390.59331343</v>
      </c>
      <c r="B1532">
        <v>230105703.95486826</v>
      </c>
    </row>
    <row r="1533" spans="1:2" x14ac:dyDescent="0.25">
      <c r="A1533">
        <f ca="1">34681.8781934526*(RANDBETWEEN(2890,3282))</f>
        <v>100681492.39559281</v>
      </c>
      <c r="B1533">
        <v>261805332.41276979</v>
      </c>
    </row>
    <row r="1534" spans="1:2" x14ac:dyDescent="0.25">
      <c r="A1534">
        <f ca="1">38796.6290091642*(RANDBETWEEN(2890,3282))</f>
        <v>124653569.00644469</v>
      </c>
      <c r="B1534">
        <v>262511833.99206156</v>
      </c>
    </row>
    <row r="1535" spans="1:2" x14ac:dyDescent="0.25">
      <c r="A1535">
        <f ca="1">32611.9737624707*(RANDBETWEEN(2890,3282))</f>
        <v>106510706.30822931</v>
      </c>
      <c r="B1535">
        <v>219145620.50603211</v>
      </c>
    </row>
    <row r="1536" spans="1:2" x14ac:dyDescent="0.25">
      <c r="A1536">
        <f ca="1">29976.9768926831*(RANDBETWEEN(2890,3282))</f>
        <v>94367523.258166686</v>
      </c>
      <c r="B1536">
        <v>264914251.69196603</v>
      </c>
    </row>
    <row r="1537" spans="1:2" x14ac:dyDescent="0.25">
      <c r="A1537">
        <f ca="1">40345.3436382439*(RANDBETWEEN(2890,3282))</f>
        <v>117848748.76731053</v>
      </c>
      <c r="B1537">
        <v>225757205.55767211</v>
      </c>
    </row>
    <row r="1538" spans="1:2" x14ac:dyDescent="0.25">
      <c r="A1538">
        <f ca="1">36222.0245791012*(RANDBETWEEN(2890,3282))</f>
        <v>117033361.41507588</v>
      </c>
      <c r="B1538">
        <v>263968902.16619521</v>
      </c>
    </row>
    <row r="1539" spans="1:2" x14ac:dyDescent="0.25">
      <c r="A1539">
        <f ca="1">32315.4064966132*(RANDBETWEEN(2890,3282))</f>
        <v>100597860.42395692</v>
      </c>
      <c r="B1539">
        <v>254613923.16413301</v>
      </c>
    </row>
    <row r="1540" spans="1:2" x14ac:dyDescent="0.25">
      <c r="A1540">
        <f ca="1">32980.2525988706*(RANDBETWEEN(2890,3282))</f>
        <v>103525012.9078548</v>
      </c>
      <c r="B1540">
        <v>224696604.82270357</v>
      </c>
    </row>
    <row r="1541" spans="1:2" x14ac:dyDescent="0.25">
      <c r="A1541">
        <f ca="1">34101.0406699491*(RANDBETWEEN(2890,3282))</f>
        <v>101007282.46438918</v>
      </c>
      <c r="B1541">
        <v>230099542.02846462</v>
      </c>
    </row>
    <row r="1542" spans="1:2" x14ac:dyDescent="0.25">
      <c r="A1542">
        <f ca="1">31190.0255334942*(RANDBETWEEN(2890,3282))</f>
        <v>100525452.29445182</v>
      </c>
      <c r="B1542">
        <v>208370670.97012362</v>
      </c>
    </row>
    <row r="1543" spans="1:2" x14ac:dyDescent="0.25">
      <c r="A1543">
        <f ca="1">36497.9847634883*(RANDBETWEEN(2890,3282))</f>
        <v>117669502.87748624</v>
      </c>
      <c r="B1543">
        <v>237922887.92667285</v>
      </c>
    </row>
    <row r="1544" spans="1:2" x14ac:dyDescent="0.25">
      <c r="A1544">
        <f ca="1">39096.609152996*(RANDBETWEEN(2890,3282))</f>
        <v>117289827.45898812</v>
      </c>
      <c r="B1544">
        <v>212615028.32146382</v>
      </c>
    </row>
    <row r="1545" spans="1:2" x14ac:dyDescent="0.25">
      <c r="A1545">
        <f ca="1">32487.8532979131*(RANDBETWEEN(2890,3282))</f>
        <v>105000741.85885501</v>
      </c>
      <c r="B1545">
        <v>235897639.22105953</v>
      </c>
    </row>
    <row r="1546" spans="1:2" x14ac:dyDescent="0.25">
      <c r="A1546">
        <f ca="1">36603.4763533151*(RANDBETWEEN(2890,3282))</f>
        <v>108785531.72205257</v>
      </c>
      <c r="B1546">
        <v>223155041.17794678</v>
      </c>
    </row>
    <row r="1547" spans="1:2" x14ac:dyDescent="0.25">
      <c r="A1547">
        <f ca="1">39430.0670133337*(RANDBETWEEN(2890,3282))</f>
        <v>121326316.20002773</v>
      </c>
      <c r="B1547">
        <v>251445328.49907798</v>
      </c>
    </row>
    <row r="1548" spans="1:2" x14ac:dyDescent="0.25">
      <c r="A1548">
        <f ca="1">31120.7802158564*(RANDBETWEEN(2890,3282))</f>
        <v>96630022.570233971</v>
      </c>
      <c r="B1548">
        <v>245348319.53220615</v>
      </c>
    </row>
    <row r="1549" spans="1:2" x14ac:dyDescent="0.25">
      <c r="A1549">
        <f ca="1">41607.1882007067*(RANDBETWEEN(2890,3282))</f>
        <v>123490134.57969743</v>
      </c>
      <c r="B1549">
        <v>265142243.5231936</v>
      </c>
    </row>
    <row r="1550" spans="1:2" x14ac:dyDescent="0.25">
      <c r="A1550">
        <f ca="1">34242.725501531*(RANDBETWEEN(2890,3282))</f>
        <v>108070041.68283197</v>
      </c>
      <c r="B1550">
        <v>221126453.30216205</v>
      </c>
    </row>
    <row r="1551" spans="1:2" x14ac:dyDescent="0.25">
      <c r="A1551">
        <f ca="1">33676.8366603989*(RANDBETWEEN(2890,3282))</f>
        <v>109315011.79965496</v>
      </c>
      <c r="B1551">
        <v>265843450.77229097</v>
      </c>
    </row>
    <row r="1552" spans="1:2" x14ac:dyDescent="0.25">
      <c r="A1552">
        <f ca="1">33397.6817710063*(RANDBETWEEN(2890,3282))</f>
        <v>106872581.66722015</v>
      </c>
      <c r="B1552">
        <v>227526202.49942398</v>
      </c>
    </row>
    <row r="1553" spans="1:2" x14ac:dyDescent="0.25">
      <c r="A1553">
        <f ca="1">37159.4389868495*(RANDBETWEEN(2890,3282))</f>
        <v>113373448.34887785</v>
      </c>
      <c r="B1553">
        <v>266892712.47664773</v>
      </c>
    </row>
    <row r="1554" spans="1:2" x14ac:dyDescent="0.25">
      <c r="A1554">
        <f ca="1">40857.2602739084*(RANDBETWEEN(2890,3282))</f>
        <v>120651489.5888516</v>
      </c>
      <c r="B1554">
        <v>233836151.91121033</v>
      </c>
    </row>
    <row r="1555" spans="1:2" x14ac:dyDescent="0.25">
      <c r="A1555">
        <f ca="1">31303.5001155558*(RANDBETWEEN(2890,3282))</f>
        <v>91468827.33765395</v>
      </c>
      <c r="B1555">
        <v>232687856.45112813</v>
      </c>
    </row>
    <row r="1556" spans="1:2" x14ac:dyDescent="0.25">
      <c r="A1556">
        <f ca="1">35150.3854130763*(RANDBETWEEN(2890,3282))</f>
        <v>107243825.89529583</v>
      </c>
      <c r="B1556">
        <v>263024194.06526932</v>
      </c>
    </row>
    <row r="1557" spans="1:2" x14ac:dyDescent="0.25">
      <c r="A1557">
        <f ca="1">37768.8026168901*(RANDBETWEEN(2890,3282))</f>
        <v>115610304.81030053</v>
      </c>
      <c r="B1557">
        <v>231850838.73417777</v>
      </c>
    </row>
    <row r="1558" spans="1:2" x14ac:dyDescent="0.25">
      <c r="A1558">
        <f ca="1">33294.2971183303*(RANDBETWEEN(2890,3282))</f>
        <v>107007870.93831354</v>
      </c>
      <c r="B1558">
        <v>232964477.18899786</v>
      </c>
    </row>
    <row r="1559" spans="1:2" x14ac:dyDescent="0.25">
      <c r="A1559">
        <f ca="1">33310.9124804762*(RANDBETWEEN(2890,3282))</f>
        <v>104296466.97637093</v>
      </c>
      <c r="B1559">
        <v>244799537.51068971</v>
      </c>
    </row>
    <row r="1560" spans="1:2" x14ac:dyDescent="0.25">
      <c r="A1560">
        <f ca="1">31574.0453969734*(RANDBETWEEN(2890,3282))</f>
        <v>95132598.781080917</v>
      </c>
      <c r="B1560">
        <v>223497535.05066454</v>
      </c>
    </row>
    <row r="1561" spans="1:2" x14ac:dyDescent="0.25">
      <c r="A1561">
        <f ca="1">38665.2950890416*(RANDBETWEEN(2890,3282))</f>
        <v>111974694.57786459</v>
      </c>
      <c r="B1561">
        <v>267261885.47686997</v>
      </c>
    </row>
    <row r="1562" spans="1:2" x14ac:dyDescent="0.25">
      <c r="A1562">
        <f ca="1">37286.3614758778*(RANDBETWEEN(2890,3282))</f>
        <v>109994766.35383949</v>
      </c>
      <c r="B1562">
        <v>266008951.14868203</v>
      </c>
    </row>
    <row r="1563" spans="1:2" x14ac:dyDescent="0.25">
      <c r="A1563">
        <f ca="1">39578.6949734129*(RANDBETWEEN(2890,3282))</f>
        <v>125583199.15063922</v>
      </c>
      <c r="B1563">
        <v>232075781.29150555</v>
      </c>
    </row>
    <row r="1564" spans="1:2" x14ac:dyDescent="0.25">
      <c r="A1564">
        <f ca="1">40807.2869211181*(RANDBETWEEN(2890,3282))</f>
        <v>128461339.22767985</v>
      </c>
      <c r="B1564">
        <v>260934587.64165306</v>
      </c>
    </row>
    <row r="1565" spans="1:2" x14ac:dyDescent="0.25">
      <c r="A1565">
        <f ca="1">40115.123139881*(RANDBETWEEN(2890,3282))</f>
        <v>129611962.86495565</v>
      </c>
      <c r="B1565">
        <v>253729956.43182734</v>
      </c>
    </row>
    <row r="1566" spans="1:2" x14ac:dyDescent="0.25">
      <c r="A1566">
        <f ca="1">30791.28456268*(RANDBETWEEN(2890,3282))</f>
        <v>90803498.175343305</v>
      </c>
      <c r="B1566">
        <v>244259381.82867798</v>
      </c>
    </row>
    <row r="1567" spans="1:2" x14ac:dyDescent="0.25">
      <c r="A1567">
        <f ca="1">39045.8388772585*(RANDBETWEEN(2890,3282))</f>
        <v>120885917.1639923</v>
      </c>
      <c r="B1567">
        <v>220763506.84245837</v>
      </c>
    </row>
    <row r="1568" spans="1:2" x14ac:dyDescent="0.25">
      <c r="A1568">
        <f ca="1">37137.7590637971*(RANDBETWEEN(2890,3282))</f>
        <v>118469451.4135128</v>
      </c>
      <c r="B1568">
        <v>218090476.91083783</v>
      </c>
    </row>
    <row r="1569" spans="1:2" x14ac:dyDescent="0.25">
      <c r="A1569">
        <f ca="1">33737.1767404009*(RANDBETWEEN(2890,3282))</f>
        <v>101245267.39794302</v>
      </c>
      <c r="B1569">
        <v>267719511.04335725</v>
      </c>
    </row>
    <row r="1570" spans="1:2" x14ac:dyDescent="0.25">
      <c r="A1570">
        <f ca="1">36549.4996306267*(RANDBETWEEN(2890,3282))</f>
        <v>106176296.42697054</v>
      </c>
      <c r="B1570">
        <v>239410352.58689404</v>
      </c>
    </row>
    <row r="1571" spans="1:2" x14ac:dyDescent="0.25">
      <c r="A1571">
        <f ca="1">34609.2654663259*(RANDBETWEEN(2890,3282))</f>
        <v>112722377.6238233</v>
      </c>
      <c r="B1571">
        <v>224365173.49318776</v>
      </c>
    </row>
    <row r="1572" spans="1:2" x14ac:dyDescent="0.25">
      <c r="A1572">
        <f ca="1">29518.467081713*(RANDBETWEEN(2890,3282))</f>
        <v>88230698.10724023</v>
      </c>
      <c r="B1572">
        <v>214457299.08463189</v>
      </c>
    </row>
    <row r="1573" spans="1:2" x14ac:dyDescent="0.25">
      <c r="A1573">
        <f ca="1">36744.227697274*(RANDBETWEEN(2890,3282))</f>
        <v>114164315.45543025</v>
      </c>
      <c r="B1573">
        <v>215758215.51113528</v>
      </c>
    </row>
    <row r="1574" spans="1:2" x14ac:dyDescent="0.25">
      <c r="A1574">
        <f ca="1">30439.5391407256*(RANDBETWEEN(2890,3282))</f>
        <v>92018726.822413579</v>
      </c>
      <c r="B1574">
        <v>247465819.65927863</v>
      </c>
    </row>
    <row r="1575" spans="1:2" x14ac:dyDescent="0.25">
      <c r="A1575">
        <f ca="1">33233.4463931275*(RANDBETWEEN(2890,3282))</f>
        <v>100265307.76806578</v>
      </c>
      <c r="B1575">
        <v>215018675.67210823</v>
      </c>
    </row>
    <row r="1576" spans="1:2" x14ac:dyDescent="0.25">
      <c r="A1576">
        <f ca="1">29729.3927673825*(RANDBETWEEN(2890,3282))</f>
        <v>90763836.118818641</v>
      </c>
      <c r="B1576">
        <v>257542756.56370944</v>
      </c>
    </row>
    <row r="1577" spans="1:2" x14ac:dyDescent="0.25">
      <c r="A1577">
        <f ca="1">28622.4476259301*(RANDBETWEEN(2890,3282))</f>
        <v>85838720.430164456</v>
      </c>
      <c r="B1577">
        <v>253242720.8526324</v>
      </c>
    </row>
    <row r="1578" spans="1:2" x14ac:dyDescent="0.25">
      <c r="A1578">
        <f ca="1">36660.4926531842*(RANDBETWEEN(2890,3282))</f>
        <v>110971311.26118843</v>
      </c>
      <c r="B1578">
        <v>261084856.42781094</v>
      </c>
    </row>
    <row r="1579" spans="1:2" x14ac:dyDescent="0.25">
      <c r="A1579">
        <f ca="1">29730.6754359193*(RANDBETWEEN(2890,3282))</f>
        <v>96832809.894789204</v>
      </c>
      <c r="B1579">
        <v>239692996.95282871</v>
      </c>
    </row>
    <row r="1580" spans="1:2" x14ac:dyDescent="0.25">
      <c r="A1580">
        <f ca="1">39184.3788488343*(RANDBETWEEN(2890,3282))</f>
        <v>116769448.96952634</v>
      </c>
      <c r="B1580">
        <v>257171855.6982913</v>
      </c>
    </row>
    <row r="1581" spans="1:2" x14ac:dyDescent="0.25">
      <c r="A1581">
        <f ca="1">38849.0774737802*(RANDBETWEEN(2890,3282))</f>
        <v>113283909.91354293</v>
      </c>
      <c r="B1581">
        <v>216060078.70468536</v>
      </c>
    </row>
    <row r="1582" spans="1:2" x14ac:dyDescent="0.25">
      <c r="A1582">
        <f ca="1">34088.6723392116*(RANDBETWEEN(2890,3282))</f>
        <v>102061484.98359963</v>
      </c>
      <c r="B1582">
        <v>223239855.02266026</v>
      </c>
    </row>
    <row r="1583" spans="1:2" x14ac:dyDescent="0.25">
      <c r="A1583">
        <f ca="1">33080.6529348257*(RANDBETWEEN(2890,3282))</f>
        <v>99771249.251434445</v>
      </c>
      <c r="B1583">
        <v>265759472.19705695</v>
      </c>
    </row>
    <row r="1584" spans="1:2" x14ac:dyDescent="0.25">
      <c r="A1584">
        <f ca="1">37024.8391164431*(RANDBETWEEN(2890,3282))</f>
        <v>117257665.48177521</v>
      </c>
      <c r="B1584">
        <v>231793317.40569723</v>
      </c>
    </row>
    <row r="1585" spans="1:2" x14ac:dyDescent="0.25">
      <c r="A1585">
        <f ca="1">32120.4968955086*(RANDBETWEEN(2890,3282))</f>
        <v>95622719.257929146</v>
      </c>
      <c r="B1585">
        <v>224962498.70086661</v>
      </c>
    </row>
    <row r="1586" spans="1:2" x14ac:dyDescent="0.25">
      <c r="A1586">
        <f ca="1">35507.6134194416*(RANDBETWEEN(2890,3282))</f>
        <v>113588855.32879375</v>
      </c>
      <c r="B1586">
        <v>243609191.71832436</v>
      </c>
    </row>
    <row r="1587" spans="1:2" x14ac:dyDescent="0.25">
      <c r="A1587">
        <f ca="1">31199.0297382845*(RANDBETWEEN(2890,3282))</f>
        <v>98557734.943240836</v>
      </c>
      <c r="B1587">
        <v>258522894.06710631</v>
      </c>
    </row>
    <row r="1588" spans="1:2" x14ac:dyDescent="0.25">
      <c r="A1588">
        <f ca="1">32689.1232907315*(RANDBETWEEN(2890,3282))</f>
        <v>100159473.7628013</v>
      </c>
      <c r="B1588">
        <v>229719548.12893596</v>
      </c>
    </row>
    <row r="1589" spans="1:2" x14ac:dyDescent="0.25">
      <c r="A1589">
        <f ca="1">31109.6616125878*(RANDBETWEEN(2890,3282))</f>
        <v>99737575.129956409</v>
      </c>
      <c r="B1589">
        <v>219396088.88573265</v>
      </c>
    </row>
    <row r="1590" spans="1:2" x14ac:dyDescent="0.25">
      <c r="A1590">
        <f ca="1">36787.9562370724*(RANDBETWEEN(2890,3282))</f>
        <v>115734910.32182974</v>
      </c>
      <c r="B1590">
        <v>261341136.94148898</v>
      </c>
    </row>
    <row r="1591" spans="1:2" x14ac:dyDescent="0.25">
      <c r="A1591">
        <f ca="1">29724.0156548319*(RANDBETWEEN(2890,3282))</f>
        <v>89796251.293247238</v>
      </c>
      <c r="B1591">
        <v>223938681.13246524</v>
      </c>
    </row>
    <row r="1592" spans="1:2" x14ac:dyDescent="0.25">
      <c r="A1592">
        <f ca="1">39122.2411285691*(RANDBETWEEN(2890,3282))</f>
        <v>126325716.60414952</v>
      </c>
      <c r="B1592">
        <v>233611359.54100662</v>
      </c>
    </row>
    <row r="1593" spans="1:2" x14ac:dyDescent="0.25">
      <c r="A1593">
        <f ca="1">32395.2521867214*(RANDBETWEEN(2890,3282))</f>
        <v>94561741.133039802</v>
      </c>
      <c r="B1593">
        <v>209832531.74248871</v>
      </c>
    </row>
    <row r="1594" spans="1:2" x14ac:dyDescent="0.25">
      <c r="A1594">
        <f ca="1">34205.1912856928*(RANDBETWEEN(2890,3282))</f>
        <v>102136701.17907868</v>
      </c>
      <c r="B1594">
        <v>249557573.30165476</v>
      </c>
    </row>
    <row r="1595" spans="1:2" x14ac:dyDescent="0.25">
      <c r="A1595">
        <f ca="1">28436.622534544*(RANDBETWEEN(2890,3282))</f>
        <v>83347740.648748562</v>
      </c>
      <c r="B1595">
        <v>250089180.20061386</v>
      </c>
    </row>
    <row r="1596" spans="1:2" x14ac:dyDescent="0.25">
      <c r="A1596">
        <f ca="1">32699.7464296858*(RANDBETWEEN(2890,3282))</f>
        <v>96300753.235424563</v>
      </c>
      <c r="B1596">
        <v>253832581.03027308</v>
      </c>
    </row>
    <row r="1597" spans="1:2" x14ac:dyDescent="0.25">
      <c r="A1597">
        <f ca="1">32292.2008800775*(RANDBETWEEN(2890,3282))</f>
        <v>97360985.653433621</v>
      </c>
      <c r="B1597">
        <v>259366549.73960921</v>
      </c>
    </row>
    <row r="1598" spans="1:2" x14ac:dyDescent="0.25">
      <c r="A1598">
        <f ca="1">39159.6713469461*(RANDBETWEEN(2890,3282))</f>
        <v>126485738.45063584</v>
      </c>
      <c r="B1598">
        <v>228935776.81076917</v>
      </c>
    </row>
    <row r="1599" spans="1:2" x14ac:dyDescent="0.25">
      <c r="A1599">
        <f ca="1">32602.4918581741*(RANDBETWEEN(2890,3282))</f>
        <v>103578116.63341904</v>
      </c>
      <c r="B1599">
        <v>237067499.20467326</v>
      </c>
    </row>
    <row r="1600" spans="1:2" x14ac:dyDescent="0.25">
      <c r="A1600">
        <f ca="1">33573.8383932987*(RANDBETWEEN(2890,3282))</f>
        <v>103944603.66565263</v>
      </c>
      <c r="B1600">
        <v>232867494.34534609</v>
      </c>
    </row>
    <row r="1601" spans="1:2" x14ac:dyDescent="0.25">
      <c r="A1601">
        <f ca="1">38968.7646318836*(RANDBETWEEN(2890,3282))</f>
        <v>126999203.93530878</v>
      </c>
      <c r="B1601">
        <v>210803994.21407622</v>
      </c>
    </row>
    <row r="1602" spans="1:2" x14ac:dyDescent="0.25">
      <c r="A1602">
        <f ca="1">41256.9272775703*(RANDBETWEEN(2890,3282))</f>
        <v>132517250.41555589</v>
      </c>
      <c r="B1602">
        <v>248700752.50736737</v>
      </c>
    </row>
    <row r="1603" spans="1:2" x14ac:dyDescent="0.25">
      <c r="A1603">
        <f ca="1">35313.8714770164*(RANDBETWEEN(2890,3282))</f>
        <v>102798679.86959468</v>
      </c>
      <c r="B1603">
        <v>207589552.53917366</v>
      </c>
    </row>
    <row r="1604" spans="1:2" x14ac:dyDescent="0.25">
      <c r="A1604">
        <f ca="1">34910.5423355772*(RANDBETWEEN(2890,3282))</f>
        <v>102497352.29725473</v>
      </c>
      <c r="B1604">
        <v>221137742.2819117</v>
      </c>
    </row>
    <row r="1605" spans="1:2" x14ac:dyDescent="0.25">
      <c r="A1605">
        <f ca="1">31819.3961114338*(RANDBETWEEN(2890,3282))</f>
        <v>97558268.477655947</v>
      </c>
      <c r="B1605">
        <v>251483933.31296429</v>
      </c>
    </row>
    <row r="1606" spans="1:2" x14ac:dyDescent="0.25">
      <c r="A1606">
        <f ca="1">33797.4352347218*(RANDBETWEEN(2890,3282))</f>
        <v>107644831.2225889</v>
      </c>
      <c r="B1606">
        <v>265007388.32714003</v>
      </c>
    </row>
    <row r="1607" spans="1:2" x14ac:dyDescent="0.25">
      <c r="A1607">
        <f ca="1">31204.965278723*(RANDBETWEEN(2890,3282))</f>
        <v>93271641.218103021</v>
      </c>
      <c r="B1607">
        <v>262073606.7949034</v>
      </c>
    </row>
    <row r="1608" spans="1:2" x14ac:dyDescent="0.25">
      <c r="A1608">
        <f ca="1">28787.7193820612*(RANDBETWEEN(2890,3282))</f>
        <v>89760109.033266902</v>
      </c>
      <c r="B1608">
        <v>247139630.26379833</v>
      </c>
    </row>
    <row r="1609" spans="1:2" x14ac:dyDescent="0.25">
      <c r="A1609">
        <f ca="1">34877.8470623656*(RANDBETWEEN(2890,3282))</f>
        <v>114469094.05868381</v>
      </c>
      <c r="B1609">
        <v>210657932.57696152</v>
      </c>
    </row>
    <row r="1610" spans="1:2" x14ac:dyDescent="0.25">
      <c r="A1610">
        <f ca="1">32364.4694960069*(RANDBETWEEN(2890,3282))</f>
        <v>105896544.1909346</v>
      </c>
      <c r="B1610">
        <v>226923809.27581829</v>
      </c>
    </row>
    <row r="1611" spans="1:2" x14ac:dyDescent="0.25">
      <c r="A1611">
        <f ca="1">29728.5932085036*(RANDBETWEEN(2890,3282))</f>
        <v>96826028.080096155</v>
      </c>
      <c r="B1611">
        <v>209775672.85051322</v>
      </c>
    </row>
    <row r="1612" spans="1:2" x14ac:dyDescent="0.25">
      <c r="A1612">
        <f ca="1">30073.0617026917*(RANDBETWEEN(2890,3282))</f>
        <v>98098327.274180174</v>
      </c>
      <c r="B1612">
        <v>223032258.36562064</v>
      </c>
    </row>
    <row r="1613" spans="1:2" x14ac:dyDescent="0.25">
      <c r="A1613">
        <f ca="1">32442.5461253188*(RANDBETWEEN(2890,3282))</f>
        <v>101772267.19512492</v>
      </c>
      <c r="B1613">
        <v>223596940.79198542</v>
      </c>
    </row>
    <row r="1614" spans="1:2" x14ac:dyDescent="0.25">
      <c r="A1614">
        <f ca="1">34902.9879037693*(RANDBETWEEN(2890,3282))</f>
        <v>112073494.15900314</v>
      </c>
      <c r="B1614">
        <v>215216158.83577573</v>
      </c>
    </row>
    <row r="1615" spans="1:2" x14ac:dyDescent="0.25">
      <c r="A1615">
        <f ca="1">30696.3833303722*(RANDBETWEEN(2890,3282))</f>
        <v>99978120.507022351</v>
      </c>
      <c r="B1615">
        <v>221667399.65107346</v>
      </c>
    </row>
    <row r="1616" spans="1:2" x14ac:dyDescent="0.25">
      <c r="A1616">
        <f ca="1">31937.0206939255*(RANDBETWEEN(2890,3282))</f>
        <v>103348198.96554281</v>
      </c>
      <c r="B1616">
        <v>228009333.44887292</v>
      </c>
    </row>
    <row r="1617" spans="1:2" x14ac:dyDescent="0.25">
      <c r="A1617">
        <f ca="1">32156.8089179735*(RANDBETWEEN(2890,3282))</f>
        <v>101551202.56296042</v>
      </c>
      <c r="B1617">
        <v>225287914.86192483</v>
      </c>
    </row>
    <row r="1618" spans="1:2" x14ac:dyDescent="0.25">
      <c r="A1618">
        <f ca="1">31754.9256148821*(RANDBETWEEN(2890,3282))</f>
        <v>92533853.241766304</v>
      </c>
      <c r="B1618">
        <v>247936395.86774573</v>
      </c>
    </row>
    <row r="1619" spans="1:2" x14ac:dyDescent="0.25">
      <c r="A1619">
        <f ca="1">31644.4491336384*(RANDBETWEEN(2890,3282))</f>
        <v>94173880.621707946</v>
      </c>
      <c r="B1619">
        <v>222021625.90928692</v>
      </c>
    </row>
    <row r="1620" spans="1:2" x14ac:dyDescent="0.25">
      <c r="A1620">
        <f ca="1">30798.8148777663*(RANDBETWEEN(2890,3282))</f>
        <v>97817036.051785797</v>
      </c>
      <c r="B1620">
        <v>220666194.77079284</v>
      </c>
    </row>
    <row r="1621" spans="1:2" x14ac:dyDescent="0.25">
      <c r="A1621">
        <f ca="1">31280.439842664*(RANDBETWEEN(2890,3282))</f>
        <v>91245043.021050975</v>
      </c>
      <c r="B1621">
        <v>246081217.28241825</v>
      </c>
    </row>
    <row r="1622" spans="1:2" x14ac:dyDescent="0.25">
      <c r="A1622">
        <f ca="1">31060.5547839191*(RANDBETWEEN(2890,3282))</f>
        <v>100170289.17813908</v>
      </c>
      <c r="B1622">
        <v>234676552.13787535</v>
      </c>
    </row>
    <row r="1623" spans="1:2" x14ac:dyDescent="0.25">
      <c r="A1623">
        <f ca="1">30861.9447886513*(RANDBETWEEN(2890,3282))</f>
        <v>99375462.21945709</v>
      </c>
      <c r="B1623">
        <v>206766254.10180071</v>
      </c>
    </row>
    <row r="1624" spans="1:2" x14ac:dyDescent="0.25">
      <c r="A1624">
        <f ca="1">30190.4860392374*(RANDBETWEEN(2890,3282))</f>
        <v>91930029.989477903</v>
      </c>
      <c r="B1624">
        <v>212280537.34679374</v>
      </c>
    </row>
    <row r="1625" spans="1:2" x14ac:dyDescent="0.25">
      <c r="A1625">
        <f ca="1">30266.3574858617*(RANDBETWEEN(2890,3282))</f>
        <v>94945563.433147997</v>
      </c>
      <c r="B1625">
        <v>233723259.32219779</v>
      </c>
    </row>
    <row r="1626" spans="1:2" x14ac:dyDescent="0.25">
      <c r="A1626">
        <f ca="1">32796.333745168*(RANDBETWEEN(2890,3282))</f>
        <v>103997174.30592784</v>
      </c>
      <c r="B1626">
        <v>264635977.99098521</v>
      </c>
    </row>
    <row r="1627" spans="1:2" x14ac:dyDescent="0.25">
      <c r="A1627">
        <f ca="1">29315.534768167*(RANDBETWEEN(2890,3282))</f>
        <v>95334119.066078946</v>
      </c>
      <c r="B1627">
        <v>231967509.63327345</v>
      </c>
    </row>
    <row r="1628" spans="1:2" x14ac:dyDescent="0.25">
      <c r="A1628">
        <f ca="1">30954.372273928*(RANDBETWEEN(2890,3282))</f>
        <v>98032496.991529927</v>
      </c>
      <c r="B1628">
        <v>254453398.67483735</v>
      </c>
    </row>
    <row r="1629" spans="1:2" x14ac:dyDescent="0.25">
      <c r="A1629">
        <f ca="1">31295.2018211474*(RANDBETWEEN(2890,3282))</f>
        <v>97296782.461947247</v>
      </c>
      <c r="B1629">
        <v>211509676.96949497</v>
      </c>
    </row>
    <row r="1630" spans="1:2" x14ac:dyDescent="0.25">
      <c r="A1630">
        <f ca="1">35402.4293095148*(RANDBETWEEN(2890,3282))</f>
        <v>111836274.18875711</v>
      </c>
      <c r="B1630">
        <v>205236376.02046734</v>
      </c>
    </row>
    <row r="1631" spans="1:2" x14ac:dyDescent="0.25">
      <c r="A1631">
        <f ca="1">31928.7690759085*(RANDBETWEEN(2890,3282))</f>
        <v>100096691.05297305</v>
      </c>
      <c r="B1631">
        <v>220991197.88202232</v>
      </c>
    </row>
    <row r="1632" spans="1:2" x14ac:dyDescent="0.25">
      <c r="A1632">
        <f ca="1">30839.8595659533*(RANDBETWEEN(2890,3282))</f>
        <v>100137024.01065044</v>
      </c>
      <c r="B1632">
        <v>261373718.77830482</v>
      </c>
    </row>
    <row r="1633" spans="1:2" x14ac:dyDescent="0.25">
      <c r="A1633">
        <f ca="1">34093.5872083111*(RANDBETWEEN(2890,3282))</f>
        <v>111247375.06071913</v>
      </c>
      <c r="B1633">
        <v>216471156.0532378</v>
      </c>
    </row>
    <row r="1634" spans="1:2" x14ac:dyDescent="0.25">
      <c r="A1634">
        <f ca="1">38555.9057170288*(RANDBETWEEN(2890,3282))</f>
        <v>115166490.376765</v>
      </c>
      <c r="B1634">
        <v>264285005.59471741</v>
      </c>
    </row>
    <row r="1635" spans="1:2" x14ac:dyDescent="0.25">
      <c r="A1635">
        <f ca="1">33053.1112186245*(RANDBETWEEN(2890,3282))</f>
        <v>107257345.90443644</v>
      </c>
      <c r="B1635">
        <v>226682668.08360741</v>
      </c>
    </row>
    <row r="1636" spans="1:2" x14ac:dyDescent="0.25">
      <c r="A1636">
        <f ca="1">34887.0012389622*(RANDBETWEEN(2890,3282))</f>
        <v>103788828.6859125</v>
      </c>
      <c r="B1636">
        <v>246524146.38905057</v>
      </c>
    </row>
    <row r="1637" spans="1:2" x14ac:dyDescent="0.25">
      <c r="A1637">
        <f ca="1">34567.3292406249*(RANDBETWEEN(2890,3282))</f>
        <v>105499488.84238732</v>
      </c>
      <c r="B1637">
        <v>209228114.63522664</v>
      </c>
    </row>
    <row r="1638" spans="1:2" x14ac:dyDescent="0.25">
      <c r="A1638">
        <f ca="1">37759.3765684215*(RANDBETWEEN(2890,3282))</f>
        <v>114939542.27427495</v>
      </c>
      <c r="B1638">
        <v>241897214.3008534</v>
      </c>
    </row>
    <row r="1639" spans="1:2" x14ac:dyDescent="0.25">
      <c r="A1639">
        <f ca="1">37981.1288768082*(RANDBETWEEN(2890,3282))</f>
        <v>120742008.69937329</v>
      </c>
      <c r="B1639">
        <v>261055296.60685095</v>
      </c>
    </row>
    <row r="1640" spans="1:2" x14ac:dyDescent="0.25">
      <c r="A1640">
        <f ca="1">33201.5039132838*(RANDBETWEEN(2890,3282))</f>
        <v>107174454.63208023</v>
      </c>
      <c r="B1640">
        <v>211399826.98984903</v>
      </c>
    </row>
    <row r="1641" spans="1:2" x14ac:dyDescent="0.25">
      <c r="A1641">
        <f ca="1">29558.6367049099*(RANDBETWEEN(2890,3282))</f>
        <v>93523526.534334823</v>
      </c>
      <c r="B1641">
        <v>206006727.99567384</v>
      </c>
    </row>
    <row r="1642" spans="1:2" x14ac:dyDescent="0.25">
      <c r="A1642">
        <f ca="1">31102.9023568577*(RANDBETWEEN(2890,3282))</f>
        <v>94957160.895486593</v>
      </c>
      <c r="B1642">
        <v>223283542.17154643</v>
      </c>
    </row>
    <row r="1643" spans="1:2" x14ac:dyDescent="0.25">
      <c r="A1643">
        <f ca="1">31270.9549477923*(RANDBETWEEN(2890,3282))</f>
        <v>102537461.27381086</v>
      </c>
      <c r="B1643">
        <v>239232870.73808676</v>
      </c>
    </row>
    <row r="1644" spans="1:2" x14ac:dyDescent="0.25">
      <c r="A1644">
        <f ca="1">32340.2962146025*(RANDBETWEEN(2890,3282))</f>
        <v>102906822.55486527</v>
      </c>
      <c r="B1644">
        <v>239434523.42458516</v>
      </c>
    </row>
    <row r="1645" spans="1:2" x14ac:dyDescent="0.25">
      <c r="A1645">
        <f ca="1">36123.6130360732*(RANDBETWEEN(2890,3282))</f>
        <v>111658087.89450215</v>
      </c>
      <c r="B1645">
        <v>235003052.42015791</v>
      </c>
    </row>
    <row r="1646" spans="1:2" x14ac:dyDescent="0.25">
      <c r="A1646">
        <f ca="1">35559.9879428357*(RANDBETWEEN(2890,3282))</f>
        <v>114325361.23621704</v>
      </c>
      <c r="B1646">
        <v>256032984.62511814</v>
      </c>
    </row>
    <row r="1647" spans="1:2" x14ac:dyDescent="0.25">
      <c r="A1647">
        <f ca="1">33203.6757488808*(RANDBETWEEN(2890,3282))</f>
        <v>108908056.45632905</v>
      </c>
      <c r="B1647">
        <v>232940383.4276239</v>
      </c>
    </row>
    <row r="1648" spans="1:2" x14ac:dyDescent="0.25">
      <c r="A1648">
        <f ca="1">32839.6218148636*(RANDBETWEEN(2890,3282))</f>
        <v>100226525.77896363</v>
      </c>
      <c r="B1648">
        <v>260519904.24730912</v>
      </c>
    </row>
    <row r="1649" spans="1:2" x14ac:dyDescent="0.25">
      <c r="A1649">
        <f ca="1">33385.403669686*(RANDBETWEEN(2890,3282))</f>
        <v>108369020.31180087</v>
      </c>
      <c r="B1649">
        <v>233688889.8322812</v>
      </c>
    </row>
    <row r="1650" spans="1:2" x14ac:dyDescent="0.25">
      <c r="A1650">
        <f ca="1">35271.2296775334*(RANDBETWEEN(2890,3282))</f>
        <v>115760175.80166446</v>
      </c>
      <c r="B1650">
        <v>265779497.36528346</v>
      </c>
    </row>
    <row r="1651" spans="1:2" x14ac:dyDescent="0.25">
      <c r="A1651">
        <f ca="1">37617.5996210709*(RANDBETWEEN(2890,3282))</f>
        <v>109843390.89352696</v>
      </c>
      <c r="B1651">
        <v>256646407.72794032</v>
      </c>
    </row>
    <row r="1652" spans="1:2" x14ac:dyDescent="0.25">
      <c r="A1652">
        <f ca="1">30675.1278527552*(RANDBETWEEN(2890,3282))</f>
        <v>100062267.05568731</v>
      </c>
      <c r="B1652">
        <v>222539710.354736</v>
      </c>
    </row>
    <row r="1653" spans="1:2" x14ac:dyDescent="0.25">
      <c r="A1653">
        <f ca="1">34522.037101697*(RANDBETWEEN(2890,3282))</f>
        <v>107121881.12656589</v>
      </c>
      <c r="B1653">
        <v>227240648.49827155</v>
      </c>
    </row>
    <row r="1654" spans="1:2" x14ac:dyDescent="0.25">
      <c r="A1654">
        <f ca="1">32970.2899446274*(RANDBETWEEN(2890,3282))</f>
        <v>105900571.30214322</v>
      </c>
      <c r="B1654">
        <v>249119801.60583171</v>
      </c>
    </row>
    <row r="1655" spans="1:2" x14ac:dyDescent="0.25">
      <c r="A1655">
        <f ca="1">37087.2812357481*(RANDBETWEEN(2890,3282))</f>
        <v>113375818.73768185</v>
      </c>
      <c r="B1655">
        <v>237129547.85767671</v>
      </c>
    </row>
    <row r="1656" spans="1:2" x14ac:dyDescent="0.25">
      <c r="A1656">
        <f ca="1">31993.1765587094*(RANDBETWEEN(2890,3282))</f>
        <v>99562765.450703502</v>
      </c>
      <c r="B1656">
        <v>248102186.39998522</v>
      </c>
    </row>
    <row r="1657" spans="1:2" x14ac:dyDescent="0.25">
      <c r="A1657">
        <f ca="1">31884.236116882*(RANDBETWEEN(2890,3282))</f>
        <v>103783188.56045097</v>
      </c>
      <c r="B1657">
        <v>231163215.88225493</v>
      </c>
    </row>
    <row r="1658" spans="1:2" x14ac:dyDescent="0.25">
      <c r="A1658">
        <f ca="1">35142.3905549974*(RANDBETWEEN(2890,3282))</f>
        <v>103002346.71669748</v>
      </c>
      <c r="B1658">
        <v>223834553.27571976</v>
      </c>
    </row>
    <row r="1659" spans="1:2" x14ac:dyDescent="0.25">
      <c r="A1659">
        <f ca="1">31318.8334740126*(RANDBETWEEN(2890,3282))</f>
        <v>90855935.908110574</v>
      </c>
      <c r="B1659">
        <v>209020155.82086524</v>
      </c>
    </row>
    <row r="1660" spans="1:2" x14ac:dyDescent="0.25">
      <c r="A1660">
        <f ca="1">31706.9440509945*(RANDBETWEEN(2890,3282))</f>
        <v>101715876.51559035</v>
      </c>
      <c r="B1660">
        <v>247406284.75698107</v>
      </c>
    </row>
    <row r="1661" spans="1:2" x14ac:dyDescent="0.25">
      <c r="A1661">
        <f ca="1">29447.8261995496*(RANDBETWEEN(2890,3282))</f>
        <v>87195013.376866445</v>
      </c>
      <c r="B1661">
        <v>212704453.53100452</v>
      </c>
    </row>
    <row r="1662" spans="1:2" x14ac:dyDescent="0.25">
      <c r="A1662">
        <f ca="1">40733.9115259235*(RANDBETWEEN(2890,3282))</f>
        <v>121427790.25877795</v>
      </c>
      <c r="B1662">
        <v>256038928.06370655</v>
      </c>
    </row>
    <row r="1663" spans="1:2" x14ac:dyDescent="0.25">
      <c r="A1663">
        <f ca="1">33920.5509675*(RANDBETWEEN(2890,3282))</f>
        <v>102100858.41217501</v>
      </c>
      <c r="B1663">
        <v>239111375.12779593</v>
      </c>
    </row>
    <row r="1664" spans="1:2" x14ac:dyDescent="0.25">
      <c r="A1664">
        <f ca="1">32952.354534738*(RANDBETWEEN(2890,3282))</f>
        <v>95627732.859809607</v>
      </c>
      <c r="B1664">
        <v>227810656.36105359</v>
      </c>
    </row>
    <row r="1665" spans="1:2" x14ac:dyDescent="0.25">
      <c r="A1665">
        <f ca="1">29608.1298967024*(RANDBETWEEN(2890,3282))</f>
        <v>95338178.267381653</v>
      </c>
      <c r="B1665">
        <v>235702566.41627118</v>
      </c>
    </row>
    <row r="1666" spans="1:2" x14ac:dyDescent="0.25">
      <c r="A1666">
        <f ca="1">30081.6556607012*(RANDBETWEEN(2890,3282))</f>
        <v>92651499.434959576</v>
      </c>
      <c r="B1666">
        <v>265913503.09735808</v>
      </c>
    </row>
    <row r="1667" spans="1:2" x14ac:dyDescent="0.25">
      <c r="A1667">
        <f ca="1">32358.8120385671*(RANDBETWEEN(2890,3282))</f>
        <v>104583680.50864902</v>
      </c>
      <c r="B1667">
        <v>260189956.41873348</v>
      </c>
    </row>
    <row r="1668" spans="1:2" x14ac:dyDescent="0.25">
      <c r="A1668">
        <f ca="1">32163.584833452*(RANDBETWEEN(2890,3282))</f>
        <v>100800674.86803871</v>
      </c>
      <c r="B1668">
        <v>221679833.3460339</v>
      </c>
    </row>
    <row r="1669" spans="1:2" x14ac:dyDescent="0.25">
      <c r="A1669">
        <f ca="1">38922.0012648009*(RANDBETWEEN(2890,3282))</f>
        <v>118011507.83487619</v>
      </c>
      <c r="B1669">
        <v>225746773.62781128</v>
      </c>
    </row>
    <row r="1670" spans="1:2" x14ac:dyDescent="0.25">
      <c r="A1670">
        <f ca="1">35598.9440445755*(RANDBETWEEN(2890,3282))</f>
        <v>104660895.49105182</v>
      </c>
      <c r="B1670">
        <v>255012872.35100374</v>
      </c>
    </row>
    <row r="1671" spans="1:2" x14ac:dyDescent="0.25">
      <c r="A1671">
        <f ca="1">31041.6512218193*(RANDBETWEEN(2890,3282))</f>
        <v>101288907.93679634</v>
      </c>
      <c r="B1671">
        <v>244540839.90551659</v>
      </c>
    </row>
    <row r="1672" spans="1:2" x14ac:dyDescent="0.25">
      <c r="A1672">
        <f ca="1">41489.3131197124*(RANDBETWEEN(2890,3282))</f>
        <v>129446656.93350278</v>
      </c>
      <c r="B1672">
        <v>213721330.12119609</v>
      </c>
    </row>
    <row r="1673" spans="1:2" x14ac:dyDescent="0.25">
      <c r="A1673">
        <f ca="1">34956.5633004291*(RANDBETWEEN(2890,3282))</f>
        <v>110742392.53575939</v>
      </c>
      <c r="B1673">
        <v>225282418.15262374</v>
      </c>
    </row>
    <row r="1674" spans="1:2" x14ac:dyDescent="0.25">
      <c r="A1674">
        <f ca="1">31391.8483664064*(RANDBETWEEN(2890,3282))</f>
        <v>96812460.361997187</v>
      </c>
      <c r="B1674">
        <v>264906075.01806244</v>
      </c>
    </row>
    <row r="1675" spans="1:2" x14ac:dyDescent="0.25">
      <c r="A1675">
        <f ca="1">38975.9244066965*(RANDBETWEEN(2890,3282))</f>
        <v>118798617.59161094</v>
      </c>
      <c r="B1675">
        <v>215620191.2485373</v>
      </c>
    </row>
    <row r="1676" spans="1:2" x14ac:dyDescent="0.25">
      <c r="A1676">
        <f ca="1">39654.9830710671*(RANDBETWEEN(2890,3282))</f>
        <v>119797703.85769385</v>
      </c>
      <c r="B1676">
        <v>253366052.98398528</v>
      </c>
    </row>
    <row r="1677" spans="1:2" x14ac:dyDescent="0.25">
      <c r="A1677">
        <f ca="1">30047.7927415023*(RANDBETWEEN(2890,3282))</f>
        <v>94951025.063147411</v>
      </c>
      <c r="B1677">
        <v>238296448.7718541</v>
      </c>
    </row>
    <row r="1678" spans="1:2" x14ac:dyDescent="0.25">
      <c r="A1678">
        <f ca="1">37052.2043514939*(RANDBETWEEN(2890,3282))</f>
        <v>108711167.56728308</v>
      </c>
      <c r="B1678">
        <v>252886478.94209209</v>
      </c>
    </row>
    <row r="1679" spans="1:2" x14ac:dyDescent="0.25">
      <c r="A1679">
        <f ca="1">30864.976354494*(RANDBETWEEN(2890,3282))</f>
        <v>90866490.387630299</v>
      </c>
      <c r="B1679">
        <v>217000742.38311157</v>
      </c>
    </row>
    <row r="1680" spans="1:2" x14ac:dyDescent="0.25">
      <c r="A1680">
        <f ca="1">32598.6440030573*(RANDBETWEEN(2890,3282))</f>
        <v>100208231.66539799</v>
      </c>
      <c r="B1680">
        <v>249780541.22377181</v>
      </c>
    </row>
    <row r="1681" spans="1:2" x14ac:dyDescent="0.25">
      <c r="A1681">
        <f ca="1">34255.7817656535*(RANDBETWEEN(2890,3282))</f>
        <v>110920221.35718606</v>
      </c>
      <c r="B1681">
        <v>237043146.40417472</v>
      </c>
    </row>
    <row r="1682" spans="1:2" x14ac:dyDescent="0.25">
      <c r="A1682">
        <f ca="1">31787.6631571153*(RANDBETWEEN(2890,3282))</f>
        <v>99940412.965970412</v>
      </c>
      <c r="B1682">
        <v>265763901.9160994</v>
      </c>
    </row>
    <row r="1683" spans="1:2" x14ac:dyDescent="0.25">
      <c r="A1683">
        <f ca="1">31328.1979010549*(RANDBETWEEN(2890,3282))</f>
        <v>100626171.65818819</v>
      </c>
      <c r="B1683">
        <v>244806056.68259558</v>
      </c>
    </row>
    <row r="1684" spans="1:2" x14ac:dyDescent="0.25">
      <c r="A1684">
        <f ca="1">38802.1772028654*(RANDBETWEEN(2890,3282))</f>
        <v>118307838.29153645</v>
      </c>
      <c r="B1684">
        <v>209353472.59904608</v>
      </c>
    </row>
    <row r="1685" spans="1:2" x14ac:dyDescent="0.25">
      <c r="A1685">
        <f ca="1">37770.0528922787*(RANDBETWEEN(2890,3282))</f>
        <v>112328137.30163683</v>
      </c>
      <c r="B1685">
        <v>249421849.32064494</v>
      </c>
    </row>
    <row r="1686" spans="1:2" x14ac:dyDescent="0.25">
      <c r="A1686">
        <f ca="1">35495.2975219027*(RANDBETWEEN(2890,3282))</f>
        <v>104853108.87970051</v>
      </c>
      <c r="B1686">
        <v>204775260.65917966</v>
      </c>
    </row>
    <row r="1687" spans="1:2" x14ac:dyDescent="0.25">
      <c r="A1687">
        <f ca="1">32006.2661369286*(RANDBETWEEN(2890,3282))</f>
        <v>97203030.257852137</v>
      </c>
      <c r="B1687">
        <v>204450259.06633002</v>
      </c>
    </row>
    <row r="1688" spans="1:2" x14ac:dyDescent="0.25">
      <c r="A1688">
        <f ca="1">32692.0949456326*(RANDBETWEEN(2890,3282))</f>
        <v>98337821.596462771</v>
      </c>
      <c r="B1688">
        <v>205663683.29547292</v>
      </c>
    </row>
    <row r="1689" spans="1:2" x14ac:dyDescent="0.25">
      <c r="A1689">
        <f ca="1">37087.0746663647*(RANDBETWEEN(2890,3282))</f>
        <v>112707619.91108233</v>
      </c>
      <c r="B1689">
        <v>259675569.47451586</v>
      </c>
    </row>
    <row r="1690" spans="1:2" x14ac:dyDescent="0.25">
      <c r="A1690">
        <f ca="1">30462.528404597*(RANDBETWEEN(2890,3282))</f>
        <v>92667011.406784087</v>
      </c>
      <c r="B1690">
        <v>246913711.85490423</v>
      </c>
    </row>
    <row r="1691" spans="1:2" x14ac:dyDescent="0.25">
      <c r="A1691">
        <f ca="1">30808.7598999763*(RANDBETWEEN(2890,3282))</f>
        <v>97201637.484425366</v>
      </c>
      <c r="B1691">
        <v>248512264.43818861</v>
      </c>
    </row>
    <row r="1692" spans="1:2" x14ac:dyDescent="0.25">
      <c r="A1692">
        <f ca="1">34710.2027366038*(RANDBETWEEN(2890,3282))</f>
        <v>101562053.20730275</v>
      </c>
      <c r="B1692">
        <v>214120144.92894319</v>
      </c>
    </row>
    <row r="1693" spans="1:2" x14ac:dyDescent="0.25">
      <c r="A1693">
        <f ca="1">30914.7539635964*(RANDBETWEEN(2890,3282))</f>
        <v>101153074.96888737</v>
      </c>
      <c r="B1693">
        <v>238274434.83651391</v>
      </c>
    </row>
    <row r="1694" spans="1:2" x14ac:dyDescent="0.25">
      <c r="A1694">
        <f ca="1">40681.3831282465*(RANDBETWEEN(2890,3282))</f>
        <v>132946760.06310971</v>
      </c>
      <c r="B1694">
        <v>236244896.11074606</v>
      </c>
    </row>
    <row r="1695" spans="1:2" x14ac:dyDescent="0.25">
      <c r="A1695">
        <f ca="1">27177.7369317081*(RANDBETWEEN(2890,3282))</f>
        <v>79087214.471270636</v>
      </c>
      <c r="B1695">
        <v>229845352.67498934</v>
      </c>
    </row>
    <row r="1696" spans="1:2" x14ac:dyDescent="0.25">
      <c r="A1696">
        <f ca="1">39269.7272961807*(RANDBETWEEN(2890,3282))</f>
        <v>115531537.70536348</v>
      </c>
      <c r="B1696">
        <v>246962558.74493456</v>
      </c>
    </row>
    <row r="1697" spans="1:2" x14ac:dyDescent="0.25">
      <c r="A1697">
        <f ca="1">30176.4978242533*(RANDBETWEEN(2890,3282))</f>
        <v>95357733.124640405</v>
      </c>
      <c r="B1697">
        <v>246425089.70690358</v>
      </c>
    </row>
    <row r="1698" spans="1:2" x14ac:dyDescent="0.25">
      <c r="A1698">
        <f ca="1">38535.9075966296*(RANDBETWEEN(2890,3282))</f>
        <v>123507583.84719789</v>
      </c>
      <c r="B1698">
        <v>237256957.59867734</v>
      </c>
    </row>
    <row r="1699" spans="1:2" x14ac:dyDescent="0.25">
      <c r="A1699">
        <f ca="1">30985.5552654314*(RANDBETWEEN(2890,3282))</f>
        <v>97759426.862436131</v>
      </c>
      <c r="B1699">
        <v>241771756.10374272</v>
      </c>
    </row>
    <row r="1700" spans="1:2" x14ac:dyDescent="0.25">
      <c r="A1700">
        <f ca="1">36450.0729783358*(RANDBETWEEN(2890,3282))</f>
        <v>110407271.05137923</v>
      </c>
      <c r="B1700">
        <v>210176085.7293179</v>
      </c>
    </row>
    <row r="1701" spans="1:2" x14ac:dyDescent="0.25">
      <c r="A1701">
        <f ca="1">31923.6087941816*(RANDBETWEEN(2890,3282))</f>
        <v>96664687.428782016</v>
      </c>
      <c r="B1701">
        <v>212926652.48705488</v>
      </c>
    </row>
    <row r="1702" spans="1:2" x14ac:dyDescent="0.25">
      <c r="A1702">
        <f ca="1">36600.26952748*(RANDBETWEEN(2890,3282))</f>
        <v>108226996.99275832</v>
      </c>
      <c r="B1702">
        <v>267266147.03233683</v>
      </c>
    </row>
    <row r="1703" spans="1:2" x14ac:dyDescent="0.25">
      <c r="A1703">
        <f ca="1">34140.114999886*(RANDBETWEEN(2890,3282))</f>
        <v>111126074.32462899</v>
      </c>
      <c r="B1703">
        <v>214634235.24826497</v>
      </c>
    </row>
    <row r="1704" spans="1:2" x14ac:dyDescent="0.25">
      <c r="A1704">
        <f ca="1">32570.9824036322*(RANDBETWEEN(2890,3282))</f>
        <v>102924304.39547788</v>
      </c>
      <c r="B1704">
        <v>205202376.93432689</v>
      </c>
    </row>
    <row r="1705" spans="1:2" x14ac:dyDescent="0.25">
      <c r="A1705">
        <f ca="1">30490.5277680503*(RANDBETWEEN(2890,3282))</f>
        <v>96441539.330343172</v>
      </c>
      <c r="B1705">
        <v>211239853.74899226</v>
      </c>
    </row>
    <row r="1706" spans="1:2" x14ac:dyDescent="0.25">
      <c r="A1706">
        <f ca="1">39690.4155209298*(RANDBETWEEN(2890,3282))</f>
        <v>117086725.78674304</v>
      </c>
      <c r="B1706">
        <v>257472770.51036978</v>
      </c>
    </row>
    <row r="1707" spans="1:2" x14ac:dyDescent="0.25">
      <c r="A1707">
        <f ca="1">28760.4833115919*(RANDBETWEEN(2890,3282))</f>
        <v>92464953.846767932</v>
      </c>
      <c r="B1707">
        <v>221531220.7939457</v>
      </c>
    </row>
    <row r="1708" spans="1:2" x14ac:dyDescent="0.25">
      <c r="A1708">
        <f ca="1">31605.1679471364*(RANDBETWEEN(2890,3282))</f>
        <v>102021482.1333562</v>
      </c>
      <c r="B1708">
        <v>255427858.03492737</v>
      </c>
    </row>
    <row r="1709" spans="1:2" x14ac:dyDescent="0.25">
      <c r="A1709">
        <f ca="1">31457.0902323484*(RANDBETWEEN(2890,3282))</f>
        <v>95629554.306339085</v>
      </c>
      <c r="B1709">
        <v>210693511.6623891</v>
      </c>
    </row>
    <row r="1710" spans="1:2" x14ac:dyDescent="0.25">
      <c r="A1710">
        <f ca="1">31189.7278571639*(RANDBETWEEN(2890,3282))</f>
        <v>90138313.507203773</v>
      </c>
      <c r="B1710">
        <v>218252247.64504141</v>
      </c>
    </row>
    <row r="1711" spans="1:2" x14ac:dyDescent="0.25">
      <c r="A1711">
        <f ca="1">41808.2746639418*(RANDBETWEEN(2890,3282))</f>
        <v>125299399.16783358</v>
      </c>
      <c r="B1711">
        <v>209952459.17766342</v>
      </c>
    </row>
    <row r="1712" spans="1:2" x14ac:dyDescent="0.25">
      <c r="A1712">
        <f ca="1">31109.5114697004*(RANDBETWEEN(2890,3282))</f>
        <v>96315047.510192335</v>
      </c>
      <c r="B1712">
        <v>224319342.89079338</v>
      </c>
    </row>
    <row r="1713" spans="1:2" x14ac:dyDescent="0.25">
      <c r="A1713">
        <f ca="1">33010.4847033484*(RANDBETWEEN(2890,3282))</f>
        <v>105006351.84135115</v>
      </c>
      <c r="B1713">
        <v>250190683.75415927</v>
      </c>
    </row>
    <row r="1714" spans="1:2" x14ac:dyDescent="0.25">
      <c r="A1714">
        <f ca="1">37286.7968328707*(RANDBETWEEN(2890,3282))</f>
        <v>122151546.42448446</v>
      </c>
      <c r="B1714">
        <v>221963495.95226401</v>
      </c>
    </row>
    <row r="1715" spans="1:2" x14ac:dyDescent="0.25">
      <c r="A1715">
        <f ca="1">39867.7048357795*(RANDBETWEEN(2890,3282))</f>
        <v>126261021.21491379</v>
      </c>
      <c r="B1715">
        <v>244268875.51093778</v>
      </c>
    </row>
    <row r="1716" spans="1:2" x14ac:dyDescent="0.25">
      <c r="A1716">
        <f ca="1">30500.1398306341*(RANDBETWEEN(2890,3282))</f>
        <v>92171422.568176389</v>
      </c>
      <c r="B1716">
        <v>210933653.46957564</v>
      </c>
    </row>
    <row r="1717" spans="1:2" x14ac:dyDescent="0.25">
      <c r="A1717">
        <f ca="1">36775.9148533855*(RANDBETWEEN(2890,3282))</f>
        <v>116763529.65949881</v>
      </c>
      <c r="B1717">
        <v>259693738.17628089</v>
      </c>
    </row>
    <row r="1718" spans="1:2" x14ac:dyDescent="0.25">
      <c r="A1718">
        <f ca="1">30772.7482474123*(RANDBETWEEN(2890,3282))</f>
        <v>100473023.02780123</v>
      </c>
      <c r="B1718">
        <v>254678558.68894997</v>
      </c>
    </row>
    <row r="1719" spans="1:2" x14ac:dyDescent="0.25">
      <c r="A1719">
        <f ca="1">32578.9722137456*(RANDBETWEEN(2890,3282))</f>
        <v>98127864.307801679</v>
      </c>
      <c r="B1719">
        <v>230772330.77325207</v>
      </c>
    </row>
    <row r="1720" spans="1:2" x14ac:dyDescent="0.25">
      <c r="A1720">
        <f ca="1">36524.9246227845*(RANDBETWEEN(2890,3282))</f>
        <v>118559905.32555848</v>
      </c>
      <c r="B1720">
        <v>209473683.61313039</v>
      </c>
    </row>
    <row r="1721" spans="1:2" x14ac:dyDescent="0.25">
      <c r="A1721">
        <f ca="1">32134.6422650058*(RANDBETWEEN(2890,3282))</f>
        <v>103409278.80878863</v>
      </c>
      <c r="B1721">
        <v>213646104.24774474</v>
      </c>
    </row>
    <row r="1722" spans="1:2" x14ac:dyDescent="0.25">
      <c r="A1722">
        <f ca="1">31227.4264878977*(RANDBETWEEN(2890,3282))</f>
        <v>95306105.641063854</v>
      </c>
      <c r="B1722">
        <v>210906690.81003752</v>
      </c>
    </row>
    <row r="1723" spans="1:2" x14ac:dyDescent="0.25">
      <c r="A1723">
        <f ca="1">31214.1994736318*(RANDBETWEEN(2890,3282))</f>
        <v>91239105.06142579</v>
      </c>
      <c r="B1723">
        <v>212664757.36910906</v>
      </c>
    </row>
    <row r="1724" spans="1:2" x14ac:dyDescent="0.25">
      <c r="A1724">
        <f ca="1">34131.6017253674*(RANDBETWEEN(2890,3282))</f>
        <v>105159464.91585696</v>
      </c>
      <c r="B1724">
        <v>214408034.13304368</v>
      </c>
    </row>
    <row r="1725" spans="1:2" x14ac:dyDescent="0.25">
      <c r="A1725">
        <f ca="1">34564.1287026643*(RANDBETWEEN(2890,3282))</f>
        <v>106872285.94863805</v>
      </c>
      <c r="B1725">
        <v>253499508.90805441</v>
      </c>
    </row>
    <row r="1726" spans="1:2" x14ac:dyDescent="0.25">
      <c r="A1726">
        <f ca="1">39912.854839268*(RANDBETWEEN(2890,3282))</f>
        <v>130235645.34053159</v>
      </c>
      <c r="B1726">
        <v>227967790.67782301</v>
      </c>
    </row>
    <row r="1727" spans="1:2" x14ac:dyDescent="0.25">
      <c r="A1727">
        <f ca="1">37254.4884177149*(RANDBETWEEN(2890,3282))</f>
        <v>115973222.44434635</v>
      </c>
      <c r="B1727">
        <v>208455522.00225225</v>
      </c>
    </row>
    <row r="1728" spans="1:2" x14ac:dyDescent="0.25">
      <c r="A1728">
        <f ca="1">36443.3239335528*(RANDBETWEEN(2890,3282))</f>
        <v>114760027.06675781</v>
      </c>
      <c r="B1728">
        <v>220876125.48612517</v>
      </c>
    </row>
    <row r="1729" spans="1:2" x14ac:dyDescent="0.25">
      <c r="A1729">
        <f ca="1">39330.380924078*(RANDBETWEEN(2890,3282))</f>
        <v>116771900.96358752</v>
      </c>
      <c r="B1729">
        <v>266154650.09556991</v>
      </c>
    </row>
    <row r="1730" spans="1:2" x14ac:dyDescent="0.25">
      <c r="A1730">
        <f ca="1">33628.488188259*(RANDBETWEEN(2890,3282))</f>
        <v>105021768.61193295</v>
      </c>
      <c r="B1730">
        <v>227505660.94901231</v>
      </c>
    </row>
    <row r="1731" spans="1:2" x14ac:dyDescent="0.25">
      <c r="A1731">
        <f ca="1">41355.7120318204*(RANDBETWEEN(2890,3282))</f>
        <v>135688091.17640266</v>
      </c>
      <c r="B1731">
        <v>219486894.84141484</v>
      </c>
    </row>
    <row r="1732" spans="1:2" x14ac:dyDescent="0.25">
      <c r="A1732">
        <f ca="1">33708.9696555623*(RANDBETWEEN(2890,3282))</f>
        <v>98093101.697686255</v>
      </c>
      <c r="B1732">
        <v>246484454.41284257</v>
      </c>
    </row>
    <row r="1733" spans="1:2" x14ac:dyDescent="0.25">
      <c r="A1733">
        <f ca="1">36021.8429452118*(RANDBETWEEN(2890,3282))</f>
        <v>105147759.55707331</v>
      </c>
      <c r="B1733">
        <v>252892317.5120765</v>
      </c>
    </row>
    <row r="1734" spans="1:2" x14ac:dyDescent="0.25">
      <c r="A1734">
        <f ca="1">31438.5309839883*(RANDBETWEEN(2890,3282))</f>
        <v>101389262.42336217</v>
      </c>
      <c r="B1734">
        <v>236335759.21914196</v>
      </c>
    </row>
    <row r="1735" spans="1:2" x14ac:dyDescent="0.25">
      <c r="A1735">
        <f ca="1">37103.55093329*(RANDBETWEEN(2890,3282))</f>
        <v>113499762.30493423</v>
      </c>
      <c r="B1735">
        <v>257544651.69846448</v>
      </c>
    </row>
    <row r="1736" spans="1:2" x14ac:dyDescent="0.25">
      <c r="A1736">
        <f ca="1">32802.6684211576*(RANDBETWEEN(2890,3282))</f>
        <v>99031255.963474661</v>
      </c>
      <c r="B1736">
        <v>254850008.90269506</v>
      </c>
    </row>
    <row r="1737" spans="1:2" x14ac:dyDescent="0.25">
      <c r="A1737">
        <f ca="1">39801.921329784*(RANDBETWEEN(2890,3282))</f>
        <v>118370914.03477757</v>
      </c>
      <c r="B1737">
        <v>235620775.67607167</v>
      </c>
    </row>
    <row r="1738" spans="1:2" x14ac:dyDescent="0.25">
      <c r="A1738">
        <f ca="1">37555.150923859*(RANDBETWEEN(2890,3282))</f>
        <v>122655122.91732351</v>
      </c>
      <c r="B1738">
        <v>237117791.43874434</v>
      </c>
    </row>
    <row r="1739" spans="1:2" x14ac:dyDescent="0.25">
      <c r="A1739">
        <f ca="1">29978.0961379051*(RANDBETWEEN(2890,3282))</f>
        <v>94131221.873021916</v>
      </c>
      <c r="B1739">
        <v>247855360.5003033</v>
      </c>
    </row>
    <row r="1740" spans="1:2" x14ac:dyDescent="0.25">
      <c r="A1740">
        <f ca="1">32098.460092767*(RANDBETWEEN(2890,3282))</f>
        <v>94208980.37227121</v>
      </c>
      <c r="B1740">
        <v>249086904.45682955</v>
      </c>
    </row>
    <row r="1741" spans="1:2" x14ac:dyDescent="0.25">
      <c r="A1741">
        <f ca="1">36110.366798032*(RANDBETWEEN(2890,3282))</f>
        <v>115192070.08572233</v>
      </c>
      <c r="B1741">
        <v>234679095.75766832</v>
      </c>
    </row>
    <row r="1742" spans="1:2" x14ac:dyDescent="0.25">
      <c r="A1742">
        <f ca="1">31807.2196784916*(RANDBETWEEN(2890,3282))</f>
        <v>97679971.632647797</v>
      </c>
      <c r="B1742">
        <v>258044921.55937818</v>
      </c>
    </row>
    <row r="1743" spans="1:2" x14ac:dyDescent="0.25">
      <c r="A1743">
        <f ca="1">32029.6728587927*(RANDBETWEEN(2890,3282))</f>
        <v>93911000.821980312</v>
      </c>
      <c r="B1743">
        <v>220443380.5502477</v>
      </c>
    </row>
    <row r="1744" spans="1:2" x14ac:dyDescent="0.25">
      <c r="A1744">
        <f ca="1">40972.0227328791*(RANDBETWEEN(2890,3282))</f>
        <v>129225759.69950071</v>
      </c>
      <c r="B1744">
        <v>204070372.88810414</v>
      </c>
    </row>
    <row r="1745" spans="1:2" x14ac:dyDescent="0.25">
      <c r="A1745">
        <f ca="1">32013.0068223938*(RANDBETWEEN(2890,3282))</f>
        <v>93734083.975968987</v>
      </c>
      <c r="B1745">
        <v>229236021.59520188</v>
      </c>
    </row>
    <row r="1746" spans="1:2" x14ac:dyDescent="0.25">
      <c r="A1746">
        <f ca="1">31734.7211396886*(RANDBETWEEN(2890,3282))</f>
        <v>103962946.45361978</v>
      </c>
      <c r="B1746">
        <v>221014567.58176473</v>
      </c>
    </row>
    <row r="1747" spans="1:2" x14ac:dyDescent="0.25">
      <c r="A1747">
        <f ca="1">30475.8640622614*(RANDBETWEEN(2890,3282))</f>
        <v>96760868.397679985</v>
      </c>
      <c r="B1747">
        <v>243490803.79079607</v>
      </c>
    </row>
    <row r="1748" spans="1:2" x14ac:dyDescent="0.25">
      <c r="A1748">
        <f ca="1">33737.4323683745*(RANDBETWEEN(2890,3282))</f>
        <v>101246034.5374918</v>
      </c>
      <c r="B1748">
        <v>262099788.64631802</v>
      </c>
    </row>
    <row r="1749" spans="1:2" x14ac:dyDescent="0.25">
      <c r="A1749">
        <f ca="1">32215.2530767648*(RANDBETWEEN(2890,3282))</f>
        <v>102057921.7471908</v>
      </c>
      <c r="B1749">
        <v>227837377.06896365</v>
      </c>
    </row>
    <row r="1750" spans="1:2" x14ac:dyDescent="0.25">
      <c r="A1750">
        <f ca="1">40714.6268247271*(RANDBETWEEN(2890,3282))</f>
        <v>126988921.06632368</v>
      </c>
      <c r="B1750">
        <v>266889772.25399503</v>
      </c>
    </row>
    <row r="1751" spans="1:2" x14ac:dyDescent="0.25">
      <c r="A1751">
        <f ca="1">36081.0050872187*(RANDBETWEEN(2890,3282))</f>
        <v>112031520.79581404</v>
      </c>
      <c r="B1751">
        <v>214754032.58377302</v>
      </c>
    </row>
    <row r="1752" spans="1:2" x14ac:dyDescent="0.25">
      <c r="A1752">
        <f ca="1">35788.9496684749*(RANDBETWEEN(2890,3282))</f>
        <v>110874166.07293539</v>
      </c>
      <c r="B1752">
        <v>242014349.97897762</v>
      </c>
    </row>
    <row r="1753" spans="1:2" x14ac:dyDescent="0.25">
      <c r="A1753">
        <f ca="1">36360.4959342847*(RANDBETWEEN(2890,3282))</f>
        <v>115117330.12794545</v>
      </c>
      <c r="B1753">
        <v>215189615.4684712</v>
      </c>
    </row>
    <row r="1754" spans="1:2" x14ac:dyDescent="0.25">
      <c r="A1754">
        <f ca="1">42068.2933647039*(RANDBETWEEN(2890,3282))</f>
        <v>123175962.9718529</v>
      </c>
      <c r="B1754">
        <v>246624586.43511152</v>
      </c>
    </row>
    <row r="1755" spans="1:2" x14ac:dyDescent="0.25">
      <c r="A1755">
        <f ca="1">31318.0248472046*(RANDBETWEEN(2890,3282))</f>
        <v>95269431.585196301</v>
      </c>
      <c r="B1755">
        <v>226492259.53974199</v>
      </c>
    </row>
    <row r="1756" spans="1:2" x14ac:dyDescent="0.25">
      <c r="A1756">
        <f ca="1">33304.5844812234*(RANDBETWEEN(2890,3282))</f>
        <v>99314270.923008442</v>
      </c>
      <c r="B1756">
        <v>220044050.67780459</v>
      </c>
    </row>
    <row r="1757" spans="1:2" x14ac:dyDescent="0.25">
      <c r="A1757">
        <f ca="1">35793.940308669*(RANDBETWEEN(2890,3282))</f>
        <v>115220693.85360563</v>
      </c>
      <c r="B1757">
        <v>249456090.34606516</v>
      </c>
    </row>
    <row r="1758" spans="1:2" x14ac:dyDescent="0.25">
      <c r="A1758">
        <f ca="1">38968.6041269194*(RANDBETWEEN(2890,3282))</f>
        <v>127778052.93216872</v>
      </c>
      <c r="B1758">
        <v>230003389.78774124</v>
      </c>
    </row>
    <row r="1759" spans="1:2" x14ac:dyDescent="0.25">
      <c r="A1759">
        <f ca="1">38488.0761301585*(RANDBETWEEN(2890,3282))</f>
        <v>113578312.66009767</v>
      </c>
      <c r="B1759">
        <v>259369036.70491815</v>
      </c>
    </row>
    <row r="1760" spans="1:2" x14ac:dyDescent="0.25">
      <c r="A1760">
        <f ca="1">32311.5313865472*(RANDBETWEEN(2890,3282))</f>
        <v>95286706.058927715</v>
      </c>
      <c r="B1760">
        <v>261482284.47229204</v>
      </c>
    </row>
    <row r="1761" spans="1:2" x14ac:dyDescent="0.25">
      <c r="A1761">
        <f ca="1">33766.5605750355*(RANDBETWEEN(2890,3282))</f>
        <v>107039997.02286248</v>
      </c>
      <c r="B1761">
        <v>234394680.96543998</v>
      </c>
    </row>
    <row r="1762" spans="1:2" x14ac:dyDescent="0.25">
      <c r="A1762">
        <f ca="1">42010.1866623747*(RANDBETWEEN(2890,3282))</f>
        <v>130021527.72004969</v>
      </c>
      <c r="B1762">
        <v>231027765.46902314</v>
      </c>
    </row>
    <row r="1763" spans="1:2" x14ac:dyDescent="0.25">
      <c r="A1763">
        <f ca="1">33589.3267300654*(RANDBETWEEN(2890,3282))</f>
        <v>99088513.853692859</v>
      </c>
      <c r="B1763">
        <v>248474711.65471399</v>
      </c>
    </row>
    <row r="1764" spans="1:2" x14ac:dyDescent="0.25">
      <c r="A1764">
        <f ca="1">33551.1115897084*(RANDBETWEEN(2890,3282))</f>
        <v>100519130.32276629</v>
      </c>
      <c r="B1764">
        <v>240675022.32521725</v>
      </c>
    </row>
    <row r="1765" spans="1:2" x14ac:dyDescent="0.25">
      <c r="A1765">
        <f ca="1">30362.3222114199*(RANDBETWEEN(2890,3282))</f>
        <v>97736315.19856061</v>
      </c>
      <c r="B1765">
        <v>208198938.02592319</v>
      </c>
    </row>
    <row r="1766" spans="1:2" x14ac:dyDescent="0.25">
      <c r="A1766">
        <f ca="1">32581.0808919097*(RANDBETWEEN(2890,3282))</f>
        <v>96798391.329863608</v>
      </c>
      <c r="B1766">
        <v>246509749.15776306</v>
      </c>
    </row>
    <row r="1767" spans="1:2" x14ac:dyDescent="0.25">
      <c r="A1767">
        <f ca="1">37624.0906271041*(RANDBETWEEN(2890,3282))</f>
        <v>120886203.18488543</v>
      </c>
      <c r="B1767">
        <v>208340717.40245369</v>
      </c>
    </row>
    <row r="1768" spans="1:2" x14ac:dyDescent="0.25">
      <c r="A1768">
        <f ca="1">34517.3537630437*(RANDBETWEEN(2890,3282))</f>
        <v>106002793.40630734</v>
      </c>
      <c r="B1768">
        <v>219015523.91933402</v>
      </c>
    </row>
    <row r="1769" spans="1:2" x14ac:dyDescent="0.25">
      <c r="A1769">
        <f ca="1">37219.3222890602*(RANDBETWEEN(2890,3282))</f>
        <v>119027392.68041456</v>
      </c>
      <c r="B1769">
        <v>234047785.17739543</v>
      </c>
    </row>
    <row r="1770" spans="1:2" x14ac:dyDescent="0.25">
      <c r="A1770">
        <f ca="1">32204.0886848795*(RANDBETWEEN(2890,3282))</f>
        <v>98512307.287046269</v>
      </c>
      <c r="B1770">
        <v>240726372.16005647</v>
      </c>
    </row>
    <row r="1771" spans="1:2" x14ac:dyDescent="0.25">
      <c r="A1771">
        <f ca="1">28781.5807848533*(RANDBETWEEN(2890,3282))</f>
        <v>86373523.935344681</v>
      </c>
      <c r="B1771">
        <v>259459492.39074415</v>
      </c>
    </row>
    <row r="1772" spans="1:2" x14ac:dyDescent="0.25">
      <c r="A1772">
        <f ca="1">35816.3690275287*(RANDBETWEEN(2890,3282))</f>
        <v>112355949.63935745</v>
      </c>
      <c r="B1772">
        <v>236184562.71707842</v>
      </c>
    </row>
    <row r="1773" spans="1:2" x14ac:dyDescent="0.25">
      <c r="A1773">
        <f ca="1">30832.934383797*(RANDBETWEEN(2890,3282))</f>
        <v>99004552.306372017</v>
      </c>
      <c r="B1773">
        <v>221560582.13314325</v>
      </c>
    </row>
    <row r="1774" spans="1:2" x14ac:dyDescent="0.25">
      <c r="A1774">
        <f ca="1">27696.0123999888*(RANDBETWEEN(2890,3282))</f>
        <v>83946613.584366173</v>
      </c>
      <c r="B1774">
        <v>229503744.86791682</v>
      </c>
    </row>
    <row r="1775" spans="1:2" x14ac:dyDescent="0.25">
      <c r="A1775">
        <f ca="1">41574.9425619819*(RANDBETWEEN(2890,3282))</f>
        <v>120941507.9128052</v>
      </c>
      <c r="B1775">
        <v>231973400.22302637</v>
      </c>
    </row>
    <row r="1776" spans="1:2" x14ac:dyDescent="0.25">
      <c r="A1776">
        <f ca="1">29687.4762377278*(RANDBETWEEN(2890,3282))</f>
        <v>93070238.005276516</v>
      </c>
      <c r="B1776">
        <v>253671538.53721836</v>
      </c>
    </row>
    <row r="1777" spans="1:2" x14ac:dyDescent="0.25">
      <c r="A1777">
        <f ca="1">41529.4817917435*(RANDBETWEEN(2890,3282))</f>
        <v>128949040.96336342</v>
      </c>
      <c r="B1777">
        <v>215256081.00354093</v>
      </c>
    </row>
    <row r="1778" spans="1:2" x14ac:dyDescent="0.25">
      <c r="A1778">
        <f ca="1">33182.842378402*(RANDBETWEEN(2890,3282))</f>
        <v>100809475.14558533</v>
      </c>
      <c r="B1778">
        <v>235037431.05308443</v>
      </c>
    </row>
    <row r="1779" spans="1:2" x14ac:dyDescent="0.25">
      <c r="A1779">
        <f ca="1">38420.1582308071*(RANDBETWEEN(2890,3282))</f>
        <v>118871969.56611708</v>
      </c>
      <c r="B1779">
        <v>210198644.13333294</v>
      </c>
    </row>
    <row r="1780" spans="1:2" x14ac:dyDescent="0.25">
      <c r="A1780">
        <f ca="1">35198.6558641441*(RANDBETWEEN(2890,3282))</f>
        <v>109538217.04921651</v>
      </c>
      <c r="B1780">
        <v>215116931.76346865</v>
      </c>
    </row>
    <row r="1781" spans="1:2" x14ac:dyDescent="0.25">
      <c r="A1781">
        <f ca="1">41549.5282968645*(RANDBETWEEN(2890,3282))</f>
        <v>127681700.45626447</v>
      </c>
      <c r="B1781">
        <v>250536508.553321</v>
      </c>
    </row>
    <row r="1782" spans="1:2" x14ac:dyDescent="0.25">
      <c r="A1782">
        <f ca="1">35021.3553557975*(RANDBETWEEN(2890,3282))</f>
        <v>111858209.00641711</v>
      </c>
      <c r="B1782">
        <v>211573642.37580609</v>
      </c>
    </row>
    <row r="1783" spans="1:2" x14ac:dyDescent="0.25">
      <c r="A1783">
        <f ca="1">31773.7937828843*(RANDBETWEEN(2890,3282))</f>
        <v>101104211.81713794</v>
      </c>
      <c r="B1783">
        <v>246524754.90109718</v>
      </c>
    </row>
    <row r="1784" spans="1:2" x14ac:dyDescent="0.25">
      <c r="A1784">
        <f ca="1">29932.0773991323*(RANDBETWEEN(2890,3282))</f>
        <v>96800338.308793798</v>
      </c>
      <c r="B1784">
        <v>242616354.20282906</v>
      </c>
    </row>
    <row r="1785" spans="1:2" x14ac:dyDescent="0.25">
      <c r="A1785">
        <f ca="1">30875.4985709449*(RANDBETWEEN(2890,3282))</f>
        <v>98122334.458462745</v>
      </c>
      <c r="B1785">
        <v>259233442.41435689</v>
      </c>
    </row>
    <row r="1786" spans="1:2" x14ac:dyDescent="0.25">
      <c r="A1786">
        <f ca="1">31660.4374181374*(RANDBETWEEN(2890,3282))</f>
        <v>96121088.001465127</v>
      </c>
      <c r="B1786">
        <v>203876278.46972266</v>
      </c>
    </row>
    <row r="1787" spans="1:2" x14ac:dyDescent="0.25">
      <c r="A1787">
        <f ca="1">39163.2733291883*(RANDBETWEEN(2890,3282))</f>
        <v>121171167.6805086</v>
      </c>
      <c r="B1787">
        <v>219818952.57533067</v>
      </c>
    </row>
    <row r="1788" spans="1:2" x14ac:dyDescent="0.25">
      <c r="A1788">
        <f ca="1">35825.9566429503*(RANDBETWEEN(2890,3282))</f>
        <v>106080657.61977574</v>
      </c>
      <c r="B1788">
        <v>260819743.69888204</v>
      </c>
    </row>
    <row r="1789" spans="1:2" x14ac:dyDescent="0.25">
      <c r="A1789">
        <f ca="1">32499.7359454566*(RANDBETWEEN(2890,3282))</f>
        <v>102699165.5876428</v>
      </c>
      <c r="B1789">
        <v>215127434.31361583</v>
      </c>
    </row>
    <row r="1790" spans="1:2" x14ac:dyDescent="0.25">
      <c r="A1790">
        <f ca="1">33048.9123180102*(RANDBETWEEN(2890,3282))</f>
        <v>97593438.07508415</v>
      </c>
      <c r="B1790">
        <v>211821894.96038651</v>
      </c>
    </row>
    <row r="1791" spans="1:2" x14ac:dyDescent="0.25">
      <c r="A1791">
        <f ca="1">42320.0151939257*(RANDBETWEEN(2890,3282))</f>
        <v>125436525.03479584</v>
      </c>
      <c r="B1791">
        <v>264459336.56503648</v>
      </c>
    </row>
    <row r="1792" spans="1:2" x14ac:dyDescent="0.25">
      <c r="A1792">
        <f ca="1">29861.6355360028*(RANDBETWEEN(2890,3282))</f>
        <v>89823799.692296475</v>
      </c>
      <c r="B1792">
        <v>205462036.25109187</v>
      </c>
    </row>
    <row r="1793" spans="1:2" x14ac:dyDescent="0.25">
      <c r="A1793">
        <f ca="1">31726.3356805401*(RANDBETWEEN(2890,3282))</f>
        <v>101397368.83500643</v>
      </c>
      <c r="B1793">
        <v>209077423.23262075</v>
      </c>
    </row>
    <row r="1794" spans="1:2" x14ac:dyDescent="0.25">
      <c r="A1794">
        <f ca="1">35300.5888974303*(RANDBETWEEN(2890,3282))</f>
        <v>104101436.65852208</v>
      </c>
      <c r="B1794">
        <v>264213146.27551046</v>
      </c>
    </row>
    <row r="1795" spans="1:2" x14ac:dyDescent="0.25">
      <c r="A1795">
        <f ca="1">30101.2594375006*(RANDBETWEEN(2890,3282))</f>
        <v>91146613.576751903</v>
      </c>
      <c r="B1795">
        <v>262029173.40253657</v>
      </c>
    </row>
    <row r="1796" spans="1:2" x14ac:dyDescent="0.25">
      <c r="A1796">
        <f ca="1">30159.9405368198*(RANDBETWEEN(2890,3282))</f>
        <v>92017978.577837318</v>
      </c>
      <c r="B1796">
        <v>211177059.58522135</v>
      </c>
    </row>
    <row r="1797" spans="1:2" x14ac:dyDescent="0.25">
      <c r="A1797">
        <f ca="1">32135.092282824*(RANDBETWEEN(2890,3282))</f>
        <v>98140571.831744388</v>
      </c>
      <c r="B1797">
        <v>243376889.11882111</v>
      </c>
    </row>
    <row r="1798" spans="1:2" x14ac:dyDescent="0.25">
      <c r="A1798">
        <f ca="1">29538.1475251011*(RANDBETWEEN(2890,3282))</f>
        <v>95998979.456578702</v>
      </c>
      <c r="B1798">
        <v>212975545.96255225</v>
      </c>
    </row>
    <row r="1799" spans="1:2" x14ac:dyDescent="0.25">
      <c r="A1799">
        <f ca="1">33476.1539514244*(RANDBETWEEN(2890,3282))</f>
        <v>101499698.78071891</v>
      </c>
      <c r="B1799">
        <v>256522868.04074207</v>
      </c>
    </row>
    <row r="1800" spans="1:2" x14ac:dyDescent="0.25">
      <c r="A1800">
        <f ca="1">30985.5057641998*(RANDBETWEEN(2890,3282))</f>
        <v>101322603.84893349</v>
      </c>
      <c r="B1800">
        <v>266803099.92274857</v>
      </c>
    </row>
    <row r="1801" spans="1:2" x14ac:dyDescent="0.25">
      <c r="A1801">
        <f ca="1">31733.4012833718*(RANDBETWEEN(2890,3282))</f>
        <v>92820198.753862649</v>
      </c>
      <c r="B1801">
        <v>225626136.80017519</v>
      </c>
    </row>
    <row r="1802" spans="1:2" x14ac:dyDescent="0.25">
      <c r="A1802">
        <f ca="1">35399.5708568688*(RANDBETWEEN(2890,3282))</f>
        <v>107827092.83002236</v>
      </c>
      <c r="B1802">
        <v>256959596.94706377</v>
      </c>
    </row>
    <row r="1803" spans="1:2" x14ac:dyDescent="0.25">
      <c r="A1803">
        <f ca="1">30419.9045338674*(RANDBETWEEN(2890,3282))</f>
        <v>99686027.157483444</v>
      </c>
      <c r="B1803">
        <v>262956732.82404089</v>
      </c>
    </row>
    <row r="1804" spans="1:2" x14ac:dyDescent="0.25">
      <c r="A1804">
        <f ca="1">31586.0102800571*(RANDBETWEEN(2890,3282))</f>
        <v>94063138.614010066</v>
      </c>
      <c r="B1804">
        <v>232186484.5907048</v>
      </c>
    </row>
    <row r="1805" spans="1:2" x14ac:dyDescent="0.25">
      <c r="A1805">
        <f ca="1">35190.5937660241*(RANDBETWEEN(2890,3282))</f>
        <v>112328375.30114897</v>
      </c>
      <c r="B1805">
        <v>265553031.55543345</v>
      </c>
    </row>
    <row r="1806" spans="1:2" x14ac:dyDescent="0.25">
      <c r="A1806">
        <f ca="1">33589.054630143*(RANDBETWEEN(2890,3282))</f>
        <v>105368864.37475857</v>
      </c>
      <c r="B1806">
        <v>241790227.57687113</v>
      </c>
    </row>
    <row r="1807" spans="1:2" x14ac:dyDescent="0.25">
      <c r="A1807">
        <f ca="1">28961.8164978111*(RANDBETWEEN(2890,3282))</f>
        <v>85089816.870569095</v>
      </c>
      <c r="B1807">
        <v>260470243.70174989</v>
      </c>
    </row>
    <row r="1808" spans="1:2" x14ac:dyDescent="0.25">
      <c r="A1808">
        <f ca="1">32384.2548056947*(RANDBETWEEN(2890,3282))</f>
        <v>105151675.35409102</v>
      </c>
      <c r="B1808">
        <v>264814494.40057203</v>
      </c>
    </row>
    <row r="1809" spans="1:2" x14ac:dyDescent="0.25">
      <c r="A1809">
        <f ca="1">37952.0637145496*(RANDBETWEEN(2890,3282))</f>
        <v>122053836.90599158</v>
      </c>
      <c r="B1809">
        <v>262011116.43615323</v>
      </c>
    </row>
    <row r="1810" spans="1:2" x14ac:dyDescent="0.25">
      <c r="A1810">
        <f ca="1">32776.0170048891*(RANDBETWEEN(2890,3282))</f>
        <v>97803634.742588952</v>
      </c>
      <c r="B1810">
        <v>203961678.15032455</v>
      </c>
    </row>
    <row r="1811" spans="1:2" x14ac:dyDescent="0.25">
      <c r="A1811">
        <f ca="1">31584.6972516053*(RANDBETWEEN(2890,3282))</f>
        <v>93964474.323525682</v>
      </c>
      <c r="B1811">
        <v>224452848.20314479</v>
      </c>
    </row>
    <row r="1812" spans="1:2" x14ac:dyDescent="0.25">
      <c r="A1812">
        <f ca="1">33786.7795151077*(RANDBETWEEN(2890,3282))</f>
        <v>106259421.57501371</v>
      </c>
      <c r="B1812">
        <v>258280822.23054233</v>
      </c>
    </row>
    <row r="1813" spans="1:2" x14ac:dyDescent="0.25">
      <c r="A1813">
        <f ca="1">33736.385665337*(RANDBETWEEN(2890,3282))</f>
        <v>97902991.200807855</v>
      </c>
      <c r="B1813">
        <v>228727676.31335765</v>
      </c>
    </row>
    <row r="1814" spans="1:2" x14ac:dyDescent="0.25">
      <c r="A1814">
        <f ca="1">39241.06849681*(RANDBETWEEN(2890,3282))</f>
        <v>121882758.75109182</v>
      </c>
      <c r="B1814">
        <v>235646448.43499991</v>
      </c>
    </row>
    <row r="1815" spans="1:2" x14ac:dyDescent="0.25">
      <c r="A1815">
        <f ca="1">30538.2682447933*(RANDBETWEEN(2890,3282))</f>
        <v>99005065.649619743</v>
      </c>
      <c r="B1815">
        <v>218092743.91886431</v>
      </c>
    </row>
    <row r="1816" spans="1:2" x14ac:dyDescent="0.25">
      <c r="A1816">
        <f ca="1">29559.2633687146*(RANDBETWEEN(2890,3282))</f>
        <v>85692304.505903527</v>
      </c>
      <c r="B1816">
        <v>224823711.41909939</v>
      </c>
    </row>
    <row r="1817" spans="1:2" x14ac:dyDescent="0.25">
      <c r="A1817">
        <f ca="1">39217.6845349481*(RANDBETWEEN(2890,3282))</f>
        <v>120633597.62950033</v>
      </c>
      <c r="B1817">
        <v>225377825.87437722</v>
      </c>
    </row>
    <row r="1818" spans="1:2" x14ac:dyDescent="0.25">
      <c r="A1818">
        <f ca="1">40722.8000683624*(RANDBETWEEN(2890,3282))</f>
        <v>125181887.41014612</v>
      </c>
      <c r="B1818">
        <v>219801795.26026404</v>
      </c>
    </row>
    <row r="1819" spans="1:2" x14ac:dyDescent="0.25">
      <c r="A1819">
        <f ca="1">35109.9794468981*(RANDBETWEEN(2890,3282))</f>
        <v>115090512.62693213</v>
      </c>
      <c r="B1819">
        <v>228825333.29671109</v>
      </c>
    </row>
    <row r="1820" spans="1:2" x14ac:dyDescent="0.25">
      <c r="A1820">
        <f ca="1">37900.594913669*(RANDBETWEEN(2890,3282))</f>
        <v>121850412.64744589</v>
      </c>
      <c r="B1820">
        <v>216331515.81088078</v>
      </c>
    </row>
    <row r="1821" spans="1:2" x14ac:dyDescent="0.25">
      <c r="A1821">
        <f ca="1">31139.8006636074*(RANDBETWEEN(2890,3282))</f>
        <v>92111530.362950757</v>
      </c>
      <c r="B1821">
        <v>259231141.89058888</v>
      </c>
    </row>
    <row r="1822" spans="1:2" x14ac:dyDescent="0.25">
      <c r="A1822">
        <f ca="1">32603.55961254*(RANDBETWEEN(2890,3282))</f>
        <v>99473460.377859518</v>
      </c>
      <c r="B1822">
        <v>255859364.98011193</v>
      </c>
    </row>
    <row r="1823" spans="1:2" x14ac:dyDescent="0.25">
      <c r="A1823">
        <f ca="1">32680.6516532477*(RANDBETWEEN(2890,3282))</f>
        <v>96113796.512201414</v>
      </c>
      <c r="B1823">
        <v>220957351.63709602</v>
      </c>
    </row>
    <row r="1824" spans="1:2" x14ac:dyDescent="0.25">
      <c r="A1824">
        <f ca="1">33708.7407342639*(RANDBETWEEN(2890,3282))</f>
        <v>97822765.610833749</v>
      </c>
      <c r="B1824">
        <v>204822684.69952875</v>
      </c>
    </row>
    <row r="1825" spans="1:2" x14ac:dyDescent="0.25">
      <c r="A1825">
        <f ca="1">34219.2744173342*(RANDBETWEEN(2890,3282))</f>
        <v>100775763.15904926</v>
      </c>
      <c r="B1825">
        <v>216108706.2860747</v>
      </c>
    </row>
    <row r="1826" spans="1:2" x14ac:dyDescent="0.25">
      <c r="A1826">
        <f ca="1">30852.6519054253*(RANDBETWEEN(2890,3282))</f>
        <v>93915472.400114611</v>
      </c>
      <c r="B1826">
        <v>260994596.04426402</v>
      </c>
    </row>
    <row r="1827" spans="1:2" x14ac:dyDescent="0.25">
      <c r="A1827">
        <f ca="1">35054.6631700179*(RANDBETWEEN(2890,3282))</f>
        <v>102955545.73034255</v>
      </c>
      <c r="B1827">
        <v>266766857.12430963</v>
      </c>
    </row>
    <row r="1828" spans="1:2" x14ac:dyDescent="0.25">
      <c r="A1828">
        <f ca="1">34744.0844468225*(RANDBETWEEN(2890,3282))</f>
        <v>110034515.44308682</v>
      </c>
      <c r="B1828">
        <v>218676547.30123365</v>
      </c>
    </row>
    <row r="1829" spans="1:2" x14ac:dyDescent="0.25">
      <c r="A1829">
        <f ca="1">31351.132302189*(RANDBETWEEN(2890,3282))</f>
        <v>95840411.447791845</v>
      </c>
      <c r="B1829">
        <v>211963879.2800318</v>
      </c>
    </row>
    <row r="1830" spans="1:2" x14ac:dyDescent="0.25">
      <c r="A1830">
        <f ca="1">31833.4100048354*(RANDBETWEEN(2890,3282))</f>
        <v>97091900.514747858</v>
      </c>
      <c r="B1830">
        <v>267087354.71691608</v>
      </c>
    </row>
    <row r="1831" spans="1:2" x14ac:dyDescent="0.25">
      <c r="A1831">
        <f ca="1">28390.0541437385*(RANDBETWEEN(2890,3282))</f>
        <v>90337152.285376057</v>
      </c>
      <c r="B1831">
        <v>256901525.8498596</v>
      </c>
    </row>
    <row r="1832" spans="1:2" x14ac:dyDescent="0.25">
      <c r="A1832">
        <f ca="1">39935.3410910593*(RANDBETWEEN(2890,3282))</f>
        <v>118168674.28844444</v>
      </c>
      <c r="B1832">
        <v>206464871.11654213</v>
      </c>
    </row>
    <row r="1833" spans="1:2" x14ac:dyDescent="0.25">
      <c r="A1833">
        <f ca="1">35592.9690179259*(RANDBETWEEN(2890,3282))</f>
        <v>115890707.1223668</v>
      </c>
      <c r="B1833">
        <v>230297477.68686479</v>
      </c>
    </row>
    <row r="1834" spans="1:2" x14ac:dyDescent="0.25">
      <c r="A1834">
        <f ca="1">32046.0837142616*(RANDBETWEEN(2890,3282))</f>
        <v>103476804.31335086</v>
      </c>
      <c r="B1834">
        <v>241555436.23303258</v>
      </c>
    </row>
    <row r="1835" spans="1:2" x14ac:dyDescent="0.25">
      <c r="A1835">
        <f ca="1">35731.7475848177*(RANDBETWEEN(2890,3282))</f>
        <v>111554515.95980099</v>
      </c>
      <c r="B1835">
        <v>211515161.53798178</v>
      </c>
    </row>
    <row r="1836" spans="1:2" x14ac:dyDescent="0.25">
      <c r="A1836">
        <f ca="1">31147.6605216373*(RANDBETWEEN(2890,3282))</f>
        <v>99329889.403501377</v>
      </c>
      <c r="B1836">
        <v>254643231.49043095</v>
      </c>
    </row>
    <row r="1837" spans="1:2" x14ac:dyDescent="0.25">
      <c r="A1837">
        <f ca="1">38230.185108539*(RANDBETWEEN(2890,3282))</f>
        <v>114881706.25115971</v>
      </c>
      <c r="B1837">
        <v>261438809.0182761</v>
      </c>
    </row>
    <row r="1838" spans="1:2" x14ac:dyDescent="0.25">
      <c r="A1838">
        <f ca="1">32765.7632042614*(RANDBETWEEN(2890,3282))</f>
        <v>102786199.17176811</v>
      </c>
      <c r="B1838">
        <v>216379145.56332046</v>
      </c>
    </row>
    <row r="1839" spans="1:2" x14ac:dyDescent="0.25">
      <c r="A1839">
        <f ca="1">34780.8121345489*(RANDBETWEEN(2890,3282))</f>
        <v>108446572.2355234</v>
      </c>
      <c r="B1839">
        <v>218523556.5897463</v>
      </c>
    </row>
    <row r="1840" spans="1:2" x14ac:dyDescent="0.25">
      <c r="A1840">
        <f ca="1">35700.1502861122*(RANDBETWEEN(2890,3282))</f>
        <v>113669278.51098126</v>
      </c>
      <c r="B1840">
        <v>250373221.26195669</v>
      </c>
    </row>
    <row r="1841" spans="1:2" x14ac:dyDescent="0.25">
      <c r="A1841">
        <f ca="1">39349.8763189746*(RANDBETWEEN(2890,3282))</f>
        <v>120410621.53606221</v>
      </c>
      <c r="B1841">
        <v>238572653.19491756</v>
      </c>
    </row>
    <row r="1842" spans="1:2" x14ac:dyDescent="0.25">
      <c r="A1842">
        <f ca="1">32805.0660443447*(RANDBETWEEN(2890,3282))</f>
        <v>98087147.472590566</v>
      </c>
      <c r="B1842">
        <v>249987889.72795433</v>
      </c>
    </row>
    <row r="1843" spans="1:2" x14ac:dyDescent="0.25">
      <c r="A1843">
        <f ca="1">31264.6674264341*(RANDBETWEEN(2890,3282))</f>
        <v>101203728.4593671</v>
      </c>
      <c r="B1843">
        <v>259098000.08781552</v>
      </c>
    </row>
    <row r="1844" spans="1:2" x14ac:dyDescent="0.25">
      <c r="A1844">
        <f ca="1">32341.0517514599*(RANDBETWEEN(2890,3282))</f>
        <v>100483647.79178579</v>
      </c>
      <c r="B1844">
        <v>223904843.58136231</v>
      </c>
    </row>
    <row r="1845" spans="1:2" x14ac:dyDescent="0.25">
      <c r="A1845">
        <f ca="1">31923.5404910072*(RANDBETWEEN(2890,3282))</f>
        <v>102187253.11171407</v>
      </c>
      <c r="B1845">
        <v>246173776.63506731</v>
      </c>
    </row>
    <row r="1846" spans="1:2" x14ac:dyDescent="0.25">
      <c r="A1846">
        <f ca="1">39665.1847559928*(RANDBETWEEN(2890,3282))</f>
        <v>124747006.05759732</v>
      </c>
      <c r="B1846">
        <v>227061193.3767786</v>
      </c>
    </row>
    <row r="1847" spans="1:2" x14ac:dyDescent="0.25">
      <c r="A1847">
        <f ca="1">40494.8869104305*(RANDBETWEEN(2890,3282))</f>
        <v>126748996.02964744</v>
      </c>
      <c r="B1847">
        <v>220404375.06122959</v>
      </c>
    </row>
    <row r="1848" spans="1:2" x14ac:dyDescent="0.25">
      <c r="A1848">
        <f ca="1">38985.6055591683*(RANDBETWEEN(2890,3282))</f>
        <v>121245233.2890134</v>
      </c>
      <c r="B1848">
        <v>214159033.25234362</v>
      </c>
    </row>
    <row r="1849" spans="1:2" x14ac:dyDescent="0.25">
      <c r="A1849">
        <f ca="1">35190.2813293085*(RANDBETWEEN(2890,3282))</f>
        <v>112362568.28448212</v>
      </c>
      <c r="B1849">
        <v>232558848.16550145</v>
      </c>
    </row>
    <row r="1850" spans="1:2" x14ac:dyDescent="0.25">
      <c r="A1850">
        <f ca="1">36819.9509016639*(RANDBETWEEN(2890,3282))</f>
        <v>110165293.0977785</v>
      </c>
      <c r="B1850">
        <v>251520234.0974943</v>
      </c>
    </row>
    <row r="1851" spans="1:2" x14ac:dyDescent="0.25">
      <c r="A1851">
        <f ca="1">35835.3188729729*(RANDBETWEEN(2890,3282))</f>
        <v>108007651.08314028</v>
      </c>
      <c r="B1851">
        <v>254967871.69769889</v>
      </c>
    </row>
    <row r="1852" spans="1:2" x14ac:dyDescent="0.25">
      <c r="A1852">
        <f ca="1">28553.7101008037*(RANDBETWEEN(2890,3282))</f>
        <v>88916253.253902838</v>
      </c>
      <c r="B1852">
        <v>229363971.69599658</v>
      </c>
    </row>
    <row r="1853" spans="1:2" x14ac:dyDescent="0.25">
      <c r="A1853">
        <f ca="1">32164.6053171712*(RANDBETWEEN(2890,3282))</f>
        <v>104470638.07017219</v>
      </c>
      <c r="B1853">
        <v>263617659.38953996</v>
      </c>
    </row>
    <row r="1854" spans="1:2" x14ac:dyDescent="0.25">
      <c r="A1854">
        <f ca="1">34540.8478234767*(RANDBETWEEN(2890,3282))</f>
        <v>100410244.62284674</v>
      </c>
      <c r="B1854">
        <v>209023529.08375967</v>
      </c>
    </row>
    <row r="1855" spans="1:2" x14ac:dyDescent="0.25">
      <c r="A1855">
        <f ca="1">41394.6664350235*(RANDBETWEEN(2890,3282))</f>
        <v>121162188.65531366</v>
      </c>
      <c r="B1855">
        <v>264689871.50959414</v>
      </c>
    </row>
    <row r="1856" spans="1:2" x14ac:dyDescent="0.25">
      <c r="A1856">
        <f ca="1">38128.2825743579*(RANDBETWEEN(2890,3282))</f>
        <v>117168212.35100177</v>
      </c>
      <c r="B1856">
        <v>263274351.33456439</v>
      </c>
    </row>
    <row r="1857" spans="1:2" x14ac:dyDescent="0.25">
      <c r="A1857">
        <f ca="1">37446.2871476082*(RANDBETWEEN(2890,3282))</f>
        <v>116158382.73188053</v>
      </c>
      <c r="B1857">
        <v>234551596.94879803</v>
      </c>
    </row>
    <row r="1858" spans="1:2" x14ac:dyDescent="0.25">
      <c r="A1858">
        <f ca="1">42018.7995334938*(RANDBETWEEN(2890,3282))</f>
        <v>134754290.10391462</v>
      </c>
      <c r="B1858">
        <v>245345784.04857892</v>
      </c>
    </row>
    <row r="1859" spans="1:2" x14ac:dyDescent="0.25">
      <c r="A1859">
        <f ca="1">31253.2502143452*(RANDBETWEEN(2890,3282))</f>
        <v>93415964.89067781</v>
      </c>
      <c r="B1859">
        <v>216081859.84473935</v>
      </c>
    </row>
    <row r="1860" spans="1:2" x14ac:dyDescent="0.25">
      <c r="A1860">
        <f ca="1">31875.0833840659*(RANDBETWEEN(2890,3282))</f>
        <v>97633380.405393958</v>
      </c>
      <c r="B1860">
        <v>222751199.76989523</v>
      </c>
    </row>
    <row r="1861" spans="1:2" x14ac:dyDescent="0.25">
      <c r="A1861">
        <f ca="1">34794.9221023131*(RANDBETWEEN(2890,3282))</f>
        <v>107481514.37404528</v>
      </c>
      <c r="B1861">
        <v>240615376.80904537</v>
      </c>
    </row>
    <row r="1862" spans="1:2" x14ac:dyDescent="0.25">
      <c r="A1862">
        <f ca="1">33675.0666878764*(RANDBETWEEN(2890,3282))</f>
        <v>110016442.86929227</v>
      </c>
      <c r="B1862">
        <v>217429087.04853433</v>
      </c>
    </row>
    <row r="1863" spans="1:2" x14ac:dyDescent="0.25">
      <c r="A1863">
        <f ca="1">31970.5480821157*(RANDBETWEEN(2890,3282))</f>
        <v>93865529.169091716</v>
      </c>
      <c r="B1863">
        <v>234709944.53619388</v>
      </c>
    </row>
    <row r="1864" spans="1:2" x14ac:dyDescent="0.25">
      <c r="A1864">
        <f ca="1">31222.9094940474*(RANDBETWEEN(2890,3282))</f>
        <v>92544703.740356386</v>
      </c>
      <c r="B1864">
        <v>260442146.27193898</v>
      </c>
    </row>
    <row r="1865" spans="1:2" x14ac:dyDescent="0.25">
      <c r="A1865">
        <f ca="1">39989.8071265199*(RANDBETWEEN(2890,3282))</f>
        <v>119289594.65840879</v>
      </c>
      <c r="B1865">
        <v>215663105.51028478</v>
      </c>
    </row>
    <row r="1866" spans="1:2" x14ac:dyDescent="0.25">
      <c r="A1866">
        <f ca="1">40099.6740183537*(RANDBETWEEN(2890,3282))</f>
        <v>129963043.49348447</v>
      </c>
      <c r="B1866">
        <v>249935839.92224458</v>
      </c>
    </row>
    <row r="1867" spans="1:2" x14ac:dyDescent="0.25">
      <c r="A1867">
        <f ca="1">36230.6961020062*(RANDBETWEEN(2890,3282))</f>
        <v>114054231.32911561</v>
      </c>
      <c r="B1867">
        <v>213799110.33587164</v>
      </c>
    </row>
    <row r="1868" spans="1:2" x14ac:dyDescent="0.25">
      <c r="A1868">
        <f ca="1">37271.9285224578*(RANDBETWEEN(2890,3282))</f>
        <v>114909355.63473739</v>
      </c>
      <c r="B1868">
        <v>246401328.52839386</v>
      </c>
    </row>
    <row r="1869" spans="1:2" x14ac:dyDescent="0.25">
      <c r="A1869">
        <f ca="1">36980.0388573873*(RANDBETWEEN(2890,3282))</f>
        <v>114231340.03046943</v>
      </c>
      <c r="B1869">
        <v>246839649.73142701</v>
      </c>
    </row>
    <row r="1870" spans="1:2" x14ac:dyDescent="0.25">
      <c r="A1870">
        <f ca="1">37713.4221836072*(RANDBETWEEN(2890,3282))</f>
        <v>115327645.03747083</v>
      </c>
      <c r="B1870">
        <v>265135774.2733435</v>
      </c>
    </row>
    <row r="1871" spans="1:2" x14ac:dyDescent="0.25">
      <c r="A1871">
        <f ca="1">32361.948416702*(RANDBETWEEN(2890,3282))</f>
        <v>93655478.717935562</v>
      </c>
      <c r="B1871">
        <v>245405634.20305645</v>
      </c>
    </row>
    <row r="1872" spans="1:2" x14ac:dyDescent="0.25">
      <c r="A1872">
        <f ca="1">30291.5098057831*(RANDBETWEEN(2890,3282))</f>
        <v>92086189.809580535</v>
      </c>
      <c r="B1872">
        <v>219288097.70948923</v>
      </c>
    </row>
    <row r="1873" spans="1:2" x14ac:dyDescent="0.25">
      <c r="A1873">
        <f ca="1">39388.065575081*(RANDBETWEEN(2890,3282))</f>
        <v>116116017.31533866</v>
      </c>
      <c r="B1873">
        <v>245047238.42102844</v>
      </c>
    </row>
    <row r="1874" spans="1:2" x14ac:dyDescent="0.25">
      <c r="A1874">
        <f ca="1">32790.5502426417*(RANDBETWEEN(2890,3282))</f>
        <v>105716733.98227689</v>
      </c>
      <c r="B1874">
        <v>209257871.41886705</v>
      </c>
    </row>
    <row r="1875" spans="1:2" x14ac:dyDescent="0.25">
      <c r="A1875">
        <f ca="1">34301.2505519784*(RANDBETWEEN(2890,3282))</f>
        <v>99370722.849081531</v>
      </c>
      <c r="B1875">
        <v>263136647.3521952</v>
      </c>
    </row>
    <row r="1876" spans="1:2" x14ac:dyDescent="0.25">
      <c r="A1876">
        <f ca="1">38120.8602955562*(RANDBETWEEN(2890,3282))</f>
        <v>110626736.57770395</v>
      </c>
      <c r="B1876">
        <v>267437209.57350254</v>
      </c>
    </row>
    <row r="1877" spans="1:2" x14ac:dyDescent="0.25">
      <c r="A1877">
        <f ca="1">34729.4235577079*(RANDBETWEEN(2890,3282))</f>
        <v>103424223.35485424</v>
      </c>
      <c r="B1877">
        <v>218566353.23309392</v>
      </c>
    </row>
    <row r="1878" spans="1:2" x14ac:dyDescent="0.25">
      <c r="A1878">
        <f ca="1">38108.8313264227*(RANDBETWEEN(2890,3282))</f>
        <v>122519892.71444897</v>
      </c>
      <c r="B1878">
        <v>215683938.02312586</v>
      </c>
    </row>
    <row r="1879" spans="1:2" x14ac:dyDescent="0.25">
      <c r="A1879">
        <f ca="1">33689.1553854941*(RANDBETWEEN(2890,3282))</f>
        <v>102078140.81804721</v>
      </c>
      <c r="B1879">
        <v>252626191.14674133</v>
      </c>
    </row>
    <row r="1880" spans="1:2" x14ac:dyDescent="0.25">
      <c r="A1880">
        <f ca="1">39016.5710534408*(RANDBETWEEN(2890,3282))</f>
        <v>123799579.95256782</v>
      </c>
      <c r="B1880">
        <v>210409517.38204142</v>
      </c>
    </row>
    <row r="1881" spans="1:2" x14ac:dyDescent="0.25">
      <c r="A1881">
        <f ca="1">31367.0982900794*(RANDBETWEEN(2890,3282))</f>
        <v>92877978.036925033</v>
      </c>
      <c r="B1881">
        <v>257141874.36085415</v>
      </c>
    </row>
    <row r="1882" spans="1:2" x14ac:dyDescent="0.25">
      <c r="A1882">
        <f ca="1">41008.5253439795*(RANDBETWEEN(2890,3282))</f>
        <v>130120050.91644681</v>
      </c>
      <c r="B1882">
        <v>237397572.08912602</v>
      </c>
    </row>
    <row r="1883" spans="1:2" x14ac:dyDescent="0.25">
      <c r="A1883">
        <f ca="1">31840.3612418653*(RANDBETWEEN(2890,3282))</f>
        <v>99883213.215731427</v>
      </c>
      <c r="B1883">
        <v>253121113.72851542</v>
      </c>
    </row>
    <row r="1884" spans="1:2" x14ac:dyDescent="0.25">
      <c r="A1884">
        <f ca="1">31886.3985428456*(RANDBETWEEN(2890,3282))</f>
        <v>96009946.01250802</v>
      </c>
      <c r="B1884">
        <v>261753118.88228863</v>
      </c>
    </row>
    <row r="1885" spans="1:2" x14ac:dyDescent="0.25">
      <c r="A1885">
        <f ca="1">31945.0005989876*(RANDBETWEEN(2890,3282))</f>
        <v>96633626.811937615</v>
      </c>
      <c r="B1885">
        <v>252725170.86456582</v>
      </c>
    </row>
    <row r="1886" spans="1:2" x14ac:dyDescent="0.25">
      <c r="A1886">
        <f ca="1">34415.3694134995*(RANDBETWEEN(2890,3282))</f>
        <v>104416230.80055746</v>
      </c>
      <c r="B1886">
        <v>237519476.46631387</v>
      </c>
    </row>
    <row r="1887" spans="1:2" x14ac:dyDescent="0.25">
      <c r="A1887">
        <f ca="1">35877.9262722208*(RANDBETWEEN(2890,3282))</f>
        <v>105624614.94541797</v>
      </c>
      <c r="B1887">
        <v>248591129.85526517</v>
      </c>
    </row>
    <row r="1888" spans="1:2" x14ac:dyDescent="0.25">
      <c r="A1888">
        <f ca="1">29568.9066206641*(RANDBETWEEN(2890,3282))</f>
        <v>93851709.613987878</v>
      </c>
      <c r="B1888">
        <v>215401669.91073817</v>
      </c>
    </row>
    <row r="1889" spans="1:2" x14ac:dyDescent="0.25">
      <c r="A1889">
        <f ca="1">32883.6944608183*(RANDBETWEEN(2890,3282))</f>
        <v>97006898.659413934</v>
      </c>
      <c r="B1889">
        <v>250479044.32077461</v>
      </c>
    </row>
    <row r="1890" spans="1:2" x14ac:dyDescent="0.25">
      <c r="A1890">
        <f ca="1">28857.3277098462*(RANDBETWEEN(2890,3282))</f>
        <v>92112590.049828932</v>
      </c>
      <c r="B1890">
        <v>257022825.14681751</v>
      </c>
    </row>
    <row r="1891" spans="1:2" x14ac:dyDescent="0.25">
      <c r="A1891">
        <f ca="1">40731.9400541744*(RANDBETWEEN(2890,3282))</f>
        <v>123010458.96360675</v>
      </c>
      <c r="B1891">
        <v>257088529.91371834</v>
      </c>
    </row>
    <row r="1892" spans="1:2" x14ac:dyDescent="0.25">
      <c r="A1892">
        <f ca="1">37656.4506512868*(RANDBETWEEN(2890,3282))</f>
        <v>116697340.56833784</v>
      </c>
      <c r="B1892">
        <v>217605972.36614782</v>
      </c>
    </row>
    <row r="1893" spans="1:2" x14ac:dyDescent="0.25">
      <c r="A1893">
        <f ca="1">35990.9870640121*(RANDBETWEEN(2890,3282))</f>
        <v>106461339.73534773</v>
      </c>
      <c r="B1893">
        <v>208510387.2895447</v>
      </c>
    </row>
    <row r="1894" spans="1:2" x14ac:dyDescent="0.25">
      <c r="A1894">
        <f ca="1">32320.7332485022*(RANDBETWEEN(2890,3282))</f>
        <v>103878836.66068619</v>
      </c>
      <c r="B1894">
        <v>229612012.7941722</v>
      </c>
    </row>
    <row r="1895" spans="1:2" x14ac:dyDescent="0.25">
      <c r="A1895">
        <f ca="1">37201.8220771657*(RANDBETWEEN(2890,3282))</f>
        <v>113019135.47042939</v>
      </c>
      <c r="B1895">
        <v>221998128.98161471</v>
      </c>
    </row>
    <row r="1896" spans="1:2" x14ac:dyDescent="0.25">
      <c r="A1896">
        <f ca="1">33072.6489711962*(RANDBETWEEN(2890,3282))</f>
        <v>106890801.47490633</v>
      </c>
      <c r="B1896">
        <v>205861633.70603406</v>
      </c>
    </row>
    <row r="1897" spans="1:2" x14ac:dyDescent="0.25">
      <c r="A1897">
        <f ca="1">33306.1137147658*(RANDBETWEEN(2890,3282))</f>
        <v>103815156.44892511</v>
      </c>
      <c r="B1897">
        <v>248746390.03905699</v>
      </c>
    </row>
    <row r="1898" spans="1:2" x14ac:dyDescent="0.25">
      <c r="A1898">
        <f ca="1">32334.9159046513*(RANDBETWEEN(2890,3282))</f>
        <v>98556823.677377284</v>
      </c>
      <c r="B1898">
        <v>219615542.48071054</v>
      </c>
    </row>
    <row r="1899" spans="1:2" x14ac:dyDescent="0.25">
      <c r="A1899">
        <f ca="1">37879.0878663765*(RANDBETWEEN(2890,3282))</f>
        <v>110720573.83341847</v>
      </c>
      <c r="B1899">
        <v>209096977.26410678</v>
      </c>
    </row>
    <row r="1900" spans="1:2" x14ac:dyDescent="0.25">
      <c r="A1900">
        <f ca="1">29988.1711984257*(RANDBETWEEN(2890,3282))</f>
        <v>96711852.114923045</v>
      </c>
      <c r="B1900">
        <v>255052613.63289201</v>
      </c>
    </row>
    <row r="1901" spans="1:2" x14ac:dyDescent="0.25">
      <c r="A1901">
        <f ca="1">39279.296231298*(RANDBETWEEN(2890,3282))</f>
        <v>118112843.76751316</v>
      </c>
      <c r="B1901">
        <v>255817433.92116684</v>
      </c>
    </row>
    <row r="1902" spans="1:2" x14ac:dyDescent="0.25">
      <c r="A1902">
        <f ca="1">39777.6056683865*(RANDBETWEEN(2890,3282))</f>
        <v>120884143.62622671</v>
      </c>
      <c r="B1902">
        <v>220031710.6063602</v>
      </c>
    </row>
    <row r="1903" spans="1:2" x14ac:dyDescent="0.25">
      <c r="A1903">
        <f ca="1">28153.7736703391*(RANDBETWEEN(2890,3282))</f>
        <v>85165165.352775633</v>
      </c>
      <c r="B1903">
        <v>256908326.86018977</v>
      </c>
    </row>
    <row r="1904" spans="1:2" x14ac:dyDescent="0.25">
      <c r="A1904">
        <f ca="1">41970.343192318*(RANDBETWEEN(2890,3282))</f>
        <v>136193763.65907192</v>
      </c>
      <c r="B1904">
        <v>211115853.32678095</v>
      </c>
    </row>
    <row r="1905" spans="1:2" x14ac:dyDescent="0.25">
      <c r="A1905">
        <f ca="1">33134.4783655316*(RANDBETWEEN(2890,3282))</f>
        <v>106759289.29374288</v>
      </c>
      <c r="B1905">
        <v>216616257.90271297</v>
      </c>
    </row>
    <row r="1906" spans="1:2" x14ac:dyDescent="0.25">
      <c r="A1906">
        <f ca="1">30880.7454905276*(RANDBETWEEN(2890,3282))</f>
        <v>100825634.02657253</v>
      </c>
      <c r="B1906">
        <v>234025536.4899478</v>
      </c>
    </row>
    <row r="1907" spans="1:2" x14ac:dyDescent="0.25">
      <c r="A1907">
        <f ca="1">31260.6112794159*(RANDBETWEEN(2890,3282))</f>
        <v>93156621.61265935</v>
      </c>
      <c r="B1907">
        <v>237925628.95896396</v>
      </c>
    </row>
    <row r="1908" spans="1:2" x14ac:dyDescent="0.25">
      <c r="A1908">
        <f ca="1">31250.6534297296*(RANDBETWEEN(2890,3282))</f>
        <v>99439579.213399649</v>
      </c>
      <c r="B1908">
        <v>252180352.25885397</v>
      </c>
    </row>
    <row r="1909" spans="1:2" x14ac:dyDescent="0.25">
      <c r="A1909">
        <f ca="1">32568.0509302479*(RANDBETWEEN(2890,3282))</f>
        <v>101058662.0365591</v>
      </c>
      <c r="B1909">
        <v>226601898.59651357</v>
      </c>
    </row>
    <row r="1910" spans="1:2" x14ac:dyDescent="0.25">
      <c r="A1910">
        <f ca="1">33401.8724455144*(RANDBETWEEN(2890,3282))</f>
        <v>101708701.59659125</v>
      </c>
      <c r="B1910">
        <v>247386597.44103909</v>
      </c>
    </row>
    <row r="1911" spans="1:2" x14ac:dyDescent="0.25">
      <c r="A1911">
        <f ca="1">41320.0086694274*(RANDBETWEEN(2890,3282))</f>
        <v>133546268.01958935</v>
      </c>
      <c r="B1911">
        <v>262185130.82528976</v>
      </c>
    </row>
    <row r="1912" spans="1:2" x14ac:dyDescent="0.25">
      <c r="A1912">
        <f ca="1">33278.9134092217*(RANDBETWEEN(2890,3282))</f>
        <v>107357774.65814932</v>
      </c>
      <c r="B1912">
        <v>263236566.13888496</v>
      </c>
    </row>
    <row r="1913" spans="1:2" x14ac:dyDescent="0.25">
      <c r="A1913">
        <f ca="1">32727.1242356327*(RANDBETWEEN(2890,3282))</f>
        <v>103286804.08765683</v>
      </c>
      <c r="B1913">
        <v>212619148.24445149</v>
      </c>
    </row>
    <row r="1914" spans="1:2" x14ac:dyDescent="0.25">
      <c r="A1914">
        <f ca="1">32817.0779644536*(RANDBETWEEN(2890,3282))</f>
        <v>104686478.70660697</v>
      </c>
      <c r="B1914">
        <v>227811621.12627792</v>
      </c>
    </row>
    <row r="1915" spans="1:2" x14ac:dyDescent="0.25">
      <c r="A1915">
        <f ca="1">31807.4493483863*(RANDBETWEEN(2890,3282))</f>
        <v>103724092.32508786</v>
      </c>
      <c r="B1915">
        <v>210847510.89751038</v>
      </c>
    </row>
    <row r="1916" spans="1:2" x14ac:dyDescent="0.25">
      <c r="A1916">
        <f ca="1">30261.7854651675*(RANDBETWEEN(2890,3282))</f>
        <v>89120958.194918379</v>
      </c>
      <c r="B1916">
        <v>265139195.0805949</v>
      </c>
    </row>
    <row r="1917" spans="1:2" x14ac:dyDescent="0.25">
      <c r="A1917">
        <f ca="1">31798.6097612888*(RANDBETWEEN(2890,3282))</f>
        <v>100133822.13829853</v>
      </c>
      <c r="B1917">
        <v>210107947.65236738</v>
      </c>
    </row>
    <row r="1918" spans="1:2" x14ac:dyDescent="0.25">
      <c r="A1918">
        <f ca="1">39642.1041975789*(RANDBETWEEN(2890,3282))</f>
        <v>125625828.2021277</v>
      </c>
      <c r="B1918">
        <v>257463111.07075143</v>
      </c>
    </row>
    <row r="1919" spans="1:2" x14ac:dyDescent="0.25">
      <c r="A1919">
        <f ca="1">31087.6861479648*(RANDBETWEEN(2890,3282))</f>
        <v>98174912.855272785</v>
      </c>
      <c r="B1919">
        <v>251936270.13337302</v>
      </c>
    </row>
    <row r="1920" spans="1:2" x14ac:dyDescent="0.25">
      <c r="A1920">
        <f ca="1">36044.2030628571*(RANDBETWEEN(2890,3282))</f>
        <v>109249979.48351981</v>
      </c>
      <c r="B1920">
        <v>243610916.37372896</v>
      </c>
    </row>
    <row r="1921" spans="1:2" x14ac:dyDescent="0.25">
      <c r="A1921">
        <f ca="1">40244.8902799599*(RANDBETWEEN(2890,3282))</f>
        <v>131842260.55714875</v>
      </c>
      <c r="B1921">
        <v>215870938.15767998</v>
      </c>
    </row>
    <row r="1922" spans="1:2" x14ac:dyDescent="0.25">
      <c r="A1922">
        <f ca="1">37857.0025860275*(RANDBETWEEN(2890,3282))</f>
        <v>121028837.26753002</v>
      </c>
      <c r="B1922">
        <v>225718510.88049084</v>
      </c>
    </row>
    <row r="1923" spans="1:2" x14ac:dyDescent="0.25">
      <c r="A1923">
        <f ca="1">41209.8189416792*(RANDBETWEEN(2890,3282))</f>
        <v>122928889.90302916</v>
      </c>
      <c r="B1923">
        <v>255926307.81978402</v>
      </c>
    </row>
    <row r="1924" spans="1:2" x14ac:dyDescent="0.25">
      <c r="A1924">
        <f ca="1">30913.928239442*(RANDBETWEEN(2890,3282))</f>
        <v>96265972.537622541</v>
      </c>
      <c r="B1924">
        <v>254626365.62588152</v>
      </c>
    </row>
    <row r="1925" spans="1:2" x14ac:dyDescent="0.25">
      <c r="A1925">
        <f ca="1">38466.0486097128*(RANDBETWEEN(2890,3282))</f>
        <v>121629645.70391172</v>
      </c>
      <c r="B1925">
        <v>238789378.90234661</v>
      </c>
    </row>
    <row r="1926" spans="1:2" x14ac:dyDescent="0.25">
      <c r="A1926">
        <f ca="1">39267.365957589*(RANDBETWEEN(2890,3282))</f>
        <v>128365019.31535836</v>
      </c>
      <c r="B1926">
        <v>252302958.1709547</v>
      </c>
    </row>
    <row r="1927" spans="1:2" x14ac:dyDescent="0.25">
      <c r="A1927">
        <f ca="1">34670.4850219921*(RANDBETWEEN(2890,3282))</f>
        <v>102555294.69505274</v>
      </c>
      <c r="B1927">
        <v>241892670.43765143</v>
      </c>
    </row>
    <row r="1928" spans="1:2" x14ac:dyDescent="0.25">
      <c r="A1928">
        <f ca="1">38482.4716182173*(RANDBETWEEN(2890,3282))</f>
        <v>120950408.29605702</v>
      </c>
      <c r="B1928">
        <v>263557229.59098616</v>
      </c>
    </row>
    <row r="1929" spans="1:2" x14ac:dyDescent="0.25">
      <c r="A1929">
        <f ca="1">40664.3094844546*(RANDBETWEEN(2890,3282))</f>
        <v>125042751.66469803</v>
      </c>
      <c r="B1929">
        <v>221334507.06749931</v>
      </c>
    </row>
    <row r="1930" spans="1:2" x14ac:dyDescent="0.25">
      <c r="A1930">
        <f ca="1">30251.7436410359*(RANDBETWEEN(2890,3282))</f>
        <v>92449328.567005783</v>
      </c>
      <c r="B1930">
        <v>217746820.29409313</v>
      </c>
    </row>
    <row r="1931" spans="1:2" x14ac:dyDescent="0.25">
      <c r="A1931">
        <f ca="1">28353.3492615761*(RANDBETWEEN(2890,3282))</f>
        <v>91723084.861198708</v>
      </c>
      <c r="B1931">
        <v>238240393.5341486</v>
      </c>
    </row>
    <row r="1932" spans="1:2" x14ac:dyDescent="0.25">
      <c r="A1932">
        <f ca="1">35501.9230961638*(RANDBETWEEN(2890,3282))</f>
        <v>103275094.28674038</v>
      </c>
      <c r="B1932">
        <v>208977381.07848594</v>
      </c>
    </row>
    <row r="1933" spans="1:2" x14ac:dyDescent="0.25">
      <c r="A1933">
        <f ca="1">38171.5998489717*(RANDBETWEEN(2890,3282))</f>
        <v>111422899.95914847</v>
      </c>
      <c r="B1933">
        <v>259838091.63593721</v>
      </c>
    </row>
    <row r="1934" spans="1:2" x14ac:dyDescent="0.25">
      <c r="A1934">
        <f ca="1">29708.0805850959*(RANDBETWEEN(2890,3282))</f>
        <v>91679136.685606003</v>
      </c>
      <c r="B1934">
        <v>209834788.66218576</v>
      </c>
    </row>
    <row r="1935" spans="1:2" x14ac:dyDescent="0.25">
      <c r="A1935">
        <f ca="1">34406.0626883392*(RANDBETWEEN(2890,3282))</f>
        <v>101222636.42909379</v>
      </c>
      <c r="B1935">
        <v>255684983.67699382</v>
      </c>
    </row>
    <row r="1936" spans="1:2" x14ac:dyDescent="0.25">
      <c r="A1936">
        <f ca="1">30048.2780011503*(RANDBETWEEN(2890,3282))</f>
        <v>87801068.31936121</v>
      </c>
      <c r="B1936">
        <v>233886024.97268507</v>
      </c>
    </row>
    <row r="1937" spans="1:2" x14ac:dyDescent="0.25">
      <c r="A1937">
        <f ca="1">36000.193299778*(RANDBETWEEN(2890,3282))</f>
        <v>104472560.95595583</v>
      </c>
      <c r="B1937">
        <v>226968712.19499969</v>
      </c>
    </row>
    <row r="1938" spans="1:2" x14ac:dyDescent="0.25">
      <c r="A1938">
        <f ca="1">40190.6013731011*(RANDBETWEEN(2890,3282))</f>
        <v>128730496.19804296</v>
      </c>
      <c r="B1938">
        <v>267626712.41463909</v>
      </c>
    </row>
    <row r="1939" spans="1:2" x14ac:dyDescent="0.25">
      <c r="A1939">
        <f ca="1">39038.7608946173*(RANDBETWEEN(2890,3282))</f>
        <v>121527662.66494352</v>
      </c>
      <c r="B1939">
        <v>259914974.45652232</v>
      </c>
    </row>
    <row r="1940" spans="1:2" x14ac:dyDescent="0.25">
      <c r="A1940">
        <f ca="1">34168.2127165848*(RANDBETWEEN(2890,3282))</f>
        <v>108518243.58787321</v>
      </c>
      <c r="B1940">
        <v>242017015.72751158</v>
      </c>
    </row>
    <row r="1941" spans="1:2" x14ac:dyDescent="0.25">
      <c r="A1941">
        <f ca="1">35259.0695848668*(RANDBETWEEN(2890,3282))</f>
        <v>111066069.19233032</v>
      </c>
      <c r="B1941">
        <v>263583167.89179647</v>
      </c>
    </row>
    <row r="1942" spans="1:2" x14ac:dyDescent="0.25">
      <c r="A1942">
        <f ca="1">30221.809343458*(RANDBETWEEN(2890,3282))</f>
        <v>89758773.750070348</v>
      </c>
      <c r="B1942">
        <v>209722867.2535367</v>
      </c>
    </row>
    <row r="1943" spans="1:2" x14ac:dyDescent="0.25">
      <c r="A1943">
        <f ca="1">30438.8312934071*(RANDBETWEEN(2890,3282))</f>
        <v>93903794.540160775</v>
      </c>
      <c r="B1943">
        <v>265866337.26505655</v>
      </c>
    </row>
    <row r="1944" spans="1:2" x14ac:dyDescent="0.25">
      <c r="A1944">
        <f ca="1">37038.605671236*(RANDBETWEEN(2890,3282))</f>
        <v>120005082.37480482</v>
      </c>
      <c r="B1944">
        <v>222939495.05036476</v>
      </c>
    </row>
    <row r="1945" spans="1:2" x14ac:dyDescent="0.25">
      <c r="A1945">
        <f ca="1">41698.8852899143*(RANDBETWEEN(2890,3282))</f>
        <v>120801670.68488182</v>
      </c>
      <c r="B1945">
        <v>209056681.58434975</v>
      </c>
    </row>
    <row r="1946" spans="1:2" x14ac:dyDescent="0.25">
      <c r="A1946">
        <f ca="1">38828.8294185118*(RANDBETWEEN(2890,3282))</f>
        <v>118893875.67948315</v>
      </c>
      <c r="B1946">
        <v>221731721.45688865</v>
      </c>
    </row>
    <row r="1947" spans="1:2" x14ac:dyDescent="0.25">
      <c r="A1947">
        <f ca="1">35238.2337125995*(RANDBETWEEN(2890,3282))</f>
        <v>103177548.31049147</v>
      </c>
      <c r="B1947">
        <v>204647533.89580631</v>
      </c>
    </row>
    <row r="1948" spans="1:2" x14ac:dyDescent="0.25">
      <c r="A1948">
        <f ca="1">33223.1492706911*(RANDBETWEEN(2890,3282))</f>
        <v>100466803.39456989</v>
      </c>
      <c r="B1948">
        <v>250086459.99788371</v>
      </c>
    </row>
    <row r="1949" spans="1:2" x14ac:dyDescent="0.25">
      <c r="A1949">
        <f ca="1">39050.4671300301*(RANDBETWEEN(2890,3282))</f>
        <v>127695027.51519854</v>
      </c>
      <c r="B1949">
        <v>216416034.73573351</v>
      </c>
    </row>
    <row r="1950" spans="1:2" x14ac:dyDescent="0.25">
      <c r="A1950">
        <f ca="1">35728.1865462865*(RANDBETWEEN(2890,3282))</f>
        <v>107791938.81014647</v>
      </c>
      <c r="B1950">
        <v>229560032.88623148</v>
      </c>
    </row>
    <row r="1951" spans="1:2" x14ac:dyDescent="0.25">
      <c r="A1951">
        <f ca="1">37437.5247482399*(RANDBETWEEN(2890,3282))</f>
        <v>115869139.09580253</v>
      </c>
      <c r="B1951">
        <v>241617330.69793272</v>
      </c>
    </row>
    <row r="1952" spans="1:2" x14ac:dyDescent="0.25">
      <c r="A1952">
        <f ca="1">28471.8409977131*(RANDBETWEEN(2890,3282))</f>
        <v>85557882.198127851</v>
      </c>
      <c r="B1952">
        <v>266930495.44266367</v>
      </c>
    </row>
    <row r="1953" spans="1:2" x14ac:dyDescent="0.25">
      <c r="A1953">
        <f ca="1">30138.595166074*(RANDBETWEEN(2890,3282))</f>
        <v>94454357.250475913</v>
      </c>
      <c r="B1953">
        <v>265170813.92314446</v>
      </c>
    </row>
    <row r="1954" spans="1:2" x14ac:dyDescent="0.25">
      <c r="A1954">
        <f ca="1">28396.6160534337*(RANDBETWEEN(2890,3282))</f>
        <v>90613601.826506972</v>
      </c>
      <c r="B1954">
        <v>260659062.0910753</v>
      </c>
    </row>
    <row r="1955" spans="1:2" x14ac:dyDescent="0.25">
      <c r="A1955">
        <f ca="1">32139.7444791909*(RANDBETWEEN(2890,3282))</f>
        <v>93140979.500695288</v>
      </c>
      <c r="B1955">
        <v>245463018.51650828</v>
      </c>
    </row>
    <row r="1956" spans="1:2" x14ac:dyDescent="0.25">
      <c r="A1956">
        <f ca="1">36199.8202508245*(RANDBETWEEN(2890,3282))</f>
        <v>107115268.12218967</v>
      </c>
      <c r="B1956">
        <v>247880916.96300727</v>
      </c>
    </row>
    <row r="1957" spans="1:2" x14ac:dyDescent="0.25">
      <c r="A1957">
        <f ca="1">34038.5328644847*(RANDBETWEEN(2890,3282))</f>
        <v>108753112.50202847</v>
      </c>
      <c r="B1957">
        <v>245342046.35285246</v>
      </c>
    </row>
    <row r="1958" spans="1:2" x14ac:dyDescent="0.25">
      <c r="A1958">
        <f ca="1">29663.7626294406*(RANDBETWEEN(2890,3282))</f>
        <v>94034127.535326734</v>
      </c>
      <c r="B1958">
        <v>237046133.46874723</v>
      </c>
    </row>
    <row r="1959" spans="1:2" x14ac:dyDescent="0.25">
      <c r="A1959">
        <f ca="1">32318.3146259842*(RANDBETWEEN(2890,3282))</f>
        <v>94983526.685767695</v>
      </c>
      <c r="B1959">
        <v>206331121.2172516</v>
      </c>
    </row>
    <row r="1960" spans="1:2" x14ac:dyDescent="0.25">
      <c r="A1960">
        <f ca="1">30292.6099016214*(RANDBETWEEN(2890,3282))</f>
        <v>95361135.970304117</v>
      </c>
      <c r="B1960">
        <v>260627308.65513343</v>
      </c>
    </row>
    <row r="1961" spans="1:2" x14ac:dyDescent="0.25">
      <c r="A1961">
        <f ca="1">33020.9151402839*(RANDBETWEEN(2890,3282))</f>
        <v>97477741.494118214</v>
      </c>
      <c r="B1961">
        <v>264804803.79506758</v>
      </c>
    </row>
    <row r="1962" spans="1:2" x14ac:dyDescent="0.25">
      <c r="A1962">
        <f ca="1">32598.28220796*(RANDBETWEEN(2890,3282))</f>
        <v>97501462.084008455</v>
      </c>
      <c r="B1962">
        <v>216938631.78660074</v>
      </c>
    </row>
    <row r="1963" spans="1:2" x14ac:dyDescent="0.25">
      <c r="A1963">
        <f ca="1">30179.979185548*(RANDBETWEEN(2890,3282))</f>
        <v>87401219.721347004</v>
      </c>
      <c r="B1963">
        <v>217167840.8172327</v>
      </c>
    </row>
    <row r="1964" spans="1:2" x14ac:dyDescent="0.25">
      <c r="A1964">
        <f ca="1">38292.1020993869*(RANDBETWEEN(2890,3282))</f>
        <v>116522866.68843441</v>
      </c>
      <c r="B1964">
        <v>267131393.10719171</v>
      </c>
    </row>
    <row r="1965" spans="1:2" x14ac:dyDescent="0.25">
      <c r="A1965">
        <f ca="1">31464.3060912699*(RANDBETWEEN(2890,3282))</f>
        <v>92190416.847420901</v>
      </c>
      <c r="B1965">
        <v>205320348.17007014</v>
      </c>
    </row>
    <row r="1966" spans="1:2" x14ac:dyDescent="0.25">
      <c r="A1966">
        <f ca="1">30822.3542398265*(RANDBETWEEN(2890,3282))</f>
        <v>92004727.40588221</v>
      </c>
      <c r="B1966">
        <v>215279066.90525842</v>
      </c>
    </row>
    <row r="1967" spans="1:2" x14ac:dyDescent="0.25">
      <c r="A1967">
        <f ca="1">39768.6939416614*(RANDBETWEEN(2890,3282))</f>
        <v>119067469.66133434</v>
      </c>
      <c r="B1967">
        <v>249028911.54511279</v>
      </c>
    </row>
    <row r="1968" spans="1:2" x14ac:dyDescent="0.25">
      <c r="A1968">
        <f ca="1">36290.6314217504*(RANDBETWEEN(2890,3282))</f>
        <v>115295336.02690101</v>
      </c>
      <c r="B1968">
        <v>243183191.46461555</v>
      </c>
    </row>
    <row r="1969" spans="1:2" x14ac:dyDescent="0.25">
      <c r="A1969">
        <f ca="1">31528.840817072*(RANDBETWEEN(2890,3282))</f>
        <v>102910136.42692292</v>
      </c>
      <c r="B1969">
        <v>242709399.04333544</v>
      </c>
    </row>
    <row r="1970" spans="1:2" x14ac:dyDescent="0.25">
      <c r="A1970">
        <f ca="1">41564.8766741948*(RANDBETWEEN(2890,3282))</f>
        <v>120538142.35516492</v>
      </c>
      <c r="B1970">
        <v>208061805.70878732</v>
      </c>
    </row>
    <row r="1971" spans="1:2" x14ac:dyDescent="0.25">
      <c r="A1971">
        <f ca="1">32606.8204612051*(RANDBETWEEN(2890,3282))</f>
        <v>98994306.920218587</v>
      </c>
      <c r="B1971">
        <v>242035182.66321653</v>
      </c>
    </row>
    <row r="1972" spans="1:2" x14ac:dyDescent="0.25">
      <c r="A1972">
        <f ca="1">41262.8151883667*(RANDBETWEEN(2890,3282))</f>
        <v>124407387.79292566</v>
      </c>
      <c r="B1972">
        <v>249772588.73414201</v>
      </c>
    </row>
    <row r="1973" spans="1:2" x14ac:dyDescent="0.25">
      <c r="A1973">
        <f ca="1">35155.7998459517*(RANDBETWEEN(2890,3282))</f>
        <v>101670573.15449236</v>
      </c>
      <c r="B1973">
        <v>210714342.86523965</v>
      </c>
    </row>
    <row r="1974" spans="1:2" x14ac:dyDescent="0.25">
      <c r="A1974">
        <f ca="1">34071.4741483469*(RANDBETWEEN(2890,3282))</f>
        <v>105723784.28232038</v>
      </c>
      <c r="B1974">
        <v>264483254.10386375</v>
      </c>
    </row>
    <row r="1975" spans="1:2" x14ac:dyDescent="0.25">
      <c r="A1975">
        <f ca="1">33790.6269759738*(RANDBETWEEN(2890,3282))</f>
        <v>103500690.42740765</v>
      </c>
      <c r="B1975">
        <v>204316522.80957186</v>
      </c>
    </row>
    <row r="1976" spans="1:2" x14ac:dyDescent="0.25">
      <c r="A1976">
        <f ca="1">31163.9150300641*(RANDBETWEEN(2890,3282))</f>
        <v>94177351.220853776</v>
      </c>
      <c r="B1976">
        <v>257499918.76844195</v>
      </c>
    </row>
    <row r="1977" spans="1:2" x14ac:dyDescent="0.25">
      <c r="A1977">
        <f ca="1">30931.8500382398*(RANDBETWEEN(2890,3282))</f>
        <v>94249347.066516593</v>
      </c>
      <c r="B1977">
        <v>211030622.24903429</v>
      </c>
    </row>
    <row r="1978" spans="1:2" x14ac:dyDescent="0.25">
      <c r="A1978">
        <f ca="1">32270.3636522026*(RANDBETWEEN(2890,3282))</f>
        <v>98456879.502870217</v>
      </c>
      <c r="B1978">
        <v>252765979.36106068</v>
      </c>
    </row>
    <row r="1979" spans="1:2" x14ac:dyDescent="0.25">
      <c r="A1979">
        <f ca="1">27968.5946222298*(RANDBETWEEN(2890,3282))</f>
        <v>85332182.192423061</v>
      </c>
      <c r="B1979">
        <v>234176040.40120173</v>
      </c>
    </row>
    <row r="1980" spans="1:2" x14ac:dyDescent="0.25">
      <c r="A1980">
        <f ca="1">33423.9544189798*(RANDBETWEEN(2890,3282))</f>
        <v>99168872.761113212</v>
      </c>
      <c r="B1980">
        <v>204121445.22508299</v>
      </c>
    </row>
    <row r="1981" spans="1:2" x14ac:dyDescent="0.25">
      <c r="A1981">
        <f ca="1">36373.8146876159*(RANDBETWEEN(2890,3282))</f>
        <v>117050935.66474806</v>
      </c>
      <c r="B1981">
        <v>232229670.81157935</v>
      </c>
    </row>
    <row r="1982" spans="1:2" x14ac:dyDescent="0.25">
      <c r="A1982">
        <f ca="1">33822.5421033965*(RANDBETWEEN(2890,3282))</f>
        <v>98728000.399814472</v>
      </c>
      <c r="B1982">
        <v>257105050.23258138</v>
      </c>
    </row>
    <row r="1983" spans="1:2" x14ac:dyDescent="0.25">
      <c r="A1983">
        <f ca="1">30587.3138128051*(RANDBETWEEN(2890,3282))</f>
        <v>91976052.635104939</v>
      </c>
      <c r="B1983">
        <v>256060562.62614328</v>
      </c>
    </row>
    <row r="1984" spans="1:2" x14ac:dyDescent="0.25">
      <c r="A1984">
        <f ca="1">31208.7641131992*(RANDBETWEEN(2890,3282))</f>
        <v>96060575.94042699</v>
      </c>
      <c r="B1984">
        <v>243456922.61611658</v>
      </c>
    </row>
    <row r="1985" spans="1:2" x14ac:dyDescent="0.25">
      <c r="A1985">
        <f ca="1">42038.8367496584*(RANDBETWEEN(2890,3282))</f>
        <v>131497481.35293132</v>
      </c>
      <c r="B1985">
        <v>225867575.21932891</v>
      </c>
    </row>
    <row r="1986" spans="1:2" x14ac:dyDescent="0.25">
      <c r="A1986">
        <f ca="1">32853.9657858313*(RANDBETWEEN(2890,3282))</f>
        <v>103621408.08851187</v>
      </c>
      <c r="B1986">
        <v>245768142.7179358</v>
      </c>
    </row>
    <row r="1987" spans="1:2" x14ac:dyDescent="0.25">
      <c r="A1987">
        <f ca="1">39159.7961897738*(RANDBETWEEN(2890,3282))</f>
        <v>127191018.02438523</v>
      </c>
      <c r="B1987">
        <v>231640600.36219978</v>
      </c>
    </row>
    <row r="1988" spans="1:2" x14ac:dyDescent="0.25">
      <c r="A1988">
        <f ca="1">34799.4410791729*(RANDBETWEEN(2890,3282))</f>
        <v>107043080.75953585</v>
      </c>
      <c r="B1988">
        <v>223351700.97950596</v>
      </c>
    </row>
    <row r="1989" spans="1:2" x14ac:dyDescent="0.25">
      <c r="A1989">
        <f ca="1">33234.3982199465*(RANDBETWEEN(2890,3282))</f>
        <v>107878856.62194632</v>
      </c>
      <c r="B1989">
        <v>259656992.72851351</v>
      </c>
    </row>
    <row r="1990" spans="1:2" x14ac:dyDescent="0.25">
      <c r="A1990">
        <f ca="1">37233.2481162643*(RANDBETWEEN(2890,3282))</f>
        <v>117545364.3030463</v>
      </c>
      <c r="B1990">
        <v>205297556.02430514</v>
      </c>
    </row>
    <row r="1991" spans="1:2" x14ac:dyDescent="0.25">
      <c r="A1991">
        <f ca="1">36158.2300820338*(RANDBETWEEN(2890,3282))</f>
        <v>107209152.19323024</v>
      </c>
      <c r="B1991">
        <v>208706116.88925782</v>
      </c>
    </row>
    <row r="1992" spans="1:2" x14ac:dyDescent="0.25">
      <c r="A1992">
        <f ca="1">35443.1868739191*(RANDBETWEEN(2890,3282))</f>
        <v>115367573.27460678</v>
      </c>
      <c r="B1992">
        <v>243139933.41156545</v>
      </c>
    </row>
    <row r="1993" spans="1:2" x14ac:dyDescent="0.25">
      <c r="A1993">
        <f ca="1">39547.7835096559*(RANDBETWEEN(2890,3282))</f>
        <v>116547318.00295605</v>
      </c>
      <c r="B1993">
        <v>247326918.58743131</v>
      </c>
    </row>
    <row r="1994" spans="1:2" x14ac:dyDescent="0.25">
      <c r="A1994">
        <f ca="1">33543.4864269743*(RANDBETWEEN(2890,3282))</f>
        <v>98517219.636023551</v>
      </c>
      <c r="B1994">
        <v>206845141.25515342</v>
      </c>
    </row>
    <row r="1995" spans="1:2" x14ac:dyDescent="0.25">
      <c r="A1995">
        <f ca="1">35477.1441281132*(RANDBETWEEN(2890,3282))</f>
        <v>109127695.33807616</v>
      </c>
      <c r="B1995">
        <v>204230603.8785558</v>
      </c>
    </row>
    <row r="1996" spans="1:2" x14ac:dyDescent="0.25">
      <c r="A1996">
        <f ca="1">37306.908943952*(RANDBETWEEN(2890,3282))</f>
        <v>114569517.36687665</v>
      </c>
      <c r="B1996">
        <v>205333493.15409526</v>
      </c>
    </row>
    <row r="1997" spans="1:2" x14ac:dyDescent="0.25">
      <c r="A1997">
        <f ca="1">33358.2766300623*(RANDBETWEEN(2890,3282))</f>
        <v>102710133.74396168</v>
      </c>
      <c r="B1997">
        <v>267019520.16013792</v>
      </c>
    </row>
    <row r="1998" spans="1:2" x14ac:dyDescent="0.25">
      <c r="A1998">
        <f ca="1">31238.3737286727*(RANDBETWEEN(2890,3282))</f>
        <v>94808464.266521618</v>
      </c>
      <c r="B1998">
        <v>250333295.04138267</v>
      </c>
    </row>
    <row r="1999" spans="1:2" x14ac:dyDescent="0.25">
      <c r="A1999">
        <f ca="1">34511.0118086633*(RANDBETWEEN(2890,3282))</f>
        <v>99840357.16246286</v>
      </c>
      <c r="B1999">
        <v>236352559.77544844</v>
      </c>
    </row>
    <row r="2000" spans="1:2" x14ac:dyDescent="0.25">
      <c r="A2000">
        <f ca="1">36735.3605570637*(RANDBETWEEN(2890,3282))</f>
        <v>113438793.40021266</v>
      </c>
      <c r="B2000">
        <v>210312859.6992771</v>
      </c>
    </row>
    <row r="2001" spans="1:2" x14ac:dyDescent="0.25">
      <c r="A2001">
        <f ca="1">33948.6794281919*(RANDBETWEEN(2890,3282))</f>
        <v>103815061.69141094</v>
      </c>
      <c r="B2001">
        <v>234336274.40808931</v>
      </c>
    </row>
    <row r="2002" spans="1:2" x14ac:dyDescent="0.25">
      <c r="A2002">
        <f ca="1">30941.8617363688*(RANDBETWEEN(2890,3282))</f>
        <v>94310794.572452083</v>
      </c>
      <c r="B2002">
        <v>248206571.8328509</v>
      </c>
    </row>
    <row r="2003" spans="1:2" x14ac:dyDescent="0.25">
      <c r="A2003">
        <f ca="1">36474.5630194518*(RANDBETWEEN(2890,3282))</f>
        <v>105958605.57150742</v>
      </c>
      <c r="B2003">
        <v>240857191.36263078</v>
      </c>
    </row>
    <row r="2004" spans="1:2" x14ac:dyDescent="0.25">
      <c r="A2004">
        <f ca="1">39972.4663898544*(RANDBETWEEN(2890,3282))</f>
        <v>116319877.19447625</v>
      </c>
      <c r="B2004">
        <v>264232366.14663395</v>
      </c>
    </row>
    <row r="2005" spans="1:2" x14ac:dyDescent="0.25">
      <c r="A2005">
        <f ca="1">35024.849447885*(RANDBETWEEN(2890,3282))</f>
        <v>105950169.57985216</v>
      </c>
      <c r="B2005">
        <v>227133304.67427543</v>
      </c>
    </row>
    <row r="2006" spans="1:2" x14ac:dyDescent="0.25">
      <c r="A2006">
        <f ca="1">34232.0477473576*(RANDBETWEEN(2890,3282))</f>
        <v>110398353.98522824</v>
      </c>
      <c r="B2006">
        <v>229159598.25574979</v>
      </c>
    </row>
    <row r="2007" spans="1:2" x14ac:dyDescent="0.25">
      <c r="A2007">
        <f ca="1">31889.704261567*(RANDBETWEEN(2890,3282))</f>
        <v>101281700.73473687</v>
      </c>
      <c r="B2007">
        <v>204786381.07970956</v>
      </c>
    </row>
    <row r="2008" spans="1:2" x14ac:dyDescent="0.25">
      <c r="A2008">
        <f ca="1">36787.522582874*(RANDBETWEEN(2890,3282))</f>
        <v>112937694.3294232</v>
      </c>
      <c r="B2008">
        <v>262175760.13102183</v>
      </c>
    </row>
    <row r="2009" spans="1:2" x14ac:dyDescent="0.25">
      <c r="A2009">
        <f ca="1">39687.1402930873*(RANDBETWEEN(2890,3282))</f>
        <v>118743923.75691718</v>
      </c>
      <c r="B2009">
        <v>261293914.56703216</v>
      </c>
    </row>
    <row r="2010" spans="1:2" x14ac:dyDescent="0.25">
      <c r="A2010">
        <f ca="1">29528.7391739479*(RANDBETWEEN(2890,3282))</f>
        <v>88851976.174409136</v>
      </c>
      <c r="B2010">
        <v>215969194.21511483</v>
      </c>
    </row>
    <row r="2011" spans="1:2" x14ac:dyDescent="0.25">
      <c r="A2011">
        <f ca="1">31975.9429530296*(RANDBETWEEN(2890,3282))</f>
        <v>104625285.34231295</v>
      </c>
      <c r="B2011">
        <v>204569779.84654883</v>
      </c>
    </row>
    <row r="2012" spans="1:2" x14ac:dyDescent="0.25">
      <c r="A2012">
        <f ca="1">30154.7022810109*(RANDBETWEEN(2890,3282))</f>
        <v>97821854.19959937</v>
      </c>
      <c r="B2012">
        <v>241243280.89562875</v>
      </c>
    </row>
    <row r="2013" spans="1:2" x14ac:dyDescent="0.25">
      <c r="A2013">
        <f ca="1">41375.0368449912*(RANDBETWEEN(2890,3282))</f>
        <v>133765494.11985649</v>
      </c>
      <c r="B2013">
        <v>247265978.24584216</v>
      </c>
    </row>
    <row r="2014" spans="1:2" x14ac:dyDescent="0.25">
      <c r="A2014">
        <f ca="1">36360.9437072929*(RANDBETWEEN(2890,3282))</f>
        <v>118682120.26060387</v>
      </c>
      <c r="B2014">
        <v>264478159.41358423</v>
      </c>
    </row>
    <row r="2015" spans="1:2" x14ac:dyDescent="0.25">
      <c r="A2015">
        <f ca="1">37808.2978765245*(RANDBETWEEN(2890,3282))</f>
        <v>123481900.8647289</v>
      </c>
      <c r="B2015">
        <v>210946188.63439071</v>
      </c>
    </row>
    <row r="2016" spans="1:2" x14ac:dyDescent="0.25">
      <c r="A2016">
        <f ca="1">35802.4677039648*(RANDBETWEEN(2890,3282))</f>
        <v>110987649.88229093</v>
      </c>
      <c r="B2016">
        <v>259581509.05318078</v>
      </c>
    </row>
    <row r="2017" spans="1:2" x14ac:dyDescent="0.25">
      <c r="A2017">
        <f ca="1">32577.6595508715*(RANDBETWEEN(2890,3282))</f>
        <v>94996455.250341222</v>
      </c>
      <c r="B2017">
        <v>233275702.89054927</v>
      </c>
    </row>
    <row r="2018" spans="1:2" x14ac:dyDescent="0.25">
      <c r="A2018">
        <f ca="1">38964.7668035549*(RANDBETWEEN(2890,3282))</f>
        <v>127064104.54639241</v>
      </c>
      <c r="B2018">
        <v>221899747.83901617</v>
      </c>
    </row>
    <row r="2019" spans="1:2" x14ac:dyDescent="0.25">
      <c r="A2019">
        <f ca="1">31913.3224485051*(RANDBETWEEN(2890,3282))</f>
        <v>104356564.40661161</v>
      </c>
      <c r="B2019">
        <v>249768728.71135315</v>
      </c>
    </row>
    <row r="2020" spans="1:2" x14ac:dyDescent="0.25">
      <c r="A2020">
        <f ca="1">32016.8120410465*(RANDBETWEEN(2890,3282))</f>
        <v>100212621.68847558</v>
      </c>
      <c r="B2020">
        <v>226838558.68530273</v>
      </c>
    </row>
    <row r="2021" spans="1:2" x14ac:dyDescent="0.25">
      <c r="A2021">
        <f ca="1">42040.8251476383*(RANDBETWEEN(2890,3282))</f>
        <v>135077171.19936189</v>
      </c>
      <c r="B2021">
        <v>256326689.60823724</v>
      </c>
    </row>
    <row r="2022" spans="1:2" x14ac:dyDescent="0.25">
      <c r="A2022">
        <f ca="1">37767.1481115647*(RANDBETWEEN(2890,3282))</f>
        <v>115038733.14782622</v>
      </c>
      <c r="B2022">
        <v>239729282.860659</v>
      </c>
    </row>
    <row r="2023" spans="1:2" x14ac:dyDescent="0.25">
      <c r="A2023">
        <f ca="1">31367.1101818018*(RANDBETWEEN(2890,3282))</f>
        <v>101441234.32794687</v>
      </c>
      <c r="B2023">
        <v>221167893.39437106</v>
      </c>
    </row>
    <row r="2024" spans="1:2" x14ac:dyDescent="0.25">
      <c r="A2024">
        <f ca="1">32323.0345781854*(RANDBETWEEN(2890,3282))</f>
        <v>104403401.68753897</v>
      </c>
      <c r="B2024">
        <v>229251601.82838035</v>
      </c>
    </row>
    <row r="2025" spans="1:2" x14ac:dyDescent="0.25">
      <c r="A2025">
        <f ca="1">31418.8078879873*(RANDBETWEEN(2890,3282))</f>
        <v>101891193.98074275</v>
      </c>
      <c r="B2025">
        <v>229263646.96168032</v>
      </c>
    </row>
    <row r="2026" spans="1:2" x14ac:dyDescent="0.25">
      <c r="A2026">
        <f ca="1">29845.869440847*(RANDBETWEEN(2890,3282))</f>
        <v>87776702.025530964</v>
      </c>
      <c r="B2026">
        <v>209983544.55060244</v>
      </c>
    </row>
    <row r="2027" spans="1:2" x14ac:dyDescent="0.25">
      <c r="A2027">
        <f ca="1">30102.7374687812*(RANDBETWEEN(2890,3282))</f>
        <v>96689992.749725074</v>
      </c>
      <c r="B2027">
        <v>245501368.389927</v>
      </c>
    </row>
    <row r="2028" spans="1:2" x14ac:dyDescent="0.25">
      <c r="A2028">
        <f ca="1">39210.4142628796*(RANDBETWEEN(2890,3282))</f>
        <v>124375434.04185393</v>
      </c>
      <c r="B2028">
        <v>229654179.92553619</v>
      </c>
    </row>
    <row r="2029" spans="1:2" x14ac:dyDescent="0.25">
      <c r="A2029">
        <f ca="1">31544.4029144716*(RANDBETWEEN(2890,3282))</f>
        <v>98323903.884408042</v>
      </c>
      <c r="B2029">
        <v>206822060.45217878</v>
      </c>
    </row>
    <row r="2030" spans="1:2" x14ac:dyDescent="0.25">
      <c r="A2030">
        <f ca="1">32440.4208424734*(RANDBETWEEN(2890,3282))</f>
        <v>96315609.481303588</v>
      </c>
      <c r="B2030">
        <v>263058356.40043762</v>
      </c>
    </row>
    <row r="2031" spans="1:2" x14ac:dyDescent="0.25">
      <c r="A2031">
        <f ca="1">29890.7396650306*(RANDBETWEEN(2890,3282))</f>
        <v>91585226.333653808</v>
      </c>
      <c r="B2031">
        <v>233461632.3149336</v>
      </c>
    </row>
    <row r="2032" spans="1:2" x14ac:dyDescent="0.25">
      <c r="A2032">
        <f ca="1">37265.1080723471*(RANDBETWEEN(2890,3282))</f>
        <v>118130392.58934043</v>
      </c>
      <c r="B2032">
        <v>251244530.91693866</v>
      </c>
    </row>
    <row r="2033" spans="1:2" x14ac:dyDescent="0.25">
      <c r="A2033">
        <f ca="1">35060.9203512226*(RANDBETWEEN(2890,3282))</f>
        <v>106585197.86771673</v>
      </c>
      <c r="B2033">
        <v>261804777.64012474</v>
      </c>
    </row>
    <row r="2034" spans="1:2" x14ac:dyDescent="0.25">
      <c r="A2034">
        <f ca="1">29472.6538285349*(RANDBETWEEN(2890,3282))</f>
        <v>87032746.755663514</v>
      </c>
      <c r="B2034">
        <v>207041693.52250502</v>
      </c>
    </row>
    <row r="2035" spans="1:2" x14ac:dyDescent="0.25">
      <c r="A2035">
        <f ca="1">31572.5269525348*(RANDBETWEEN(2890,3282))</f>
        <v>94717580.857604295</v>
      </c>
      <c r="B2035">
        <v>213311138.32341731</v>
      </c>
    </row>
    <row r="2036" spans="1:2" x14ac:dyDescent="0.25">
      <c r="A2036">
        <f ca="1">33333.2611121498*(RANDBETWEEN(2890,3282))</f>
        <v>101099780.95315029</v>
      </c>
      <c r="B2036">
        <v>242508966.68960279</v>
      </c>
    </row>
    <row r="2037" spans="1:2" x14ac:dyDescent="0.25">
      <c r="A2037">
        <f ca="1">33337.4318007795*(RANDBETWEEN(2890,3282))</f>
        <v>97278625.994674653</v>
      </c>
      <c r="B2037">
        <v>220778557.35935426</v>
      </c>
    </row>
    <row r="2038" spans="1:2" x14ac:dyDescent="0.25">
      <c r="A2038">
        <f ca="1">30735.7978673079*(RANDBETWEEN(2890,3282))</f>
        <v>93098731.740075767</v>
      </c>
      <c r="B2038">
        <v>215642147.06699839</v>
      </c>
    </row>
    <row r="2039" spans="1:2" x14ac:dyDescent="0.25">
      <c r="A2039">
        <f ca="1">30607.771766593*(RANDBETWEEN(2890,3282))</f>
        <v>95557463.455303326</v>
      </c>
      <c r="B2039">
        <v>247050174.14574283</v>
      </c>
    </row>
    <row r="2040" spans="1:2" x14ac:dyDescent="0.25">
      <c r="A2040">
        <f ca="1">32399.2294669329*(RANDBETWEEN(2890,3282))</f>
        <v>97327285.318666473</v>
      </c>
      <c r="B2040">
        <v>247603837.17552468</v>
      </c>
    </row>
    <row r="2041" spans="1:2" x14ac:dyDescent="0.25">
      <c r="A2041">
        <f ca="1">40009.5219215307*(RANDBETWEEN(2890,3282))</f>
        <v>125949975.00897878</v>
      </c>
      <c r="B2041">
        <v>231072703.74630734</v>
      </c>
    </row>
    <row r="2042" spans="1:2" x14ac:dyDescent="0.25">
      <c r="A2042">
        <f ca="1">32987.7952778513*(RANDBETWEEN(2890,3282))</f>
        <v>107672163.78690661</v>
      </c>
      <c r="B2042">
        <v>215665400.41219598</v>
      </c>
    </row>
    <row r="2043" spans="1:2" x14ac:dyDescent="0.25">
      <c r="A2043">
        <f ca="1">29857.6422504117*(RANDBETWEEN(2890,3282))</f>
        <v>95514597.559067085</v>
      </c>
      <c r="B2043">
        <v>255364973.48812097</v>
      </c>
    </row>
    <row r="2044" spans="1:2" x14ac:dyDescent="0.25">
      <c r="A2044">
        <f ca="1">40084.6985882545*(RANDBETWEEN(2890,3282))</f>
        <v>127268918.01770805</v>
      </c>
      <c r="B2044">
        <v>219519923.71055481</v>
      </c>
    </row>
    <row r="2045" spans="1:2" x14ac:dyDescent="0.25">
      <c r="A2045">
        <f ca="1">39441.9906733318*(RANDBETWEEN(2890,3282))</f>
        <v>127318745.89351511</v>
      </c>
      <c r="B2045">
        <v>252299800.67833322</v>
      </c>
    </row>
    <row r="2046" spans="1:2" x14ac:dyDescent="0.25">
      <c r="A2046">
        <f ca="1">37146.0795630653*(RANDBETWEEN(2890,3282))</f>
        <v>116750128.06671426</v>
      </c>
      <c r="B2046">
        <v>205950485.01316166</v>
      </c>
    </row>
    <row r="2047" spans="1:2" x14ac:dyDescent="0.25">
      <c r="A2047">
        <f ca="1">29732.2348664992*(RANDBETWEEN(2890,3282))</f>
        <v>87888486.265371755</v>
      </c>
      <c r="B2047">
        <v>250983995.06485695</v>
      </c>
    </row>
    <row r="2048" spans="1:2" x14ac:dyDescent="0.25">
      <c r="A2048">
        <f ca="1">37494.9930067964*(RANDBETWEEN(2890,3282))</f>
        <v>116796903.21617068</v>
      </c>
      <c r="B2048">
        <v>257610460.72136125</v>
      </c>
    </row>
    <row r="2049" spans="1:2" x14ac:dyDescent="0.25">
      <c r="A2049">
        <f ca="1">28456.4214627389*(RANDBETWEEN(2890,3282))</f>
        <v>84800135.958962038</v>
      </c>
      <c r="B2049">
        <v>244400793.1457918</v>
      </c>
    </row>
    <row r="2050" spans="1:2" x14ac:dyDescent="0.25">
      <c r="A2050">
        <f ca="1">36929.8435929089*(RANDBETWEEN(2890,3282))</f>
        <v>119098745.58713131</v>
      </c>
      <c r="B2050">
        <v>247430018.5403184</v>
      </c>
    </row>
    <row r="2051" spans="1:2" x14ac:dyDescent="0.25">
      <c r="A2051">
        <f ca="1">41664.6122129739*(RANDBETWEEN(2890,3282))</f>
        <v>123035599.86491206</v>
      </c>
      <c r="B2051">
        <v>206090701.85286951</v>
      </c>
    </row>
    <row r="2052" spans="1:2" x14ac:dyDescent="0.25">
      <c r="A2052">
        <f ca="1">36708.1357389852*(RANDBETWEEN(2890,3282))</f>
        <v>111005402.47469135</v>
      </c>
      <c r="B2052">
        <v>247000716.5975526</v>
      </c>
    </row>
    <row r="2053" spans="1:2" x14ac:dyDescent="0.25">
      <c r="A2053">
        <f ca="1">32816.8647156613*(RANDBETWEEN(2890,3282))</f>
        <v>96350314.805181518</v>
      </c>
      <c r="B2053">
        <v>216931854.44635397</v>
      </c>
    </row>
    <row r="2054" spans="1:2" x14ac:dyDescent="0.25">
      <c r="A2054">
        <f ca="1">38264.5217922631*(RANDBETWEEN(2890,3282))</f>
        <v>119385307.99186075</v>
      </c>
      <c r="B2054">
        <v>219620661.17024502</v>
      </c>
    </row>
    <row r="2055" spans="1:2" x14ac:dyDescent="0.25">
      <c r="A2055">
        <f ca="1">33195.6800061327*(RANDBETWEEN(2890,3282))</f>
        <v>96201080.657772616</v>
      </c>
      <c r="B2055">
        <v>227945704.08993429</v>
      </c>
    </row>
    <row r="2056" spans="1:2" x14ac:dyDescent="0.25">
      <c r="A2056">
        <f ca="1">39236.0989546506*(RANDBETWEEN(2890,3282))</f>
        <v>117590588.56708786</v>
      </c>
      <c r="B2056">
        <v>228221910.66356125</v>
      </c>
    </row>
    <row r="2057" spans="1:2" x14ac:dyDescent="0.25">
      <c r="A2057">
        <f ca="1">30933.7421358797*(RANDBETWEEN(2890,3282))</f>
        <v>90945201.879486322</v>
      </c>
      <c r="B2057">
        <v>237352351.15389746</v>
      </c>
    </row>
    <row r="2058" spans="1:2" x14ac:dyDescent="0.25">
      <c r="A2058">
        <f ca="1">35695.7610534352*(RANDBETWEEN(2890,3282))</f>
        <v>106409063.70029049</v>
      </c>
      <c r="B2058">
        <v>204801098.1588842</v>
      </c>
    </row>
    <row r="2059" spans="1:2" x14ac:dyDescent="0.25">
      <c r="A2059">
        <f ca="1">37276.3019310132*(RANDBETWEEN(2890,3282))</f>
        <v>114773733.64558978</v>
      </c>
      <c r="B2059">
        <v>217680421.89916199</v>
      </c>
    </row>
    <row r="2060" spans="1:2" x14ac:dyDescent="0.25">
      <c r="A2060">
        <f ca="1">28196.5184471512*(RANDBETWEEN(2890,3282))</f>
        <v>90144269.475542262</v>
      </c>
      <c r="B2060">
        <v>233045727.64486912</v>
      </c>
    </row>
    <row r="2061" spans="1:2" x14ac:dyDescent="0.25">
      <c r="A2061">
        <f ca="1">33122.1820240285*(RANDBETWEEN(2890,3282))</f>
        <v>100194600.62268615</v>
      </c>
      <c r="B2061">
        <v>220797451.74421477</v>
      </c>
    </row>
    <row r="2062" spans="1:2" x14ac:dyDescent="0.25">
      <c r="A2062">
        <f ca="1">29788.0312983786*(RANDBETWEEN(2890,3282))</f>
        <v>93117385.838731632</v>
      </c>
      <c r="B2062">
        <v>219037938.37512252</v>
      </c>
    </row>
    <row r="2063" spans="1:2" x14ac:dyDescent="0.25">
      <c r="A2063">
        <f ca="1">31270.666241379*(RANDBETWEEN(2890,3282))</f>
        <v>96688900.018343762</v>
      </c>
      <c r="B2063">
        <v>209388816.2460767</v>
      </c>
    </row>
    <row r="2064" spans="1:2" x14ac:dyDescent="0.25">
      <c r="A2064">
        <f ca="1">29346.4767119687*(RANDBETWEEN(2890,3282))</f>
        <v>88567666.716721505</v>
      </c>
      <c r="B2064">
        <v>217728787.94289279</v>
      </c>
    </row>
    <row r="2065" spans="1:2" x14ac:dyDescent="0.25">
      <c r="A2065">
        <f ca="1">32488.2894688629*(RANDBETWEEN(2890,3282))</f>
        <v>105002151.56336483</v>
      </c>
      <c r="B2065">
        <v>216353609.49460822</v>
      </c>
    </row>
    <row r="2066" spans="1:2" x14ac:dyDescent="0.25">
      <c r="A2066">
        <f ca="1">36504.7982675864*(RANDBETWEEN(2890,3282))</f>
        <v>106667020.53788736</v>
      </c>
      <c r="B2066">
        <v>205484477.4812555</v>
      </c>
    </row>
    <row r="2067" spans="1:2" x14ac:dyDescent="0.25">
      <c r="A2067">
        <f ca="1">31931.6466504323*(RANDBETWEEN(2890,3282))</f>
        <v>98796514.73643744</v>
      </c>
      <c r="B2067">
        <v>238582205.35434192</v>
      </c>
    </row>
    <row r="2068" spans="1:2" x14ac:dyDescent="0.25">
      <c r="A2068">
        <f ca="1">40438.700576068*(RANDBETWEEN(2890,3282))</f>
        <v>130131738.45378682</v>
      </c>
      <c r="B2068">
        <v>256143019.69331855</v>
      </c>
    </row>
    <row r="2069" spans="1:2" x14ac:dyDescent="0.25">
      <c r="A2069">
        <f ca="1">30671.0353294902*(RANDBETWEEN(2890,3282))</f>
        <v>100202272.42144451</v>
      </c>
      <c r="B2069">
        <v>209193353.53238386</v>
      </c>
    </row>
    <row r="2070" spans="1:2" x14ac:dyDescent="0.25">
      <c r="A2070">
        <f ca="1">38610.6149586*(RANDBETWEEN(2890,3282))</f>
        <v>124287569.55173343</v>
      </c>
      <c r="B2070">
        <v>259845586.28529561</v>
      </c>
    </row>
    <row r="2071" spans="1:2" x14ac:dyDescent="0.25">
      <c r="A2071">
        <f ca="1">34468.1143936123*(RANDBETWEEN(2890,3282))</f>
        <v>103749024.32477312</v>
      </c>
      <c r="B2071">
        <v>209749851.20831841</v>
      </c>
    </row>
    <row r="2072" spans="1:2" x14ac:dyDescent="0.25">
      <c r="A2072">
        <f ca="1">31350.4937763175*(RANDBETWEEN(2890,3282))</f>
        <v>92421255.652583987</v>
      </c>
      <c r="B2072">
        <v>251069043.98830605</v>
      </c>
    </row>
    <row r="2073" spans="1:2" x14ac:dyDescent="0.25">
      <c r="A2073">
        <f ca="1">41537.0374255202*(RANDBETWEEN(2890,3282))</f>
        <v>124154204.86487985</v>
      </c>
      <c r="B2073">
        <v>239000863.67516357</v>
      </c>
    </row>
    <row r="2074" spans="1:2" x14ac:dyDescent="0.25">
      <c r="A2074">
        <f ca="1">40074.2354045502*(RANDBETWEEN(2890,3282))</f>
        <v>119060553.38691869</v>
      </c>
      <c r="B2074">
        <v>242967804.59696478</v>
      </c>
    </row>
    <row r="2075" spans="1:2" x14ac:dyDescent="0.25">
      <c r="A2075">
        <f ca="1">34432.0403097333*(RANDBETWEEN(2890,3282))</f>
        <v>110630145.51517324</v>
      </c>
      <c r="B2075">
        <v>233532888.55544442</v>
      </c>
    </row>
    <row r="2076" spans="1:2" x14ac:dyDescent="0.25">
      <c r="A2076">
        <f ca="1">33515.4765524155*(RANDBETWEEN(2890,3282))</f>
        <v>104970472.56216547</v>
      </c>
      <c r="B2076">
        <v>257606281.43762279</v>
      </c>
    </row>
    <row r="2077" spans="1:2" x14ac:dyDescent="0.25">
      <c r="A2077">
        <f ca="1">31827.5365582715*(RANDBETWEEN(2890,3282))</f>
        <v>99461051.744598597</v>
      </c>
      <c r="B2077">
        <v>234847066.67419803</v>
      </c>
    </row>
    <row r="2078" spans="1:2" x14ac:dyDescent="0.25">
      <c r="A2078">
        <f ca="1">31521.0472886647*(RANDBETWEEN(2890,3282))</f>
        <v>96233757.372293398</v>
      </c>
      <c r="B2078">
        <v>216963868.40607697</v>
      </c>
    </row>
    <row r="2079" spans="1:2" x14ac:dyDescent="0.25">
      <c r="A2079">
        <f ca="1">41745.1671553067*(RANDBETWEEN(2890,3282))</f>
        <v>127197524.32221967</v>
      </c>
      <c r="B2079">
        <v>220496430.77882937</v>
      </c>
    </row>
    <row r="2080" spans="1:2" x14ac:dyDescent="0.25">
      <c r="A2080">
        <f ca="1">31295.5730762302*(RANDBETWEEN(2890,3282))</f>
        <v>95388906.736349598</v>
      </c>
      <c r="B2080">
        <v>221705804.71609217</v>
      </c>
    </row>
    <row r="2081" spans="1:2" x14ac:dyDescent="0.25">
      <c r="A2081">
        <f ca="1">38273.4283370721*(RANDBETWEEN(2890,3282))</f>
        <v>123661446.95707992</v>
      </c>
      <c r="B2081">
        <v>263202029.37167189</v>
      </c>
    </row>
    <row r="2082" spans="1:2" x14ac:dyDescent="0.25">
      <c r="A2082">
        <f ca="1">31590.179106446*(RANDBETWEEN(2890,3282))</f>
        <v>103363066.03629144</v>
      </c>
      <c r="B2082">
        <v>262878772.23562229</v>
      </c>
    </row>
    <row r="2083" spans="1:2" x14ac:dyDescent="0.25">
      <c r="A2083">
        <f ca="1">31186.5815097208*(RANDBETWEEN(2890,3282))</f>
        <v>102011308.11829659</v>
      </c>
      <c r="B2083">
        <v>227148020.87757629</v>
      </c>
    </row>
    <row r="2084" spans="1:2" x14ac:dyDescent="0.25">
      <c r="A2084">
        <f ca="1">41625.1891394829*(RANDBETWEEN(2890,3282))</f>
        <v>126665450.55144638</v>
      </c>
      <c r="B2084">
        <v>213774764.46588272</v>
      </c>
    </row>
    <row r="2085" spans="1:2" x14ac:dyDescent="0.25">
      <c r="A2085">
        <f ca="1">29795.0222154463*(RANDBETWEEN(2890,3282))</f>
        <v>92185798.734590724</v>
      </c>
      <c r="B2085">
        <v>243501629.21662685</v>
      </c>
    </row>
    <row r="2086" spans="1:2" x14ac:dyDescent="0.25">
      <c r="A2086">
        <f ca="1">31302.6734001708*(RANDBETWEEN(2890,3282))</f>
        <v>91716833.062500641</v>
      </c>
      <c r="B2086">
        <v>262433898.25711673</v>
      </c>
    </row>
    <row r="2087" spans="1:2" x14ac:dyDescent="0.25">
      <c r="A2087">
        <f ca="1">40214.7774037068*(RANDBETWEEN(2890,3282))</f>
        <v>125992897.6058135</v>
      </c>
      <c r="B2087">
        <v>253156507.17950329</v>
      </c>
    </row>
    <row r="2088" spans="1:2" x14ac:dyDescent="0.25">
      <c r="A2088">
        <f ca="1">35696.109794107*(RANDBETWEEN(2890,3282))</f>
        <v>103518718.40291029</v>
      </c>
      <c r="B2088">
        <v>243240261.31255317</v>
      </c>
    </row>
    <row r="2089" spans="1:2" x14ac:dyDescent="0.25">
      <c r="A2089">
        <f ca="1">28270.9855064914*(RANDBETWEEN(2890,3282))</f>
        <v>91569722.055525631</v>
      </c>
      <c r="B2089">
        <v>249610345.6167767</v>
      </c>
    </row>
    <row r="2090" spans="1:2" x14ac:dyDescent="0.25">
      <c r="A2090">
        <f ca="1">38729.0672783503*(RANDBETWEEN(2890,3282))</f>
        <v>123506995.55065903</v>
      </c>
      <c r="B2090">
        <v>244984020.36991608</v>
      </c>
    </row>
    <row r="2091" spans="1:2" x14ac:dyDescent="0.25">
      <c r="A2091">
        <f ca="1">32703.4653745538*(RANDBETWEEN(2890,3282))</f>
        <v>97783361.469915926</v>
      </c>
      <c r="B2091">
        <v>223706830.13795602</v>
      </c>
    </row>
    <row r="2092" spans="1:2" x14ac:dyDescent="0.25">
      <c r="A2092">
        <f ca="1">30376.375987666*(RANDBETWEEN(2890,3282))</f>
        <v>93346603.410097659</v>
      </c>
      <c r="B2092">
        <v>217827077.85779029</v>
      </c>
    </row>
    <row r="2093" spans="1:2" x14ac:dyDescent="0.25">
      <c r="A2093">
        <f ca="1">38517.1581345595*(RANDBETWEEN(2890,3282))</f>
        <v>117092160.72906075</v>
      </c>
      <c r="B2093">
        <v>208208579.78300077</v>
      </c>
    </row>
    <row r="2094" spans="1:2" x14ac:dyDescent="0.25">
      <c r="A2094">
        <f ca="1">29883.4849524807*(RANDBETWEEN(2890,3282))</f>
        <v>89680338.342394501</v>
      </c>
      <c r="B2094">
        <v>229775186.38813895</v>
      </c>
    </row>
    <row r="2095" spans="1:2" x14ac:dyDescent="0.25">
      <c r="A2095">
        <f ca="1">31943.6652936091*(RANDBETWEEN(2890,3282))</f>
        <v>95543502.893184707</v>
      </c>
      <c r="B2095">
        <v>258069946.38146996</v>
      </c>
    </row>
    <row r="2096" spans="1:2" x14ac:dyDescent="0.25">
      <c r="A2096">
        <f ca="1">39762.7197555269*(RANDBETWEEN(2890,3282))</f>
        <v>116266192.56516077</v>
      </c>
      <c r="B2096">
        <v>248961758.82525405</v>
      </c>
    </row>
    <row r="2097" spans="1:2" x14ac:dyDescent="0.25">
      <c r="A2097">
        <f ca="1">37045.3995142066*(RANDBETWEEN(2890,3282))</f>
        <v>112543923.72415991</v>
      </c>
      <c r="B2097">
        <v>219347014.83846536</v>
      </c>
    </row>
    <row r="2098" spans="1:2" x14ac:dyDescent="0.25">
      <c r="A2098">
        <f ca="1">33205.3802732741*(RANDBETWEEN(2890,3282))</f>
        <v>102770651.94578335</v>
      </c>
      <c r="B2098">
        <v>214832022.1805228</v>
      </c>
    </row>
    <row r="2099" spans="1:2" x14ac:dyDescent="0.25">
      <c r="A2099">
        <f ca="1">40206.1646141594*(RANDBETWEEN(2890,3282))</f>
        <v>116999939.02720374</v>
      </c>
      <c r="B2099">
        <v>213884073.82181048</v>
      </c>
    </row>
    <row r="2100" spans="1:2" x14ac:dyDescent="0.25">
      <c r="A2100">
        <f ca="1">31232.6245802082*(RANDBETWEEN(2890,3282))</f>
        <v>98226604.304754704</v>
      </c>
      <c r="B2100">
        <v>259794201.67821673</v>
      </c>
    </row>
    <row r="2101" spans="1:2" x14ac:dyDescent="0.25">
      <c r="A2101">
        <f ca="1">34914.1442477669*(RANDBETWEEN(2890,3282))</f>
        <v>107989448.15834306</v>
      </c>
      <c r="B2101">
        <v>218564484.15085125</v>
      </c>
    </row>
    <row r="2102" spans="1:2" x14ac:dyDescent="0.25">
      <c r="A2102">
        <f ca="1">30428.830295012*(RANDBETWEEN(2890,3282))</f>
        <v>98132977.701413557</v>
      </c>
      <c r="B2102">
        <v>266455655.41160071</v>
      </c>
    </row>
    <row r="2103" spans="1:2" x14ac:dyDescent="0.25">
      <c r="A2103">
        <f ca="1">32264.2530478989*(RANDBETWEEN(2890,3282))</f>
        <v>98889935.591810092</v>
      </c>
      <c r="B2103">
        <v>244593217.61224568</v>
      </c>
    </row>
    <row r="2104" spans="1:2" x14ac:dyDescent="0.25">
      <c r="A2104">
        <f ca="1">30070.5462702295*(RANDBETWEEN(2890,3282))</f>
        <v>92106083.22571291</v>
      </c>
      <c r="B2104">
        <v>255237425.90604368</v>
      </c>
    </row>
    <row r="2105" spans="1:2" x14ac:dyDescent="0.25">
      <c r="A2105">
        <f ca="1">40834.9232936103*(RANDBETWEEN(2890,3282))</f>
        <v>130304240.22991061</v>
      </c>
      <c r="B2105">
        <v>242204034.00090522</v>
      </c>
    </row>
    <row r="2106" spans="1:2" x14ac:dyDescent="0.25">
      <c r="A2106">
        <f ca="1">32344.5511988396*(RANDBETWEEN(2890,3282))</f>
        <v>98650881.156460822</v>
      </c>
      <c r="B2106">
        <v>211742182.69101387</v>
      </c>
    </row>
    <row r="2107" spans="1:2" x14ac:dyDescent="0.25">
      <c r="A2107">
        <f ca="1">36670.4013095226*(RANDBETWEEN(2890,3282))</f>
        <v>119875541.88082944</v>
      </c>
      <c r="B2107">
        <v>209819664.33424991</v>
      </c>
    </row>
    <row r="2108" spans="1:2" x14ac:dyDescent="0.25">
      <c r="A2108">
        <f ca="1">39850.270406972*(RANDBETWEEN(2890,3282))</f>
        <v>125966704.75643839</v>
      </c>
      <c r="B2108">
        <v>253017702.60517606</v>
      </c>
    </row>
    <row r="2109" spans="1:2" x14ac:dyDescent="0.25">
      <c r="A2109">
        <f ca="1">33484.1890843377*(RANDBETWEEN(2890,3282))</f>
        <v>109593750.8730374</v>
      </c>
      <c r="B2109">
        <v>264739850.82536262</v>
      </c>
    </row>
    <row r="2110" spans="1:2" x14ac:dyDescent="0.25">
      <c r="A2110">
        <f ca="1">32633.9235250273*(RANDBETWEEN(2890,3282))</f>
        <v>107104537.00913973</v>
      </c>
      <c r="B2110">
        <v>246341277.79264811</v>
      </c>
    </row>
    <row r="2111" spans="1:2" x14ac:dyDescent="0.25">
      <c r="A2111">
        <f ca="1">34128.7385095436*(RANDBETWEEN(2890,3282))</f>
        <v>99212242.847243115</v>
      </c>
      <c r="B2111">
        <v>258276362.75125629</v>
      </c>
    </row>
    <row r="2112" spans="1:2" x14ac:dyDescent="0.25">
      <c r="A2112">
        <f ca="1">32908.9803154962*(RANDBETWEEN(2890,3282))</f>
        <v>105144192.10801046</v>
      </c>
      <c r="B2112">
        <v>267309487.11580524</v>
      </c>
    </row>
    <row r="2113" spans="1:2" x14ac:dyDescent="0.25">
      <c r="A2113">
        <f ca="1">32381.758491092*(RANDBETWEEN(2890,3282))</f>
        <v>98991035.707268372</v>
      </c>
      <c r="B2113">
        <v>223540506.25635651</v>
      </c>
    </row>
    <row r="2114" spans="1:2" x14ac:dyDescent="0.25">
      <c r="A2114">
        <f ca="1">35348.3926382178*(RANDBETWEEN(2890,3282))</f>
        <v>109686062.35638975</v>
      </c>
      <c r="B2114">
        <v>267314098.64577591</v>
      </c>
    </row>
    <row r="2115" spans="1:2" x14ac:dyDescent="0.25">
      <c r="A2115">
        <f ca="1">30856.6866768594*(RANDBETWEEN(2890,3282))</f>
        <v>90718658.829966515</v>
      </c>
      <c r="B2115">
        <v>249757327.69368598</v>
      </c>
    </row>
    <row r="2116" spans="1:2" x14ac:dyDescent="0.25">
      <c r="A2116">
        <f ca="1">36631.8013469709*(RANDBETWEEN(2890,3282))</f>
        <v>114254588.4012022</v>
      </c>
      <c r="B2116">
        <v>257571029.45418727</v>
      </c>
    </row>
    <row r="2117" spans="1:2" x14ac:dyDescent="0.25">
      <c r="A2117">
        <f ca="1">32071.9785929595*(RANDBETWEEN(2890,3282))</f>
        <v>99519349.573953316</v>
      </c>
      <c r="B2117">
        <v>252760912.3750906</v>
      </c>
    </row>
    <row r="2118" spans="1:2" x14ac:dyDescent="0.25">
      <c r="A2118">
        <f ca="1">34962.0602953707*(RANDBETWEEN(2890,3282))</f>
        <v>112857530.6334565</v>
      </c>
      <c r="B2118">
        <v>228675144.64498958</v>
      </c>
    </row>
    <row r="2119" spans="1:2" x14ac:dyDescent="0.25">
      <c r="A2119">
        <f ca="1">38138.6317263757*(RANDBETWEEN(2890,3282))</f>
        <v>110487616.11131047</v>
      </c>
      <c r="B2119">
        <v>246326312.26656744</v>
      </c>
    </row>
    <row r="2120" spans="1:2" x14ac:dyDescent="0.25">
      <c r="A2120">
        <f ca="1">30425.2232679076*(RANDBETWEEN(2890,3282))</f>
        <v>88750376.272486433</v>
      </c>
      <c r="B2120">
        <v>209368314.14319462</v>
      </c>
    </row>
    <row r="2121" spans="1:2" x14ac:dyDescent="0.25">
      <c r="A2121">
        <f ca="1">38367.9812050331*(RANDBETWEEN(2890,3282))</f>
        <v>111689193.28785148</v>
      </c>
      <c r="B2121">
        <v>265372480.62195694</v>
      </c>
    </row>
    <row r="2122" spans="1:2" x14ac:dyDescent="0.25">
      <c r="A2122">
        <f ca="1">36970.4685643354*(RANDBETWEEN(2890,3282))</f>
        <v>118970967.8400314</v>
      </c>
      <c r="B2122">
        <v>223569721.29761368</v>
      </c>
    </row>
    <row r="2123" spans="1:2" x14ac:dyDescent="0.25">
      <c r="A2123">
        <f ca="1">33394.0139193646*(RANDBETWEEN(2890,3282))</f>
        <v>97710884.728060722</v>
      </c>
      <c r="B2123">
        <v>261169160.59713531</v>
      </c>
    </row>
    <row r="2124" spans="1:2" x14ac:dyDescent="0.25">
      <c r="A2124">
        <f ca="1">30166.1299293655*(RANDBETWEEN(2890,3282))</f>
        <v>93183175.351810023</v>
      </c>
      <c r="B2124">
        <v>222041277.44701231</v>
      </c>
    </row>
    <row r="2125" spans="1:2" x14ac:dyDescent="0.25">
      <c r="A2125">
        <f ca="1">42135.408672148*(RANDBETWEEN(2890,3282))</f>
        <v>123751695.27009861</v>
      </c>
      <c r="B2125">
        <v>267530825.45053947</v>
      </c>
    </row>
    <row r="2126" spans="1:2" x14ac:dyDescent="0.25">
      <c r="A2126">
        <f ca="1">29948.0160580533*(RANDBETWEEN(2890,3282))</f>
        <v>90622696.591669351</v>
      </c>
      <c r="B2126">
        <v>219331274.49108967</v>
      </c>
    </row>
    <row r="2127" spans="1:2" x14ac:dyDescent="0.25">
      <c r="A2127">
        <f ca="1">39902.3502342798*(RANDBETWEEN(2890,3282))</f>
        <v>119906562.4540108</v>
      </c>
      <c r="B2127">
        <v>256485974.84625039</v>
      </c>
    </row>
    <row r="2128" spans="1:2" x14ac:dyDescent="0.25">
      <c r="A2128">
        <f ca="1">32998.4540850548*(RANDBETWEEN(2890,3282))</f>
        <v>104308113.36285836</v>
      </c>
      <c r="B2128">
        <v>240507772.72487873</v>
      </c>
    </row>
    <row r="2129" spans="1:2" x14ac:dyDescent="0.25">
      <c r="A2129">
        <f ca="1">32915.3483976846*(RANDBETWEEN(2890,3282))</f>
        <v>100984288.88409621</v>
      </c>
      <c r="B2129">
        <v>211429219.04156259</v>
      </c>
    </row>
    <row r="2130" spans="1:2" x14ac:dyDescent="0.25">
      <c r="A2130">
        <f ca="1">32084.8676320882*(RANDBETWEEN(2890,3282))</f>
        <v>95259971.999669731</v>
      </c>
      <c r="B2130">
        <v>234344729.49621177</v>
      </c>
    </row>
    <row r="2131" spans="1:2" x14ac:dyDescent="0.25">
      <c r="A2131">
        <f ca="1">30528.5928654357*(RANDBETWEEN(2890,3282))</f>
        <v>91188906.889056563</v>
      </c>
      <c r="B2131">
        <v>207108893.82153437</v>
      </c>
    </row>
    <row r="2132" spans="1:2" x14ac:dyDescent="0.25">
      <c r="A2132">
        <f ca="1">32145.2081290374*(RANDBETWEEN(2890,3282))</f>
        <v>95599848.975757286</v>
      </c>
      <c r="B2132">
        <v>249876703.73249727</v>
      </c>
    </row>
    <row r="2133" spans="1:2" x14ac:dyDescent="0.25">
      <c r="A2133">
        <f ca="1">31019.8531998985*(RANDBETWEEN(2890,3282))</f>
        <v>95944405.947286174</v>
      </c>
      <c r="B2133">
        <v>254570792.59766924</v>
      </c>
    </row>
    <row r="2134" spans="1:2" x14ac:dyDescent="0.25">
      <c r="A2134">
        <f ca="1">36835.5038737909*(RANDBETWEEN(2890,3282))</f>
        <v>111906260.76857662</v>
      </c>
      <c r="B2134">
        <v>208022930.41654855</v>
      </c>
    </row>
    <row r="2135" spans="1:2" x14ac:dyDescent="0.25">
      <c r="A2135">
        <f ca="1">35531.1716539616*(RANDBETWEEN(2890,3282))</f>
        <v>116542243.02499408</v>
      </c>
      <c r="B2135">
        <v>229591643.49366656</v>
      </c>
    </row>
    <row r="2136" spans="1:2" x14ac:dyDescent="0.25">
      <c r="A2136">
        <f ca="1">41055.965260752*(RANDBETWEEN(2890,3282))</f>
        <v>132528655.86170742</v>
      </c>
      <c r="B2136">
        <v>249468773.73966911</v>
      </c>
    </row>
    <row r="2137" spans="1:2" x14ac:dyDescent="0.25">
      <c r="A2137">
        <f ca="1">40158.6909109925*(RANDBETWEEN(2890,3282))</f>
        <v>128909397.82428601</v>
      </c>
      <c r="B2137">
        <v>248524456.03899047</v>
      </c>
    </row>
    <row r="2138" spans="1:2" x14ac:dyDescent="0.25">
      <c r="A2138">
        <f ca="1">33597.188888373*(RANDBETWEEN(2890,3282))</f>
        <v>98842929.70959352</v>
      </c>
      <c r="B2138">
        <v>258553302.04722929</v>
      </c>
    </row>
    <row r="2139" spans="1:2" x14ac:dyDescent="0.25">
      <c r="A2139">
        <f ca="1">31049.9396706674*(RANDBETWEEN(2890,3282))</f>
        <v>89920625.286252797</v>
      </c>
      <c r="B2139">
        <v>251940235.38213158</v>
      </c>
    </row>
    <row r="2140" spans="1:2" x14ac:dyDescent="0.25">
      <c r="A2140">
        <f ca="1">32248.8283766219*(RANDBETWEEN(2890,3282))</f>
        <v>93263611.665190592</v>
      </c>
      <c r="B2140">
        <v>224132635.94220555</v>
      </c>
    </row>
    <row r="2141" spans="1:2" x14ac:dyDescent="0.25">
      <c r="A2141">
        <f ca="1">32283.2885113204*(RANDBETWEEN(2890,3282))</f>
        <v>99400245.326355517</v>
      </c>
      <c r="B2141">
        <v>243571562.41621</v>
      </c>
    </row>
    <row r="2142" spans="1:2" x14ac:dyDescent="0.25">
      <c r="A2142">
        <f ca="1">30141.2652423719*(RANDBETWEEN(2890,3282))</f>
        <v>87258962.876666605</v>
      </c>
      <c r="B2142">
        <v>219668942.34308934</v>
      </c>
    </row>
    <row r="2143" spans="1:2" x14ac:dyDescent="0.25">
      <c r="A2143">
        <f ca="1">31023.4677494056*(RANDBETWEEN(2890,3282))</f>
        <v>90960807.441257253</v>
      </c>
      <c r="B2143">
        <v>213569084.1781095</v>
      </c>
    </row>
    <row r="2144" spans="1:2" x14ac:dyDescent="0.25">
      <c r="A2144">
        <f ca="1">35291.4912063552*(RANDBETWEEN(2890,3282))</f>
        <v>113673893.17567004</v>
      </c>
      <c r="B2144">
        <v>237415113.97901234</v>
      </c>
    </row>
    <row r="2145" spans="1:2" x14ac:dyDescent="0.25">
      <c r="A2145">
        <f ca="1">32445.4937418654*(RANDBETWEEN(2890,3282))</f>
        <v>93929704.382700205</v>
      </c>
      <c r="B2145">
        <v>223848284.79033354</v>
      </c>
    </row>
    <row r="2146" spans="1:2" x14ac:dyDescent="0.25">
      <c r="A2146">
        <f ca="1">31746.5487665633*(RANDBETWEEN(2890,3282))</f>
        <v>98128582.237447217</v>
      </c>
      <c r="B2146">
        <v>245438924.82565039</v>
      </c>
    </row>
    <row r="2147" spans="1:2" x14ac:dyDescent="0.25">
      <c r="A2147">
        <f ca="1">33161.9364084475*(RANDBETWEEN(2890,3282))</f>
        <v>103730537.08562388</v>
      </c>
      <c r="B2147">
        <v>230564715.16949344</v>
      </c>
    </row>
    <row r="2148" spans="1:2" x14ac:dyDescent="0.25">
      <c r="A2148">
        <f ca="1">31938.505498717*(RANDBETWEEN(2890,3282))</f>
        <v>94506037.770703644</v>
      </c>
      <c r="B2148">
        <v>240820752.05638683</v>
      </c>
    </row>
    <row r="2149" spans="1:2" x14ac:dyDescent="0.25">
      <c r="A2149">
        <f ca="1">39938.8146347105*(RANDBETWEEN(2890,3282))</f>
        <v>119017667.61143734</v>
      </c>
      <c r="B2149">
        <v>231012552.38431686</v>
      </c>
    </row>
    <row r="2150" spans="1:2" x14ac:dyDescent="0.25">
      <c r="A2150">
        <f ca="1">33197.1364319988*(RANDBETWEEN(2890,3282))</f>
        <v>108720621.81479606</v>
      </c>
      <c r="B2150">
        <v>262662274.17059299</v>
      </c>
    </row>
    <row r="2151" spans="1:2" x14ac:dyDescent="0.25">
      <c r="A2151">
        <f ca="1">32565.3977441453*(RANDBETWEEN(2890,3282))</f>
        <v>100106032.66550264</v>
      </c>
      <c r="B2151">
        <v>208788157.50851798</v>
      </c>
    </row>
    <row r="2152" spans="1:2" x14ac:dyDescent="0.25">
      <c r="A2152">
        <f ca="1">32359.3645118075*(RANDBETWEEN(2890,3282))</f>
        <v>96236750.058115423</v>
      </c>
      <c r="B2152">
        <v>252580260.32626003</v>
      </c>
    </row>
    <row r="2153" spans="1:2" x14ac:dyDescent="0.25">
      <c r="A2153">
        <f ca="1">37781.605891003*(RANDBETWEEN(2890,3282))</f>
        <v>112967001.61409897</v>
      </c>
      <c r="B2153">
        <v>238354057.767647</v>
      </c>
    </row>
    <row r="2154" spans="1:2" x14ac:dyDescent="0.25">
      <c r="A2154">
        <f ca="1">35612.9874670942*(RANDBETWEEN(2890,3282))</f>
        <v>105307603.94019753</v>
      </c>
      <c r="B2154">
        <v>239053513.28677124</v>
      </c>
    </row>
    <row r="2155" spans="1:2" x14ac:dyDescent="0.25">
      <c r="A2155">
        <f ca="1">30195.589350097*(RANDBETWEEN(2890,3282))</f>
        <v>98709381.585467026</v>
      </c>
      <c r="B2155">
        <v>252596032.38109797</v>
      </c>
    </row>
    <row r="2156" spans="1:2" x14ac:dyDescent="0.25">
      <c r="A2156">
        <f ca="1">30698.9520000084*(RANDBETWEEN(2890,3282))</f>
        <v>100723261.51202753</v>
      </c>
      <c r="B2156">
        <v>252803536.68924206</v>
      </c>
    </row>
    <row r="2157" spans="1:2" x14ac:dyDescent="0.25">
      <c r="A2157">
        <f ca="1">30749.2294317112*(RANDBETWEEN(2890,3282))</f>
        <v>89172765.351962537</v>
      </c>
      <c r="B2157">
        <v>264874638.40283453</v>
      </c>
    </row>
    <row r="2158" spans="1:2" x14ac:dyDescent="0.25">
      <c r="A2158">
        <f ca="1">30733.3208117139*(RANDBETWEEN(2890,3282))</f>
        <v>97209493.727451175</v>
      </c>
      <c r="B2158">
        <v>231661340.28202954</v>
      </c>
    </row>
    <row r="2159" spans="1:2" x14ac:dyDescent="0.25">
      <c r="A2159">
        <f ca="1">32250.8526694531*(RANDBETWEEN(2890,3282))</f>
        <v>102493209.78352183</v>
      </c>
      <c r="B2159">
        <v>219992880.45339105</v>
      </c>
    </row>
    <row r="2160" spans="1:2" x14ac:dyDescent="0.25">
      <c r="A2160">
        <f ca="1">37888.7680444328*(RANDBETWEEN(2890,3282))</f>
        <v>113438971.52503178</v>
      </c>
      <c r="B2160">
        <v>247064971.39854863</v>
      </c>
    </row>
    <row r="2161" spans="1:2" x14ac:dyDescent="0.25">
      <c r="A2161">
        <f ca="1">32558.6140833607*(RANDBETWEEN(2890,3282))</f>
        <v>105001530.4188381</v>
      </c>
      <c r="B2161">
        <v>229378438.13096768</v>
      </c>
    </row>
    <row r="2162" spans="1:2" x14ac:dyDescent="0.25">
      <c r="A2162">
        <f ca="1">34849.9858092837*(RANDBETWEEN(2890,3282))</f>
        <v>106153056.77507822</v>
      </c>
      <c r="B2162">
        <v>237894516.62728941</v>
      </c>
    </row>
    <row r="2163" spans="1:2" x14ac:dyDescent="0.25">
      <c r="A2163">
        <f ca="1">32438.3172331397*(RANDBETWEEN(2890,3282))</f>
        <v>103445793.65648235</v>
      </c>
      <c r="B2163">
        <v>208428428.20347565</v>
      </c>
    </row>
    <row r="2164" spans="1:2" x14ac:dyDescent="0.25">
      <c r="A2164">
        <f ca="1">32400.4438043681*(RANDBETWEEN(2890,3282))</f>
        <v>93831685.257449895</v>
      </c>
      <c r="B2164">
        <v>213017072.87660062</v>
      </c>
    </row>
    <row r="2165" spans="1:2" x14ac:dyDescent="0.25">
      <c r="A2165">
        <f ca="1">35941.2929383041*(RANDBETWEEN(2890,3282))</f>
        <v>113826074.73560898</v>
      </c>
      <c r="B2165">
        <v>249460016.50687718</v>
      </c>
    </row>
    <row r="2166" spans="1:2" x14ac:dyDescent="0.25">
      <c r="A2166">
        <f ca="1">32263.1409360764*(RANDBETWEEN(2890,3282))</f>
        <v>95208528.902361318</v>
      </c>
      <c r="B2166">
        <v>246993591.02221832</v>
      </c>
    </row>
    <row r="2167" spans="1:2" x14ac:dyDescent="0.25">
      <c r="A2167">
        <f ca="1">32609.2982827044*(RANDBETWEEN(2890,3282))</f>
        <v>105719345.03252767</v>
      </c>
      <c r="B2167">
        <v>264062360.82245073</v>
      </c>
    </row>
    <row r="2168" spans="1:2" x14ac:dyDescent="0.25">
      <c r="A2168">
        <f ca="1">41197.535684538*(RANDBETWEEN(2890,3282))</f>
        <v>124457755.30298927</v>
      </c>
      <c r="B2168">
        <v>249342533.33947659</v>
      </c>
    </row>
    <row r="2169" spans="1:2" x14ac:dyDescent="0.25">
      <c r="A2169">
        <f ca="1">32663.4835659403*(RANDBETWEEN(2890,3282))</f>
        <v>103902541.22325598</v>
      </c>
      <c r="B2169">
        <v>204918843.50483048</v>
      </c>
    </row>
    <row r="2170" spans="1:2" x14ac:dyDescent="0.25">
      <c r="A2170">
        <f ca="1">33396.4496999802*(RANDBETWEEN(2890,3282))</f>
        <v>98486130.165241733</v>
      </c>
      <c r="B2170">
        <v>250440703.73693746</v>
      </c>
    </row>
    <row r="2171" spans="1:2" x14ac:dyDescent="0.25">
      <c r="A2171">
        <f ca="1">38302.606663033*(RANDBETWEEN(2890,3282))</f>
        <v>118355054.58877209</v>
      </c>
      <c r="B2171">
        <v>223108733.7349745</v>
      </c>
    </row>
    <row r="2172" spans="1:2" x14ac:dyDescent="0.25">
      <c r="A2172">
        <f ca="1">31134.8486665245*(RANDBETWEEN(2890,3282))</f>
        <v>101561876.35020305</v>
      </c>
      <c r="B2172">
        <v>245314411.68903697</v>
      </c>
    </row>
    <row r="2173" spans="1:2" x14ac:dyDescent="0.25">
      <c r="A2173">
        <f ca="1">30648.1332115072*(RANDBETWEEN(2890,3282))</f>
        <v>97675600.54507333</v>
      </c>
      <c r="B2173">
        <v>217563136.81016803</v>
      </c>
    </row>
    <row r="2174" spans="1:2" x14ac:dyDescent="0.25">
      <c r="A2174">
        <f ca="1">29916.2967353554*(RANDBETWEEN(2890,3282))</f>
        <v>91543868.010187536</v>
      </c>
      <c r="B2174">
        <v>251737611.07534772</v>
      </c>
    </row>
    <row r="2175" spans="1:2" x14ac:dyDescent="0.25">
      <c r="A2175">
        <f ca="1">32917.7017858832*(RANDBETWEEN(2890,3282))</f>
        <v>95691759.09156245</v>
      </c>
      <c r="B2175">
        <v>236384544.46983147</v>
      </c>
    </row>
    <row r="2176" spans="1:2" x14ac:dyDescent="0.25">
      <c r="A2176">
        <f ca="1">35722.3279302778*(RANDBETWEEN(2890,3282))</f>
        <v>107881430.34943891</v>
      </c>
      <c r="B2176">
        <v>225709104.86625105</v>
      </c>
    </row>
    <row r="2177" spans="1:2" x14ac:dyDescent="0.25">
      <c r="A2177">
        <f ca="1">32652.6644415542*(RANDBETWEEN(2890,3282))</f>
        <v>96260054.773701787</v>
      </c>
      <c r="B2177">
        <v>210012838.25856367</v>
      </c>
    </row>
    <row r="2178" spans="1:2" x14ac:dyDescent="0.25">
      <c r="A2178">
        <f ca="1">40323.5704182958*(RANDBETWEEN(2890,3282))</f>
        <v>120648122.69154093</v>
      </c>
      <c r="B2178">
        <v>208710142.34551778</v>
      </c>
    </row>
    <row r="2179" spans="1:2" x14ac:dyDescent="0.25">
      <c r="A2179">
        <f ca="1">37060.795452311*(RANDBETWEEN(2890,3282))</f>
        <v>112998365.33409613</v>
      </c>
      <c r="B2179">
        <v>231642011.42369395</v>
      </c>
    </row>
    <row r="2180" spans="1:2" x14ac:dyDescent="0.25">
      <c r="A2180">
        <f ca="1">31507.5605602715*(RANDBETWEEN(2890,3282))</f>
        <v>96822733.601714373</v>
      </c>
      <c r="B2180">
        <v>242027036.59093577</v>
      </c>
    </row>
    <row r="2181" spans="1:2" x14ac:dyDescent="0.25">
      <c r="A2181">
        <f ca="1">32863.0011580339*(RANDBETWEEN(2890,3282))</f>
        <v>106278945.74508169</v>
      </c>
      <c r="B2181">
        <v>259435565.04232478</v>
      </c>
    </row>
    <row r="2182" spans="1:2" x14ac:dyDescent="0.25">
      <c r="A2182">
        <f ca="1">36725.4493126484*(RANDBETWEEN(2890,3282))</f>
        <v>115317910.84171607</v>
      </c>
      <c r="B2182">
        <v>207858626.27406713</v>
      </c>
    </row>
    <row r="2183" spans="1:2" x14ac:dyDescent="0.25">
      <c r="A2183">
        <f ca="1">38155.6276126469*(RANDBETWEEN(2890,3282))</f>
        <v>113245902.75433595</v>
      </c>
      <c r="B2183">
        <v>225986492.39142978</v>
      </c>
    </row>
    <row r="2184" spans="1:2" x14ac:dyDescent="0.25">
      <c r="A2184">
        <f ca="1">37647.9252197636*(RANDBETWEEN(2890,3282))</f>
        <v>117085047.43346478</v>
      </c>
      <c r="B2184">
        <v>241575387.29607308</v>
      </c>
    </row>
    <row r="2185" spans="1:2" x14ac:dyDescent="0.25">
      <c r="A2185">
        <f ca="1">30090.4394795317*(RANDBETWEEN(2890,3282))</f>
        <v>94483979.965729669</v>
      </c>
      <c r="B2185">
        <v>246890526.72872743</v>
      </c>
    </row>
    <row r="2186" spans="1:2" x14ac:dyDescent="0.25">
      <c r="A2186">
        <f ca="1">34625.8309326907*(RANDBETWEEN(2890,3282))</f>
        <v>102319330.40610108</v>
      </c>
      <c r="B2186">
        <v>235168187.24050614</v>
      </c>
    </row>
    <row r="2187" spans="1:2" x14ac:dyDescent="0.25">
      <c r="A2187">
        <f ca="1">30876.4164593391*(RANDBETWEEN(2890,3282))</f>
        <v>99391184.582612604</v>
      </c>
      <c r="B2187">
        <v>263031831.42193103</v>
      </c>
    </row>
    <row r="2188" spans="1:2" x14ac:dyDescent="0.25">
      <c r="A2188">
        <f ca="1">37561.002287756*(RANDBETWEEN(2890,3282))</f>
        <v>119669353.28879051</v>
      </c>
      <c r="B2188">
        <v>234085457.06903163</v>
      </c>
    </row>
    <row r="2189" spans="1:2" x14ac:dyDescent="0.25">
      <c r="A2189">
        <f ca="1">42732.1304581176*(RANDBETWEEN(2890,3282))</f>
        <v>130418462.15817487</v>
      </c>
      <c r="B2189">
        <v>261409198.34796956</v>
      </c>
    </row>
    <row r="2190" spans="1:2" x14ac:dyDescent="0.25">
      <c r="A2190">
        <f ca="1">33947.0927676842*(RANDBETWEEN(2890,3282))</f>
        <v>110158316.03113538</v>
      </c>
      <c r="B2190">
        <v>214776002.98630944</v>
      </c>
    </row>
    <row r="2191" spans="1:2" x14ac:dyDescent="0.25">
      <c r="A2191">
        <f ca="1">30162.0125709184*(RANDBETWEEN(2890,3282))</f>
        <v>98388485.006335795</v>
      </c>
      <c r="B2191">
        <v>216785935.06110942</v>
      </c>
    </row>
    <row r="2192" spans="1:2" x14ac:dyDescent="0.25">
      <c r="A2192">
        <f ca="1">40294.6860729516*(RANDBETWEEN(2890,3282))</f>
        <v>125155294.94258752</v>
      </c>
      <c r="B2192">
        <v>240598176.63442919</v>
      </c>
    </row>
    <row r="2193" spans="1:2" x14ac:dyDescent="0.25">
      <c r="A2193">
        <f ca="1">34386.4352155213*(RANDBETWEEN(2890,3282))</f>
        <v>101130505.9688482</v>
      </c>
      <c r="B2193">
        <v>252859116.01509726</v>
      </c>
    </row>
    <row r="2194" spans="1:2" x14ac:dyDescent="0.25">
      <c r="A2194">
        <f ca="1">39383.2208824473*(RANDBETWEEN(2890,3282))</f>
        <v>120945871.32999568</v>
      </c>
      <c r="B2194">
        <v>247664211.26336014</v>
      </c>
    </row>
    <row r="2195" spans="1:2" x14ac:dyDescent="0.25">
      <c r="A2195">
        <f ca="1">33161.8335227186*(RANDBETWEEN(2890,3282))</f>
        <v>103962348.09372282</v>
      </c>
      <c r="B2195">
        <v>205170754.89066166</v>
      </c>
    </row>
    <row r="2196" spans="1:2" x14ac:dyDescent="0.25">
      <c r="A2196">
        <f ca="1">39027.5922829461*(RANDBETWEEN(2890,3282))</f>
        <v>120322067.00832288</v>
      </c>
      <c r="B2196">
        <v>220172433.20789611</v>
      </c>
    </row>
    <row r="2197" spans="1:2" x14ac:dyDescent="0.25">
      <c r="A2197">
        <f ca="1">32154.0334330494*(RANDBETWEEN(2890,3282))</f>
        <v>100545662.54514557</v>
      </c>
      <c r="B2197">
        <v>264684190.04448363</v>
      </c>
    </row>
    <row r="2198" spans="1:2" x14ac:dyDescent="0.25">
      <c r="A2198">
        <f ca="1">35482.4592260704*(RANDBETWEEN(2890,3282))</f>
        <v>109215009.49784474</v>
      </c>
      <c r="B2198">
        <v>244558444.34352893</v>
      </c>
    </row>
    <row r="2199" spans="1:2" x14ac:dyDescent="0.25">
      <c r="A2199">
        <f ca="1">29316.6999508345*(RANDBETWEEN(2890,3282))</f>
        <v>89943635.449160337</v>
      </c>
      <c r="B2199">
        <v>240520497.39838129</v>
      </c>
    </row>
    <row r="2200" spans="1:2" x14ac:dyDescent="0.25">
      <c r="A2200">
        <f ca="1">31607.6835534697*(RANDBETWEEN(2890,3282))</f>
        <v>98615972.686825335</v>
      </c>
      <c r="B2200">
        <v>218575645.38599759</v>
      </c>
    </row>
    <row r="2201" spans="1:2" x14ac:dyDescent="0.25">
      <c r="A2201">
        <f ca="1">34192.8960248248*(RANDBETWEEN(2890,3282))</f>
        <v>103775439.43534315</v>
      </c>
      <c r="B2201">
        <v>227187622.11391437</v>
      </c>
    </row>
    <row r="2202" spans="1:2" x14ac:dyDescent="0.25">
      <c r="A2202">
        <f ca="1">39132.8406509341*(RANDBETWEEN(2890,3282))</f>
        <v>114189629.01942569</v>
      </c>
      <c r="B2202">
        <v>264110686.43259344</v>
      </c>
    </row>
    <row r="2203" spans="1:2" x14ac:dyDescent="0.25">
      <c r="A2203">
        <f ca="1">32630.1013443256*(RANDBETWEEN(2890,3282))</f>
        <v>106602541.09191172</v>
      </c>
      <c r="B2203">
        <v>206319823.47700229</v>
      </c>
    </row>
    <row r="2204" spans="1:2" x14ac:dyDescent="0.25">
      <c r="A2204">
        <f ca="1">31247.1645851976*(RANDBETWEEN(2890,3282))</f>
        <v>95491334.972363725</v>
      </c>
      <c r="B2204">
        <v>244882798.70940346</v>
      </c>
    </row>
    <row r="2205" spans="1:2" x14ac:dyDescent="0.25">
      <c r="A2205">
        <f ca="1">31013.4771515758*(RANDBETWEEN(2890,3282))</f>
        <v>100700760.31116666</v>
      </c>
      <c r="B2205">
        <v>208175734.24952227</v>
      </c>
    </row>
    <row r="2206" spans="1:2" x14ac:dyDescent="0.25">
      <c r="A2206">
        <f ca="1">37780.2410906205*(RANDBETWEEN(2890,3282))</f>
        <v>116854285.69328922</v>
      </c>
      <c r="B2206">
        <v>210588079.15142533</v>
      </c>
    </row>
    <row r="2207" spans="1:2" x14ac:dyDescent="0.25">
      <c r="A2207">
        <f ca="1">31444.6740839063*(RANDBETWEEN(2890,3282))</f>
        <v>100717291.09075196</v>
      </c>
      <c r="B2207">
        <v>254802042.21331742</v>
      </c>
    </row>
    <row r="2208" spans="1:2" x14ac:dyDescent="0.25">
      <c r="A2208">
        <f ca="1">31301.9794576085*(RANDBETWEEN(2890,3282))</f>
        <v>101606225.31939726</v>
      </c>
      <c r="B2208">
        <v>248195202.17910314</v>
      </c>
    </row>
    <row r="2209" spans="1:2" x14ac:dyDescent="0.25">
      <c r="A2209">
        <f ca="1">40253.319917074*(RANDBETWEEN(2890,3282))</f>
        <v>127280997.57778814</v>
      </c>
      <c r="B2209">
        <v>216332995.86235097</v>
      </c>
    </row>
    <row r="2210" spans="1:2" x14ac:dyDescent="0.25">
      <c r="A2210">
        <f ca="1">30736.0895814934*(RANDBETWEEN(2890,3282))</f>
        <v>98908736.273245737</v>
      </c>
      <c r="B2210">
        <v>219115171.19607264</v>
      </c>
    </row>
    <row r="2211" spans="1:2" x14ac:dyDescent="0.25">
      <c r="A2211">
        <f ca="1">34363.9680326837*(RANDBETWEEN(2890,3282))</f>
        <v>109071234.53573804</v>
      </c>
      <c r="B2211">
        <v>252994989.26475331</v>
      </c>
    </row>
    <row r="2212" spans="1:2" x14ac:dyDescent="0.25">
      <c r="A2212">
        <f ca="1">30493.3883243461*(RANDBETWEEN(2890,3282))</f>
        <v>90290922.828388661</v>
      </c>
      <c r="B2212">
        <v>263501390.62707353</v>
      </c>
    </row>
    <row r="2213" spans="1:2" x14ac:dyDescent="0.25">
      <c r="A2213">
        <f ca="1">34742.1795313303*(RANDBETWEEN(2890,3282))</f>
        <v>101516648.5905471</v>
      </c>
      <c r="B2213">
        <v>252833951.54418048</v>
      </c>
    </row>
    <row r="2214" spans="1:2" x14ac:dyDescent="0.25">
      <c r="A2214">
        <f ca="1">39286.0776910948*(RANDBETWEEN(2890,3282))</f>
        <v>120254683.81244129</v>
      </c>
      <c r="B2214">
        <v>261558151.28331643</v>
      </c>
    </row>
    <row r="2215" spans="1:2" x14ac:dyDescent="0.25">
      <c r="A2215">
        <f ca="1">34497.738885544*(RANDBETWEEN(2890,3282))</f>
        <v>101871822.92901143</v>
      </c>
      <c r="B2215">
        <v>204323158.1238544</v>
      </c>
    </row>
    <row r="2216" spans="1:2" x14ac:dyDescent="0.25">
      <c r="A2216">
        <f ca="1">34285.8509619333*(RANDBETWEEN(2890,3282))</f>
        <v>101657548.10213232</v>
      </c>
      <c r="B2216">
        <v>206410012.46426469</v>
      </c>
    </row>
    <row r="2217" spans="1:2" x14ac:dyDescent="0.25">
      <c r="A2217">
        <f ca="1">36239.2845367388*(RANDBETWEEN(2890,3282))</f>
        <v>118429981.86606245</v>
      </c>
      <c r="B2217">
        <v>241847717.2246154</v>
      </c>
    </row>
    <row r="2218" spans="1:2" x14ac:dyDescent="0.25">
      <c r="A2218">
        <f ca="1">38489.1762916539*(RANDBETWEEN(2890,3282))</f>
        <v>124974355.41900015</v>
      </c>
      <c r="B2218">
        <v>227692575.5181281</v>
      </c>
    </row>
    <row r="2219" spans="1:2" x14ac:dyDescent="0.25">
      <c r="A2219">
        <f ca="1">40417.8155371126*(RANDBETWEEN(2890,3282))</f>
        <v>128164893.068184</v>
      </c>
      <c r="B2219">
        <v>245052023.78812</v>
      </c>
    </row>
    <row r="2220" spans="1:2" x14ac:dyDescent="0.25">
      <c r="A2220">
        <f ca="1">34500.6739075838*(RANDBETWEEN(2890,3282))</f>
        <v>99844950.288547635</v>
      </c>
      <c r="B2220">
        <v>247636646.69929352</v>
      </c>
    </row>
    <row r="2221" spans="1:2" x14ac:dyDescent="0.25">
      <c r="A2221">
        <f ca="1">39166.7821186113*(RANDBETWEEN(2890,3282))</f>
        <v>124432866.79082814</v>
      </c>
      <c r="B2221">
        <v>253306046.08140436</v>
      </c>
    </row>
    <row r="2222" spans="1:2" x14ac:dyDescent="0.25">
      <c r="A2222">
        <f ca="1">36310.1700318121*(RANDBETWEEN(2890,3282))</f>
        <v>109910884.68629517</v>
      </c>
      <c r="B2222">
        <v>209434293.20963725</v>
      </c>
    </row>
    <row r="2223" spans="1:2" x14ac:dyDescent="0.25">
      <c r="A2223">
        <f ca="1">38472.9922719583*(RANDBETWEEN(2890,3282))</f>
        <v>111764042.55003883</v>
      </c>
      <c r="B2223">
        <v>214242557.69575128</v>
      </c>
    </row>
    <row r="2224" spans="1:2" x14ac:dyDescent="0.25">
      <c r="A2224">
        <f ca="1">32129.7882904316*(RANDBETWEEN(2890,3282))</f>
        <v>95296952.069420159</v>
      </c>
      <c r="B2224">
        <v>204958835.07170624</v>
      </c>
    </row>
    <row r="2225" spans="1:2" x14ac:dyDescent="0.25">
      <c r="A2225">
        <f ca="1">34064.1316271139*(RANDBETWEEN(2890,3282))</f>
        <v>110504042.99835753</v>
      </c>
      <c r="B2225">
        <v>208678755.81530207</v>
      </c>
    </row>
    <row r="2226" spans="1:2" x14ac:dyDescent="0.25">
      <c r="A2226">
        <f ca="1">32952.8509533053*(RANDBETWEEN(2890,3282))</f>
        <v>104262820.41625787</v>
      </c>
      <c r="B2226">
        <v>266231971.72824863</v>
      </c>
    </row>
    <row r="2227" spans="1:2" x14ac:dyDescent="0.25">
      <c r="A2227">
        <f ca="1">32543.1196139616*(RANDBETWEEN(2890,3282))</f>
        <v>94700478.076628178</v>
      </c>
      <c r="B2227">
        <v>219996588.55315381</v>
      </c>
    </row>
    <row r="2228" spans="1:2" x14ac:dyDescent="0.25">
      <c r="A2228">
        <f ca="1">31307.1244212583*(RANDBETWEEN(2890,3282))</f>
        <v>93420459.273034722</v>
      </c>
      <c r="B2228">
        <v>210286515.29197863</v>
      </c>
    </row>
    <row r="2229" spans="1:2" x14ac:dyDescent="0.25">
      <c r="A2229">
        <f ca="1">37879.7079982868*(RANDBETWEEN(2890,3282))</f>
        <v>112578492.17090832</v>
      </c>
      <c r="B2229">
        <v>234475575.45238751</v>
      </c>
    </row>
    <row r="2230" spans="1:2" x14ac:dyDescent="0.25">
      <c r="A2230">
        <f ca="1">30799.203760424*(RANDBETWEEN(2890,3282))</f>
        <v>100467002.66650319</v>
      </c>
      <c r="B2230">
        <v>240737821.18526208</v>
      </c>
    </row>
    <row r="2231" spans="1:2" x14ac:dyDescent="0.25">
      <c r="A2231">
        <f ca="1">38962.7952345656*(RANDBETWEEN(2890,3282))</f>
        <v>126551158.92186905</v>
      </c>
      <c r="B2231">
        <v>262477672.75134137</v>
      </c>
    </row>
    <row r="2232" spans="1:2" x14ac:dyDescent="0.25">
      <c r="A2232">
        <f ca="1">27448.1893691489*(RANDBETWEEN(2890,3282))</f>
        <v>81027055.017727494</v>
      </c>
      <c r="B2232">
        <v>252869969.86773375</v>
      </c>
    </row>
    <row r="2233" spans="1:2" x14ac:dyDescent="0.25">
      <c r="A2233">
        <f ca="1">31640.7458320098*(RANDBETWEEN(2890,3282))</f>
        <v>92802307.525284618</v>
      </c>
      <c r="B2233">
        <v>244224329.27377868</v>
      </c>
    </row>
    <row r="2234" spans="1:2" x14ac:dyDescent="0.25">
      <c r="A2234">
        <f ca="1">34237.7325654194*(RANDBETWEEN(2890,3282))</f>
        <v>104390846.59196377</v>
      </c>
      <c r="B2234">
        <v>242091546.4361721</v>
      </c>
    </row>
    <row r="2235" spans="1:2" x14ac:dyDescent="0.25">
      <c r="A2235">
        <f ca="1">38635.9236635988*(RANDBETWEEN(2890,3282))</f>
        <v>112585081.55572695</v>
      </c>
      <c r="B2235">
        <v>210804202.92769176</v>
      </c>
    </row>
    <row r="2236" spans="1:2" x14ac:dyDescent="0.25">
      <c r="A2236">
        <f ca="1">35833.8807695996*(RANDBETWEEN(2890,3282))</f>
        <v>112016711.28576837</v>
      </c>
      <c r="B2236">
        <v>231364656.82622322</v>
      </c>
    </row>
    <row r="2237" spans="1:2" x14ac:dyDescent="0.25">
      <c r="A2237">
        <f ca="1">31388.1924413954*(RANDBETWEEN(2890,3282))</f>
        <v>100128333.8880516</v>
      </c>
      <c r="B2237">
        <v>254836921.63539848</v>
      </c>
    </row>
    <row r="2238" spans="1:2" x14ac:dyDescent="0.25">
      <c r="A2238">
        <f ca="1">39082.805990144*(RANDBETWEEN(2890,3282))</f>
        <v>118459984.95612653</v>
      </c>
      <c r="B2238">
        <v>219661578.95058128</v>
      </c>
    </row>
    <row r="2239" spans="1:2" x14ac:dyDescent="0.25">
      <c r="A2239">
        <f ca="1">32149.2522484993*(RANDBETWEEN(2890,3282))</f>
        <v>96126264.223012954</v>
      </c>
      <c r="B2239">
        <v>221902806.35781983</v>
      </c>
    </row>
    <row r="2240" spans="1:2" x14ac:dyDescent="0.25">
      <c r="A2240">
        <f ca="1">39031.6327554876*(RANDBETWEEN(2890,3282))</f>
        <v>122949643.17978595</v>
      </c>
      <c r="B2240">
        <v>239513395.43023005</v>
      </c>
    </row>
    <row r="2241" spans="1:2" x14ac:dyDescent="0.25">
      <c r="A2241">
        <f ca="1">34567.7213414787*(RANDBETWEEN(2890,3282))</f>
        <v>109683379.8165119</v>
      </c>
      <c r="B2241">
        <v>240851311.06756577</v>
      </c>
    </row>
    <row r="2242" spans="1:2" x14ac:dyDescent="0.25">
      <c r="A2242">
        <f ca="1">32399.0687563192*(RANDBETWEEN(2890,3282))</f>
        <v>98331173.675428674</v>
      </c>
      <c r="B2242">
        <v>261542341.33537626</v>
      </c>
    </row>
    <row r="2243" spans="1:2" x14ac:dyDescent="0.25">
      <c r="A2243">
        <f ca="1">40544.9928496859*(RANDBETWEEN(2890,3282))</f>
        <v>129581797.14759627</v>
      </c>
      <c r="B2243">
        <v>249182431.06297833</v>
      </c>
    </row>
    <row r="2244" spans="1:2" x14ac:dyDescent="0.25">
      <c r="A2244">
        <f ca="1">30079.5959859422*(RANDBETWEEN(2890,3282))</f>
        <v>91562290.181208014</v>
      </c>
      <c r="B2244">
        <v>255484986.63232619</v>
      </c>
    </row>
    <row r="2245" spans="1:2" x14ac:dyDescent="0.25">
      <c r="A2245">
        <f ca="1">35259.8866149711*(RANDBETWEEN(2890,3282))</f>
        <v>105356541.20553365</v>
      </c>
      <c r="B2245">
        <v>229669527.24405971</v>
      </c>
    </row>
    <row r="2246" spans="1:2" x14ac:dyDescent="0.25">
      <c r="A2246">
        <f ca="1">31721.8916833522*(RANDBETWEEN(2890,3282))</f>
        <v>103096147.97089478</v>
      </c>
      <c r="B2246">
        <v>237470625.30962425</v>
      </c>
    </row>
    <row r="2247" spans="1:2" x14ac:dyDescent="0.25">
      <c r="A2247">
        <f ca="1">31307.9284213527*(RANDBETWEEN(2890,3282))</f>
        <v>95896184.754603237</v>
      </c>
      <c r="B2247">
        <v>250686194.21131182</v>
      </c>
    </row>
    <row r="2248" spans="1:2" x14ac:dyDescent="0.25">
      <c r="A2248">
        <f ca="1">33042.3709904345*(RANDBETWEEN(2890,3282))</f>
        <v>96318511.437116608</v>
      </c>
      <c r="B2248">
        <v>227583601.01409104</v>
      </c>
    </row>
    <row r="2249" spans="1:2" x14ac:dyDescent="0.25">
      <c r="A2249">
        <f ca="1">40612.5655270498*(RANDBETWEEN(2890,3282))</f>
        <v>128457544.76205856</v>
      </c>
      <c r="B2249">
        <v>226490553.35702631</v>
      </c>
    </row>
    <row r="2250" spans="1:2" x14ac:dyDescent="0.25">
      <c r="A2250">
        <f ca="1">31567.6158138039*(RANDBETWEEN(2890,3282))</f>
        <v>96660039.621867657</v>
      </c>
      <c r="B2250">
        <v>246619319.40089706</v>
      </c>
    </row>
    <row r="2251" spans="1:2" x14ac:dyDescent="0.25">
      <c r="A2251">
        <f ca="1">37932.3696557118*(RANDBETWEEN(2890,3282))</f>
        <v>120814597.35344221</v>
      </c>
      <c r="B2251">
        <v>243549082.1608009</v>
      </c>
    </row>
    <row r="2252" spans="1:2" x14ac:dyDescent="0.25">
      <c r="A2252">
        <f ca="1">32976.1164580435*(RANDBETWEEN(2890,3282))</f>
        <v>100676083.54640691</v>
      </c>
      <c r="B2252">
        <v>238531112.26102287</v>
      </c>
    </row>
    <row r="2253" spans="1:2" x14ac:dyDescent="0.25">
      <c r="A2253">
        <f ca="1">29538.8191424368*(RANDBETWEEN(2890,3282))</f>
        <v>94642376.532367483</v>
      </c>
      <c r="B2253">
        <v>212006552.1024681</v>
      </c>
    </row>
    <row r="2254" spans="1:2" x14ac:dyDescent="0.25">
      <c r="A2254">
        <f ca="1">33757.0663509235*(RANDBETWEEN(2890,3282))</f>
        <v>98165548.948485434</v>
      </c>
      <c r="B2254">
        <v>237035685.83943415</v>
      </c>
    </row>
    <row r="2255" spans="1:2" x14ac:dyDescent="0.25">
      <c r="A2255">
        <f ca="1">31231.8539467666*(RANDBETWEEN(2890,3282))</f>
        <v>96475196.841562018</v>
      </c>
      <c r="B2255">
        <v>235785080.32545102</v>
      </c>
    </row>
    <row r="2256" spans="1:2" x14ac:dyDescent="0.25">
      <c r="A2256">
        <f ca="1">29452.481372647*(RANDBETWEEN(2890,3282))</f>
        <v>93717795.727762833</v>
      </c>
      <c r="B2256">
        <v>257599872.12552822</v>
      </c>
    </row>
    <row r="2257" spans="1:2" x14ac:dyDescent="0.25">
      <c r="A2257">
        <f ca="1">40297.7743690265*(RANDBETWEEN(2890,3282))</f>
        <v>117226225.63949805</v>
      </c>
      <c r="B2257">
        <v>246921997.54589891</v>
      </c>
    </row>
    <row r="2258" spans="1:2" x14ac:dyDescent="0.25">
      <c r="A2258">
        <f ca="1">36361.2188093379*(RANDBETWEEN(2890,3282))</f>
        <v>107592846.45683098</v>
      </c>
      <c r="B2258">
        <v>221079402.6264807</v>
      </c>
    </row>
    <row r="2259" spans="1:2" x14ac:dyDescent="0.25">
      <c r="A2259">
        <f ca="1">37896.694721801*(RANDBETWEEN(2890,3282))</f>
        <v>116911303.21675621</v>
      </c>
      <c r="B2259">
        <v>225293871.52409613</v>
      </c>
    </row>
    <row r="2260" spans="1:2" x14ac:dyDescent="0.25">
      <c r="A2260">
        <f ca="1">42543.4340572825*(RANDBETWEEN(2890,3282))</f>
        <v>138181073.81805372</v>
      </c>
      <c r="B2260">
        <v>266010731.34868419</v>
      </c>
    </row>
    <row r="2261" spans="1:2" x14ac:dyDescent="0.25">
      <c r="A2261">
        <f ca="1">41723.4039163493*(RANDBETWEEN(2890,3282))</f>
        <v>130343913.83467525</v>
      </c>
      <c r="B2261">
        <v>206032604.06605017</v>
      </c>
    </row>
    <row r="2262" spans="1:2" x14ac:dyDescent="0.25">
      <c r="A2262">
        <f ca="1">31098.8792999599*(RANDBETWEEN(2890,3282))</f>
        <v>96188833.674776092</v>
      </c>
      <c r="B2262">
        <v>254451894.13217685</v>
      </c>
    </row>
    <row r="2263" spans="1:2" x14ac:dyDescent="0.25">
      <c r="A2263">
        <f ca="1">29091.4137768793*(RANDBETWEEN(2890,3282))</f>
        <v>95448928.601940945</v>
      </c>
      <c r="B2263">
        <v>215408247.60211667</v>
      </c>
    </row>
    <row r="2264" spans="1:2" x14ac:dyDescent="0.25">
      <c r="A2264">
        <f ca="1">42283.9337883884*(RANDBETWEEN(2890,3282))</f>
        <v>125245011.88120654</v>
      </c>
      <c r="B2264">
        <v>224886978.20351693</v>
      </c>
    </row>
    <row r="2265" spans="1:2" x14ac:dyDescent="0.25">
      <c r="A2265">
        <f ca="1">29989.9430861732*(RANDBETWEEN(2890,3282))</f>
        <v>92129105.160723999</v>
      </c>
      <c r="B2265">
        <v>253875828.86820942</v>
      </c>
    </row>
    <row r="2266" spans="1:2" x14ac:dyDescent="0.25">
      <c r="A2266">
        <f ca="1">37375.3045785527*(RANDBETWEEN(2890,3282))</f>
        <v>117507957.59496957</v>
      </c>
      <c r="B2266">
        <v>243104042.80199134</v>
      </c>
    </row>
    <row r="2267" spans="1:2" x14ac:dyDescent="0.25">
      <c r="A2267">
        <f ca="1">30515.6089384551*(RANDBETWEEN(2890,3282))</f>
        <v>99084182.223163828</v>
      </c>
      <c r="B2267">
        <v>239311045.1034351</v>
      </c>
    </row>
    <row r="2268" spans="1:2" x14ac:dyDescent="0.25">
      <c r="A2268">
        <f ca="1">31620.3043417966*(RANDBETWEEN(2890,3282))</f>
        <v>91762123.199893683</v>
      </c>
      <c r="B2268">
        <v>208195328.62291652</v>
      </c>
    </row>
    <row r="2269" spans="1:2" x14ac:dyDescent="0.25">
      <c r="A2269">
        <f ca="1">41530.4095462656*(RANDBETWEEN(2890,3282))</f>
        <v>123345316.35240872</v>
      </c>
      <c r="B2269">
        <v>242854273.11589831</v>
      </c>
    </row>
    <row r="2270" spans="1:2" x14ac:dyDescent="0.25">
      <c r="A2270">
        <f ca="1">31985.7338447595*(RANDBETWEEN(2890,3282))</f>
        <v>95509401.260451794</v>
      </c>
      <c r="B2270">
        <v>209483068.58319163</v>
      </c>
    </row>
    <row r="2271" spans="1:2" x14ac:dyDescent="0.25">
      <c r="A2271">
        <f ca="1">30613.3010554341*(RANDBETWEEN(2890,3282))</f>
        <v>92635848.993743733</v>
      </c>
      <c r="B2271">
        <v>226507990.39871407</v>
      </c>
    </row>
    <row r="2272" spans="1:2" x14ac:dyDescent="0.25">
      <c r="A2272">
        <f ca="1">39291.9055468169*(RANDBETWEEN(2890,3282))</f>
        <v>125851973.46645442</v>
      </c>
      <c r="B2272">
        <v>217816140.05244774</v>
      </c>
    </row>
    <row r="2273" spans="1:2" x14ac:dyDescent="0.25">
      <c r="A2273">
        <f ca="1">32791.1979685196*(RANDBETWEEN(2890,3282))</f>
        <v>102898779.22521453</v>
      </c>
      <c r="B2273">
        <v>225419865.80509168</v>
      </c>
    </row>
    <row r="2274" spans="1:2" x14ac:dyDescent="0.25">
      <c r="A2274">
        <f ca="1">35874.5523048795*(RANDBETWEEN(2890,3282))</f>
        <v>110816492.06977266</v>
      </c>
      <c r="B2274">
        <v>253634398.92801777</v>
      </c>
    </row>
    <row r="2275" spans="1:2" x14ac:dyDescent="0.25">
      <c r="A2275">
        <f ca="1">31294.3326804762*(RANDBETWEEN(2890,3282))</f>
        <v>101299754.88670132</v>
      </c>
      <c r="B2275">
        <v>244510702.58042705</v>
      </c>
    </row>
    <row r="2276" spans="1:2" x14ac:dyDescent="0.25">
      <c r="A2276">
        <f ca="1">35423.4976995582*(RANDBETWEEN(2890,3282))</f>
        <v>106589304.57797077</v>
      </c>
      <c r="B2276">
        <v>261683735.07121789</v>
      </c>
    </row>
    <row r="2277" spans="1:2" x14ac:dyDescent="0.25">
      <c r="A2277">
        <f ca="1">31557.0384729599*(RANDBETWEEN(2890,3282))</f>
        <v>91830981.956313312</v>
      </c>
      <c r="B2277">
        <v>225916669.9063586</v>
      </c>
    </row>
    <row r="2278" spans="1:2" x14ac:dyDescent="0.25">
      <c r="A2278">
        <f ca="1">29447.1274996244*(RANDBETWEEN(2890,3282))</f>
        <v>85308328.366411939</v>
      </c>
      <c r="B2278">
        <v>241702136.68600413</v>
      </c>
    </row>
    <row r="2279" spans="1:2" x14ac:dyDescent="0.25">
      <c r="A2279">
        <f ca="1">38167.5975951503*(RANDBETWEEN(2890,3282))</f>
        <v>121525630.74295869</v>
      </c>
      <c r="B2279">
        <v>215963103.20215148</v>
      </c>
    </row>
    <row r="2280" spans="1:2" x14ac:dyDescent="0.25">
      <c r="A2280">
        <f ca="1">33446.5265940016*(RANDBETWEEN(2890,3282))</f>
        <v>101142296.4202608</v>
      </c>
      <c r="B2280">
        <v>254810084.24034625</v>
      </c>
    </row>
    <row r="2281" spans="1:2" x14ac:dyDescent="0.25">
      <c r="A2281">
        <f ca="1">33954.1938508853*(RANDBETWEEN(2890,3282))</f>
        <v>99248108.626137748</v>
      </c>
      <c r="B2281">
        <v>211800288.99107167</v>
      </c>
    </row>
    <row r="2282" spans="1:2" x14ac:dyDescent="0.25">
      <c r="A2282">
        <f ca="1">34022.5071336671*(RANDBETWEEN(2890,3282))</f>
        <v>108327662.71359606</v>
      </c>
      <c r="B2282">
        <v>212142405.70053908</v>
      </c>
    </row>
    <row r="2283" spans="1:2" x14ac:dyDescent="0.25">
      <c r="A2283">
        <f ca="1">30966.8816431277*(RANDBETWEEN(2890,3282))</f>
        <v>97143107.714491576</v>
      </c>
      <c r="B2283">
        <v>254078275.15826562</v>
      </c>
    </row>
    <row r="2284" spans="1:2" x14ac:dyDescent="0.25">
      <c r="A2284">
        <f ca="1">30625.3698360726*(RANDBETWEEN(2890,3282))</f>
        <v>91447354.330513</v>
      </c>
      <c r="B2284">
        <v>260370646.49534103</v>
      </c>
    </row>
    <row r="2285" spans="1:2" x14ac:dyDescent="0.25">
      <c r="A2285">
        <f ca="1">32502.6613416138*(RANDBETWEEN(2890,3282))</f>
        <v>104073521.61584754</v>
      </c>
      <c r="B2285">
        <v>226431506.78278345</v>
      </c>
    </row>
    <row r="2286" spans="1:2" x14ac:dyDescent="0.25">
      <c r="A2286">
        <f ca="1">36268.01460135*(RANDBETWEEN(2890,3282))</f>
        <v>107752271.38061096</v>
      </c>
      <c r="B2286">
        <v>239458691.78781661</v>
      </c>
    </row>
    <row r="2287" spans="1:2" x14ac:dyDescent="0.25">
      <c r="A2287">
        <f ca="1">31407.8746211285*(RANDBETWEEN(2890,3282))</f>
        <v>101604474.39935066</v>
      </c>
      <c r="B2287">
        <v>204518532.61035812</v>
      </c>
    </row>
    <row r="2288" spans="1:2" x14ac:dyDescent="0.25">
      <c r="A2288">
        <f ca="1">31536.9258071636*(RANDBETWEEN(2890,3282))</f>
        <v>98994410.108686447</v>
      </c>
      <c r="B2288">
        <v>224090984.38907558</v>
      </c>
    </row>
    <row r="2289" spans="1:2" x14ac:dyDescent="0.25">
      <c r="A2289">
        <f ca="1">39330.8575765327*(RANDBETWEEN(2890,3282))</f>
        <v>116851977.85987873</v>
      </c>
      <c r="B2289">
        <v>262700581.98495898</v>
      </c>
    </row>
    <row r="2290" spans="1:2" x14ac:dyDescent="0.25">
      <c r="A2290">
        <f ca="1">30955.0259382651*(RANDBETWEEN(2890,3282))</f>
        <v>98963217.924633488</v>
      </c>
      <c r="B2290">
        <v>264873195.37535501</v>
      </c>
    </row>
    <row r="2291" spans="1:2" x14ac:dyDescent="0.25">
      <c r="A2291">
        <f ca="1">31171.0590255206*(RANDBETWEEN(2890,3282))</f>
        <v>98625230.756747469</v>
      </c>
      <c r="B2291">
        <v>262517565.32555902</v>
      </c>
    </row>
    <row r="2292" spans="1:2" x14ac:dyDescent="0.25">
      <c r="A2292">
        <f ca="1">31864.5381790298*(RANDBETWEEN(2890,3282))</f>
        <v>94000387.628137782</v>
      </c>
      <c r="B2292">
        <v>249513620.65131807</v>
      </c>
    </row>
    <row r="2293" spans="1:2" x14ac:dyDescent="0.25">
      <c r="A2293">
        <f ca="1">40684.8930728749*(RANDBETWEEN(2890,3282))</f>
        <v>131208780.16002171</v>
      </c>
      <c r="B2293">
        <v>250208952.42476928</v>
      </c>
    </row>
    <row r="2294" spans="1:2" x14ac:dyDescent="0.25">
      <c r="A2294">
        <f ca="1">32033.6725805247*(RANDBETWEEN(2890,3282))</f>
        <v>99656755.398012429</v>
      </c>
      <c r="B2294">
        <v>238683103.19383579</v>
      </c>
    </row>
    <row r="2295" spans="1:2" x14ac:dyDescent="0.25">
      <c r="A2295">
        <f ca="1">29219.3670235277*(RANDBETWEEN(2890,3282))</f>
        <v>87862636.639747664</v>
      </c>
      <c r="B2295">
        <v>221592734.92358691</v>
      </c>
    </row>
    <row r="2296" spans="1:2" x14ac:dyDescent="0.25">
      <c r="A2296">
        <f ca="1">32395.5772983208*(RANDBETWEEN(2890,3282))</f>
        <v>101106596.74805915</v>
      </c>
      <c r="B2296">
        <v>263726082.86223638</v>
      </c>
    </row>
    <row r="2297" spans="1:2" x14ac:dyDescent="0.25">
      <c r="A2297">
        <f ca="1">32295.7552204475*(RANDBETWEEN(2890,3282))</f>
        <v>94368196.754147694</v>
      </c>
      <c r="B2297">
        <v>232438314.91126952</v>
      </c>
    </row>
    <row r="2298" spans="1:2" x14ac:dyDescent="0.25">
      <c r="A2298">
        <f ca="1">33228.799251178*(RANDBETWEEN(2890,3282))</f>
        <v>101513981.71234891</v>
      </c>
      <c r="B2298">
        <v>213985075.55147481</v>
      </c>
    </row>
    <row r="2299" spans="1:2" x14ac:dyDescent="0.25">
      <c r="A2299">
        <f ca="1">35302.3272663161*(RANDBETWEEN(2890,3282))</f>
        <v>112014284.41602097</v>
      </c>
      <c r="B2299">
        <v>229236391.0591808</v>
      </c>
    </row>
    <row r="2300" spans="1:2" x14ac:dyDescent="0.25">
      <c r="A2300">
        <f ca="1">32657.0580152809*(RANDBETWEEN(2890,3282))</f>
        <v>95260638.230574444</v>
      </c>
      <c r="B2300">
        <v>212212020.86522648</v>
      </c>
    </row>
    <row r="2301" spans="1:2" x14ac:dyDescent="0.25">
      <c r="A2301">
        <f ca="1">34691.5880554447*(RANDBETWEEN(2890,3282))</f>
        <v>103727848.2857797</v>
      </c>
      <c r="B2301">
        <v>218436697.08589104</v>
      </c>
    </row>
    <row r="2302" spans="1:2" x14ac:dyDescent="0.25">
      <c r="A2302">
        <f ca="1">38014.878777371*(RANDBETWEEN(2890,3282))</f>
        <v>122978132.84479506</v>
      </c>
      <c r="B2302">
        <v>209063201.71443027</v>
      </c>
    </row>
    <row r="2303" spans="1:2" x14ac:dyDescent="0.25">
      <c r="A2303">
        <f ca="1">30844.6667655069*(RANDBETWEEN(2890,3282))</f>
        <v>97715904.313125804</v>
      </c>
      <c r="B2303">
        <v>245900783.29698122</v>
      </c>
    </row>
    <row r="2304" spans="1:2" x14ac:dyDescent="0.25">
      <c r="A2304">
        <f ca="1">35615.7818931855*(RANDBETWEEN(2890,3282))</f>
        <v>113293802.2022233</v>
      </c>
      <c r="B2304">
        <v>214307103.33428112</v>
      </c>
    </row>
    <row r="2305" spans="1:2" x14ac:dyDescent="0.25">
      <c r="A2305">
        <f ca="1">32020.1369986558*(RANDBETWEEN(2890,3282))</f>
        <v>95131827.023006424</v>
      </c>
      <c r="B2305">
        <v>236958101.48623323</v>
      </c>
    </row>
    <row r="2306" spans="1:2" x14ac:dyDescent="0.25">
      <c r="A2306">
        <f ca="1">31637.1828571565*(RANDBETWEEN(2890,3282))</f>
        <v>94088981.817183539</v>
      </c>
      <c r="B2306">
        <v>220583624.54928231</v>
      </c>
    </row>
    <row r="2307" spans="1:2" x14ac:dyDescent="0.25">
      <c r="A2307">
        <f ca="1">38339.4478221527*(RANDBETWEEN(2890,3282))</f>
        <v>117932141.50094162</v>
      </c>
      <c r="B2307">
        <v>234148528.53643689</v>
      </c>
    </row>
    <row r="2308" spans="1:2" x14ac:dyDescent="0.25">
      <c r="A2308">
        <f ca="1">32753.0088790594*(RANDBETWEEN(2890,3282))</f>
        <v>99798418.054494113</v>
      </c>
      <c r="B2308">
        <v>239540297.58465698</v>
      </c>
    </row>
    <row r="2309" spans="1:2" x14ac:dyDescent="0.25">
      <c r="A2309">
        <f ca="1">37964.0730184095*(RANDBETWEEN(2890,3282))</f>
        <v>122548027.70342578</v>
      </c>
      <c r="B2309">
        <v>229540997.70992112</v>
      </c>
    </row>
    <row r="2310" spans="1:2" x14ac:dyDescent="0.25">
      <c r="A2310">
        <f ca="1">38105.3201270608*(RANDBETWEEN(2890,3282))</f>
        <v>116907122.14982256</v>
      </c>
      <c r="B2310">
        <v>240845498.22339824</v>
      </c>
    </row>
    <row r="2311" spans="1:2" x14ac:dyDescent="0.25">
      <c r="A2311">
        <f ca="1">30088.257950583*(RANDBETWEEN(2890,3282))</f>
        <v>97365602.72808671</v>
      </c>
      <c r="B2311">
        <v>248803431.81344536</v>
      </c>
    </row>
    <row r="2312" spans="1:2" x14ac:dyDescent="0.25">
      <c r="A2312">
        <f ca="1">31551.2585769527*(RANDBETWEEN(2890,3282))</f>
        <v>102352282.82363446</v>
      </c>
      <c r="B2312">
        <v>204500799.54496226</v>
      </c>
    </row>
    <row r="2313" spans="1:2" x14ac:dyDescent="0.25">
      <c r="A2313">
        <f ca="1">29289.668586913*(RANDBETWEEN(2890,3282))</f>
        <v>94517760.529968172</v>
      </c>
      <c r="B2313">
        <v>217427742.05108339</v>
      </c>
    </row>
    <row r="2314" spans="1:2" x14ac:dyDescent="0.25">
      <c r="A2314">
        <f ca="1">32668.5198891361*(RANDBETWEEN(2890,3282))</f>
        <v>105453982.20213135</v>
      </c>
      <c r="B2314">
        <v>263237722.62660748</v>
      </c>
    </row>
    <row r="2315" spans="1:2" x14ac:dyDescent="0.25">
      <c r="A2315">
        <f ca="1">34572.6564420729*(RANDBETWEEN(2890,3282))</f>
        <v>110425064.67598085</v>
      </c>
      <c r="B2315">
        <v>237909231.64112073</v>
      </c>
    </row>
    <row r="2316" spans="1:2" x14ac:dyDescent="0.25">
      <c r="A2316">
        <f ca="1">33011.1891144455*(RANDBETWEEN(2890,3282))</f>
        <v>102829854.09149787</v>
      </c>
      <c r="B2316">
        <v>216570169.55001983</v>
      </c>
    </row>
    <row r="2317" spans="1:2" x14ac:dyDescent="0.25">
      <c r="A2317">
        <f ca="1">35003.5434586829*(RANDBETWEEN(2890,3282))</f>
        <v>102630389.42085826</v>
      </c>
      <c r="B2317">
        <v>220053378.76664257</v>
      </c>
    </row>
    <row r="2318" spans="1:2" x14ac:dyDescent="0.25">
      <c r="A2318">
        <f ca="1">31627.7589724427*(RANDBETWEEN(2890,3282))</f>
        <v>94060955.184044629</v>
      </c>
      <c r="B2318">
        <v>244147753.39294374</v>
      </c>
    </row>
    <row r="2319" spans="1:2" x14ac:dyDescent="0.25">
      <c r="A2319">
        <f ca="1">36477.616470194*(RANDBETWEEN(2890,3282))</f>
        <v>105493266.83180094</v>
      </c>
      <c r="B2319">
        <v>216477280.52469146</v>
      </c>
    </row>
    <row r="2320" spans="1:2" x14ac:dyDescent="0.25">
      <c r="A2320">
        <f ca="1">39518.0405212648*(RANDBETWEEN(2890,3282))</f>
        <v>118791229.80692206</v>
      </c>
      <c r="B2320">
        <v>265994902.61436567</v>
      </c>
    </row>
    <row r="2321" spans="1:2" x14ac:dyDescent="0.25">
      <c r="A2321">
        <f ca="1">35545.5758395364*(RANDBETWEEN(2890,3282))</f>
        <v>109764738.19248848</v>
      </c>
      <c r="B2321">
        <v>238412958.92742729</v>
      </c>
    </row>
    <row r="2322" spans="1:2" x14ac:dyDescent="0.25">
      <c r="A2322">
        <f ca="1">38773.0896698675*(RANDBETWEEN(2890,3282))</f>
        <v>125081987.27499253</v>
      </c>
      <c r="B2322">
        <v>231536307.78467113</v>
      </c>
    </row>
    <row r="2323" spans="1:2" x14ac:dyDescent="0.25">
      <c r="A2323">
        <f ca="1">29452.5507436777*(RANDBETWEEN(2890,3282))</f>
        <v>96545461.337775543</v>
      </c>
      <c r="B2323">
        <v>203761688.00152904</v>
      </c>
    </row>
    <row r="2324" spans="1:2" x14ac:dyDescent="0.25">
      <c r="A2324">
        <f ca="1">35596.8172725452*(RANDBETWEEN(2890,3282))</f>
        <v>106078515.47218475</v>
      </c>
      <c r="B2324">
        <v>205375609.02670881</v>
      </c>
    </row>
    <row r="2325" spans="1:2" x14ac:dyDescent="0.25">
      <c r="A2325">
        <f ca="1">38508.6099571268*(RANDBETWEEN(2890,3282))</f>
        <v>112830227.17438157</v>
      </c>
      <c r="B2325">
        <v>205318838.59547067</v>
      </c>
    </row>
    <row r="2326" spans="1:2" x14ac:dyDescent="0.25">
      <c r="A2326">
        <f ca="1">35888.7403531042*(RANDBETWEEN(2890,3282))</f>
        <v>105405230.4170669</v>
      </c>
      <c r="B2326">
        <v>255886994.98749554</v>
      </c>
    </row>
    <row r="2327" spans="1:2" x14ac:dyDescent="0.25">
      <c r="A2327">
        <f ca="1">32598.9600431315*(RANDBETWEEN(2890,3282))</f>
        <v>97894677.009523958</v>
      </c>
      <c r="B2327">
        <v>254293590.75682044</v>
      </c>
    </row>
    <row r="2328" spans="1:2" x14ac:dyDescent="0.25">
      <c r="A2328">
        <f ca="1">42332.1232586933*(RANDBETWEEN(2890,3282))</f>
        <v>132033892.44386427</v>
      </c>
      <c r="B2328">
        <v>246582988.74466702</v>
      </c>
    </row>
    <row r="2329" spans="1:2" x14ac:dyDescent="0.25">
      <c r="A2329">
        <f ca="1">36321.6604718726*(RANDBETWEEN(2890,3282))</f>
        <v>115284950.3377237</v>
      </c>
      <c r="B2329">
        <v>208531237.98606503</v>
      </c>
    </row>
    <row r="2330" spans="1:2" x14ac:dyDescent="0.25">
      <c r="A2330">
        <f ca="1">35215.5505587002*(RANDBETWEEN(2890,3282))</f>
        <v>113217995.0462213</v>
      </c>
      <c r="B2330">
        <v>264415732.71189535</v>
      </c>
    </row>
    <row r="2331" spans="1:2" x14ac:dyDescent="0.25">
      <c r="A2331">
        <f ca="1">37164.7452688394*(RANDBETWEEN(2890,3282))</f>
        <v>112200365.96662617</v>
      </c>
      <c r="B2331">
        <v>235143039.10536578</v>
      </c>
    </row>
    <row r="2332" spans="1:2" x14ac:dyDescent="0.25">
      <c r="A2332">
        <f ca="1">34071.5148117987*(RANDBETWEEN(2890,3282))</f>
        <v>99829538.39857012</v>
      </c>
      <c r="B2332">
        <v>239405908.81583521</v>
      </c>
    </row>
    <row r="2333" spans="1:2" x14ac:dyDescent="0.25">
      <c r="A2333">
        <f ca="1">39762.1979601064*(RANDBETWEEN(2890,3282))</f>
        <v>116304429.03331111</v>
      </c>
      <c r="B2333">
        <v>241132787.13084212</v>
      </c>
    </row>
    <row r="2334" spans="1:2" x14ac:dyDescent="0.25">
      <c r="A2334">
        <f ca="1">35126.7728042921*(RANDBETWEEN(2890,3282))</f>
        <v>111773391.06325762</v>
      </c>
      <c r="B2334">
        <v>261219831.57450247</v>
      </c>
    </row>
    <row r="2335" spans="1:2" x14ac:dyDescent="0.25">
      <c r="A2335">
        <f ca="1">39489.8885795026*(RANDBETWEEN(2890,3282))</f>
        <v>123445391.69952527</v>
      </c>
      <c r="B2335">
        <v>253510062.80554208</v>
      </c>
    </row>
    <row r="2336" spans="1:2" x14ac:dyDescent="0.25">
      <c r="A2336">
        <f ca="1">30404.4086452686*(RANDBETWEEN(2890,3282))</f>
        <v>90848373.032062709</v>
      </c>
      <c r="B2336">
        <v>224665665.20045561</v>
      </c>
    </row>
    <row r="2337" spans="1:2" x14ac:dyDescent="0.25">
      <c r="A2337">
        <f ca="1">31849.8203789658*(RANDBETWEEN(2890,3282))</f>
        <v>103766714.79467061</v>
      </c>
      <c r="B2337">
        <v>226848232.35856783</v>
      </c>
    </row>
    <row r="2338" spans="1:2" x14ac:dyDescent="0.25">
      <c r="A2338">
        <f ca="1">31614.8535057608*(RANDBETWEEN(2890,3282))</f>
        <v>103380570.96383792</v>
      </c>
      <c r="B2338">
        <v>231700779.52396345</v>
      </c>
    </row>
    <row r="2339" spans="1:2" x14ac:dyDescent="0.25">
      <c r="A2339">
        <f ca="1">35317.4935374202*(RANDBETWEEN(2890,3282))</f>
        <v>109060420.04355372</v>
      </c>
      <c r="B2339">
        <v>235386725.16795048</v>
      </c>
    </row>
    <row r="2340" spans="1:2" x14ac:dyDescent="0.25">
      <c r="A2340">
        <f ca="1">39004.7417735849*(RANDBETWEEN(2890,3282))</f>
        <v>116702187.38656594</v>
      </c>
      <c r="B2340">
        <v>235915863.21627033</v>
      </c>
    </row>
    <row r="2341" spans="1:2" x14ac:dyDescent="0.25">
      <c r="A2341">
        <f ca="1">37106.3610088143*(RANDBETWEEN(2890,3282))</f>
        <v>113730996.49201596</v>
      </c>
      <c r="B2341">
        <v>243416756.37965107</v>
      </c>
    </row>
    <row r="2342" spans="1:2" x14ac:dyDescent="0.25">
      <c r="A2342">
        <f ca="1">29238.9007034274*(RANDBETWEEN(2890,3282))</f>
        <v>85231395.550490782</v>
      </c>
      <c r="B2342">
        <v>258567648.60346124</v>
      </c>
    </row>
    <row r="2343" spans="1:2" x14ac:dyDescent="0.25">
      <c r="A2343">
        <f ca="1">38024.029206252*(RANDBETWEEN(2890,3282))</f>
        <v>121562821.3723876</v>
      </c>
      <c r="B2343">
        <v>248406505.11982638</v>
      </c>
    </row>
    <row r="2344" spans="1:2" x14ac:dyDescent="0.25">
      <c r="A2344">
        <f ca="1">38400.3216694975*(RANDBETWEEN(2890,3282))</f>
        <v>123149831.5940786</v>
      </c>
      <c r="B2344">
        <v>266913220.23323277</v>
      </c>
    </row>
    <row r="2345" spans="1:2" x14ac:dyDescent="0.25">
      <c r="A2345">
        <f ca="1">29626.151240837*(RANDBETWEEN(2890,3282))</f>
        <v>96877514.557537079</v>
      </c>
      <c r="B2345">
        <v>230636979.51522082</v>
      </c>
    </row>
    <row r="2346" spans="1:2" x14ac:dyDescent="0.25">
      <c r="A2346">
        <f ca="1">29198.1210213508*(RANDBETWEEN(2890,3282))</f>
        <v>90718562.013337061</v>
      </c>
      <c r="B2346">
        <v>248735301.53058907</v>
      </c>
    </row>
    <row r="2347" spans="1:2" x14ac:dyDescent="0.25">
      <c r="A2347">
        <f ca="1">33590.0475643797*(RANDBETWEEN(2890,3282))</f>
        <v>108227133.25243142</v>
      </c>
      <c r="B2347">
        <v>222931541.11518261</v>
      </c>
    </row>
    <row r="2348" spans="1:2" x14ac:dyDescent="0.25">
      <c r="A2348">
        <f ca="1">27720.0937674763*(RANDBETWEEN(2890,3282))</f>
        <v>82356398.583172098</v>
      </c>
      <c r="B2348">
        <v>205438529.72162676</v>
      </c>
    </row>
    <row r="2349" spans="1:2" x14ac:dyDescent="0.25">
      <c r="A2349">
        <f ca="1">33299.8482625479*(RANDBETWEEN(2890,3282))</f>
        <v>102730031.88996021</v>
      </c>
      <c r="B2349">
        <v>250369554.03309593</v>
      </c>
    </row>
    <row r="2350" spans="1:2" x14ac:dyDescent="0.25">
      <c r="A2350">
        <f ca="1">40457.1049296603*(RANDBETWEEN(2890,3282))</f>
        <v>127197137.89885212</v>
      </c>
      <c r="B2350">
        <v>245827162.68493712</v>
      </c>
    </row>
    <row r="2351" spans="1:2" x14ac:dyDescent="0.25">
      <c r="A2351">
        <f ca="1">37859.3700666177*(RANDBETWEEN(2890,3282))</f>
        <v>116114687.99431662</v>
      </c>
      <c r="B2351">
        <v>229731577.15844691</v>
      </c>
    </row>
    <row r="2352" spans="1:2" x14ac:dyDescent="0.25">
      <c r="A2352">
        <f ca="1">37805.4686403833*(RANDBETWEEN(2890,3282))</f>
        <v>119503086.37225169</v>
      </c>
      <c r="B2352">
        <v>218441121.52094942</v>
      </c>
    </row>
    <row r="2353" spans="1:2" x14ac:dyDescent="0.25">
      <c r="A2353">
        <f ca="1">31788.3405896195*(RANDBETWEEN(2890,3282))</f>
        <v>100896193.0314523</v>
      </c>
      <c r="B2353">
        <v>214892189.20914868</v>
      </c>
    </row>
    <row r="2354" spans="1:2" x14ac:dyDescent="0.25">
      <c r="A2354">
        <f ca="1">35718.8710498626*(RANDBETWEEN(2890,3282))</f>
        <v>109299745.4125797</v>
      </c>
      <c r="B2354">
        <v>223949602.2478205</v>
      </c>
    </row>
    <row r="2355" spans="1:2" x14ac:dyDescent="0.25">
      <c r="A2355">
        <f ca="1">33370.3470934123*(RANDBETWEEN(2890,3282))</f>
        <v>97975339.066258505</v>
      </c>
      <c r="B2355">
        <v>241739014.45257342</v>
      </c>
    </row>
    <row r="2356" spans="1:2" x14ac:dyDescent="0.25">
      <c r="A2356">
        <f ca="1">41031.2505998075*(RANDBETWEEN(2890,3282))</f>
        <v>134131158.21077064</v>
      </c>
      <c r="B2356">
        <v>244099858.12742409</v>
      </c>
    </row>
    <row r="2357" spans="1:2" x14ac:dyDescent="0.25">
      <c r="A2357">
        <f ca="1">33269.3736455724*(RANDBETWEEN(2890,3282))</f>
        <v>100406969.66233744</v>
      </c>
      <c r="B2357">
        <v>237322968.88381261</v>
      </c>
    </row>
    <row r="2358" spans="1:2" x14ac:dyDescent="0.25">
      <c r="A2358">
        <f ca="1">38780.3692641658*(RANDBETWEEN(2890,3282))</f>
        <v>125687176.78516133</v>
      </c>
      <c r="B2358">
        <v>241515186.51376233</v>
      </c>
    </row>
    <row r="2359" spans="1:2" x14ac:dyDescent="0.25">
      <c r="A2359">
        <f ca="1">31323.9520718317*(RANDBETWEEN(2890,3282))</f>
        <v>94191123.879997954</v>
      </c>
      <c r="B2359">
        <v>263859214.12398815</v>
      </c>
    </row>
    <row r="2360" spans="1:2" x14ac:dyDescent="0.25">
      <c r="A2360">
        <f ca="1">30719.7296509656*(RANDBETWEEN(2890,3282))</f>
        <v>91391195.711622745</v>
      </c>
      <c r="B2360">
        <v>209296568.11959273</v>
      </c>
    </row>
    <row r="2361" spans="1:2" x14ac:dyDescent="0.25">
      <c r="A2361">
        <f ca="1">32332.0634498293*(RANDBETWEEN(2890,3282))</f>
        <v>100488053.20206951</v>
      </c>
      <c r="B2361">
        <v>216954288.73573124</v>
      </c>
    </row>
    <row r="2362" spans="1:2" x14ac:dyDescent="0.25">
      <c r="A2362">
        <f ca="1">40870.8444035709*(RANDBETWEEN(2890,3282))</f>
        <v>130010156.04775909</v>
      </c>
      <c r="B2362">
        <v>222009528.06516585</v>
      </c>
    </row>
    <row r="2363" spans="1:2" x14ac:dyDescent="0.25">
      <c r="A2363">
        <f ca="1">40310.8984735004*(RANDBETWEEN(2890,3282))</f>
        <v>121255182.60828921</v>
      </c>
      <c r="B2363">
        <v>214015372.0300374</v>
      </c>
    </row>
    <row r="2364" spans="1:2" x14ac:dyDescent="0.25">
      <c r="A2364">
        <f ca="1">31180.7935675882*(RANDBETWEEN(2890,3282))</f>
        <v>95693855.458928213</v>
      </c>
      <c r="B2364">
        <v>244879853.18766788</v>
      </c>
    </row>
    <row r="2365" spans="1:2" x14ac:dyDescent="0.25">
      <c r="A2365">
        <f ca="1">32596.982021548*(RANDBETWEEN(2890,3282))</f>
        <v>100692077.46456163</v>
      </c>
      <c r="B2365">
        <v>217794827.65931457</v>
      </c>
    </row>
    <row r="2366" spans="1:2" x14ac:dyDescent="0.25">
      <c r="A2366">
        <f ca="1">28646.0324233142*(RANDBETWEEN(2890,3282))</f>
        <v>85365176.621476248</v>
      </c>
      <c r="B2366">
        <v>257960179.99270797</v>
      </c>
    </row>
    <row r="2367" spans="1:2" x14ac:dyDescent="0.25">
      <c r="A2367">
        <f ca="1">32504.6752612781*(RANDBETWEEN(2890,3282))</f>
        <v>98229128.639582321</v>
      </c>
      <c r="B2367">
        <v>263165656.95839813</v>
      </c>
    </row>
    <row r="2368" spans="1:2" x14ac:dyDescent="0.25">
      <c r="A2368">
        <f ca="1">35092.4783096529*(RANDBETWEEN(2890,3282))</f>
        <v>101592724.70644516</v>
      </c>
      <c r="B2368">
        <v>253148277.47033566</v>
      </c>
    </row>
    <row r="2369" spans="1:2" x14ac:dyDescent="0.25">
      <c r="A2369">
        <f ca="1">32841.6537650957*(RANDBETWEEN(2890,3282))</f>
        <v>95602054.110193714</v>
      </c>
      <c r="B2369">
        <v>255068349.97761554</v>
      </c>
    </row>
    <row r="2370" spans="1:2" x14ac:dyDescent="0.25">
      <c r="A2370">
        <f ca="1">38270.238124305*(RANDBETWEEN(2890,3282))</f>
        <v>117489631.04161623</v>
      </c>
      <c r="B2370">
        <v>220461404.43570262</v>
      </c>
    </row>
    <row r="2371" spans="1:2" x14ac:dyDescent="0.25">
      <c r="A2371">
        <f ca="1">29500.7385370185*(RANDBETWEEN(2890,3282))</f>
        <v>87499190.500796929</v>
      </c>
      <c r="B2371">
        <v>204149180.20775336</v>
      </c>
    </row>
    <row r="2372" spans="1:2" x14ac:dyDescent="0.25">
      <c r="A2372">
        <f ca="1">30791.9977435892*(RANDBETWEEN(2890,3282))</f>
        <v>97733800.838152081</v>
      </c>
      <c r="B2372">
        <v>263290520.74430209</v>
      </c>
    </row>
    <row r="2373" spans="1:2" x14ac:dyDescent="0.25">
      <c r="A2373">
        <f ca="1">30932.2054968699*(RANDBETWEEN(2890,3282))</f>
        <v>91126277.393778726</v>
      </c>
      <c r="B2373">
        <v>248996068.25656635</v>
      </c>
    </row>
    <row r="2374" spans="1:2" x14ac:dyDescent="0.25">
      <c r="A2374">
        <f ca="1">31292.0137258689*(RANDBETWEEN(2890,3282))</f>
        <v>97036534.563919574</v>
      </c>
      <c r="B2374">
        <v>257738421.78940541</v>
      </c>
    </row>
    <row r="2375" spans="1:2" x14ac:dyDescent="0.25">
      <c r="A2375">
        <f ca="1">38349.6069119608*(RANDBETWEEN(2890,3282))</f>
        <v>114473576.63220306</v>
      </c>
      <c r="B2375">
        <v>231579585.18059593</v>
      </c>
    </row>
    <row r="2376" spans="1:2" x14ac:dyDescent="0.25">
      <c r="A2376">
        <f ca="1">35833.8664084813*(RANDBETWEEN(2890,3282))</f>
        <v>108254110.42002206</v>
      </c>
      <c r="B2376">
        <v>206186126.20082223</v>
      </c>
    </row>
    <row r="2377" spans="1:2" x14ac:dyDescent="0.25">
      <c r="A2377">
        <f ca="1">31980.1917406152*(RANDBETWEEN(2890,3282))</f>
        <v>104543246.80007116</v>
      </c>
      <c r="B2377">
        <v>264817385.11509353</v>
      </c>
    </row>
    <row r="2378" spans="1:2" x14ac:dyDescent="0.25">
      <c r="A2378">
        <f ca="1">38908.7569013869*(RANDBETWEEN(2890,3282))</f>
        <v>121473139.0461299</v>
      </c>
      <c r="B2378">
        <v>237098679.12685257</v>
      </c>
    </row>
    <row r="2379" spans="1:2" x14ac:dyDescent="0.25">
      <c r="A2379">
        <f ca="1">30358.4591812907*(RANDBETWEEN(2890,3282))</f>
        <v>89466379.207263693</v>
      </c>
      <c r="B2379">
        <v>211607508.61701396</v>
      </c>
    </row>
    <row r="2380" spans="1:2" x14ac:dyDescent="0.25">
      <c r="A2380">
        <f ca="1">34354.6682244125*(RANDBETWEEN(2890,3282))</f>
        <v>109419618.29475389</v>
      </c>
      <c r="B2380">
        <v>244476334.44151026</v>
      </c>
    </row>
    <row r="2381" spans="1:2" x14ac:dyDescent="0.25">
      <c r="A2381">
        <f ca="1">36149.1802975528*(RANDBETWEEN(2890,3282))</f>
        <v>110218850.72723861</v>
      </c>
      <c r="B2381">
        <v>204091812.14308363</v>
      </c>
    </row>
    <row r="2382" spans="1:2" x14ac:dyDescent="0.25">
      <c r="A2382">
        <f ca="1">34492.7709057921*(RANDBETWEEN(2890,3282))</f>
        <v>103788747.65552855</v>
      </c>
      <c r="B2382">
        <v>235428344.08702117</v>
      </c>
    </row>
    <row r="2383" spans="1:2" x14ac:dyDescent="0.25">
      <c r="A2383">
        <f ca="1">36584.8701001164*(RANDBETWEEN(2890,3282))</f>
        <v>109937534.65084988</v>
      </c>
      <c r="B2383">
        <v>261809464.34162492</v>
      </c>
    </row>
    <row r="2384" spans="1:2" x14ac:dyDescent="0.25">
      <c r="A2384">
        <f ca="1">38504.1735629278*(RANDBETWEEN(2890,3282))</f>
        <v>119632467.26001665</v>
      </c>
      <c r="B2384">
        <v>241531068.80682325</v>
      </c>
    </row>
    <row r="2385" spans="1:2" x14ac:dyDescent="0.25">
      <c r="A2385">
        <f ca="1">35398.2114186416*(RANDBETWEEN(2890,3282))</f>
        <v>115150381.74484101</v>
      </c>
      <c r="B2385">
        <v>261811953.4510138</v>
      </c>
    </row>
    <row r="2386" spans="1:2" x14ac:dyDescent="0.25">
      <c r="A2386">
        <f ca="1">32344.0402861759*(RANDBETWEEN(2890,3282))</f>
        <v>104438906.08406197</v>
      </c>
      <c r="B2386">
        <v>214543890.95265111</v>
      </c>
    </row>
    <row r="2387" spans="1:2" x14ac:dyDescent="0.25">
      <c r="A2387">
        <f ca="1">33776.9714169317*(RANDBETWEEN(2890,3282))</f>
        <v>107680984.87717812</v>
      </c>
      <c r="B2387">
        <v>207188589.47379154</v>
      </c>
    </row>
    <row r="2388" spans="1:2" x14ac:dyDescent="0.25">
      <c r="A2388">
        <f ca="1">40198.7408248602*(RANDBETWEEN(2890,3282))</f>
        <v>131610677.46059227</v>
      </c>
      <c r="B2388">
        <v>260283604.9505811</v>
      </c>
    </row>
    <row r="2389" spans="1:2" x14ac:dyDescent="0.25">
      <c r="A2389">
        <f ca="1">36621.4512708488*(RANDBETWEEN(2890,3282))</f>
        <v>119569038.3993213</v>
      </c>
      <c r="B2389">
        <v>246585167.56661421</v>
      </c>
    </row>
    <row r="2390" spans="1:2" x14ac:dyDescent="0.25">
      <c r="A2390">
        <f ca="1">29944.6586008796*(RANDBETWEEN(2890,3282))</f>
        <v>97859144.307674631</v>
      </c>
      <c r="B2390">
        <v>249273361.88526452</v>
      </c>
    </row>
    <row r="2391" spans="1:2" x14ac:dyDescent="0.25">
      <c r="A2391">
        <f ca="1">38160.9573706275*(RANDBETWEEN(2890,3282))</f>
        <v>121466327.31070744</v>
      </c>
      <c r="B2391">
        <v>247853792.60518572</v>
      </c>
    </row>
    <row r="2392" spans="1:2" x14ac:dyDescent="0.25">
      <c r="A2392">
        <f ca="1">35905.5475468599*(RANDBETWEEN(2890,3282))</f>
        <v>117518857.12087248</v>
      </c>
      <c r="B2392">
        <v>225239089.75776172</v>
      </c>
    </row>
    <row r="2393" spans="1:2" x14ac:dyDescent="0.25">
      <c r="A2393">
        <f ca="1">40120.6206690463*(RANDBETWEEN(2890,3282))</f>
        <v>117914504.14632709</v>
      </c>
      <c r="B2393">
        <v>251076017.65968019</v>
      </c>
    </row>
    <row r="2394" spans="1:2" x14ac:dyDescent="0.25">
      <c r="A2394">
        <f ca="1">39595.2849217762*(RANDBETWEEN(2890,3282))</f>
        <v>126348554.18538773</v>
      </c>
      <c r="B2394">
        <v>259600211.39056617</v>
      </c>
    </row>
    <row r="2395" spans="1:2" x14ac:dyDescent="0.25">
      <c r="A2395">
        <f ca="1">31850.1623652237*(RANDBETWEEN(2890,3282))</f>
        <v>100073210.15153283</v>
      </c>
      <c r="B2395">
        <v>245029777.47922429</v>
      </c>
    </row>
    <row r="2396" spans="1:2" x14ac:dyDescent="0.25">
      <c r="A2396">
        <f ca="1">29517.5691918666*(RANDBETWEEN(2890,3282))</f>
        <v>88995471.113477737</v>
      </c>
      <c r="B2396">
        <v>250818805.16938946</v>
      </c>
    </row>
    <row r="2397" spans="1:2" x14ac:dyDescent="0.25">
      <c r="A2397">
        <f ca="1">35197.3967546122*(RANDBETWEEN(2890,3282))</f>
        <v>104677057.94821657</v>
      </c>
      <c r="B2397">
        <v>218704173.54814026</v>
      </c>
    </row>
    <row r="2398" spans="1:2" x14ac:dyDescent="0.25">
      <c r="A2398">
        <f ca="1">38521.9695336742*(RANDBETWEEN(2890,3282))</f>
        <v>111675189.67812161</v>
      </c>
      <c r="B2398">
        <v>210186890.5502339</v>
      </c>
    </row>
    <row r="2399" spans="1:2" x14ac:dyDescent="0.25">
      <c r="A2399">
        <f ca="1">29746.6804712741*(RANDBETWEEN(2890,3282))</f>
        <v>88288147.638741642</v>
      </c>
      <c r="B2399">
        <v>238453971.10458586</v>
      </c>
    </row>
    <row r="2400" spans="1:2" x14ac:dyDescent="0.25">
      <c r="A2400">
        <f ca="1">37870.8336553344*(RANDBETWEEN(2890,3282))</f>
        <v>117058746.82863849</v>
      </c>
      <c r="B2400">
        <v>261078192.93309835</v>
      </c>
    </row>
    <row r="2401" spans="1:2" x14ac:dyDescent="0.25">
      <c r="A2401">
        <f ca="1">33295.5556268644*(RANDBETWEEN(2890,3282))</f>
        <v>108476920.23232429</v>
      </c>
      <c r="B2401">
        <v>230863680.80311614</v>
      </c>
    </row>
    <row r="2402" spans="1:2" x14ac:dyDescent="0.25">
      <c r="A2402">
        <f ca="1">29669.3126844662*(RANDBETWEEN(2890,3282))</f>
        <v>92686932.826272503</v>
      </c>
      <c r="B2402">
        <v>235819283.75476053</v>
      </c>
    </row>
    <row r="2403" spans="1:2" x14ac:dyDescent="0.25">
      <c r="A2403">
        <f ca="1">33485.3651235517*(RANDBETWEEN(2890,3282))</f>
        <v>109329717.1283963</v>
      </c>
      <c r="B2403">
        <v>212555072.46678251</v>
      </c>
    </row>
    <row r="2404" spans="1:2" x14ac:dyDescent="0.25">
      <c r="A2404">
        <f ca="1">29059.5696267265*(RANDBETWEEN(2890,3282))</f>
        <v>90346201.96949254</v>
      </c>
      <c r="B2404">
        <v>228532911.62145594</v>
      </c>
    </row>
    <row r="2405" spans="1:2" x14ac:dyDescent="0.25">
      <c r="A2405">
        <f ca="1">32277.134242438*(RANDBETWEEN(2890,3282))</f>
        <v>101447032.92398275</v>
      </c>
      <c r="B2405">
        <v>222697686.46063459</v>
      </c>
    </row>
    <row r="2406" spans="1:2" x14ac:dyDescent="0.25">
      <c r="A2406">
        <f ca="1">36599.9255899106*(RANDBETWEEN(2890,3282))</f>
        <v>110751374.83506945</v>
      </c>
      <c r="B2406">
        <v>218953931.81519717</v>
      </c>
    </row>
    <row r="2407" spans="1:2" x14ac:dyDescent="0.25">
      <c r="A2407">
        <f ca="1">33616.6822377329*(RANDBETWEEN(2890,3282))</f>
        <v>98463262.274319544</v>
      </c>
      <c r="B2407">
        <v>231732485.85493106</v>
      </c>
    </row>
    <row r="2408" spans="1:2" x14ac:dyDescent="0.25">
      <c r="A2408">
        <f ca="1">31449.7432597331*(RANDBETWEEN(2890,3282))</f>
        <v>93217039.021848857</v>
      </c>
      <c r="B2408">
        <v>205703513.19691283</v>
      </c>
    </row>
    <row r="2409" spans="1:2" x14ac:dyDescent="0.25">
      <c r="A2409">
        <f ca="1">33456.2211599112*(RANDBETWEEN(2890,3282))</f>
        <v>108799631.21203133</v>
      </c>
      <c r="B2409">
        <v>211565379.00475609</v>
      </c>
    </row>
    <row r="2410" spans="1:2" x14ac:dyDescent="0.25">
      <c r="A2410">
        <f ca="1">33505.4852049023*(RANDBETWEEN(2890,3282))</f>
        <v>104972685.14695902</v>
      </c>
      <c r="B2410">
        <v>219234908.78731763</v>
      </c>
    </row>
    <row r="2411" spans="1:2" x14ac:dyDescent="0.25">
      <c r="A2411">
        <f ca="1">39767.9397059237*(RANDBETWEEN(2890,3282))</f>
        <v>125945065.04866041</v>
      </c>
      <c r="B2411">
        <v>242200268.22213608</v>
      </c>
    </row>
    <row r="2412" spans="1:2" x14ac:dyDescent="0.25">
      <c r="A2412">
        <f ca="1">39301.78278869*(RANDBETWEEN(2890,3282))</f>
        <v>118887892.93578735</v>
      </c>
      <c r="B2412">
        <v>205886414.81234774</v>
      </c>
    </row>
    <row r="2413" spans="1:2" x14ac:dyDescent="0.25">
      <c r="A2413">
        <f ca="1">30823.9090961752*(RANDBETWEEN(2890,3282))</f>
        <v>95122583.470796809</v>
      </c>
      <c r="B2413">
        <v>238685397.02783948</v>
      </c>
    </row>
    <row r="2414" spans="1:2" x14ac:dyDescent="0.25">
      <c r="A2414">
        <f ca="1">33027.5840916023*(RANDBETWEEN(2890,3282))</f>
        <v>100701103.89529532</v>
      </c>
      <c r="B2414">
        <v>233562129.28441739</v>
      </c>
    </row>
    <row r="2415" spans="1:2" x14ac:dyDescent="0.25">
      <c r="A2415">
        <f ca="1">39933.2488829157*(RANDBETWEEN(2890,3282))</f>
        <v>129862925.3672419</v>
      </c>
      <c r="B2415">
        <v>221290226.63101074</v>
      </c>
    </row>
    <row r="2416" spans="1:2" x14ac:dyDescent="0.25">
      <c r="A2416">
        <f ca="1">30273.704039158*(RANDBETWEEN(2890,3282))</f>
        <v>90942206.933630556</v>
      </c>
      <c r="B2416">
        <v>207016028.36507833</v>
      </c>
    </row>
    <row r="2417" spans="1:2" x14ac:dyDescent="0.25">
      <c r="A2417">
        <f ca="1">35919.1500859444*(RANDBETWEEN(2890,3282))</f>
        <v>109014620.51084134</v>
      </c>
      <c r="B2417">
        <v>213554050.07137886</v>
      </c>
    </row>
    <row r="2418" spans="1:2" x14ac:dyDescent="0.25">
      <c r="A2418">
        <f ca="1">41137.4637381486*(RANDBETWEEN(2890,3282))</f>
        <v>123330116.28696956</v>
      </c>
      <c r="B2418">
        <v>242164713.98643586</v>
      </c>
    </row>
    <row r="2419" spans="1:2" x14ac:dyDescent="0.25">
      <c r="A2419">
        <f ca="1">30240.3924939634*(RANDBETWEEN(2890,3282))</f>
        <v>94047620.656226173</v>
      </c>
      <c r="B2419">
        <v>220760045.31631157</v>
      </c>
    </row>
    <row r="2420" spans="1:2" x14ac:dyDescent="0.25">
      <c r="A2420">
        <f ca="1">32559.6664703428*(RANDBETWEEN(2890,3282))</f>
        <v>100707048.39277026</v>
      </c>
      <c r="B2420">
        <v>265537528.41230914</v>
      </c>
    </row>
    <row r="2421" spans="1:2" x14ac:dyDescent="0.25">
      <c r="A2421">
        <f ca="1">32547.5961333257*(RANDBETWEEN(2890,3282))</f>
        <v>104022117.24210905</v>
      </c>
      <c r="B2421">
        <v>235293507.79624563</v>
      </c>
    </row>
    <row r="2422" spans="1:2" x14ac:dyDescent="0.25">
      <c r="A2422">
        <f ca="1">39107.0316662917*(RANDBETWEEN(2890,3282))</f>
        <v>124829645.07880302</v>
      </c>
      <c r="B2422">
        <v>227269899.01709896</v>
      </c>
    </row>
    <row r="2423" spans="1:2" x14ac:dyDescent="0.25">
      <c r="A2423">
        <f ca="1">31076.5510105589*(RANDBETWEEN(2890,3282))</f>
        <v>95529317.806458205</v>
      </c>
      <c r="B2423">
        <v>254522614.27701044</v>
      </c>
    </row>
    <row r="2424" spans="1:2" x14ac:dyDescent="0.25">
      <c r="A2424">
        <f ca="1">32646.3579933725*(RANDBETWEEN(2890,3282))</f>
        <v>100061087.24968673</v>
      </c>
      <c r="B2424">
        <v>247794073.60242018</v>
      </c>
    </row>
    <row r="2425" spans="1:2" x14ac:dyDescent="0.25">
      <c r="A2425">
        <f ca="1">38971.7559815388*(RANDBETWEEN(2890,3282))</f>
        <v>124475788.60503493</v>
      </c>
      <c r="B2425">
        <v>265798742.56292355</v>
      </c>
    </row>
    <row r="2426" spans="1:2" x14ac:dyDescent="0.25">
      <c r="A2426">
        <f ca="1">31589.9180653551*(RANDBETWEEN(2890,3282))</f>
        <v>96981048.460640103</v>
      </c>
      <c r="B2426">
        <v>213781136.90485269</v>
      </c>
    </row>
    <row r="2427" spans="1:2" x14ac:dyDescent="0.25">
      <c r="A2427">
        <f ca="1">38528.4148512841*(RANDBETWEEN(2890,3282))</f>
        <v>112849727.09941104</v>
      </c>
      <c r="B2427">
        <v>227526628.56607789</v>
      </c>
    </row>
    <row r="2428" spans="1:2" x14ac:dyDescent="0.25">
      <c r="A2428">
        <f ca="1">37054.2526470484*(RANDBETWEEN(2890,3282))</f>
        <v>114905237.45849715</v>
      </c>
      <c r="B2428">
        <v>233560843.31099072</v>
      </c>
    </row>
    <row r="2429" spans="1:2" x14ac:dyDescent="0.25">
      <c r="A2429">
        <f ca="1">35078.5841664016*(RANDBETWEEN(2890,3282))</f>
        <v>102043601.34006223</v>
      </c>
      <c r="B2429">
        <v>243164979.00002876</v>
      </c>
    </row>
    <row r="2430" spans="1:2" x14ac:dyDescent="0.25">
      <c r="A2430">
        <f ca="1">35304.7654948382*(RANDBETWEEN(2890,3282))</f>
        <v>108173801.47618414</v>
      </c>
      <c r="B2430">
        <v>204286795.86337042</v>
      </c>
    </row>
    <row r="2431" spans="1:2" x14ac:dyDescent="0.25">
      <c r="A2431">
        <f ca="1">33959.3647202219*(RANDBETWEEN(2890,3282))</f>
        <v>104866518.25604509</v>
      </c>
      <c r="B2431">
        <v>206678743.54889822</v>
      </c>
    </row>
    <row r="2432" spans="1:2" x14ac:dyDescent="0.25">
      <c r="A2432">
        <f ca="1">33165.4910213793*(RANDBETWEEN(2890,3282))</f>
        <v>98103522.441239893</v>
      </c>
      <c r="B2432">
        <v>243298682.37413216</v>
      </c>
    </row>
    <row r="2433" spans="1:2" x14ac:dyDescent="0.25">
      <c r="A2433">
        <f ca="1">31145.1793500223*(RANDBETWEEN(2890,3282))</f>
        <v>97920443.876470104</v>
      </c>
      <c r="B2433">
        <v>219996659.28898543</v>
      </c>
    </row>
    <row r="2434" spans="1:2" x14ac:dyDescent="0.25">
      <c r="A2434">
        <f ca="1">33337.2773636453*(RANDBETWEEN(2890,3282))</f>
        <v>98945039.215299174</v>
      </c>
      <c r="B2434">
        <v>235118891.48817804</v>
      </c>
    </row>
    <row r="2435" spans="1:2" x14ac:dyDescent="0.25">
      <c r="A2435">
        <f ca="1">39861.5027151968*(RANDBETWEEN(2890,3282))</f>
        <v>127357501.17505364</v>
      </c>
      <c r="B2435">
        <v>242056636.99660188</v>
      </c>
    </row>
    <row r="2436" spans="1:2" x14ac:dyDescent="0.25">
      <c r="A2436">
        <f ca="1">39902.9703904625*(RANDBETWEEN(2890,3282))</f>
        <v>122302604.24676763</v>
      </c>
      <c r="B2436">
        <v>267225556.57108214</v>
      </c>
    </row>
    <row r="2437" spans="1:2" x14ac:dyDescent="0.25">
      <c r="A2437">
        <f ca="1">28921.8260741113*(RANDBETWEEN(2890,3282))</f>
        <v>94632214.914492086</v>
      </c>
      <c r="B2437">
        <v>237197986.46567026</v>
      </c>
    </row>
    <row r="2438" spans="1:2" x14ac:dyDescent="0.25">
      <c r="A2438">
        <f ca="1">36250.6211165496*(RANDBETWEEN(2890,3282))</f>
        <v>107736845.95838541</v>
      </c>
      <c r="B2438">
        <v>249745446.41540098</v>
      </c>
    </row>
    <row r="2439" spans="1:2" x14ac:dyDescent="0.25">
      <c r="A2439">
        <f ca="1">38062.9944849031*(RANDBETWEEN(2890,3282))</f>
        <v>116853393.06865254</v>
      </c>
      <c r="B2439">
        <v>211716951.28601903</v>
      </c>
    </row>
    <row r="2440" spans="1:2" x14ac:dyDescent="0.25">
      <c r="A2440">
        <f ca="1">37228.4547436579*(RANDBETWEEN(2890,3282))</f>
        <v>118944912.90598707</v>
      </c>
      <c r="B2440">
        <v>222540990.89464664</v>
      </c>
    </row>
    <row r="2441" spans="1:2" x14ac:dyDescent="0.25">
      <c r="A2441">
        <f ca="1">31476.0138992924*(RANDBETWEEN(2890,3282))</f>
        <v>97827451.199000672</v>
      </c>
      <c r="B2441">
        <v>255625382.71071583</v>
      </c>
    </row>
    <row r="2442" spans="1:2" x14ac:dyDescent="0.25">
      <c r="A2442">
        <f ca="1">36071.7857317532*(RANDBETWEEN(2890,3282))</f>
        <v>114996852.91282932</v>
      </c>
      <c r="B2442">
        <v>237011294.82815793</v>
      </c>
    </row>
    <row r="2443" spans="1:2" x14ac:dyDescent="0.25">
      <c r="A2443">
        <f ca="1">37713.8588654864*(RANDBETWEEN(2890,3282))</f>
        <v>114574703.23334764</v>
      </c>
      <c r="B2443">
        <v>225805907.45707721</v>
      </c>
    </row>
    <row r="2444" spans="1:2" x14ac:dyDescent="0.25">
      <c r="A2444">
        <f ca="1">38305.5907830244*(RANDBETWEEN(2890,3282))</f>
        <v>112388603.35739367</v>
      </c>
      <c r="B2444">
        <v>213329745.83263618</v>
      </c>
    </row>
    <row r="2445" spans="1:2" x14ac:dyDescent="0.25">
      <c r="A2445">
        <f ca="1">31114.4442886655*(RANDBETWEEN(2890,3282))</f>
        <v>98228300.61931704</v>
      </c>
      <c r="B2445">
        <v>206729884.06198373</v>
      </c>
    </row>
    <row r="2446" spans="1:2" x14ac:dyDescent="0.25">
      <c r="A2446">
        <f ca="1">30709.6410965779*(RANDBETWEEN(2890,3282))</f>
        <v>100543364.95019595</v>
      </c>
      <c r="B2446">
        <v>264455616.58469579</v>
      </c>
    </row>
    <row r="2447" spans="1:2" x14ac:dyDescent="0.25">
      <c r="A2447">
        <f ca="1">30883.9232775259*(RANDBETWEEN(2890,3282))</f>
        <v>95585742.54394266</v>
      </c>
      <c r="B2447">
        <v>228987725.85718167</v>
      </c>
    </row>
    <row r="2448" spans="1:2" x14ac:dyDescent="0.25">
      <c r="A2448">
        <f ca="1">36006.0588152758*(RANDBETWEEN(2890,3282))</f>
        <v>105137691.7406054</v>
      </c>
      <c r="B2448">
        <v>235391877.90695298</v>
      </c>
    </row>
    <row r="2449" spans="1:2" x14ac:dyDescent="0.25">
      <c r="A2449">
        <f ca="1">35030.5417267848*(RANDBETWEEN(2890,3282))</f>
        <v>108874923.68684712</v>
      </c>
      <c r="B2449">
        <v>219414047.60629296</v>
      </c>
    </row>
    <row r="2450" spans="1:2" x14ac:dyDescent="0.25">
      <c r="A2450">
        <f ca="1">36501.5543010223*(RANDBETWEEN(2890,3282))</f>
        <v>113629338.5390823</v>
      </c>
      <c r="B2450">
        <v>216889749.07564056</v>
      </c>
    </row>
    <row r="2451" spans="1:2" x14ac:dyDescent="0.25">
      <c r="A2451">
        <f ca="1">29947.8320715232*(RANDBETWEEN(2890,3282))</f>
        <v>87896887.129920527</v>
      </c>
      <c r="B2451">
        <v>245233888.39848068</v>
      </c>
    </row>
    <row r="2452" spans="1:2" x14ac:dyDescent="0.25">
      <c r="A2452">
        <f ca="1">31620.1930326842*(RANDBETWEEN(2890,3282))</f>
        <v>92204482.88330704</v>
      </c>
      <c r="B2452">
        <v>266975023.8402738</v>
      </c>
    </row>
    <row r="2453" spans="1:2" x14ac:dyDescent="0.25">
      <c r="A2453">
        <f ca="1">34468.1409205434*(RANDBETWEEN(2890,3282))</f>
        <v>101508675.01100042</v>
      </c>
      <c r="B2453">
        <v>257389413.1648646</v>
      </c>
    </row>
    <row r="2454" spans="1:2" x14ac:dyDescent="0.25">
      <c r="A2454">
        <f ca="1">33664.159753429*(RANDBETWEEN(2890,3282))</f>
        <v>103012328.84549271</v>
      </c>
      <c r="B2454">
        <v>233026528.12705815</v>
      </c>
    </row>
    <row r="2455" spans="1:2" x14ac:dyDescent="0.25">
      <c r="A2455">
        <f ca="1">34069.1240946584*(RANDBETWEEN(2890,3282))</f>
        <v>108135399.87644565</v>
      </c>
      <c r="B2455">
        <v>239908587.30482307</v>
      </c>
    </row>
    <row r="2456" spans="1:2" x14ac:dyDescent="0.25">
      <c r="A2456">
        <f ca="1">36734.9701736745*(RANDBETWEEN(2890,3282))</f>
        <v>113033503.22439636</v>
      </c>
      <c r="B2456">
        <v>221527504.54759306</v>
      </c>
    </row>
    <row r="2457" spans="1:2" x14ac:dyDescent="0.25">
      <c r="A2457">
        <f ca="1">33619.0033781542*(RANDBETWEEN(2890,3282))</f>
        <v>106067955.65807652</v>
      </c>
      <c r="B2457">
        <v>255782113.58650726</v>
      </c>
    </row>
    <row r="2458" spans="1:2" x14ac:dyDescent="0.25">
      <c r="A2458">
        <f ca="1">33850.4454419347*(RANDBETWEEN(2890,3282))</f>
        <v>106696604.03297818</v>
      </c>
      <c r="B2458">
        <v>261565838.76936015</v>
      </c>
    </row>
    <row r="2459" spans="1:2" x14ac:dyDescent="0.25">
      <c r="A2459">
        <f ca="1">35679.9164987598*(RANDBETWEEN(2890,3282))</f>
        <v>104363755.75887239</v>
      </c>
      <c r="B2459">
        <v>233076874.32255828</v>
      </c>
    </row>
    <row r="2460" spans="1:2" x14ac:dyDescent="0.25">
      <c r="A2460">
        <f ca="1">34419.2256830807*(RANDBETWEEN(2890,3282))</f>
        <v>111690387.3415969</v>
      </c>
      <c r="B2460">
        <v>232127437.42047706</v>
      </c>
    </row>
    <row r="2461" spans="1:2" x14ac:dyDescent="0.25">
      <c r="A2461">
        <f ca="1">31118.9948193736*(RANDBETWEEN(2890,3282))</f>
        <v>101198971.15260305</v>
      </c>
      <c r="B2461">
        <v>224030408.66436887</v>
      </c>
    </row>
    <row r="2462" spans="1:2" x14ac:dyDescent="0.25">
      <c r="A2462">
        <f ca="1">32052.9213627874*(RANDBETWEEN(2890,3282))</f>
        <v>95133070.604753032</v>
      </c>
      <c r="B2462">
        <v>219873328.85329974</v>
      </c>
    </row>
    <row r="2463" spans="1:2" x14ac:dyDescent="0.25">
      <c r="A2463">
        <f ca="1">33044.884619051*(RANDBETWEEN(2890,3282))</f>
        <v>102075648.58824869</v>
      </c>
      <c r="B2463">
        <v>250800379.78743377</v>
      </c>
    </row>
    <row r="2464" spans="1:2" x14ac:dyDescent="0.25">
      <c r="A2464">
        <f ca="1">29106.7204337141*(RANDBETWEEN(2890,3282))</f>
        <v>92734011.301813096</v>
      </c>
      <c r="B2464">
        <v>247222670.82474741</v>
      </c>
    </row>
    <row r="2465" spans="1:2" x14ac:dyDescent="0.25">
      <c r="A2465">
        <f ca="1">36755.4672489581*(RANDBETWEEN(2890,3282))</f>
        <v>107362719.83420654</v>
      </c>
      <c r="B2465">
        <v>264569264.89768541</v>
      </c>
    </row>
    <row r="2466" spans="1:2" x14ac:dyDescent="0.25">
      <c r="A2466">
        <f ca="1">30730.0334188449*(RANDBETWEEN(2890,3282))</f>
        <v>100855969.68064882</v>
      </c>
      <c r="B2466">
        <v>252280245.13864672</v>
      </c>
    </row>
    <row r="2467" spans="1:2" x14ac:dyDescent="0.25">
      <c r="A2467">
        <f ca="1">33042.7439483136*(RANDBETWEEN(2890,3282))</f>
        <v>102564677.21556543</v>
      </c>
      <c r="B2467">
        <v>260998548.31028551</v>
      </c>
    </row>
    <row r="2468" spans="1:2" x14ac:dyDescent="0.25">
      <c r="A2468">
        <f ca="1">40277.9165619038*(RANDBETWEEN(2890,3282))</f>
        <v>127036548.83624466</v>
      </c>
      <c r="B2468">
        <v>207112546.60097513</v>
      </c>
    </row>
    <row r="2469" spans="1:2" x14ac:dyDescent="0.25">
      <c r="A2469">
        <f ca="1">29577.5440036945*(RANDBETWEEN(2890,3282))</f>
        <v>91956584.307486147</v>
      </c>
      <c r="B2469">
        <v>224996812.42206672</v>
      </c>
    </row>
    <row r="2470" spans="1:2" x14ac:dyDescent="0.25">
      <c r="A2470">
        <f ca="1">28978.104420694*(RANDBETWEEN(2890,3282))</f>
        <v>87195116.201868236</v>
      </c>
      <c r="B2470">
        <v>227391180.38581568</v>
      </c>
    </row>
    <row r="2471" spans="1:2" x14ac:dyDescent="0.25">
      <c r="A2471">
        <f ca="1">39420.7593276422*(RANDBETWEEN(2890,3282))</f>
        <v>125200331.62459169</v>
      </c>
      <c r="B2471">
        <v>245866535.53492182</v>
      </c>
    </row>
    <row r="2472" spans="1:2" x14ac:dyDescent="0.25">
      <c r="A2472">
        <f ca="1">41972.9978673248*(RANDBETWEEN(2890,3282))</f>
        <v>125037560.64676066</v>
      </c>
      <c r="B2472">
        <v>220696070.76179767</v>
      </c>
    </row>
    <row r="2473" spans="1:2" x14ac:dyDescent="0.25">
      <c r="A2473">
        <f ca="1">31457.2367032619*(RANDBETWEEN(2890,3282))</f>
        <v>91351815.38627252</v>
      </c>
      <c r="B2473">
        <v>228694382.11032709</v>
      </c>
    </row>
    <row r="2474" spans="1:2" x14ac:dyDescent="0.25">
      <c r="A2474">
        <f ca="1">32640.3600565869*(RANDBETWEEN(2890,3282))</f>
        <v>100760791.49468391</v>
      </c>
      <c r="B2474">
        <v>229990513.30943894</v>
      </c>
    </row>
    <row r="2475" spans="1:2" x14ac:dyDescent="0.25">
      <c r="A2475">
        <f ca="1">31939.6686897191*(RANDBETWEEN(2890,3282))</f>
        <v>100258620.01702815</v>
      </c>
      <c r="B2475">
        <v>258500856.3427273</v>
      </c>
    </row>
    <row r="2476" spans="1:2" x14ac:dyDescent="0.25">
      <c r="A2476">
        <f ca="1">35189.0314926721*(RANDBETWEEN(2890,3282))</f>
        <v>109543455.03668834</v>
      </c>
      <c r="B2476">
        <v>205137271.02390859</v>
      </c>
    </row>
    <row r="2477" spans="1:2" x14ac:dyDescent="0.25">
      <c r="A2477">
        <f ca="1">30358.0955647835*(RANDBETWEEN(2890,3282))</f>
        <v>94140454.346393704</v>
      </c>
      <c r="B2477">
        <v>253328547.23167789</v>
      </c>
    </row>
    <row r="2478" spans="1:2" x14ac:dyDescent="0.25">
      <c r="A2478">
        <f ca="1">33154.6560990875*(RANDBETWEEN(2890,3282))</f>
        <v>96778441.153236464</v>
      </c>
      <c r="B2478">
        <v>252911057.55090016</v>
      </c>
    </row>
    <row r="2479" spans="1:2" x14ac:dyDescent="0.25">
      <c r="A2479">
        <f ca="1">31201.5205094808*(RANDBETWEEN(2890,3282))</f>
        <v>95008629.951368898</v>
      </c>
      <c r="B2479">
        <v>231642787.34559265</v>
      </c>
    </row>
    <row r="2480" spans="1:2" x14ac:dyDescent="0.25">
      <c r="A2480">
        <f ca="1">31909.2077368049*(RANDBETWEEN(2890,3282))</f>
        <v>97578357.259149462</v>
      </c>
      <c r="B2480">
        <v>244503024.37213808</v>
      </c>
    </row>
    <row r="2481" spans="1:2" x14ac:dyDescent="0.25">
      <c r="A2481">
        <f ca="1">37807.2074768508*(RANDBETWEEN(2890,3282))</f>
        <v>119130510.75955686</v>
      </c>
      <c r="B2481">
        <v>215496402.55581686</v>
      </c>
    </row>
    <row r="2482" spans="1:2" x14ac:dyDescent="0.25">
      <c r="A2482">
        <f ca="1">33275.6323609519*(RANDBETWEEN(2890,3282))</f>
        <v>98362769.258973867</v>
      </c>
      <c r="B2482">
        <v>261218183.71643063</v>
      </c>
    </row>
    <row r="2483" spans="1:2" x14ac:dyDescent="0.25">
      <c r="A2483">
        <f ca="1">31688.564820977*(RANDBETWEEN(2890,3282))</f>
        <v>96333237.055770189</v>
      </c>
      <c r="B2483">
        <v>213998971.95689076</v>
      </c>
    </row>
    <row r="2484" spans="1:2" x14ac:dyDescent="0.25">
      <c r="A2484">
        <f ca="1">37309.4119367524*(RANDBETWEEN(2890,3282))</f>
        <v>111890926.3983205</v>
      </c>
      <c r="B2484">
        <v>207976675.13343114</v>
      </c>
    </row>
    <row r="2485" spans="1:2" x14ac:dyDescent="0.25">
      <c r="A2485">
        <f ca="1">35945.3268543805*(RANDBETWEEN(2890,3282))</f>
        <v>112940216.97646356</v>
      </c>
      <c r="B2485">
        <v>244053654.89631271</v>
      </c>
    </row>
    <row r="2486" spans="1:2" x14ac:dyDescent="0.25">
      <c r="A2486">
        <f ca="1">30481.86744986*(RANDBETWEEN(2890,3282))</f>
        <v>90134882.049236059</v>
      </c>
      <c r="B2486">
        <v>229110693.57666329</v>
      </c>
    </row>
    <row r="2487" spans="1:2" x14ac:dyDescent="0.25">
      <c r="A2487">
        <f ca="1">38719.4644112736*(RANDBETWEEN(2890,3282))</f>
        <v>114493456.2641359</v>
      </c>
      <c r="B2487">
        <v>264586376.90441158</v>
      </c>
    </row>
    <row r="2488" spans="1:2" x14ac:dyDescent="0.25">
      <c r="A2488">
        <f ca="1">38868.0822636361*(RANDBETWEEN(2890,3282))</f>
        <v>115360468.1584719</v>
      </c>
      <c r="B2488">
        <v>245169303.10970902</v>
      </c>
    </row>
    <row r="2489" spans="1:2" x14ac:dyDescent="0.25">
      <c r="A2489">
        <f ca="1">33809.6768499995*(RANDBETWEEN(2890,3282))</f>
        <v>98217111.24924849</v>
      </c>
      <c r="B2489">
        <v>212483414.41662723</v>
      </c>
    </row>
    <row r="2490" spans="1:2" x14ac:dyDescent="0.25">
      <c r="A2490">
        <f ca="1">32717.0008904805*(RANDBETWEEN(2890,3282))</f>
        <v>107148177.91632363</v>
      </c>
      <c r="B2490">
        <v>230294453.11766934</v>
      </c>
    </row>
    <row r="2491" spans="1:2" x14ac:dyDescent="0.25">
      <c r="A2491">
        <f ca="1">28984.6862692379*(RANDBETWEEN(2890,3282))</f>
        <v>86606242.572482914</v>
      </c>
      <c r="B2491">
        <v>247667160.80227393</v>
      </c>
    </row>
    <row r="2492" spans="1:2" x14ac:dyDescent="0.25">
      <c r="A2492">
        <f ca="1">30761.8887883998*(RANDBETWEEN(2890,3282))</f>
        <v>91793476.144585148</v>
      </c>
      <c r="B2492">
        <v>256428622.86321133</v>
      </c>
    </row>
    <row r="2493" spans="1:2" x14ac:dyDescent="0.25">
      <c r="A2493">
        <f ca="1">31929.3720935373*(RANDBETWEEN(2890,3282))</f>
        <v>97512302.373663023</v>
      </c>
      <c r="B2493">
        <v>266462715.97953299</v>
      </c>
    </row>
    <row r="2494" spans="1:2" x14ac:dyDescent="0.25">
      <c r="A2494">
        <f ca="1">31454.280348897*(RANDBETWEEN(2890,3282))</f>
        <v>93513575.477270886</v>
      </c>
      <c r="B2494">
        <v>224469600.36390716</v>
      </c>
    </row>
    <row r="2495" spans="1:2" x14ac:dyDescent="0.25">
      <c r="A2495">
        <f ca="1">31870.6673415171*(RANDBETWEEN(2890,3282))</f>
        <v>93795373.986084774</v>
      </c>
      <c r="B2495">
        <v>225654690.97467595</v>
      </c>
    </row>
    <row r="2496" spans="1:2" x14ac:dyDescent="0.25">
      <c r="A2496">
        <f ca="1">37369.6714739404*(RANDBETWEEN(2890,3282))</f>
        <v>114762261.09647097</v>
      </c>
      <c r="B2496">
        <v>235903580.44126329</v>
      </c>
    </row>
    <row r="2497" spans="1:2" x14ac:dyDescent="0.25">
      <c r="A2497">
        <f ca="1">38735.392718399*(RANDBETWEEN(2890,3282))</f>
        <v>126122438.69110717</v>
      </c>
      <c r="B2497">
        <v>210930685.52203104</v>
      </c>
    </row>
    <row r="2498" spans="1:2" x14ac:dyDescent="0.25">
      <c r="A2498">
        <f ca="1">31107.0860850705*(RANDBETWEEN(2890,3282))</f>
        <v>99387140.04180038</v>
      </c>
      <c r="B2498">
        <v>210225828.67371461</v>
      </c>
    </row>
    <row r="2499" spans="1:2" x14ac:dyDescent="0.25">
      <c r="A2499">
        <f ca="1">39643.24012646*(RANDBETWEEN(2890,3282))</f>
        <v>123052617.35253212</v>
      </c>
      <c r="B2499">
        <v>231221367.91103438</v>
      </c>
    </row>
    <row r="2500" spans="1:2" x14ac:dyDescent="0.25">
      <c r="A2500">
        <f ca="1">31618.1296110632*(RANDBETWEEN(2890,3282))</f>
        <v>94854388.833189517</v>
      </c>
      <c r="B2500">
        <v>261872422.19617465</v>
      </c>
    </row>
    <row r="2501" spans="1:2" x14ac:dyDescent="0.25">
      <c r="A2501">
        <f ca="1">30056.9651159013*(RANDBETWEEN(2890,3282))</f>
        <v>95611206.033682138</v>
      </c>
      <c r="B2501">
        <v>263189358.98105419</v>
      </c>
    </row>
    <row r="2502" spans="1:2" x14ac:dyDescent="0.25">
      <c r="A2502">
        <f ca="1">29248.3633535991*(RANDBETWEEN(2890,3282))</f>
        <v>90465187.852681965</v>
      </c>
      <c r="B2502">
        <v>233155089.73778963</v>
      </c>
    </row>
    <row r="2503" spans="1:2" x14ac:dyDescent="0.25">
      <c r="A2503">
        <f ca="1">31378.7756887275*(RANDBETWEEN(2890,3282))</f>
        <v>99784506.69015345</v>
      </c>
      <c r="B2503">
        <v>248237708.81868297</v>
      </c>
    </row>
    <row r="2504" spans="1:2" x14ac:dyDescent="0.25">
      <c r="A2504">
        <f ca="1">39833.1138433746*(RANDBETWEEN(2890,3282))</f>
        <v>127426131.18495521</v>
      </c>
      <c r="B2504">
        <v>252551148.48527956</v>
      </c>
    </row>
    <row r="2505" spans="1:2" x14ac:dyDescent="0.25">
      <c r="A2505">
        <f ca="1">31383.4308183038*(RANDBETWEEN(2890,3282))</f>
        <v>94934878.225369021</v>
      </c>
      <c r="B2505">
        <v>215912403.51670137</v>
      </c>
    </row>
    <row r="2506" spans="1:2" x14ac:dyDescent="0.25">
      <c r="A2506">
        <f ca="1">31729.3727578028*(RANDBETWEEN(2890,3282))</f>
        <v>94394883.954463333</v>
      </c>
      <c r="B2506">
        <v>258628177.35141641</v>
      </c>
    </row>
    <row r="2507" spans="1:2" x14ac:dyDescent="0.25">
      <c r="A2507">
        <f ca="1">41072.2515172784*(RANDBETWEEN(2890,3282))</f>
        <v>124448922.09735359</v>
      </c>
      <c r="B2507">
        <v>209592565.25361285</v>
      </c>
    </row>
    <row r="2508" spans="1:2" x14ac:dyDescent="0.25">
      <c r="A2508">
        <f ca="1">33058.5886226711*(RANDBETWEEN(2890,3282))</f>
        <v>99903054.817711994</v>
      </c>
      <c r="B2508">
        <v>232976703.00685602</v>
      </c>
    </row>
    <row r="2509" spans="1:2" x14ac:dyDescent="0.25">
      <c r="A2509">
        <f ca="1">35228.7406546685*(RANDBETWEEN(2890,3282))</f>
        <v>106883999.1462642</v>
      </c>
      <c r="B2509">
        <v>261591524.12859756</v>
      </c>
    </row>
    <row r="2510" spans="1:2" x14ac:dyDescent="0.25">
      <c r="A2510">
        <f ca="1">31828.0071243828*(RANDBETWEEN(2890,3282))</f>
        <v>98857790.128332987</v>
      </c>
      <c r="B2510">
        <v>237478334.6918678</v>
      </c>
    </row>
    <row r="2511" spans="1:2" x14ac:dyDescent="0.25">
      <c r="A2511">
        <f ca="1">31730.1905654732*(RANDBETWEEN(2890,3282))</f>
        <v>103440421.24344258</v>
      </c>
      <c r="B2511">
        <v>261907803.12492475</v>
      </c>
    </row>
    <row r="2512" spans="1:2" x14ac:dyDescent="0.25">
      <c r="A2512">
        <f ca="1">39444.4815258602*(RANDBETWEEN(2890,3282))</f>
        <v>121134002.76591653</v>
      </c>
      <c r="B2512">
        <v>221729206.32438838</v>
      </c>
    </row>
    <row r="2513" spans="1:2" x14ac:dyDescent="0.25">
      <c r="A2513">
        <f ca="1">32010.3797195452*(RANDBETWEEN(2890,3282))</f>
        <v>103329505.73469193</v>
      </c>
      <c r="B2513">
        <v>252540724.06069621</v>
      </c>
    </row>
    <row r="2514" spans="1:2" x14ac:dyDescent="0.25">
      <c r="A2514">
        <f ca="1">33694.5449264893*(RANDBETWEEN(2890,3282))</f>
        <v>104385700.1822637</v>
      </c>
      <c r="B2514">
        <v>213288273.58568513</v>
      </c>
    </row>
    <row r="2515" spans="1:2" x14ac:dyDescent="0.25">
      <c r="A2515">
        <f ca="1">32454.7996071691*(RANDBETWEEN(2890,3282))</f>
        <v>104082542.34019117</v>
      </c>
      <c r="B2515">
        <v>242532379.66752562</v>
      </c>
    </row>
    <row r="2516" spans="1:2" x14ac:dyDescent="0.25">
      <c r="A2516">
        <f ca="1">31288.4337750142*(RANDBETWEEN(2890,3282))</f>
        <v>99465930.970770001</v>
      </c>
      <c r="B2516">
        <v>221094632.64966372</v>
      </c>
    </row>
    <row r="2517" spans="1:2" x14ac:dyDescent="0.25">
      <c r="A2517">
        <f ca="1">38701.9009392434*(RANDBETWEEN(2890,3282))</f>
        <v>115912193.31303407</v>
      </c>
      <c r="B2517">
        <v>207178161.34352055</v>
      </c>
    </row>
    <row r="2518" spans="1:2" x14ac:dyDescent="0.25">
      <c r="A2518">
        <f ca="1">32632.348423634*(RANDBETWEEN(2890,3282))</f>
        <v>100540265.49321622</v>
      </c>
      <c r="B2518">
        <v>225823182.13104659</v>
      </c>
    </row>
    <row r="2519" spans="1:2" x14ac:dyDescent="0.25">
      <c r="A2519">
        <f ca="1">31042.838463073*(RANDBETWEEN(2890,3282))</f>
        <v>101603210.28963785</v>
      </c>
      <c r="B2519">
        <v>242294515.74055651</v>
      </c>
    </row>
    <row r="2520" spans="1:2" x14ac:dyDescent="0.25">
      <c r="A2520">
        <f ca="1">35540.7403115299*(RANDBETWEEN(2890,3282))</f>
        <v>107297495.00050876</v>
      </c>
      <c r="B2520">
        <v>243189412.50087845</v>
      </c>
    </row>
    <row r="2521" spans="1:2" x14ac:dyDescent="0.25">
      <c r="A2521">
        <f ca="1">29594.0240525068*(RANDBETWEEN(2890,3282))</f>
        <v>97127586.940327421</v>
      </c>
      <c r="B2521">
        <v>235725654.3565146</v>
      </c>
    </row>
    <row r="2522" spans="1:2" x14ac:dyDescent="0.25">
      <c r="A2522">
        <f ca="1">29491.1011975121*(RANDBETWEEN(2890,3282))</f>
        <v>94017630.617668584</v>
      </c>
      <c r="B2522">
        <v>227993873.2647295</v>
      </c>
    </row>
    <row r="2523" spans="1:2" x14ac:dyDescent="0.25">
      <c r="A2523">
        <f ca="1">30925.3969029144*(RANDBETWEEN(2890,3282))</f>
        <v>99734405.011899069</v>
      </c>
      <c r="B2523">
        <v>215863320.0925186</v>
      </c>
    </row>
    <row r="2524" spans="1:2" x14ac:dyDescent="0.25">
      <c r="A2524">
        <f ca="1">28227.8542366593*(RANDBETWEEN(2890,3282))</f>
        <v>90018627.16070658</v>
      </c>
      <c r="B2524">
        <v>226724479.72751251</v>
      </c>
    </row>
    <row r="2525" spans="1:2" x14ac:dyDescent="0.25">
      <c r="A2525">
        <f ca="1">36566.3648017305*(RANDBETWEEN(2890,3282))</f>
        <v>106993183.40986338</v>
      </c>
      <c r="B2525">
        <v>221334778.25932792</v>
      </c>
    </row>
    <row r="2526" spans="1:2" x14ac:dyDescent="0.25">
      <c r="A2526">
        <f ca="1">33167.4594544474*(RANDBETWEEN(2890,3282))</f>
        <v>102553784.63315149</v>
      </c>
      <c r="B2526">
        <v>242463356.40136492</v>
      </c>
    </row>
    <row r="2527" spans="1:2" x14ac:dyDescent="0.25">
      <c r="A2527">
        <f ca="1">32488.1903268652*(RANDBETWEEN(2890,3282))</f>
        <v>100420996.30034041</v>
      </c>
      <c r="B2527">
        <v>244775135.6779893</v>
      </c>
    </row>
    <row r="2528" spans="1:2" x14ac:dyDescent="0.25">
      <c r="A2528">
        <f ca="1">36354.7047886229*(RANDBETWEEN(2890,3282))</f>
        <v>105210515.65827462</v>
      </c>
      <c r="B2528">
        <v>235412787.1968759</v>
      </c>
    </row>
    <row r="2529" spans="1:2" x14ac:dyDescent="0.25">
      <c r="A2529">
        <f ca="1">34278.6324689663*(RANDBETWEEN(2890,3282))</f>
        <v>103692863.218623</v>
      </c>
      <c r="B2529">
        <v>217688050.1660721</v>
      </c>
    </row>
    <row r="2530" spans="1:2" x14ac:dyDescent="0.25">
      <c r="A2530">
        <f ca="1">38420.0238553321*(RANDBETWEEN(2890,3282))</f>
        <v>122559876.09850951</v>
      </c>
      <c r="B2530">
        <v>265586539.90473211</v>
      </c>
    </row>
    <row r="2531" spans="1:2" x14ac:dyDescent="0.25">
      <c r="A2531">
        <f ca="1">40758.2281254197*(RANDBETWEEN(2890,3282))</f>
        <v>123293640.0793947</v>
      </c>
      <c r="B2531">
        <v>219698297.21270919</v>
      </c>
    </row>
    <row r="2532" spans="1:2" x14ac:dyDescent="0.25">
      <c r="A2532">
        <f ca="1">32035.8253699809*(RANDBETWEEN(2890,3282))</f>
        <v>103475715.94503832</v>
      </c>
      <c r="B2532">
        <v>245395524.0297094</v>
      </c>
    </row>
    <row r="2533" spans="1:2" x14ac:dyDescent="0.25">
      <c r="A2533">
        <f ca="1">39331.1768928186*(RANDBETWEEN(2890,3282))</f>
        <v>117010251.25613543</v>
      </c>
      <c r="B2533">
        <v>210909927.31566155</v>
      </c>
    </row>
    <row r="2534" spans="1:2" x14ac:dyDescent="0.25">
      <c r="A2534">
        <f ca="1">29758.7466634497*(RANDBETWEEN(2890,3282))</f>
        <v>89930932.41694501</v>
      </c>
      <c r="B2534">
        <v>229578705.51897189</v>
      </c>
    </row>
    <row r="2535" spans="1:2" x14ac:dyDescent="0.25">
      <c r="A2535">
        <f ca="1">35093.3233986067*(RANDBETWEEN(2890,3282))</f>
        <v>102928717.52811345</v>
      </c>
      <c r="B2535">
        <v>236576063.87040237</v>
      </c>
    </row>
    <row r="2536" spans="1:2" x14ac:dyDescent="0.25">
      <c r="A2536">
        <f ca="1">28191.7989908019*(RANDBETWEEN(2890,3282))</f>
        <v>91623346.720106274</v>
      </c>
      <c r="B2536">
        <v>221972883.69782507</v>
      </c>
    </row>
    <row r="2537" spans="1:2" x14ac:dyDescent="0.25">
      <c r="A2537">
        <f ca="1">32688.4639505458*(RANDBETWEEN(2890,3282))</f>
        <v>94731168.528681859</v>
      </c>
      <c r="B2537">
        <v>232362807.7675558</v>
      </c>
    </row>
    <row r="2538" spans="1:2" x14ac:dyDescent="0.25">
      <c r="A2538">
        <f ca="1">39786.2318011008*(RANDBETWEEN(2890,3282))</f>
        <v>116494086.71362305</v>
      </c>
      <c r="B2538">
        <v>213385529.96520704</v>
      </c>
    </row>
    <row r="2539" spans="1:2" x14ac:dyDescent="0.25">
      <c r="A2539">
        <f ca="1">30693.1466844355*(RANDBETWEEN(2890,3282))</f>
        <v>95394299.895225689</v>
      </c>
      <c r="B2539">
        <v>220196827.88520163</v>
      </c>
    </row>
    <row r="2540" spans="1:2" x14ac:dyDescent="0.25">
      <c r="A2540">
        <f ca="1">30960.4022944837*(RANDBETWEEN(2890,3282))</f>
        <v>90713978.722837359</v>
      </c>
      <c r="B2540">
        <v>215409908.04716682</v>
      </c>
    </row>
    <row r="2541" spans="1:2" x14ac:dyDescent="0.25">
      <c r="A2541">
        <f ca="1">33383.4872769548*(RANDBETWEEN(2890,3282))</f>
        <v>106560091.38803977</v>
      </c>
      <c r="B2541">
        <v>227245571.06672856</v>
      </c>
    </row>
    <row r="2542" spans="1:2" x14ac:dyDescent="0.25">
      <c r="A2542">
        <f ca="1">29829.0891710635*(RANDBETWEEN(2890,3282))</f>
        <v>90411969.277493373</v>
      </c>
      <c r="B2542">
        <v>215384178.37436908</v>
      </c>
    </row>
    <row r="2543" spans="1:2" x14ac:dyDescent="0.25">
      <c r="A2543">
        <f ca="1">32269.1138148227*(RANDBETWEEN(2890,3282))</f>
        <v>104681005.21528473</v>
      </c>
      <c r="B2543">
        <v>251388024.21415919</v>
      </c>
    </row>
    <row r="2544" spans="1:2" x14ac:dyDescent="0.25">
      <c r="A2544">
        <f ca="1">35381.0266115074*(RANDBETWEEN(2890,3282))</f>
        <v>106779938.31352921</v>
      </c>
      <c r="B2544">
        <v>211478823.521451</v>
      </c>
    </row>
    <row r="2545" spans="1:2" x14ac:dyDescent="0.25">
      <c r="A2545">
        <f ca="1">31836.1611778687*(RANDBETWEEN(2890,3282))</f>
        <v>101971224.25271334</v>
      </c>
      <c r="B2545">
        <v>236235326.89256632</v>
      </c>
    </row>
    <row r="2546" spans="1:2" x14ac:dyDescent="0.25">
      <c r="A2546">
        <f ca="1">31083.0669354332*(RANDBETWEEN(2890,3282))</f>
        <v>101517296.61112475</v>
      </c>
      <c r="B2546">
        <v>266740429.57491097</v>
      </c>
    </row>
    <row r="2547" spans="1:2" x14ac:dyDescent="0.25">
      <c r="A2547">
        <f ca="1">30448.8853430792*(RANDBETWEEN(2890,3282))</f>
        <v>91224860.487865224</v>
      </c>
      <c r="B2547">
        <v>236115074.14722022</v>
      </c>
    </row>
    <row r="2548" spans="1:2" x14ac:dyDescent="0.25">
      <c r="A2548">
        <f ca="1">33471.458960007*(RANDBETWEEN(2890,3282))</f>
        <v>104866080.92170183</v>
      </c>
      <c r="B2548">
        <v>230419065.93939474</v>
      </c>
    </row>
    <row r="2549" spans="1:2" x14ac:dyDescent="0.25">
      <c r="A2549">
        <f ca="1">28715.8118700861*(RANDBETWEEN(2890,3282))</f>
        <v>83649159.977560923</v>
      </c>
      <c r="B2549">
        <v>205961771.03707179</v>
      </c>
    </row>
    <row r="2550" spans="1:2" x14ac:dyDescent="0.25">
      <c r="A2550">
        <f ca="1">42095.679979088*(RANDBETWEEN(2890,3282))</f>
        <v>125908178.81745219</v>
      </c>
      <c r="B2550">
        <v>234829057.35078585</v>
      </c>
    </row>
    <row r="2551" spans="1:2" x14ac:dyDescent="0.25">
      <c r="A2551">
        <f ca="1">34118.3896392906*(RANDBETWEEN(2890,3282))</f>
        <v>105016403.30973645</v>
      </c>
      <c r="B2551">
        <v>252917408.32031545</v>
      </c>
    </row>
    <row r="2552" spans="1:2" x14ac:dyDescent="0.25">
      <c r="A2552">
        <f ca="1">31582.7404335654*(RANDBETWEEN(2890,3282))</f>
        <v>101349014.05131125</v>
      </c>
      <c r="B2552">
        <v>208698177.44659951</v>
      </c>
    </row>
    <row r="2553" spans="1:2" x14ac:dyDescent="0.25">
      <c r="A2553">
        <f ca="1">32769.3362017122*(RANDBETWEEN(2890,3282))</f>
        <v>97980315.243119627</v>
      </c>
      <c r="B2553">
        <v>230647584.1278322</v>
      </c>
    </row>
    <row r="2554" spans="1:2" x14ac:dyDescent="0.25">
      <c r="A2554">
        <f ca="1">31795.8606343842*(RANDBETWEEN(2890,3282))</f>
        <v>96913783.21360305</v>
      </c>
      <c r="B2554">
        <v>260497183.36689681</v>
      </c>
    </row>
    <row r="2555" spans="1:2" x14ac:dyDescent="0.25">
      <c r="A2555">
        <f ca="1">31315.0757002423*(RANDBETWEEN(2890,3282))</f>
        <v>94728103.993232951</v>
      </c>
      <c r="B2555">
        <v>247697900.36302447</v>
      </c>
    </row>
    <row r="2556" spans="1:2" x14ac:dyDescent="0.25">
      <c r="A2556">
        <f ca="1">29333.332567749*(RANDBETWEEN(2890,3282))</f>
        <v>85477331.102420717</v>
      </c>
      <c r="B2556">
        <v>224837539.61826426</v>
      </c>
    </row>
    <row r="2557" spans="1:2" x14ac:dyDescent="0.25">
      <c r="A2557">
        <f ca="1">35743.1308407844*(RANDBETWEEN(2890,3282))</f>
        <v>116701322.19516091</v>
      </c>
      <c r="B2557">
        <v>224506287.20287654</v>
      </c>
    </row>
    <row r="2558" spans="1:2" x14ac:dyDescent="0.25">
      <c r="A2558">
        <f ca="1">37716.0356628269*(RANDBETWEEN(2890,3282))</f>
        <v>120766746.19237179</v>
      </c>
      <c r="B2558">
        <v>210139905.56388533</v>
      </c>
    </row>
    <row r="2559" spans="1:2" x14ac:dyDescent="0.25">
      <c r="A2559">
        <f ca="1">31827.7000426448*(RANDBETWEEN(2890,3282))</f>
        <v>102071434.03676198</v>
      </c>
      <c r="B2559">
        <v>234362949.18920821</v>
      </c>
    </row>
    <row r="2560" spans="1:2" x14ac:dyDescent="0.25">
      <c r="A2560">
        <f ca="1">39733.9536733643*(RANDBETWEEN(2890,3282))</f>
        <v>118367447.99295221</v>
      </c>
      <c r="B2560">
        <v>211312642.38726661</v>
      </c>
    </row>
    <row r="2561" spans="1:2" x14ac:dyDescent="0.25">
      <c r="A2561">
        <f ca="1">28885.3692227099*(RANDBETWEEN(2890,3282))</f>
        <v>91884359.497440055</v>
      </c>
      <c r="B2561">
        <v>264885191.79194075</v>
      </c>
    </row>
    <row r="2562" spans="1:2" x14ac:dyDescent="0.25">
      <c r="A2562">
        <f ca="1">39174.056167989*(RANDBETWEEN(2890,3282))</f>
        <v>124926065.11971688</v>
      </c>
      <c r="B2562">
        <v>243705504.37011263</v>
      </c>
    </row>
    <row r="2563" spans="1:2" x14ac:dyDescent="0.25">
      <c r="A2563">
        <f ca="1">37141.776075496*(RANDBETWEEN(2890,3282))</f>
        <v>119633660.73917267</v>
      </c>
      <c r="B2563">
        <v>242052814.43295744</v>
      </c>
    </row>
    <row r="2564" spans="1:2" x14ac:dyDescent="0.25">
      <c r="A2564">
        <f ca="1">40323.9761896676*(RANDBETWEEN(2890,3282))</f>
        <v>124762382.33083156</v>
      </c>
      <c r="B2564">
        <v>209245809.96740267</v>
      </c>
    </row>
    <row r="2565" spans="1:2" x14ac:dyDescent="0.25">
      <c r="A2565">
        <f ca="1">39817.8075233261*(RANDBETWEEN(2890,3282))</f>
        <v>123992652.62763742</v>
      </c>
      <c r="B2565">
        <v>239033741.87705082</v>
      </c>
    </row>
    <row r="2566" spans="1:2" x14ac:dyDescent="0.25">
      <c r="A2566">
        <f ca="1">36599.8934501201*(RANDBETWEEN(2890,3282))</f>
        <v>108555283.97305614</v>
      </c>
      <c r="B2566">
        <v>257940892.7458466</v>
      </c>
    </row>
    <row r="2567" spans="1:2" x14ac:dyDescent="0.25">
      <c r="A2567">
        <f ca="1">31352.4336005976*(RANDBETWEEN(2890,3282))</f>
        <v>99669386.416299626</v>
      </c>
      <c r="B2567">
        <v>228485925.53387418</v>
      </c>
    </row>
    <row r="2568" spans="1:2" x14ac:dyDescent="0.25">
      <c r="A2568">
        <f ca="1">40641.6023495347*(RANDBETWEEN(2890,3282))</f>
        <v>128386821.82218023</v>
      </c>
      <c r="B2568">
        <v>246904084.34149212</v>
      </c>
    </row>
    <row r="2569" spans="1:2" x14ac:dyDescent="0.25">
      <c r="A2569">
        <f ca="1">30475.9036501435*(RANDBETWEEN(2890,3282))</f>
        <v>91915325.408832803</v>
      </c>
      <c r="B2569">
        <v>242998531.41749126</v>
      </c>
    </row>
    <row r="2570" spans="1:2" x14ac:dyDescent="0.25">
      <c r="A2570">
        <f ca="1">34147.9909237213*(RANDBETWEEN(2890,3282))</f>
        <v>107156395.51863737</v>
      </c>
      <c r="B2570">
        <v>222355365.55449784</v>
      </c>
    </row>
    <row r="2571" spans="1:2" x14ac:dyDescent="0.25">
      <c r="A2571">
        <f ca="1">31313.0999537447*(RANDBETWEEN(2890,3282))</f>
        <v>100953434.25087282</v>
      </c>
      <c r="B2571">
        <v>261138337.68342084</v>
      </c>
    </row>
    <row r="2572" spans="1:2" x14ac:dyDescent="0.25">
      <c r="A2572">
        <f ca="1">34089.8077464576*(RANDBETWEEN(2890,3282))</f>
        <v>101621716.89219023</v>
      </c>
      <c r="B2572">
        <v>220241150.37840438</v>
      </c>
    </row>
    <row r="2573" spans="1:2" x14ac:dyDescent="0.25">
      <c r="A2573">
        <f ca="1">32738.2428640851*(RANDBETWEEN(2890,3282))</f>
        <v>106202859.85109201</v>
      </c>
      <c r="B2573">
        <v>260395511.54450363</v>
      </c>
    </row>
    <row r="2574" spans="1:2" x14ac:dyDescent="0.25">
      <c r="A2574">
        <f ca="1">32690.6021408585*(RANDBETWEEN(2890,3282))</f>
        <v>97483375.584040076</v>
      </c>
      <c r="B2574">
        <v>224904951.58902624</v>
      </c>
    </row>
    <row r="2575" spans="1:2" x14ac:dyDescent="0.25">
      <c r="A2575">
        <f ca="1">36301.0736743517*(RANDBETWEEN(2890,3282))</f>
        <v>109484038.20184469</v>
      </c>
      <c r="B2575">
        <v>229289059.19366008</v>
      </c>
    </row>
    <row r="2576" spans="1:2" x14ac:dyDescent="0.25">
      <c r="A2576">
        <f ca="1">33427.8226065853*(RANDBETWEEN(2890,3282))</f>
        <v>96940685.55909735</v>
      </c>
      <c r="B2576">
        <v>226102840.90781766</v>
      </c>
    </row>
    <row r="2577" spans="1:2" x14ac:dyDescent="0.25">
      <c r="A2577">
        <f ca="1">41140.7888391813*(RANDBETWEEN(2890,3282))</f>
        <v>120172244.19924843</v>
      </c>
      <c r="B2577">
        <v>248737431.76847455</v>
      </c>
    </row>
    <row r="2578" spans="1:2" x14ac:dyDescent="0.25">
      <c r="A2578">
        <f ca="1">41232.905680719*(RANDBETWEEN(2890,3282))</f>
        <v>134955300.29299319</v>
      </c>
      <c r="B2578">
        <v>246173835.53982878</v>
      </c>
    </row>
    <row r="2579" spans="1:2" x14ac:dyDescent="0.25">
      <c r="A2579">
        <f ca="1">32280.217038204*(RANDBETWEEN(2890,3282))</f>
        <v>96808370.897573829</v>
      </c>
      <c r="B2579">
        <v>246697398.70431739</v>
      </c>
    </row>
    <row r="2580" spans="1:2" x14ac:dyDescent="0.25">
      <c r="A2580">
        <f ca="1">39915.9277945813*(RANDBETWEEN(2890,3282))</f>
        <v>124577610.64688815</v>
      </c>
      <c r="B2580">
        <v>244174936.19381776</v>
      </c>
    </row>
    <row r="2581" spans="1:2" x14ac:dyDescent="0.25">
      <c r="A2581">
        <f ca="1">36074.500896351*(RANDBETWEEN(2890,3282))</f>
        <v>112516368.29571874</v>
      </c>
      <c r="B2581">
        <v>207389602.29626068</v>
      </c>
    </row>
    <row r="2582" spans="1:2" x14ac:dyDescent="0.25">
      <c r="A2582">
        <f ca="1">31885.7682732563*(RANDBETWEEN(2890,3282))</f>
        <v>101460514.6455016</v>
      </c>
      <c r="B2582">
        <v>221190852.82149965</v>
      </c>
    </row>
    <row r="2583" spans="1:2" x14ac:dyDescent="0.25">
      <c r="A2583">
        <f ca="1">39537.1604913616*(RANDBETWEEN(2890,3282))</f>
        <v>121695379.99241108</v>
      </c>
      <c r="B2583">
        <v>252490756.54820898</v>
      </c>
    </row>
    <row r="2584" spans="1:2" x14ac:dyDescent="0.25">
      <c r="A2584">
        <f ca="1">27901.6823883423*(RANDBETWEEN(2890,3282))</f>
        <v>89564400.466578692</v>
      </c>
      <c r="B2584">
        <v>257313338.75045118</v>
      </c>
    </row>
    <row r="2585" spans="1:2" x14ac:dyDescent="0.25">
      <c r="A2585">
        <f ca="1">41533.7334019363*(RANDBETWEEN(2890,3282))</f>
        <v>122150709.93509476</v>
      </c>
      <c r="B2585">
        <v>263073902.20963573</v>
      </c>
    </row>
    <row r="2586" spans="1:2" x14ac:dyDescent="0.25">
      <c r="A2586">
        <f ca="1">32372.8162830683*(RANDBETWEEN(2890,3282))</f>
        <v>94237268.2000117</v>
      </c>
      <c r="B2586">
        <v>207996227.39794225</v>
      </c>
    </row>
    <row r="2587" spans="1:2" x14ac:dyDescent="0.25">
      <c r="A2587">
        <f ca="1">32132.6263635976*(RANDBETWEEN(2890,3282))</f>
        <v>92959688.069887847</v>
      </c>
      <c r="B2587">
        <v>245321112.84376106</v>
      </c>
    </row>
    <row r="2588" spans="1:2" x14ac:dyDescent="0.25">
      <c r="A2588">
        <f ca="1">38721.8573715102*(RANDBETWEEN(2890,3282))</f>
        <v>125303930.45420709</v>
      </c>
      <c r="B2588">
        <v>236267649.93012109</v>
      </c>
    </row>
    <row r="2589" spans="1:2" x14ac:dyDescent="0.25">
      <c r="A2589">
        <f ca="1">30501.9883006621*(RANDBETWEEN(2890,3282))</f>
        <v>92055000.691398278</v>
      </c>
      <c r="B2589">
        <v>228173891.94307518</v>
      </c>
    </row>
    <row r="2590" spans="1:2" x14ac:dyDescent="0.25">
      <c r="A2590">
        <f ca="1">35996.0728645963*(RANDBETWEEN(2890,3282))</f>
        <v>115115441.02097896</v>
      </c>
      <c r="B2590">
        <v>248205145.54488221</v>
      </c>
    </row>
    <row r="2591" spans="1:2" x14ac:dyDescent="0.25">
      <c r="A2591">
        <f ca="1">32251.5711561171*(RANDBETWEEN(2890,3282))</f>
        <v>99496097.016621247</v>
      </c>
      <c r="B2591">
        <v>235861730.28667241</v>
      </c>
    </row>
    <row r="2592" spans="1:2" x14ac:dyDescent="0.25">
      <c r="A2592">
        <f ca="1">33087.7045697091*(RANDBETWEEN(2890,3282))</f>
        <v>102902761.21179521</v>
      </c>
      <c r="B2592">
        <v>243011037.72236621</v>
      </c>
    </row>
    <row r="2593" spans="1:2" x14ac:dyDescent="0.25">
      <c r="A2593">
        <f ca="1">30998.4675359418*(RANDBETWEEN(2890,3282))</f>
        <v>99102100.712405905</v>
      </c>
      <c r="B2593">
        <v>238205879.51924938</v>
      </c>
    </row>
    <row r="2594" spans="1:2" x14ac:dyDescent="0.25">
      <c r="A2594">
        <f ca="1">40276.2020220575*(RANDBETWEEN(2890,3282))</f>
        <v>126386721.94521646</v>
      </c>
      <c r="B2594">
        <v>241805244.63116375</v>
      </c>
    </row>
    <row r="2595" spans="1:2" x14ac:dyDescent="0.25">
      <c r="A2595">
        <f ca="1">34251.9344578085*(RANDBETWEEN(2890,3282))</f>
        <v>102687299.50450993</v>
      </c>
      <c r="B2595">
        <v>248425260.4379845</v>
      </c>
    </row>
    <row r="2596" spans="1:2" x14ac:dyDescent="0.25">
      <c r="A2596">
        <f ca="1">31785.9173135696*(RANDBETWEEN(2890,3282))</f>
        <v>94245244.834733739</v>
      </c>
      <c r="B2596">
        <v>220874169.0437057</v>
      </c>
    </row>
    <row r="2597" spans="1:2" x14ac:dyDescent="0.25">
      <c r="A2597">
        <f ca="1">34455.5462410366*(RANDBETWEEN(2890,3282))</f>
        <v>111429236.54351243</v>
      </c>
      <c r="B2597">
        <v>219053139.77354625</v>
      </c>
    </row>
    <row r="2598" spans="1:2" x14ac:dyDescent="0.25">
      <c r="A2598">
        <f ca="1">32325.659649555*(RANDBETWEEN(2890,3282))</f>
        <v>97623492.141656041</v>
      </c>
      <c r="B2598">
        <v>262386622.62655461</v>
      </c>
    </row>
    <row r="2599" spans="1:2" x14ac:dyDescent="0.25">
      <c r="A2599">
        <f ca="1">29802.3366093807*(RANDBETWEEN(2890,3282))</f>
        <v>95516488.833065242</v>
      </c>
      <c r="B2599">
        <v>209374867.96940738</v>
      </c>
    </row>
    <row r="2600" spans="1:2" x14ac:dyDescent="0.25">
      <c r="A2600">
        <f ca="1">33776.0801912178*(RANDBETWEEN(2890,3282))</f>
        <v>99335451.842371508</v>
      </c>
      <c r="B2600">
        <v>239178281.84910178</v>
      </c>
    </row>
    <row r="2601" spans="1:2" x14ac:dyDescent="0.25">
      <c r="A2601">
        <f ca="1">32679.6452098342*(RANDBETWEEN(2890,3282))</f>
        <v>99640238.244784474</v>
      </c>
      <c r="B2601">
        <v>226040501.22697499</v>
      </c>
    </row>
    <row r="2602" spans="1:2" x14ac:dyDescent="0.25">
      <c r="A2602">
        <f ca="1">30187.8217339592*(RANDBETWEEN(2890,3282))</f>
        <v>93884125.592613056</v>
      </c>
      <c r="B2602">
        <v>232205675.70788997</v>
      </c>
    </row>
    <row r="2603" spans="1:2" x14ac:dyDescent="0.25">
      <c r="A2603">
        <f ca="1">41049.8418675339*(RANDBETWEEN(2890,3282))</f>
        <v>126844011.37067972</v>
      </c>
      <c r="B2603">
        <v>229194633.4763912</v>
      </c>
    </row>
    <row r="2604" spans="1:2" x14ac:dyDescent="0.25">
      <c r="A2604">
        <f ca="1">36129.4558237415*(RANDBETWEEN(2890,3282))</f>
        <v>104414127.330613</v>
      </c>
      <c r="B2604">
        <v>251997774.71371439</v>
      </c>
    </row>
    <row r="2605" spans="1:2" x14ac:dyDescent="0.25">
      <c r="A2605">
        <f ca="1">38753.341157683*(RANDBETWEEN(2890,3282))</f>
        <v>121685491.2351245</v>
      </c>
      <c r="B2605">
        <v>247136638.47076797</v>
      </c>
    </row>
    <row r="2606" spans="1:2" x14ac:dyDescent="0.25">
      <c r="A2606">
        <f ca="1">37270.3724294311*(RANDBETWEEN(2890,3282))</f>
        <v>110879357.97755742</v>
      </c>
      <c r="B2606">
        <v>213296017.2907052</v>
      </c>
    </row>
    <row r="2607" spans="1:2" x14ac:dyDescent="0.25">
      <c r="A2607">
        <f ca="1">36308.1029283927*(RANDBETWEEN(2890,3282))</f>
        <v>107798757.59439792</v>
      </c>
      <c r="B2607">
        <v>207641331.8915903</v>
      </c>
    </row>
    <row r="2608" spans="1:2" x14ac:dyDescent="0.25">
      <c r="A2608">
        <f ca="1">29976.2901158899*(RANDBETWEEN(2890,3282))</f>
        <v>92776617.908679351</v>
      </c>
      <c r="B2608">
        <v>249830703.25261375</v>
      </c>
    </row>
    <row r="2609" spans="1:2" x14ac:dyDescent="0.25">
      <c r="A2609">
        <f ca="1">37246.2542150848*(RANDBETWEEN(2890,3282))</f>
        <v>121311049.97853123</v>
      </c>
      <c r="B2609">
        <v>240220532.82533669</v>
      </c>
    </row>
    <row r="2610" spans="1:2" x14ac:dyDescent="0.25">
      <c r="A2610">
        <f ca="1">34683.4712575508*(RANDBETWEEN(2890,3282))</f>
        <v>105160284.85289396</v>
      </c>
      <c r="B2610">
        <v>219733918.92948791</v>
      </c>
    </row>
    <row r="2611" spans="1:2" x14ac:dyDescent="0.25">
      <c r="A2611">
        <f ca="1">29517.8098264304*(RANDBETWEEN(2890,3282))</f>
        <v>86723325.270052642</v>
      </c>
      <c r="B2611">
        <v>237048764.27713779</v>
      </c>
    </row>
    <row r="2612" spans="1:2" x14ac:dyDescent="0.25">
      <c r="A2612">
        <f ca="1">37529.6041615225*(RANDBETWEEN(2890,3282))</f>
        <v>117805427.46301898</v>
      </c>
      <c r="B2612">
        <v>227678282.57697833</v>
      </c>
    </row>
    <row r="2613" spans="1:2" x14ac:dyDescent="0.25">
      <c r="A2613">
        <f ca="1">30094.5811584791*(RANDBETWEEN(2890,3282))</f>
        <v>90073081.407328039</v>
      </c>
      <c r="B2613">
        <v>204407984.74297512</v>
      </c>
    </row>
    <row r="2614" spans="1:2" x14ac:dyDescent="0.25">
      <c r="A2614">
        <f ca="1">36888.372285644*(RANDBETWEEN(2890,3282))</f>
        <v>109558465.68836257</v>
      </c>
      <c r="B2614">
        <v>213015431.48051304</v>
      </c>
    </row>
    <row r="2615" spans="1:2" x14ac:dyDescent="0.25">
      <c r="A2615">
        <f ca="1">37178.1356498194*(RANDBETWEEN(2890,3282))</f>
        <v>115698358.14223793</v>
      </c>
      <c r="B2615">
        <v>219914443.46734279</v>
      </c>
    </row>
    <row r="2616" spans="1:2" x14ac:dyDescent="0.25">
      <c r="A2616">
        <f ca="1">31139.5466614812*(RANDBETWEEN(2890,3282))</f>
        <v>100705293.90323021</v>
      </c>
      <c r="B2616">
        <v>256755988.78703359</v>
      </c>
    </row>
    <row r="2617" spans="1:2" x14ac:dyDescent="0.25">
      <c r="A2617">
        <f ca="1">40833.7898142586*(RANDBETWEEN(2890,3282))</f>
        <v>125808906.41773078</v>
      </c>
      <c r="B2617">
        <v>241125153.22307476</v>
      </c>
    </row>
    <row r="2618" spans="1:2" x14ac:dyDescent="0.25">
      <c r="A2618">
        <f ca="1">36668.9638769745*(RANDBETWEEN(2890,3282))</f>
        <v>117047332.69530272</v>
      </c>
      <c r="B2618">
        <v>267660054.42229158</v>
      </c>
    </row>
    <row r="2619" spans="1:2" x14ac:dyDescent="0.25">
      <c r="A2619">
        <f ca="1">29945.4345644445*(RANDBETWEEN(2890,3282))</f>
        <v>90075867.169849142</v>
      </c>
      <c r="B2619">
        <v>227737214.38253921</v>
      </c>
    </row>
    <row r="2620" spans="1:2" x14ac:dyDescent="0.25">
      <c r="A2620">
        <f ca="1">38824.5292300491*(RANDBETWEEN(2890,3282))</f>
        <v>119540725.49932128</v>
      </c>
      <c r="B2620">
        <v>260639250.97343874</v>
      </c>
    </row>
    <row r="2621" spans="1:2" x14ac:dyDescent="0.25">
      <c r="A2621">
        <f ca="1">31768.6222046607*(RANDBETWEEN(2890,3282))</f>
        <v>99308713.011769414</v>
      </c>
      <c r="B2621">
        <v>233257277.94158316</v>
      </c>
    </row>
    <row r="2622" spans="1:2" x14ac:dyDescent="0.25">
      <c r="A2622">
        <f ca="1">34600.736723836*(RANDBETWEEN(2890,3282))</f>
        <v>106743272.79303411</v>
      </c>
      <c r="B2622">
        <v>262673236.61305973</v>
      </c>
    </row>
    <row r="2623" spans="1:2" x14ac:dyDescent="0.25">
      <c r="A2623">
        <f ca="1">37587.5861243548*(RANDBETWEEN(2890,3282))</f>
        <v>110281977.68885702</v>
      </c>
      <c r="B2623">
        <v>228913795.63420033</v>
      </c>
    </row>
    <row r="2624" spans="1:2" x14ac:dyDescent="0.25">
      <c r="A2624">
        <f ca="1">38344.7950815539*(RANDBETWEEN(2890,3282))</f>
        <v>118485416.80200149</v>
      </c>
      <c r="B2624">
        <v>211653729.52333742</v>
      </c>
    </row>
    <row r="2625" spans="1:2" x14ac:dyDescent="0.25">
      <c r="A2625">
        <f ca="1">31099.687368857*(RANDBETWEEN(2890,3282))</f>
        <v>94449750.539218858</v>
      </c>
      <c r="B2625">
        <v>206209480.99809149</v>
      </c>
    </row>
    <row r="2626" spans="1:2" x14ac:dyDescent="0.25">
      <c r="A2626">
        <f ca="1">32761.0675908666*(RANDBETWEEN(2890,3282))</f>
        <v>97234848.609691948</v>
      </c>
      <c r="B2626">
        <v>227569298.94869506</v>
      </c>
    </row>
    <row r="2627" spans="1:2" x14ac:dyDescent="0.25">
      <c r="A2627">
        <f ca="1">40191.1741920011*(RANDBETWEEN(2890,3282))</f>
        <v>117800331.55675532</v>
      </c>
      <c r="B2627">
        <v>226248891.95220765</v>
      </c>
    </row>
    <row r="2628" spans="1:2" x14ac:dyDescent="0.25">
      <c r="A2628">
        <f ca="1">39132.1813158566*(RANDBETWEEN(2890,3282))</f>
        <v>113287664.90940496</v>
      </c>
      <c r="B2628">
        <v>245444366.22998965</v>
      </c>
    </row>
    <row r="2629" spans="1:2" x14ac:dyDescent="0.25">
      <c r="A2629">
        <f ca="1">30787.2348127134*(RANDBETWEEN(2890,3282))</f>
        <v>91099427.810818985</v>
      </c>
      <c r="B2629">
        <v>255981503.00351757</v>
      </c>
    </row>
    <row r="2630" spans="1:2" x14ac:dyDescent="0.25">
      <c r="A2630">
        <f ca="1">38515.9342862676*(RANDBETWEEN(2890,3282))</f>
        <v>118320950.12741402</v>
      </c>
      <c r="B2630">
        <v>226535172.08954757</v>
      </c>
    </row>
    <row r="2631" spans="1:2" x14ac:dyDescent="0.25">
      <c r="A2631">
        <f ca="1">40178.8366878565*(RANDBETWEEN(2890,3282))</f>
        <v>120415973.55350599</v>
      </c>
      <c r="B2631">
        <v>224089876.41433689</v>
      </c>
    </row>
    <row r="2632" spans="1:2" x14ac:dyDescent="0.25">
      <c r="A2632">
        <f ca="1">27366.0888727084*(RANDBETWEEN(2890,3282))</f>
        <v>84780143.327650487</v>
      </c>
      <c r="B2632">
        <v>263191036.09192565</v>
      </c>
    </row>
    <row r="2633" spans="1:2" x14ac:dyDescent="0.25">
      <c r="A2633">
        <f ca="1">35300.2474770953*(RANDBETWEEN(2890,3282))</f>
        <v>105583040.2039919</v>
      </c>
      <c r="B2633">
        <v>214012960.637503</v>
      </c>
    </row>
    <row r="2634" spans="1:2" x14ac:dyDescent="0.25">
      <c r="A2634">
        <f ca="1">31250.6543046211*(RANDBETWEEN(2890,3282))</f>
        <v>96658273.764192954</v>
      </c>
      <c r="B2634">
        <v>204525077.84396175</v>
      </c>
    </row>
    <row r="2635" spans="1:2" x14ac:dyDescent="0.25">
      <c r="A2635">
        <f ca="1">36155.7628316858*(RANDBETWEEN(2890,3282))</f>
        <v>107274148.32161169</v>
      </c>
      <c r="B2635">
        <v>233378262.92127854</v>
      </c>
    </row>
    <row r="2636" spans="1:2" x14ac:dyDescent="0.25">
      <c r="A2636">
        <f ca="1">40534.3254778743*(RANDBETWEEN(2890,3282))</f>
        <v>131777092.12856923</v>
      </c>
      <c r="B2636">
        <v>229947413.11363527</v>
      </c>
    </row>
    <row r="2637" spans="1:2" x14ac:dyDescent="0.25">
      <c r="A2637">
        <f ca="1">30978.6891547808*(RANDBETWEEN(2890,3282))</f>
        <v>101269334.84697859</v>
      </c>
      <c r="B2637">
        <v>242261948.60614765</v>
      </c>
    </row>
    <row r="2638" spans="1:2" x14ac:dyDescent="0.25">
      <c r="A2638">
        <f ca="1">31290.6552707941*(RANDBETWEEN(2890,3282))</f>
        <v>102414314.70130923</v>
      </c>
      <c r="B2638">
        <v>227753520.37112364</v>
      </c>
    </row>
    <row r="2639" spans="1:2" x14ac:dyDescent="0.25">
      <c r="A2639">
        <f ca="1">31207.5598981961*(RANDBETWEEN(2890,3282))</f>
        <v>97835700.280844897</v>
      </c>
      <c r="B2639">
        <v>235672981.58676356</v>
      </c>
    </row>
    <row r="2640" spans="1:2" x14ac:dyDescent="0.25">
      <c r="A2640">
        <f ca="1">35629.6431406235*(RANDBETWEEN(2890,3282))</f>
        <v>104252335.82946432</v>
      </c>
      <c r="B2640">
        <v>213051767.45897681</v>
      </c>
    </row>
    <row r="2641" spans="1:2" x14ac:dyDescent="0.25">
      <c r="A2641">
        <f ca="1">40506.9183851035*(RANDBETWEEN(2890,3282))</f>
        <v>125976516.17767176</v>
      </c>
      <c r="B2641">
        <v>216679167.2744652</v>
      </c>
    </row>
    <row r="2642" spans="1:2" x14ac:dyDescent="0.25">
      <c r="A2642">
        <f ca="1">35427.8263357246*(RANDBETWEEN(2890,3282))</f>
        <v>112518776.4422612</v>
      </c>
      <c r="B2642">
        <v>214073254.45898393</v>
      </c>
    </row>
    <row r="2643" spans="1:2" x14ac:dyDescent="0.25">
      <c r="A2643">
        <f ca="1">30720.7465890517*(RANDBETWEEN(2890,3282))</f>
        <v>91547824.835374117</v>
      </c>
      <c r="B2643">
        <v>219972598.4518812</v>
      </c>
    </row>
    <row r="2644" spans="1:2" x14ac:dyDescent="0.25">
      <c r="A2644">
        <f ca="1">31528.0919309124*(RANDBETWEEN(2890,3282))</f>
        <v>102308658.31581081</v>
      </c>
      <c r="B2644">
        <v>244796915.66962504</v>
      </c>
    </row>
    <row r="2645" spans="1:2" x14ac:dyDescent="0.25">
      <c r="A2645">
        <f ca="1">34286.602273308*(RANDBETWEEN(2890,3282))</f>
        <v>103065526.43356378</v>
      </c>
      <c r="B2645">
        <v>237748877.69593674</v>
      </c>
    </row>
    <row r="2646" spans="1:2" x14ac:dyDescent="0.25">
      <c r="A2646">
        <f ca="1">37543.330378335*(RANDBETWEEN(2890,3282))</f>
        <v>119275160.61197045</v>
      </c>
      <c r="B2646">
        <v>253047286.72496271</v>
      </c>
    </row>
    <row r="2647" spans="1:2" x14ac:dyDescent="0.25">
      <c r="A2647">
        <f ca="1">34901.2023918094*(RANDBETWEEN(2890,3282))</f>
        <v>101387992.94820632</v>
      </c>
      <c r="B2647">
        <v>233830388.22470257</v>
      </c>
    </row>
    <row r="2648" spans="1:2" x14ac:dyDescent="0.25">
      <c r="A2648">
        <f ca="1">32844.2155932912*(RANDBETWEEN(2890,3282))</f>
        <v>95445290.514104098</v>
      </c>
      <c r="B2648">
        <v>240996302.24577546</v>
      </c>
    </row>
    <row r="2649" spans="1:2" x14ac:dyDescent="0.25">
      <c r="A2649">
        <f ca="1">37891.975570292*(RANDBETWEEN(2890,3282))</f>
        <v>109659377.3004249</v>
      </c>
      <c r="B2649">
        <v>242865991.39094695</v>
      </c>
    </row>
    <row r="2650" spans="1:2" x14ac:dyDescent="0.25">
      <c r="A2650">
        <f ca="1">30366.9521848652*(RANDBETWEEN(2890,3282))</f>
        <v>90675719.224007443</v>
      </c>
      <c r="B2650">
        <v>226806931.55109602</v>
      </c>
    </row>
    <row r="2651" spans="1:2" x14ac:dyDescent="0.25">
      <c r="A2651">
        <f ca="1">28407.8640535434*(RANDBETWEEN(2890,3282))</f>
        <v>84314540.510916814</v>
      </c>
      <c r="B2651">
        <v>226498598.36424294</v>
      </c>
    </row>
    <row r="2652" spans="1:2" x14ac:dyDescent="0.25">
      <c r="A2652">
        <f ca="1">40686.4546983904*(RANDBETWEEN(2890,3282))</f>
        <v>124785356.55996327</v>
      </c>
      <c r="B2652">
        <v>222824238.39349937</v>
      </c>
    </row>
    <row r="2653" spans="1:2" x14ac:dyDescent="0.25">
      <c r="A2653">
        <f ca="1">38753.0325003975*(RANDBETWEEN(2890,3282))</f>
        <v>112732571.54365644</v>
      </c>
      <c r="B2653">
        <v>265532975.33576331</v>
      </c>
    </row>
    <row r="2654" spans="1:2" x14ac:dyDescent="0.25">
      <c r="A2654">
        <f ca="1">36433.788132338*(RANDBETWEEN(2890,3282))</f>
        <v>112070332.29507169</v>
      </c>
      <c r="B2654">
        <v>228718058.72858602</v>
      </c>
    </row>
    <row r="2655" spans="1:2" x14ac:dyDescent="0.25">
      <c r="A2655">
        <f ca="1">31631.4153152282*(RANDBETWEEN(2890,3282))</f>
        <v>91857630.075422555</v>
      </c>
      <c r="B2655">
        <v>219811146.05718547</v>
      </c>
    </row>
    <row r="2656" spans="1:2" x14ac:dyDescent="0.25">
      <c r="A2656">
        <f ca="1">29540.0928318943*(RANDBETWEEN(2890,3282))</f>
        <v>93169452.791794717</v>
      </c>
      <c r="B2656">
        <v>227748610.53978711</v>
      </c>
    </row>
    <row r="2657" spans="1:2" x14ac:dyDescent="0.25">
      <c r="A2657">
        <f ca="1">32392.6855194364*(RANDBETWEEN(2890,3282))</f>
        <v>100158183.62609731</v>
      </c>
      <c r="B2657">
        <v>222839562.57456619</v>
      </c>
    </row>
    <row r="2658" spans="1:2" x14ac:dyDescent="0.25">
      <c r="A2658">
        <f ca="1">38925.7267977508*(RANDBETWEEN(2890,3282))</f>
        <v>118450986.64555554</v>
      </c>
      <c r="B2658">
        <v>210407393.42135888</v>
      </c>
    </row>
    <row r="2659" spans="1:2" x14ac:dyDescent="0.25">
      <c r="A2659">
        <f ca="1">37036.7187981766*(RANDBETWEEN(2890,3282))</f>
        <v>110406458.73736444</v>
      </c>
      <c r="B2659">
        <v>248514232.9422203</v>
      </c>
    </row>
    <row r="2660" spans="1:2" x14ac:dyDescent="0.25">
      <c r="A2660">
        <f ca="1">40699.7047271711*(RANDBETWEEN(2890,3282))</f>
        <v>131378646.8593083</v>
      </c>
      <c r="B2660">
        <v>212580319.42061973</v>
      </c>
    </row>
    <row r="2661" spans="1:2" x14ac:dyDescent="0.25">
      <c r="A2661">
        <f ca="1">41409.1274448045*(RANDBETWEEN(2890,3282))</f>
        <v>126132202.1968744</v>
      </c>
      <c r="B2661">
        <v>220412731.40605375</v>
      </c>
    </row>
    <row r="2662" spans="1:2" x14ac:dyDescent="0.25">
      <c r="A2662">
        <f ca="1">34635.3145151014*(RANDBETWEEN(2890,3282))</f>
        <v>103628861.02918351</v>
      </c>
      <c r="B2662">
        <v>213132217.89118463</v>
      </c>
    </row>
    <row r="2663" spans="1:2" x14ac:dyDescent="0.25">
      <c r="A2663">
        <f ca="1">30563.967196251*(RANDBETWEEN(2890,3282))</f>
        <v>91753029.523145646</v>
      </c>
      <c r="B2663">
        <v>216437885.6213505</v>
      </c>
    </row>
    <row r="2664" spans="1:2" x14ac:dyDescent="0.25">
      <c r="A2664">
        <f ca="1">35789.0028719927*(RANDBETWEEN(2890,3282))</f>
        <v>113093249.075497</v>
      </c>
      <c r="B2664">
        <v>210322429.90541744</v>
      </c>
    </row>
    <row r="2665" spans="1:2" x14ac:dyDescent="0.25">
      <c r="A2665">
        <f ca="1">40308.9299193041*(RANDBETWEEN(2890,3282))</f>
        <v>129230429.32128888</v>
      </c>
      <c r="B2665">
        <v>260471221.59416243</v>
      </c>
    </row>
    <row r="2666" spans="1:2" x14ac:dyDescent="0.25">
      <c r="A2666">
        <f ca="1">31935.7996651631*(RANDBETWEEN(2890,3282))</f>
        <v>94561902.808547929</v>
      </c>
      <c r="B2666">
        <v>224928175.14263946</v>
      </c>
    </row>
    <row r="2667" spans="1:2" x14ac:dyDescent="0.25">
      <c r="A2667">
        <f ca="1">34950.8663256866*(RANDBETWEEN(2890,3282))</f>
        <v>109536015.06470174</v>
      </c>
      <c r="B2667">
        <v>203713220.36582083</v>
      </c>
    </row>
    <row r="2668" spans="1:2" x14ac:dyDescent="0.25">
      <c r="A2668">
        <f ca="1">30995.2402572596*(RANDBETWEEN(2890,3282))</f>
        <v>95682306.67416048</v>
      </c>
      <c r="B2668">
        <v>245430097.57415447</v>
      </c>
    </row>
    <row r="2669" spans="1:2" x14ac:dyDescent="0.25">
      <c r="A2669">
        <f ca="1">37119.5554123665*(RANDBETWEEN(2890,3282))</f>
        <v>114068393.78220241</v>
      </c>
      <c r="B2669">
        <v>252860757.57773331</v>
      </c>
    </row>
    <row r="2670" spans="1:2" x14ac:dyDescent="0.25">
      <c r="A2670">
        <f ca="1">33061.0589336682*(RANDBETWEEN(2890,3282))</f>
        <v>107679868.94695726</v>
      </c>
      <c r="B2670">
        <v>266494389.41987613</v>
      </c>
    </row>
    <row r="2671" spans="1:2" x14ac:dyDescent="0.25">
      <c r="A2671">
        <f ca="1">41019.2323100119*(RANDBETWEEN(2890,3282))</f>
        <v>128185100.96878727</v>
      </c>
      <c r="B2671">
        <v>244272649.47780526</v>
      </c>
    </row>
    <row r="2672" spans="1:2" x14ac:dyDescent="0.25">
      <c r="A2672">
        <f ca="1">36493.9767379109*(RANDBETWEEN(2890,3282))</f>
        <v>114627580.93377815</v>
      </c>
      <c r="B2672">
        <v>242136534.81176353</v>
      </c>
    </row>
    <row r="2673" spans="1:2" x14ac:dyDescent="0.25">
      <c r="A2673">
        <f ca="1">30903.6135812646*(RANDBETWEEN(2890,3282))</f>
        <v>94874093.694482356</v>
      </c>
      <c r="B2673">
        <v>264722717.05782351</v>
      </c>
    </row>
    <row r="2674" spans="1:2" x14ac:dyDescent="0.25">
      <c r="A2674">
        <f ca="1">42133.7221490788*(RANDBETWEEN(2890,3282))</f>
        <v>137524469.09459314</v>
      </c>
      <c r="B2674">
        <v>236444704.98705336</v>
      </c>
    </row>
    <row r="2675" spans="1:2" x14ac:dyDescent="0.25">
      <c r="A2675">
        <f ca="1">30660.4662582414*(RANDBETWEEN(2890,3282))</f>
        <v>91429510.382075876</v>
      </c>
      <c r="B2675">
        <v>241949268.73249215</v>
      </c>
    </row>
    <row r="2676" spans="1:2" x14ac:dyDescent="0.25">
      <c r="A2676">
        <f ca="1">32610.9591160973*(RANDBETWEEN(2890,3282))</f>
        <v>101191806.13725005</v>
      </c>
      <c r="B2676">
        <v>222140432.27024803</v>
      </c>
    </row>
    <row r="2677" spans="1:2" x14ac:dyDescent="0.25">
      <c r="A2677">
        <f ca="1">28911.841395679*(RANDBETWEEN(2890,3282))</f>
        <v>84480400.558174029</v>
      </c>
      <c r="B2677">
        <v>208541730.06447566</v>
      </c>
    </row>
    <row r="2678" spans="1:2" x14ac:dyDescent="0.25">
      <c r="A2678">
        <f ca="1">34464.991943038*(RANDBETWEEN(2890,3282))</f>
        <v>110942809.06463917</v>
      </c>
      <c r="B2678">
        <v>265459371.30893525</v>
      </c>
    </row>
    <row r="2679" spans="1:2" x14ac:dyDescent="0.25">
      <c r="A2679">
        <f ca="1">28644.0067922762*(RANDBETWEEN(2890,3282))</f>
        <v>93150310.088482216</v>
      </c>
      <c r="B2679">
        <v>210582151.52168036</v>
      </c>
    </row>
    <row r="2680" spans="1:2" x14ac:dyDescent="0.25">
      <c r="A2680">
        <f ca="1">35563.1170162167*(RANDBETWEEN(2890,3282))</f>
        <v>115366751.60060687</v>
      </c>
      <c r="B2680">
        <v>218515247.6042133</v>
      </c>
    </row>
    <row r="2681" spans="1:2" x14ac:dyDescent="0.25">
      <c r="A2681">
        <f ca="1">40049.1856315473*(RANDBETWEEN(2890,3282))</f>
        <v>121589327.57737772</v>
      </c>
      <c r="B2681">
        <v>217630223.28597003</v>
      </c>
    </row>
    <row r="2682" spans="1:2" x14ac:dyDescent="0.25">
      <c r="A2682">
        <f ca="1">31802.3480540551*(RANDBETWEEN(2890,3282))</f>
        <v>103802864.04843572</v>
      </c>
      <c r="B2682">
        <v>208104422.70850232</v>
      </c>
    </row>
    <row r="2683" spans="1:2" x14ac:dyDescent="0.25">
      <c r="A2683">
        <f ca="1">32632.4427492313*(RANDBETWEEN(2890,3282))</f>
        <v>102172178.24784331</v>
      </c>
      <c r="B2683">
        <v>208416136.36824429</v>
      </c>
    </row>
    <row r="2684" spans="1:2" x14ac:dyDescent="0.25">
      <c r="A2684">
        <f ca="1">29638.8646712962*(RANDBETWEEN(2890,3282))</f>
        <v>94103395.331365421</v>
      </c>
      <c r="B2684">
        <v>221109551.95008355</v>
      </c>
    </row>
    <row r="2685" spans="1:2" x14ac:dyDescent="0.25">
      <c r="A2685">
        <f ca="1">30321.0471527308*(RANDBETWEEN(2890,3282))</f>
        <v>92994651.617425382</v>
      </c>
      <c r="B2685">
        <v>240426768.79753155</v>
      </c>
    </row>
    <row r="2686" spans="1:2" x14ac:dyDescent="0.25">
      <c r="A2686">
        <f ca="1">37111.1477628076*(RANDBETWEEN(2890,3282))</f>
        <v>117048560.04389523</v>
      </c>
      <c r="B2686">
        <v>245206760.04713172</v>
      </c>
    </row>
    <row r="2687" spans="1:2" x14ac:dyDescent="0.25">
      <c r="A2687">
        <f ca="1">30307.7496287997*(RANDBETWEEN(2890,3282))</f>
        <v>98682032.791371718</v>
      </c>
      <c r="B2687">
        <v>207890790.43769315</v>
      </c>
    </row>
    <row r="2688" spans="1:2" x14ac:dyDescent="0.25">
      <c r="A2688">
        <f ca="1">31188.4607353817*(RANDBETWEEN(2890,3282))</f>
        <v>101362497.38999058</v>
      </c>
      <c r="B2688">
        <v>208501364.98281804</v>
      </c>
    </row>
    <row r="2689" spans="1:2" x14ac:dyDescent="0.25">
      <c r="A2689">
        <f ca="1">39784.4900207664*(RANDBETWEEN(2890,3282))</f>
        <v>116648124.74088702</v>
      </c>
      <c r="B2689">
        <v>256314578.07078713</v>
      </c>
    </row>
    <row r="2690" spans="1:2" x14ac:dyDescent="0.25">
      <c r="A2690">
        <f ca="1">29936.3828580095*(RANDBETWEEN(2890,3282))</f>
        <v>88521884.111134052</v>
      </c>
      <c r="B2690">
        <v>249423719.66871688</v>
      </c>
    </row>
    <row r="2691" spans="1:2" x14ac:dyDescent="0.25">
      <c r="A2691">
        <f ca="1">33242.8962341178*(RANDBETWEEN(2890,3282))</f>
        <v>98498701.541691095</v>
      </c>
      <c r="B2691">
        <v>242877998.32162783</v>
      </c>
    </row>
    <row r="2692" spans="1:2" x14ac:dyDescent="0.25">
      <c r="A2692">
        <f ca="1">37744.1952632633*(RANDBETWEEN(2890,3282))</f>
        <v>115308516.5292695</v>
      </c>
      <c r="B2692">
        <v>218468314.79620257</v>
      </c>
    </row>
    <row r="2693" spans="1:2" x14ac:dyDescent="0.25">
      <c r="A2693">
        <f ca="1">29538.2670028373*(RANDBETWEEN(2890,3282))</f>
        <v>88289880.071480572</v>
      </c>
      <c r="B2693">
        <v>251658607.43412724</v>
      </c>
    </row>
    <row r="2694" spans="1:2" x14ac:dyDescent="0.25">
      <c r="A2694">
        <f ca="1">32180.1102438986*(RANDBETWEEN(2890,3282))</f>
        <v>105518581.48974366</v>
      </c>
      <c r="B2694">
        <v>226716748.73960003</v>
      </c>
    </row>
    <row r="2695" spans="1:2" x14ac:dyDescent="0.25">
      <c r="A2695">
        <f ca="1">30560.1960010774*(RANDBETWEEN(2890,3282))</f>
        <v>88532887.815121174</v>
      </c>
      <c r="B2695">
        <v>226546689.32228726</v>
      </c>
    </row>
    <row r="2696" spans="1:2" x14ac:dyDescent="0.25">
      <c r="A2696">
        <f ca="1">29881.2762186039*(RANDBETWEEN(2890,3282))</f>
        <v>95649965.175751194</v>
      </c>
      <c r="B2696">
        <v>252988485.77587882</v>
      </c>
    </row>
    <row r="2697" spans="1:2" x14ac:dyDescent="0.25">
      <c r="A2697">
        <f ca="1">34089.4127620567*(RANDBETWEEN(2890,3282))</f>
        <v>100734214.71187757</v>
      </c>
      <c r="B2697">
        <v>259347604.50410417</v>
      </c>
    </row>
    <row r="2698" spans="1:2" x14ac:dyDescent="0.25">
      <c r="A2698">
        <f ca="1">37613.9676524988*(RANDBETWEEN(2890,3282))</f>
        <v>121605957.42052872</v>
      </c>
      <c r="B2698">
        <v>246701106.84587052</v>
      </c>
    </row>
    <row r="2699" spans="1:2" x14ac:dyDescent="0.25">
      <c r="A2699">
        <f ca="1">32996.0597080823*(RANDBETWEEN(2890,3282))</f>
        <v>107336182.23039173</v>
      </c>
      <c r="B2699">
        <v>205117800.40465355</v>
      </c>
    </row>
    <row r="2700" spans="1:2" x14ac:dyDescent="0.25">
      <c r="A2700">
        <f ca="1">36499.6888249951*(RANDBETWEEN(2890,3282))</f>
        <v>106834589.19076076</v>
      </c>
      <c r="B2700">
        <v>240835451.55518511</v>
      </c>
    </row>
    <row r="2701" spans="1:2" x14ac:dyDescent="0.25">
      <c r="A2701">
        <f ca="1">39035.1352257594*(RANDBETWEEN(2890,3282))</f>
        <v>123038746.23159355</v>
      </c>
      <c r="B2701">
        <v>241261635.01968598</v>
      </c>
    </row>
    <row r="2702" spans="1:2" x14ac:dyDescent="0.25">
      <c r="A2702">
        <f ca="1">42643.2638332034*(RANDBETWEEN(2890,3282))</f>
        <v>133430772.53409356</v>
      </c>
      <c r="B2702">
        <v>226850754.08377457</v>
      </c>
    </row>
    <row r="2703" spans="1:2" x14ac:dyDescent="0.25">
      <c r="A2703">
        <f ca="1">30214.2069387498*(RANDBETWEEN(2890,3282))</f>
        <v>93392113.647675738</v>
      </c>
      <c r="B2703">
        <v>229299722.97243717</v>
      </c>
    </row>
    <row r="2704" spans="1:2" x14ac:dyDescent="0.25">
      <c r="A2704">
        <f ca="1">31361.1828966585*(RANDBETWEEN(2890,3282))</f>
        <v>100104895.806134</v>
      </c>
      <c r="B2704">
        <v>212246341.05604163</v>
      </c>
    </row>
    <row r="2705" spans="1:2" x14ac:dyDescent="0.25">
      <c r="A2705">
        <f ca="1">30978.6494093312*(RANDBETWEEN(2890,3282))</f>
        <v>94670752.594916284</v>
      </c>
      <c r="B2705">
        <v>219386612.01412994</v>
      </c>
    </row>
    <row r="2706" spans="1:2" x14ac:dyDescent="0.25">
      <c r="A2706">
        <f ca="1">41634.4634342445*(RANDBETWEEN(2890,3282))</f>
        <v>125819348.49828695</v>
      </c>
      <c r="B2706">
        <v>220461247.94009763</v>
      </c>
    </row>
    <row r="2707" spans="1:2" x14ac:dyDescent="0.25">
      <c r="A2707">
        <f ca="1">35743.5400360872*(RANDBETWEEN(2890,3282))</f>
        <v>105193238.32620452</v>
      </c>
      <c r="B2707">
        <v>212362419.53769496</v>
      </c>
    </row>
    <row r="2708" spans="1:2" x14ac:dyDescent="0.25">
      <c r="A2708">
        <f ca="1">33292.4383837022*(RANDBETWEEN(2890,3282))</f>
        <v>105237397.73088257</v>
      </c>
      <c r="B2708">
        <v>249262805.54984978</v>
      </c>
    </row>
    <row r="2709" spans="1:2" x14ac:dyDescent="0.25">
      <c r="A2709">
        <f ca="1">33589.6805460989*(RANDBETWEEN(2890,3282))</f>
        <v>108696206.24717599</v>
      </c>
      <c r="B2709">
        <v>248992057.83613685</v>
      </c>
    </row>
    <row r="2710" spans="1:2" x14ac:dyDescent="0.25">
      <c r="A2710">
        <f ca="1">29192.0208851589*(RANDBETWEEN(2890,3282))</f>
        <v>87225758.404854685</v>
      </c>
      <c r="B2710">
        <v>230208750.10011905</v>
      </c>
    </row>
    <row r="2711" spans="1:2" x14ac:dyDescent="0.25">
      <c r="A2711">
        <f ca="1">37589.577682578*(RANDBETWEEN(2890,3282))</f>
        <v>112768733.04773389</v>
      </c>
      <c r="B2711">
        <v>216845658.97849596</v>
      </c>
    </row>
    <row r="2712" spans="1:2" x14ac:dyDescent="0.25">
      <c r="A2712">
        <f ca="1">30704.0405990374*(RANDBETWEEN(2890,3282))</f>
        <v>95397454.141209185</v>
      </c>
      <c r="B2712">
        <v>255989926.8202422</v>
      </c>
    </row>
    <row r="2713" spans="1:2" x14ac:dyDescent="0.25">
      <c r="A2713">
        <f ca="1">36473.6726015651*(RANDBETWEEN(2890,3282))</f>
        <v>115585068.47435974</v>
      </c>
      <c r="B2713">
        <v>244761012.96039638</v>
      </c>
    </row>
    <row r="2714" spans="1:2" x14ac:dyDescent="0.25">
      <c r="A2714">
        <f ca="1">32222.9984207221*(RANDBETWEEN(2890,3282))</f>
        <v>101405776.03001231</v>
      </c>
      <c r="B2714">
        <v>219425587.86811835</v>
      </c>
    </row>
    <row r="2715" spans="1:2" x14ac:dyDescent="0.25">
      <c r="A2715">
        <f ca="1">29286.7901423744*(RANDBETWEEN(2890,3282))</f>
        <v>92516970.059760734</v>
      </c>
      <c r="B2715">
        <v>232775035.4107393</v>
      </c>
    </row>
    <row r="2716" spans="1:2" x14ac:dyDescent="0.25">
      <c r="A2716">
        <f ca="1">31430.8781811498*(RANDBETWEEN(2890,3282))</f>
        <v>98032909.047006294</v>
      </c>
      <c r="B2716">
        <v>241644103.93822855</v>
      </c>
    </row>
    <row r="2717" spans="1:2" x14ac:dyDescent="0.25">
      <c r="A2717">
        <f ca="1">31259.4338625166*(RANDBETWEEN(2890,3282))</f>
        <v>98654773.270102382</v>
      </c>
      <c r="B2717">
        <v>238007147.75045156</v>
      </c>
    </row>
    <row r="2718" spans="1:2" x14ac:dyDescent="0.25">
      <c r="A2718">
        <f ca="1">31227.5259021713*(RANDBETWEEN(2890,3282))</f>
        <v>90684735.21990557</v>
      </c>
      <c r="B2718">
        <v>213377406.87237862</v>
      </c>
    </row>
    <row r="2719" spans="1:2" x14ac:dyDescent="0.25">
      <c r="A2719">
        <f ca="1">36831.0086216225*(RANDBETWEEN(2890,3282))</f>
        <v>114102464.70978658</v>
      </c>
      <c r="B2719">
        <v>260238362.81350049</v>
      </c>
    </row>
    <row r="2720" spans="1:2" x14ac:dyDescent="0.25">
      <c r="A2720">
        <f ca="1">31172.220519073*(RANDBETWEEN(2890,3282))</f>
        <v>94576517.054867327</v>
      </c>
      <c r="B2720">
        <v>216378188.64674684</v>
      </c>
    </row>
    <row r="2721" spans="1:2" x14ac:dyDescent="0.25">
      <c r="A2721">
        <f ca="1">31505.2546792721*(RANDBETWEEN(2890,3282))</f>
        <v>95649953.206269979</v>
      </c>
      <c r="B2721">
        <v>220704278.60691902</v>
      </c>
    </row>
    <row r="2722" spans="1:2" x14ac:dyDescent="0.25">
      <c r="A2722">
        <f ca="1">28740.4180024483*(RANDBETWEEN(2890,3282))</f>
        <v>83922020.567148983</v>
      </c>
      <c r="B2722">
        <v>205035353.26854494</v>
      </c>
    </row>
    <row r="2723" spans="1:2" x14ac:dyDescent="0.25">
      <c r="A2723">
        <f ca="1">32564.527957697*(RANDBETWEEN(2890,3282))</f>
        <v>99321810.270975754</v>
      </c>
      <c r="B2723">
        <v>215067479.84016931</v>
      </c>
    </row>
    <row r="2724" spans="1:2" x14ac:dyDescent="0.25">
      <c r="A2724">
        <f ca="1">30842.8930179779*(RANDBETWEEN(2890,3282))</f>
        <v>101041317.52689543</v>
      </c>
      <c r="B2724">
        <v>234047238.75697088</v>
      </c>
    </row>
    <row r="2725" spans="1:2" x14ac:dyDescent="0.25">
      <c r="A2725">
        <f ca="1">34387.0658041636*(RANDBETWEEN(2890,3282))</f>
        <v>110623190.69199443</v>
      </c>
      <c r="B2725">
        <v>203876317.66585487</v>
      </c>
    </row>
    <row r="2726" spans="1:2" x14ac:dyDescent="0.25">
      <c r="A2726">
        <f ca="1">35626.1218839149*(RANDBETWEEN(2890,3282))</f>
        <v>110797239.05897525</v>
      </c>
      <c r="B2726">
        <v>212337037.58817029</v>
      </c>
    </row>
    <row r="2727" spans="1:2" x14ac:dyDescent="0.25">
      <c r="A2727">
        <f ca="1">39870.8185204249*(RANDBETWEEN(2890,3282))</f>
        <v>126151269.7986245</v>
      </c>
      <c r="B2727">
        <v>257097173.64563358</v>
      </c>
    </row>
    <row r="2728" spans="1:2" x14ac:dyDescent="0.25">
      <c r="A2728">
        <f ca="1">34530.5003690528*(RANDBETWEEN(2890,3282))</f>
        <v>113294571.71086213</v>
      </c>
      <c r="B2728">
        <v>250201490.18291622</v>
      </c>
    </row>
    <row r="2729" spans="1:2" x14ac:dyDescent="0.25">
      <c r="A2729">
        <f ca="1">31759.404162115*(RANDBETWEEN(2890,3282))</f>
        <v>100391476.55644566</v>
      </c>
      <c r="B2729">
        <v>245626426.81554556</v>
      </c>
    </row>
    <row r="2730" spans="1:2" x14ac:dyDescent="0.25">
      <c r="A2730">
        <f ca="1">32999.7378091259*(RANDBETWEEN(2890,3282))</f>
        <v>101870190.61677174</v>
      </c>
      <c r="B2730">
        <v>208651223.2122128</v>
      </c>
    </row>
    <row r="2731" spans="1:2" x14ac:dyDescent="0.25">
      <c r="A2731">
        <f ca="1">39667.9007099741*(RANDBETWEEN(2890,3282))</f>
        <v>120273074.95264153</v>
      </c>
      <c r="B2731">
        <v>215520189.33052438</v>
      </c>
    </row>
    <row r="2732" spans="1:2" x14ac:dyDescent="0.25">
      <c r="A2732">
        <f ca="1">30618.2574821066*(RANDBETWEEN(2890,3282))</f>
        <v>90691278.661999777</v>
      </c>
      <c r="B2732">
        <v>236507802.34545952</v>
      </c>
    </row>
    <row r="2733" spans="1:2" x14ac:dyDescent="0.25">
      <c r="A2733">
        <f ca="1">38583.5926610435*(RANDBETWEEN(2890,3282))</f>
        <v>119068966.9519801</v>
      </c>
      <c r="B2733">
        <v>221239429.95222142</v>
      </c>
    </row>
    <row r="2734" spans="1:2" x14ac:dyDescent="0.25">
      <c r="A2734">
        <f ca="1">29345.6921691394*(RANDBETWEEN(2890,3282))</f>
        <v>87538199.740542755</v>
      </c>
      <c r="B2734">
        <v>208155047.1246137</v>
      </c>
    </row>
    <row r="2735" spans="1:2" x14ac:dyDescent="0.25">
      <c r="A2735">
        <f ca="1">27408.1646272805*(RANDBETWEEN(2890,3282))</f>
        <v>87733534.971925005</v>
      </c>
      <c r="B2735">
        <v>242784044.78777447</v>
      </c>
    </row>
    <row r="2736" spans="1:2" x14ac:dyDescent="0.25">
      <c r="A2736">
        <f ca="1">28684.3410166739*(RANDBETWEEN(2890,3282))</f>
        <v>84876965.068338037</v>
      </c>
      <c r="B2736">
        <v>260458885.13675788</v>
      </c>
    </row>
    <row r="2737" spans="1:2" x14ac:dyDescent="0.25">
      <c r="A2737">
        <f ca="1">30720.4465427681*(RANDBETWEEN(2890,3282))</f>
        <v>95049061.603324637</v>
      </c>
      <c r="B2737">
        <v>266560111.5699411</v>
      </c>
    </row>
    <row r="2738" spans="1:2" x14ac:dyDescent="0.25">
      <c r="A2738">
        <f ca="1">30221.9677115671*(RANDBETWEEN(2890,3282))</f>
        <v>89305914.587680817</v>
      </c>
      <c r="B2738">
        <v>255558484.58121487</v>
      </c>
    </row>
    <row r="2739" spans="1:2" x14ac:dyDescent="0.25">
      <c r="A2739">
        <f ca="1">39876.7926389267*(RANDBETWEEN(2890,3282))</f>
        <v>126130295.11692506</v>
      </c>
      <c r="B2739">
        <v>258356938.26993898</v>
      </c>
    </row>
    <row r="2740" spans="1:2" x14ac:dyDescent="0.25">
      <c r="A2740">
        <f ca="1">32207.4846116441*(RANDBETWEEN(2890,3282))</f>
        <v>94979872.119738415</v>
      </c>
      <c r="B2740">
        <v>257131262.9614121</v>
      </c>
    </row>
    <row r="2741" spans="1:2" x14ac:dyDescent="0.25">
      <c r="A2741">
        <f ca="1">34933.5771315998*(RANDBETWEEN(2890,3282))</f>
        <v>105883672.28587893</v>
      </c>
      <c r="B2741">
        <v>231872178.30545217</v>
      </c>
    </row>
    <row r="2742" spans="1:2" x14ac:dyDescent="0.25">
      <c r="A2742">
        <f ca="1">37881.1917844177*(RANDBETWEEN(2890,3282))</f>
        <v>113605694.16146858</v>
      </c>
      <c r="B2742">
        <v>261229397.97454053</v>
      </c>
    </row>
    <row r="2743" spans="1:2" x14ac:dyDescent="0.25">
      <c r="A2743">
        <f ca="1">37080.6018256607*(RANDBETWEEN(2890,3282))</f>
        <v>109610258.99665302</v>
      </c>
      <c r="B2743">
        <v>218816621.29820901</v>
      </c>
    </row>
    <row r="2744" spans="1:2" x14ac:dyDescent="0.25">
      <c r="A2744">
        <f ca="1">31285.2715299178*(RANDBETWEEN(2890,3282))</f>
        <v>93073682.801505521</v>
      </c>
      <c r="B2744">
        <v>236353510.0319542</v>
      </c>
    </row>
    <row r="2745" spans="1:2" x14ac:dyDescent="0.25">
      <c r="A2745">
        <f ca="1">27734.5613323271*(RANDBETWEEN(2890,3282))</f>
        <v>86282220.304869667</v>
      </c>
      <c r="B2745">
        <v>255781953.16424298</v>
      </c>
    </row>
    <row r="2746" spans="1:2" x14ac:dyDescent="0.25">
      <c r="A2746">
        <f ca="1">32006.2700162722*(RANDBETWEEN(2890,3282))</f>
        <v>94098433.847840145</v>
      </c>
      <c r="B2746">
        <v>260595727.99832487</v>
      </c>
    </row>
    <row r="2747" spans="1:2" x14ac:dyDescent="0.25">
      <c r="A2747">
        <f ca="1">29878.738226615*(RANDBETWEEN(2890,3282))</f>
        <v>95791234.754527688</v>
      </c>
      <c r="B2747">
        <v>251898820.29375559</v>
      </c>
    </row>
    <row r="2748" spans="1:2" x14ac:dyDescent="0.25">
      <c r="A2748">
        <f ca="1">40136.1065979202*(RANDBETWEEN(2890,3282))</f>
        <v>120649136.43334822</v>
      </c>
      <c r="B2748">
        <v>255642020.38008448</v>
      </c>
    </row>
    <row r="2749" spans="1:2" x14ac:dyDescent="0.25">
      <c r="A2749">
        <f ca="1">36381.1167654399*(RANDBETWEEN(2890,3282))</f>
        <v>110162021.56575209</v>
      </c>
      <c r="B2749">
        <v>234748370.82705981</v>
      </c>
    </row>
    <row r="2750" spans="1:2" x14ac:dyDescent="0.25">
      <c r="A2750">
        <f ca="1">40593.0550135618*(RANDBETWEEN(2890,3282))</f>
        <v>123849410.84637691</v>
      </c>
      <c r="B2750">
        <v>233794054.59944308</v>
      </c>
    </row>
    <row r="2751" spans="1:2" x14ac:dyDescent="0.25">
      <c r="A2751">
        <f ca="1">41532.784988023*(RANDBETWEEN(2890,3282))</f>
        <v>121109601.02507511</v>
      </c>
      <c r="B2751">
        <v>230060870.62739068</v>
      </c>
    </row>
    <row r="2752" spans="1:2" x14ac:dyDescent="0.25">
      <c r="A2752">
        <f ca="1">31287.8245587052*(RANDBETWEEN(2890,3282))</f>
        <v>95052411.009346306</v>
      </c>
      <c r="B2752">
        <v>209103825.14129546</v>
      </c>
    </row>
    <row r="2753" spans="1:2" x14ac:dyDescent="0.25">
      <c r="A2753">
        <f ca="1">30539.86473223*(RANDBETWEEN(2890,3282))</f>
        <v>97544327.95474261</v>
      </c>
      <c r="B2753">
        <v>259332797.67647874</v>
      </c>
    </row>
    <row r="2754" spans="1:2" x14ac:dyDescent="0.25">
      <c r="A2754">
        <f ca="1">31726.3799421024*(RANDBETWEEN(2890,3282))</f>
        <v>102190669.79351199</v>
      </c>
      <c r="B2754">
        <v>205503253.82884574</v>
      </c>
    </row>
    <row r="2755" spans="1:2" x14ac:dyDescent="0.25">
      <c r="A2755">
        <f ca="1">28438.3281758596*(RANDBETWEEN(2890,3282))</f>
        <v>93249278.088643774</v>
      </c>
      <c r="B2755">
        <v>219864786.70299593</v>
      </c>
    </row>
    <row r="2756" spans="1:2" x14ac:dyDescent="0.25">
      <c r="A2756">
        <f ca="1">32514.5426794524*(RANDBETWEEN(2890,3282))</f>
        <v>97998831.635869637</v>
      </c>
      <c r="B2756">
        <v>251192336.47866431</v>
      </c>
    </row>
    <row r="2757" spans="1:2" x14ac:dyDescent="0.25">
      <c r="A2757">
        <f ca="1">29845.1449120601*(RANDBETWEEN(2890,3282))</f>
        <v>94609109.371230438</v>
      </c>
      <c r="B2757">
        <v>239296923.70047608</v>
      </c>
    </row>
    <row r="2758" spans="1:2" x14ac:dyDescent="0.25">
      <c r="A2758">
        <f ca="1">31683.5470967737*(RANDBETWEEN(2890,3282))</f>
        <v>101450717.80386944</v>
      </c>
      <c r="B2758">
        <v>267081705.78104511</v>
      </c>
    </row>
    <row r="2759" spans="1:2" x14ac:dyDescent="0.25">
      <c r="A2759">
        <f ca="1">37623.3703878486*(RANDBETWEEN(2890,3282))</f>
        <v>120582902.09305477</v>
      </c>
      <c r="B2759">
        <v>238964910.92414397</v>
      </c>
    </row>
    <row r="2760" spans="1:2" x14ac:dyDescent="0.25">
      <c r="A2760">
        <f ca="1">34731.2828074849*(RANDBETWEEN(2890,3282))</f>
        <v>112043118.33694634</v>
      </c>
      <c r="B2760">
        <v>251447463.86026055</v>
      </c>
    </row>
    <row r="2761" spans="1:2" x14ac:dyDescent="0.25">
      <c r="A2761">
        <f ca="1">31611.8469487482*(RANDBETWEEN(2890,3282))</f>
        <v>100873403.61345543</v>
      </c>
      <c r="B2761">
        <v>251190056.60796311</v>
      </c>
    </row>
    <row r="2762" spans="1:2" x14ac:dyDescent="0.25">
      <c r="A2762">
        <f ca="1">30152.363470739*(RANDBETWEEN(2890,3282))</f>
        <v>97241372.19313319</v>
      </c>
      <c r="B2762">
        <v>240932081.53208911</v>
      </c>
    </row>
    <row r="2763" spans="1:2" x14ac:dyDescent="0.25">
      <c r="A2763">
        <f ca="1">41495.3303880081*(RANDBETWEEN(2890,3282))</f>
        <v>133531973.18861018</v>
      </c>
      <c r="B2763">
        <v>260198656.60750702</v>
      </c>
    </row>
    <row r="2764" spans="1:2" x14ac:dyDescent="0.25">
      <c r="A2764">
        <f ca="1">34046.6564678984*(RANDBETWEEN(2890,3282))</f>
        <v>110958053.42888089</v>
      </c>
      <c r="B2764">
        <v>266293930.68523279</v>
      </c>
    </row>
    <row r="2765" spans="1:2" x14ac:dyDescent="0.25">
      <c r="A2765">
        <f ca="1">32950.3813916768*(RANDBETWEEN(2890,3282))</f>
        <v>96511667.096221358</v>
      </c>
      <c r="B2765">
        <v>229915565.45962149</v>
      </c>
    </row>
    <row r="2766" spans="1:2" x14ac:dyDescent="0.25">
      <c r="A2766">
        <f ca="1">28553.571764319*(RANDBETWEEN(2890,3282))</f>
        <v>89715322.483490273</v>
      </c>
      <c r="B2766">
        <v>215387659.48187283</v>
      </c>
    </row>
    <row r="2767" spans="1:2" x14ac:dyDescent="0.25">
      <c r="A2767">
        <f ca="1">28624.1237164488*(RANDBETWEEN(2890,3282))</f>
        <v>87217704.964019522</v>
      </c>
      <c r="B2767">
        <v>226276522.53396937</v>
      </c>
    </row>
    <row r="2768" spans="1:2" x14ac:dyDescent="0.25">
      <c r="A2768">
        <f ca="1">31320.0802558513*(RANDBETWEEN(2890,3282))</f>
        <v>92644797.396808207</v>
      </c>
      <c r="B2768">
        <v>216312007.18460125</v>
      </c>
    </row>
    <row r="2769" spans="1:2" x14ac:dyDescent="0.25">
      <c r="A2769">
        <f ca="1">34914.6410857544*(RANDBETWEEN(2890,3282))</f>
        <v>112529888.21938644</v>
      </c>
      <c r="B2769">
        <v>225512742.7474491</v>
      </c>
    </row>
    <row r="2770" spans="1:2" x14ac:dyDescent="0.25">
      <c r="A2770">
        <f ca="1">33861.3550112504*(RANDBETWEEN(2890,3282))</f>
        <v>98197929.532626212</v>
      </c>
      <c r="B2770">
        <v>248936368.86965427</v>
      </c>
    </row>
    <row r="2771" spans="1:2" x14ac:dyDescent="0.25">
      <c r="A2771">
        <f ca="1">40732.5120026007*(RANDBETWEEN(2890,3282))</f>
        <v>131606746.28040273</v>
      </c>
      <c r="B2771">
        <v>234082001.21748599</v>
      </c>
    </row>
    <row r="2772" spans="1:2" x14ac:dyDescent="0.25">
      <c r="A2772">
        <f ca="1">33595.6891033848*(RANDBETWEEN(2890,3282))</f>
        <v>97729859.60174647</v>
      </c>
      <c r="B2772">
        <v>211104897.45176086</v>
      </c>
    </row>
    <row r="2773" spans="1:2" x14ac:dyDescent="0.25">
      <c r="A2773">
        <f ca="1">39412.4228360544*(RANDBETWEEN(2890,3282))</f>
        <v>122414985.32878493</v>
      </c>
      <c r="B2773">
        <v>240979381.843261</v>
      </c>
    </row>
    <row r="2774" spans="1:2" x14ac:dyDescent="0.25">
      <c r="A2774">
        <f ca="1">30886.6513908417*(RANDBETWEEN(2890,3282))</f>
        <v>97570931.743668959</v>
      </c>
      <c r="B2774">
        <v>262013401.05944598</v>
      </c>
    </row>
    <row r="2775" spans="1:2" x14ac:dyDescent="0.25">
      <c r="A2775">
        <f ca="1">32533.5588715988*(RANDBETWEEN(2890,3282))</f>
        <v>103521784.32942735</v>
      </c>
      <c r="B2775">
        <v>204834957.68799549</v>
      </c>
    </row>
    <row r="2776" spans="1:2" x14ac:dyDescent="0.25">
      <c r="A2776">
        <f ca="1">31046.707898574*(RANDBETWEEN(2890,3282))</f>
        <v>99784119.186016768</v>
      </c>
      <c r="B2776">
        <v>225757627.25919423</v>
      </c>
    </row>
    <row r="2777" spans="1:2" x14ac:dyDescent="0.25">
      <c r="A2777">
        <f ca="1">32488.1927766969*(RANDBETWEEN(2890,3282))</f>
        <v>102727665.55991571</v>
      </c>
      <c r="B2777">
        <v>213979344.44673997</v>
      </c>
    </row>
    <row r="2778" spans="1:2" x14ac:dyDescent="0.25">
      <c r="A2778">
        <f ca="1">37315.3181118459*(RANDBETWEEN(2890,3282))</f>
        <v>112207161.56232055</v>
      </c>
      <c r="B2778">
        <v>222480388.17599341</v>
      </c>
    </row>
    <row r="2779" spans="1:2" x14ac:dyDescent="0.25">
      <c r="A2779">
        <f ca="1">36194.775129073*(RANDBETWEEN(2890,3282))</f>
        <v>115171774.46071023</v>
      </c>
      <c r="B2779">
        <v>262439355.6654788</v>
      </c>
    </row>
    <row r="2780" spans="1:2" x14ac:dyDescent="0.25">
      <c r="A2780">
        <f ca="1">31779.9933212665*(RANDBETWEEN(2890,3282))</f>
        <v>100106978.96198963</v>
      </c>
      <c r="B2780">
        <v>212465393.83317101</v>
      </c>
    </row>
    <row r="2781" spans="1:2" x14ac:dyDescent="0.25">
      <c r="A2781">
        <f ca="1">33591.9621586453*(RANDBETWEEN(2890,3282))</f>
        <v>104941289.7836079</v>
      </c>
      <c r="B2781">
        <v>220459051.69778678</v>
      </c>
    </row>
    <row r="2782" spans="1:2" x14ac:dyDescent="0.25">
      <c r="A2782">
        <f ca="1">31321.7298755057*(RANDBETWEEN(2890,3282))</f>
        <v>101576369.98626505</v>
      </c>
      <c r="B2782">
        <v>251752440.9615714</v>
      </c>
    </row>
    <row r="2783" spans="1:2" x14ac:dyDescent="0.25">
      <c r="A2783">
        <f ca="1">35977.4902649855*(RANDBETWEEN(2890,3282))</f>
        <v>109659390.32767589</v>
      </c>
      <c r="B2783">
        <v>214871410.90758774</v>
      </c>
    </row>
    <row r="2784" spans="1:2" x14ac:dyDescent="0.25">
      <c r="A2784">
        <f ca="1">32973.1088222978*(RANDBETWEEN(2890,3282))</f>
        <v>103172857.50496992</v>
      </c>
      <c r="B2784">
        <v>213221966.44501856</v>
      </c>
    </row>
    <row r="2785" spans="1:2" x14ac:dyDescent="0.25">
      <c r="A2785">
        <f ca="1">40440.4121774113*(RANDBETWEEN(2890,3282))</f>
        <v>121321236.53223401</v>
      </c>
      <c r="B2785">
        <v>251641843.91284522</v>
      </c>
    </row>
    <row r="2786" spans="1:2" x14ac:dyDescent="0.25">
      <c r="A2786">
        <f ca="1">27794.873519873*(RANDBETWEEN(2890,3282))</f>
        <v>88860210.643033981</v>
      </c>
      <c r="B2786">
        <v>214888373.43678743</v>
      </c>
    </row>
    <row r="2787" spans="1:2" x14ac:dyDescent="0.25">
      <c r="A2787">
        <f ca="1">39757.8318897976*(RANDBETWEEN(2890,3282))</f>
        <v>119551800.49262124</v>
      </c>
      <c r="B2787">
        <v>232617975.94993335</v>
      </c>
    </row>
    <row r="2788" spans="1:2" x14ac:dyDescent="0.25">
      <c r="A2788">
        <f ca="1">39592.1311456423*(RANDBETWEEN(2890,3282))</f>
        <v>128991163.27250256</v>
      </c>
      <c r="B2788">
        <v>205436882.0030432</v>
      </c>
    </row>
    <row r="2789" spans="1:2" x14ac:dyDescent="0.25">
      <c r="A2789">
        <f ca="1">35856.8558380315*(RANDBETWEEN(2890,3282))</f>
        <v>114168228.98829241</v>
      </c>
      <c r="B2789">
        <v>224479725.01775983</v>
      </c>
    </row>
    <row r="2790" spans="1:2" x14ac:dyDescent="0.25">
      <c r="A2790">
        <f ca="1">35377.0684716418*(RANDBETWEEN(2890,3282))</f>
        <v>105459041.11396424</v>
      </c>
      <c r="B2790">
        <v>204520999.85552207</v>
      </c>
    </row>
    <row r="2791" spans="1:2" x14ac:dyDescent="0.25">
      <c r="A2791">
        <f ca="1">36613.90848523*(RANDBETWEEN(2890,3282))</f>
        <v>117237734.96970654</v>
      </c>
      <c r="B2791">
        <v>259887276.36857444</v>
      </c>
    </row>
    <row r="2792" spans="1:2" x14ac:dyDescent="0.25">
      <c r="A2792">
        <f ca="1">31765.730761609*(RANDBETWEEN(2890,3282))</f>
        <v>103842173.85969977</v>
      </c>
      <c r="B2792">
        <v>263560761.18532994</v>
      </c>
    </row>
    <row r="2793" spans="1:2" x14ac:dyDescent="0.25">
      <c r="A2793">
        <f ca="1">31348.9259831402*(RANDBETWEEN(2890,3282))</f>
        <v>94297569.357285693</v>
      </c>
      <c r="B2793">
        <v>259792513.76640955</v>
      </c>
    </row>
    <row r="2794" spans="1:2" x14ac:dyDescent="0.25">
      <c r="A2794">
        <f ca="1">39361.324125157*(RANDBETWEEN(2890,3282))</f>
        <v>127570051.48963384</v>
      </c>
      <c r="B2794">
        <v>236561780.57379141</v>
      </c>
    </row>
    <row r="2795" spans="1:2" x14ac:dyDescent="0.25">
      <c r="A2795">
        <f ca="1">33045.7143980579*(RANDBETWEEN(2890,3282))</f>
        <v>105250600.35781455</v>
      </c>
      <c r="B2795">
        <v>232811859.74574107</v>
      </c>
    </row>
    <row r="2796" spans="1:2" x14ac:dyDescent="0.25">
      <c r="A2796">
        <f ca="1">31900.3771791116*(RANDBETWEEN(2890,3282))</f>
        <v>93946610.792483672</v>
      </c>
      <c r="B2796">
        <v>240138600.35284367</v>
      </c>
    </row>
    <row r="2797" spans="1:2" x14ac:dyDescent="0.25">
      <c r="A2797">
        <f ca="1">31424.7581549482*(RANDBETWEEN(2890,3282))</f>
        <v>92577337.524477512</v>
      </c>
      <c r="B2797">
        <v>254393239.62756896</v>
      </c>
    </row>
    <row r="2798" spans="1:2" x14ac:dyDescent="0.25">
      <c r="A2798">
        <f ca="1">36594.1743193822*(RANDBETWEEN(2890,3282))</f>
        <v>112600274.38073888</v>
      </c>
      <c r="B2798">
        <v>235144856.40452874</v>
      </c>
    </row>
    <row r="2799" spans="1:2" x14ac:dyDescent="0.25">
      <c r="A2799">
        <f ca="1">35143.4539410003*(RANDBETWEEN(2890,3282))</f>
        <v>114954237.84101205</v>
      </c>
      <c r="B2799">
        <v>265857972.18063676</v>
      </c>
    </row>
    <row r="2800" spans="1:2" x14ac:dyDescent="0.25">
      <c r="A2800">
        <f ca="1">31444.9436245893*(RANDBETWEEN(2890,3282))</f>
        <v>92542469.087166265</v>
      </c>
      <c r="B2800">
        <v>217790208.83117038</v>
      </c>
    </row>
    <row r="2801" spans="1:2" x14ac:dyDescent="0.25">
      <c r="A2801">
        <f ca="1">29726.7717440563*(RANDBETWEEN(2890,3282))</f>
        <v>93787964.852497697</v>
      </c>
      <c r="B2801">
        <v>223650268.49222511</v>
      </c>
    </row>
    <row r="2802" spans="1:2" x14ac:dyDescent="0.25">
      <c r="A2802">
        <f ca="1">33284.9423612537*(RANDBETWEEN(2890,3282))</f>
        <v>97491596.176112026</v>
      </c>
      <c r="B2802">
        <v>253072034.97911406</v>
      </c>
    </row>
    <row r="2803" spans="1:2" x14ac:dyDescent="0.25">
      <c r="A2803">
        <f ca="1">29782.5871072065*(RANDBETWEEN(2890,3282))</f>
        <v>86875806.591721416</v>
      </c>
      <c r="B2803">
        <v>236373981.92637527</v>
      </c>
    </row>
    <row r="2804" spans="1:2" x14ac:dyDescent="0.25">
      <c r="A2804">
        <f ca="1">30114.4004177169*(RANDBETWEEN(2890,3282))</f>
        <v>93083611.691162854</v>
      </c>
      <c r="B2804">
        <v>260036924.957513</v>
      </c>
    </row>
    <row r="2805" spans="1:2" x14ac:dyDescent="0.25">
      <c r="A2805">
        <f ca="1">32718.2032714963*(RANDBETWEEN(2890,3282))</f>
        <v>106890370.08797856</v>
      </c>
      <c r="B2805">
        <v>258167912.41139132</v>
      </c>
    </row>
    <row r="2806" spans="1:2" x14ac:dyDescent="0.25">
      <c r="A2806">
        <f ca="1">39211.7599457594*(RANDBETWEEN(2890,3282))</f>
        <v>128183243.26268744</v>
      </c>
      <c r="B2806">
        <v>212745166.98494253</v>
      </c>
    </row>
    <row r="2807" spans="1:2" x14ac:dyDescent="0.25">
      <c r="A2807">
        <f ca="1">31017.0045246583*(RANDBETWEEN(2890,3282))</f>
        <v>92244571.456333712</v>
      </c>
      <c r="B2807">
        <v>208216247.77796382</v>
      </c>
    </row>
    <row r="2808" spans="1:2" x14ac:dyDescent="0.25">
      <c r="A2808">
        <f ca="1">32802.7137709933*(RANDBETWEEN(2890,3282))</f>
        <v>103328548.37862897</v>
      </c>
      <c r="B2808">
        <v>207311318.81534803</v>
      </c>
    </row>
    <row r="2809" spans="1:2" x14ac:dyDescent="0.25">
      <c r="A2809">
        <f ca="1">36814.4380175715*(RANDBETWEEN(2890,3282))</f>
        <v>112284035.95359318</v>
      </c>
      <c r="B2809">
        <v>215215060.89987317</v>
      </c>
    </row>
    <row r="2810" spans="1:2" x14ac:dyDescent="0.25">
      <c r="A2810">
        <f ca="1">37698.0165868605*(RANDBETWEEN(2890,3282))</f>
        <v>121463009.44286454</v>
      </c>
      <c r="B2810">
        <v>256085284.19805247</v>
      </c>
    </row>
    <row r="2811" spans="1:2" x14ac:dyDescent="0.25">
      <c r="A2811">
        <f ca="1">31902.0092770234*(RANDBETWEEN(2890,3282))</f>
        <v>102437351.78852211</v>
      </c>
      <c r="B2811">
        <v>255049299.02948803</v>
      </c>
    </row>
    <row r="2812" spans="1:2" x14ac:dyDescent="0.25">
      <c r="A2812">
        <f ca="1">34505.5965057467*(RANDBETWEEN(2890,3282))</f>
        <v>108416584.22105616</v>
      </c>
      <c r="B2812">
        <v>230635558.291426</v>
      </c>
    </row>
    <row r="2813" spans="1:2" x14ac:dyDescent="0.25">
      <c r="A2813">
        <f ca="1">35983.6661744206*(RANDBETWEEN(2890,3282))</f>
        <v>117594621.05800642</v>
      </c>
      <c r="B2813">
        <v>253473672.77775902</v>
      </c>
    </row>
    <row r="2814" spans="1:2" x14ac:dyDescent="0.25">
      <c r="A2814">
        <f ca="1">32601.9725884218*(RANDBETWEEN(2890,3282))</f>
        <v>98360151.299268514</v>
      </c>
      <c r="B2814">
        <v>218228556.03852203</v>
      </c>
    </row>
    <row r="2815" spans="1:2" x14ac:dyDescent="0.25">
      <c r="A2815">
        <f ca="1">30472.3182786262*(RANDBETWEEN(2890,3282))</f>
        <v>96231581.123901665</v>
      </c>
      <c r="B2815">
        <v>235679150.81175435</v>
      </c>
    </row>
    <row r="2816" spans="1:2" x14ac:dyDescent="0.25">
      <c r="A2816">
        <f ca="1">30581.5949147669*(RANDBETWEEN(2890,3282))</f>
        <v>90093378.61890316</v>
      </c>
      <c r="B2816">
        <v>247262700.37138942</v>
      </c>
    </row>
    <row r="2817" spans="1:2" x14ac:dyDescent="0.25">
      <c r="A2817">
        <f ca="1">39595.9549884561*(RANDBETWEEN(2890,3282))</f>
        <v>129082813.26236698</v>
      </c>
      <c r="B2817">
        <v>226360077.3273592</v>
      </c>
    </row>
    <row r="2818" spans="1:2" x14ac:dyDescent="0.25">
      <c r="A2818">
        <f ca="1">32583.5170159893*(RANDBETWEEN(2890,3282))</f>
        <v>105798679.75091715</v>
      </c>
      <c r="B2818">
        <v>231766463.35434836</v>
      </c>
    </row>
    <row r="2819" spans="1:2" x14ac:dyDescent="0.25">
      <c r="A2819">
        <f ca="1">29606.9916516921*(RANDBETWEEN(2890,3282))</f>
        <v>94387089.385594353</v>
      </c>
      <c r="B2819">
        <v>238079710.95207974</v>
      </c>
    </row>
    <row r="2820" spans="1:2" x14ac:dyDescent="0.25">
      <c r="A2820">
        <f ca="1">28855.4270448639*(RANDBETWEEN(2890,3282))</f>
        <v>94097547.593301207</v>
      </c>
      <c r="B2820">
        <v>265507864.85529479</v>
      </c>
    </row>
    <row r="2821" spans="1:2" x14ac:dyDescent="0.25">
      <c r="A2821">
        <f ca="1">35926.5195527903*(RANDBETWEEN(2890,3282))</f>
        <v>117515645.45717713</v>
      </c>
      <c r="B2821">
        <v>227128006.04550681</v>
      </c>
    </row>
    <row r="2822" spans="1:2" x14ac:dyDescent="0.25">
      <c r="A2822">
        <f ca="1">28472.1460438407*(RANDBETWEEN(2890,3282))</f>
        <v>83110194.301971033</v>
      </c>
      <c r="B2822">
        <v>211559651.19664407</v>
      </c>
    </row>
    <row r="2823" spans="1:2" x14ac:dyDescent="0.25">
      <c r="A2823">
        <f ca="1">30515.5742985458*(RANDBETWEEN(2890,3282))</f>
        <v>90417646.646591276</v>
      </c>
      <c r="B2823">
        <v>213920749.46434891</v>
      </c>
    </row>
    <row r="2824" spans="1:2" x14ac:dyDescent="0.25">
      <c r="A2824">
        <f ca="1">33199.1670082219*(RANDBETWEEN(2890,3282))</f>
        <v>105706147.75417855</v>
      </c>
      <c r="B2824">
        <v>252535424.44599038</v>
      </c>
    </row>
    <row r="2825" spans="1:2" x14ac:dyDescent="0.25">
      <c r="A2825">
        <f ca="1">33980.5365144676*(RANDBETWEEN(2890,3282))</f>
        <v>104082383.34381421</v>
      </c>
      <c r="B2825">
        <v>232146480.87049431</v>
      </c>
    </row>
    <row r="2826" spans="1:2" x14ac:dyDescent="0.25">
      <c r="A2826">
        <f ca="1">29312.336137699*(RANDBETWEEN(2890,3282))</f>
        <v>90428556.984801352</v>
      </c>
      <c r="B2826">
        <v>217314436.78360116</v>
      </c>
    </row>
    <row r="2827" spans="1:2" x14ac:dyDescent="0.25">
      <c r="A2827">
        <f ca="1">42052.9895450593*(RANDBETWEEN(2890,3282))</f>
        <v>133728506.75328867</v>
      </c>
      <c r="B2827">
        <v>259241828.88111657</v>
      </c>
    </row>
    <row r="2828" spans="1:2" x14ac:dyDescent="0.25">
      <c r="A2828">
        <f ca="1">33145.2520750005*(RANDBETWEEN(2890,3282))</f>
        <v>104805287.06115149</v>
      </c>
      <c r="B2828">
        <v>241262078.08911914</v>
      </c>
    </row>
    <row r="2829" spans="1:2" x14ac:dyDescent="0.25">
      <c r="A2829">
        <f ca="1">40479.7507809106*(RANDBETWEEN(2890,3282))</f>
        <v>128928006.23720011</v>
      </c>
      <c r="B2829">
        <v>241802794.88332295</v>
      </c>
    </row>
    <row r="2830" spans="1:2" x14ac:dyDescent="0.25">
      <c r="A2830">
        <f ca="1">29879.2593575103*(RANDBETWEEN(2890,3282))</f>
        <v>97884453.655203864</v>
      </c>
      <c r="B2830">
        <v>234134813.36338294</v>
      </c>
    </row>
    <row r="2831" spans="1:2" x14ac:dyDescent="0.25">
      <c r="A2831">
        <f ca="1">31486.899777561*(RANDBETWEEN(2890,3282))</f>
        <v>94114343.435129881</v>
      </c>
      <c r="B2831">
        <v>235743615.02728412</v>
      </c>
    </row>
    <row r="2832" spans="1:2" x14ac:dyDescent="0.25">
      <c r="A2832">
        <f ca="1">30354.5483480638*(RANDBETWEEN(2890,3282))</f>
        <v>89667335.820180446</v>
      </c>
      <c r="B2832">
        <v>238807392.44126204</v>
      </c>
    </row>
    <row r="2833" spans="1:2" x14ac:dyDescent="0.25">
      <c r="A2833">
        <f ca="1">35953.15072501*(RANDBETWEEN(2890,3282))</f>
        <v>111958111.35768126</v>
      </c>
      <c r="B2833">
        <v>258641082.47649583</v>
      </c>
    </row>
    <row r="2834" spans="1:2" x14ac:dyDescent="0.25">
      <c r="A2834">
        <f ca="1">33699.0478759318*(RANDBETWEEN(2890,3282))</f>
        <v>109858896.07553755</v>
      </c>
      <c r="B2834">
        <v>232916867.57081133</v>
      </c>
    </row>
    <row r="2835" spans="1:2" x14ac:dyDescent="0.25">
      <c r="A2835">
        <f ca="1">41236.4007070333*(RANDBETWEEN(2890,3282))</f>
        <v>120698944.86948648</v>
      </c>
      <c r="B2835">
        <v>236607648.33528972</v>
      </c>
    </row>
    <row r="2836" spans="1:2" x14ac:dyDescent="0.25">
      <c r="A2836">
        <f ca="1">31695.5037642786*(RANDBETWEEN(2890,3282))</f>
        <v>95244988.81165731</v>
      </c>
      <c r="B2836">
        <v>237066956.84219229</v>
      </c>
    </row>
    <row r="2837" spans="1:2" x14ac:dyDescent="0.25">
      <c r="A2837">
        <f ca="1">35320.7911523248*(RANDBETWEEN(2890,3282))</f>
        <v>111048567.38290918</v>
      </c>
      <c r="B2837">
        <v>251932625.73759139</v>
      </c>
    </row>
    <row r="2838" spans="1:2" x14ac:dyDescent="0.25">
      <c r="A2838">
        <f ca="1">35855.7959312165*(RANDBETWEEN(2890,3282))</f>
        <v>116961606.32762842</v>
      </c>
      <c r="B2838">
        <v>249997801.14337897</v>
      </c>
    </row>
    <row r="2839" spans="1:2" x14ac:dyDescent="0.25">
      <c r="A2839">
        <f ca="1">33578.1156735336*(RANDBETWEEN(2890,3282))</f>
        <v>98484613.270474195</v>
      </c>
      <c r="B2839">
        <v>206946195.52672401</v>
      </c>
    </row>
    <row r="2840" spans="1:2" x14ac:dyDescent="0.25">
      <c r="A2840">
        <f ca="1">39581.1463114438*(RANDBETWEEN(2890,3282))</f>
        <v>115339460.35154715</v>
      </c>
      <c r="B2840">
        <v>220689680.44753504</v>
      </c>
    </row>
    <row r="2841" spans="1:2" x14ac:dyDescent="0.25">
      <c r="A2841">
        <f ca="1">30525.0544196639*(RANDBETWEEN(2890,3282))</f>
        <v>88492132.762605786</v>
      </c>
      <c r="B2841">
        <v>263781278.9366191</v>
      </c>
    </row>
    <row r="2842" spans="1:2" x14ac:dyDescent="0.25">
      <c r="A2842">
        <f ca="1">34977.6133142281*(RANDBETWEEN(2890,3282))</f>
        <v>113397422.36472742</v>
      </c>
      <c r="B2842">
        <v>219847729.04236656</v>
      </c>
    </row>
    <row r="2843" spans="1:2" x14ac:dyDescent="0.25">
      <c r="A2843">
        <f ca="1">37539.3155096944*(RANDBETWEEN(2890,3282))</f>
        <v>121026753.2032548</v>
      </c>
      <c r="B2843">
        <v>236999074.74271256</v>
      </c>
    </row>
    <row r="2844" spans="1:2" x14ac:dyDescent="0.25">
      <c r="A2844">
        <f ca="1">31560.1854063021*(RANDBETWEEN(2890,3282))</f>
        <v>99635505.327695742</v>
      </c>
      <c r="B2844">
        <v>209534527.0855816</v>
      </c>
    </row>
    <row r="2845" spans="1:2" x14ac:dyDescent="0.25">
      <c r="A2845">
        <f ca="1">32216.0599895592*(RANDBETWEEN(2890,3282))</f>
        <v>103542416.80644338</v>
      </c>
      <c r="B2845">
        <v>257702096.02728263</v>
      </c>
    </row>
    <row r="2846" spans="1:2" x14ac:dyDescent="0.25">
      <c r="A2846">
        <f ca="1">33159.9290121886*(RANDBETWEEN(2890,3282))</f>
        <v>104486936.31740642</v>
      </c>
      <c r="B2846">
        <v>227788898.30846208</v>
      </c>
    </row>
    <row r="2847" spans="1:2" x14ac:dyDescent="0.25">
      <c r="A2847">
        <f ca="1">32463.9187319298*(RANDBETWEEN(2890,3282))</f>
        <v>103949467.77963932</v>
      </c>
      <c r="B2847">
        <v>247452398.01855782</v>
      </c>
    </row>
    <row r="2848" spans="1:2" x14ac:dyDescent="0.25">
      <c r="A2848">
        <f ca="1">30514.7608621772*(RANDBETWEEN(2890,3282))</f>
        <v>98227015.215348333</v>
      </c>
      <c r="B2848">
        <v>220093898.8568354</v>
      </c>
    </row>
    <row r="2849" spans="1:2" x14ac:dyDescent="0.25">
      <c r="A2849">
        <f ca="1">33950.96852057*(RANDBETWEEN(2890,3282))</f>
        <v>108677050.23434471</v>
      </c>
      <c r="B2849">
        <v>239607617.90449631</v>
      </c>
    </row>
    <row r="2850" spans="1:2" x14ac:dyDescent="0.25">
      <c r="A2850">
        <f ca="1">31000.2613335493*(RANDBETWEEN(2890,3282))</f>
        <v>93806790.795320079</v>
      </c>
      <c r="B2850">
        <v>221877553.76566452</v>
      </c>
    </row>
    <row r="2851" spans="1:2" x14ac:dyDescent="0.25">
      <c r="A2851">
        <f ca="1">32777.0386095822*(RANDBETWEEN(2890,3282))</f>
        <v>104788192.43483426</v>
      </c>
      <c r="B2851">
        <v>239514860.11788452</v>
      </c>
    </row>
    <row r="2852" spans="1:2" x14ac:dyDescent="0.25">
      <c r="A2852">
        <f ca="1">31712.299603749*(RANDBETWEEN(2890,3282))</f>
        <v>94534365.118775874</v>
      </c>
      <c r="B2852">
        <v>225844347.13212866</v>
      </c>
    </row>
    <row r="2853" spans="1:2" x14ac:dyDescent="0.25">
      <c r="A2853">
        <f ca="1">30725.2543321829*(RANDBETWEEN(2890,3282))</f>
        <v>91899235.70755893</v>
      </c>
      <c r="B2853">
        <v>243554566.94673002</v>
      </c>
    </row>
    <row r="2854" spans="1:2" x14ac:dyDescent="0.25">
      <c r="A2854">
        <f ca="1">37713.8769016742*(RANDBETWEEN(2890,3282))</f>
        <v>119666131.40901217</v>
      </c>
      <c r="B2854">
        <v>215381899.37257221</v>
      </c>
    </row>
    <row r="2855" spans="1:2" x14ac:dyDescent="0.25">
      <c r="A2855">
        <f ca="1">31751.6024824617*(RANDBETWEEN(2890,3282))</f>
        <v>96905890.776473194</v>
      </c>
      <c r="B2855">
        <v>225017580.34933311</v>
      </c>
    </row>
    <row r="2856" spans="1:2" x14ac:dyDescent="0.25">
      <c r="A2856">
        <f ca="1">28280.3527057195*(RANDBETWEEN(2890,3282))</f>
        <v>92165669.467939898</v>
      </c>
      <c r="B2856">
        <v>208347850.00970513</v>
      </c>
    </row>
    <row r="2857" spans="1:2" x14ac:dyDescent="0.25">
      <c r="A2857">
        <f ca="1">40040.6184251254*(RANDBETWEEN(2890,3282))</f>
        <v>123164942.27568561</v>
      </c>
      <c r="B2857">
        <v>214787752.74164671</v>
      </c>
    </row>
    <row r="2858" spans="1:2" x14ac:dyDescent="0.25">
      <c r="A2858">
        <f ca="1">40166.8704642856*(RANDBETWEEN(2890,3282))</f>
        <v>128413484.87432109</v>
      </c>
      <c r="B2858">
        <v>261606479.56295142</v>
      </c>
    </row>
    <row r="2859" spans="1:2" x14ac:dyDescent="0.25">
      <c r="A2859">
        <f ca="1">30803.7188797671*(RANDBETWEEN(2890,3282))</f>
        <v>91856689.699465558</v>
      </c>
      <c r="B2859">
        <v>262133883.96512863</v>
      </c>
    </row>
    <row r="2860" spans="1:2" x14ac:dyDescent="0.25">
      <c r="A2860">
        <f ca="1">34554.8751205931*(RANDBETWEEN(2890,3282))</f>
        <v>108986076.1303506</v>
      </c>
      <c r="B2860">
        <v>266984896.14441982</v>
      </c>
    </row>
    <row r="2861" spans="1:2" x14ac:dyDescent="0.25">
      <c r="A2861">
        <f ca="1">29646.3425993624*(RANDBETWEEN(2890,3282))</f>
        <v>86270856.964144707</v>
      </c>
      <c r="B2861">
        <v>259426209.57611698</v>
      </c>
    </row>
    <row r="2862" spans="1:2" x14ac:dyDescent="0.25">
      <c r="A2862">
        <f ca="1">33584.4961634561*(RANDBETWEEN(2890,3282))</f>
        <v>106966620.28060767</v>
      </c>
      <c r="B2862">
        <v>210718758.52266017</v>
      </c>
    </row>
    <row r="2863" spans="1:2" x14ac:dyDescent="0.25">
      <c r="A2863">
        <f ca="1">34882.386405406*(RANDBETWEEN(2890,3282))</f>
        <v>110367870.58670472</v>
      </c>
      <c r="B2863">
        <v>230724104.55873844</v>
      </c>
    </row>
    <row r="2864" spans="1:2" x14ac:dyDescent="0.25">
      <c r="A2864">
        <f ca="1">31874.8067061963*(RANDBETWEEN(2890,3282))</f>
        <v>94731925.530815333</v>
      </c>
      <c r="B2864">
        <v>243313625.89692014</v>
      </c>
    </row>
    <row r="2865" spans="1:2" x14ac:dyDescent="0.25">
      <c r="A2865">
        <f ca="1">32398.8086337794*(RANDBETWEEN(2890,3282))</f>
        <v>98783967.52439326</v>
      </c>
      <c r="B2865">
        <v>235400985.55512792</v>
      </c>
    </row>
    <row r="2866" spans="1:2" x14ac:dyDescent="0.25">
      <c r="A2866">
        <f ca="1">37843.8070208544*(RANDBETWEEN(2890,3282))</f>
        <v>123332967.08096433</v>
      </c>
      <c r="B2866">
        <v>254190314.89947876</v>
      </c>
    </row>
    <row r="2867" spans="1:2" x14ac:dyDescent="0.25">
      <c r="A2867">
        <f ca="1">40629.0988873592*(RANDBETWEEN(2890,3282))</f>
        <v>118555710.55331416</v>
      </c>
      <c r="B2867">
        <v>237702841.08148915</v>
      </c>
    </row>
    <row r="2868" spans="1:2" x14ac:dyDescent="0.25">
      <c r="A2868">
        <f ca="1">32632.0648355676*(RANDBETWEEN(2890,3282))</f>
        <v>94339299.4396258</v>
      </c>
      <c r="B2868">
        <v>266109668.04234666</v>
      </c>
    </row>
    <row r="2869" spans="1:2" x14ac:dyDescent="0.25">
      <c r="A2869">
        <f ca="1">32341.4563995787*(RANDBETWEEN(2890,3282))</f>
        <v>102587099.69946358</v>
      </c>
      <c r="B2869">
        <v>219296122.06920597</v>
      </c>
    </row>
    <row r="2870" spans="1:2" x14ac:dyDescent="0.25">
      <c r="A2870">
        <f ca="1">32430.5399231171*(RANDBETWEEN(2890,3282))</f>
        <v>99140160.544968963</v>
      </c>
      <c r="B2870">
        <v>207201622.36405426</v>
      </c>
    </row>
    <row r="2871" spans="1:2" x14ac:dyDescent="0.25">
      <c r="A2871">
        <f ca="1">31020.4457170249*(RANDBETWEEN(2890,3282))</f>
        <v>95884197.711323902</v>
      </c>
      <c r="B2871">
        <v>257920652.03999406</v>
      </c>
    </row>
    <row r="2872" spans="1:2" x14ac:dyDescent="0.25">
      <c r="A2872">
        <f ca="1">32324.0542952714*(RANDBETWEEN(2890,3282))</f>
        <v>104245075.10225014</v>
      </c>
      <c r="B2872">
        <v>251295630.86394393</v>
      </c>
    </row>
    <row r="2873" spans="1:2" x14ac:dyDescent="0.25">
      <c r="A2873">
        <f ca="1">34572.8219299685*(RANDBETWEEN(2890,3282))</f>
        <v>102542989.84428667</v>
      </c>
      <c r="B2873">
        <v>225602610.75492644</v>
      </c>
    </row>
    <row r="2874" spans="1:2" x14ac:dyDescent="0.25">
      <c r="A2874">
        <f ca="1">38442.7390306465*(RANDBETWEEN(2890,3282))</f>
        <v>111368614.97178294</v>
      </c>
      <c r="B2874">
        <v>264580468.40017313</v>
      </c>
    </row>
    <row r="2875" spans="1:2" x14ac:dyDescent="0.25">
      <c r="A2875">
        <f ca="1">37238.2069327541*(RANDBETWEEN(2890,3282))</f>
        <v>111230524.10813642</v>
      </c>
      <c r="B2875">
        <v>253008713.97379529</v>
      </c>
    </row>
    <row r="2876" spans="1:2" x14ac:dyDescent="0.25">
      <c r="A2876">
        <f ca="1">32148.7876803197*(RANDBETWEEN(2890,3282))</f>
        <v>93038591.546845123</v>
      </c>
      <c r="B2876">
        <v>235350249.27178752</v>
      </c>
    </row>
    <row r="2877" spans="1:2" x14ac:dyDescent="0.25">
      <c r="A2877">
        <f ca="1">30804.5712445798*(RANDBETWEEN(2890,3282))</f>
        <v>97558077.131584376</v>
      </c>
      <c r="B2877">
        <v>250121754.03123656</v>
      </c>
    </row>
    <row r="2878" spans="1:2" x14ac:dyDescent="0.25">
      <c r="A2878">
        <f ca="1">32489.7339362436*(RANDBETWEEN(2890,3282))</f>
        <v>99710993.450331494</v>
      </c>
      <c r="B2878">
        <v>206051256.51882917</v>
      </c>
    </row>
    <row r="2879" spans="1:2" x14ac:dyDescent="0.25">
      <c r="A2879">
        <f ca="1">40988.1754918373*(RANDBETWEEN(2890,3282))</f>
        <v>118619779.8733771</v>
      </c>
      <c r="B2879">
        <v>212682891.88397425</v>
      </c>
    </row>
    <row r="2880" spans="1:2" x14ac:dyDescent="0.25">
      <c r="A2880">
        <f ca="1">34195.6015944983*(RANDBETWEEN(2890,3282))</f>
        <v>104159802.45684189</v>
      </c>
      <c r="B2880">
        <v>230676418.94196591</v>
      </c>
    </row>
    <row r="2881" spans="1:2" x14ac:dyDescent="0.25">
      <c r="A2881">
        <f ca="1">32879.6861722954*(RANDBETWEEN(2890,3282))</f>
        <v>99493930.357365847</v>
      </c>
      <c r="B2881">
        <v>258490090.32054141</v>
      </c>
    </row>
    <row r="2882" spans="1:2" x14ac:dyDescent="0.25">
      <c r="A2882">
        <f ca="1">34603.4919396675*(RANDBETWEEN(2890,3282))</f>
        <v>104364131.69003704</v>
      </c>
      <c r="B2882">
        <v>246402702.82072565</v>
      </c>
    </row>
    <row r="2883" spans="1:2" x14ac:dyDescent="0.25">
      <c r="A2883">
        <f ca="1">35677.9232350154*(RANDBETWEEN(2890,3282))</f>
        <v>110280460.71943285</v>
      </c>
      <c r="B2883">
        <v>256824518.87011346</v>
      </c>
    </row>
    <row r="2884" spans="1:2" x14ac:dyDescent="0.25">
      <c r="A2884">
        <f ca="1">37050.5472350754*(RANDBETWEEN(2890,3282))</f>
        <v>120117874.13611454</v>
      </c>
      <c r="B2884">
        <v>249149714.21351761</v>
      </c>
    </row>
    <row r="2885" spans="1:2" x14ac:dyDescent="0.25">
      <c r="A2885">
        <f ca="1">30230.1005768684*(RANDBETWEEN(2890,3282))</f>
        <v>97854835.567322969</v>
      </c>
      <c r="B2885">
        <v>259738127.34246838</v>
      </c>
    </row>
    <row r="2886" spans="1:2" x14ac:dyDescent="0.25">
      <c r="A2886">
        <f ca="1">30418.3060604995*(RANDBETWEEN(2890,3282))</f>
        <v>88912708.614840016</v>
      </c>
      <c r="B2886">
        <v>259561816.26534238</v>
      </c>
    </row>
    <row r="2887" spans="1:2" x14ac:dyDescent="0.25">
      <c r="A2887">
        <f ca="1">40022.0940822467*(RANDBETWEEN(2890,3282))</f>
        <v>118705531.04794356</v>
      </c>
      <c r="B2887">
        <v>207967197.34889773</v>
      </c>
    </row>
    <row r="2888" spans="1:2" x14ac:dyDescent="0.25">
      <c r="A2888">
        <f ca="1">33053.1943684354*(RANDBETWEEN(2890,3282))</f>
        <v>103522604.76193969</v>
      </c>
      <c r="B2888">
        <v>252332632.3784377</v>
      </c>
    </row>
    <row r="2889" spans="1:2" x14ac:dyDescent="0.25">
      <c r="A2889">
        <f ca="1">38253.7877355762*(RANDBETWEEN(2890,3282))</f>
        <v>122297359.39063706</v>
      </c>
      <c r="B2889">
        <v>241802058.81659862</v>
      </c>
    </row>
    <row r="2890" spans="1:2" x14ac:dyDescent="0.25">
      <c r="A2890">
        <f ca="1">39840.0078121183*(RANDBETWEEN(2890,3282))</f>
        <v>122946264.10819699</v>
      </c>
      <c r="B2890">
        <v>229838666.33291233</v>
      </c>
    </row>
    <row r="2891" spans="1:2" x14ac:dyDescent="0.25">
      <c r="A2891">
        <f ca="1">31022.6087124423*(RANDBETWEEN(2890,3282))</f>
        <v>101505975.70711124</v>
      </c>
      <c r="B2891">
        <v>257780740.08498496</v>
      </c>
    </row>
    <row r="2892" spans="1:2" x14ac:dyDescent="0.25">
      <c r="A2892">
        <f ca="1">31602.9360158733*(RANDBETWEEN(2890,3282))</f>
        <v>103689233.06808046</v>
      </c>
      <c r="B2892">
        <v>211544898.25973937</v>
      </c>
    </row>
    <row r="2893" spans="1:2" x14ac:dyDescent="0.25">
      <c r="A2893">
        <f ca="1">35349.7950908051*(RANDBETWEEN(2890,3282))</f>
        <v>113967739.37275559</v>
      </c>
      <c r="B2893">
        <v>244263667.37305689</v>
      </c>
    </row>
    <row r="2894" spans="1:2" x14ac:dyDescent="0.25">
      <c r="A2894">
        <f ca="1">31729.8235479814*(RANDBETWEEN(2890,3282))</f>
        <v>92714544.407201603</v>
      </c>
      <c r="B2894">
        <v>212819197.70614207</v>
      </c>
    </row>
    <row r="2895" spans="1:2" x14ac:dyDescent="0.25">
      <c r="A2895">
        <f ca="1">31744.1333338994*(RANDBETWEEN(2890,3282))</f>
        <v>95740306.135040671</v>
      </c>
      <c r="B2895">
        <v>234426328.10091743</v>
      </c>
    </row>
    <row r="2896" spans="1:2" x14ac:dyDescent="0.25">
      <c r="A2896">
        <f ca="1">31593.2985856011*(RANDBETWEEN(2890,3282))</f>
        <v>94116436.486505553</v>
      </c>
      <c r="B2896">
        <v>233975818.20319206</v>
      </c>
    </row>
    <row r="2897" spans="1:2" x14ac:dyDescent="0.25">
      <c r="A2897">
        <f ca="1">31449.7276436364*(RANDBETWEEN(2890,3282))</f>
        <v>99444038.809178323</v>
      </c>
      <c r="B2897">
        <v>211766729.63468567</v>
      </c>
    </row>
    <row r="2898" spans="1:2" x14ac:dyDescent="0.25">
      <c r="A2898">
        <f ca="1">36160.5275485324*(RANDBETWEEN(2890,3282))</f>
        <v>116726182.92666273</v>
      </c>
      <c r="B2898">
        <v>241168443.19097528</v>
      </c>
    </row>
    <row r="2899" spans="1:2" x14ac:dyDescent="0.25">
      <c r="A2899">
        <f ca="1">40289.4503400724*(RANDBETWEEN(2890,3282))</f>
        <v>129490293.39299281</v>
      </c>
      <c r="B2899">
        <v>230056845.33017126</v>
      </c>
    </row>
    <row r="2900" spans="1:2" x14ac:dyDescent="0.25">
      <c r="A2900">
        <f ca="1">31054.3590136138*(RANDBETWEEN(2890,3282))</f>
        <v>94001544.734208897</v>
      </c>
      <c r="B2900">
        <v>229458503.50748235</v>
      </c>
    </row>
    <row r="2901" spans="1:2" x14ac:dyDescent="0.25">
      <c r="A2901">
        <f ca="1">37683.8540519075*(RANDBETWEEN(2890,3282))</f>
        <v>120588332.96610403</v>
      </c>
      <c r="B2901">
        <v>251084545.22273108</v>
      </c>
    </row>
    <row r="2902" spans="1:2" x14ac:dyDescent="0.25">
      <c r="A2902">
        <f ca="1">40072.491265623*(RANDBETWEEN(2890,3282))</f>
        <v>121459721.02610324</v>
      </c>
      <c r="B2902">
        <v>227605635.76414564</v>
      </c>
    </row>
    <row r="2903" spans="1:2" x14ac:dyDescent="0.25">
      <c r="A2903">
        <f ca="1">41802.6023957924*(RANDBETWEEN(2890,3282))</f>
        <v>135942062.99111676</v>
      </c>
      <c r="B2903">
        <v>222658023.76914227</v>
      </c>
    </row>
    <row r="2904" spans="1:2" x14ac:dyDescent="0.25">
      <c r="A2904">
        <f ca="1">39991.5699335739*(RANDBETWEEN(2890,3282))</f>
        <v>123094052.25554048</v>
      </c>
      <c r="B2904">
        <v>266662551.40462327</v>
      </c>
    </row>
    <row r="2905" spans="1:2" x14ac:dyDescent="0.25">
      <c r="A2905">
        <f ca="1">38173.7456779491*(RANDBETWEEN(2890,3282))</f>
        <v>114597584.52520306</v>
      </c>
      <c r="B2905">
        <v>230354507.40548164</v>
      </c>
    </row>
    <row r="2906" spans="1:2" x14ac:dyDescent="0.25">
      <c r="A2906">
        <f ca="1">34573.9735362195*(RANDBETWEEN(2890,3282))</f>
        <v>100610262.99039881</v>
      </c>
      <c r="B2906">
        <v>254629626.948026</v>
      </c>
    </row>
    <row r="2907" spans="1:2" x14ac:dyDescent="0.25">
      <c r="A2907">
        <f ca="1">32428.5415682973*(RANDBETWEEN(2890,3282))</f>
        <v>103965904.26796122</v>
      </c>
      <c r="B2907">
        <v>211910377.02066344</v>
      </c>
    </row>
    <row r="2908" spans="1:2" x14ac:dyDescent="0.25">
      <c r="A2908">
        <f ca="1">34254.7727168415*(RANDBETWEEN(2890,3282))</f>
        <v>109306979.73944111</v>
      </c>
      <c r="B2908">
        <v>213534356.01886222</v>
      </c>
    </row>
    <row r="2909" spans="1:2" x14ac:dyDescent="0.25">
      <c r="A2909">
        <f ca="1">28055.3409690847*(RANDBETWEEN(2890,3282))</f>
        <v>91151802.808556199</v>
      </c>
      <c r="B2909">
        <v>208968567.73522201</v>
      </c>
    </row>
    <row r="2910" spans="1:2" x14ac:dyDescent="0.25">
      <c r="A2910">
        <f ca="1">33349.2730504185*(RANDBETWEEN(2890,3282))</f>
        <v>103949684.0981546</v>
      </c>
      <c r="B2910">
        <v>214547823.8966127</v>
      </c>
    </row>
    <row r="2911" spans="1:2" x14ac:dyDescent="0.25">
      <c r="A2911">
        <f ca="1">33157.2982360196*(RANDBETWEEN(2890,3282))</f>
        <v>101063445.02338788</v>
      </c>
      <c r="B2911">
        <v>213937519.84687936</v>
      </c>
    </row>
    <row r="2912" spans="1:2" x14ac:dyDescent="0.25">
      <c r="A2912">
        <f ca="1">35360.046550578*(RANDBETWEEN(2890,3282))</f>
        <v>111242706.44811822</v>
      </c>
      <c r="B2912">
        <v>206528242.06587985</v>
      </c>
    </row>
    <row r="2913" spans="1:2" x14ac:dyDescent="0.25">
      <c r="A2913">
        <f ca="1">30297.9351265245*(RANDBETWEEN(2890,3282))</f>
        <v>98498587.096331179</v>
      </c>
      <c r="B2913">
        <v>248499946.82044056</v>
      </c>
    </row>
    <row r="2914" spans="1:2" x14ac:dyDescent="0.25">
      <c r="A2914">
        <f ca="1">39890.019233192*(RANDBETWEEN(2890,3282))</f>
        <v>120467858.08423971</v>
      </c>
      <c r="B2914">
        <v>267723892.48499987</v>
      </c>
    </row>
    <row r="2915" spans="1:2" x14ac:dyDescent="0.25">
      <c r="A2915">
        <f ca="1">34080.5284916888*(RANDBETWEEN(2890,3282))</f>
        <v>106126765.72311921</v>
      </c>
      <c r="B2915">
        <v>254565456.20012039</v>
      </c>
    </row>
    <row r="2916" spans="1:2" x14ac:dyDescent="0.25">
      <c r="A2916">
        <f ca="1">36386.7285188605*(RANDBETWEEN(2890,3282))</f>
        <v>114763741.74848612</v>
      </c>
      <c r="B2916">
        <v>232991818.50714973</v>
      </c>
    </row>
    <row r="2917" spans="1:2" x14ac:dyDescent="0.25">
      <c r="A2917">
        <f ca="1">30566.0484938829*(RANDBETWEEN(2890,3282))</f>
        <v>94540787.991579801</v>
      </c>
      <c r="B2917">
        <v>219580132.39506638</v>
      </c>
    </row>
    <row r="2918" spans="1:2" x14ac:dyDescent="0.25">
      <c r="A2918">
        <f ca="1">28992.7539048576*(RANDBETWEEN(2890,3282))</f>
        <v>94226450.190787435</v>
      </c>
      <c r="B2918">
        <v>227239279.23396713</v>
      </c>
    </row>
    <row r="2919" spans="1:2" x14ac:dyDescent="0.25">
      <c r="A2919">
        <f ca="1">36967.0155932431*(RANDBETWEEN(2890,3282))</f>
        <v>107352213.28277783</v>
      </c>
      <c r="B2919">
        <v>211206968.96348903</v>
      </c>
    </row>
    <row r="2920" spans="1:2" x14ac:dyDescent="0.25">
      <c r="A2920">
        <f ca="1">39452.2883919203*(RANDBETWEEN(2890,3282))</f>
        <v>125063754.20238729</v>
      </c>
      <c r="B2920">
        <v>218782284.13302052</v>
      </c>
    </row>
    <row r="2921" spans="1:2" x14ac:dyDescent="0.25">
      <c r="A2921">
        <f ca="1">37083.6573862912*(RANDBETWEEN(2890,3282))</f>
        <v>111213888.50148721</v>
      </c>
      <c r="B2921">
        <v>251266352.67690167</v>
      </c>
    </row>
    <row r="2922" spans="1:2" x14ac:dyDescent="0.25">
      <c r="A2922">
        <f ca="1">30081.9592126807*(RANDBETWEEN(2890,3282))</f>
        <v>89553992.576150417</v>
      </c>
      <c r="B2922">
        <v>212322837.70357174</v>
      </c>
    </row>
    <row r="2923" spans="1:2" x14ac:dyDescent="0.25">
      <c r="A2923">
        <f ca="1">32043.8866654334*(RANDBETWEEN(2890,3282))</f>
        <v>97445459.349582881</v>
      </c>
      <c r="B2923">
        <v>263186840.57793155</v>
      </c>
    </row>
    <row r="2924" spans="1:2" x14ac:dyDescent="0.25">
      <c r="A2924">
        <f ca="1">29582.416332936*(RANDBETWEEN(2890,3282))</f>
        <v>91675908.215768725</v>
      </c>
      <c r="B2924">
        <v>237529178.27213374</v>
      </c>
    </row>
    <row r="2925" spans="1:2" x14ac:dyDescent="0.25">
      <c r="A2925">
        <f ca="1">39665.0464953057*(RANDBETWEEN(2890,3282))</f>
        <v>118677819.11395468</v>
      </c>
      <c r="B2925">
        <v>205230318.61125582</v>
      </c>
    </row>
    <row r="2926" spans="1:2" x14ac:dyDescent="0.25">
      <c r="A2926">
        <f ca="1">37070.4831257949*(RANDBETWEEN(2890,3282))</f>
        <v>119848871.94569479</v>
      </c>
      <c r="B2926">
        <v>209728941.98173067</v>
      </c>
    </row>
    <row r="2927" spans="1:2" x14ac:dyDescent="0.25">
      <c r="A2927">
        <f ca="1">36568.675958315*(RANDBETWEEN(2890,3282))</f>
        <v>113582307.52652638</v>
      </c>
      <c r="B2927">
        <v>251832690.01442343</v>
      </c>
    </row>
    <row r="2928" spans="1:2" x14ac:dyDescent="0.25">
      <c r="A2928">
        <f ca="1">31080.3110052909*(RANDBETWEEN(2890,3282))</f>
        <v>91780158.398624107</v>
      </c>
      <c r="B2928">
        <v>251803687.68344828</v>
      </c>
    </row>
    <row r="2929" spans="1:2" x14ac:dyDescent="0.25">
      <c r="A2929">
        <f ca="1">33024.1465011019*(RANDBETWEEN(2890,3282))</f>
        <v>105413075.63151732</v>
      </c>
      <c r="B2929">
        <v>244986745.43976235</v>
      </c>
    </row>
    <row r="2930" spans="1:2" x14ac:dyDescent="0.25">
      <c r="A2930">
        <f ca="1">30329.2612345511*(RANDBETWEEN(2890,3282))</f>
        <v>91200088.532295197</v>
      </c>
      <c r="B2930">
        <v>219024132.96088427</v>
      </c>
    </row>
    <row r="2931" spans="1:2" x14ac:dyDescent="0.25">
      <c r="A2931">
        <f ca="1">32049.8920612557*(RANDBETWEEN(2890,3282))</f>
        <v>96181726.075828373</v>
      </c>
      <c r="B2931">
        <v>267280314.97780782</v>
      </c>
    </row>
    <row r="2932" spans="1:2" x14ac:dyDescent="0.25">
      <c r="A2932">
        <f ca="1">37421.3966118923*(RANDBETWEEN(2890,3282))</f>
        <v>115257901.56462814</v>
      </c>
      <c r="B2932">
        <v>266298733.15979487</v>
      </c>
    </row>
    <row r="2933" spans="1:2" x14ac:dyDescent="0.25">
      <c r="A2933">
        <f ca="1">35086.950538276*(RANDBETWEEN(2890,3282))</f>
        <v>108102894.60842839</v>
      </c>
      <c r="B2933">
        <v>206935947.98870352</v>
      </c>
    </row>
    <row r="2934" spans="1:2" x14ac:dyDescent="0.25">
      <c r="A2934">
        <f ca="1">30218.0343524233*(RANDBETWEEN(2890,3282))</f>
        <v>89566253.820582733</v>
      </c>
      <c r="B2934">
        <v>206284933.67116711</v>
      </c>
    </row>
    <row r="2935" spans="1:2" x14ac:dyDescent="0.25">
      <c r="A2935">
        <f ca="1">32626.4484284874*(RANDBETWEEN(2890,3282))</f>
        <v>95725999.689181894</v>
      </c>
      <c r="B2935">
        <v>241123744.72322279</v>
      </c>
    </row>
    <row r="2936" spans="1:2" x14ac:dyDescent="0.25">
      <c r="A2936">
        <f ca="1">31945.7611203818*(RANDBETWEEN(2890,3282))</f>
        <v>97115113.805960819</v>
      </c>
      <c r="B2936">
        <v>244145162.89548805</v>
      </c>
    </row>
    <row r="2937" spans="1:2" x14ac:dyDescent="0.25">
      <c r="A2937">
        <f ca="1">35803.2689099836*(RANDBETWEEN(2890,3282))</f>
        <v>114713673.58758739</v>
      </c>
      <c r="B2937">
        <v>236082495.71240813</v>
      </c>
    </row>
    <row r="2938" spans="1:2" x14ac:dyDescent="0.25">
      <c r="A2938">
        <f ca="1">35939.8614985403*(RANDBETWEEN(2890,3282))</f>
        <v>108933720.2020756</v>
      </c>
      <c r="B2938">
        <v>240453939.93348092</v>
      </c>
    </row>
    <row r="2939" spans="1:2" x14ac:dyDescent="0.25">
      <c r="A2939">
        <f ca="1">34508.9434644499*(RANDBETWEEN(2890,3282))</f>
        <v>102664106.80673842</v>
      </c>
      <c r="B2939">
        <v>210053800.72004583</v>
      </c>
    </row>
    <row r="2940" spans="1:2" x14ac:dyDescent="0.25">
      <c r="A2940">
        <f ca="1">33073.8954899099*(RANDBETWEEN(2890,3282))</f>
        <v>99089390.887770116</v>
      </c>
      <c r="B2940">
        <v>235191601.81879261</v>
      </c>
    </row>
    <row r="2941" spans="1:2" x14ac:dyDescent="0.25">
      <c r="A2941">
        <f ca="1">29124.5052203389*(RANDBETWEEN(2890,3282))</f>
        <v>92382930.558915064</v>
      </c>
      <c r="B2941">
        <v>236384988.68391132</v>
      </c>
    </row>
    <row r="2942" spans="1:2" x14ac:dyDescent="0.25">
      <c r="A2942">
        <f ca="1">43819.9066201228*(RANDBETWEEN(2890,3282))</f>
        <v>134570933.23039716</v>
      </c>
      <c r="B2942">
        <v>267635181.88447306</v>
      </c>
    </row>
    <row r="2943" spans="1:2" x14ac:dyDescent="0.25">
      <c r="A2943">
        <f ca="1">33897.473746634*(RANDBETWEEN(2890,3282))</f>
        <v>103522884.82222015</v>
      </c>
      <c r="B2943">
        <v>247750839.42689812</v>
      </c>
    </row>
    <row r="2944" spans="1:2" x14ac:dyDescent="0.25">
      <c r="A2944">
        <f ca="1">33507.6130136308*(RANDBETWEEN(2890,3282))</f>
        <v>107827498.67786399</v>
      </c>
      <c r="B2944">
        <v>246842917.78441954</v>
      </c>
    </row>
    <row r="2945" spans="1:2" x14ac:dyDescent="0.25">
      <c r="A2945">
        <f ca="1">30416.179335713*(RANDBETWEEN(2890,3282))</f>
        <v>98365923.971695721</v>
      </c>
      <c r="B2945">
        <v>209042176.59299618</v>
      </c>
    </row>
    <row r="2946" spans="1:2" x14ac:dyDescent="0.25">
      <c r="A2946">
        <f ca="1">37458.8082568374*(RANDBETWEEN(2890,3282))</f>
        <v>121666209.21820801</v>
      </c>
      <c r="B2946">
        <v>243619185.09536964</v>
      </c>
    </row>
    <row r="2947" spans="1:2" x14ac:dyDescent="0.25">
      <c r="A2947">
        <f ca="1">31396.0340673704*(RANDBETWEEN(2890,3282))</f>
        <v>98520754.903408393</v>
      </c>
      <c r="B2947">
        <v>204634489.6638101</v>
      </c>
    </row>
    <row r="2948" spans="1:2" x14ac:dyDescent="0.25">
      <c r="A2948">
        <f ca="1">38223.6062771073*(RANDBETWEEN(2890,3282))</f>
        <v>123882707.94410466</v>
      </c>
      <c r="B2948">
        <v>226095845.35581297</v>
      </c>
    </row>
    <row r="2949" spans="1:2" x14ac:dyDescent="0.25">
      <c r="A2949">
        <f ca="1">28099.1048469356*(RANDBETWEEN(2890,3282))</f>
        <v>89804739.090806216</v>
      </c>
      <c r="B2949">
        <v>255514969.29529905</v>
      </c>
    </row>
    <row r="2950" spans="1:2" x14ac:dyDescent="0.25">
      <c r="A2950">
        <f ca="1">34460.0278400901*(RANDBETWEEN(2890,3282))</f>
        <v>107687587.00028171</v>
      </c>
      <c r="B2950">
        <v>213419117.37695009</v>
      </c>
    </row>
    <row r="2951" spans="1:2" x14ac:dyDescent="0.25">
      <c r="A2951">
        <f ca="1">32992.8259760946*(RANDBETWEEN(2890,3282))</f>
        <v>96009123.590435356</v>
      </c>
      <c r="B2951">
        <v>207562238.23933274</v>
      </c>
    </row>
    <row r="2952" spans="1:2" x14ac:dyDescent="0.25">
      <c r="A2952">
        <f ca="1">30493.400646423*(RANDBETWEEN(2890,3282))</f>
        <v>89223690.291433617</v>
      </c>
      <c r="B2952">
        <v>210231204.70313603</v>
      </c>
    </row>
    <row r="2953" spans="1:2" x14ac:dyDescent="0.25">
      <c r="A2953">
        <f ca="1">33881.7213510635*(RANDBETWEEN(2890,3282))</f>
        <v>100730357.57671173</v>
      </c>
      <c r="B2953">
        <v>231635589.3475202</v>
      </c>
    </row>
    <row r="2954" spans="1:2" x14ac:dyDescent="0.25">
      <c r="A2954">
        <f ca="1">40574.2218153011*(RANDBETWEEN(2890,3282))</f>
        <v>124238267.19845212</v>
      </c>
      <c r="B2954">
        <v>242984807.00277844</v>
      </c>
    </row>
    <row r="2955" spans="1:2" x14ac:dyDescent="0.25">
      <c r="A2955">
        <f ca="1">29018.7248516238*(RANDBETWEEN(2890,3282))</f>
        <v>92192488.853608862</v>
      </c>
      <c r="B2955">
        <v>227693801.81471217</v>
      </c>
    </row>
    <row r="2956" spans="1:2" x14ac:dyDescent="0.25">
      <c r="A2956">
        <f ca="1">34436.0377926705*(RANDBETWEEN(2890,3282))</f>
        <v>111159529.99474037</v>
      </c>
      <c r="B2956">
        <v>213080257.19481122</v>
      </c>
    </row>
    <row r="2957" spans="1:2" x14ac:dyDescent="0.25">
      <c r="A2957">
        <f ca="1">31258.8214145167*(RANDBETWEEN(2890,3282))</f>
        <v>94745487.707400009</v>
      </c>
      <c r="B2957">
        <v>211395519.03691131</v>
      </c>
    </row>
    <row r="2958" spans="1:2" x14ac:dyDescent="0.25">
      <c r="A2958">
        <f ca="1">26656.4488723328*(RANDBETWEEN(2890,3282))</f>
        <v>79063027.355339006</v>
      </c>
      <c r="B2958">
        <v>265141578.91076809</v>
      </c>
    </row>
    <row r="2959" spans="1:2" x14ac:dyDescent="0.25">
      <c r="A2959">
        <f ca="1">28825.5465597067*(RANDBETWEEN(2890,3282))</f>
        <v>85381268.909851357</v>
      </c>
      <c r="B2959">
        <v>238231250.12971878</v>
      </c>
    </row>
    <row r="2960" spans="1:2" x14ac:dyDescent="0.25">
      <c r="A2960">
        <f ca="1">30590.4445949428*(RANDBETWEEN(2890,3282))</f>
        <v>90180630.665891483</v>
      </c>
      <c r="B2960">
        <v>258551330.0521448</v>
      </c>
    </row>
    <row r="2961" spans="1:2" x14ac:dyDescent="0.25">
      <c r="A2961">
        <f ca="1">28624.924603861*(RANDBETWEEN(2890,3282))</f>
        <v>89968138.029935271</v>
      </c>
      <c r="B2961">
        <v>228303340.53745902</v>
      </c>
    </row>
    <row r="2962" spans="1:2" x14ac:dyDescent="0.25">
      <c r="A2962">
        <f ca="1">33605.1698270251*(RANDBETWEEN(2890,3282))</f>
        <v>100143406.08453473</v>
      </c>
      <c r="B2962">
        <v>236697489.81707054</v>
      </c>
    </row>
    <row r="2963" spans="1:2" x14ac:dyDescent="0.25">
      <c r="A2963">
        <f ca="1">41105.7661316453*(RANDBETWEEN(2890,3282))</f>
        <v>128044461.50007504</v>
      </c>
      <c r="B2963">
        <v>231244224.65396303</v>
      </c>
    </row>
    <row r="2964" spans="1:2" x14ac:dyDescent="0.25">
      <c r="A2964">
        <f ca="1">30906.3205477921*(RANDBETWEEN(2890,3282))</f>
        <v>92162647.873515949</v>
      </c>
      <c r="B2964">
        <v>265882325.92811629</v>
      </c>
    </row>
    <row r="2965" spans="1:2" x14ac:dyDescent="0.25">
      <c r="A2965">
        <f ca="1">31714.9616383338*(RANDBETWEEN(2890,3282))</f>
        <v>102915050.51639305</v>
      </c>
      <c r="B2965">
        <v>219206569.87290791</v>
      </c>
    </row>
    <row r="2966" spans="1:2" x14ac:dyDescent="0.25">
      <c r="A2966">
        <f ca="1">38619.5038355925*(RANDBETWEEN(2890,3282))</f>
        <v>122964500.21252643</v>
      </c>
      <c r="B2966">
        <v>243628225.52575001</v>
      </c>
    </row>
    <row r="2967" spans="1:2" x14ac:dyDescent="0.25">
      <c r="A2967">
        <f ca="1">33390.1423883374*(RANDBETWEEN(2890,3282))</f>
        <v>101839934.28442921</v>
      </c>
      <c r="B2967">
        <v>234078553.17496508</v>
      </c>
    </row>
    <row r="2968" spans="1:2" x14ac:dyDescent="0.25">
      <c r="A2968">
        <f ca="1">39654.6980599427*(RANDBETWEEN(2890,3282))</f>
        <v>122533017.00522301</v>
      </c>
      <c r="B2968">
        <v>235417353.76779026</v>
      </c>
    </row>
    <row r="2969" spans="1:2" x14ac:dyDescent="0.25">
      <c r="A2969">
        <f ca="1">33262.0345639062*(RANDBETWEEN(2890,3282))</f>
        <v>105041505.15281585</v>
      </c>
      <c r="B2969">
        <v>249755603.47582978</v>
      </c>
    </row>
    <row r="2970" spans="1:2" x14ac:dyDescent="0.25">
      <c r="A2970">
        <f ca="1">29945.0886010878*(RANDBETWEEN(2890,3282))</f>
        <v>95165491.574257076</v>
      </c>
      <c r="B2970">
        <v>232507625.60825205</v>
      </c>
    </row>
    <row r="2971" spans="1:2" x14ac:dyDescent="0.25">
      <c r="A2971">
        <f ca="1">33664.5098547554*(RANDBETWEEN(2890,3282))</f>
        <v>102811413.0964231</v>
      </c>
      <c r="B2971">
        <v>230324284.49079102</v>
      </c>
    </row>
    <row r="2972" spans="1:2" x14ac:dyDescent="0.25">
      <c r="A2972">
        <f ca="1">32779.7185821301*(RANDBETWEEN(2890,3282))</f>
        <v>103485571.56378482</v>
      </c>
      <c r="B2972">
        <v>216190466.82072681</v>
      </c>
    </row>
    <row r="2973" spans="1:2" x14ac:dyDescent="0.25">
      <c r="A2973">
        <f ca="1">34102.3698151667*(RANDBETWEEN(2890,3282))</f>
        <v>103944023.19662823</v>
      </c>
      <c r="B2973">
        <v>256247340.96848303</v>
      </c>
    </row>
    <row r="2974" spans="1:2" x14ac:dyDescent="0.25">
      <c r="A2974">
        <f ca="1">34482.1527757988*(RANDBETWEEN(2890,3282))</f>
        <v>101446493.46639994</v>
      </c>
      <c r="B2974">
        <v>219924834.81326357</v>
      </c>
    </row>
    <row r="2975" spans="1:2" x14ac:dyDescent="0.25">
      <c r="A2975">
        <f ca="1">31371.8779494388*(RANDBETWEEN(2890,3282))</f>
        <v>98884159.296631128</v>
      </c>
      <c r="B2975">
        <v>225735737.01551992</v>
      </c>
    </row>
    <row r="2976" spans="1:2" x14ac:dyDescent="0.25">
      <c r="A2976">
        <f ca="1">39081.2278498881*(RANDBETWEEN(2890,3282))</f>
        <v>118377039.1573111</v>
      </c>
      <c r="B2976">
        <v>249061974.97594735</v>
      </c>
    </row>
    <row r="2977" spans="1:2" x14ac:dyDescent="0.25">
      <c r="A2977">
        <f ca="1">34308.4066522337*(RANDBETWEEN(2890,3282))</f>
        <v>102033201.38374288</v>
      </c>
      <c r="B2977">
        <v>235697239.02101719</v>
      </c>
    </row>
    <row r="2978" spans="1:2" x14ac:dyDescent="0.25">
      <c r="A2978">
        <f ca="1">32543.1389345267*(RANDBETWEEN(2890,3282))</f>
        <v>95253767.661359549</v>
      </c>
      <c r="B2978">
        <v>240210790.12308615</v>
      </c>
    </row>
    <row r="2979" spans="1:2" x14ac:dyDescent="0.25">
      <c r="A2979">
        <f ca="1">31344.3073668977*(RANDBETWEEN(2890,3282))</f>
        <v>93406035.953355223</v>
      </c>
      <c r="B2979">
        <v>208875206.3914614</v>
      </c>
    </row>
    <row r="2980" spans="1:2" x14ac:dyDescent="0.25">
      <c r="A2980">
        <f ca="1">30871.6096640822*(RANDBETWEEN(2890,3282))</f>
        <v>96226807.322944328</v>
      </c>
      <c r="B2980">
        <v>255327670.58033034</v>
      </c>
    </row>
    <row r="2981" spans="1:2" x14ac:dyDescent="0.25">
      <c r="A2981">
        <f ca="1">36336.9527149839*(RANDBETWEEN(2890,3282))</f>
        <v>106031228.02232304</v>
      </c>
      <c r="B2981">
        <v>261853959.8496612</v>
      </c>
    </row>
    <row r="2982" spans="1:2" x14ac:dyDescent="0.25">
      <c r="A2982">
        <f ca="1">33128.4855419931*(RANDBETWEEN(2890,3282))</f>
        <v>105249198.566912</v>
      </c>
      <c r="B2982">
        <v>254596364.95783931</v>
      </c>
    </row>
    <row r="2983" spans="1:2" x14ac:dyDescent="0.25">
      <c r="A2983">
        <f ca="1">32372.8414147915*(RANDBETWEEN(2890,3282))</f>
        <v>97604116.865596354</v>
      </c>
      <c r="B2983">
        <v>204307950.51300579</v>
      </c>
    </row>
    <row r="2984" spans="1:2" x14ac:dyDescent="0.25">
      <c r="A2984">
        <f ca="1">36609.9615425915*(RANDBETWEEN(2890,3282))</f>
        <v>108109216.43527274</v>
      </c>
      <c r="B2984">
        <v>257092401.69846541</v>
      </c>
    </row>
    <row r="2985" spans="1:2" x14ac:dyDescent="0.25">
      <c r="A2985">
        <f ca="1">31475.2096651836*(RANDBETWEEN(2890,3282))</f>
        <v>100815096.55758303</v>
      </c>
      <c r="B2985">
        <v>225731844.82465303</v>
      </c>
    </row>
    <row r="2986" spans="1:2" x14ac:dyDescent="0.25">
      <c r="A2986">
        <f ca="1">30146.7096552507*(RANDBETWEEN(2890,3282))</f>
        <v>98398860.314738154</v>
      </c>
      <c r="B2986">
        <v>251269956.5842723</v>
      </c>
    </row>
    <row r="2987" spans="1:2" x14ac:dyDescent="0.25">
      <c r="A2987">
        <f ca="1">36594.8424055485*(RANDBETWEEN(2890,3282))</f>
        <v>107113103.72104053</v>
      </c>
      <c r="B2987">
        <v>209439844.61685342</v>
      </c>
    </row>
    <row r="2988" spans="1:2" x14ac:dyDescent="0.25">
      <c r="A2988">
        <f ca="1">35288.583009294*(RANDBETWEEN(2890,3282))</f>
        <v>110806150.64918327</v>
      </c>
      <c r="B2988">
        <v>214401173.00077316</v>
      </c>
    </row>
    <row r="2989" spans="1:2" x14ac:dyDescent="0.25">
      <c r="A2989">
        <f ca="1">35209.0740725362*(RANDBETWEEN(2890,3282))</f>
        <v>107493303.14345294</v>
      </c>
      <c r="B2989">
        <v>216038691.87507474</v>
      </c>
    </row>
    <row r="2990" spans="1:2" x14ac:dyDescent="0.25">
      <c r="A2990">
        <f ca="1">34484.2728622876*(RANDBETWEEN(2890,3282))</f>
        <v>102797617.40247938</v>
      </c>
      <c r="B2990">
        <v>238846477.53092861</v>
      </c>
    </row>
    <row r="2991" spans="1:2" x14ac:dyDescent="0.25">
      <c r="A2991">
        <f ca="1">31962.888001173*(RANDBETWEEN(2890,3282))</f>
        <v>103751534.45180771</v>
      </c>
      <c r="B2991">
        <v>215202300.58897665</v>
      </c>
    </row>
    <row r="2992" spans="1:2" x14ac:dyDescent="0.25">
      <c r="A2992">
        <f ca="1">37852.035009654*(RANDBETWEEN(2890,3282))</f>
        <v>120028803.01561283</v>
      </c>
      <c r="B2992">
        <v>263016457.33726504</v>
      </c>
    </row>
    <row r="2993" spans="1:2" x14ac:dyDescent="0.25">
      <c r="A2993">
        <f ca="1">28372.2764187465*(RANDBETWEEN(2890,3282))</f>
        <v>86677304.459270462</v>
      </c>
      <c r="B2993">
        <v>225752121.06672695</v>
      </c>
    </row>
    <row r="2994" spans="1:2" x14ac:dyDescent="0.25">
      <c r="A2994">
        <f ca="1">29575.5591548069*(RANDBETWEEN(2890,3282))</f>
        <v>85916999.344713971</v>
      </c>
      <c r="B2994">
        <v>222515944.03174379</v>
      </c>
    </row>
    <row r="2995" spans="1:2" x14ac:dyDescent="0.25">
      <c r="A2995">
        <f ca="1">40868.206630521*(RANDBETWEEN(2890,3282))</f>
        <v>120929023.41971152</v>
      </c>
      <c r="B2995">
        <v>241040635.50032902</v>
      </c>
    </row>
    <row r="2996" spans="1:2" x14ac:dyDescent="0.25">
      <c r="A2996">
        <f ca="1">32542.3064487256*(RANDBETWEEN(2890,3282))</f>
        <v>99091323.136369556</v>
      </c>
      <c r="B2996">
        <v>234310612.44366094</v>
      </c>
    </row>
    <row r="2997" spans="1:2" x14ac:dyDescent="0.25">
      <c r="A2997">
        <f ca="1">31590.7073091781*(RANDBETWEEN(2890,3282))</f>
        <v>98657778.926563323</v>
      </c>
      <c r="B2997">
        <v>232097616.30456835</v>
      </c>
    </row>
    <row r="2998" spans="1:2" x14ac:dyDescent="0.25">
      <c r="A2998">
        <f ca="1">39383.9298476948*(RANDBETWEEN(2890,3282))</f>
        <v>127013173.75881572</v>
      </c>
      <c r="B2998">
        <v>217458017.20885342</v>
      </c>
    </row>
    <row r="2999" spans="1:2" x14ac:dyDescent="0.25">
      <c r="A2999">
        <f ca="1">36887.7052901308*(RANDBETWEEN(2890,3282))</f>
        <v>118852186.44480152</v>
      </c>
      <c r="B2999">
        <v>243815868.88060597</v>
      </c>
    </row>
    <row r="3000" spans="1:2" x14ac:dyDescent="0.25">
      <c r="A3000">
        <f ca="1">28948.2193429233*(RANDBETWEEN(2890,3282))</f>
        <v>93444852.038956553</v>
      </c>
      <c r="B3000">
        <v>209668553.98052448</v>
      </c>
    </row>
    <row r="3001" spans="1:2" x14ac:dyDescent="0.25">
      <c r="A3001">
        <f ca="1">32579.0848387756*(RANDBETWEEN(2890,3282))</f>
        <v>97834991.770843118</v>
      </c>
      <c r="B3001">
        <v>242118035.68035269</v>
      </c>
    </row>
    <row r="3002" spans="1:2" x14ac:dyDescent="0.25">
      <c r="A3002">
        <f ca="1">32038.2439738607*(RANDBETWEEN(2890,3282))</f>
        <v>100119512.41831461</v>
      </c>
      <c r="B3002">
        <v>259315264.93573928</v>
      </c>
    </row>
    <row r="3003" spans="1:2" x14ac:dyDescent="0.25">
      <c r="A3003">
        <f ca="1">32934.3315224005*(RANDBETWEEN(2890,3282))</f>
        <v>100252105.15418725</v>
      </c>
      <c r="B3003">
        <v>245939578.95283946</v>
      </c>
    </row>
    <row r="3004" spans="1:2" x14ac:dyDescent="0.25">
      <c r="A3004">
        <f ca="1">33337.2913890687*(RANDBETWEEN(2890,3282))</f>
        <v>107012705.3589104</v>
      </c>
      <c r="B3004">
        <v>228435287.03299975</v>
      </c>
    </row>
    <row r="3005" spans="1:2" x14ac:dyDescent="0.25">
      <c r="A3005">
        <f ca="1">30712.3241887861*(RANDBETWEEN(2890,3282))</f>
        <v>98678697.618569806</v>
      </c>
      <c r="B3005">
        <v>206189163.2477026</v>
      </c>
    </row>
    <row r="3006" spans="1:2" x14ac:dyDescent="0.25">
      <c r="A3006">
        <f ca="1">32941.250512525*(RANDBETWEEN(2890,3282))</f>
        <v>101162580.32396431</v>
      </c>
      <c r="B3006">
        <v>229364347.07371044</v>
      </c>
    </row>
    <row r="3007" spans="1:2" x14ac:dyDescent="0.25">
      <c r="A3007">
        <f ca="1">36489.2742859703*(RANDBETWEEN(2890,3282))</f>
        <v>113773557.22365542</v>
      </c>
      <c r="B3007">
        <v>255399000.11232376</v>
      </c>
    </row>
    <row r="3008" spans="1:2" x14ac:dyDescent="0.25">
      <c r="A3008">
        <f ca="1">40458.9857891106*(RANDBETWEEN(2890,3282))</f>
        <v>118908959.23419614</v>
      </c>
      <c r="B3008">
        <v>258069154.23301142</v>
      </c>
    </row>
    <row r="3009" spans="1:2" x14ac:dyDescent="0.25">
      <c r="A3009">
        <f ca="1">34189.3605431783*(RANDBETWEEN(2890,3282))</f>
        <v>107354592.10557991</v>
      </c>
      <c r="B3009">
        <v>226221440.24213523</v>
      </c>
    </row>
    <row r="3010" spans="1:2" x14ac:dyDescent="0.25">
      <c r="A3010">
        <f ca="1">31883.9600305267*(RANDBETWEEN(2890,3282))</f>
        <v>104388085.13994434</v>
      </c>
      <c r="B3010">
        <v>214097241.31353462</v>
      </c>
    </row>
    <row r="3011" spans="1:2" x14ac:dyDescent="0.25">
      <c r="A3011">
        <f ca="1">38518.4458991912*(RANDBETWEEN(2890,3282))</f>
        <v>126263465.65754882</v>
      </c>
      <c r="B3011">
        <v>223628767.19348887</v>
      </c>
    </row>
    <row r="3012" spans="1:2" x14ac:dyDescent="0.25">
      <c r="A3012">
        <f ca="1">29067.5898913621*(RANDBETWEEN(2890,3282))</f>
        <v>92493071.03431417</v>
      </c>
      <c r="B3012">
        <v>258868054.8339152</v>
      </c>
    </row>
    <row r="3013" spans="1:2" x14ac:dyDescent="0.25">
      <c r="A3013">
        <f ca="1">32108.2712287975*(RANDBETWEEN(2890,3282))</f>
        <v>95104699.379698172</v>
      </c>
      <c r="B3013">
        <v>230926465.34709978</v>
      </c>
    </row>
    <row r="3014" spans="1:2" x14ac:dyDescent="0.25">
      <c r="A3014">
        <f ca="1">37605.4183738268*(RANDBETWEEN(2890,3282))</f>
        <v>120525365.88811505</v>
      </c>
      <c r="B3014">
        <v>248495279.37983501</v>
      </c>
    </row>
    <row r="3015" spans="1:2" x14ac:dyDescent="0.25">
      <c r="A3015">
        <f ca="1">36032.1146321174*(RANDBETWEEN(2890,3282))</f>
        <v>109645724.82553336</v>
      </c>
      <c r="B3015">
        <v>224448159.02297363</v>
      </c>
    </row>
    <row r="3016" spans="1:2" x14ac:dyDescent="0.25">
      <c r="A3016">
        <f ca="1">29289.2098427463*(RANDBETWEEN(2890,3282))</f>
        <v>89712849.748331904</v>
      </c>
      <c r="B3016">
        <v>222026392.96605244</v>
      </c>
    </row>
    <row r="3017" spans="1:2" x14ac:dyDescent="0.25">
      <c r="A3017">
        <f ca="1">30887.2285163423*(RANDBETWEEN(2890,3282))</f>
        <v>97418318.740543485</v>
      </c>
      <c r="B3017">
        <v>253907425.39652205</v>
      </c>
    </row>
    <row r="3018" spans="1:2" x14ac:dyDescent="0.25">
      <c r="A3018">
        <f ca="1">35866.5114350691*(RANDBETWEEN(2890,3282))</f>
        <v>108280998.02247366</v>
      </c>
      <c r="B3018">
        <v>256504682.75262761</v>
      </c>
    </row>
    <row r="3019" spans="1:2" x14ac:dyDescent="0.25">
      <c r="A3019">
        <f ca="1">30172.1442853822*(RANDBETWEEN(2890,3282))</f>
        <v>91059531.453283459</v>
      </c>
      <c r="B3019">
        <v>259621209.57985538</v>
      </c>
    </row>
    <row r="3020" spans="1:2" x14ac:dyDescent="0.25">
      <c r="A3020">
        <f ca="1">31471.4222604948*(RANDBETWEEN(2890,3282))</f>
        <v>97089337.673626468</v>
      </c>
      <c r="B3020">
        <v>220952415.21429461</v>
      </c>
    </row>
    <row r="3021" spans="1:2" x14ac:dyDescent="0.25">
      <c r="A3021">
        <f ca="1">31032.8508848751*(RANDBETWEEN(2890,3282))</f>
        <v>97660381.734702051</v>
      </c>
      <c r="B3021">
        <v>243995953.3769697</v>
      </c>
    </row>
    <row r="3022" spans="1:2" x14ac:dyDescent="0.25">
      <c r="A3022">
        <f ca="1">30280.0656249451*(RANDBETWEEN(2890,3282))</f>
        <v>88720592.281089038</v>
      </c>
      <c r="B3022">
        <v>255050782.0652878</v>
      </c>
    </row>
    <row r="3023" spans="1:2" x14ac:dyDescent="0.25">
      <c r="A3023">
        <f ca="1">34633.2286085355*(RANDBETWEEN(2890,3282))</f>
        <v>107605441.28671971</v>
      </c>
      <c r="B3023">
        <v>235545843.37384638</v>
      </c>
    </row>
    <row r="3024" spans="1:2" x14ac:dyDescent="0.25">
      <c r="A3024">
        <f ca="1">27864.4766341853*(RANDBETWEEN(2890,3282))</f>
        <v>86491335.472511306</v>
      </c>
      <c r="B3024">
        <v>203838256.26643279</v>
      </c>
    </row>
    <row r="3025" spans="1:2" x14ac:dyDescent="0.25">
      <c r="A3025">
        <f ca="1">31456.3782001958*(RANDBETWEEN(2890,3282))</f>
        <v>93299617.741780743</v>
      </c>
      <c r="B3025">
        <v>214430579.62343782</v>
      </c>
    </row>
    <row r="3026" spans="1:2" x14ac:dyDescent="0.25">
      <c r="A3026">
        <f ca="1">32936.7730271676*(RANDBETWEEN(2890,3282))</f>
        <v>96504744.969600976</v>
      </c>
      <c r="B3026">
        <v>249756688.86789834</v>
      </c>
    </row>
    <row r="3027" spans="1:2" x14ac:dyDescent="0.25">
      <c r="A3027">
        <f ca="1">39084.4136889406*(RANDBETWEEN(2890,3282))</f>
        <v>117644085.20371118</v>
      </c>
      <c r="B3027">
        <v>224686630.39287025</v>
      </c>
    </row>
    <row r="3028" spans="1:2" x14ac:dyDescent="0.25">
      <c r="A3028">
        <f ca="1">32463.0684727832*(RANDBETWEEN(2890,3282))</f>
        <v>101057532.15577415</v>
      </c>
      <c r="B3028">
        <v>244927992.81789505</v>
      </c>
    </row>
    <row r="3029" spans="1:2" x14ac:dyDescent="0.25">
      <c r="A3029">
        <f ca="1">32319.8868828156*(RANDBETWEEN(2890,3282))</f>
        <v>99286692.50400956</v>
      </c>
      <c r="B3029">
        <v>265391578.7818895</v>
      </c>
    </row>
    <row r="3030" spans="1:2" x14ac:dyDescent="0.25">
      <c r="A3030">
        <f ca="1">34674.2522671914*(RANDBETWEEN(2890,3282))</f>
        <v>100520657.32258776</v>
      </c>
      <c r="B3030">
        <v>261407636.40570581</v>
      </c>
    </row>
    <row r="3031" spans="1:2" x14ac:dyDescent="0.25">
      <c r="A3031">
        <f ca="1">31209.2288599214*(RANDBETWEEN(2890,3282))</f>
        <v>92379317.425367296</v>
      </c>
      <c r="B3031">
        <v>253359099.88630971</v>
      </c>
    </row>
    <row r="3032" spans="1:2" x14ac:dyDescent="0.25">
      <c r="A3032">
        <f ca="1">39663.1777581649*(RANDBETWEEN(2890,3282))</f>
        <v>119703470.47414164</v>
      </c>
      <c r="B3032">
        <v>219794127.43639636</v>
      </c>
    </row>
    <row r="3033" spans="1:2" x14ac:dyDescent="0.25">
      <c r="A3033">
        <f ca="1">33878.0039882949*(RANDBETWEEN(2890,3282))</f>
        <v>102582596.07655689</v>
      </c>
      <c r="B3033">
        <v>204518816.93742508</v>
      </c>
    </row>
    <row r="3034" spans="1:2" x14ac:dyDescent="0.25">
      <c r="A3034">
        <f ca="1">32827.1017754743*(RANDBETWEEN(2890,3282))</f>
        <v>106950697.58449516</v>
      </c>
      <c r="B3034">
        <v>209558883.41039443</v>
      </c>
    </row>
    <row r="3035" spans="1:2" x14ac:dyDescent="0.25">
      <c r="A3035">
        <f ca="1">36238.788071231*(RANDBETWEEN(2890,3282))</f>
        <v>110165915.73654211</v>
      </c>
      <c r="B3035">
        <v>203931639.30134535</v>
      </c>
    </row>
    <row r="3036" spans="1:2" x14ac:dyDescent="0.25">
      <c r="A3036">
        <f ca="1">38975.8813216269*(RANDBETWEEN(2890,3282))</f>
        <v>123319688.50162767</v>
      </c>
      <c r="B3036">
        <v>253214208.01638728</v>
      </c>
    </row>
    <row r="3037" spans="1:2" x14ac:dyDescent="0.25">
      <c r="A3037">
        <f ca="1">38284.1565843734*(RANDBETWEEN(2890,3282))</f>
        <v>111062338.25126737</v>
      </c>
      <c r="B3037">
        <v>250747367.70050275</v>
      </c>
    </row>
    <row r="3038" spans="1:2" x14ac:dyDescent="0.25">
      <c r="A3038">
        <f ca="1">33366.9854032278*(RANDBETWEEN(2890,3282))</f>
        <v>103370920.77919962</v>
      </c>
      <c r="B3038">
        <v>215378321.52600148</v>
      </c>
    </row>
    <row r="3039" spans="1:2" x14ac:dyDescent="0.25">
      <c r="A3039">
        <f ca="1">37724.0731099948*(RANDBETWEEN(2890,3282))</f>
        <v>122980478.33858289</v>
      </c>
      <c r="B3039">
        <v>214818025.4755742</v>
      </c>
    </row>
    <row r="3040" spans="1:2" x14ac:dyDescent="0.25">
      <c r="A3040">
        <f ca="1">34093.4847061605*(RANDBETWEEN(2890,3282))</f>
        <v>105860270.01262845</v>
      </c>
      <c r="B3040">
        <v>236866557.58547965</v>
      </c>
    </row>
    <row r="3041" spans="1:2" x14ac:dyDescent="0.25">
      <c r="A3041">
        <f ca="1">38048.3282732718*(RANDBETWEEN(2890,3282))</f>
        <v>117417141.05131672</v>
      </c>
      <c r="B3041">
        <v>263422882.39194569</v>
      </c>
    </row>
    <row r="3042" spans="1:2" x14ac:dyDescent="0.25">
      <c r="A3042">
        <f ca="1">40191.6614932634*(RANDBETWEEN(2890,3282))</f>
        <v>130301366.56115982</v>
      </c>
      <c r="B3042">
        <v>225448407.37090862</v>
      </c>
    </row>
    <row r="3043" spans="1:2" x14ac:dyDescent="0.25">
      <c r="A3043">
        <f ca="1">42530.3208957291*(RANDBETWEEN(2890,3282))</f>
        <v>131078449.0006371</v>
      </c>
      <c r="B3043">
        <v>241968058.14779037</v>
      </c>
    </row>
    <row r="3044" spans="1:2" x14ac:dyDescent="0.25">
      <c r="A3044">
        <f ca="1">31235.1767063791*(RANDBETWEEN(2890,3282))</f>
        <v>90738188.33203125</v>
      </c>
      <c r="B3044">
        <v>207707117.56713322</v>
      </c>
    </row>
    <row r="3045" spans="1:2" x14ac:dyDescent="0.25">
      <c r="A3045">
        <f ca="1">35471.7319007853*(RANDBETWEEN(2890,3282))</f>
        <v>110458973.13904536</v>
      </c>
      <c r="B3045">
        <v>215326153.94600546</v>
      </c>
    </row>
    <row r="3046" spans="1:2" x14ac:dyDescent="0.25">
      <c r="A3046">
        <f ca="1">30382.7190555221*(RANDBETWEEN(2890,3282))</f>
        <v>96373984.844115987</v>
      </c>
      <c r="B3046">
        <v>215665277.93590564</v>
      </c>
    </row>
    <row r="3047" spans="1:2" x14ac:dyDescent="0.25">
      <c r="A3047">
        <f ca="1">31255.5244034737*(RANDBETWEEN(2890,3282))</f>
        <v>95548138.101418987</v>
      </c>
      <c r="B3047">
        <v>264183251.40800521</v>
      </c>
    </row>
    <row r="3048" spans="1:2" x14ac:dyDescent="0.25">
      <c r="A3048">
        <f ca="1">33175.7576916054*(RANDBETWEEN(2890,3282))</f>
        <v>107124521.58619398</v>
      </c>
      <c r="B3048">
        <v>223368911.73916611</v>
      </c>
    </row>
    <row r="3049" spans="1:2" x14ac:dyDescent="0.25">
      <c r="A3049">
        <f ca="1">27785.8231525879*(RANDBETWEEN(2890,3282))</f>
        <v>84635617.322782621</v>
      </c>
      <c r="B3049">
        <v>219358385.72073975</v>
      </c>
    </row>
    <row r="3050" spans="1:2" x14ac:dyDescent="0.25">
      <c r="A3050">
        <f ca="1">31660.4788550576*(RANDBETWEEN(2890,3282))</f>
        <v>97830879.662127838</v>
      </c>
      <c r="B3050">
        <v>203694038.4029457</v>
      </c>
    </row>
    <row r="3051" spans="1:2" x14ac:dyDescent="0.25">
      <c r="A3051">
        <f ca="1">39567.6547358134*(RANDBETWEEN(2890,3282))</f>
        <v>123411515.12100208</v>
      </c>
      <c r="B3051">
        <v>219895217.61043513</v>
      </c>
    </row>
    <row r="3052" spans="1:2" x14ac:dyDescent="0.25">
      <c r="A3052">
        <f ca="1">31872.7420139542*(RANDBETWEEN(2890,3282))</f>
        <v>102184010.89673701</v>
      </c>
      <c r="B3052">
        <v>225840125.6559391</v>
      </c>
    </row>
    <row r="3053" spans="1:2" x14ac:dyDescent="0.25">
      <c r="A3053">
        <f ca="1">33033.696010782*(RANDBETWEEN(2890,3282))</f>
        <v>105047153.31428668</v>
      </c>
      <c r="B3053">
        <v>222081898.36119226</v>
      </c>
    </row>
    <row r="3054" spans="1:2" x14ac:dyDescent="0.25">
      <c r="A3054">
        <f ca="1">33352.0432943968*(RANDBETWEEN(2890,3282))</f>
        <v>102991109.69309744</v>
      </c>
      <c r="B3054">
        <v>229162671.00481898</v>
      </c>
    </row>
    <row r="3055" spans="1:2" x14ac:dyDescent="0.25">
      <c r="A3055">
        <f ca="1">29943.0631779515*(RANDBETWEEN(2890,3282))</f>
        <v>89080612.954405621</v>
      </c>
      <c r="B3055">
        <v>209149806.53710347</v>
      </c>
    </row>
    <row r="3056" spans="1:2" x14ac:dyDescent="0.25">
      <c r="A3056">
        <f ca="1">36385.8635585928*(RANDBETWEEN(2890,3282))</f>
        <v>118981773.83659841</v>
      </c>
      <c r="B3056">
        <v>234645125.03353471</v>
      </c>
    </row>
    <row r="3057" spans="1:2" x14ac:dyDescent="0.25">
      <c r="A3057">
        <f ca="1">36495.71704645*(RANDBETWEEN(2890,3282))</f>
        <v>107990826.74044564</v>
      </c>
      <c r="B3057">
        <v>256890802.78940079</v>
      </c>
    </row>
    <row r="3058" spans="1:2" x14ac:dyDescent="0.25">
      <c r="A3058">
        <f ca="1">32006.2390134081*(RANDBETWEEN(2890,3282))</f>
        <v>104852439.00792509</v>
      </c>
      <c r="B3058">
        <v>227537086.89244625</v>
      </c>
    </row>
    <row r="3059" spans="1:2" x14ac:dyDescent="0.25">
      <c r="A3059">
        <f ca="1">32965.6988421905*(RANDBETWEEN(2890,3282))</f>
        <v>98138885.45320116</v>
      </c>
      <c r="B3059">
        <v>232418041.80938867</v>
      </c>
    </row>
    <row r="3060" spans="1:2" x14ac:dyDescent="0.25">
      <c r="A3060">
        <f ca="1">38451.2912646091*(RANDBETWEEN(2890,3282))</f>
        <v>115353873.7938274</v>
      </c>
      <c r="B3060">
        <v>256597424.31741649</v>
      </c>
    </row>
    <row r="3061" spans="1:2" x14ac:dyDescent="0.25">
      <c r="A3061">
        <f ca="1">36252.7370806981*(RANDBETWEEN(2890,3282))</f>
        <v>111332155.57482393</v>
      </c>
      <c r="B3061">
        <v>259929588.59789762</v>
      </c>
    </row>
    <row r="3062" spans="1:2" x14ac:dyDescent="0.25">
      <c r="A3062">
        <f ca="1">39797.4016855231*(RANDBETWEEN(2890,3282))</f>
        <v>120307545.29533641</v>
      </c>
      <c r="B3062">
        <v>253030755.80073416</v>
      </c>
    </row>
    <row r="3063" spans="1:2" x14ac:dyDescent="0.25">
      <c r="A3063">
        <f ca="1">37166.0825884568*(RANDBETWEEN(2890,3282))</f>
        <v>107521476.92840558</v>
      </c>
      <c r="B3063">
        <v>231866304.31501371</v>
      </c>
    </row>
    <row r="3064" spans="1:2" x14ac:dyDescent="0.25">
      <c r="A3064">
        <f ca="1">32802.3232041264*(RANDBETWEEN(2890,3282))</f>
        <v>107591620.10953464</v>
      </c>
      <c r="B3064">
        <v>243235044.6826629</v>
      </c>
    </row>
    <row r="3065" spans="1:2" x14ac:dyDescent="0.25">
      <c r="A3065">
        <f ca="1">29558.1848108346*(RANDBETWEEN(2890,3282))</f>
        <v>93847236.774399787</v>
      </c>
      <c r="B3065">
        <v>210978608.53297883</v>
      </c>
    </row>
    <row r="3066" spans="1:2" x14ac:dyDescent="0.25">
      <c r="A3066">
        <f ca="1">30207.1391252922*(RANDBETWEEN(2890,3282))</f>
        <v>96028495.279304057</v>
      </c>
      <c r="B3066">
        <v>244934938.45340598</v>
      </c>
    </row>
    <row r="3067" spans="1:2" x14ac:dyDescent="0.25">
      <c r="A3067">
        <f ca="1">35977.1748148513*(RANDBETWEEN(2890,3282))</f>
        <v>104153921.08899452</v>
      </c>
      <c r="B3067">
        <v>259649971.54565156</v>
      </c>
    </row>
    <row r="3068" spans="1:2" x14ac:dyDescent="0.25">
      <c r="A3068">
        <f ca="1">30509.0327982511*(RANDBETWEEN(2890,3282))</f>
        <v>90337246.115621462</v>
      </c>
      <c r="B3068">
        <v>206650549.30100986</v>
      </c>
    </row>
    <row r="3069" spans="1:2" x14ac:dyDescent="0.25">
      <c r="A3069">
        <f ca="1">38555.1674654039*(RANDBETWEEN(2890,3282))</f>
        <v>124995852.92283942</v>
      </c>
      <c r="B3069">
        <v>209496139.44891024</v>
      </c>
    </row>
    <row r="3070" spans="1:2" x14ac:dyDescent="0.25">
      <c r="A3070">
        <f ca="1">31171.7105715177*(RANDBETWEEN(2890,3282))</f>
        <v>98876665.93285425</v>
      </c>
      <c r="B3070">
        <v>251314322.77735925</v>
      </c>
    </row>
    <row r="3071" spans="1:2" x14ac:dyDescent="0.25">
      <c r="A3071">
        <f ca="1">30988.7830615251*(RANDBETWEEN(2890,3282))</f>
        <v>101426286.96037169</v>
      </c>
      <c r="B3071">
        <v>216610386.06846726</v>
      </c>
    </row>
    <row r="3072" spans="1:2" x14ac:dyDescent="0.25">
      <c r="A3072">
        <f ca="1">35015.6127550205*(RANDBETWEEN(2890,3282))</f>
        <v>112049960.81606564</v>
      </c>
      <c r="B3072">
        <v>226255258.00113386</v>
      </c>
    </row>
    <row r="3073" spans="1:2" x14ac:dyDescent="0.25">
      <c r="A3073">
        <f ca="1">32096.6865809569*(RANDBETWEEN(2890,3282))</f>
        <v>104410521.44785264</v>
      </c>
      <c r="B3073">
        <v>264949907.00060323</v>
      </c>
    </row>
    <row r="3074" spans="1:2" x14ac:dyDescent="0.25">
      <c r="A3074">
        <f ca="1">32928.5547613768*(RANDBETWEEN(2890,3282))</f>
        <v>100135735.02934687</v>
      </c>
      <c r="B3074">
        <v>247798963.72006053</v>
      </c>
    </row>
    <row r="3075" spans="1:2" x14ac:dyDescent="0.25">
      <c r="A3075">
        <f ca="1">40088.6697268422*(RANDBETWEEN(2890,3282))</f>
        <v>115896344.18030091</v>
      </c>
      <c r="B3075">
        <v>244642054.68955141</v>
      </c>
    </row>
    <row r="3076" spans="1:2" x14ac:dyDescent="0.25">
      <c r="A3076">
        <f ca="1">41373.7883129599*(RANDBETWEEN(2890,3282))</f>
        <v>134588933.38205847</v>
      </c>
      <c r="B3076">
        <v>209285387.652118</v>
      </c>
    </row>
    <row r="3077" spans="1:2" x14ac:dyDescent="0.25">
      <c r="A3077">
        <f ca="1">38477.5409106805*(RANDBETWEEN(2890,3282))</f>
        <v>112123554.21372306</v>
      </c>
      <c r="B3077">
        <v>216993924.66663352</v>
      </c>
    </row>
    <row r="3078" spans="1:2" x14ac:dyDescent="0.25">
      <c r="A3078">
        <f ca="1">30780.3434962051*(RANDBETWEEN(2890,3282))</f>
        <v>93541463.884967357</v>
      </c>
      <c r="B3078">
        <v>234309228.84676325</v>
      </c>
    </row>
    <row r="3079" spans="1:2" x14ac:dyDescent="0.25">
      <c r="A3079">
        <f ca="1">33041.2893580283*(RANDBETWEEN(2890,3282))</f>
        <v>101238510.59299883</v>
      </c>
      <c r="B3079">
        <v>244021723.93584728</v>
      </c>
    </row>
    <row r="3080" spans="1:2" x14ac:dyDescent="0.25">
      <c r="A3080">
        <f ca="1">34502.7141777481*(RANDBETWEEN(2890,3282))</f>
        <v>102059028.53777888</v>
      </c>
      <c r="B3080">
        <v>225640741.81804007</v>
      </c>
    </row>
    <row r="3081" spans="1:2" x14ac:dyDescent="0.25">
      <c r="A3081">
        <f ca="1">32336.2949482159*(RANDBETWEEN(2890,3282))</f>
        <v>97364584.089078173</v>
      </c>
      <c r="B3081">
        <v>248591427.13596004</v>
      </c>
    </row>
    <row r="3082" spans="1:2" x14ac:dyDescent="0.25">
      <c r="A3082">
        <f ca="1">39766.8240707577*(RANDBETWEEN(2890,3282))</f>
        <v>120374176.46218358</v>
      </c>
      <c r="B3082">
        <v>212707667.43108004</v>
      </c>
    </row>
    <row r="3083" spans="1:2" x14ac:dyDescent="0.25">
      <c r="A3083">
        <f ca="1">32773.3583054721*(RANDBETWEEN(2890,3282))</f>
        <v>98483941.707943901</v>
      </c>
      <c r="B3083">
        <v>258258125.73219025</v>
      </c>
    </row>
    <row r="3084" spans="1:2" x14ac:dyDescent="0.25">
      <c r="A3084">
        <f ca="1">32439.1556618973*(RANDBETWEEN(2890,3282))</f>
        <v>94852091.155387789</v>
      </c>
      <c r="B3084">
        <v>253202616.51429737</v>
      </c>
    </row>
    <row r="3085" spans="1:2" x14ac:dyDescent="0.25">
      <c r="A3085">
        <f ca="1">39304.4762052676*(RANDBETWEEN(2890,3282))</f>
        <v>125813628.33306147</v>
      </c>
      <c r="B3085">
        <v>225781200.03502306</v>
      </c>
    </row>
    <row r="3086" spans="1:2" x14ac:dyDescent="0.25">
      <c r="A3086">
        <f ca="1">32485.3715268345*(RANDBETWEEN(2890,3282))</f>
        <v>98625587.9554694</v>
      </c>
      <c r="B3086">
        <v>210804102.99523094</v>
      </c>
    </row>
    <row r="3087" spans="1:2" x14ac:dyDescent="0.25">
      <c r="A3087">
        <f ca="1">29764.5146641871*(RANDBETWEEN(2890,3282))</f>
        <v>87924376.318008557</v>
      </c>
      <c r="B3087">
        <v>261427605.12527382</v>
      </c>
    </row>
    <row r="3088" spans="1:2" x14ac:dyDescent="0.25">
      <c r="A3088">
        <f ca="1">33239.6514035896*(RANDBETWEEN(2890,3282))</f>
        <v>96760625.235849395</v>
      </c>
      <c r="B3088">
        <v>242797508.28347185</v>
      </c>
    </row>
    <row r="3089" spans="1:2" x14ac:dyDescent="0.25">
      <c r="A3089">
        <f ca="1">39344.8996480964*(RANDBETWEEN(2890,3282))</f>
        <v>128146338.15385009</v>
      </c>
      <c r="B3089">
        <v>205841501.10391581</v>
      </c>
    </row>
    <row r="3090" spans="1:2" x14ac:dyDescent="0.25">
      <c r="A3090">
        <f ca="1">32155.2447777773*(RANDBETWEEN(2890,3282))</f>
        <v>95533232.234776497</v>
      </c>
      <c r="B3090">
        <v>237862595.86068133</v>
      </c>
    </row>
    <row r="3091" spans="1:2" x14ac:dyDescent="0.25">
      <c r="A3091">
        <f ca="1">40055.0139196286*(RANDBETWEEN(2890,3282))</f>
        <v>124851478.38748224</v>
      </c>
      <c r="B3091">
        <v>258294256.72119373</v>
      </c>
    </row>
    <row r="3092" spans="1:2" x14ac:dyDescent="0.25">
      <c r="A3092">
        <f ca="1">33602.0878509542*(RANDBETWEEN(2890,3282))</f>
        <v>101243090.69492497</v>
      </c>
      <c r="B3092">
        <v>220635955.19767314</v>
      </c>
    </row>
    <row r="3093" spans="1:2" x14ac:dyDescent="0.25">
      <c r="A3093">
        <f ca="1">38437.7266143967*(RANDBETWEEN(2890,3282))</f>
        <v>120963525.65550637</v>
      </c>
      <c r="B3093">
        <v>246517714.1837332</v>
      </c>
    </row>
    <row r="3094" spans="1:2" x14ac:dyDescent="0.25">
      <c r="A3094">
        <f ca="1">31395.5833088815*(RANDBETWEEN(2890,3282))</f>
        <v>97797242.007165954</v>
      </c>
      <c r="B3094">
        <v>248975331.08847004</v>
      </c>
    </row>
    <row r="3095" spans="1:2" x14ac:dyDescent="0.25">
      <c r="A3095">
        <f ca="1">29389.1093515602*(RANDBETWEEN(2890,3282))</f>
        <v>94544764.783969179</v>
      </c>
      <c r="B3095">
        <v>205429492.00141007</v>
      </c>
    </row>
    <row r="3096" spans="1:2" x14ac:dyDescent="0.25">
      <c r="A3096">
        <f ca="1">31799.6115366472*(RANDBETWEEN(2890,3282))</f>
        <v>93808854.033109188</v>
      </c>
      <c r="B3096">
        <v>248899204.67421669</v>
      </c>
    </row>
    <row r="3097" spans="1:2" x14ac:dyDescent="0.25">
      <c r="A3097">
        <f ca="1">30944.5629726982*(RANDBETWEEN(2890,3282))</f>
        <v>96454202.785900176</v>
      </c>
      <c r="B3097">
        <v>241890676.75941899</v>
      </c>
    </row>
    <row r="3098" spans="1:2" x14ac:dyDescent="0.25">
      <c r="A3098">
        <f ca="1">31499.4431925117*(RANDBETWEEN(2890,3282))</f>
        <v>97333279.46486102</v>
      </c>
      <c r="B3098">
        <v>233263430.36547679</v>
      </c>
    </row>
    <row r="3099" spans="1:2" x14ac:dyDescent="0.25">
      <c r="A3099">
        <f ca="1">32042.9756478483*(RANDBETWEEN(2890,3282))</f>
        <v>100422685.68035661</v>
      </c>
      <c r="B3099">
        <v>252969227.64124709</v>
      </c>
    </row>
    <row r="3100" spans="1:2" x14ac:dyDescent="0.25">
      <c r="A3100">
        <f ca="1">34563.671488498*(RANDBETWEEN(2890,3282))</f>
        <v>111260458.52147518</v>
      </c>
      <c r="B3100">
        <v>240929942.02787298</v>
      </c>
    </row>
    <row r="3101" spans="1:2" x14ac:dyDescent="0.25">
      <c r="A3101">
        <f ca="1">31670.6619353044*(RANDBETWEEN(2890,3282))</f>
        <v>93491794.033018515</v>
      </c>
      <c r="B3101">
        <v>223368271.44975102</v>
      </c>
    </row>
    <row r="3102" spans="1:2" x14ac:dyDescent="0.25">
      <c r="A3102">
        <f ca="1">29052.2485326924*(RANDBETWEEN(2890,3282))</f>
        <v>89132298.498300359</v>
      </c>
      <c r="B3102">
        <v>239715147.44154429</v>
      </c>
    </row>
    <row r="3103" spans="1:2" x14ac:dyDescent="0.25">
      <c r="A3103">
        <f ca="1">33564.5643489048*(RANDBETWEEN(2890,3282))</f>
        <v>100123095.45278314</v>
      </c>
      <c r="B3103">
        <v>208483657.44799757</v>
      </c>
    </row>
    <row r="3104" spans="1:2" x14ac:dyDescent="0.25">
      <c r="A3104">
        <f ca="1">34861.0846456875*(RANDBETWEEN(2890,3282))</f>
        <v>113403108.35242133</v>
      </c>
      <c r="B3104">
        <v>264246861.48064739</v>
      </c>
    </row>
    <row r="3105" spans="1:2" x14ac:dyDescent="0.25">
      <c r="A3105">
        <f ca="1">32296.2792048835*(RANDBETWEEN(2890,3282))</f>
        <v>103541871.13085663</v>
      </c>
      <c r="B3105">
        <v>216746446.02797249</v>
      </c>
    </row>
    <row r="3106" spans="1:2" x14ac:dyDescent="0.25">
      <c r="A3106">
        <f ca="1">30703.0558594029*(RANDBETWEEN(2890,3282))</f>
        <v>94381193.71180445</v>
      </c>
      <c r="B3106">
        <v>266176675.54183492</v>
      </c>
    </row>
    <row r="3107" spans="1:2" x14ac:dyDescent="0.25">
      <c r="A3107">
        <f ca="1">31422.1276973649*(RANDBETWEEN(2890,3282))</f>
        <v>90872793.300779298</v>
      </c>
      <c r="B3107">
        <v>248702293.35093901</v>
      </c>
    </row>
    <row r="3108" spans="1:2" x14ac:dyDescent="0.25">
      <c r="A3108">
        <f ca="1">39545.836586613*(RANDBETWEEN(2890,3282))</f>
        <v>122513001.74532707</v>
      </c>
      <c r="B3108">
        <v>213935967.44722545</v>
      </c>
    </row>
    <row r="3109" spans="1:2" x14ac:dyDescent="0.25">
      <c r="A3109">
        <f ca="1">34372.6181487751*(RANDBETWEEN(2890,3282))</f>
        <v>100505535.46701838</v>
      </c>
      <c r="B3109">
        <v>232849402.22355181</v>
      </c>
    </row>
    <row r="3110" spans="1:2" x14ac:dyDescent="0.25">
      <c r="A3110">
        <f ca="1">36788.8790919534*(RANDBETWEEN(2890,3282))</f>
        <v>120520367.9052393</v>
      </c>
      <c r="B3110">
        <v>226288682.22389784</v>
      </c>
    </row>
    <row r="3111" spans="1:2" x14ac:dyDescent="0.25">
      <c r="A3111">
        <f ca="1">31585.5660025839*(RANDBETWEEN(2890,3282))</f>
        <v>95419994.893805951</v>
      </c>
      <c r="B3111">
        <v>231613393.90847039</v>
      </c>
    </row>
    <row r="3112" spans="1:2" x14ac:dyDescent="0.25">
      <c r="A3112">
        <f ca="1">31163.8990619497*(RANDBETWEEN(2890,3282))</f>
        <v>100877541.26353106</v>
      </c>
      <c r="B3112">
        <v>246129905.61424917</v>
      </c>
    </row>
    <row r="3113" spans="1:2" x14ac:dyDescent="0.25">
      <c r="A3113">
        <f ca="1">31384.6720735196*(RANDBETWEEN(2890,3282))</f>
        <v>101341106.12539494</v>
      </c>
      <c r="B3113">
        <v>261227808.32406923</v>
      </c>
    </row>
    <row r="3114" spans="1:2" x14ac:dyDescent="0.25">
      <c r="A3114">
        <f ca="1">35795.3844051074*(RANDBETWEEN(2890,3282))</f>
        <v>109748648.58605944</v>
      </c>
      <c r="B3114">
        <v>252262171.2567316</v>
      </c>
    </row>
    <row r="3115" spans="1:2" x14ac:dyDescent="0.25">
      <c r="A3115">
        <f ca="1">31885.4052502753*(RANDBETWEEN(2890,3282))</f>
        <v>92435789.820548207</v>
      </c>
      <c r="B3115">
        <v>251550438.43629095</v>
      </c>
    </row>
    <row r="3116" spans="1:2" x14ac:dyDescent="0.25">
      <c r="A3116">
        <f ca="1">30600.1959631896*(RANDBETWEEN(2890,3282))</f>
        <v>96115215.520378545</v>
      </c>
      <c r="B3116">
        <v>234160488.40798652</v>
      </c>
    </row>
    <row r="3117" spans="1:2" x14ac:dyDescent="0.25">
      <c r="A3117">
        <f ca="1">31766.1924857089*(RANDBETWEEN(2890,3282))</f>
        <v>99841142.982582986</v>
      </c>
      <c r="B3117">
        <v>214792566.22890133</v>
      </c>
    </row>
    <row r="3118" spans="1:2" x14ac:dyDescent="0.25">
      <c r="A3118">
        <f ca="1">31628.4362916578*(RANDBETWEEN(2890,3282))</f>
        <v>95454620.728223145</v>
      </c>
      <c r="B3118">
        <v>251000470.13342357</v>
      </c>
    </row>
    <row r="3119" spans="1:2" x14ac:dyDescent="0.25">
      <c r="A3119">
        <f ca="1">34213.5275466788*(RANDBETWEEN(2890,3282))</f>
        <v>104145977.85209037</v>
      </c>
      <c r="B3119">
        <v>255440924.5787544</v>
      </c>
    </row>
    <row r="3120" spans="1:2" x14ac:dyDescent="0.25">
      <c r="A3120">
        <f ca="1">32457.7101996488*(RANDBETWEEN(2890,3282))</f>
        <v>104383996.00207068</v>
      </c>
      <c r="B3120">
        <v>255761454.19953144</v>
      </c>
    </row>
    <row r="3121" spans="1:2" x14ac:dyDescent="0.25">
      <c r="A3121">
        <f ca="1">30615.5781935067*(RANDBETWEEN(2890,3282))</f>
        <v>97265691.92077066</v>
      </c>
      <c r="B3121">
        <v>228124969.57433337</v>
      </c>
    </row>
    <row r="3122" spans="1:2" x14ac:dyDescent="0.25">
      <c r="A3122">
        <f ca="1">31762.7071240959*(RANDBETWEEN(2890,3282))</f>
        <v>93414121.65196605</v>
      </c>
      <c r="B3122">
        <v>263839259.58553064</v>
      </c>
    </row>
    <row r="3123" spans="1:2" x14ac:dyDescent="0.25">
      <c r="A3123">
        <f ca="1">31560.5626156296*(RANDBETWEEN(2890,3282))</f>
        <v>95028854.035660878</v>
      </c>
      <c r="B3123">
        <v>243417587.52133426</v>
      </c>
    </row>
    <row r="3124" spans="1:2" x14ac:dyDescent="0.25">
      <c r="A3124">
        <f ca="1">32808.821005378*(RANDBETWEEN(2890,3282))</f>
        <v>96392316.1138006</v>
      </c>
      <c r="B3124">
        <v>212721725.3114866</v>
      </c>
    </row>
    <row r="3125" spans="1:2" x14ac:dyDescent="0.25">
      <c r="A3125">
        <f ca="1">33112.714801813*(RANDBETWEEN(2890,3282))</f>
        <v>96457338.217681274</v>
      </c>
      <c r="B3125">
        <v>266779336.79870686</v>
      </c>
    </row>
    <row r="3126" spans="1:2" x14ac:dyDescent="0.25">
      <c r="A3126">
        <f ca="1">32806.2190135534*(RANDBETWEEN(2890,3282))</f>
        <v>99041975.201917589</v>
      </c>
      <c r="B3126">
        <v>229946620.15617687</v>
      </c>
    </row>
    <row r="3127" spans="1:2" x14ac:dyDescent="0.25">
      <c r="A3127">
        <f ca="1">41086.3950424807*(RANDBETWEEN(2890,3282))</f>
        <v>120876174.21497829</v>
      </c>
      <c r="B3127">
        <v>257077694.58701783</v>
      </c>
    </row>
    <row r="3128" spans="1:2" x14ac:dyDescent="0.25">
      <c r="A3128">
        <f ca="1">32257.4885616482*(RANDBETWEEN(2890,3282))</f>
        <v>97095040.570561215</v>
      </c>
      <c r="B3128">
        <v>252817939.86696759</v>
      </c>
    </row>
    <row r="3129" spans="1:2" x14ac:dyDescent="0.25">
      <c r="A3129">
        <f ca="1">29243.9224714143*(RANDBETWEEN(2890,3282))</f>
        <v>85450741.461472616</v>
      </c>
      <c r="B3129">
        <v>251295801.05741513</v>
      </c>
    </row>
    <row r="3130" spans="1:2" x14ac:dyDescent="0.25">
      <c r="A3130">
        <f ca="1">29585.4144967578*(RANDBETWEEN(2890,3282))</f>
        <v>87484070.666912764</v>
      </c>
      <c r="B3130">
        <v>216381829.23646587</v>
      </c>
    </row>
    <row r="3131" spans="1:2" x14ac:dyDescent="0.25">
      <c r="A3131">
        <f ca="1">30941.3040469459*(RANDBETWEEN(2890,3282))</f>
        <v>92266968.667992696</v>
      </c>
      <c r="B3131">
        <v>233339439.83712739</v>
      </c>
    </row>
    <row r="3132" spans="1:2" x14ac:dyDescent="0.25">
      <c r="A3132">
        <f ca="1">37205.6589116819*(RANDBETWEEN(2890,3282))</f>
        <v>109310225.88252135</v>
      </c>
      <c r="B3132">
        <v>205463469.37328434</v>
      </c>
    </row>
    <row r="3133" spans="1:2" x14ac:dyDescent="0.25">
      <c r="A3133">
        <f ca="1">34550.1768954856*(RANDBETWEEN(2890,3282))</f>
        <v>113117279.15581976</v>
      </c>
      <c r="B3133">
        <v>240627714.62396252</v>
      </c>
    </row>
    <row r="3134" spans="1:2" x14ac:dyDescent="0.25">
      <c r="A3134">
        <f ca="1">30203.1540941308*(RANDBETWEEN(2890,3282))</f>
        <v>95441966.937453419</v>
      </c>
      <c r="B3134">
        <v>204971930.8237938</v>
      </c>
    </row>
    <row r="3135" spans="1:2" x14ac:dyDescent="0.25">
      <c r="A3135">
        <f ca="1">39860.697727952*(RANDBETWEEN(2890,3282))</f>
        <v>121774431.55889349</v>
      </c>
      <c r="B3135">
        <v>263098091.41610587</v>
      </c>
    </row>
    <row r="3136" spans="1:2" x14ac:dyDescent="0.25">
      <c r="A3136">
        <f ca="1">32985.3140424136*(RANDBETWEEN(2890,3282))</f>
        <v>98527133.044689447</v>
      </c>
      <c r="B3136">
        <v>253167552.73633164</v>
      </c>
    </row>
    <row r="3137" spans="1:2" x14ac:dyDescent="0.25">
      <c r="A3137">
        <f ca="1">37002.9140086275*(RANDBETWEEN(2890,3282))</f>
        <v>115523097.53493492</v>
      </c>
      <c r="B3137">
        <v>233082961.49289954</v>
      </c>
    </row>
    <row r="3138" spans="1:2" x14ac:dyDescent="0.25">
      <c r="A3138">
        <f ca="1">30039.4246526666*(RANDBETWEEN(2890,3282))</f>
        <v>90869259.574316397</v>
      </c>
      <c r="B3138">
        <v>203936539.24512273</v>
      </c>
    </row>
    <row r="3139" spans="1:2" x14ac:dyDescent="0.25">
      <c r="A3139">
        <f ca="1">29607.9243744832*(RANDBETWEEN(2890,3282))</f>
        <v>89563971.232811689</v>
      </c>
      <c r="B3139">
        <v>259661578.54107335</v>
      </c>
    </row>
    <row r="3140" spans="1:2" x14ac:dyDescent="0.25">
      <c r="A3140">
        <f ca="1">36518.9133053564*(RANDBETWEEN(2890,3282))</f>
        <v>112843442.11355139</v>
      </c>
      <c r="B3140">
        <v>212637802.86768445</v>
      </c>
    </row>
    <row r="3141" spans="1:2" x14ac:dyDescent="0.25">
      <c r="A3141">
        <f ca="1">29987.2963754231*(RANDBETWEEN(2890,3282))</f>
        <v>95269640.584719121</v>
      </c>
      <c r="B3141">
        <v>218983130.64722508</v>
      </c>
    </row>
    <row r="3142" spans="1:2" x14ac:dyDescent="0.25">
      <c r="A3142">
        <f ca="1">33749.5858414125*(RANDBETWEEN(2890,3282))</f>
        <v>103239983.08888099</v>
      </c>
      <c r="B3142">
        <v>236315793.78402439</v>
      </c>
    </row>
    <row r="3143" spans="1:2" x14ac:dyDescent="0.25">
      <c r="A3143">
        <f ca="1">33760.8602570344*(RANDBETWEEN(2890,3282))</f>
        <v>97974016.465913847</v>
      </c>
      <c r="B3143">
        <v>259188779.89146751</v>
      </c>
    </row>
    <row r="3144" spans="1:2" x14ac:dyDescent="0.25">
      <c r="A3144">
        <f ca="1">28583.0827577982*(RANDBETWEEN(2890,3282))</f>
        <v>82805190.749341324</v>
      </c>
      <c r="B3144">
        <v>231344090.05721629</v>
      </c>
    </row>
    <row r="3145" spans="1:2" x14ac:dyDescent="0.25">
      <c r="A3145">
        <f ca="1">37601.0980432076*(RANDBETWEEN(2890,3282))</f>
        <v>123294000.48367758</v>
      </c>
      <c r="B3145">
        <v>228374555.27705565</v>
      </c>
    </row>
    <row r="3146" spans="1:2" x14ac:dyDescent="0.25">
      <c r="A3146">
        <f ca="1">36751.6375504868*(RANDBETWEEN(2890,3282))</f>
        <v>111614723.24082845</v>
      </c>
      <c r="B3146">
        <v>265201424.28916603</v>
      </c>
    </row>
    <row r="3147" spans="1:2" x14ac:dyDescent="0.25">
      <c r="A3147">
        <f ca="1">33470.3547224252*(RANDBETWEEN(2890,3282))</f>
        <v>106067554.11536549</v>
      </c>
      <c r="B3147">
        <v>264503942.99705505</v>
      </c>
    </row>
    <row r="3148" spans="1:2" x14ac:dyDescent="0.25">
      <c r="A3148">
        <f ca="1">34397.351594692*(RANDBETWEEN(2890,3282))</f>
        <v>112513737.06623749</v>
      </c>
      <c r="B3148">
        <v>262852641.92831305</v>
      </c>
    </row>
    <row r="3149" spans="1:2" x14ac:dyDescent="0.25">
      <c r="A3149">
        <f ca="1">35542.182795771*(RANDBETWEEN(2890,3282))</f>
        <v>112953056.92496039</v>
      </c>
      <c r="B3149">
        <v>243888210.66083473</v>
      </c>
    </row>
    <row r="3150" spans="1:2" x14ac:dyDescent="0.25">
      <c r="A3150">
        <f ca="1">32578.9675603869*(RANDBETWEEN(2890,3282))</f>
        <v>102232800.20449412</v>
      </c>
      <c r="B3150">
        <v>233582281.44142765</v>
      </c>
    </row>
    <row r="3151" spans="1:2" x14ac:dyDescent="0.25">
      <c r="A3151">
        <f ca="1">32961.6456565519*(RANDBETWEEN(2890,3282))</f>
        <v>96149120.380162016</v>
      </c>
      <c r="B3151">
        <v>247189247.9751074</v>
      </c>
    </row>
    <row r="3152" spans="1:2" x14ac:dyDescent="0.25">
      <c r="A3152">
        <f ca="1">35195.958425106*(RANDBETWEEN(2890,3282))</f>
        <v>114809216.38269563</v>
      </c>
      <c r="B3152">
        <v>250585663.57386664</v>
      </c>
    </row>
    <row r="3153" spans="1:2" x14ac:dyDescent="0.25">
      <c r="A3153">
        <f ca="1">36288.4654070969*(RANDBETWEEN(2890,3282))</f>
        <v>115324743.06375405</v>
      </c>
      <c r="B3153">
        <v>266213444.91392308</v>
      </c>
    </row>
    <row r="3154" spans="1:2" x14ac:dyDescent="0.25">
      <c r="A3154">
        <f ca="1">41604.2770925656*(RANDBETWEEN(2890,3282))</f>
        <v>126893045.13232513</v>
      </c>
      <c r="B3154">
        <v>233559636.14283136</v>
      </c>
    </row>
    <row r="3155" spans="1:2" x14ac:dyDescent="0.25">
      <c r="A3155">
        <f ca="1">31457.5345266128*(RANDBETWEEN(2890,3282))</f>
        <v>102362817.34959818</v>
      </c>
      <c r="B3155">
        <v>256929694.01007506</v>
      </c>
    </row>
    <row r="3156" spans="1:2" x14ac:dyDescent="0.25">
      <c r="A3156">
        <f ca="1">30781.8907840202*(RANDBETWEEN(2890,3282))</f>
        <v>95916371.683006987</v>
      </c>
      <c r="B3156">
        <v>262801203.9774189</v>
      </c>
    </row>
    <row r="3157" spans="1:2" x14ac:dyDescent="0.25">
      <c r="A3157">
        <f ca="1">38873.9670378004*(RANDBETWEEN(2890,3282))</f>
        <v>116699649.04747689</v>
      </c>
      <c r="B3157">
        <v>233304053.10250166</v>
      </c>
    </row>
    <row r="3158" spans="1:2" x14ac:dyDescent="0.25">
      <c r="A3158">
        <f ca="1">31222.3536584978*(RANDBETWEEN(2890,3282))</f>
        <v>96383405.743782774</v>
      </c>
      <c r="B3158">
        <v>244711396.80503637</v>
      </c>
    </row>
    <row r="3159" spans="1:2" x14ac:dyDescent="0.25">
      <c r="A3159">
        <f ca="1">30093.6725248711*(RANDBETWEEN(2890,3282))</f>
        <v>90581954.299861997</v>
      </c>
      <c r="B3159">
        <v>256249188.01112825</v>
      </c>
    </row>
    <row r="3160" spans="1:2" x14ac:dyDescent="0.25">
      <c r="A3160">
        <f ca="1">37511.4642453929*(RANDBETWEEN(2890,3282))</f>
        <v>116323050.62496351</v>
      </c>
      <c r="B3160">
        <v>239222750.06417704</v>
      </c>
    </row>
    <row r="3161" spans="1:2" x14ac:dyDescent="0.25">
      <c r="A3161">
        <f ca="1">31560.4836192503*(RANDBETWEEN(2890,3282))</f>
        <v>91272918.626871973</v>
      </c>
      <c r="B3161">
        <v>237840690.48699254</v>
      </c>
    </row>
    <row r="3162" spans="1:2" x14ac:dyDescent="0.25">
      <c r="A3162">
        <f ca="1">33988.9721642364*(RANDBETWEEN(2890,3282))</f>
        <v>108458810.17607859</v>
      </c>
      <c r="B3162">
        <v>259414438.2539781</v>
      </c>
    </row>
    <row r="3163" spans="1:2" x14ac:dyDescent="0.25">
      <c r="A3163">
        <f ca="1">29809.59424483*(RANDBETWEEN(2890,3282))</f>
        <v>90800024.069752201</v>
      </c>
      <c r="B3163">
        <v>211378704.98184174</v>
      </c>
    </row>
    <row r="3164" spans="1:2" x14ac:dyDescent="0.25">
      <c r="A3164">
        <f ca="1">31386.4283105176*(RANDBETWEEN(2890,3282))</f>
        <v>102382529.14890835</v>
      </c>
      <c r="B3164">
        <v>267533036.56479603</v>
      </c>
    </row>
    <row r="3165" spans="1:2" x14ac:dyDescent="0.25">
      <c r="A3165">
        <f ca="1">32186.4120275785*(RANDBETWEEN(2890,3282))</f>
        <v>97557014.855590478</v>
      </c>
      <c r="B3165">
        <v>245097468.33846071</v>
      </c>
    </row>
    <row r="3166" spans="1:2" x14ac:dyDescent="0.25">
      <c r="A3166">
        <f ca="1">31047.661693591*(RANDBETWEEN(2890,3282))</f>
        <v>95223178.414243743</v>
      </c>
      <c r="B3166">
        <v>262705064.29120338</v>
      </c>
    </row>
    <row r="3167" spans="1:2" x14ac:dyDescent="0.25">
      <c r="A3167">
        <f ca="1">32111.7629626083*(RANDBETWEEN(2890,3282))</f>
        <v>101633729.77665521</v>
      </c>
      <c r="B3167">
        <v>267051022.00141963</v>
      </c>
    </row>
    <row r="3168" spans="1:2" x14ac:dyDescent="0.25">
      <c r="A3168">
        <f ca="1">38272.0248678189*(RANDBETWEEN(2890,3282))</f>
        <v>119638349.73680195</v>
      </c>
      <c r="B3168">
        <v>230262931.17586941</v>
      </c>
    </row>
    <row r="3169" spans="1:2" x14ac:dyDescent="0.25">
      <c r="A3169">
        <f ca="1">29173.7321014898*(RANDBETWEEN(2890,3282))</f>
        <v>89505010.087370798</v>
      </c>
      <c r="B3169">
        <v>253466375.06629825</v>
      </c>
    </row>
    <row r="3170" spans="1:2" x14ac:dyDescent="0.25">
      <c r="A3170">
        <f ca="1">31306.5932241339*(RANDBETWEEN(2890,3282))</f>
        <v>95203349.994591147</v>
      </c>
      <c r="B3170">
        <v>228088897.80844474</v>
      </c>
    </row>
    <row r="3171" spans="1:2" x14ac:dyDescent="0.25">
      <c r="A3171">
        <f ca="1">28228.6570830099*(RANDBETWEEN(2890,3282))</f>
        <v>91122105.063956097</v>
      </c>
      <c r="B3171">
        <v>231668030.30119085</v>
      </c>
    </row>
    <row r="3172" spans="1:2" x14ac:dyDescent="0.25">
      <c r="A3172">
        <f ca="1">30496.6414616643*(RANDBETWEEN(2890,3282))</f>
        <v>90026085.594832882</v>
      </c>
      <c r="B3172">
        <v>235552815.06467986</v>
      </c>
    </row>
    <row r="3173" spans="1:2" x14ac:dyDescent="0.25">
      <c r="A3173">
        <f ca="1">31818.3848160591*(RANDBETWEEN(2890,3282))</f>
        <v>97936988.46382986</v>
      </c>
      <c r="B3173">
        <v>253405000.19877312</v>
      </c>
    </row>
    <row r="3174" spans="1:2" x14ac:dyDescent="0.25">
      <c r="A3174">
        <f ca="1">29788.3537605204*(RANDBETWEEN(2890,3282))</f>
        <v>96275959.354002073</v>
      </c>
      <c r="B3174">
        <v>252267453.96265393</v>
      </c>
    </row>
    <row r="3175" spans="1:2" x14ac:dyDescent="0.25">
      <c r="A3175">
        <f ca="1">32193.0767602912*(RANDBETWEEN(2890,3282))</f>
        <v>98703973.347052664</v>
      </c>
      <c r="B3175">
        <v>233711657.79687387</v>
      </c>
    </row>
    <row r="3176" spans="1:2" x14ac:dyDescent="0.25">
      <c r="A3176">
        <f ca="1">33258.2257619988*(RANDBETWEEN(2890,3282))</f>
        <v>106359805.98687221</v>
      </c>
      <c r="B3176">
        <v>225586927.89662126</v>
      </c>
    </row>
    <row r="3177" spans="1:2" x14ac:dyDescent="0.25">
      <c r="A3177">
        <f ca="1">36423.3204095451*(RANDBETWEEN(2890,3282))</f>
        <v>105773322.46931899</v>
      </c>
      <c r="B3177">
        <v>258690806.7767593</v>
      </c>
    </row>
    <row r="3178" spans="1:2" x14ac:dyDescent="0.25">
      <c r="A3178">
        <f ca="1">31277.0464304456*(RANDBETWEEN(2890,3282))</f>
        <v>99554838.788108423</v>
      </c>
      <c r="B3178">
        <v>231264689.29389563</v>
      </c>
    </row>
    <row r="3179" spans="1:2" x14ac:dyDescent="0.25">
      <c r="A3179">
        <f ca="1">41236.9060692353*(RANDBETWEEN(2890,3282))</f>
        <v>126267406.38399856</v>
      </c>
      <c r="B3179">
        <v>205243138.68039033</v>
      </c>
    </row>
    <row r="3180" spans="1:2" x14ac:dyDescent="0.25">
      <c r="A3180">
        <f ca="1">28872.0864974544*(RANDBETWEEN(2890,3282))</f>
        <v>94151874.0681988</v>
      </c>
      <c r="B3180">
        <v>215432294.90365526</v>
      </c>
    </row>
    <row r="3181" spans="1:2" x14ac:dyDescent="0.25">
      <c r="A3181">
        <f ca="1">27798.8215014455*(RANDBETWEEN(2890,3282))</f>
        <v>83090677.467820674</v>
      </c>
      <c r="B3181">
        <v>253440171.2065776</v>
      </c>
    </row>
    <row r="3182" spans="1:2" x14ac:dyDescent="0.25">
      <c r="A3182">
        <f ca="1">35276.9592207726*(RANDBETWEEN(2890,3282))</f>
        <v>109746620.13582343</v>
      </c>
      <c r="B3182">
        <v>255748640.97007585</v>
      </c>
    </row>
    <row r="3183" spans="1:2" x14ac:dyDescent="0.25">
      <c r="A3183">
        <f ca="1">31103.5444592333*(RANDBETWEEN(2890,3282))</f>
        <v>101801901.01507056</v>
      </c>
      <c r="B3183">
        <v>233912551.15252417</v>
      </c>
    </row>
    <row r="3184" spans="1:2" x14ac:dyDescent="0.25">
      <c r="A3184">
        <f ca="1">32855.0352509165*(RANDBETWEEN(2890,3282))</f>
        <v>98236555.400240451</v>
      </c>
      <c r="B3184">
        <v>257893354.62881696</v>
      </c>
    </row>
    <row r="3185" spans="1:2" x14ac:dyDescent="0.25">
      <c r="A3185">
        <f ca="1">38009.6399761316*(RANDBETWEEN(2890,3282))</f>
        <v>111558293.32994618</v>
      </c>
      <c r="B3185">
        <v>223632352.83380094</v>
      </c>
    </row>
    <row r="3186" spans="1:2" x14ac:dyDescent="0.25">
      <c r="A3186">
        <f ca="1">31552.0529605357*(RANDBETWEEN(2890,3282))</f>
        <v>94877023.252330944</v>
      </c>
      <c r="B3186">
        <v>205872136.29561925</v>
      </c>
    </row>
    <row r="3187" spans="1:2" x14ac:dyDescent="0.25">
      <c r="A3187">
        <f ca="1">37590.8741896841*(RANDBETWEEN(2890,3282))</f>
        <v>110855487.98537855</v>
      </c>
      <c r="B3187">
        <v>215158074.96221963</v>
      </c>
    </row>
    <row r="3188" spans="1:2" x14ac:dyDescent="0.25">
      <c r="A3188">
        <f ca="1">39709.9179700271*(RANDBETWEEN(2890,3282))</f>
        <v>127587966.43769695</v>
      </c>
      <c r="B3188">
        <v>259815610.96797228</v>
      </c>
    </row>
    <row r="3189" spans="1:2" x14ac:dyDescent="0.25">
      <c r="A3189">
        <f ca="1">29739.8423534187*(RANDBETWEEN(2890,3282))</f>
        <v>95524373.639180943</v>
      </c>
      <c r="B3189">
        <v>238684523.96466294</v>
      </c>
    </row>
    <row r="3190" spans="1:2" x14ac:dyDescent="0.25">
      <c r="A3190">
        <f ca="1">37041.0086491138*(RANDBETWEEN(2890,3282))</f>
        <v>110345164.76571016</v>
      </c>
      <c r="B3190">
        <v>230210047.67136359</v>
      </c>
    </row>
    <row r="3191" spans="1:2" x14ac:dyDescent="0.25">
      <c r="A3191">
        <f ca="1">31793.1637124891*(RANDBETWEEN(2890,3282))</f>
        <v>102278607.66307755</v>
      </c>
      <c r="B3191">
        <v>231170817.2098524</v>
      </c>
    </row>
    <row r="3192" spans="1:2" x14ac:dyDescent="0.25">
      <c r="A3192">
        <f ca="1">31309.7466572554*(RANDBETWEEN(2890,3282))</f>
        <v>98093436.277181074</v>
      </c>
      <c r="B3192">
        <v>245707436.95821768</v>
      </c>
    </row>
    <row r="3193" spans="1:2" x14ac:dyDescent="0.25">
      <c r="A3193">
        <f ca="1">37117.0404806519*(RANDBETWEEN(2890,3282))</f>
        <v>110274727.2680168</v>
      </c>
      <c r="B3193">
        <v>216186972.95254058</v>
      </c>
    </row>
    <row r="3194" spans="1:2" x14ac:dyDescent="0.25">
      <c r="A3194">
        <f ca="1">30754.9994840817*(RANDBETWEEN(2890,3282))</f>
        <v>94387093.416646585</v>
      </c>
      <c r="B3194">
        <v>204613570.12120146</v>
      </c>
    </row>
    <row r="3195" spans="1:2" x14ac:dyDescent="0.25">
      <c r="A3195">
        <f ca="1">34097.336180083*(RANDBETWEEN(2890,3282))</f>
        <v>110338979.8787486</v>
      </c>
      <c r="B3195">
        <v>234074011.61783889</v>
      </c>
    </row>
    <row r="3196" spans="1:2" x14ac:dyDescent="0.25">
      <c r="A3196">
        <f ca="1">32976.4626853952*(RANDBETWEEN(2890,3282))</f>
        <v>107635174.20513014</v>
      </c>
      <c r="B3196">
        <v>218814834.28882048</v>
      </c>
    </row>
    <row r="3197" spans="1:2" x14ac:dyDescent="0.25">
      <c r="A3197">
        <f ca="1">31157.2365802641*(RANDBETWEEN(2890,3282))</f>
        <v>101385647.83217944</v>
      </c>
      <c r="B3197">
        <v>231027815.39084303</v>
      </c>
    </row>
    <row r="3198" spans="1:2" x14ac:dyDescent="0.25">
      <c r="A3198">
        <f ca="1">29504.1393221348*(RANDBETWEEN(2890,3282))</f>
        <v>92790518.168114007</v>
      </c>
      <c r="B3198">
        <v>236782703.18614453</v>
      </c>
    </row>
    <row r="3199" spans="1:2" x14ac:dyDescent="0.25">
      <c r="A3199">
        <f ca="1">32928.4703093032*(RANDBETWEEN(2890,3282))</f>
        <v>103329539.83059347</v>
      </c>
      <c r="B3199">
        <v>205215975.79497069</v>
      </c>
    </row>
    <row r="3200" spans="1:2" x14ac:dyDescent="0.25">
      <c r="A3200">
        <f ca="1">28991.0830369716*(RANDBETWEEN(2890,3282))</f>
        <v>89756393.082464159</v>
      </c>
      <c r="B3200">
        <v>233560376.67994463</v>
      </c>
    </row>
    <row r="3201" spans="1:2" x14ac:dyDescent="0.25">
      <c r="A3201">
        <f ca="1">28610.4264525803*(RANDBETWEEN(2890,3282))</f>
        <v>88434828.164925799</v>
      </c>
      <c r="B3201">
        <v>245644333.06360611</v>
      </c>
    </row>
    <row r="3202" spans="1:2" x14ac:dyDescent="0.25">
      <c r="A3202">
        <f ca="1">31801.1620395922*(RANDBETWEEN(2890,3282))</f>
        <v>99569438.34596321</v>
      </c>
      <c r="B3202">
        <v>223212268.02778226</v>
      </c>
    </row>
    <row r="3203" spans="1:2" x14ac:dyDescent="0.25">
      <c r="A3203">
        <f ca="1">30347.5640621057*(RANDBETWEEN(2890,3282))</f>
        <v>96171430.512813106</v>
      </c>
      <c r="B3203">
        <v>209243300.40239909</v>
      </c>
    </row>
    <row r="3204" spans="1:2" x14ac:dyDescent="0.25">
      <c r="A3204">
        <f ca="1">30839.1117629036*(RANDBETWEEN(2890,3282))</f>
        <v>94213486.435670465</v>
      </c>
      <c r="B3204">
        <v>208495068.38749394</v>
      </c>
    </row>
    <row r="3205" spans="1:2" x14ac:dyDescent="0.25">
      <c r="A3205">
        <f ca="1">31646.2703823808*(RANDBETWEEN(2890,3282))</f>
        <v>98609778.51149857</v>
      </c>
      <c r="B3205">
        <v>237128643.17120713</v>
      </c>
    </row>
    <row r="3206" spans="1:2" x14ac:dyDescent="0.25">
      <c r="A3206">
        <f ca="1">40332.5403979192*(RANDBETWEEN(2890,3282))</f>
        <v>126079521.28389548</v>
      </c>
      <c r="B3206">
        <v>247348017.06585789</v>
      </c>
    </row>
    <row r="3207" spans="1:2" x14ac:dyDescent="0.25">
      <c r="A3207">
        <f ca="1">31089.0647984765*(RANDBETWEEN(2890,3282))</f>
        <v>100044610.52149746</v>
      </c>
      <c r="B3207">
        <v>240416744.37614626</v>
      </c>
    </row>
    <row r="3208" spans="1:2" x14ac:dyDescent="0.25">
      <c r="A3208">
        <f ca="1">32937.4907820035*(RANDBETWEEN(2890,3282))</f>
        <v>103753095.96331099</v>
      </c>
      <c r="B3208">
        <v>210060278.82231233</v>
      </c>
    </row>
    <row r="3209" spans="1:2" x14ac:dyDescent="0.25">
      <c r="A3209">
        <f ca="1">32998.234833355*(RANDBETWEEN(2890,3282))</f>
        <v>107244263.20840365</v>
      </c>
      <c r="B3209">
        <v>256919341.17712182</v>
      </c>
    </row>
    <row r="3210" spans="1:2" x14ac:dyDescent="0.25">
      <c r="A3210">
        <f ca="1">40362.4622310616*(RANDBETWEEN(2890,3282))</f>
        <v>118140926.95031735</v>
      </c>
      <c r="B3210">
        <v>222364416.32861602</v>
      </c>
    </row>
    <row r="3211" spans="1:2" x14ac:dyDescent="0.25">
      <c r="A3211">
        <f ca="1">31308.4961472002*(RANDBETWEEN(2890,3282))</f>
        <v>98997464.817446917</v>
      </c>
      <c r="B3211">
        <v>245797481.11543366</v>
      </c>
    </row>
    <row r="3212" spans="1:2" x14ac:dyDescent="0.25">
      <c r="A3212">
        <f ca="1">38119.7964394033*(RANDBETWEEN(2890,3282))</f>
        <v>114893066.46836154</v>
      </c>
      <c r="B3212">
        <v>254893384.04533398</v>
      </c>
    </row>
    <row r="3213" spans="1:2" x14ac:dyDescent="0.25">
      <c r="A3213">
        <f ca="1">29650.9211251328*(RANDBETWEEN(2890,3282))</f>
        <v>91295186.144283801</v>
      </c>
      <c r="B3213">
        <v>241962682.72670978</v>
      </c>
    </row>
    <row r="3214" spans="1:2" x14ac:dyDescent="0.25">
      <c r="A3214">
        <f ca="1">40005.2812259795*(RANDBETWEEN(2890,3282))</f>
        <v>122496171.11394942</v>
      </c>
      <c r="B3214">
        <v>212187263.44596028</v>
      </c>
    </row>
    <row r="3215" spans="1:2" x14ac:dyDescent="0.25">
      <c r="A3215">
        <f ca="1">33878.9062577566*(RANDBETWEEN(2890,3282))</f>
        <v>100179925.80418631</v>
      </c>
      <c r="B3215">
        <v>224097759.11400485</v>
      </c>
    </row>
    <row r="3216" spans="1:2" x14ac:dyDescent="0.25">
      <c r="A3216">
        <f ca="1">31378.5011544378*(RANDBETWEEN(2890,3282))</f>
        <v>96771297.560286045</v>
      </c>
      <c r="B3216">
        <v>205300983.2271547</v>
      </c>
    </row>
    <row r="3217" spans="1:2" x14ac:dyDescent="0.25">
      <c r="A3217">
        <f ca="1">38507.4258904973*(RANDBETWEEN(2890,3282))</f>
        <v>122723166.31301501</v>
      </c>
      <c r="B3217">
        <v>253857822.93547365</v>
      </c>
    </row>
    <row r="3218" spans="1:2" x14ac:dyDescent="0.25">
      <c r="A3218">
        <f ca="1">33496.9925107512*(RANDBETWEEN(2890,3282))</f>
        <v>105147059.49124803</v>
      </c>
      <c r="B3218">
        <v>251555464.21835434</v>
      </c>
    </row>
    <row r="3219" spans="1:2" x14ac:dyDescent="0.25">
      <c r="A3219">
        <f ca="1">39806.7860235364*(RANDBETWEEN(2890,3282))</f>
        <v>120256300.57710342</v>
      </c>
      <c r="B3219">
        <v>229316351.36876979</v>
      </c>
    </row>
    <row r="3220" spans="1:2" x14ac:dyDescent="0.25">
      <c r="A3220">
        <f ca="1">29859.8062933634*(RANDBETWEEN(2890,3282))</f>
        <v>91580025.901745439</v>
      </c>
      <c r="B3220">
        <v>252671666.72763389</v>
      </c>
    </row>
    <row r="3221" spans="1:2" x14ac:dyDescent="0.25">
      <c r="A3221">
        <f ca="1">36476.7445078829*(RANDBETWEEN(2890,3282))</f>
        <v>111254070.7490429</v>
      </c>
      <c r="B3221">
        <v>213101661.24727234</v>
      </c>
    </row>
    <row r="3222" spans="1:2" x14ac:dyDescent="0.25">
      <c r="A3222">
        <f ca="1">34294.8862765195*(RANDBETWEEN(2890,3282))</f>
        <v>109709341.19858593</v>
      </c>
      <c r="B3222">
        <v>250862393.72155941</v>
      </c>
    </row>
    <row r="3223" spans="1:2" x14ac:dyDescent="0.25">
      <c r="A3223">
        <f ca="1">39009.4460049691*(RANDBETWEEN(2890,3282))</f>
        <v>124089047.74180666</v>
      </c>
      <c r="B3223">
        <v>227371395.77404645</v>
      </c>
    </row>
    <row r="3224" spans="1:2" x14ac:dyDescent="0.25">
      <c r="A3224">
        <f ca="1">31547.8581263789*(RANDBETWEEN(2890,3282))</f>
        <v>97230498.7454997</v>
      </c>
      <c r="B3224">
        <v>242489407.56147772</v>
      </c>
    </row>
    <row r="3225" spans="1:2" x14ac:dyDescent="0.25">
      <c r="A3225">
        <f ca="1">30038.5766747005*(RANDBETWEEN(2890,3282))</f>
        <v>95702905.285595849</v>
      </c>
      <c r="B3225">
        <v>262925159.02497071</v>
      </c>
    </row>
    <row r="3226" spans="1:2" x14ac:dyDescent="0.25">
      <c r="A3226">
        <f ca="1">31968.0246203038*(RANDBETWEEN(2890,3282))</f>
        <v>99420556.56914489</v>
      </c>
      <c r="B3226">
        <v>247761780.08128408</v>
      </c>
    </row>
    <row r="3227" spans="1:2" x14ac:dyDescent="0.25">
      <c r="A3227">
        <f ca="1">28734.6080560393*(RANDBETWEEN(2890,3282))</f>
        <v>92151888.035717994</v>
      </c>
      <c r="B3227">
        <v>234580634.17838055</v>
      </c>
    </row>
    <row r="3228" spans="1:2" x14ac:dyDescent="0.25">
      <c r="A3228">
        <f ca="1">31689.7606860077*(RANDBETWEEN(2890,3282))</f>
        <v>94403797.083616793</v>
      </c>
      <c r="B3228">
        <v>232901776.21736136</v>
      </c>
    </row>
    <row r="3229" spans="1:2" x14ac:dyDescent="0.25">
      <c r="A3229">
        <f ca="1">31075.8680452166*(RANDBETWEEN(2890,3282))</f>
        <v>95713673.579267308</v>
      </c>
      <c r="B3229">
        <v>240820444.51818165</v>
      </c>
    </row>
    <row r="3230" spans="1:2" x14ac:dyDescent="0.25">
      <c r="A3230">
        <f ca="1">39429.8659117321*(RANDBETWEEN(2890,3282))</f>
        <v>114070602.08264099</v>
      </c>
      <c r="B3230">
        <v>253049507.77950311</v>
      </c>
    </row>
    <row r="3231" spans="1:2" x14ac:dyDescent="0.25">
      <c r="A3231">
        <f ca="1">30173.0555902805*(RANDBETWEEN(2890,3282))</f>
        <v>88105322.323619053</v>
      </c>
      <c r="B3231">
        <v>212103316.2204541</v>
      </c>
    </row>
    <row r="3232" spans="1:2" x14ac:dyDescent="0.25">
      <c r="A3232">
        <f ca="1">33278.6637102947*(RANDBETWEEN(2890,3282))</f>
        <v>107124018.48343849</v>
      </c>
      <c r="B3232">
        <v>239017624.49532557</v>
      </c>
    </row>
    <row r="3233" spans="1:2" x14ac:dyDescent="0.25">
      <c r="A3233">
        <f ca="1">35725.3914439581*(RANDBETWEEN(2890,3282))</f>
        <v>113392392.44312286</v>
      </c>
      <c r="B3233">
        <v>231784000.11028212</v>
      </c>
    </row>
    <row r="3234" spans="1:2" x14ac:dyDescent="0.25">
      <c r="A3234">
        <f ca="1">31951.4332889771*(RANDBETWEEN(2890,3282))</f>
        <v>102628003.72419451</v>
      </c>
      <c r="B3234">
        <v>253379435.84917754</v>
      </c>
    </row>
    <row r="3235" spans="1:2" x14ac:dyDescent="0.25">
      <c r="A3235">
        <f ca="1">33392.5968776472*(RANDBETWEEN(2890,3282))</f>
        <v>107557554.54290165</v>
      </c>
      <c r="B3235">
        <v>257172271.67688137</v>
      </c>
    </row>
    <row r="3236" spans="1:2" x14ac:dyDescent="0.25">
      <c r="A3236">
        <f ca="1">37770.5253114301*(RANDBETWEEN(2890,3282))</f>
        <v>115011249.57330474</v>
      </c>
      <c r="B3236">
        <v>214104902.4980379</v>
      </c>
    </row>
    <row r="3237" spans="1:2" x14ac:dyDescent="0.25">
      <c r="A3237">
        <f ca="1">31096.0731731968*(RANDBETWEEN(2890,3282))</f>
        <v>99227569.495671108</v>
      </c>
      <c r="B3237">
        <v>264844131.76816255</v>
      </c>
    </row>
    <row r="3238" spans="1:2" x14ac:dyDescent="0.25">
      <c r="A3238">
        <f ca="1">38243.6391526753*(RANDBETWEEN(2890,3282))</f>
        <v>124291827.2461946</v>
      </c>
      <c r="B3238">
        <v>233357613.23963138</v>
      </c>
    </row>
    <row r="3239" spans="1:2" x14ac:dyDescent="0.25">
      <c r="A3239">
        <f ca="1">29004.4498830074*(RANDBETWEEN(2890,3282))</f>
        <v>91422026.031239226</v>
      </c>
      <c r="B3239">
        <v>213271945.06277665</v>
      </c>
    </row>
    <row r="3240" spans="1:2" x14ac:dyDescent="0.25">
      <c r="A3240">
        <f ca="1">29996.5727518508*(RANDBETWEEN(2890,3282))</f>
        <v>98298768.90781492</v>
      </c>
      <c r="B3240">
        <v>232933474.68018591</v>
      </c>
    </row>
    <row r="3241" spans="1:2" x14ac:dyDescent="0.25">
      <c r="A3241">
        <f ca="1">31565.5973799003*(RANDBETWEEN(2890,3282))</f>
        <v>99305369.35716626</v>
      </c>
      <c r="B3241">
        <v>215257161.20656651</v>
      </c>
    </row>
    <row r="3242" spans="1:2" x14ac:dyDescent="0.25">
      <c r="A3242">
        <f ca="1">29353.5838480615*(RANDBETWEEN(2890,3282))</f>
        <v>87767215.705703855</v>
      </c>
      <c r="B3242">
        <v>234051217.16065198</v>
      </c>
    </row>
    <row r="3243" spans="1:2" x14ac:dyDescent="0.25">
      <c r="A3243">
        <f ca="1">38993.6375679668*(RANDBETWEEN(2890,3282))</f>
        <v>122985932.88936745</v>
      </c>
      <c r="B3243">
        <v>220834685.43708971</v>
      </c>
    </row>
    <row r="3244" spans="1:2" x14ac:dyDescent="0.25">
      <c r="A3244">
        <f ca="1">32278.3528530562*(RANDBETWEEN(2890,3282))</f>
        <v>105517935.47664075</v>
      </c>
      <c r="B3244">
        <v>231896418.92689216</v>
      </c>
    </row>
    <row r="3245" spans="1:2" x14ac:dyDescent="0.25">
      <c r="A3245">
        <f ca="1">29315.2445428434*(RANDBETWEEN(2890,3282))</f>
        <v>86333395.178673849</v>
      </c>
      <c r="B3245">
        <v>256346949.41680145</v>
      </c>
    </row>
    <row r="3246" spans="1:2" x14ac:dyDescent="0.25">
      <c r="A3246">
        <f ca="1">31132.4172706437*(RANDBETWEEN(2890,3282))</f>
        <v>98658630.330669999</v>
      </c>
      <c r="B3246">
        <v>230310644.26766565</v>
      </c>
    </row>
    <row r="3247" spans="1:2" x14ac:dyDescent="0.25">
      <c r="A3247">
        <f ca="1">38395.049596029*(RANDBETWEEN(2890,3282))</f>
        <v>111767989.37404044</v>
      </c>
      <c r="B3247">
        <v>256263776.16038457</v>
      </c>
    </row>
    <row r="3248" spans="1:2" x14ac:dyDescent="0.25">
      <c r="A3248">
        <f ca="1">33970.1901831074*(RANDBETWEEN(2890,3282))</f>
        <v>100246031.23034996</v>
      </c>
      <c r="B3248">
        <v>220370746.81273797</v>
      </c>
    </row>
    <row r="3249" spans="1:2" x14ac:dyDescent="0.25">
      <c r="A3249">
        <f ca="1">39027.5838841203*(RANDBETWEEN(2890,3282))</f>
        <v>128049502.72379859</v>
      </c>
      <c r="B3249">
        <v>222289933.24389023</v>
      </c>
    </row>
    <row r="3250" spans="1:2" x14ac:dyDescent="0.25">
      <c r="A3250">
        <f ca="1">32969.7189471239*(RANDBETWEEN(2890,3282))</f>
        <v>105371221.75500786</v>
      </c>
      <c r="B3250">
        <v>256998800.82413992</v>
      </c>
    </row>
    <row r="3251" spans="1:2" x14ac:dyDescent="0.25">
      <c r="A3251">
        <f ca="1">38364.0524107214*(RANDBETWEEN(2890,3282))</f>
        <v>117048723.90511093</v>
      </c>
      <c r="B3251">
        <v>253841453.48767731</v>
      </c>
    </row>
    <row r="3252" spans="1:2" x14ac:dyDescent="0.25">
      <c r="A3252">
        <f ca="1">29996.5599166874*(RANDBETWEEN(2890,3282))</f>
        <v>89329755.431895196</v>
      </c>
      <c r="B3252">
        <v>262738896.84191239</v>
      </c>
    </row>
    <row r="3253" spans="1:2" x14ac:dyDescent="0.25">
      <c r="A3253">
        <f ca="1">31129.3072325284*(RANDBETWEEN(2890,3282))</f>
        <v>102104127.72269309</v>
      </c>
      <c r="B3253">
        <v>209124644.83298337</v>
      </c>
    </row>
    <row r="3254" spans="1:2" x14ac:dyDescent="0.25">
      <c r="A3254">
        <f ca="1">33681.8019461159*(RANDBETWEEN(2890,3282))</f>
        <v>106838675.77307977</v>
      </c>
      <c r="B3254">
        <v>206013576.4394542</v>
      </c>
    </row>
    <row r="3255" spans="1:2" x14ac:dyDescent="0.25">
      <c r="A3255">
        <f ca="1">42022.3990891325*(RANDBETWEEN(2890,3282))</f>
        <v>122789450.13844526</v>
      </c>
      <c r="B3255">
        <v>244532941.07712755</v>
      </c>
    </row>
    <row r="3256" spans="1:2" x14ac:dyDescent="0.25">
      <c r="A3256">
        <f ca="1">32515.4284456835*(RANDBETWEEN(2890,3282))</f>
        <v>105089864.73644894</v>
      </c>
      <c r="B3256">
        <v>230380929.42955631</v>
      </c>
    </row>
    <row r="3257" spans="1:2" x14ac:dyDescent="0.25">
      <c r="A3257">
        <f ca="1">34422.0423021719*(RANDBETWEEN(2890,3282))</f>
        <v>111768371.35515223</v>
      </c>
      <c r="B3257">
        <v>253428041.04248223</v>
      </c>
    </row>
    <row r="3258" spans="1:2" x14ac:dyDescent="0.25">
      <c r="A3258">
        <f ca="1">29096.2179225775*(RANDBETWEEN(2890,3282))</f>
        <v>90954777.225977406</v>
      </c>
      <c r="B3258">
        <v>259867933.58160543</v>
      </c>
    </row>
    <row r="3259" spans="1:2" x14ac:dyDescent="0.25">
      <c r="A3259">
        <f ca="1">39800.8354253721*(RANDBETWEEN(2890,3282))</f>
        <v>117611468.68197441</v>
      </c>
      <c r="B3259">
        <v>264894650.26502338</v>
      </c>
    </row>
    <row r="3260" spans="1:2" x14ac:dyDescent="0.25">
      <c r="A3260">
        <f ca="1">30511.5523001948*(RANDBETWEEN(2890,3282))</f>
        <v>96538551.477816507</v>
      </c>
      <c r="B3260">
        <v>250333337.18128818</v>
      </c>
    </row>
    <row r="3261" spans="1:2" x14ac:dyDescent="0.25">
      <c r="A3261">
        <f ca="1">40068.4458981448*(RANDBETWEEN(2890,3282))</f>
        <v>122328965.32703617</v>
      </c>
      <c r="B3261">
        <v>256277066.72311175</v>
      </c>
    </row>
    <row r="3262" spans="1:2" x14ac:dyDescent="0.25">
      <c r="A3262">
        <f ca="1">33603.5456708365*(RANDBETWEEN(2890,3282))</f>
        <v>97887128.539146662</v>
      </c>
      <c r="B3262">
        <v>263638113.33037165</v>
      </c>
    </row>
    <row r="3263" spans="1:2" x14ac:dyDescent="0.25">
      <c r="A3263">
        <f ca="1">36349.9636199614*(RANDBETWEEN(2890,3282))</f>
        <v>118646281.25555398</v>
      </c>
      <c r="B3263">
        <v>266544381.60481012</v>
      </c>
    </row>
    <row r="3264" spans="1:2" x14ac:dyDescent="0.25">
      <c r="A3264">
        <f ca="1">28414.6190738044*(RANDBETWEEN(2890,3282))</f>
        <v>83595809.315132663</v>
      </c>
      <c r="B3264">
        <v>260084936.98639697</v>
      </c>
    </row>
    <row r="3265" spans="1:2" x14ac:dyDescent="0.25">
      <c r="A3265">
        <f ca="1">36583.472272654*(RANDBETWEEN(2890,3282))</f>
        <v>113189263.21159151</v>
      </c>
      <c r="B3265">
        <v>260249283.38574111</v>
      </c>
    </row>
    <row r="3266" spans="1:2" x14ac:dyDescent="0.25">
      <c r="A3266">
        <f ca="1">40098.2545131056*(RANDBETWEEN(2890,3282))</f>
        <v>121818497.21081468</v>
      </c>
      <c r="B3266">
        <v>232533764.64566749</v>
      </c>
    </row>
    <row r="3267" spans="1:2" x14ac:dyDescent="0.25">
      <c r="A3267">
        <f ca="1">38286.8117674391*(RANDBETWEEN(2890,3282))</f>
        <v>122977239.39701454</v>
      </c>
      <c r="B3267">
        <v>205200453.24096614</v>
      </c>
    </row>
    <row r="3268" spans="1:2" x14ac:dyDescent="0.25">
      <c r="A3268">
        <f ca="1">32409.2145269054*(RANDBETWEEN(2890,3282))</f>
        <v>101732524.39995615</v>
      </c>
      <c r="B3268">
        <v>205808921.26233563</v>
      </c>
    </row>
    <row r="3269" spans="1:2" x14ac:dyDescent="0.25">
      <c r="A3269">
        <f ca="1">38335.3742489981*(RANDBETWEEN(2890,3282))</f>
        <v>124283283.31525187</v>
      </c>
      <c r="B3269">
        <v>231222573.23438701</v>
      </c>
    </row>
    <row r="3270" spans="1:2" x14ac:dyDescent="0.25">
      <c r="A3270">
        <f ca="1">31107.5875156812*(RANDBETWEEN(2890,3282))</f>
        <v>90336434.1455383</v>
      </c>
      <c r="B3270">
        <v>221553852.90564159</v>
      </c>
    </row>
    <row r="3271" spans="1:2" x14ac:dyDescent="0.25">
      <c r="A3271">
        <f ca="1">31871.8228568392*(RANDBETWEEN(2890,3282))</f>
        <v>98037727.10763745</v>
      </c>
      <c r="B3271">
        <v>250388661.20669127</v>
      </c>
    </row>
    <row r="3272" spans="1:2" x14ac:dyDescent="0.25">
      <c r="A3272">
        <f ca="1">30601.0768207412*(RANDBETWEEN(2890,3282))</f>
        <v>92813065.997308001</v>
      </c>
      <c r="B3272">
        <v>235338861.25589201</v>
      </c>
    </row>
    <row r="3273" spans="1:2" x14ac:dyDescent="0.25">
      <c r="A3273">
        <f ca="1">38205.6995435397*(RANDBETWEEN(2890,3282))</f>
        <v>123901083.61969912</v>
      </c>
      <c r="B3273">
        <v>228808375.08959925</v>
      </c>
    </row>
    <row r="3274" spans="1:2" x14ac:dyDescent="0.25">
      <c r="A3274">
        <f ca="1">34590.2160887984*(RANDBETWEEN(2890,3282))</f>
        <v>103355565.67332962</v>
      </c>
      <c r="B3274">
        <v>249048111.44952217</v>
      </c>
    </row>
    <row r="3275" spans="1:2" x14ac:dyDescent="0.25">
      <c r="A3275">
        <f ca="1">36180.6897698419*(RANDBETWEEN(2890,3282))</f>
        <v>104634554.81438266</v>
      </c>
      <c r="B3275">
        <v>242391638.11386457</v>
      </c>
    </row>
    <row r="3276" spans="1:2" x14ac:dyDescent="0.25">
      <c r="A3276">
        <f ca="1">40229.2872453738*(RANDBETWEEN(2890,3282))</f>
        <v>130503807.82399245</v>
      </c>
      <c r="B3276">
        <v>260064954.61957523</v>
      </c>
    </row>
    <row r="3277" spans="1:2" x14ac:dyDescent="0.25">
      <c r="A3277">
        <f ca="1">36840.7484373542*(RANDBETWEEN(2890,3282))</f>
        <v>113543186.68392567</v>
      </c>
      <c r="B3277">
        <v>209981171.48932418</v>
      </c>
    </row>
    <row r="3278" spans="1:2" x14ac:dyDescent="0.25">
      <c r="A3278">
        <f ca="1">38005.7546788082*(RANDBETWEEN(2890,3282))</f>
        <v>115955557.52504385</v>
      </c>
      <c r="B3278">
        <v>251979306.70097056</v>
      </c>
    </row>
    <row r="3279" spans="1:2" x14ac:dyDescent="0.25">
      <c r="A3279">
        <f ca="1">32144.6303312717*(RANDBETWEEN(2890,3282))</f>
        <v>95340973.562551782</v>
      </c>
      <c r="B3279">
        <v>264417392.80900526</v>
      </c>
    </row>
    <row r="3280" spans="1:2" x14ac:dyDescent="0.25">
      <c r="A3280">
        <f ca="1">35134.7288189163*(RANDBETWEEN(2890,3282))</f>
        <v>105298782.27029222</v>
      </c>
      <c r="B3280">
        <v>250255078.55842546</v>
      </c>
    </row>
    <row r="3281" spans="1:2" x14ac:dyDescent="0.25">
      <c r="A3281">
        <f ca="1">39837.7045610769*(RANDBETWEEN(2890,3282))</f>
        <v>115848044.86361177</v>
      </c>
      <c r="B3281">
        <v>238971679.60365188</v>
      </c>
    </row>
    <row r="3282" spans="1:2" x14ac:dyDescent="0.25">
      <c r="A3282">
        <f ca="1">28562.9921417334*(RANDBETWEEN(2890,3282))</f>
        <v>92572657.53135784</v>
      </c>
      <c r="B3282">
        <v>219400794.6233089</v>
      </c>
    </row>
    <row r="3283" spans="1:2" x14ac:dyDescent="0.25">
      <c r="A3283">
        <f ca="1">38368.0617084576*(RANDBETWEEN(2890,3282))</f>
        <v>112149844.37382148</v>
      </c>
      <c r="B3283">
        <v>264471682.03920978</v>
      </c>
    </row>
    <row r="3284" spans="1:2" x14ac:dyDescent="0.25">
      <c r="A3284">
        <f ca="1">31879.9046320302*(RANDBETWEEN(2890,3282))</f>
        <v>104629847.00232297</v>
      </c>
      <c r="B3284">
        <v>228261479.62340346</v>
      </c>
    </row>
    <row r="3285" spans="1:2" x14ac:dyDescent="0.25">
      <c r="A3285">
        <f ca="1">31172.7379418046*(RANDBETWEEN(2890,3282))</f>
        <v>99815106.889658377</v>
      </c>
      <c r="B3285">
        <v>255889656.00687858</v>
      </c>
    </row>
    <row r="3286" spans="1:2" x14ac:dyDescent="0.25">
      <c r="A3286">
        <f ca="1">30389.7563563762*(RANDBETWEEN(2890,3282))</f>
        <v>89892899.302160665</v>
      </c>
      <c r="B3286">
        <v>223857351.35747233</v>
      </c>
    </row>
    <row r="3287" spans="1:2" x14ac:dyDescent="0.25">
      <c r="A3287">
        <f ca="1">39775.6080342658*(RANDBETWEEN(2890,3282))</f>
        <v>129270726.11136371</v>
      </c>
      <c r="B3287">
        <v>250331319.67768386</v>
      </c>
    </row>
    <row r="3288" spans="1:2" x14ac:dyDescent="0.25">
      <c r="A3288">
        <f ca="1">36252.56598611*(RANDBETWEEN(2890,3282))</f>
        <v>118437133.07662128</v>
      </c>
      <c r="B3288">
        <v>213653318.9408555</v>
      </c>
    </row>
    <row r="3289" spans="1:2" x14ac:dyDescent="0.25">
      <c r="A3289">
        <f ca="1">36187.0394620697*(RANDBETWEEN(2890,3282))</f>
        <v>117825000.48849903</v>
      </c>
      <c r="B3289">
        <v>245407323.81214383</v>
      </c>
    </row>
    <row r="3290" spans="1:2" x14ac:dyDescent="0.25">
      <c r="A3290">
        <f ca="1">36253.1549208523*(RANDBETWEEN(2890,3282))</f>
        <v>115865083.12704398</v>
      </c>
      <c r="B3290">
        <v>242178814.34921095</v>
      </c>
    </row>
    <row r="3291" spans="1:2" x14ac:dyDescent="0.25">
      <c r="A3291">
        <f ca="1">35307.1670323035*(RANDBETWEEN(2890,3282))</f>
        <v>108110545.45291334</v>
      </c>
      <c r="B3291">
        <v>256529786.99394646</v>
      </c>
    </row>
    <row r="3292" spans="1:2" x14ac:dyDescent="0.25">
      <c r="A3292">
        <f ca="1">34688.1015827502*(RANDBETWEEN(2890,3282))</f>
        <v>103752111.83400573</v>
      </c>
      <c r="B3292">
        <v>262120396.79094362</v>
      </c>
    </row>
    <row r="3293" spans="1:2" x14ac:dyDescent="0.25">
      <c r="A3293">
        <f ca="1">29629.1352539119*(RANDBETWEEN(2890,3282))</f>
        <v>87702240.351579174</v>
      </c>
      <c r="B3293">
        <v>250613059.76965994</v>
      </c>
    </row>
    <row r="3294" spans="1:2" x14ac:dyDescent="0.25">
      <c r="A3294">
        <f ca="1">29184.9358222357*(RANDBETWEEN(2890,3282))</f>
        <v>86183115.483061939</v>
      </c>
      <c r="B3294">
        <v>219489558.96405035</v>
      </c>
    </row>
    <row r="3295" spans="1:2" x14ac:dyDescent="0.25">
      <c r="A3295">
        <f ca="1">30446.0973605746*(RANDBETWEEN(2890,3282))</f>
        <v>90242232.576743245</v>
      </c>
      <c r="B3295">
        <v>256761812.40797549</v>
      </c>
    </row>
    <row r="3296" spans="1:2" x14ac:dyDescent="0.25">
      <c r="A3296">
        <f ca="1">29831.8163582265*(RANDBETWEEN(2890,3282))</f>
        <v>87347558.296887115</v>
      </c>
      <c r="B3296">
        <v>250652163.31664106</v>
      </c>
    </row>
    <row r="3297" spans="1:2" x14ac:dyDescent="0.25">
      <c r="A3297">
        <f ca="1">30878.1177229412*(RANDBETWEEN(2890,3282))</f>
        <v>99520173.421039537</v>
      </c>
      <c r="B3297">
        <v>237127315.00403902</v>
      </c>
    </row>
    <row r="3298" spans="1:2" x14ac:dyDescent="0.25">
      <c r="A3298">
        <f ca="1">31934.0131103668*(RANDBETWEEN(2890,3282))</f>
        <v>103051060.3071536</v>
      </c>
      <c r="B3298">
        <v>267019243.77987731</v>
      </c>
    </row>
    <row r="3299" spans="1:2" x14ac:dyDescent="0.25">
      <c r="A3299">
        <f ca="1">43628.4062390712*(RANDBETWEEN(2890,3282))</f>
        <v>141225150.99587354</v>
      </c>
      <c r="B3299">
        <v>248582939.79360959</v>
      </c>
    </row>
    <row r="3300" spans="1:2" x14ac:dyDescent="0.25">
      <c r="A3300">
        <f ca="1">31744.2881074769*(RANDBETWEEN(2890,3282))</f>
        <v>99105667.471542805</v>
      </c>
      <c r="B3300">
        <v>267661467.82962587</v>
      </c>
    </row>
    <row r="3301" spans="1:2" x14ac:dyDescent="0.25">
      <c r="A3301">
        <f ca="1">38692.0415464321*(RANDBETWEEN(2890,3282))</f>
        <v>113367681.73104592</v>
      </c>
      <c r="B3301">
        <v>247672251.80015048</v>
      </c>
    </row>
    <row r="3302" spans="1:2" x14ac:dyDescent="0.25">
      <c r="A3302">
        <f ca="1">36844.4304105361*(RANDBETWEEN(2890,3282))</f>
        <v>110275380.21873441</v>
      </c>
      <c r="B3302">
        <v>259903673.49665785</v>
      </c>
    </row>
    <row r="3303" spans="1:2" x14ac:dyDescent="0.25">
      <c r="A3303">
        <f ca="1">29379.5194185806*(RANDBETWEEN(2890,3282))</f>
        <v>87110275.076091751</v>
      </c>
      <c r="B3303">
        <v>223760154.28028113</v>
      </c>
    </row>
    <row r="3304" spans="1:2" x14ac:dyDescent="0.25">
      <c r="A3304">
        <f ca="1">38092.3431863601*(RANDBETWEEN(2890,3282))</f>
        <v>112867612.861185</v>
      </c>
      <c r="B3304">
        <v>210013595.9816272</v>
      </c>
    </row>
    <row r="3305" spans="1:2" x14ac:dyDescent="0.25">
      <c r="A3305">
        <f ca="1">38790.0783382869*(RANDBETWEEN(2890,3282))</f>
        <v>124360991.15254782</v>
      </c>
      <c r="B3305">
        <v>224222211.29471251</v>
      </c>
    </row>
    <row r="3306" spans="1:2" x14ac:dyDescent="0.25">
      <c r="A3306">
        <f ca="1">31542.3367544418*(RANDBETWEEN(2890,3282))</f>
        <v>102323340.43140927</v>
      </c>
      <c r="B3306">
        <v>239451484.88447207</v>
      </c>
    </row>
    <row r="3307" spans="1:2" x14ac:dyDescent="0.25">
      <c r="A3307">
        <f ca="1">30412.7101408436*(RANDBETWEEN(2890,3282))</f>
        <v>97837688.523093954</v>
      </c>
      <c r="B3307">
        <v>252834887.95466834</v>
      </c>
    </row>
    <row r="3308" spans="1:2" x14ac:dyDescent="0.25">
      <c r="A3308">
        <f ca="1">30759.0506003709*(RANDBETWEEN(2890,3282))</f>
        <v>97906058.060980529</v>
      </c>
      <c r="B3308">
        <v>247603897.1637277</v>
      </c>
    </row>
    <row r="3309" spans="1:2" x14ac:dyDescent="0.25">
      <c r="A3309">
        <f ca="1">36213.8380978614*(RANDBETWEEN(2890,3282))</f>
        <v>109076080.35075858</v>
      </c>
      <c r="B3309">
        <v>241929015.02492249</v>
      </c>
    </row>
    <row r="3310" spans="1:2" x14ac:dyDescent="0.25">
      <c r="A3310">
        <f ca="1">32617.919090482*(RANDBETWEEN(2890,3282))</f>
        <v>95113852.067845538</v>
      </c>
      <c r="B3310">
        <v>220983247.90297917</v>
      </c>
    </row>
    <row r="3311" spans="1:2" x14ac:dyDescent="0.25">
      <c r="A3311">
        <f ca="1">30944.8354516181*(RANDBETWEEN(2890,3282))</f>
        <v>101530005.11675911</v>
      </c>
      <c r="B3311">
        <v>229166677.81518683</v>
      </c>
    </row>
    <row r="3312" spans="1:2" x14ac:dyDescent="0.25">
      <c r="A3312">
        <f ca="1">36106.0589374235*(RANDBETWEEN(2890,3282))</f>
        <v>117886282.4306878</v>
      </c>
      <c r="B3312">
        <v>231265261.11644995</v>
      </c>
    </row>
    <row r="3313" spans="1:2" x14ac:dyDescent="0.25">
      <c r="A3313">
        <f ca="1">37641.7842378259*(RANDBETWEEN(2890,3282))</f>
        <v>119475023.1708595</v>
      </c>
      <c r="B3313">
        <v>252175856.44747502</v>
      </c>
    </row>
    <row r="3314" spans="1:2" x14ac:dyDescent="0.25">
      <c r="A3314">
        <f ca="1">34352.6713967213*(RANDBETWEEN(2890,3282))</f>
        <v>110203369.84068184</v>
      </c>
      <c r="B3314">
        <v>218830542.86671323</v>
      </c>
    </row>
    <row r="3315" spans="1:2" x14ac:dyDescent="0.25">
      <c r="A3315">
        <f ca="1">33962.2940976134*(RANDBETWEEN(2890,3282))</f>
        <v>108101982.11270332</v>
      </c>
      <c r="B3315">
        <v>255915169.21930492</v>
      </c>
    </row>
    <row r="3316" spans="1:2" x14ac:dyDescent="0.25">
      <c r="A3316">
        <f ca="1">35789.5045851335*(RANDBETWEEN(2890,3282))</f>
        <v>107225355.73705997</v>
      </c>
      <c r="B3316">
        <v>239430452.2403571</v>
      </c>
    </row>
    <row r="3317" spans="1:2" x14ac:dyDescent="0.25">
      <c r="A3317">
        <f ca="1">34080.0066873884*(RANDBETWEEN(2890,3282))</f>
        <v>105375380.67740501</v>
      </c>
      <c r="B3317">
        <v>247768170.47151822</v>
      </c>
    </row>
    <row r="3318" spans="1:2" x14ac:dyDescent="0.25">
      <c r="A3318">
        <f ca="1">33687.6953826855*(RANDBETWEEN(2890,3282))</f>
        <v>103791789.47405404</v>
      </c>
      <c r="B3318">
        <v>266873417.00517955</v>
      </c>
    </row>
    <row r="3319" spans="1:2" x14ac:dyDescent="0.25">
      <c r="A3319">
        <f ca="1">32774.6972055626*(RANDBETWEEN(2890,3282))</f>
        <v>100716644.51269393</v>
      </c>
      <c r="B3319">
        <v>222131400.07543457</v>
      </c>
    </row>
    <row r="3320" spans="1:2" x14ac:dyDescent="0.25">
      <c r="A3320">
        <f ca="1">32445.9024457797*(RANDBETWEEN(2890,3282))</f>
        <v>94709589.239230797</v>
      </c>
      <c r="B3320">
        <v>237878166.59382671</v>
      </c>
    </row>
    <row r="3321" spans="1:2" x14ac:dyDescent="0.25">
      <c r="A3321">
        <f ca="1">34039.2836420179*(RANDBETWEEN(2890,3282))</f>
        <v>103070950.86803031</v>
      </c>
      <c r="B3321">
        <v>265730535.06671423</v>
      </c>
    </row>
    <row r="3322" spans="1:2" x14ac:dyDescent="0.25">
      <c r="A3322">
        <f ca="1">33066.5251101506*(RANDBETWEEN(2890,3282))</f>
        <v>105680614.25204132</v>
      </c>
      <c r="B3322">
        <v>229449629.34563354</v>
      </c>
    </row>
    <row r="3323" spans="1:2" x14ac:dyDescent="0.25">
      <c r="A3323">
        <f ca="1">31368.0734514174*(RANDBETWEEN(2890,3282))</f>
        <v>99123112.106479138</v>
      </c>
      <c r="B3323">
        <v>240654184.72155964</v>
      </c>
    </row>
    <row r="3324" spans="1:2" x14ac:dyDescent="0.25">
      <c r="A3324">
        <f ca="1">28180.9031218777*(RANDBETWEEN(2890,3282))</f>
        <v>84542709.36563307</v>
      </c>
      <c r="B3324">
        <v>267231661.95143741</v>
      </c>
    </row>
    <row r="3325" spans="1:2" x14ac:dyDescent="0.25">
      <c r="A3325">
        <f ca="1">32516.8258288258*(RANDBETWEEN(2890,3282))</f>
        <v>104151393.12972906</v>
      </c>
      <c r="B3325">
        <v>219368110.24076173</v>
      </c>
    </row>
    <row r="3326" spans="1:2" x14ac:dyDescent="0.25">
      <c r="A3326">
        <f ca="1">31692.7424308831*(RANDBETWEEN(2890,3282))</f>
        <v>99451825.748111188</v>
      </c>
      <c r="B3326">
        <v>253300012.38864359</v>
      </c>
    </row>
    <row r="3327" spans="1:2" x14ac:dyDescent="0.25">
      <c r="A3327">
        <f ca="1">41466.0957781792*(RANDBETWEEN(2890,3282))</f>
        <v>135055073.94952977</v>
      </c>
      <c r="B3327">
        <v>245357663.10260916</v>
      </c>
    </row>
    <row r="3328" spans="1:2" x14ac:dyDescent="0.25">
      <c r="A3328">
        <f ca="1">33200.7301813462*(RANDBETWEEN(2890,3282))</f>
        <v>103685880.35634433</v>
      </c>
      <c r="B3328">
        <v>230018453.0464893</v>
      </c>
    </row>
    <row r="3329" spans="1:2" x14ac:dyDescent="0.25">
      <c r="A3329">
        <f ca="1">35263.3966315213*(RANDBETWEEN(2890,3282))</f>
        <v>108470208.03855942</v>
      </c>
      <c r="B3329">
        <v>208562632.10740611</v>
      </c>
    </row>
    <row r="3330" spans="1:2" x14ac:dyDescent="0.25">
      <c r="A3330">
        <f ca="1">30266.1257558965*(RANDBETWEEN(2890,3282))</f>
        <v>97729320.065789819</v>
      </c>
      <c r="B3330">
        <v>266119347.84418327</v>
      </c>
    </row>
    <row r="3331" spans="1:2" x14ac:dyDescent="0.25">
      <c r="A3331">
        <f ca="1">31414.4011730977*(RANDBETWEEN(2890,3282))</f>
        <v>97196157.229564399</v>
      </c>
      <c r="B3331">
        <v>253604224.40770221</v>
      </c>
    </row>
    <row r="3332" spans="1:2" x14ac:dyDescent="0.25">
      <c r="A3332">
        <f ca="1">29585.665411679*(RANDBETWEEN(2890,3282))</f>
        <v>95472942.283488154</v>
      </c>
      <c r="B3332">
        <v>221596395.45420414</v>
      </c>
    </row>
    <row r="3333" spans="1:2" x14ac:dyDescent="0.25">
      <c r="A3333">
        <f ca="1">36314.7521585533*(RANDBETWEEN(2890,3282))</f>
        <v>108326905.68896453</v>
      </c>
      <c r="B3333">
        <v>246754677.86528429</v>
      </c>
    </row>
    <row r="3334" spans="1:2" x14ac:dyDescent="0.25">
      <c r="A3334">
        <f ca="1">30160.5859780766*(RANDBETWEEN(2890,3282))</f>
        <v>88883246.877391711</v>
      </c>
      <c r="B3334">
        <v>205065283.18972397</v>
      </c>
    </row>
    <row r="3335" spans="1:2" x14ac:dyDescent="0.25">
      <c r="A3335">
        <f ca="1">31779.7071348184*(RANDBETWEEN(2890,3282))</f>
        <v>92002252.155299306</v>
      </c>
      <c r="B3335">
        <v>222537813.047086</v>
      </c>
    </row>
    <row r="3336" spans="1:2" x14ac:dyDescent="0.25">
      <c r="A3336">
        <f ca="1">36398.3798946559*(RANDBETWEEN(2890,3282))</f>
        <v>115382864.26605918</v>
      </c>
      <c r="B3336">
        <v>232352928.86838341</v>
      </c>
    </row>
    <row r="3337" spans="1:2" x14ac:dyDescent="0.25">
      <c r="A3337">
        <f ca="1">37879.4247408715*(RANDBETWEEN(2890,3282))</f>
        <v>115721642.5833625</v>
      </c>
      <c r="B3337">
        <v>259762288.23116389</v>
      </c>
    </row>
    <row r="3338" spans="1:2" x14ac:dyDescent="0.25">
      <c r="A3338">
        <f ca="1">40907.7138703983*(RANDBETWEEN(2890,3282))</f>
        <v>129145652.68884757</v>
      </c>
      <c r="B3338">
        <v>251046538.45271841</v>
      </c>
    </row>
    <row r="3339" spans="1:2" x14ac:dyDescent="0.25">
      <c r="A3339">
        <f ca="1">38560.2813712292*(RANDBETWEEN(2890,3282))</f>
        <v>122467453.63502409</v>
      </c>
      <c r="B3339">
        <v>225782993.36277333</v>
      </c>
    </row>
    <row r="3340" spans="1:2" x14ac:dyDescent="0.25">
      <c r="A3340">
        <f ca="1">32881.8461257804*(RANDBETWEEN(2890,3282))</f>
        <v>102394068.83568022</v>
      </c>
      <c r="B3340">
        <v>218448192.39725727</v>
      </c>
    </row>
    <row r="3341" spans="1:2" x14ac:dyDescent="0.25">
      <c r="A3341">
        <f ca="1">33829.9019903956*(RANDBETWEEN(2890,3282))</f>
        <v>110556119.70461272</v>
      </c>
      <c r="B3341">
        <v>237381404.45411682</v>
      </c>
    </row>
    <row r="3342" spans="1:2" x14ac:dyDescent="0.25">
      <c r="A3342">
        <f ca="1">41253.9096941481*(RANDBETWEEN(2890,3282))</f>
        <v>132260034.47943884</v>
      </c>
      <c r="B3342">
        <v>262850764.76048917</v>
      </c>
    </row>
    <row r="3343" spans="1:2" x14ac:dyDescent="0.25">
      <c r="A3343">
        <f ca="1">33251.6146665286*(RANDBETWEEN(2890,3282))</f>
        <v>103279515.15423779</v>
      </c>
      <c r="B3343">
        <v>236315925.56927076</v>
      </c>
    </row>
    <row r="3344" spans="1:2" x14ac:dyDescent="0.25">
      <c r="A3344">
        <f ca="1">36525.2625687067*(RANDBETWEEN(2890,3282))</f>
        <v>117026941.27013616</v>
      </c>
      <c r="B3344">
        <v>252542588.0961256</v>
      </c>
    </row>
    <row r="3345" spans="1:2" x14ac:dyDescent="0.25">
      <c r="A3345">
        <f ca="1">38830.0544790777*(RANDBETWEEN(2890,3282))</f>
        <v>122858292.37180175</v>
      </c>
      <c r="B3345">
        <v>215240765.78289706</v>
      </c>
    </row>
    <row r="3346" spans="1:2" x14ac:dyDescent="0.25">
      <c r="A3346">
        <f ca="1">32256.5717577349*(RANDBETWEEN(2890,3282))</f>
        <v>97769668.997694343</v>
      </c>
      <c r="B3346">
        <v>216955032.20691982</v>
      </c>
    </row>
    <row r="3347" spans="1:2" x14ac:dyDescent="0.25">
      <c r="A3347">
        <f ca="1">31071.5854364185*(RANDBETWEEN(2890,3282))</f>
        <v>94737263.995640099</v>
      </c>
      <c r="B3347">
        <v>258286895.39081958</v>
      </c>
    </row>
    <row r="3348" spans="1:2" x14ac:dyDescent="0.25">
      <c r="A3348">
        <f ca="1">35610.7976474165*(RANDBETWEEN(2890,3282))</f>
        <v>113349168.91172671</v>
      </c>
      <c r="B3348">
        <v>241105897.08698133</v>
      </c>
    </row>
    <row r="3349" spans="1:2" x14ac:dyDescent="0.25">
      <c r="A3349">
        <f ca="1">38693.0054243823*(RANDBETWEEN(2890,3282))</f>
        <v>112441873.7632551</v>
      </c>
      <c r="B3349">
        <v>265536298.73104882</v>
      </c>
    </row>
    <row r="3350" spans="1:2" x14ac:dyDescent="0.25">
      <c r="A3350">
        <f ca="1">39288.4528693395*(RANDBETWEEN(2890,3282))</f>
        <v>126469529.78640389</v>
      </c>
      <c r="B3350">
        <v>265586156.8897087</v>
      </c>
    </row>
    <row r="3351" spans="1:2" x14ac:dyDescent="0.25">
      <c r="A3351">
        <f ca="1">33641.2502366663*(RANDBETWEEN(2890,3282))</f>
        <v>99880871.952662334</v>
      </c>
      <c r="B3351">
        <v>216674461.38348418</v>
      </c>
    </row>
    <row r="3352" spans="1:2" x14ac:dyDescent="0.25">
      <c r="A3352">
        <f ca="1">31511.1564926217*(RANDBETWEEN(2890,3282))</f>
        <v>95919960.363540471</v>
      </c>
      <c r="B3352">
        <v>230593403.92449111</v>
      </c>
    </row>
    <row r="3353" spans="1:2" x14ac:dyDescent="0.25">
      <c r="A3353">
        <f ca="1">35803.407495798*(RANDBETWEEN(2890,3282))</f>
        <v>117005535.69626802</v>
      </c>
      <c r="B3353">
        <v>243036043.82661408</v>
      </c>
    </row>
    <row r="3354" spans="1:2" x14ac:dyDescent="0.25">
      <c r="A3354">
        <f ca="1">31966.623281319*(RANDBETWEEN(2890,3282))</f>
        <v>101813695.15100096</v>
      </c>
      <c r="B3354">
        <v>248515080.87206447</v>
      </c>
    </row>
    <row r="3355" spans="1:2" x14ac:dyDescent="0.25">
      <c r="A3355">
        <f ca="1">30676.2070992608*(RANDBETWEEN(2890,3282))</f>
        <v>89635877.144040138</v>
      </c>
      <c r="B3355">
        <v>216991970.55403525</v>
      </c>
    </row>
    <row r="3356" spans="1:2" x14ac:dyDescent="0.25">
      <c r="A3356">
        <f ca="1">31000.5693612418*(RANDBETWEEN(2890,3282))</f>
        <v>97992799.750885457</v>
      </c>
      <c r="B3356">
        <v>209406633.07951921</v>
      </c>
    </row>
    <row r="3357" spans="1:2" x14ac:dyDescent="0.25">
      <c r="A3357">
        <f ca="1">36349.7206300162*(RANDBETWEEN(2890,3282))</f>
        <v>111266494.84847963</v>
      </c>
      <c r="B3357">
        <v>244218086.31796813</v>
      </c>
    </row>
    <row r="3358" spans="1:2" x14ac:dyDescent="0.25">
      <c r="A3358">
        <f ca="1">32569.6745500946*(RANDBETWEEN(2890,3282))</f>
        <v>98816392.584986866</v>
      </c>
      <c r="B3358">
        <v>226609391.75352651</v>
      </c>
    </row>
    <row r="3359" spans="1:2" x14ac:dyDescent="0.25">
      <c r="A3359">
        <f ca="1">33282.688808839*(RANDBETWEEN(2890,3282))</f>
        <v>108202021.3175357</v>
      </c>
      <c r="B3359">
        <v>217188317.00547025</v>
      </c>
    </row>
    <row r="3360" spans="1:2" x14ac:dyDescent="0.25">
      <c r="A3360">
        <f ca="1">36295.251005336*(RANDBETWEEN(2890,3282))</f>
        <v>115237421.94194195</v>
      </c>
      <c r="B3360">
        <v>224122379.13285428</v>
      </c>
    </row>
    <row r="3361" spans="1:2" x14ac:dyDescent="0.25">
      <c r="A3361">
        <f ca="1">36427.9234114468*(RANDBETWEEN(2890,3282))</f>
        <v>106478820.13165903</v>
      </c>
      <c r="B3361">
        <v>210777476.59186602</v>
      </c>
    </row>
    <row r="3362" spans="1:2" x14ac:dyDescent="0.25">
      <c r="A3362">
        <f ca="1">33850.8552852082*(RANDBETWEEN(2890,3282))</f>
        <v>110286086.51920819</v>
      </c>
      <c r="B3362">
        <v>245060623.82363209</v>
      </c>
    </row>
    <row r="3363" spans="1:2" x14ac:dyDescent="0.25">
      <c r="A3363">
        <f ca="1">29437.6743683819*(RANDBETWEEN(2890,3282))</f>
        <v>93582366.817086101</v>
      </c>
      <c r="B3363">
        <v>267743679.82704678</v>
      </c>
    </row>
    <row r="3364" spans="1:2" x14ac:dyDescent="0.25">
      <c r="A3364">
        <f ca="1">29967.2389431154*(RANDBETWEEN(2890,3282))</f>
        <v>93647621.697235748</v>
      </c>
      <c r="B3364">
        <v>247427708.16697288</v>
      </c>
    </row>
    <row r="3365" spans="1:2" x14ac:dyDescent="0.25">
      <c r="A3365">
        <f ca="1">32106.3865467459*(RANDBETWEEN(2890,3282))</f>
        <v>103254139.13433491</v>
      </c>
      <c r="B3365">
        <v>205970612.11347088</v>
      </c>
    </row>
    <row r="3366" spans="1:2" x14ac:dyDescent="0.25">
      <c r="A3366">
        <f ca="1">35394.7193738503*(RANDBETWEEN(2890,3282))</f>
        <v>111068629.39514233</v>
      </c>
      <c r="B3366">
        <v>207153138.52442583</v>
      </c>
    </row>
    <row r="3367" spans="1:2" x14ac:dyDescent="0.25">
      <c r="A3367">
        <f ca="1">32365.9211954862*(RANDBETWEEN(2890,3282))</f>
        <v>103894607.03751066</v>
      </c>
      <c r="B3367">
        <v>252632824.8752251</v>
      </c>
    </row>
    <row r="3368" spans="1:2" x14ac:dyDescent="0.25">
      <c r="A3368">
        <f ca="1">33497.6090240647*(RANDBETWEEN(2890,3282))</f>
        <v>107125353.65895891</v>
      </c>
      <c r="B3368">
        <v>232914705.64005154</v>
      </c>
    </row>
    <row r="3369" spans="1:2" x14ac:dyDescent="0.25">
      <c r="A3369">
        <f ca="1">34203.7215733981*(RANDBETWEEN(2890,3282))</f>
        <v>105826314.54809372</v>
      </c>
      <c r="B3369">
        <v>263846289.65868872</v>
      </c>
    </row>
    <row r="3370" spans="1:2" x14ac:dyDescent="0.25">
      <c r="A3370">
        <f ca="1">33114.8782351451*(RANDBETWEEN(2890,3282))</f>
        <v>106464333.52599137</v>
      </c>
      <c r="B3370">
        <v>254190350.17208046</v>
      </c>
    </row>
    <row r="3371" spans="1:2" x14ac:dyDescent="0.25">
      <c r="A3371">
        <f ca="1">39667.9155870096*(RANDBETWEEN(2890,3282))</f>
        <v>128841389.82660714</v>
      </c>
      <c r="B3371">
        <v>245344460.1591993</v>
      </c>
    </row>
    <row r="3372" spans="1:2" x14ac:dyDescent="0.25">
      <c r="A3372">
        <f ca="1">35923.3828626056*(RANDBETWEEN(2890,3282))</f>
        <v>108452692.86220637</v>
      </c>
      <c r="B3372">
        <v>220644758.45105863</v>
      </c>
    </row>
    <row r="3373" spans="1:2" x14ac:dyDescent="0.25">
      <c r="A3373">
        <f ca="1">31119.5919830233*(RANDBETWEEN(2890,3282))</f>
        <v>97124246.579015732</v>
      </c>
      <c r="B3373">
        <v>231049842.32188749</v>
      </c>
    </row>
    <row r="3374" spans="1:2" x14ac:dyDescent="0.25">
      <c r="A3374">
        <f ca="1">32671.239341024*(RANDBETWEEN(2890,3282))</f>
        <v>103077760.12093076</v>
      </c>
      <c r="B3374">
        <v>256236424.67124987</v>
      </c>
    </row>
    <row r="3375" spans="1:2" x14ac:dyDescent="0.25">
      <c r="A3375">
        <f ca="1">32549.3292283931*(RANDBETWEEN(2890,3282))</f>
        <v>100577427.31573455</v>
      </c>
      <c r="B3375">
        <v>255059603.53396028</v>
      </c>
    </row>
    <row r="3376" spans="1:2" x14ac:dyDescent="0.25">
      <c r="A3376">
        <f ca="1">34645.8618072958*(RANDBETWEEN(2890,3282))</f>
        <v>108164380.5623776</v>
      </c>
      <c r="B3376">
        <v>242439300.14065468</v>
      </c>
    </row>
    <row r="3377" spans="1:2" x14ac:dyDescent="0.25">
      <c r="A3377">
        <f ca="1">39272.3446736408*(RANDBETWEEN(2890,3282))</f>
        <v>121822813.17763385</v>
      </c>
      <c r="B3377">
        <v>254589155.12100446</v>
      </c>
    </row>
    <row r="3378" spans="1:2" x14ac:dyDescent="0.25">
      <c r="A3378">
        <f ca="1">30725.8074547711*(RANDBETWEEN(2890,3282))</f>
        <v>95065648.26506184</v>
      </c>
      <c r="B3378">
        <v>226712009.10569304</v>
      </c>
    </row>
    <row r="3379" spans="1:2" x14ac:dyDescent="0.25">
      <c r="A3379">
        <f ca="1">41200.0634829776*(RANDBETWEEN(2890,3282))</f>
        <v>133405805.5578815</v>
      </c>
      <c r="B3379">
        <v>253323482.63710418</v>
      </c>
    </row>
    <row r="3380" spans="1:2" x14ac:dyDescent="0.25">
      <c r="A3380">
        <f ca="1">38758.7783914668*(RANDBETWEEN(2890,3282))</f>
        <v>125307130.53961232</v>
      </c>
      <c r="B3380">
        <v>255930444.60891074</v>
      </c>
    </row>
    <row r="3381" spans="1:2" x14ac:dyDescent="0.25">
      <c r="A3381">
        <f ca="1">35037.9707549102*(RANDBETWEEN(2890,3282))</f>
        <v>102100646.77980818</v>
      </c>
      <c r="B3381">
        <v>225301937.47217542</v>
      </c>
    </row>
    <row r="3382" spans="1:2" x14ac:dyDescent="0.25">
      <c r="A3382">
        <f ca="1">37194.6920707409*(RANDBETWEEN(2890,3282))</f>
        <v>114522456.88581121</v>
      </c>
      <c r="B3382">
        <v>259503007.06265429</v>
      </c>
    </row>
    <row r="3383" spans="1:2" x14ac:dyDescent="0.25">
      <c r="A3383">
        <f ca="1">30358.8075336573*(RANDBETWEEN(2890,3282))</f>
        <v>91835392.789313257</v>
      </c>
      <c r="B3383">
        <v>253917355.47750106</v>
      </c>
    </row>
    <row r="3384" spans="1:2" x14ac:dyDescent="0.25">
      <c r="A3384">
        <f ca="1">35720.5534534546*(RANDBETWEEN(2890,3282))</f>
        <v>117020533.11351737</v>
      </c>
      <c r="B3384">
        <v>221824537.73539424</v>
      </c>
    </row>
    <row r="3385" spans="1:2" x14ac:dyDescent="0.25">
      <c r="A3385">
        <f ca="1">31375.6412082331*(RANDBETWEEN(2890,3282))</f>
        <v>101437448.02621761</v>
      </c>
      <c r="B3385">
        <v>218883550.33070967</v>
      </c>
    </row>
    <row r="3386" spans="1:2" x14ac:dyDescent="0.25">
      <c r="A3386">
        <f ca="1">30691.2900464395*(RANDBETWEEN(2890,3282))</f>
        <v>100606048.77222858</v>
      </c>
      <c r="B3386">
        <v>254848432.37636188</v>
      </c>
    </row>
    <row r="3387" spans="1:2" x14ac:dyDescent="0.25">
      <c r="A3387">
        <f ca="1">37950.2117430471*(RANDBETWEEN(2890,3282))</f>
        <v>124135142.61150713</v>
      </c>
      <c r="B3387">
        <v>223287557.48901543</v>
      </c>
    </row>
    <row r="3388" spans="1:2" x14ac:dyDescent="0.25">
      <c r="A3388">
        <f ca="1">38196.3937198276*(RANDBETWEEN(2890,3282))</f>
        <v>121349942.84789234</v>
      </c>
      <c r="B3388">
        <v>235814824.40254503</v>
      </c>
    </row>
    <row r="3389" spans="1:2" x14ac:dyDescent="0.25">
      <c r="A3389">
        <f ca="1">32966.5240039171*(RANDBETWEEN(2890,3282))</f>
        <v>104998378.95247598</v>
      </c>
      <c r="B3389">
        <v>217877191.64266539</v>
      </c>
    </row>
    <row r="3390" spans="1:2" x14ac:dyDescent="0.25">
      <c r="A3390">
        <f ca="1">33417.4123146655*(RANDBETWEEN(2890,3282))</f>
        <v>98715035.977521852</v>
      </c>
      <c r="B3390">
        <v>208794150.72160551</v>
      </c>
    </row>
    <row r="3391" spans="1:2" x14ac:dyDescent="0.25">
      <c r="A3391">
        <f ca="1">32870.2369363746*(RANDBETWEEN(2890,3282))</f>
        <v>105184758.19639865</v>
      </c>
      <c r="B3391">
        <v>239892770.58387294</v>
      </c>
    </row>
    <row r="3392" spans="1:2" x14ac:dyDescent="0.25">
      <c r="A3392">
        <f ca="1">38406.5768029048*(RANDBETWEEN(2890,3282))</f>
        <v>116909619.78804225</v>
      </c>
      <c r="B3392">
        <v>235853582.52954012</v>
      </c>
    </row>
    <row r="3393" spans="1:2" x14ac:dyDescent="0.25">
      <c r="A3393">
        <f ca="1">38510.9525466678*(RANDBETWEEN(2890,3282))</f>
        <v>114377529.06360322</v>
      </c>
      <c r="B3393">
        <v>229462930.46485022</v>
      </c>
    </row>
    <row r="3394" spans="1:2" x14ac:dyDescent="0.25">
      <c r="A3394">
        <f ca="1">32392.0528649423*(RANDBETWEEN(2890,3282))</f>
        <v>104270018.17224918</v>
      </c>
      <c r="B3394">
        <v>253603223.38330662</v>
      </c>
    </row>
    <row r="3395" spans="1:2" x14ac:dyDescent="0.25">
      <c r="A3395">
        <f ca="1">28970.1428850315*(RANDBETWEEN(2890,3282))</f>
        <v>92878278.089411154</v>
      </c>
      <c r="B3395">
        <v>265770911.06828284</v>
      </c>
    </row>
    <row r="3396" spans="1:2" x14ac:dyDescent="0.25">
      <c r="A3396">
        <f ca="1">34334.3161504824*(RANDBETWEEN(2890,3282))</f>
        <v>111689530.43751918</v>
      </c>
      <c r="B3396">
        <v>246965316.13798398</v>
      </c>
    </row>
    <row r="3397" spans="1:2" x14ac:dyDescent="0.25">
      <c r="A3397">
        <f ca="1">27263.7274457957*(RANDBETWEEN(2890,3282))</f>
        <v>79364710.594711378</v>
      </c>
      <c r="B3397">
        <v>217221582.1532059</v>
      </c>
    </row>
    <row r="3398" spans="1:2" x14ac:dyDescent="0.25">
      <c r="A3398">
        <f ca="1">32110.2817640819*(RANDBETWEEN(2890,3282))</f>
        <v>104101533.47915345</v>
      </c>
      <c r="B3398">
        <v>242628715.58480585</v>
      </c>
    </row>
    <row r="3399" spans="1:2" x14ac:dyDescent="0.25">
      <c r="A3399">
        <f ca="1">32173.0095972544*(RANDBETWEEN(2890,3282))</f>
        <v>98642447.42518203</v>
      </c>
      <c r="B3399">
        <v>245300070.6202257</v>
      </c>
    </row>
    <row r="3400" spans="1:2" x14ac:dyDescent="0.25">
      <c r="A3400">
        <f ca="1">35067.7977132245*(RANDBETWEEN(2890,3282))</f>
        <v>102012223.54777007</v>
      </c>
      <c r="B3400">
        <v>228928445.24445936</v>
      </c>
    </row>
    <row r="3401" spans="1:2" x14ac:dyDescent="0.25">
      <c r="A3401">
        <f ca="1">39138.0067454942*(RANDBETWEEN(2890,3282))</f>
        <v>118470746.41861084</v>
      </c>
      <c r="B3401">
        <v>218081088.85998684</v>
      </c>
    </row>
    <row r="3402" spans="1:2" x14ac:dyDescent="0.25">
      <c r="A3402">
        <f ca="1">31981.7228206873*(RANDBETWEEN(2890,3282))</f>
        <v>98503706.287717015</v>
      </c>
      <c r="B3402">
        <v>222701682.46996552</v>
      </c>
    </row>
    <row r="3403" spans="1:2" x14ac:dyDescent="0.25">
      <c r="A3403">
        <f ca="1">39282.792581546*(RANDBETWEEN(2890,3282))</f>
        <v>119655386.20338902</v>
      </c>
      <c r="B3403">
        <v>213193821.0384239</v>
      </c>
    </row>
    <row r="3404" spans="1:2" x14ac:dyDescent="0.25">
      <c r="A3404">
        <f ca="1">39436.0419442202*(RANDBETWEEN(2890,3282))</f>
        <v>120437672.09764855</v>
      </c>
      <c r="B3404">
        <v>206454860.92041239</v>
      </c>
    </row>
    <row r="3405" spans="1:2" x14ac:dyDescent="0.25">
      <c r="A3405">
        <f ca="1">39443.0171437047*(RANDBETWEEN(2890,3282))</f>
        <v>127992590.63132171</v>
      </c>
      <c r="B3405">
        <v>241614664.63932675</v>
      </c>
    </row>
    <row r="3406" spans="1:2" x14ac:dyDescent="0.25">
      <c r="A3406">
        <f ca="1">30536.8751098893*(RANDBETWEEN(2890,3282))</f>
        <v>93687132.837140426</v>
      </c>
      <c r="B3406">
        <v>222386271.69365111</v>
      </c>
    </row>
    <row r="3407" spans="1:2" x14ac:dyDescent="0.25">
      <c r="A3407">
        <f ca="1">29712.1168635667*(RANDBETWEEN(2890,3282))</f>
        <v>96564379.806591883</v>
      </c>
      <c r="B3407">
        <v>261629840.62215707</v>
      </c>
    </row>
    <row r="3408" spans="1:2" x14ac:dyDescent="0.25">
      <c r="A3408">
        <f ca="1">30816.0289994869*(RANDBETWEEN(2890,3282))</f>
        <v>95036633.434417546</v>
      </c>
      <c r="B3408">
        <v>253970500.66447023</v>
      </c>
    </row>
    <row r="3409" spans="1:2" x14ac:dyDescent="0.25">
      <c r="A3409">
        <f ca="1">32531.7888003625*(RANDBETWEEN(2890,3282))</f>
        <v>100425632.02671897</v>
      </c>
      <c r="B3409">
        <v>251696211.37112653</v>
      </c>
    </row>
    <row r="3410" spans="1:2" x14ac:dyDescent="0.25">
      <c r="A3410">
        <f ca="1">33961.8653616281*(RANDBETWEEN(2890,3282))</f>
        <v>107794960.65780763</v>
      </c>
      <c r="B3410">
        <v>256645592.22521347</v>
      </c>
    </row>
    <row r="3411" spans="1:2" x14ac:dyDescent="0.25">
      <c r="A3411">
        <f ca="1">42724.5024424385*(RANDBETWEEN(2890,3282))</f>
        <v>134069488.66437212</v>
      </c>
      <c r="B3411">
        <v>220401254.60694432</v>
      </c>
    </row>
    <row r="3412" spans="1:2" x14ac:dyDescent="0.25">
      <c r="A3412">
        <f ca="1">32108.0178262773*(RANDBETWEEN(2890,3282))</f>
        <v>104864786.22062153</v>
      </c>
      <c r="B3412">
        <v>217318172.65725645</v>
      </c>
    </row>
    <row r="3413" spans="1:2" x14ac:dyDescent="0.25">
      <c r="A3413">
        <f ca="1">35551.1181446062*(RANDBETWEEN(2890,3282))</f>
        <v>103915918.33668385</v>
      </c>
      <c r="B3413">
        <v>230094853.54662144</v>
      </c>
    </row>
    <row r="3414" spans="1:2" x14ac:dyDescent="0.25">
      <c r="A3414">
        <f ca="1">32840.6859349663*(RANDBETWEEN(2890,3282))</f>
        <v>97503996.540915012</v>
      </c>
      <c r="B3414">
        <v>226654864.86130705</v>
      </c>
    </row>
    <row r="3415" spans="1:2" x14ac:dyDescent="0.25">
      <c r="A3415">
        <f ca="1">37550.9996197943*(RANDBETWEEN(2890,3282))</f>
        <v>122716666.75748764</v>
      </c>
      <c r="B3415">
        <v>262008307.41074824</v>
      </c>
    </row>
    <row r="3416" spans="1:2" x14ac:dyDescent="0.25">
      <c r="A3416">
        <f ca="1">28106.8880493361*(RANDBETWEEN(2890,3282))</f>
        <v>89576652.213234201</v>
      </c>
      <c r="B3416">
        <v>203720997.12536851</v>
      </c>
    </row>
    <row r="3417" spans="1:2" x14ac:dyDescent="0.25">
      <c r="A3417">
        <f ca="1">31483.0704896309*(RANDBETWEEN(2890,3282))</f>
        <v>100934723.98975672</v>
      </c>
      <c r="B3417">
        <v>204069452.84636149</v>
      </c>
    </row>
    <row r="3418" spans="1:2" x14ac:dyDescent="0.25">
      <c r="A3418">
        <f ca="1">27635.6589250106*(RANDBETWEEN(2890,3282))</f>
        <v>90617325.615109667</v>
      </c>
      <c r="B3418">
        <v>249235217.23874724</v>
      </c>
    </row>
    <row r="3419" spans="1:2" x14ac:dyDescent="0.25">
      <c r="A3419">
        <f ca="1">30265.1033970355*(RANDBETWEEN(2890,3282))</f>
        <v>88828078.470299155</v>
      </c>
      <c r="B3419">
        <v>267832804.01202583</v>
      </c>
    </row>
    <row r="3420" spans="1:2" x14ac:dyDescent="0.25">
      <c r="A3420">
        <f ca="1">32593.1676328266*(RANDBETWEEN(2890,3282))</f>
        <v>96540962.528432429</v>
      </c>
      <c r="B3420">
        <v>265209718.46626338</v>
      </c>
    </row>
    <row r="3421" spans="1:2" x14ac:dyDescent="0.25">
      <c r="A3421">
        <f ca="1">32562.0846836021*(RANDBETWEEN(2890,3282))</f>
        <v>96676829.425614655</v>
      </c>
      <c r="B3421">
        <v>267290671.12666863</v>
      </c>
    </row>
    <row r="3422" spans="1:2" x14ac:dyDescent="0.25">
      <c r="A3422">
        <f ca="1">32330.7090977358*(RANDBETWEEN(2890,3282))</f>
        <v>100580836.00305592</v>
      </c>
      <c r="B3422">
        <v>230529155.49446455</v>
      </c>
    </row>
    <row r="3423" spans="1:2" x14ac:dyDescent="0.25">
      <c r="A3423">
        <f ca="1">39869.6960615291*(RANDBETWEEN(2890,3282))</f>
        <v>126227457.73080117</v>
      </c>
      <c r="B3423">
        <v>242115446.97408229</v>
      </c>
    </row>
    <row r="3424" spans="1:2" x14ac:dyDescent="0.25">
      <c r="A3424">
        <f ca="1">38067.0179494622*(RANDBETWEEN(2890,3282))</f>
        <v>110204016.96369322</v>
      </c>
      <c r="B3424">
        <v>214659608.76495963</v>
      </c>
    </row>
    <row r="3425" spans="1:2" x14ac:dyDescent="0.25">
      <c r="A3425">
        <f ca="1">31044.8975213036*(RANDBETWEEN(2890,3282))</f>
        <v>90402741.582036048</v>
      </c>
      <c r="B3425">
        <v>212059142.55904472</v>
      </c>
    </row>
    <row r="3426" spans="1:2" x14ac:dyDescent="0.25">
      <c r="A3426">
        <f ca="1">31744.6430567715*(RANDBETWEEN(2890,3282))</f>
        <v>95805332.745336458</v>
      </c>
      <c r="B3426">
        <v>223300152.03446627</v>
      </c>
    </row>
    <row r="3427" spans="1:2" x14ac:dyDescent="0.25">
      <c r="A3427">
        <f ca="1">36860.3204297196*(RANDBETWEEN(2890,3282))</f>
        <v>108516783.34509444</v>
      </c>
      <c r="B3427">
        <v>264596801.93304616</v>
      </c>
    </row>
    <row r="3428" spans="1:2" x14ac:dyDescent="0.25">
      <c r="A3428">
        <f ca="1">28465.7381718564*(RANDBETWEEN(2890,3282))</f>
        <v>87788336.522005007</v>
      </c>
      <c r="B3428">
        <v>222362696.15672234</v>
      </c>
    </row>
    <row r="3429" spans="1:2" x14ac:dyDescent="0.25">
      <c r="A3429">
        <f ca="1">32496.3137033717*(RANDBETWEEN(2890,3282))</f>
        <v>99958660.95157142</v>
      </c>
      <c r="B3429">
        <v>232780166.69173506</v>
      </c>
    </row>
    <row r="3430" spans="1:2" x14ac:dyDescent="0.25">
      <c r="A3430">
        <f ca="1">39322.130339338*(RANDBETWEEN(2890,3282))</f>
        <v>116275539.41342252</v>
      </c>
      <c r="B3430">
        <v>239187900.13930905</v>
      </c>
    </row>
    <row r="3431" spans="1:2" x14ac:dyDescent="0.25">
      <c r="A3431">
        <f ca="1">29443.2213584189*(RANDBETWEEN(2890,3282))</f>
        <v>94247751.568298757</v>
      </c>
      <c r="B3431">
        <v>210783632.63329798</v>
      </c>
    </row>
    <row r="3432" spans="1:2" x14ac:dyDescent="0.25">
      <c r="A3432">
        <f ca="1">31078.4154122393*(RANDBETWEEN(2890,3282))</f>
        <v>97834851.717729256</v>
      </c>
      <c r="B3432">
        <v>244970363.58311498</v>
      </c>
    </row>
    <row r="3433" spans="1:2" x14ac:dyDescent="0.25">
      <c r="A3433">
        <f ca="1">30209.2792285739*(RANDBETWEEN(2890,3282))</f>
        <v>89872605.705007315</v>
      </c>
      <c r="B3433">
        <v>229433088.95925462</v>
      </c>
    </row>
    <row r="3434" spans="1:2" x14ac:dyDescent="0.25">
      <c r="A3434">
        <f ca="1">30007.4708264288*(RANDBETWEEN(2890,3282))</f>
        <v>88311986.642179906</v>
      </c>
      <c r="B3434">
        <v>242224774.5362426</v>
      </c>
    </row>
    <row r="3435" spans="1:2" x14ac:dyDescent="0.25">
      <c r="A3435">
        <f ca="1">32551.3448240085*(RANDBETWEEN(2890,3282))</f>
        <v>98174855.989209592</v>
      </c>
      <c r="B3435">
        <v>257819789.33160183</v>
      </c>
    </row>
    <row r="3436" spans="1:2" x14ac:dyDescent="0.25">
      <c r="A3436">
        <f ca="1">40793.5029750486*(RANDBETWEEN(2890,3282))</f>
        <v>119810518.23771782</v>
      </c>
      <c r="B3436">
        <v>251367591.08795604</v>
      </c>
    </row>
    <row r="3437" spans="1:2" x14ac:dyDescent="0.25">
      <c r="A3437">
        <f ca="1">40792.1724592266*(RANDBETWEEN(2890,3282))</f>
        <v>122498893.89505748</v>
      </c>
      <c r="B3437">
        <v>225728809.93856445</v>
      </c>
    </row>
    <row r="3438" spans="1:2" x14ac:dyDescent="0.25">
      <c r="A3438">
        <f ca="1">37452.8235022821*(RANDBETWEEN(2890,3282))</f>
        <v>121197336.85338475</v>
      </c>
      <c r="B3438">
        <v>223358786.7427403</v>
      </c>
    </row>
    <row r="3439" spans="1:2" x14ac:dyDescent="0.25">
      <c r="A3439">
        <f ca="1">33368.0233424164*(RANDBETWEEN(2890,3282))</f>
        <v>106911146.78910206</v>
      </c>
      <c r="B3439">
        <v>257114248.63963181</v>
      </c>
    </row>
    <row r="3440" spans="1:2" x14ac:dyDescent="0.25">
      <c r="A3440">
        <f ca="1">31330.0730041661*(RANDBETWEEN(2890,3282))</f>
        <v>92956326.603360817</v>
      </c>
      <c r="B3440">
        <v>238930506.61171144</v>
      </c>
    </row>
    <row r="3441" spans="1:2" x14ac:dyDescent="0.25">
      <c r="A3441">
        <f ca="1">31312.5010096161*(RANDBETWEEN(2890,3282))</f>
        <v>92841565.493511781</v>
      </c>
      <c r="B3441">
        <v>260604879.51079661</v>
      </c>
    </row>
    <row r="3442" spans="1:2" x14ac:dyDescent="0.25">
      <c r="A3442">
        <f ca="1">31958.0231767853*(RANDBETWEEN(2890,3282))</f>
        <v>98207005.222261101</v>
      </c>
      <c r="B3442">
        <v>217665284.38629672</v>
      </c>
    </row>
    <row r="3443" spans="1:2" x14ac:dyDescent="0.25">
      <c r="A3443">
        <f ca="1">30054.8541494705*(RANDBETWEEN(2890,3282))</f>
        <v>93560760.96730189</v>
      </c>
      <c r="B3443">
        <v>233594871.10426471</v>
      </c>
    </row>
    <row r="3444" spans="1:2" x14ac:dyDescent="0.25">
      <c r="A3444">
        <f ca="1">37629.7720452723*(RANDBETWEEN(2890,3282))</f>
        <v>116087846.75966509</v>
      </c>
      <c r="B3444">
        <v>221248307.49762431</v>
      </c>
    </row>
    <row r="3445" spans="1:2" x14ac:dyDescent="0.25">
      <c r="A3445">
        <f ca="1">36368.2503950598*(RANDBETWEEN(2890,3282))</f>
        <v>107722757.67016725</v>
      </c>
      <c r="B3445">
        <v>221692307.95533085</v>
      </c>
    </row>
    <row r="3446" spans="1:2" x14ac:dyDescent="0.25">
      <c r="A3446">
        <f ca="1">30108.7618692684*(RANDBETWEEN(2890,3282))</f>
        <v>88248781.038825721</v>
      </c>
      <c r="B3446">
        <v>233871670.64980718</v>
      </c>
    </row>
    <row r="3447" spans="1:2" x14ac:dyDescent="0.25">
      <c r="A3447">
        <f ca="1">35711.3813965615*(RANDBETWEEN(2890,3282))</f>
        <v>116204835.06441118</v>
      </c>
      <c r="B3447">
        <v>250480193.44675314</v>
      </c>
    </row>
    <row r="3448" spans="1:2" x14ac:dyDescent="0.25">
      <c r="A3448">
        <f ca="1">33067.2668696767*(RANDBETWEEN(2890,3282))</f>
        <v>103434410.76834857</v>
      </c>
      <c r="B3448">
        <v>216650133.58093953</v>
      </c>
    </row>
    <row r="3449" spans="1:2" x14ac:dyDescent="0.25">
      <c r="A3449">
        <f ca="1">31205.3883998191*(RANDBETWEEN(2890,3282))</f>
        <v>99607599.772222564</v>
      </c>
      <c r="B3449">
        <v>259281170.67700449</v>
      </c>
    </row>
    <row r="3450" spans="1:2" x14ac:dyDescent="0.25">
      <c r="A3450">
        <f ca="1">31248.8584568714*(RANDBETWEEN(2890,3282))</f>
        <v>101965025.14477132</v>
      </c>
      <c r="B3450">
        <v>224715921.70523116</v>
      </c>
    </row>
    <row r="3451" spans="1:2" x14ac:dyDescent="0.25">
      <c r="A3451">
        <f ca="1">37869.7580947909*(RANDBETWEEN(2890,3282))</f>
        <v>118797431.14335917</v>
      </c>
      <c r="B3451">
        <v>208318407.53473708</v>
      </c>
    </row>
    <row r="3452" spans="1:2" x14ac:dyDescent="0.25">
      <c r="A3452">
        <f ca="1">32636.8467176684*(RANDBETWEEN(2890,3282))</f>
        <v>104894825.35058621</v>
      </c>
      <c r="B3452">
        <v>253695204.74638277</v>
      </c>
    </row>
    <row r="3453" spans="1:2" x14ac:dyDescent="0.25">
      <c r="A3453">
        <f ca="1">32171.8832967835*(RANDBETWEEN(2890,3282))</f>
        <v>102756995.24992634</v>
      </c>
      <c r="B3453">
        <v>217036217.23875988</v>
      </c>
    </row>
    <row r="3454" spans="1:2" x14ac:dyDescent="0.25">
      <c r="A3454">
        <f ca="1">32679.2400991466*(RANDBETWEEN(2890,3282))</f>
        <v>103919983.51528627</v>
      </c>
      <c r="B3454">
        <v>227145814.42084956</v>
      </c>
    </row>
    <row r="3455" spans="1:2" x14ac:dyDescent="0.25">
      <c r="A3455">
        <f ca="1">34721.4157296786*(RANDBETWEEN(2890,3282))</f>
        <v>113851522.17761625</v>
      </c>
      <c r="B3455">
        <v>216562118.2857123</v>
      </c>
    </row>
    <row r="3456" spans="1:2" x14ac:dyDescent="0.25">
      <c r="A3456">
        <f ca="1">39080.7759581621*(RANDBETWEEN(2890,3282))</f>
        <v>116577954.68319763</v>
      </c>
      <c r="B3456">
        <v>219787059.29588577</v>
      </c>
    </row>
    <row r="3457" spans="1:2" x14ac:dyDescent="0.25">
      <c r="A3457">
        <f ca="1">32375.1505493667*(RANDBETWEEN(2890,3282))</f>
        <v>99165086.132710204</v>
      </c>
      <c r="B3457">
        <v>244685907.44651201</v>
      </c>
    </row>
    <row r="3458" spans="1:2" x14ac:dyDescent="0.25">
      <c r="A3458">
        <f ca="1">37026.8277210432*(RANDBETWEEN(2890,3282))</f>
        <v>110488053.91959302</v>
      </c>
      <c r="B3458">
        <v>209724871.01984757</v>
      </c>
    </row>
    <row r="3459" spans="1:2" x14ac:dyDescent="0.25">
      <c r="A3459">
        <f ca="1">31309.8059135607*(RANDBETWEEN(2890,3282))</f>
        <v>95244429.58905153</v>
      </c>
      <c r="B3459">
        <v>205809521.88289437</v>
      </c>
    </row>
    <row r="3460" spans="1:2" x14ac:dyDescent="0.25">
      <c r="A3460">
        <f ca="1">31890.0633494386*(RANDBETWEEN(2890,3282))</f>
        <v>98763526.193211392</v>
      </c>
      <c r="B3460">
        <v>267708931.68350822</v>
      </c>
    </row>
    <row r="3461" spans="1:2" x14ac:dyDescent="0.25">
      <c r="A3461">
        <f ca="1">31537.1393232474*(RANDBETWEEN(2890,3282))</f>
        <v>100981920.11303827</v>
      </c>
      <c r="B3461">
        <v>238883803.2779125</v>
      </c>
    </row>
    <row r="3462" spans="1:2" x14ac:dyDescent="0.25">
      <c r="A3462">
        <f ca="1">33576.2208373486*(RANDBETWEEN(2890,3282))</f>
        <v>101668796.69549149</v>
      </c>
      <c r="B3462">
        <v>256208092.25221977</v>
      </c>
    </row>
    <row r="3463" spans="1:2" x14ac:dyDescent="0.25">
      <c r="A3463">
        <f ca="1">32281.3119309498*(RANDBETWEEN(2890,3282))</f>
        <v>97037623.664434955</v>
      </c>
      <c r="B3463">
        <v>264396054.84620434</v>
      </c>
    </row>
    <row r="3464" spans="1:2" x14ac:dyDescent="0.25">
      <c r="A3464">
        <f ca="1">29704.9854731094*(RANDBETWEEN(2890,3282))</f>
        <v>88996136.477435678</v>
      </c>
      <c r="B3464">
        <v>257837066.80816361</v>
      </c>
    </row>
    <row r="3465" spans="1:2" x14ac:dyDescent="0.25">
      <c r="A3465">
        <f ca="1">36596.4300968234*(RANDBETWEEN(2890,3282))</f>
        <v>114620019.06325081</v>
      </c>
      <c r="B3465">
        <v>216422260.74563205</v>
      </c>
    </row>
    <row r="3466" spans="1:2" x14ac:dyDescent="0.25">
      <c r="A3466">
        <f ca="1">30751.3297324543*(RANDBETWEEN(2890,3282))</f>
        <v>100003324.28994131</v>
      </c>
      <c r="B3466">
        <v>250600071.51664805</v>
      </c>
    </row>
    <row r="3467" spans="1:2" x14ac:dyDescent="0.25">
      <c r="A3467">
        <f ca="1">30184.2103749961*(RANDBETWEEN(2890,3282))</f>
        <v>87232367.983738691</v>
      </c>
      <c r="B3467">
        <v>217350711.84319323</v>
      </c>
    </row>
    <row r="3468" spans="1:2" x14ac:dyDescent="0.25">
      <c r="A3468">
        <f ca="1">34108.9142011449*(RANDBETWEEN(2890,3282))</f>
        <v>110410555.26910602</v>
      </c>
      <c r="B3468">
        <v>208204022.45594189</v>
      </c>
    </row>
    <row r="3469" spans="1:2" x14ac:dyDescent="0.25">
      <c r="A3469">
        <f ca="1">28739.5630720732*(RANDBETWEEN(2890,3282))</f>
        <v>94179548.187183768</v>
      </c>
      <c r="B3469">
        <v>258604763.37261623</v>
      </c>
    </row>
    <row r="3470" spans="1:2" x14ac:dyDescent="0.25">
      <c r="A3470">
        <f ca="1">31368.735082447*(RANDBETWEEN(2890,3282))</f>
        <v>95862854.411958188</v>
      </c>
      <c r="B3470">
        <v>254791677.31711224</v>
      </c>
    </row>
    <row r="3471" spans="1:2" x14ac:dyDescent="0.25">
      <c r="A3471">
        <f ca="1">39089.0085194611*(RANDBETWEEN(2890,3282))</f>
        <v>127117455.70528749</v>
      </c>
      <c r="B3471">
        <v>210600756.73281687</v>
      </c>
    </row>
    <row r="3472" spans="1:2" x14ac:dyDescent="0.25">
      <c r="A3472">
        <f ca="1">41268.3988786903*(RANDBETWEEN(2890,3282))</f>
        <v>131150971.63647775</v>
      </c>
      <c r="B3472">
        <v>213520142.74074879</v>
      </c>
    </row>
    <row r="3473" spans="1:2" x14ac:dyDescent="0.25">
      <c r="A3473">
        <f ca="1">30127.2713671112*(RANDBETWEEN(2890,3282))</f>
        <v>95864977.490147784</v>
      </c>
      <c r="B3473">
        <v>265124665.34850293</v>
      </c>
    </row>
    <row r="3474" spans="1:2" x14ac:dyDescent="0.25">
      <c r="A3474">
        <f ca="1">35432.0862286493*(RANDBETWEEN(2890,3282))</f>
        <v>116146378.65751231</v>
      </c>
      <c r="B3474">
        <v>229885168.98653337</v>
      </c>
    </row>
    <row r="3475" spans="1:2" x14ac:dyDescent="0.25">
      <c r="A3475">
        <f ca="1">40746.962882371*(RANDBETWEEN(2890,3282))</f>
        <v>117962457.54446413</v>
      </c>
      <c r="B3475">
        <v>261099550.66081348</v>
      </c>
    </row>
    <row r="3476" spans="1:2" x14ac:dyDescent="0.25">
      <c r="A3476">
        <f ca="1">31585.2973327566*(RANDBETWEEN(2890,3282))</f>
        <v>99714783.67951256</v>
      </c>
      <c r="B3476">
        <v>260476024.87170798</v>
      </c>
    </row>
    <row r="3477" spans="1:2" x14ac:dyDescent="0.25">
      <c r="A3477">
        <f ca="1">34391.3291470952*(RANDBETWEEN(2890,3282))</f>
        <v>106372381.05196542</v>
      </c>
      <c r="B3477">
        <v>207896362.32207984</v>
      </c>
    </row>
    <row r="3478" spans="1:2" x14ac:dyDescent="0.25">
      <c r="A3478">
        <f ca="1">31983.6443430682*(RANDBETWEEN(2890,3282))</f>
        <v>101644021.72227064</v>
      </c>
      <c r="B3478">
        <v>206417162.796978</v>
      </c>
    </row>
    <row r="3479" spans="1:2" x14ac:dyDescent="0.25">
      <c r="A3479">
        <f ca="1">41430.5539450456*(RANDBETWEEN(2890,3282))</f>
        <v>133406383.70304692</v>
      </c>
      <c r="B3479">
        <v>208892445.30485016</v>
      </c>
    </row>
    <row r="3480" spans="1:2" x14ac:dyDescent="0.25">
      <c r="A3480">
        <f ca="1">31748.7413863406*(RANDBETWEEN(2890,3282))</f>
        <v>96293932.624771103</v>
      </c>
      <c r="B3480">
        <v>258746948.57163525</v>
      </c>
    </row>
    <row r="3481" spans="1:2" x14ac:dyDescent="0.25">
      <c r="A3481">
        <f ca="1">32265.8666403747*(RANDBETWEEN(2890,3282))</f>
        <v>96926663.387685552</v>
      </c>
      <c r="B3481">
        <v>232926251.89281291</v>
      </c>
    </row>
    <row r="3482" spans="1:2" x14ac:dyDescent="0.25">
      <c r="A3482">
        <f ca="1">34386.7934695348*(RANDBETWEEN(2890,3282))</f>
        <v>112032173.12374447</v>
      </c>
      <c r="B3482">
        <v>204341323.14500087</v>
      </c>
    </row>
    <row r="3483" spans="1:2" x14ac:dyDescent="0.25">
      <c r="A3483">
        <f ca="1">32497.6661672523*(RANDBETWEEN(2890,3282))</f>
        <v>94080743.554195359</v>
      </c>
      <c r="B3483">
        <v>213841686.89300039</v>
      </c>
    </row>
    <row r="3484" spans="1:2" x14ac:dyDescent="0.25">
      <c r="A3484">
        <f ca="1">36321.7183212917*(RANDBETWEEN(2890,3282))</f>
        <v>110890206.03490354</v>
      </c>
      <c r="B3484">
        <v>226680067.35425836</v>
      </c>
    </row>
    <row r="3485" spans="1:2" x14ac:dyDescent="0.25">
      <c r="A3485">
        <f ca="1">30354.894959743*(RANDBETWEEN(2890,3282))</f>
        <v>99260506.518359676</v>
      </c>
      <c r="B3485">
        <v>229968947.36302322</v>
      </c>
    </row>
    <row r="3486" spans="1:2" x14ac:dyDescent="0.25">
      <c r="A3486">
        <f ca="1">34118.4074115591*(RANDBETWEEN(2890,3282))</f>
        <v>101297551.60491893</v>
      </c>
      <c r="B3486">
        <v>243139686.38758445</v>
      </c>
    </row>
    <row r="3487" spans="1:2" x14ac:dyDescent="0.25">
      <c r="A3487">
        <f ca="1">32652.2842719103*(RANDBETWEEN(2890,3282))</f>
        <v>103573045.71049939</v>
      </c>
      <c r="B3487">
        <v>217907727.53598845</v>
      </c>
    </row>
    <row r="3488" spans="1:2" x14ac:dyDescent="0.25">
      <c r="A3488">
        <f ca="1">30625.4903382918*(RANDBETWEEN(2890,3282))</f>
        <v>93867127.886864245</v>
      </c>
      <c r="B3488">
        <v>236952248.31834748</v>
      </c>
    </row>
    <row r="3489" spans="1:2" x14ac:dyDescent="0.25">
      <c r="A3489">
        <f ca="1">37299.7530505717*(RANDBETWEEN(2890,3282))</f>
        <v>116076831.49337927</v>
      </c>
      <c r="B3489">
        <v>243900173.13682836</v>
      </c>
    </row>
    <row r="3490" spans="1:2" x14ac:dyDescent="0.25">
      <c r="A3490">
        <f ca="1">32480.0903081585*(RANDBETWEEN(2890,3282))</f>
        <v>100168598.51036076</v>
      </c>
      <c r="B3490">
        <v>241540340.34517995</v>
      </c>
    </row>
    <row r="3491" spans="1:2" x14ac:dyDescent="0.25">
      <c r="A3491">
        <f ca="1">30941.5967619948*(RANDBETWEEN(2890,3282))</f>
        <v>91772775.99607648</v>
      </c>
      <c r="B3491">
        <v>243024030.70873493</v>
      </c>
    </row>
    <row r="3492" spans="1:2" x14ac:dyDescent="0.25">
      <c r="A3492">
        <f ca="1">37150.5199933169*(RANDBETWEEN(2890,3282))</f>
        <v>114460752.09940943</v>
      </c>
      <c r="B3492">
        <v>205221804.32749796</v>
      </c>
    </row>
    <row r="3493" spans="1:2" x14ac:dyDescent="0.25">
      <c r="A3493">
        <f ca="1">38226.3667675209*(RANDBETWEEN(2890,3282))</f>
        <v>114793779.40286529</v>
      </c>
      <c r="B3493">
        <v>231020799.52258161</v>
      </c>
    </row>
    <row r="3494" spans="1:2" x14ac:dyDescent="0.25">
      <c r="A3494">
        <f ca="1">38146.0085337819*(RANDBETWEEN(2890,3282))</f>
        <v>116421618.04510225</v>
      </c>
      <c r="B3494">
        <v>256916911.57873046</v>
      </c>
    </row>
    <row r="3495" spans="1:2" x14ac:dyDescent="0.25">
      <c r="A3495">
        <f ca="1">30027.5348749668*(RANDBETWEEN(2890,3282))</f>
        <v>88521172.811402276</v>
      </c>
      <c r="B3495">
        <v>237718500.19755223</v>
      </c>
    </row>
    <row r="3496" spans="1:2" x14ac:dyDescent="0.25">
      <c r="A3496">
        <f ca="1">30224.2456067502*(RANDBETWEEN(2890,3282))</f>
        <v>91579464.188453019</v>
      </c>
      <c r="B3496">
        <v>228526754.6602</v>
      </c>
    </row>
    <row r="3497" spans="1:2" x14ac:dyDescent="0.25">
      <c r="A3497">
        <f ca="1">32294.5517427212*(RANDBETWEEN(2890,3282))</f>
        <v>96528415.158993721</v>
      </c>
      <c r="B3497">
        <v>251500609.27459332</v>
      </c>
    </row>
    <row r="3498" spans="1:2" x14ac:dyDescent="0.25">
      <c r="A3498">
        <f ca="1">32649.7978438028*(RANDBETWEEN(2890,3282))</f>
        <v>97557595.957282722</v>
      </c>
      <c r="B3498">
        <v>257611459.39262348</v>
      </c>
    </row>
    <row r="3499" spans="1:2" x14ac:dyDescent="0.25">
      <c r="A3499">
        <f ca="1">29865.0546140944*(RANDBETWEEN(2890,3282))</f>
        <v>92103828.429867268</v>
      </c>
      <c r="B3499">
        <v>229980999.44740951</v>
      </c>
    </row>
    <row r="3500" spans="1:2" x14ac:dyDescent="0.25">
      <c r="A3500">
        <f ca="1">32715.2155360119*(RANDBETWEEN(2890,3282))</f>
        <v>95397568.50301078</v>
      </c>
      <c r="B3500">
        <v>244827733.71510994</v>
      </c>
    </row>
    <row r="3501" spans="1:2" x14ac:dyDescent="0.25">
      <c r="A3501">
        <f ca="1">34929.0716390774*(RANDBETWEEN(2890,3282))</f>
        <v>104158491.62772895</v>
      </c>
      <c r="B3501">
        <v>239087215.34221309</v>
      </c>
    </row>
    <row r="3502" spans="1:2" x14ac:dyDescent="0.25">
      <c r="A3502">
        <f ca="1">37292.2783511801*(RANDBETWEEN(2890,3282))</f>
        <v>114972094.15668809</v>
      </c>
      <c r="B3502">
        <v>249421271.82839984</v>
      </c>
    </row>
    <row r="3503" spans="1:2" x14ac:dyDescent="0.25">
      <c r="A3503">
        <f ca="1">31638.4648811455*(RANDBETWEEN(2890,3282))</f>
        <v>101622749.19823934</v>
      </c>
      <c r="B3503">
        <v>255246900.67594966</v>
      </c>
    </row>
    <row r="3504" spans="1:2" x14ac:dyDescent="0.25">
      <c r="A3504">
        <f ca="1">32037.9855284117*(RANDBETWEEN(2890,3282))</f>
        <v>100727426.50132626</v>
      </c>
      <c r="B3504">
        <v>228803523.46055466</v>
      </c>
    </row>
    <row r="3505" spans="1:2" x14ac:dyDescent="0.25">
      <c r="A3505">
        <f ca="1">33422.5166535063*(RANDBETWEEN(2890,3282))</f>
        <v>102673971.15957136</v>
      </c>
      <c r="B3505">
        <v>209847212.7277419</v>
      </c>
    </row>
    <row r="3506" spans="1:2" x14ac:dyDescent="0.25">
      <c r="A3506">
        <f ca="1">36027.3311949586*(RANDBETWEEN(2890,3282))</f>
        <v>108298157.57204556</v>
      </c>
      <c r="B3506">
        <v>258407971.56355578</v>
      </c>
    </row>
    <row r="3507" spans="1:2" x14ac:dyDescent="0.25">
      <c r="A3507">
        <f ca="1">33746.5966369739*(RANDBETWEEN(2890,3282))</f>
        <v>109743932.26343913</v>
      </c>
      <c r="B3507">
        <v>220527192.79269761</v>
      </c>
    </row>
    <row r="3508" spans="1:2" x14ac:dyDescent="0.25">
      <c r="A3508">
        <f ca="1">40024.5351145461*(RANDBETWEEN(2890,3282))</f>
        <v>128798953.9986092</v>
      </c>
      <c r="B3508">
        <v>254609606.98238218</v>
      </c>
    </row>
    <row r="3509" spans="1:2" x14ac:dyDescent="0.25">
      <c r="A3509">
        <f ca="1">35698.2546237337*(RANDBETWEEN(2890,3282))</f>
        <v>110950175.37056439</v>
      </c>
      <c r="B3509">
        <v>258847495.51398882</v>
      </c>
    </row>
    <row r="3510" spans="1:2" x14ac:dyDescent="0.25">
      <c r="A3510">
        <f ca="1">33144.2735455585*(RANDBETWEEN(2890,3282))</f>
        <v>101918641.15259241</v>
      </c>
      <c r="B3510">
        <v>218397501.37545583</v>
      </c>
    </row>
    <row r="3511" spans="1:2" x14ac:dyDescent="0.25">
      <c r="A3511">
        <f ca="1">31263.1517880727*(RANDBETWEEN(2890,3282))</f>
        <v>96634402.176932856</v>
      </c>
      <c r="B3511">
        <v>240595636.33872473</v>
      </c>
    </row>
    <row r="3512" spans="1:2" x14ac:dyDescent="0.25">
      <c r="A3512">
        <f ca="1">41618.6767147465*(RANDBETWEEN(2890,3282))</f>
        <v>135177461.96949676</v>
      </c>
      <c r="B3512">
        <v>253588721.54050189</v>
      </c>
    </row>
    <row r="3513" spans="1:2" x14ac:dyDescent="0.25">
      <c r="A3513">
        <f ca="1">28984.3531236976*(RANDBETWEEN(2890,3282))</f>
        <v>89648604.211596817</v>
      </c>
      <c r="B3513">
        <v>206762356.98922235</v>
      </c>
    </row>
    <row r="3514" spans="1:2" x14ac:dyDescent="0.25">
      <c r="A3514">
        <f ca="1">32084.7397923108*(RANDBETWEEN(2890,3282))</f>
        <v>94810406.086278513</v>
      </c>
      <c r="B3514">
        <v>232329059.68003124</v>
      </c>
    </row>
    <row r="3515" spans="1:2" x14ac:dyDescent="0.25">
      <c r="A3515">
        <f ca="1">28972.1703469092*(RANDBETWEEN(2890,3282))</f>
        <v>94217497.968148634</v>
      </c>
      <c r="B3515">
        <v>253293361.51852685</v>
      </c>
    </row>
    <row r="3516" spans="1:2" x14ac:dyDescent="0.25">
      <c r="A3516">
        <f ca="1">34419.6613405898*(RANDBETWEEN(2890,3282))</f>
        <v>101985456.55216767</v>
      </c>
      <c r="B3516">
        <v>224105818.82185358</v>
      </c>
    </row>
    <row r="3517" spans="1:2" x14ac:dyDescent="0.25">
      <c r="A3517">
        <f ca="1">32661.1442915157*(RANDBETWEEN(2890,3282))</f>
        <v>94488690.435354888</v>
      </c>
      <c r="B3517">
        <v>214916730.34445971</v>
      </c>
    </row>
    <row r="3518" spans="1:2" x14ac:dyDescent="0.25">
      <c r="A3518">
        <f ca="1">40717.716074376*(RANDBETWEEN(2890,3282))</f>
        <v>123456115.13750815</v>
      </c>
      <c r="B3518">
        <v>212887899.27591366</v>
      </c>
    </row>
    <row r="3519" spans="1:2" x14ac:dyDescent="0.25">
      <c r="A3519">
        <f ca="1">36518.7389494368*(RANDBETWEEN(2890,3282))</f>
        <v>109446660.63146208</v>
      </c>
      <c r="B3519">
        <v>232348613.54080045</v>
      </c>
    </row>
    <row r="3520" spans="1:2" x14ac:dyDescent="0.25">
      <c r="A3520">
        <f ca="1">39613.4538919128*(RANDBETWEEN(2890,3282))</f>
        <v>128585271.33314905</v>
      </c>
      <c r="B3520">
        <v>207561429.1600967</v>
      </c>
    </row>
    <row r="3521" spans="1:2" x14ac:dyDescent="0.25">
      <c r="A3521">
        <f ca="1">38632.6768430639*(RANDBETWEEN(2890,3282))</f>
        <v>113541437.24176469</v>
      </c>
      <c r="B3521">
        <v>206881198.94095737</v>
      </c>
    </row>
    <row r="3522" spans="1:2" x14ac:dyDescent="0.25">
      <c r="A3522">
        <f ca="1">33046.7976104684*(RANDBETWEEN(2890,3282))</f>
        <v>102775540.5685567</v>
      </c>
      <c r="B3522">
        <v>258424134.75520688</v>
      </c>
    </row>
    <row r="3523" spans="1:2" x14ac:dyDescent="0.25">
      <c r="A3523">
        <f ca="1">31485.1199809467*(RANDBETWEEN(2890,3282))</f>
        <v>99870800.579563007</v>
      </c>
      <c r="B3523">
        <v>214118602.8108511</v>
      </c>
    </row>
    <row r="3524" spans="1:2" x14ac:dyDescent="0.25">
      <c r="A3524">
        <f ca="1">30312.6593979534*(RANDBETWEEN(2890,3282))</f>
        <v>87815774.275870875</v>
      </c>
      <c r="B3524">
        <v>214156082.66654846</v>
      </c>
    </row>
    <row r="3525" spans="1:2" x14ac:dyDescent="0.25">
      <c r="A3525">
        <f ca="1">30162.5715613713*(RANDBETWEEN(2890,3282))</f>
        <v>89944788.396009162</v>
      </c>
      <c r="B3525">
        <v>232904697.95570964</v>
      </c>
    </row>
    <row r="3526" spans="1:2" x14ac:dyDescent="0.25">
      <c r="A3526">
        <f ca="1">34589.2533560341*(RANDBETWEEN(2890,3282))</f>
        <v>113003090.71416339</v>
      </c>
      <c r="B3526">
        <v>254495229.01561734</v>
      </c>
    </row>
    <row r="3527" spans="1:2" x14ac:dyDescent="0.25">
      <c r="A3527">
        <f ca="1">30228.9636261904*(RANDBETWEEN(2890,3282))</f>
        <v>89507961.297149882</v>
      </c>
      <c r="B3527">
        <v>265939457.692743</v>
      </c>
    </row>
    <row r="3528" spans="1:2" x14ac:dyDescent="0.25">
      <c r="A3528">
        <f ca="1">32205.2994421801*(RANDBETWEEN(2890,3282))</f>
        <v>100255097.16350678</v>
      </c>
      <c r="B3528">
        <v>203808619.42386764</v>
      </c>
    </row>
    <row r="3529" spans="1:2" x14ac:dyDescent="0.25">
      <c r="A3529">
        <f ca="1">37588.8502572684*(RANDBETWEEN(2890,3282))</f>
        <v>122877951.49101038</v>
      </c>
      <c r="B3529">
        <v>253200525.71084172</v>
      </c>
    </row>
    <row r="3530" spans="1:2" x14ac:dyDescent="0.25">
      <c r="A3530">
        <f ca="1">31768.0314318374*(RANDBETWEEN(2890,3282))</f>
        <v>101816540.73903874</v>
      </c>
      <c r="B3530">
        <v>212258373.75643697</v>
      </c>
    </row>
    <row r="3531" spans="1:2" x14ac:dyDescent="0.25">
      <c r="A3531">
        <f ca="1">34046.7577780088*(RANDBETWEEN(2890,3282))</f>
        <v>110277448.44297065</v>
      </c>
      <c r="B3531">
        <v>234407306.01606435</v>
      </c>
    </row>
    <row r="3532" spans="1:2" x14ac:dyDescent="0.25">
      <c r="A3532">
        <f ca="1">38223.258656223*(RANDBETWEEN(2890,3282))</f>
        <v>123575795.235569</v>
      </c>
      <c r="B3532">
        <v>263015963.43466187</v>
      </c>
    </row>
    <row r="3533" spans="1:2" x14ac:dyDescent="0.25">
      <c r="A3533">
        <f ca="1">38703.409137139*(RANDBETWEEN(2890,3282))</f>
        <v>122457586.50990775</v>
      </c>
      <c r="B3533">
        <v>238227774.60878992</v>
      </c>
    </row>
    <row r="3534" spans="1:2" x14ac:dyDescent="0.25">
      <c r="A3534">
        <f ca="1">39233.6504607487*(RANDBETWEEN(2890,3282))</f>
        <v>121114278.9723313</v>
      </c>
      <c r="B3534">
        <v>216691353.28210026</v>
      </c>
    </row>
    <row r="3535" spans="1:2" x14ac:dyDescent="0.25">
      <c r="A3535">
        <f ca="1">37161.073196636*(RANDBETWEEN(2890,3282))</f>
        <v>116760091.9838303</v>
      </c>
      <c r="B3535">
        <v>248446186.15563694</v>
      </c>
    </row>
    <row r="3536" spans="1:2" x14ac:dyDescent="0.25">
      <c r="A3536">
        <f ca="1">32177.0278396725*(RANDBETWEEN(2890,3282))</f>
        <v>97013738.936612621</v>
      </c>
      <c r="B3536">
        <v>244476095.57789269</v>
      </c>
    </row>
    <row r="3537" spans="1:2" x14ac:dyDescent="0.25">
      <c r="A3537">
        <f ca="1">33153.7069068413*(RANDBETWEEN(2890,3282))</f>
        <v>100356270.80700876</v>
      </c>
      <c r="B3537">
        <v>228394238.73874554</v>
      </c>
    </row>
    <row r="3538" spans="1:2" x14ac:dyDescent="0.25">
      <c r="A3538">
        <f ca="1">33436.3482964826*(RANDBETWEEN(2890,3282))</f>
        <v>104354843.03332232</v>
      </c>
      <c r="B3538">
        <v>227495404.80951652</v>
      </c>
    </row>
    <row r="3539" spans="1:2" x14ac:dyDescent="0.25">
      <c r="A3539">
        <f ca="1">38591.9534942626*(RANDBETWEEN(2890,3282))</f>
        <v>118245745.50642055</v>
      </c>
      <c r="B3539">
        <v>253578916.09460899</v>
      </c>
    </row>
    <row r="3540" spans="1:2" x14ac:dyDescent="0.25">
      <c r="A3540">
        <f ca="1">36373.2429240771*(RANDBETWEEN(2890,3282))</f>
        <v>106900960.95386273</v>
      </c>
      <c r="B3540">
        <v>204401665.97809041</v>
      </c>
    </row>
    <row r="3541" spans="1:2" x14ac:dyDescent="0.25">
      <c r="A3541">
        <f ca="1">30961.445941739*(RANDBETWEEN(2890,3282))</f>
        <v>92977222.163042113</v>
      </c>
      <c r="B3541">
        <v>208091282.79048598</v>
      </c>
    </row>
    <row r="3542" spans="1:2" x14ac:dyDescent="0.25">
      <c r="A3542">
        <f ca="1">29003.1038483398*(RANDBETWEEN(2890,3282))</f>
        <v>92084854.718478963</v>
      </c>
      <c r="B3542">
        <v>227240398.21570307</v>
      </c>
    </row>
    <row r="3543" spans="1:2" x14ac:dyDescent="0.25">
      <c r="A3543">
        <f ca="1">28623.9538532894*(RANDBETWEEN(2890,3282))</f>
        <v>91453532.561259687</v>
      </c>
      <c r="B3543">
        <v>222046058.84980583</v>
      </c>
    </row>
    <row r="3544" spans="1:2" x14ac:dyDescent="0.25">
      <c r="A3544">
        <f ca="1">36335.0156202621*(RANDBETWEEN(2890,3282))</f>
        <v>108460021.62648243</v>
      </c>
      <c r="B3544">
        <v>259418774.93765071</v>
      </c>
    </row>
    <row r="3545" spans="1:2" x14ac:dyDescent="0.25">
      <c r="A3545">
        <f ca="1">41516.9878745572*(RANDBETWEEN(2890,3282))</f>
        <v>124135793.74492614</v>
      </c>
      <c r="B3545">
        <v>219272838.72316694</v>
      </c>
    </row>
    <row r="3546" spans="1:2" x14ac:dyDescent="0.25">
      <c r="A3546">
        <f ca="1">30628.4779253907*(RANDBETWEEN(2890,3282))</f>
        <v>89465784.020066306</v>
      </c>
      <c r="B3546">
        <v>247467586.86572859</v>
      </c>
    </row>
    <row r="3547" spans="1:2" x14ac:dyDescent="0.25">
      <c r="A3547">
        <f ca="1">37442.3557665009*(RANDBETWEEN(2890,3282))</f>
        <v>111578220.18417276</v>
      </c>
      <c r="B3547">
        <v>258136714.87380096</v>
      </c>
    </row>
    <row r="3548" spans="1:2" x14ac:dyDescent="0.25">
      <c r="A3548">
        <f ca="1">31044.2089643203*(RANDBETWEEN(2890,3282))</f>
        <v>90183427.041350439</v>
      </c>
      <c r="B3548">
        <v>261748962.52367517</v>
      </c>
    </row>
    <row r="3549" spans="1:2" x14ac:dyDescent="0.25">
      <c r="A3549">
        <f ca="1">29601.1034386012*(RANDBETWEEN(2890,3282))</f>
        <v>94309115.555383325</v>
      </c>
      <c r="B3549">
        <v>266237850.84449673</v>
      </c>
    </row>
    <row r="3550" spans="1:2" x14ac:dyDescent="0.25">
      <c r="A3550">
        <f ca="1">41016.9573515751*(RANDBETWEEN(2890,3282))</f>
        <v>126045109.94139025</v>
      </c>
      <c r="B3550">
        <v>226646900.59600186</v>
      </c>
    </row>
    <row r="3551" spans="1:2" x14ac:dyDescent="0.25">
      <c r="A3551">
        <f ca="1">32531.1773902964*(RANDBETWEEN(2890,3282))</f>
        <v>94665726.205762431</v>
      </c>
      <c r="B3551">
        <v>231647803.44852909</v>
      </c>
    </row>
    <row r="3552" spans="1:2" x14ac:dyDescent="0.25">
      <c r="A3552">
        <f ca="1">39277.28630947*(RANDBETWEEN(2890,3282))</f>
        <v>118224631.79150465</v>
      </c>
      <c r="B3552">
        <v>241361667.74710426</v>
      </c>
    </row>
    <row r="3553" spans="1:2" x14ac:dyDescent="0.25">
      <c r="A3553">
        <f ca="1">36676.4459228235*(RANDBETWEEN(2890,3282))</f>
        <v>111019601.8083868</v>
      </c>
      <c r="B3553">
        <v>206644728.93380085</v>
      </c>
    </row>
    <row r="3554" spans="1:2" x14ac:dyDescent="0.25">
      <c r="A3554">
        <f ca="1">32555.9275224443*(RANDBETWEEN(2890,3282))</f>
        <v>101607049.79754852</v>
      </c>
      <c r="B3554">
        <v>250096788.87038136</v>
      </c>
    </row>
    <row r="3555" spans="1:2" x14ac:dyDescent="0.25">
      <c r="A3555">
        <f ca="1">34865.412287514*(RANDBETWEEN(2890,3282))</f>
        <v>112092300.50435747</v>
      </c>
      <c r="B3555">
        <v>224471071.61459503</v>
      </c>
    </row>
    <row r="3556" spans="1:2" x14ac:dyDescent="0.25">
      <c r="A3556">
        <f ca="1">35794.954133401*(RANDBETWEEN(2890,3282))</f>
        <v>113219439.92394741</v>
      </c>
      <c r="B3556">
        <v>206801421.17414641</v>
      </c>
    </row>
    <row r="3557" spans="1:2" x14ac:dyDescent="0.25">
      <c r="A3557">
        <f ca="1">36608.3706243712*(RANDBETWEEN(2890,3282))</f>
        <v>110227803.94998156</v>
      </c>
      <c r="B3557">
        <v>252649424.738855</v>
      </c>
    </row>
    <row r="3558" spans="1:2" x14ac:dyDescent="0.25">
      <c r="A3558">
        <f ca="1">31769.1199474982*(RANDBETWEEN(2890,3282))</f>
        <v>102455411.83068177</v>
      </c>
      <c r="B3558">
        <v>236858683.77954739</v>
      </c>
    </row>
    <row r="3559" spans="1:2" x14ac:dyDescent="0.25">
      <c r="A3559">
        <f ca="1">36197.4499055822*(RANDBETWEEN(2890,3282))</f>
        <v>108085585.41806841</v>
      </c>
      <c r="B3559">
        <v>207540834.06250659</v>
      </c>
    </row>
    <row r="3560" spans="1:2" x14ac:dyDescent="0.25">
      <c r="A3560">
        <f ca="1">38010.190561718*(RANDBETWEEN(2890,3282))</f>
        <v>114752765.30582662</v>
      </c>
      <c r="B3560">
        <v>255060429.3288691</v>
      </c>
    </row>
    <row r="3561" spans="1:2" x14ac:dyDescent="0.25">
      <c r="A3561">
        <f ca="1">39157.0071473849*(RANDBETWEEN(2890,3282))</f>
        <v>124597596.74297881</v>
      </c>
      <c r="B3561">
        <v>228038434.00120693</v>
      </c>
    </row>
    <row r="3562" spans="1:2" x14ac:dyDescent="0.25">
      <c r="A3562">
        <f ca="1">40309.2720914892*(RANDBETWEEN(2890,3282))</f>
        <v>119194517.57453345</v>
      </c>
      <c r="B3562">
        <v>214726002.13095844</v>
      </c>
    </row>
    <row r="3563" spans="1:2" x14ac:dyDescent="0.25">
      <c r="A3563">
        <f ca="1">30910.8038410981*(RANDBETWEEN(2890,3282))</f>
        <v>90877763.292828426</v>
      </c>
      <c r="B3563">
        <v>264006655.2163063</v>
      </c>
    </row>
    <row r="3564" spans="1:2" x14ac:dyDescent="0.25">
      <c r="A3564">
        <f ca="1">34056.2070239967*(RANDBETWEEN(2890,3282))</f>
        <v>103769262.80211788</v>
      </c>
      <c r="B3564">
        <v>232281972.39470965</v>
      </c>
    </row>
    <row r="3565" spans="1:2" x14ac:dyDescent="0.25">
      <c r="A3565">
        <f ca="1">32958.4340811324*(RANDBETWEEN(2890,3282))</f>
        <v>106851243.2910312</v>
      </c>
      <c r="B3565">
        <v>232099793.99617037</v>
      </c>
    </row>
    <row r="3566" spans="1:2" x14ac:dyDescent="0.25">
      <c r="A3566">
        <f ca="1">30668.7633038459*(RANDBETWEEN(2890,3282))</f>
        <v>95993229.141037509</v>
      </c>
      <c r="B3566">
        <v>251314589.60600623</v>
      </c>
    </row>
    <row r="3567" spans="1:2" x14ac:dyDescent="0.25">
      <c r="A3567">
        <f ca="1">34978.4690589589*(RANDBETWEEN(2890,3282))</f>
        <v>103011591.37863384</v>
      </c>
      <c r="B3567">
        <v>228275809.76867568</v>
      </c>
    </row>
    <row r="3568" spans="1:2" x14ac:dyDescent="0.25">
      <c r="A3568">
        <f ca="1">39505.187585533*(RANDBETWEEN(2890,3282))</f>
        <v>116500798.18973671</v>
      </c>
      <c r="B3568">
        <v>263515264.28047124</v>
      </c>
    </row>
    <row r="3569" spans="1:2" x14ac:dyDescent="0.25">
      <c r="A3569">
        <f ca="1">35626.9074725553*(RANDBETWEEN(2890,3282))</f>
        <v>103353658.57788284</v>
      </c>
      <c r="B3569">
        <v>232223624.02905387</v>
      </c>
    </row>
    <row r="3570" spans="1:2" x14ac:dyDescent="0.25">
      <c r="A3570">
        <f ca="1">37588.301624194*(RANDBETWEEN(2890,3282))</f>
        <v>109494722.63127707</v>
      </c>
      <c r="B3570">
        <v>254780736.95547816</v>
      </c>
    </row>
    <row r="3571" spans="1:2" x14ac:dyDescent="0.25">
      <c r="A3571">
        <f ca="1">30114.7652360669*(RANDBETWEEN(2890,3282))</f>
        <v>93295542.701335371</v>
      </c>
      <c r="B3571">
        <v>205814963.05533403</v>
      </c>
    </row>
    <row r="3572" spans="1:2" x14ac:dyDescent="0.25">
      <c r="A3572">
        <f ca="1">29021.2842278024*(RANDBETWEEN(2890,3282))</f>
        <v>84945298.934777558</v>
      </c>
      <c r="B3572">
        <v>238612320.23630002</v>
      </c>
    </row>
    <row r="3573" spans="1:2" x14ac:dyDescent="0.25">
      <c r="A3573">
        <f ca="1">39888.4155148009*(RANDBETWEEN(2890,3282))</f>
        <v>119186585.55822523</v>
      </c>
      <c r="B3573">
        <v>239865286.27598083</v>
      </c>
    </row>
    <row r="3574" spans="1:2" x14ac:dyDescent="0.25">
      <c r="A3574">
        <f ca="1">31759.9435534874*(RANDBETWEEN(2890,3282))</f>
        <v>95311590.604015678</v>
      </c>
      <c r="B3574">
        <v>221526920.29745463</v>
      </c>
    </row>
    <row r="3575" spans="1:2" x14ac:dyDescent="0.25">
      <c r="A3575">
        <f ca="1">31980.8732886605*(RANDBETWEEN(2890,3282))</f>
        <v>101635215.31136303</v>
      </c>
      <c r="B3575">
        <v>204455930.01177293</v>
      </c>
    </row>
    <row r="3576" spans="1:2" x14ac:dyDescent="0.25">
      <c r="A3576">
        <f ca="1">39823.5677208294*(RANDBETWEEN(2890,3282))</f>
        <v>125444238.32061264</v>
      </c>
      <c r="B3576">
        <v>242257446.80522752</v>
      </c>
    </row>
    <row r="3577" spans="1:2" x14ac:dyDescent="0.25">
      <c r="A3577">
        <f ca="1">34941.4721219178*(RANDBETWEEN(2890,3282))</f>
        <v>102168864.48448759</v>
      </c>
      <c r="B3577">
        <v>226274143.04814953</v>
      </c>
    </row>
    <row r="3578" spans="1:2" x14ac:dyDescent="0.25">
      <c r="A3578">
        <f ca="1">31161.8780922877*(RANDBETWEEN(2890,3282))</f>
        <v>91117331.541849151</v>
      </c>
      <c r="B3578">
        <v>224771903.13693091</v>
      </c>
    </row>
    <row r="3579" spans="1:2" x14ac:dyDescent="0.25">
      <c r="A3579">
        <f ca="1">35264.6597175525*(RANDBETWEEN(2890,3282))</f>
        <v>111859500.62407647</v>
      </c>
      <c r="B3579">
        <v>226266257.70849377</v>
      </c>
    </row>
    <row r="3580" spans="1:2" x14ac:dyDescent="0.25">
      <c r="A3580">
        <f ca="1">38217.6081031198*(RANDBETWEEN(2890,3282))</f>
        <v>112933031.94471894</v>
      </c>
      <c r="B3580">
        <v>249821357.77948189</v>
      </c>
    </row>
    <row r="3581" spans="1:2" x14ac:dyDescent="0.25">
      <c r="A3581">
        <f ca="1">27859.2727783468*(RANDBETWEEN(2890,3282))</f>
        <v>88536768.889586106</v>
      </c>
      <c r="B3581">
        <v>223630999.85009989</v>
      </c>
    </row>
    <row r="3582" spans="1:2" x14ac:dyDescent="0.25">
      <c r="A3582">
        <f ca="1">28725.9510760507*(RANDBETWEEN(2890,3282))</f>
        <v>90429293.987407461</v>
      </c>
      <c r="B3582">
        <v>205133445.60002652</v>
      </c>
    </row>
    <row r="3583" spans="1:2" x14ac:dyDescent="0.25">
      <c r="A3583">
        <f ca="1">39865.401706876*(RANDBETWEEN(2890,3282))</f>
        <v>117323877.22333598</v>
      </c>
      <c r="B3583">
        <v>243614933.66934821</v>
      </c>
    </row>
    <row r="3584" spans="1:2" x14ac:dyDescent="0.25">
      <c r="A3584">
        <f ca="1">35351.9978439677*(RANDBETWEEN(2890,3282))</f>
        <v>111570905.19556215</v>
      </c>
      <c r="B3584">
        <v>261091055.83786458</v>
      </c>
    </row>
    <row r="3585" spans="1:2" x14ac:dyDescent="0.25">
      <c r="A3585">
        <f ca="1">37798.3705272844*(RANDBETWEEN(2890,3282))</f>
        <v>117779722.56301829</v>
      </c>
      <c r="B3585">
        <v>241616511.97487846</v>
      </c>
    </row>
    <row r="3586" spans="1:2" x14ac:dyDescent="0.25">
      <c r="A3586">
        <f ca="1">38209.8696343266*(RANDBETWEEN(2890,3282))</f>
        <v>116234423.42762157</v>
      </c>
      <c r="B3586">
        <v>214897780.76250041</v>
      </c>
    </row>
    <row r="3587" spans="1:2" x14ac:dyDescent="0.25">
      <c r="A3587">
        <f ca="1">38352.8211113105*(RANDBETWEEN(2890,3282))</f>
        <v>125797253.24509841</v>
      </c>
      <c r="B3587">
        <v>255935054.52573186</v>
      </c>
    </row>
    <row r="3588" spans="1:2" x14ac:dyDescent="0.25">
      <c r="A3588">
        <f ca="1">31803.5997525423*(RANDBETWEEN(2890,3282))</f>
        <v>95283584.858616829</v>
      </c>
      <c r="B3588">
        <v>221175057.39642775</v>
      </c>
    </row>
    <row r="3589" spans="1:2" x14ac:dyDescent="0.25">
      <c r="A3589">
        <f ca="1">31054.4462988686*(RANDBETWEEN(2890,3282))</f>
        <v>96796709.113573477</v>
      </c>
      <c r="B3589">
        <v>228916311.1292927</v>
      </c>
    </row>
    <row r="3590" spans="1:2" x14ac:dyDescent="0.25">
      <c r="A3590">
        <f ca="1">31162.9403307761*(RANDBETWEEN(2890,3282))</f>
        <v>93862776.276297495</v>
      </c>
      <c r="B3590">
        <v>210481809.54269314</v>
      </c>
    </row>
    <row r="3591" spans="1:2" x14ac:dyDescent="0.25">
      <c r="A3591">
        <f ca="1">36607.6738943834*(RANDBETWEEN(2890,3282))</f>
        <v>114874880.680575</v>
      </c>
      <c r="B3591">
        <v>207821807.26378325</v>
      </c>
    </row>
    <row r="3592" spans="1:2" x14ac:dyDescent="0.25">
      <c r="A3592">
        <f ca="1">29652.7500609623*(RANDBETWEEN(2890,3282))</f>
        <v>96223173.947822809</v>
      </c>
      <c r="B3592">
        <v>255221893.41512719</v>
      </c>
    </row>
    <row r="3593" spans="1:2" x14ac:dyDescent="0.25">
      <c r="A3593">
        <f ca="1">30157.5315931306*(RANDBETWEEN(2890,3282))</f>
        <v>94242286.228533119</v>
      </c>
      <c r="B3593">
        <v>219643726.06260341</v>
      </c>
    </row>
    <row r="3594" spans="1:2" x14ac:dyDescent="0.25">
      <c r="A3594">
        <f ca="1">35631.8619932484*(RANDBETWEEN(2890,3282))</f>
        <v>102976081.16048788</v>
      </c>
      <c r="B3594">
        <v>257101994.66883802</v>
      </c>
    </row>
    <row r="3595" spans="1:2" x14ac:dyDescent="0.25">
      <c r="A3595">
        <f ca="1">32298.5235900339*(RANDBETWEEN(2890,3282))</f>
        <v>100835990.64808574</v>
      </c>
      <c r="B3595">
        <v>206469283.45339662</v>
      </c>
    </row>
    <row r="3596" spans="1:2" x14ac:dyDescent="0.25">
      <c r="A3596">
        <f ca="1">32133.8358866345*(RANDBETWEEN(2890,3282))</f>
        <v>94280674.491385534</v>
      </c>
      <c r="B3596">
        <v>208182582.94385251</v>
      </c>
    </row>
    <row r="3597" spans="1:2" x14ac:dyDescent="0.25">
      <c r="A3597">
        <f ca="1">30533.3468236329*(RANDBETWEEN(2890,3282))</f>
        <v>90470306.638424352</v>
      </c>
      <c r="B3597">
        <v>222425199.7770108</v>
      </c>
    </row>
    <row r="3598" spans="1:2" x14ac:dyDescent="0.25">
      <c r="A3598">
        <f ca="1">33679.3841600344*(RANDBETWEEN(2890,3282))</f>
        <v>108919128.37355115</v>
      </c>
      <c r="B3598">
        <v>226260514.32797477</v>
      </c>
    </row>
    <row r="3599" spans="1:2" x14ac:dyDescent="0.25">
      <c r="A3599">
        <f ca="1">36202.5601083905*(RANDBETWEEN(2890,3282))</f>
        <v>107485400.96181151</v>
      </c>
      <c r="B3599">
        <v>251559248.40757307</v>
      </c>
    </row>
    <row r="3600" spans="1:2" x14ac:dyDescent="0.25">
      <c r="A3600">
        <f ca="1">35147.0428152286*(RANDBETWEEN(2890,3282))</f>
        <v>104000099.69026154</v>
      </c>
      <c r="B3600">
        <v>232566263.26726341</v>
      </c>
    </row>
    <row r="3601" spans="1:2" x14ac:dyDescent="0.25">
      <c r="A3601">
        <f ca="1">32767.5672148827*(RANDBETWEEN(2890,3282))</f>
        <v>94698269.251010954</v>
      </c>
      <c r="B3601">
        <v>212187147.61524194</v>
      </c>
    </row>
    <row r="3602" spans="1:2" x14ac:dyDescent="0.25">
      <c r="A3602">
        <f ca="1">38550.109649896*(RANDBETWEEN(2890,3282))</f>
        <v>115611778.84003814</v>
      </c>
      <c r="B3602">
        <v>220749434.17690042</v>
      </c>
    </row>
    <row r="3603" spans="1:2" x14ac:dyDescent="0.25">
      <c r="A3603">
        <f ca="1">34958.1147470228*(RANDBETWEEN(2890,3282))</f>
        <v>113019584.9771246</v>
      </c>
      <c r="B3603">
        <v>261808426.39792067</v>
      </c>
    </row>
    <row r="3604" spans="1:2" x14ac:dyDescent="0.25">
      <c r="A3604">
        <f ca="1">36871.7345917309*(RANDBETWEEN(2890,3282))</f>
        <v>107702336.74244593</v>
      </c>
      <c r="B3604">
        <v>257278949.85162777</v>
      </c>
    </row>
    <row r="3605" spans="1:2" x14ac:dyDescent="0.25">
      <c r="A3605">
        <f ca="1">34088.1325888091*(RANDBETWEEN(2890,3282))</f>
        <v>104923272.10835443</v>
      </c>
      <c r="B3605">
        <v>261398366.27889657</v>
      </c>
    </row>
    <row r="3606" spans="1:2" x14ac:dyDescent="0.25">
      <c r="A3606">
        <f ca="1">32364.2061027614*(RANDBETWEEN(2890,3282))</f>
        <v>100490859.94907413</v>
      </c>
      <c r="B3606">
        <v>227655389.77508289</v>
      </c>
    </row>
    <row r="3607" spans="1:2" x14ac:dyDescent="0.25">
      <c r="A3607">
        <f ca="1">34692.3398824119*(RANDBETWEEN(2890,3282))</f>
        <v>109662486.36830404</v>
      </c>
      <c r="B3607">
        <v>249235589.45260665</v>
      </c>
    </row>
    <row r="3608" spans="1:2" x14ac:dyDescent="0.25">
      <c r="A3608">
        <f ca="1">31120.9288583961*(RANDBETWEEN(2890,3282))</f>
        <v>90250693.689348757</v>
      </c>
      <c r="B3608">
        <v>265384798.7791495</v>
      </c>
    </row>
    <row r="3609" spans="1:2" x14ac:dyDescent="0.25">
      <c r="A3609">
        <f ca="1">36244.5546088634*(RANDBETWEEN(2890,3282))</f>
        <v>108334973.72589277</v>
      </c>
      <c r="B3609">
        <v>205504119.80524898</v>
      </c>
    </row>
    <row r="3610" spans="1:2" x14ac:dyDescent="0.25">
      <c r="A3610">
        <f ca="1">37802.1607372031*(RANDBETWEEN(2890,3282))</f>
        <v>111743187.13917246</v>
      </c>
      <c r="B3610">
        <v>238063756.90560129</v>
      </c>
    </row>
    <row r="3611" spans="1:2" x14ac:dyDescent="0.25">
      <c r="A3611">
        <f ca="1">40205.8713566894*(RANDBETWEEN(2890,3282))</f>
        <v>122306260.66704914</v>
      </c>
      <c r="B3611">
        <v>226329260.23018509</v>
      </c>
    </row>
    <row r="3612" spans="1:2" x14ac:dyDescent="0.25">
      <c r="A3612">
        <f ca="1">33165.9102679385*(RANDBETWEEN(2890,3282))</f>
        <v>103344976.39489642</v>
      </c>
      <c r="B3612">
        <v>225751003.30069199</v>
      </c>
    </row>
    <row r="3613" spans="1:2" x14ac:dyDescent="0.25">
      <c r="A3613">
        <f ca="1">30168.3227058474*(RANDBETWEEN(2890,3282))</f>
        <v>91108334.571659043</v>
      </c>
      <c r="B3613">
        <v>234078724.84435436</v>
      </c>
    </row>
    <row r="3614" spans="1:2" x14ac:dyDescent="0.25">
      <c r="A3614">
        <f ca="1">30837.3627197055*(RANDBETWEEN(2890,3282))</f>
        <v>92573762.884555966</v>
      </c>
      <c r="B3614">
        <v>233240142.73760784</v>
      </c>
    </row>
    <row r="3615" spans="1:2" x14ac:dyDescent="0.25">
      <c r="A3615">
        <f ca="1">31452.0709452508*(RANDBETWEEN(2890,3282))</f>
        <v>94230404.551971287</v>
      </c>
      <c r="B3615">
        <v>263304350.55420145</v>
      </c>
    </row>
    <row r="3616" spans="1:2" x14ac:dyDescent="0.25">
      <c r="A3616">
        <f ca="1">32773.085997114*(RANDBETWEEN(2890,3282))</f>
        <v>99990685.377194911</v>
      </c>
      <c r="B3616">
        <v>206076465.5507766</v>
      </c>
    </row>
    <row r="3617" spans="1:2" x14ac:dyDescent="0.25">
      <c r="A3617">
        <f ca="1">37492.3426236916*(RANDBETWEEN(2890,3282))</f>
        <v>115363938.2530991</v>
      </c>
      <c r="B3617">
        <v>266824714.01618287</v>
      </c>
    </row>
    <row r="3618" spans="1:2" x14ac:dyDescent="0.25">
      <c r="A3618">
        <f ca="1">34711.238890241*(RANDBETWEEN(2890,3282))</f>
        <v>104966786.40408875</v>
      </c>
      <c r="B3618">
        <v>255927165.62554696</v>
      </c>
    </row>
    <row r="3619" spans="1:2" x14ac:dyDescent="0.25">
      <c r="A3619">
        <f ca="1">31284.2662194584*(RANDBETWEEN(2890,3282))</f>
        <v>101955423.60921481</v>
      </c>
      <c r="B3619">
        <v>216783590.74126449</v>
      </c>
    </row>
    <row r="3620" spans="1:2" x14ac:dyDescent="0.25">
      <c r="A3620">
        <f ca="1">39812.5700340429*(RANDBETWEEN(2890,3282))</f>
        <v>119159022.11189036</v>
      </c>
      <c r="B3620">
        <v>240184100.83782092</v>
      </c>
    </row>
    <row r="3621" spans="1:2" x14ac:dyDescent="0.25">
      <c r="A3621">
        <f ca="1">28639.889504331*(RANDBETWEEN(2890,3282))</f>
        <v>91905405.419398189</v>
      </c>
      <c r="B3621">
        <v>229644920.08518267</v>
      </c>
    </row>
    <row r="3622" spans="1:2" x14ac:dyDescent="0.25">
      <c r="A3622">
        <f ca="1">40725.5388564552*(RANDBETWEEN(2890,3282))</f>
        <v>130566077.57379544</v>
      </c>
      <c r="B3622">
        <v>213935885.78782147</v>
      </c>
    </row>
    <row r="3623" spans="1:2" x14ac:dyDescent="0.25">
      <c r="A3623">
        <f ca="1">38078.9409491072*(RANDBETWEEN(2890,3282))</f>
        <v>120519848.10392421</v>
      </c>
      <c r="B3623">
        <v>226838312.6059804</v>
      </c>
    </row>
    <row r="3624" spans="1:2" x14ac:dyDescent="0.25">
      <c r="A3624">
        <f ca="1">39124.8257748517*(RANDBETWEEN(2890,3282))</f>
        <v>120113215.12879461</v>
      </c>
      <c r="B3624">
        <v>232216786.39138699</v>
      </c>
    </row>
    <row r="3625" spans="1:2" x14ac:dyDescent="0.25">
      <c r="A3625">
        <f ca="1">31413.2664562001*(RANDBETWEEN(2890,3282))</f>
        <v>100805172.05794623</v>
      </c>
      <c r="B3625">
        <v>250629966.67293081</v>
      </c>
    </row>
    <row r="3626" spans="1:2" x14ac:dyDescent="0.25">
      <c r="A3626">
        <f ca="1">30486.5244232511*(RANDBETWEEN(2890,3282))</f>
        <v>90087679.670707092</v>
      </c>
      <c r="B3626">
        <v>249514404.65179491</v>
      </c>
    </row>
    <row r="3627" spans="1:2" x14ac:dyDescent="0.25">
      <c r="A3627">
        <f ca="1">29857.5941422409*(RANDBETWEEN(2890,3282))</f>
        <v>97783620.815838933</v>
      </c>
      <c r="B3627">
        <v>225663097.63098592</v>
      </c>
    </row>
    <row r="3628" spans="1:2" x14ac:dyDescent="0.25">
      <c r="A3628">
        <f ca="1">38338.6859109172*(RANDBETWEEN(2890,3282))</f>
        <v>112677397.89218572</v>
      </c>
      <c r="B3628">
        <v>211619178.19298232</v>
      </c>
    </row>
    <row r="3629" spans="1:2" x14ac:dyDescent="0.25">
      <c r="A3629">
        <f ca="1">39872.2928838231*(RANDBETWEEN(2890,3282))</f>
        <v>118500454.45072211</v>
      </c>
      <c r="B3629">
        <v>204199271.66898197</v>
      </c>
    </row>
    <row r="3630" spans="1:2" x14ac:dyDescent="0.25">
      <c r="A3630">
        <f ca="1">32264.893592787*(RANDBETWEEN(2890,3282))</f>
        <v>95116906.311536044</v>
      </c>
      <c r="B3630">
        <v>239392507.30564547</v>
      </c>
    </row>
    <row r="3631" spans="1:2" x14ac:dyDescent="0.25">
      <c r="A3631">
        <f ca="1">38566.8890593244*(RANDBETWEEN(2890,3282))</f>
        <v>114543660.50619343</v>
      </c>
      <c r="B3631">
        <v>210884574.98816633</v>
      </c>
    </row>
    <row r="3632" spans="1:2" x14ac:dyDescent="0.25">
      <c r="A3632">
        <f ca="1">32497.1339280633*(RANDBETWEEN(2890,3282))</f>
        <v>103275891.62338521</v>
      </c>
      <c r="B3632">
        <v>203790416.84379476</v>
      </c>
    </row>
    <row r="3633" spans="1:2" x14ac:dyDescent="0.25">
      <c r="A3633">
        <f ca="1">29209.9226786305*(RANDBETWEEN(2890,3282))</f>
        <v>89703672.546074331</v>
      </c>
      <c r="B3633">
        <v>214312295.21139601</v>
      </c>
    </row>
    <row r="3634" spans="1:2" x14ac:dyDescent="0.25">
      <c r="A3634">
        <f ca="1">29948.768288659*(RANDBETWEEN(2890,3282))</f>
        <v>96015751.133440778</v>
      </c>
      <c r="B3634">
        <v>244342111.70312354</v>
      </c>
    </row>
    <row r="3635" spans="1:2" x14ac:dyDescent="0.25">
      <c r="A3635">
        <f ca="1">38564.6704637092*(RANDBETWEEN(2890,3282))</f>
        <v>120938806.57419209</v>
      </c>
      <c r="B3635">
        <v>233899284.79492211</v>
      </c>
    </row>
    <row r="3636" spans="1:2" x14ac:dyDescent="0.25">
      <c r="A3636">
        <f ca="1">28040.1818445141*(RANDBETWEEN(2890,3282))</f>
        <v>85522554.625768051</v>
      </c>
      <c r="B3636">
        <v>226853065.71859851</v>
      </c>
    </row>
    <row r="3637" spans="1:2" x14ac:dyDescent="0.25">
      <c r="A3637">
        <f ca="1">33624.8120098822*(RANDBETWEEN(2890,3282))</f>
        <v>103867044.29852615</v>
      </c>
      <c r="B3637">
        <v>251113354.83444542</v>
      </c>
    </row>
    <row r="3638" spans="1:2" x14ac:dyDescent="0.25">
      <c r="A3638">
        <f ca="1">30309.8161836503*(RANDBETWEEN(2890,3282))</f>
        <v>93627022.191295847</v>
      </c>
      <c r="B3638">
        <v>230198812.90732253</v>
      </c>
    </row>
    <row r="3639" spans="1:2" x14ac:dyDescent="0.25">
      <c r="A3639">
        <f ca="1">35705.1634705152*(RANDBETWEEN(2890,3282))</f>
        <v>113292483.69194499</v>
      </c>
      <c r="B3639">
        <v>229932977.31275707</v>
      </c>
    </row>
    <row r="3640" spans="1:2" x14ac:dyDescent="0.25">
      <c r="A3640">
        <f ca="1">32139.2147981462*(RANDBETWEEN(2890,3282))</f>
        <v>100499324.6738033</v>
      </c>
      <c r="B3640">
        <v>230654815.6056096</v>
      </c>
    </row>
    <row r="3641" spans="1:2" x14ac:dyDescent="0.25">
      <c r="A3641">
        <f ca="1">32903.9480209515*(RANDBETWEEN(2890,3282))</f>
        <v>102429990.1892221</v>
      </c>
      <c r="B3641">
        <v>226933118.72250649</v>
      </c>
    </row>
    <row r="3642" spans="1:2" x14ac:dyDescent="0.25">
      <c r="A3642">
        <f ca="1">31147.3686693849*(RANDBETWEEN(2890,3282))</f>
        <v>98487979.732595086</v>
      </c>
      <c r="B3642">
        <v>207008357.97533312</v>
      </c>
    </row>
    <row r="3643" spans="1:2" x14ac:dyDescent="0.25">
      <c r="A3643">
        <f ca="1">41012.7571437856*(RANDBETWEEN(2890,3282))</f>
        <v>132471205.57442752</v>
      </c>
      <c r="B3643">
        <v>236911046.58676761</v>
      </c>
    </row>
    <row r="3644" spans="1:2" x14ac:dyDescent="0.25">
      <c r="A3644">
        <f ca="1">36133.8252815567*(RANDBETWEEN(2890,3282))</f>
        <v>116242515.93076794</v>
      </c>
      <c r="B3644">
        <v>243898781.71455625</v>
      </c>
    </row>
    <row r="3645" spans="1:2" x14ac:dyDescent="0.25">
      <c r="A3645">
        <f ca="1">38040.5319694587*(RANDBETWEEN(2890,3282))</f>
        <v>116822473.67820771</v>
      </c>
      <c r="B3645">
        <v>254736503.43358189</v>
      </c>
    </row>
    <row r="3646" spans="1:2" x14ac:dyDescent="0.25">
      <c r="A3646">
        <f ca="1">30644.966288569*(RANDBETWEEN(2890,3282))</f>
        <v>99504205.538983434</v>
      </c>
      <c r="B3646">
        <v>210394308.90448645</v>
      </c>
    </row>
    <row r="3647" spans="1:2" x14ac:dyDescent="0.25">
      <c r="A3647">
        <f ca="1">40118.0041350608*(RANDBETWEEN(2890,3282))</f>
        <v>123362862.71531205</v>
      </c>
      <c r="B3647">
        <v>254381974.82935902</v>
      </c>
    </row>
    <row r="3648" spans="1:2" x14ac:dyDescent="0.25">
      <c r="A3648">
        <f ca="1">29744.7323704187*(RANDBETWEEN(2890,3282))</f>
        <v>94707227.867413297</v>
      </c>
      <c r="B3648">
        <v>210541037.87922332</v>
      </c>
    </row>
    <row r="3649" spans="1:2" x14ac:dyDescent="0.25">
      <c r="A3649">
        <f ca="1">28939.3621652937*(RANDBETWEEN(2890,3282))</f>
        <v>84821270.506475747</v>
      </c>
      <c r="B3649">
        <v>262039691.55381152</v>
      </c>
    </row>
    <row r="3650" spans="1:2" x14ac:dyDescent="0.25">
      <c r="A3650">
        <f ca="1">38698.7307211522*(RANDBETWEEN(2890,3282))</f>
        <v>116947564.2393221</v>
      </c>
      <c r="B3650">
        <v>205097276.04409054</v>
      </c>
    </row>
    <row r="3651" spans="1:2" x14ac:dyDescent="0.25">
      <c r="A3651">
        <f ca="1">36918.2716212649*(RANDBETWEEN(2890,3282))</f>
        <v>111936199.55567512</v>
      </c>
      <c r="B3651">
        <v>242557449.47826868</v>
      </c>
    </row>
    <row r="3652" spans="1:2" x14ac:dyDescent="0.25">
      <c r="A3652">
        <f ca="1">32291.6610068812*(RANDBETWEEN(2890,3282))</f>
        <v>102881231.96792358</v>
      </c>
      <c r="B3652">
        <v>243554108.57909334</v>
      </c>
    </row>
    <row r="3653" spans="1:2" x14ac:dyDescent="0.25">
      <c r="A3653">
        <f ca="1">32710.2704879766*(RANDBETWEEN(2890,3282))</f>
        <v>94696233.06269218</v>
      </c>
      <c r="B3653">
        <v>212894384.18783414</v>
      </c>
    </row>
    <row r="3654" spans="1:2" x14ac:dyDescent="0.25">
      <c r="A3654">
        <f ca="1">32335.8656909197*(RANDBETWEEN(2890,3282))</f>
        <v>105770616.67499837</v>
      </c>
      <c r="B3654">
        <v>256106311.82231784</v>
      </c>
    </row>
    <row r="3655" spans="1:2" x14ac:dyDescent="0.25">
      <c r="A3655">
        <f ca="1">39931.2232288588*(RANDBETWEEN(2890,3282))</f>
        <v>126781633.75162676</v>
      </c>
      <c r="B3655">
        <v>211537961.17423156</v>
      </c>
    </row>
    <row r="3656" spans="1:2" x14ac:dyDescent="0.25">
      <c r="A3656">
        <f ca="1">31261.800296305*(RANDBETWEEN(2890,3282))</f>
        <v>100725520.55469465</v>
      </c>
      <c r="B3656">
        <v>224039798.73363331</v>
      </c>
    </row>
    <row r="3657" spans="1:2" x14ac:dyDescent="0.25">
      <c r="A3657">
        <f ca="1">34431.2543946194*(RANDBETWEEN(2890,3282))</f>
        <v>103569213.21901521</v>
      </c>
      <c r="B3657">
        <v>244059392.03997332</v>
      </c>
    </row>
    <row r="3658" spans="1:2" x14ac:dyDescent="0.25">
      <c r="A3658">
        <f ca="1">33848.8748678806*(RANDBETWEEN(2890,3282))</f>
        <v>100632704.982209</v>
      </c>
      <c r="B3658">
        <v>249529235.10616395</v>
      </c>
    </row>
    <row r="3659" spans="1:2" x14ac:dyDescent="0.25">
      <c r="A3659">
        <f ca="1">32312.3998413095*(RANDBETWEEN(2890,3282))</f>
        <v>99651441.110598609</v>
      </c>
      <c r="B3659">
        <v>213110425.93092695</v>
      </c>
    </row>
    <row r="3660" spans="1:2" x14ac:dyDescent="0.25">
      <c r="A3660">
        <f ca="1">28534.2200966255*(RANDBETWEEN(2890,3282))</f>
        <v>84090346.624755353</v>
      </c>
      <c r="B3660">
        <v>242764423.18171048</v>
      </c>
    </row>
    <row r="3661" spans="1:2" x14ac:dyDescent="0.25">
      <c r="A3661">
        <f ca="1">32944.0570928915*(RANDBETWEEN(2890,3282))</f>
        <v>99128667.792510465</v>
      </c>
      <c r="B3661">
        <v>251760260.84561244</v>
      </c>
    </row>
    <row r="3662" spans="1:2" x14ac:dyDescent="0.25">
      <c r="A3662">
        <f ca="1">34544.61816127*(RANDBETWEEN(2890,3282))</f>
        <v>110335510.40709651</v>
      </c>
      <c r="B3662">
        <v>226068327.93162289</v>
      </c>
    </row>
    <row r="3663" spans="1:2" x14ac:dyDescent="0.25">
      <c r="A3663">
        <f ca="1">30589.711661684*(RANDBETWEEN(2890,3282))</f>
        <v>100181305.69201513</v>
      </c>
      <c r="B3663">
        <v>259821713.63054666</v>
      </c>
    </row>
    <row r="3664" spans="1:2" x14ac:dyDescent="0.25">
      <c r="A3664">
        <f ca="1">34213.9248873747*(RANDBETWEEN(2890,3282))</f>
        <v>107534365.92101859</v>
      </c>
      <c r="B3664">
        <v>257074391.18277565</v>
      </c>
    </row>
    <row r="3665" spans="1:2" x14ac:dyDescent="0.25">
      <c r="A3665">
        <f ca="1">36405.3711772217*(RANDBETWEEN(2890,3282))</f>
        <v>111618868.02936159</v>
      </c>
      <c r="B3665">
        <v>214052500.53960177</v>
      </c>
    </row>
    <row r="3666" spans="1:2" x14ac:dyDescent="0.25">
      <c r="A3666">
        <f ca="1">31419.5337482675*(RANDBETWEEN(2890,3282))</f>
        <v>95515382.594733059</v>
      </c>
      <c r="B3666">
        <v>216568087.21421373</v>
      </c>
    </row>
    <row r="3667" spans="1:2" x14ac:dyDescent="0.25">
      <c r="A3667">
        <f ca="1">38429.8240245761*(RANDBETWEEN(2890,3282))</f>
        <v>121015515.85339026</v>
      </c>
      <c r="B3667">
        <v>232914757.8823638</v>
      </c>
    </row>
    <row r="3668" spans="1:2" x14ac:dyDescent="0.25">
      <c r="A3668">
        <f ca="1">30900.1548090921*(RANDBETWEEN(2890,3282))</f>
        <v>91433558.080103457</v>
      </c>
      <c r="B3668">
        <v>216708486.21406382</v>
      </c>
    </row>
    <row r="3669" spans="1:2" x14ac:dyDescent="0.25">
      <c r="A3669">
        <f ca="1">35535.4969727113*(RANDBETWEEN(2890,3282))</f>
        <v>114175551.77332145</v>
      </c>
      <c r="B3669">
        <v>239174211.44102013</v>
      </c>
    </row>
    <row r="3670" spans="1:2" x14ac:dyDescent="0.25">
      <c r="A3670">
        <f ca="1">33011.510452553*(RANDBETWEEN(2890,3282))</f>
        <v>98638393.232228398</v>
      </c>
      <c r="B3670">
        <v>241612947.64408755</v>
      </c>
    </row>
    <row r="3671" spans="1:2" x14ac:dyDescent="0.25">
      <c r="A3671">
        <f ca="1">33143.6277298151*(RANDBETWEEN(2890,3282))</f>
        <v>100889202.80955715</v>
      </c>
      <c r="B3671">
        <v>257360851.89515448</v>
      </c>
    </row>
    <row r="3672" spans="1:2" x14ac:dyDescent="0.25">
      <c r="A3672">
        <f ca="1">38045.1368245061*(RANDBETWEEN(2890,3282))</f>
        <v>124331507.14248595</v>
      </c>
      <c r="B3672">
        <v>212255110.44059157</v>
      </c>
    </row>
    <row r="3673" spans="1:2" x14ac:dyDescent="0.25">
      <c r="A3673">
        <f ca="1">37099.4472253785*(RANDBETWEEN(2890,3282))</f>
        <v>108330385.89810516</v>
      </c>
      <c r="B3673">
        <v>207651030.23930123</v>
      </c>
    </row>
    <row r="3674" spans="1:2" x14ac:dyDescent="0.25">
      <c r="A3674">
        <f ca="1">36764.5299594263*(RANDBETWEEN(2890,3282))</f>
        <v>115550917.66247702</v>
      </c>
      <c r="B3674">
        <v>228495254.95063168</v>
      </c>
    </row>
    <row r="3675" spans="1:2" x14ac:dyDescent="0.25">
      <c r="A3675">
        <f ca="1">34130.8152812426*(RANDBETWEEN(2890,3282))</f>
        <v>101675698.72282183</v>
      </c>
      <c r="B3675">
        <v>217465542.78560174</v>
      </c>
    </row>
    <row r="3676" spans="1:2" x14ac:dyDescent="0.25">
      <c r="A3676">
        <f ca="1">32078.2277772943*(RANDBETWEEN(2890,3282))</f>
        <v>98800941.554066569</v>
      </c>
      <c r="B3676">
        <v>238207376.78479761</v>
      </c>
    </row>
    <row r="3677" spans="1:2" x14ac:dyDescent="0.25">
      <c r="A3677">
        <f ca="1">32210.79471864*(RANDBETWEEN(2890,3282))</f>
        <v>102430327.20527522</v>
      </c>
      <c r="B3677">
        <v>210676255.82836977</v>
      </c>
    </row>
    <row r="3678" spans="1:2" x14ac:dyDescent="0.25">
      <c r="A3678">
        <f ca="1">32723.2071533518*(RANDBETWEEN(2890,3282))</f>
        <v>99903951.439182907</v>
      </c>
      <c r="B3678">
        <v>208751749.10821044</v>
      </c>
    </row>
    <row r="3679" spans="1:2" x14ac:dyDescent="0.25">
      <c r="A3679">
        <f ca="1">31522.1829820502*(RANDBETWEEN(2890,3282))</f>
        <v>95449170.069647923</v>
      </c>
      <c r="B3679">
        <v>204456038.66358313</v>
      </c>
    </row>
    <row r="3680" spans="1:2" x14ac:dyDescent="0.25">
      <c r="A3680">
        <f ca="1">37032.3650965674*(RANDBETWEEN(2890,3282))</f>
        <v>118392471.21372598</v>
      </c>
      <c r="B3680">
        <v>267633628.77942756</v>
      </c>
    </row>
    <row r="3681" spans="1:2" x14ac:dyDescent="0.25">
      <c r="A3681">
        <f ca="1">31382.6715687997*(RANDBETWEEN(2890,3282))</f>
        <v>91951227.696583152</v>
      </c>
      <c r="B3681">
        <v>251055496.12625259</v>
      </c>
    </row>
    <row r="3682" spans="1:2" x14ac:dyDescent="0.25">
      <c r="A3682">
        <f ca="1">33282.4756423927*(RANDBETWEEN(2890,3282))</f>
        <v>102277047.64907265</v>
      </c>
      <c r="B3682">
        <v>238595945.10930032</v>
      </c>
    </row>
    <row r="3683" spans="1:2" x14ac:dyDescent="0.25">
      <c r="A3683">
        <f ca="1">30428.3730839088*(RANDBETWEEN(2890,3282))</f>
        <v>94297528.187033325</v>
      </c>
      <c r="B3683">
        <v>205184999.54347104</v>
      </c>
    </row>
    <row r="3684" spans="1:2" x14ac:dyDescent="0.25">
      <c r="A3684">
        <f ca="1">30896.9557778467*(RANDBETWEEN(2890,3282))</f>
        <v>94451993.812877253</v>
      </c>
      <c r="B3684">
        <v>231497161.94400382</v>
      </c>
    </row>
    <row r="3685" spans="1:2" x14ac:dyDescent="0.25">
      <c r="A3685">
        <f ca="1">30125.1387280018*(RANDBETWEEN(2890,3282))</f>
        <v>92815552.420973465</v>
      </c>
      <c r="B3685">
        <v>258007563.67442986</v>
      </c>
    </row>
    <row r="3686" spans="1:2" x14ac:dyDescent="0.25">
      <c r="A3686">
        <f ca="1">42855.1468001343*(RANDBETWEEN(2890,3282))</f>
        <v>140222040.33003935</v>
      </c>
      <c r="B3686">
        <v>258689489.98093349</v>
      </c>
    </row>
    <row r="3687" spans="1:2" x14ac:dyDescent="0.25">
      <c r="A3687">
        <f ca="1">28874.0700146581*(RANDBETWEEN(2890,3282))</f>
        <v>85813736.083563924</v>
      </c>
      <c r="B3687">
        <v>255915805.80249298</v>
      </c>
    </row>
    <row r="3688" spans="1:2" x14ac:dyDescent="0.25">
      <c r="A3688">
        <f ca="1">30863.914019606*(RANDBETWEEN(2890,3282))</f>
        <v>97715151.786072716</v>
      </c>
      <c r="B3688">
        <v>206583824.47979259</v>
      </c>
    </row>
    <row r="3689" spans="1:2" x14ac:dyDescent="0.25">
      <c r="A3689">
        <f ca="1">30240.3402464808*(RANDBETWEEN(2890,3282))</f>
        <v>88634437.262435228</v>
      </c>
      <c r="B3689">
        <v>211707815.0600858</v>
      </c>
    </row>
    <row r="3690" spans="1:2" x14ac:dyDescent="0.25">
      <c r="A3690">
        <f ca="1">30819.9190931656*(RANDBETWEEN(2890,3282))</f>
        <v>97575863.848962307</v>
      </c>
      <c r="B3690">
        <v>227062713.01152241</v>
      </c>
    </row>
    <row r="3691" spans="1:2" x14ac:dyDescent="0.25">
      <c r="A3691">
        <f ca="1">34377.7644034783*(RANDBETWEEN(2890,3282))</f>
        <v>108943135.39462283</v>
      </c>
      <c r="B3691">
        <v>250202003.0376685</v>
      </c>
    </row>
    <row r="3692" spans="1:2" x14ac:dyDescent="0.25">
      <c r="A3692">
        <f ca="1">40342.2449896259*(RANDBETWEEN(2890,3282))</f>
        <v>125867804.3676329</v>
      </c>
      <c r="B3692">
        <v>204149289.17618152</v>
      </c>
    </row>
    <row r="3693" spans="1:2" x14ac:dyDescent="0.25">
      <c r="A3693">
        <f ca="1">31860.5270162941*(RANDBETWEEN(2890,3282))</f>
        <v>94689486.29242602</v>
      </c>
      <c r="B3693">
        <v>266738135.56894848</v>
      </c>
    </row>
    <row r="3694" spans="1:2" x14ac:dyDescent="0.25">
      <c r="A3694">
        <f ca="1">41523.5401403023*(RANDBETWEEN(2890,3282))</f>
        <v>134453222.97429889</v>
      </c>
      <c r="B3694">
        <v>243820545.98869735</v>
      </c>
    </row>
    <row r="3695" spans="1:2" x14ac:dyDescent="0.25">
      <c r="A3695">
        <f ca="1">32073.322776692*(RANDBETWEEN(2890,3282))</f>
        <v>92852269.438523218</v>
      </c>
      <c r="B3695">
        <v>242416089.99652061</v>
      </c>
    </row>
    <row r="3696" spans="1:2" x14ac:dyDescent="0.25">
      <c r="A3696">
        <f ca="1">30535.6952132733*(RANDBETWEEN(2890,3282))</f>
        <v>99790651.956977263</v>
      </c>
      <c r="B3696">
        <v>212966183.69620609</v>
      </c>
    </row>
    <row r="3697" spans="1:2" x14ac:dyDescent="0.25">
      <c r="A3697">
        <f ca="1">30241.6237217163*(RANDBETWEEN(2890,3282))</f>
        <v>88607957.504628882</v>
      </c>
      <c r="B3697">
        <v>247720485.11037892</v>
      </c>
    </row>
    <row r="3698" spans="1:2" x14ac:dyDescent="0.25">
      <c r="A3698">
        <f ca="1">30637.3457967532*(RANDBETWEEN(2890,3282))</f>
        <v>95159596.044715419</v>
      </c>
      <c r="B3698">
        <v>260083896.95698276</v>
      </c>
    </row>
    <row r="3699" spans="1:2" x14ac:dyDescent="0.25">
      <c r="A3699">
        <f ca="1">36532.135317004*(RANDBETWEEN(2890,3282))</f>
        <v>111532609.12281333</v>
      </c>
      <c r="B3699">
        <v>233760444.1908868</v>
      </c>
    </row>
    <row r="3700" spans="1:2" x14ac:dyDescent="0.25">
      <c r="A3700">
        <f ca="1">35146.3369615209*(RANDBETWEEN(2890,3282))</f>
        <v>115174546.22290383</v>
      </c>
      <c r="B3700">
        <v>231133552.11041957</v>
      </c>
    </row>
    <row r="3701" spans="1:2" x14ac:dyDescent="0.25">
      <c r="A3701">
        <f ca="1">33667.6561939205*(RANDBETWEEN(2890,3282))</f>
        <v>103629045.7648872</v>
      </c>
      <c r="B3701">
        <v>205885457.63399684</v>
      </c>
    </row>
    <row r="3702" spans="1:2" x14ac:dyDescent="0.25">
      <c r="A3702">
        <f ca="1">36974.6169545783*(RANDBETWEEN(2890,3282))</f>
        <v>120943972.05842555</v>
      </c>
      <c r="B3702">
        <v>250009786.61814126</v>
      </c>
    </row>
    <row r="3703" spans="1:2" x14ac:dyDescent="0.25">
      <c r="A3703">
        <f ca="1">34611.6217204876*(RANDBETWEEN(2890,3282))</f>
        <v>108161317.87652375</v>
      </c>
      <c r="B3703">
        <v>224086992.49569118</v>
      </c>
    </row>
    <row r="3704" spans="1:2" x14ac:dyDescent="0.25">
      <c r="A3704">
        <f ca="1">40046.875966447*(RANDBETWEEN(2890,3282))</f>
        <v>116135940.30269642</v>
      </c>
      <c r="B3704">
        <v>227024160.90958256</v>
      </c>
    </row>
    <row r="3705" spans="1:2" x14ac:dyDescent="0.25">
      <c r="A3705">
        <f ca="1">28771.1947295661*(RANDBETWEEN(2890,3282))</f>
        <v>92096594.329341084</v>
      </c>
      <c r="B3705">
        <v>240523260.54054847</v>
      </c>
    </row>
    <row r="3706" spans="1:2" x14ac:dyDescent="0.25">
      <c r="A3706">
        <f ca="1">40060.0319753617*(RANDBETWEEN(2890,3282))</f>
        <v>130796004.39955603</v>
      </c>
      <c r="B3706">
        <v>205788655.68481502</v>
      </c>
    </row>
    <row r="3707" spans="1:2" x14ac:dyDescent="0.25">
      <c r="A3707">
        <f ca="1">31769.3166243812*(RANDBETWEEN(2890,3282))</f>
        <v>94767871.49052915</v>
      </c>
      <c r="B3707">
        <v>265154182.58186862</v>
      </c>
    </row>
    <row r="3708" spans="1:2" x14ac:dyDescent="0.25">
      <c r="A3708">
        <f ca="1">32650.5153571906*(RANDBETWEEN(2890,3282))</f>
        <v>99159615.139787927</v>
      </c>
      <c r="B3708">
        <v>211103763.63246316</v>
      </c>
    </row>
    <row r="3709" spans="1:2" x14ac:dyDescent="0.25">
      <c r="A3709">
        <f ca="1">31692.0088602758*(RANDBETWEEN(2890,3282))</f>
        <v>93935114.261857465</v>
      </c>
      <c r="B3709">
        <v>239276288.77149549</v>
      </c>
    </row>
    <row r="3710" spans="1:2" x14ac:dyDescent="0.25">
      <c r="A3710">
        <f ca="1">30157.6699750313*(RANDBETWEEN(2890,3282))</f>
        <v>89930171.86554347</v>
      </c>
      <c r="B3710">
        <v>262853115.45271438</v>
      </c>
    </row>
    <row r="3711" spans="1:2" x14ac:dyDescent="0.25">
      <c r="A3711">
        <f ca="1">35978.3613884407*(RANDBETWEEN(2890,3282))</f>
        <v>108654651.39309104</v>
      </c>
      <c r="B3711">
        <v>226574765.43163615</v>
      </c>
    </row>
    <row r="3712" spans="1:2" x14ac:dyDescent="0.25">
      <c r="A3712">
        <f ca="1">37186.8656539159*(RANDBETWEEN(2890,3282))</f>
        <v>121266368.89741988</v>
      </c>
      <c r="B3712">
        <v>229126040.4802303</v>
      </c>
    </row>
    <row r="3713" spans="1:2" x14ac:dyDescent="0.25">
      <c r="A3713">
        <f ca="1">30377.9728549224*(RANDBETWEEN(2890,3282))</f>
        <v>91285808.429041788</v>
      </c>
      <c r="B3713">
        <v>238063442.60063809</v>
      </c>
    </row>
    <row r="3714" spans="1:2" x14ac:dyDescent="0.25">
      <c r="A3714">
        <f ca="1">34972.8783912651*(RANDBETWEEN(2890,3282))</f>
        <v>111668400.70330948</v>
      </c>
      <c r="B3714">
        <v>249733906.00868803</v>
      </c>
    </row>
    <row r="3715" spans="1:2" x14ac:dyDescent="0.25">
      <c r="A3715">
        <f ca="1">31042.0557552341*(RANDBETWEEN(2890,3282))</f>
        <v>93033041.098436639</v>
      </c>
      <c r="B3715">
        <v>241733140.84395212</v>
      </c>
    </row>
    <row r="3716" spans="1:2" x14ac:dyDescent="0.25">
      <c r="A3716">
        <f ca="1">38875.8935906995*(RANDBETWEEN(2890,3282))</f>
        <v>119037986.17472202</v>
      </c>
      <c r="B3716">
        <v>206168003.35502204</v>
      </c>
    </row>
    <row r="3717" spans="1:2" x14ac:dyDescent="0.25">
      <c r="A3717">
        <f ca="1">38170.4697516378*(RANDBETWEEN(2890,3282))</f>
        <v>112450203.88832502</v>
      </c>
      <c r="B3717">
        <v>249918016.50107971</v>
      </c>
    </row>
    <row r="3718" spans="1:2" x14ac:dyDescent="0.25">
      <c r="A3718">
        <f ca="1">29250.8934404313*(RANDBETWEEN(2890,3282))</f>
        <v>87781931.214734197</v>
      </c>
      <c r="B3718">
        <v>207640247.40122876</v>
      </c>
    </row>
    <row r="3719" spans="1:2" x14ac:dyDescent="0.25">
      <c r="A3719">
        <f ca="1">31649.4701265691*(RANDBETWEEN(2890,3282))</f>
        <v>98999542.555908173</v>
      </c>
      <c r="B3719">
        <v>256540694.17514294</v>
      </c>
    </row>
    <row r="3720" spans="1:2" x14ac:dyDescent="0.25">
      <c r="A3720">
        <f ca="1">39515.0747637454*(RANDBETWEEN(2890,3282))</f>
        <v>115384018.3101366</v>
      </c>
      <c r="B3720">
        <v>214150325.37721556</v>
      </c>
    </row>
    <row r="3721" spans="1:2" x14ac:dyDescent="0.25">
      <c r="A3721">
        <f ca="1">31528.3573423712*(RANDBETWEEN(2890,3282))</f>
        <v>95499394.390042245</v>
      </c>
      <c r="B3721">
        <v>224113716.81058401</v>
      </c>
    </row>
    <row r="3722" spans="1:2" x14ac:dyDescent="0.25">
      <c r="A3722">
        <f ca="1">39948.3553706177*(RANDBETWEEN(2890,3282))</f>
        <v>117767751.63258108</v>
      </c>
      <c r="B3722">
        <v>214145173.4111385</v>
      </c>
    </row>
    <row r="3723" spans="1:2" x14ac:dyDescent="0.25">
      <c r="A3723">
        <f ca="1">32574.442076975*(RANDBETWEEN(2890,3282))</f>
        <v>97593028.462617099</v>
      </c>
      <c r="B3723">
        <v>206979648.17628658</v>
      </c>
    </row>
    <row r="3724" spans="1:2" x14ac:dyDescent="0.25">
      <c r="A3724">
        <f ca="1">38890.4347982139*(RANDBETWEEN(2890,3282))</f>
        <v>126899488.74657196</v>
      </c>
      <c r="B3724">
        <v>250732355.88276762</v>
      </c>
    </row>
    <row r="3725" spans="1:2" x14ac:dyDescent="0.25">
      <c r="A3725">
        <f ca="1">41455.2407878826*(RANDBETWEEN(2890,3282))</f>
        <v>120427474.48879886</v>
      </c>
      <c r="B3725">
        <v>225175684.12257522</v>
      </c>
    </row>
    <row r="3726" spans="1:2" x14ac:dyDescent="0.25">
      <c r="A3726">
        <f ca="1">30890.8488009571*(RANDBETWEEN(2890,3282))</f>
        <v>97676863.908626378</v>
      </c>
      <c r="B3726">
        <v>253871757.6806016</v>
      </c>
    </row>
    <row r="3727" spans="1:2" x14ac:dyDescent="0.25">
      <c r="A3727">
        <f ca="1">31541.9531348563*(RANDBETWEEN(2890,3282))</f>
        <v>93584974.951118693</v>
      </c>
      <c r="B3727">
        <v>222097166.22503823</v>
      </c>
    </row>
    <row r="3728" spans="1:2" x14ac:dyDescent="0.25">
      <c r="A3728">
        <f ca="1">36891.879110944*(RANDBETWEEN(2890,3282))</f>
        <v>115250230.34258921</v>
      </c>
      <c r="B3728">
        <v>250738832.22221023</v>
      </c>
    </row>
    <row r="3729" spans="1:2" x14ac:dyDescent="0.25">
      <c r="A3729">
        <f ca="1">31093.1568539925*(RANDBETWEEN(2890,3282))</f>
        <v>94274451.581305116</v>
      </c>
      <c r="B3729">
        <v>236815642.72826013</v>
      </c>
    </row>
    <row r="3730" spans="1:2" x14ac:dyDescent="0.25">
      <c r="A3730">
        <f ca="1">34229.4497262737*(RANDBETWEEN(2890,3282))</f>
        <v>99539239.804003879</v>
      </c>
      <c r="B3730">
        <v>241251869.67406836</v>
      </c>
    </row>
    <row r="3731" spans="1:2" x14ac:dyDescent="0.25">
      <c r="A3731">
        <f ca="1">38737.3707124046*(RANDBETWEEN(2890,3282))</f>
        <v>118342667.52639616</v>
      </c>
      <c r="B3731">
        <v>208875684.38758826</v>
      </c>
    </row>
    <row r="3732" spans="1:2" x14ac:dyDescent="0.25">
      <c r="A3732">
        <f ca="1">30822.5261097738*(RANDBETWEEN(2890,3282))</f>
        <v>100234854.90898451</v>
      </c>
      <c r="B3732">
        <v>211473037.32304838</v>
      </c>
    </row>
    <row r="3733" spans="1:2" x14ac:dyDescent="0.25">
      <c r="A3733">
        <f ca="1">30869.6253349005*(RANDBETWEEN(2890,3282))</f>
        <v>99863237.958402961</v>
      </c>
      <c r="B3733">
        <v>249397488.32139742</v>
      </c>
    </row>
    <row r="3734" spans="1:2" x14ac:dyDescent="0.25">
      <c r="A3734">
        <f ca="1">32972.2916438121*(RANDBETWEEN(2890,3282))</f>
        <v>96147202.433356032</v>
      </c>
      <c r="B3734">
        <v>212467620.81468797</v>
      </c>
    </row>
    <row r="3735" spans="1:2" x14ac:dyDescent="0.25">
      <c r="A3735">
        <f ca="1">34364.5243570593*(RANDBETWEEN(2890,3282))</f>
        <v>106358202.88509838</v>
      </c>
      <c r="B3735">
        <v>250024710.36194369</v>
      </c>
    </row>
    <row r="3736" spans="1:2" x14ac:dyDescent="0.25">
      <c r="A3736">
        <f ca="1">41896.1720046142*(RANDBETWEEN(2890,3282))</f>
        <v>135994974.32697785</v>
      </c>
      <c r="B3736">
        <v>233334536.64312032</v>
      </c>
    </row>
    <row r="3737" spans="1:2" x14ac:dyDescent="0.25">
      <c r="A3737">
        <f ca="1">38279.4849366655*(RANDBETWEEN(2890,3282))</f>
        <v>116522752.14720975</v>
      </c>
      <c r="B3737">
        <v>229618205.40914515</v>
      </c>
    </row>
    <row r="3738" spans="1:2" x14ac:dyDescent="0.25">
      <c r="A3738">
        <f ca="1">33243.9358166657*(RANDBETWEEN(2890,3282))</f>
        <v>103687835.81218019</v>
      </c>
      <c r="B3738">
        <v>206323377.57244408</v>
      </c>
    </row>
    <row r="3739" spans="1:2" x14ac:dyDescent="0.25">
      <c r="A3739">
        <f ca="1">31299.406587713*(RANDBETWEEN(2890,3282))</f>
        <v>97028160.421910375</v>
      </c>
      <c r="B3739">
        <v>211820833.95073172</v>
      </c>
    </row>
    <row r="3740" spans="1:2" x14ac:dyDescent="0.25">
      <c r="A3740">
        <f ca="1">36386.5214551989*(RANDBETWEEN(2890,3282))</f>
        <v>105157047.00552475</v>
      </c>
      <c r="B3740">
        <v>254672153.40168992</v>
      </c>
    </row>
    <row r="3741" spans="1:2" x14ac:dyDescent="0.25">
      <c r="A3741">
        <f ca="1">30808.9941274087*(RANDBETWEEN(2890,3282))</f>
        <v>91163813.623002335</v>
      </c>
      <c r="B3741">
        <v>205818571.14142653</v>
      </c>
    </row>
    <row r="3742" spans="1:2" x14ac:dyDescent="0.25">
      <c r="A3742">
        <f ca="1">31596.3852531826*(RANDBETWEEN(2890,3282))</f>
        <v>96116203.940181524</v>
      </c>
      <c r="B3742">
        <v>237793318.5244807</v>
      </c>
    </row>
    <row r="3743" spans="1:2" x14ac:dyDescent="0.25">
      <c r="A3743">
        <f ca="1">32132.6642801517*(RANDBETWEEN(2890,3282))</f>
        <v>104688220.22473411</v>
      </c>
      <c r="B3743">
        <v>264873968.11443466</v>
      </c>
    </row>
    <row r="3744" spans="1:2" x14ac:dyDescent="0.25">
      <c r="A3744">
        <f ca="1">34735.3605230999*(RANDBETWEEN(2890,3282))</f>
        <v>107019645.77167071</v>
      </c>
      <c r="B3744">
        <v>235985871.9868046</v>
      </c>
    </row>
    <row r="3745" spans="1:2" x14ac:dyDescent="0.25">
      <c r="A3745">
        <f ca="1">39418.1368605708*(RANDBETWEEN(2890,3282))</f>
        <v>117229539.02333771</v>
      </c>
      <c r="B3745">
        <v>250767665.40519893</v>
      </c>
    </row>
    <row r="3746" spans="1:2" x14ac:dyDescent="0.25">
      <c r="A3746">
        <f ca="1">29020.5447256249*(RANDBETWEEN(2890,3282))</f>
        <v>93649297.829591706</v>
      </c>
      <c r="B3746">
        <v>240869242.95230097</v>
      </c>
    </row>
    <row r="3747" spans="1:2" x14ac:dyDescent="0.25">
      <c r="A3747">
        <f ca="1">31463.7375670817*(RANDBETWEEN(2890,3282))</f>
        <v>101470553.65383863</v>
      </c>
      <c r="B3747">
        <v>254970106.30097729</v>
      </c>
    </row>
    <row r="3748" spans="1:2" x14ac:dyDescent="0.25">
      <c r="A3748">
        <f ca="1">29936.0322130586*(RANDBETWEEN(2890,3282))</f>
        <v>95466006.727443725</v>
      </c>
      <c r="B3748">
        <v>235025724.98476812</v>
      </c>
    </row>
    <row r="3749" spans="1:2" x14ac:dyDescent="0.25">
      <c r="A3749">
        <f ca="1">37643.4286482275*(RANDBETWEEN(2890,3282))</f>
        <v>117447497.38246989</v>
      </c>
      <c r="B3749">
        <v>247685542.88093445</v>
      </c>
    </row>
    <row r="3750" spans="1:2" x14ac:dyDescent="0.25">
      <c r="A3750">
        <f ca="1">33260.6852858583*(RANDBETWEEN(2890,3282))</f>
        <v>103008342.33030327</v>
      </c>
      <c r="B3750">
        <v>212869678.72783849</v>
      </c>
    </row>
    <row r="3751" spans="1:2" x14ac:dyDescent="0.25">
      <c r="A3751">
        <f ca="1">28595.9376303794*(RANDBETWEEN(2890,3282))</f>
        <v>90591930.413041949</v>
      </c>
      <c r="B3751">
        <v>234909699.97702721</v>
      </c>
    </row>
    <row r="3752" spans="1:2" x14ac:dyDescent="0.25">
      <c r="A3752">
        <f ca="1">32117.835196725*(RANDBETWEEN(2890,3282))</f>
        <v>97541865.492453977</v>
      </c>
      <c r="B3752">
        <v>207299667.51330879</v>
      </c>
    </row>
    <row r="3753" spans="1:2" x14ac:dyDescent="0.25">
      <c r="A3753">
        <f ca="1">29138.2950281083*(RANDBETWEEN(2890,3282))</f>
        <v>85404342.727385372</v>
      </c>
      <c r="B3753">
        <v>207032839.49003142</v>
      </c>
    </row>
    <row r="3754" spans="1:2" x14ac:dyDescent="0.25">
      <c r="A3754">
        <f ca="1">42589.1299397676*(RANDBETWEEN(2890,3282))</f>
        <v>138968330.99346179</v>
      </c>
      <c r="B3754">
        <v>205268987.90423268</v>
      </c>
    </row>
    <row r="3755" spans="1:2" x14ac:dyDescent="0.25">
      <c r="A3755">
        <f ca="1">31470.8112883641*(RANDBETWEEN(2890,3282))</f>
        <v>102374549.12104852</v>
      </c>
      <c r="B3755">
        <v>204416993.17502904</v>
      </c>
    </row>
    <row r="3756" spans="1:2" x14ac:dyDescent="0.25">
      <c r="A3756">
        <f ca="1">36879.3753978711*(RANDBETWEEN(2890,3282))</f>
        <v>119009744.40892996</v>
      </c>
      <c r="B3756">
        <v>236441964.04722464</v>
      </c>
    </row>
    <row r="3757" spans="1:2" x14ac:dyDescent="0.25">
      <c r="A3757">
        <f ca="1">33220.9269846597*(RANDBETWEEN(2890,3282))</f>
        <v>101357048.23019664</v>
      </c>
      <c r="B3757">
        <v>206539449.4319548</v>
      </c>
    </row>
    <row r="3758" spans="1:2" x14ac:dyDescent="0.25">
      <c r="A3758">
        <f ca="1">31446.4693813022*(RANDBETWEEN(2890,3282))</f>
        <v>101634989.04036884</v>
      </c>
      <c r="B3758">
        <v>217537694.34050959</v>
      </c>
    </row>
    <row r="3759" spans="1:2" x14ac:dyDescent="0.25">
      <c r="A3759">
        <f ca="1">30502.4473214227*(RANDBETWEEN(2890,3282))</f>
        <v>96174216.404445663</v>
      </c>
      <c r="B3759">
        <v>229533038.06123996</v>
      </c>
    </row>
    <row r="3760" spans="1:2" x14ac:dyDescent="0.25">
      <c r="A3760">
        <f ca="1">31260.1070275495*(RANDBETWEEN(2890,3282))</f>
        <v>90498009.844755739</v>
      </c>
      <c r="B3760">
        <v>249401328.2393513</v>
      </c>
    </row>
    <row r="3761" spans="1:2" x14ac:dyDescent="0.25">
      <c r="A3761">
        <f ca="1">34953.4030375436*(RANDBETWEEN(2890,3282))</f>
        <v>105768997.59160681</v>
      </c>
      <c r="B3761">
        <v>212185735.95135748</v>
      </c>
    </row>
    <row r="3762" spans="1:2" x14ac:dyDescent="0.25">
      <c r="A3762">
        <f ca="1">36858.7301768804*(RANDBETWEEN(2890,3282))</f>
        <v>110797342.91170242</v>
      </c>
      <c r="B3762">
        <v>267892766.75410205</v>
      </c>
    </row>
    <row r="3763" spans="1:2" x14ac:dyDescent="0.25">
      <c r="A3763">
        <f ca="1">35379.9128456285*(RANDBETWEEN(2890,3282))</f>
        <v>106104358.62403975</v>
      </c>
      <c r="B3763">
        <v>215710176.34959364</v>
      </c>
    </row>
    <row r="3764" spans="1:2" x14ac:dyDescent="0.25">
      <c r="A3764">
        <f ca="1">36670.2860198875*(RANDBETWEEN(2890,3282))</f>
        <v>117161563.83354044</v>
      </c>
      <c r="B3764">
        <v>261120951.73461518</v>
      </c>
    </row>
    <row r="3765" spans="1:2" x14ac:dyDescent="0.25">
      <c r="A3765">
        <f ca="1">36978.9121800564*(RANDBETWEEN(2890,3282))</f>
        <v>109938305.91130781</v>
      </c>
      <c r="B3765">
        <v>207614193.45371962</v>
      </c>
    </row>
    <row r="3766" spans="1:2" x14ac:dyDescent="0.25">
      <c r="A3766">
        <f ca="1">40610.1294332718*(RANDBETWEEN(2890,3282))</f>
        <v>130236685.09250271</v>
      </c>
      <c r="B3766">
        <v>244438096.7355428</v>
      </c>
    </row>
    <row r="3767" spans="1:2" x14ac:dyDescent="0.25">
      <c r="A3767">
        <f ca="1">41993.1376462976*(RANDBETWEEN(2890,3282))</f>
        <v>128079069.82120782</v>
      </c>
      <c r="B3767">
        <v>262276544.22660953</v>
      </c>
    </row>
    <row r="3768" spans="1:2" x14ac:dyDescent="0.25">
      <c r="A3768">
        <f ca="1">30618.1532247037*(RANDBETWEEN(2890,3282))</f>
        <v>98621071.536770478</v>
      </c>
      <c r="B3768">
        <v>239330571.59450251</v>
      </c>
    </row>
    <row r="3769" spans="1:2" x14ac:dyDescent="0.25">
      <c r="A3769">
        <f ca="1">32491.4734504544*(RANDBETWEEN(2890,3282))</f>
        <v>100593601.80260681</v>
      </c>
      <c r="B3769">
        <v>224359066.60497871</v>
      </c>
    </row>
    <row r="3770" spans="1:2" x14ac:dyDescent="0.25">
      <c r="A3770">
        <f ca="1">32169.1110719071*(RANDBETWEEN(2890,3282))</f>
        <v>94352002.773903564</v>
      </c>
      <c r="B3770">
        <v>266050156.33047691</v>
      </c>
    </row>
    <row r="3771" spans="1:2" x14ac:dyDescent="0.25">
      <c r="A3771">
        <f ca="1">39644.284279919*(RANDBETWEEN(2890,3282))</f>
        <v>116871350.05720122</v>
      </c>
      <c r="B3771">
        <v>210815247.38219151</v>
      </c>
    </row>
    <row r="3772" spans="1:2" x14ac:dyDescent="0.25">
      <c r="A3772">
        <f ca="1">34781.3737852618*(RANDBETWEEN(2890,3282))</f>
        <v>108448323.46244632</v>
      </c>
      <c r="B3772">
        <v>262987464.86652538</v>
      </c>
    </row>
    <row r="3773" spans="1:2" x14ac:dyDescent="0.25">
      <c r="A3773">
        <f ca="1">39096.2721163215*(RANDBETWEEN(2890,3282))</f>
        <v>125029878.2279963</v>
      </c>
      <c r="B3773">
        <v>216792429.04037172</v>
      </c>
    </row>
    <row r="3774" spans="1:2" x14ac:dyDescent="0.25">
      <c r="A3774">
        <f ca="1">38811.3007241663*(RANDBETWEEN(2890,3282))</f>
        <v>121324126.06374396</v>
      </c>
      <c r="B3774">
        <v>250617441.14986619</v>
      </c>
    </row>
    <row r="3775" spans="1:2" x14ac:dyDescent="0.25">
      <c r="A3775">
        <f ca="1">39787.808553256*(RANDBETWEEN(2890,3282))</f>
        <v>128395258.2013572</v>
      </c>
      <c r="B3775">
        <v>217150052.98725677</v>
      </c>
    </row>
    <row r="3776" spans="1:2" x14ac:dyDescent="0.25">
      <c r="A3776">
        <f ca="1">30344.6397069459*(RANDBETWEEN(2890,3282))</f>
        <v>91489088.716441944</v>
      </c>
      <c r="B3776">
        <v>254997223.48891711</v>
      </c>
    </row>
    <row r="3777" spans="1:2" x14ac:dyDescent="0.25">
      <c r="A3777">
        <f ca="1">37502.4220965317*(RANDBETWEEN(2890,3282))</f>
        <v>112469763.86749849</v>
      </c>
      <c r="B3777">
        <v>218694008.59596175</v>
      </c>
    </row>
    <row r="3778" spans="1:2" x14ac:dyDescent="0.25">
      <c r="A3778">
        <f ca="1">33496.1945460412*(RANDBETWEEN(2890,3282))</f>
        <v>98210842.408992663</v>
      </c>
      <c r="B3778">
        <v>222678592.07198662</v>
      </c>
    </row>
    <row r="3779" spans="1:2" x14ac:dyDescent="0.25">
      <c r="A3779">
        <f ca="1">34049.3840277967*(RANDBETWEEN(2890,3282))</f>
        <v>104225164.50908582</v>
      </c>
      <c r="B3779">
        <v>246572260.51568154</v>
      </c>
    </row>
    <row r="3780" spans="1:2" x14ac:dyDescent="0.25">
      <c r="A3780">
        <f ca="1">37238.005335899*(RANDBETWEEN(2890,3282))</f>
        <v>116852860.74405107</v>
      </c>
      <c r="B3780">
        <v>213328775.32058051</v>
      </c>
    </row>
    <row r="3781" spans="1:2" x14ac:dyDescent="0.25">
      <c r="A3781">
        <f ca="1">38459.9585484632*(RANDBETWEEN(2890,3282))</f>
        <v>122610347.85250084</v>
      </c>
      <c r="B3781">
        <v>236303638.41811273</v>
      </c>
    </row>
    <row r="3782" spans="1:2" x14ac:dyDescent="0.25">
      <c r="A3782">
        <f ca="1">32201.750859701*(RANDBETWEEN(2890,3282))</f>
        <v>95156173.79041642</v>
      </c>
      <c r="B3782">
        <v>265097798.31220251</v>
      </c>
    </row>
    <row r="3783" spans="1:2" x14ac:dyDescent="0.25">
      <c r="A3783">
        <f ca="1">32687.5507850076*(RANDBETWEEN(2890,3282))</f>
        <v>98226090.108947888</v>
      </c>
      <c r="B3783">
        <v>207403937.33168903</v>
      </c>
    </row>
    <row r="3784" spans="1:2" x14ac:dyDescent="0.25">
      <c r="A3784">
        <f ca="1">36394.6655996545*(RANDBETWEEN(2890,3282))</f>
        <v>106418002.21338972</v>
      </c>
      <c r="B3784">
        <v>264998985.84378287</v>
      </c>
    </row>
    <row r="3785" spans="1:2" x14ac:dyDescent="0.25">
      <c r="A3785">
        <f ca="1">32262.8969401807*(RANDBETWEEN(2890,3282))</f>
        <v>103596162.07492039</v>
      </c>
      <c r="B3785">
        <v>247743635.87450394</v>
      </c>
    </row>
    <row r="3786" spans="1:2" x14ac:dyDescent="0.25">
      <c r="A3786">
        <f ca="1">34510.856016804*(RANDBETWEEN(2890,3282))</f>
        <v>105775773.69150442</v>
      </c>
      <c r="B3786">
        <v>239438235.53444046</v>
      </c>
    </row>
    <row r="3787" spans="1:2" x14ac:dyDescent="0.25">
      <c r="A3787">
        <f ca="1">33009.9389439819*(RANDBETWEEN(2890,3282))</f>
        <v>97709419.274186298</v>
      </c>
      <c r="B3787">
        <v>225143226.77566192</v>
      </c>
    </row>
    <row r="3788" spans="1:2" x14ac:dyDescent="0.25">
      <c r="A3788">
        <f ca="1">32939.6271631413*(RANDBETWEEN(2890,3282))</f>
        <v>102738697.12183787</v>
      </c>
      <c r="B3788">
        <v>239150245.79722169</v>
      </c>
    </row>
    <row r="3789" spans="1:2" x14ac:dyDescent="0.25">
      <c r="A3789">
        <f ca="1">37168.588652094*(RANDBETWEEN(2890,3282))</f>
        <v>119682855.45974283</v>
      </c>
      <c r="B3789">
        <v>262160106.86078972</v>
      </c>
    </row>
    <row r="3790" spans="1:2" x14ac:dyDescent="0.25">
      <c r="A3790">
        <f ca="1">36952.0498735514*(RANDBETWEEN(2890,3282))</f>
        <v>113886217.71028543</v>
      </c>
      <c r="B3790">
        <v>214949019.41769853</v>
      </c>
    </row>
    <row r="3791" spans="1:2" x14ac:dyDescent="0.25">
      <c r="A3791">
        <f ca="1">29754.5086088594*(RANDBETWEEN(2890,3282))</f>
        <v>94678846.393390685</v>
      </c>
      <c r="B3791">
        <v>263996806.30215263</v>
      </c>
    </row>
    <row r="3792" spans="1:2" x14ac:dyDescent="0.25">
      <c r="A3792">
        <f ca="1">31747.6255584499*(RANDBETWEEN(2890,3282))</f>
        <v>98163658.226726979</v>
      </c>
      <c r="B3792">
        <v>204596808.47228482</v>
      </c>
    </row>
    <row r="3793" spans="1:2" x14ac:dyDescent="0.25">
      <c r="A3793">
        <f ca="1">40296.0948607708*(RANDBETWEEN(2890,3282))</f>
        <v>124353748.74033864</v>
      </c>
      <c r="B3793">
        <v>233295956.23823938</v>
      </c>
    </row>
    <row r="3794" spans="1:2" x14ac:dyDescent="0.25">
      <c r="A3794">
        <f ca="1">32358.544577978*(RANDBETWEEN(2890,3282))</f>
        <v>104129796.45193307</v>
      </c>
      <c r="B3794">
        <v>267553482.60529441</v>
      </c>
    </row>
    <row r="3795" spans="1:2" x14ac:dyDescent="0.25">
      <c r="A3795">
        <f ca="1">38841.9387727702*(RANDBETWEEN(2890,3282))</f>
        <v>114272983.86949001</v>
      </c>
      <c r="B3795">
        <v>256304557.61384818</v>
      </c>
    </row>
    <row r="3796" spans="1:2" x14ac:dyDescent="0.25">
      <c r="A3796">
        <f ca="1">31175.1544736319*(RANDBETWEEN(2890,3282))</f>
        <v>92839610.022475794</v>
      </c>
      <c r="B3796">
        <v>266200618.31900689</v>
      </c>
    </row>
    <row r="3797" spans="1:2" x14ac:dyDescent="0.25">
      <c r="A3797">
        <f ca="1">34245.126586965*(RANDBETWEEN(2890,3282))</f>
        <v>111878828.55961454</v>
      </c>
      <c r="B3797">
        <v>205528334.20573795</v>
      </c>
    </row>
    <row r="3798" spans="1:2" x14ac:dyDescent="0.25">
      <c r="A3798">
        <f ca="1">30792.3146773763*(RANDBETWEEN(2890,3282))</f>
        <v>100352153.53356944</v>
      </c>
      <c r="B3798">
        <v>248716814.5694842</v>
      </c>
    </row>
    <row r="3799" spans="1:2" x14ac:dyDescent="0.25">
      <c r="A3799">
        <f ca="1">31981.7668848636*(RANDBETWEEN(2890,3282))</f>
        <v>100838510.98797509</v>
      </c>
      <c r="B3799">
        <v>216443846.44410688</v>
      </c>
    </row>
    <row r="3800" spans="1:2" x14ac:dyDescent="0.25">
      <c r="A3800">
        <f ca="1">36905.3859635548*(RANDBETWEEN(2890,3282))</f>
        <v>110974495.59240937</v>
      </c>
      <c r="B3800">
        <v>241179820.2852748</v>
      </c>
    </row>
    <row r="3801" spans="1:2" x14ac:dyDescent="0.25">
      <c r="A3801">
        <f ca="1">29742.8912801582*(RANDBETWEEN(2890,3282))</f>
        <v>94344451.140661865</v>
      </c>
      <c r="B3801">
        <v>243052892.12219459</v>
      </c>
    </row>
    <row r="3802" spans="1:2" x14ac:dyDescent="0.25">
      <c r="A3802">
        <f ca="1">39606.7378788303*(RANDBETWEEN(2890,3282))</f>
        <v>120048022.51073468</v>
      </c>
      <c r="B3802">
        <v>263993682.30190647</v>
      </c>
    </row>
    <row r="3803" spans="1:2" x14ac:dyDescent="0.25">
      <c r="A3803">
        <f ca="1">31148.6715152357*(RANDBETWEEN(2890,3282))</f>
        <v>101202033.7530008</v>
      </c>
      <c r="B3803">
        <v>246634349.21155089</v>
      </c>
    </row>
    <row r="3804" spans="1:2" x14ac:dyDescent="0.25">
      <c r="A3804">
        <f ca="1">32316.8474097269*(RANDBETWEEN(2890,3282))</f>
        <v>94042025.962305292</v>
      </c>
      <c r="B3804">
        <v>249342042.47536555</v>
      </c>
    </row>
    <row r="3805" spans="1:2" x14ac:dyDescent="0.25">
      <c r="A3805">
        <f ca="1">40093.3396127589*(RANDBETWEEN(2890,3282))</f>
        <v>120480485.53634052</v>
      </c>
      <c r="B3805">
        <v>265470742.61707383</v>
      </c>
    </row>
    <row r="3806" spans="1:2" x14ac:dyDescent="0.25">
      <c r="A3806">
        <f ca="1">33709.2268096601*(RANDBETWEEN(2890,3282))</f>
        <v>107127922.80109979</v>
      </c>
      <c r="B3806">
        <v>206535542.8337453</v>
      </c>
    </row>
    <row r="3807" spans="1:2" x14ac:dyDescent="0.25">
      <c r="A3807">
        <f ca="1">35319.123900947*(RANDBETWEEN(2890,3282))</f>
        <v>106981626.29596831</v>
      </c>
      <c r="B3807">
        <v>227575406.91656715</v>
      </c>
    </row>
    <row r="3808" spans="1:2" x14ac:dyDescent="0.25">
      <c r="A3808">
        <f ca="1">40623.4720782708*(RANDBETWEEN(2890,3282))</f>
        <v>126826479.82836159</v>
      </c>
      <c r="B3808">
        <v>256252873.61433676</v>
      </c>
    </row>
    <row r="3809" spans="1:2" x14ac:dyDescent="0.25">
      <c r="A3809">
        <f ca="1">37173.8845624634*(RANDBETWEEN(2890,3282))</f>
        <v>113157304.60813874</v>
      </c>
      <c r="B3809">
        <v>247154090.40472236</v>
      </c>
    </row>
    <row r="3810" spans="1:2" x14ac:dyDescent="0.25">
      <c r="A3810">
        <f ca="1">28506.272006751*(RANDBETWEEN(2890,3282))</f>
        <v>88654505.940995634</v>
      </c>
      <c r="B3810">
        <v>206188621.22823742</v>
      </c>
    </row>
    <row r="3811" spans="1:2" x14ac:dyDescent="0.25">
      <c r="A3811">
        <f ca="1">38149.6950823181*(RANDBETWEEN(2890,3282))</f>
        <v>112617899.88300303</v>
      </c>
      <c r="B3811">
        <v>211640229.97303975</v>
      </c>
    </row>
    <row r="3812" spans="1:2" x14ac:dyDescent="0.25">
      <c r="A3812">
        <f ca="1">40687.5957704719*(RANDBETWEEN(2890,3282))</f>
        <v>123690291.14223443</v>
      </c>
      <c r="B3812">
        <v>244883926.97509354</v>
      </c>
    </row>
    <row r="3813" spans="1:2" x14ac:dyDescent="0.25">
      <c r="A3813">
        <f ca="1">36314.0142690783*(RANDBETWEEN(2890,3282))</f>
        <v>108070506.46477711</v>
      </c>
      <c r="B3813">
        <v>254956888.80978879</v>
      </c>
    </row>
    <row r="3814" spans="1:2" x14ac:dyDescent="0.25">
      <c r="A3814">
        <f ca="1">34606.3644475568*(RANDBETWEEN(2890,3282))</f>
        <v>109044654.37425141</v>
      </c>
      <c r="B3814">
        <v>236791496.08505538</v>
      </c>
    </row>
    <row r="3815" spans="1:2" x14ac:dyDescent="0.25">
      <c r="A3815">
        <f ca="1">39211.7507953586*(RANDBETWEEN(2890,3282))</f>
        <v>124144403.01810531</v>
      </c>
      <c r="B3815">
        <v>214951946.58458027</v>
      </c>
    </row>
    <row r="3816" spans="1:2" x14ac:dyDescent="0.25">
      <c r="A3816">
        <f ca="1">35363.6573272188*(RANDBETWEEN(2890,3282))</f>
        <v>109450519.42774217</v>
      </c>
      <c r="B3816">
        <v>223824105.4666962</v>
      </c>
    </row>
    <row r="3817" spans="1:2" x14ac:dyDescent="0.25">
      <c r="A3817">
        <f ca="1">37057.957006921*(RANDBETWEEN(2890,3282))</f>
        <v>119882490.91738938</v>
      </c>
      <c r="B3817">
        <v>214730850.22667235</v>
      </c>
    </row>
    <row r="3818" spans="1:2" x14ac:dyDescent="0.25">
      <c r="A3818">
        <f ca="1">32853.3157943172*(RANDBETWEEN(2890,3282))</f>
        <v>97180108.119590178</v>
      </c>
      <c r="B3818">
        <v>221645981.81435159</v>
      </c>
    </row>
    <row r="3819" spans="1:2" x14ac:dyDescent="0.25">
      <c r="A3819">
        <f ca="1">31919.9568197527*(RANDBETWEEN(2890,3282))</f>
        <v>94674591.927386537</v>
      </c>
      <c r="B3819">
        <v>236456296.91941369</v>
      </c>
    </row>
    <row r="3820" spans="1:2" x14ac:dyDescent="0.25">
      <c r="A3820">
        <f ca="1">32151.3529258234*(RANDBETWEEN(2890,3282))</f>
        <v>101887637.42193422</v>
      </c>
      <c r="B3820">
        <v>223635396.97676486</v>
      </c>
    </row>
    <row r="3821" spans="1:2" x14ac:dyDescent="0.25">
      <c r="A3821">
        <f ca="1">39902.9625730642*(RANDBETWEEN(2890,3282))</f>
        <v>128367830.5975474</v>
      </c>
      <c r="B3821">
        <v>228158375.48907915</v>
      </c>
    </row>
    <row r="3822" spans="1:2" x14ac:dyDescent="0.25">
      <c r="A3822">
        <f ca="1">38832.6836536224*(RANDBETWEEN(2890,3282))</f>
        <v>123876260.85505541</v>
      </c>
      <c r="B3822">
        <v>208837853.47998479</v>
      </c>
    </row>
    <row r="3823" spans="1:2" x14ac:dyDescent="0.25">
      <c r="A3823">
        <f ca="1">31791.6402248217*(RANDBETWEEN(2890,3282))</f>
        <v>96710169.563907743</v>
      </c>
      <c r="B3823">
        <v>235922281.60828745</v>
      </c>
    </row>
    <row r="3824" spans="1:2" x14ac:dyDescent="0.25">
      <c r="A3824">
        <f ca="1">30603.3821361715*(RANDBETWEEN(2890,3282))</f>
        <v>91412302.440744326</v>
      </c>
      <c r="B3824">
        <v>239424065.66290808</v>
      </c>
    </row>
    <row r="3825" spans="1:2" x14ac:dyDescent="0.25">
      <c r="A3825">
        <f ca="1">30837.8995976668*(RANDBETWEEN(2890,3282))</f>
        <v>89984991.025991842</v>
      </c>
      <c r="B3825">
        <v>254375222.89361954</v>
      </c>
    </row>
    <row r="3826" spans="1:2" x14ac:dyDescent="0.25">
      <c r="A3826">
        <f ca="1">30135.6330441982*(RANDBETWEEN(2890,3282))</f>
        <v>87152250.763821259</v>
      </c>
      <c r="B3826">
        <v>206179540.0696854</v>
      </c>
    </row>
    <row r="3827" spans="1:2" x14ac:dyDescent="0.25">
      <c r="A3827">
        <f ca="1">30589.7822477828*(RANDBETWEEN(2890,3282))</f>
        <v>96724891.467489198</v>
      </c>
      <c r="B3827">
        <v>216506517.36934444</v>
      </c>
    </row>
    <row r="3828" spans="1:2" x14ac:dyDescent="0.25">
      <c r="A3828">
        <f ca="1">29953.5473460797*(RANDBETWEEN(2890,3282))</f>
        <v>86925194.398323163</v>
      </c>
      <c r="B3828">
        <v>221932682.73113704</v>
      </c>
    </row>
    <row r="3829" spans="1:2" x14ac:dyDescent="0.25">
      <c r="A3829">
        <f ca="1">39730.6032076129*(RANDBETWEEN(2890,3282))</f>
        <v>125469244.92964157</v>
      </c>
      <c r="B3829">
        <v>262389890.28550592</v>
      </c>
    </row>
    <row r="3830" spans="1:2" x14ac:dyDescent="0.25">
      <c r="A3830">
        <f ca="1">30980.3681962914*(RANDBETWEEN(2890,3282))</f>
        <v>101150902.16089146</v>
      </c>
      <c r="B3830">
        <v>222904725.65539837</v>
      </c>
    </row>
    <row r="3831" spans="1:2" x14ac:dyDescent="0.25">
      <c r="A3831">
        <f ca="1">36416.7761526916*(RANDBETWEEN(2890,3282))</f>
        <v>115768931.38940674</v>
      </c>
      <c r="B3831">
        <v>250449868.26335084</v>
      </c>
    </row>
    <row r="3832" spans="1:2" x14ac:dyDescent="0.25">
      <c r="A3832">
        <f ca="1">36922.8768467083*(RANDBETWEEN(2890,3282))</f>
        <v>106854805.59437387</v>
      </c>
      <c r="B3832">
        <v>259764550.78565949</v>
      </c>
    </row>
    <row r="3833" spans="1:2" x14ac:dyDescent="0.25">
      <c r="A3833">
        <f ca="1">41988.8684778824*(RANDBETWEEN(2890,3282))</f>
        <v>123447273.32497434</v>
      </c>
      <c r="B3833">
        <v>252691499.51271653</v>
      </c>
    </row>
    <row r="3834" spans="1:2" x14ac:dyDescent="0.25">
      <c r="A3834">
        <f ca="1">36744.517688608*(RANDBETWEEN(2890,3282))</f>
        <v>119088981.82877862</v>
      </c>
      <c r="B3834">
        <v>214133124.37903342</v>
      </c>
    </row>
    <row r="3835" spans="1:2" x14ac:dyDescent="0.25">
      <c r="A3835">
        <f ca="1">32640.883108425*(RANDBETWEEN(2890,3282))</f>
        <v>97073986.364455864</v>
      </c>
      <c r="B3835">
        <v>237371018.92011148</v>
      </c>
    </row>
    <row r="3836" spans="1:2" x14ac:dyDescent="0.25">
      <c r="A3836">
        <f ca="1">31098.3203154404*(RANDBETWEEN(2890,3282))</f>
        <v>94912073.602724195</v>
      </c>
      <c r="B3836">
        <v>228232945.07420334</v>
      </c>
    </row>
    <row r="3837" spans="1:2" x14ac:dyDescent="0.25">
      <c r="A3837">
        <f ca="1">37494.6319204938*(RANDBETWEEN(2890,3282))</f>
        <v>110009250.05472881</v>
      </c>
      <c r="B3837">
        <v>233277617.51511207</v>
      </c>
    </row>
    <row r="3838" spans="1:2" x14ac:dyDescent="0.25">
      <c r="A3838">
        <f ca="1">28596.6941244585*(RANDBETWEEN(2890,3282))</f>
        <v>91509421.19826749</v>
      </c>
      <c r="B3838">
        <v>216428210.66858932</v>
      </c>
    </row>
    <row r="3839" spans="1:2" x14ac:dyDescent="0.25">
      <c r="A3839">
        <f ca="1">30081.3215763781*(RANDBETWEEN(2890,3282))</f>
        <v>95688683.934458718</v>
      </c>
      <c r="B3839">
        <v>239775744.49967113</v>
      </c>
    </row>
    <row r="3840" spans="1:2" x14ac:dyDescent="0.25">
      <c r="A3840">
        <f ca="1">33473.6172088931*(RANDBETWEEN(2890,3282))</f>
        <v>107651152.94380046</v>
      </c>
      <c r="B3840">
        <v>261025130.00984353</v>
      </c>
    </row>
    <row r="3841" spans="1:2" x14ac:dyDescent="0.25">
      <c r="A3841">
        <f ca="1">42103.0283233565*(RANDBETWEEN(2890,3282))</f>
        <v>136034884.5127649</v>
      </c>
      <c r="B3841">
        <v>246869679.12476224</v>
      </c>
    </row>
    <row r="3842" spans="1:2" x14ac:dyDescent="0.25">
      <c r="A3842">
        <f ca="1">40419.373198498*(RANDBETWEEN(2890,3282))</f>
        <v>127967735.54644474</v>
      </c>
      <c r="B3842">
        <v>267917363.90880921</v>
      </c>
    </row>
    <row r="3843" spans="1:2" x14ac:dyDescent="0.25">
      <c r="A3843">
        <f ca="1">31668.2900027004*(RANDBETWEEN(2890,3282))</f>
        <v>94434840.788052559</v>
      </c>
      <c r="B3843">
        <v>236601678.50869831</v>
      </c>
    </row>
    <row r="3844" spans="1:2" x14ac:dyDescent="0.25">
      <c r="A3844">
        <f ca="1">30714.7869399005*(RANDBETWEEN(2890,3282))</f>
        <v>89625748.29062964</v>
      </c>
      <c r="B3844">
        <v>218489769.994342</v>
      </c>
    </row>
    <row r="3845" spans="1:2" x14ac:dyDescent="0.25">
      <c r="A3845">
        <f ca="1">30147.163261109*(RANDBETWEEN(2890,3282))</f>
        <v>89627516.375276998</v>
      </c>
      <c r="B3845">
        <v>238297865.84803462</v>
      </c>
    </row>
    <row r="3846" spans="1:2" x14ac:dyDescent="0.25">
      <c r="A3846">
        <f ca="1">39687.6514734044*(RANDBETWEEN(2890,3282))</f>
        <v>128389552.51646331</v>
      </c>
      <c r="B3846">
        <v>263072008.05703598</v>
      </c>
    </row>
    <row r="3847" spans="1:2" x14ac:dyDescent="0.25">
      <c r="A3847">
        <f ca="1">33450.4849667416*(RANDBETWEEN(2890,3282))</f>
        <v>99648994.715923354</v>
      </c>
      <c r="B3847">
        <v>209952316.20274743</v>
      </c>
    </row>
    <row r="3848" spans="1:2" x14ac:dyDescent="0.25">
      <c r="A3848">
        <f ca="1">29672.0656415718*(RANDBETWEEN(2890,3282))</f>
        <v>93140614.048893914</v>
      </c>
      <c r="B3848">
        <v>242485403.68546271</v>
      </c>
    </row>
    <row r="3849" spans="1:2" x14ac:dyDescent="0.25">
      <c r="A3849">
        <f ca="1">31040.9223807589*(RANDBETWEEN(2890,3282))</f>
        <v>91539680.100857958</v>
      </c>
      <c r="B3849">
        <v>206900725.97436577</v>
      </c>
    </row>
    <row r="3850" spans="1:2" x14ac:dyDescent="0.25">
      <c r="A3850">
        <f ca="1">35363.7101227861*(RANDBETWEEN(2890,3282))</f>
        <v>104605854.54320143</v>
      </c>
      <c r="B3850">
        <v>234926636.33568311</v>
      </c>
    </row>
    <row r="3851" spans="1:2" x14ac:dyDescent="0.25">
      <c r="A3851">
        <f ca="1">38391.8587533249*(RANDBETWEEN(2890,3282))</f>
        <v>114100604.21488157</v>
      </c>
      <c r="B3851">
        <v>237025116.01120579</v>
      </c>
    </row>
    <row r="3852" spans="1:2" x14ac:dyDescent="0.25">
      <c r="A3852">
        <f ca="1">30335.5524322512*(RANDBETWEEN(2890,3282))</f>
        <v>93979541.43511413</v>
      </c>
      <c r="B3852">
        <v>250052299.918524</v>
      </c>
    </row>
    <row r="3853" spans="1:2" x14ac:dyDescent="0.25">
      <c r="A3853">
        <f ca="1">33367.9570909342*(RANDBETWEEN(2890,3282))</f>
        <v>98268633.632801086</v>
      </c>
      <c r="B3853">
        <v>228801533.08778143</v>
      </c>
    </row>
    <row r="3854" spans="1:2" x14ac:dyDescent="0.25">
      <c r="A3854">
        <f ca="1">28164.4349890672*(RANDBETWEEN(2890,3282))</f>
        <v>89478409.960266575</v>
      </c>
      <c r="B3854">
        <v>266512726.06149477</v>
      </c>
    </row>
    <row r="3855" spans="1:2" x14ac:dyDescent="0.25">
      <c r="A3855">
        <f ca="1">31889.3302522764*(RANDBETWEEN(2890,3282))</f>
        <v>102556086.09132096</v>
      </c>
      <c r="B3855">
        <v>253047809.01048982</v>
      </c>
    </row>
    <row r="3856" spans="1:2" x14ac:dyDescent="0.25">
      <c r="A3856">
        <f ca="1">33405.0362552239*(RANDBETWEEN(2890,3282))</f>
        <v>108967228.2645402</v>
      </c>
      <c r="B3856">
        <v>203969570.76197398</v>
      </c>
    </row>
    <row r="3857" spans="1:2" x14ac:dyDescent="0.25">
      <c r="A3857">
        <f ca="1">36089.2505254966*(RANDBETWEEN(2890,3282))</f>
        <v>107185074.06072479</v>
      </c>
      <c r="B3857">
        <v>266862727.57625911</v>
      </c>
    </row>
    <row r="3858" spans="1:2" x14ac:dyDescent="0.25">
      <c r="A3858">
        <f ca="1">41906.7156344038*(RANDBETWEEN(2890,3282))</f>
        <v>135023437.77404901</v>
      </c>
      <c r="B3858">
        <v>210455576.62243918</v>
      </c>
    </row>
    <row r="3859" spans="1:2" x14ac:dyDescent="0.25">
      <c r="A3859">
        <f ca="1">33709.3992117728*(RANDBETWEEN(2890,3282))</f>
        <v>109892641.43037936</v>
      </c>
      <c r="B3859">
        <v>224896824.20797312</v>
      </c>
    </row>
    <row r="3860" spans="1:2" x14ac:dyDescent="0.25">
      <c r="A3860">
        <f ca="1">34955.0188490066*(RANDBETWEEN(2890,3282))</f>
        <v>112799845.82574442</v>
      </c>
      <c r="B3860">
        <v>226853550.70250496</v>
      </c>
    </row>
    <row r="3861" spans="1:2" x14ac:dyDescent="0.25">
      <c r="A3861">
        <f ca="1">31364.5736131467*(RANDBETWEEN(2890,3282))</f>
        <v>97261542.774367914</v>
      </c>
      <c r="B3861">
        <v>204914743.72822315</v>
      </c>
    </row>
    <row r="3862" spans="1:2" x14ac:dyDescent="0.25">
      <c r="A3862">
        <f ca="1">33700.5244104879*(RANDBETWEEN(2890,3282))</f>
        <v>102887701.0252196</v>
      </c>
      <c r="B3862">
        <v>224325228.06183901</v>
      </c>
    </row>
    <row r="3863" spans="1:2" x14ac:dyDescent="0.25">
      <c r="A3863">
        <f ca="1">30456.8891822987*(RANDBETWEEN(2890,3282))</f>
        <v>94507727.132672861</v>
      </c>
      <c r="B3863">
        <v>264165529.12459856</v>
      </c>
    </row>
    <row r="3864" spans="1:2" x14ac:dyDescent="0.25">
      <c r="A3864">
        <f ca="1">30998.5622333303*(RANDBETWEEN(2890,3282))</f>
        <v>91197770.090457812</v>
      </c>
      <c r="B3864">
        <v>230938217.99707469</v>
      </c>
    </row>
    <row r="3865" spans="1:2" x14ac:dyDescent="0.25">
      <c r="A3865">
        <f ca="1">36869.5407863808*(RANDBETWEEN(2890,3282))</f>
        <v>114553663.22328517</v>
      </c>
      <c r="B3865">
        <v>259108458.84156951</v>
      </c>
    </row>
    <row r="3866" spans="1:2" x14ac:dyDescent="0.25">
      <c r="A3866">
        <f ca="1">39135.8751879852*(RANDBETWEEN(2890,3282))</f>
        <v>124373811.34741682</v>
      </c>
      <c r="B3866">
        <v>233545358.02900392</v>
      </c>
    </row>
    <row r="3867" spans="1:2" x14ac:dyDescent="0.25">
      <c r="A3867">
        <f ca="1">35545.86851822*(RANDBETWEEN(2890,3282))</f>
        <v>111685118.88424718</v>
      </c>
      <c r="B3867">
        <v>234751772.71721199</v>
      </c>
    </row>
    <row r="3868" spans="1:2" x14ac:dyDescent="0.25">
      <c r="A3868">
        <f ca="1">32402.9820368456*(RANDBETWEEN(2890,3282))</f>
        <v>96982125.236278936</v>
      </c>
      <c r="B3868">
        <v>215428522.80524814</v>
      </c>
    </row>
    <row r="3869" spans="1:2" x14ac:dyDescent="0.25">
      <c r="A3869">
        <f ca="1">39026.4754069711*(RANDBETWEEN(2890,3282))</f>
        <v>123557821.13847047</v>
      </c>
      <c r="B3869">
        <v>258989425.99160701</v>
      </c>
    </row>
    <row r="3870" spans="1:2" x14ac:dyDescent="0.25">
      <c r="A3870">
        <f ca="1">37294.0736798034*(RANDBETWEEN(2890,3282))</f>
        <v>121839738.71191758</v>
      </c>
      <c r="B3870">
        <v>221084789.89849937</v>
      </c>
    </row>
    <row r="3871" spans="1:2" x14ac:dyDescent="0.25">
      <c r="A3871">
        <f ca="1">31758.8429503369*(RANDBETWEEN(2890,3282))</f>
        <v>94736628.520854935</v>
      </c>
      <c r="B3871">
        <v>218269675.4794783</v>
      </c>
    </row>
    <row r="3872" spans="1:2" x14ac:dyDescent="0.25">
      <c r="A3872">
        <f ca="1">32306.2055464986*(RANDBETWEEN(2890,3282))</f>
        <v>101150729.56608717</v>
      </c>
      <c r="B3872">
        <v>249527826.65317899</v>
      </c>
    </row>
    <row r="3873" spans="1:2" x14ac:dyDescent="0.25">
      <c r="A3873">
        <f ca="1">35323.4134238851*(RANDBETWEEN(2890,3282))</f>
        <v>107418500.22203465</v>
      </c>
      <c r="B3873">
        <v>265459540.00718367</v>
      </c>
    </row>
    <row r="3874" spans="1:2" x14ac:dyDescent="0.25">
      <c r="A3874">
        <f ca="1">31513.7960644873*(RANDBETWEEN(2890,3282))</f>
        <v>96747353.917976126</v>
      </c>
      <c r="B3874">
        <v>261605711.11441553</v>
      </c>
    </row>
    <row r="3875" spans="1:2" x14ac:dyDescent="0.25">
      <c r="A3875">
        <f ca="1">30514.0860509119*(RANDBETWEEN(2890,3282))</f>
        <v>95051378.048590571</v>
      </c>
      <c r="B3875">
        <v>229267028.36617404</v>
      </c>
    </row>
    <row r="3876" spans="1:2" x14ac:dyDescent="0.25">
      <c r="A3876">
        <f ca="1">34443.5453301083*(RANDBETWEEN(2890,3282))</f>
        <v>106809434.06866574</v>
      </c>
      <c r="B3876">
        <v>231224730.36106485</v>
      </c>
    </row>
    <row r="3877" spans="1:2" x14ac:dyDescent="0.25">
      <c r="A3877">
        <f ca="1">43300.801524449*(RANDBETWEEN(2890,3282))</f>
        <v>134622191.93951207</v>
      </c>
      <c r="B3877">
        <v>263158828.76679659</v>
      </c>
    </row>
    <row r="3878" spans="1:2" x14ac:dyDescent="0.25">
      <c r="A3878">
        <f ca="1">29854.5935873249*(RANDBETWEEN(2890,3282))</f>
        <v>91086365.034928322</v>
      </c>
      <c r="B3878">
        <v>242097880.55876809</v>
      </c>
    </row>
    <row r="3879" spans="1:2" x14ac:dyDescent="0.25">
      <c r="A3879">
        <f ca="1">32166.3395057302*(RANDBETWEEN(2890,3282))</f>
        <v>98782828.622097373</v>
      </c>
      <c r="B3879">
        <v>228894815.08506477</v>
      </c>
    </row>
    <row r="3880" spans="1:2" x14ac:dyDescent="0.25">
      <c r="A3880">
        <f ca="1">31455.8695244738*(RANDBETWEEN(2890,3282))</f>
        <v>102514678.78025997</v>
      </c>
      <c r="B3880">
        <v>253483838.97842628</v>
      </c>
    </row>
    <row r="3881" spans="1:2" x14ac:dyDescent="0.25">
      <c r="A3881">
        <f ca="1">38022.9609292485*(RANDBETWEEN(2890,3282))</f>
        <v>116806535.97465125</v>
      </c>
      <c r="B3881">
        <v>222546921.47538459</v>
      </c>
    </row>
    <row r="3882" spans="1:2" x14ac:dyDescent="0.25">
      <c r="A3882">
        <f ca="1">33921.1747484359*(RANDBETWEEN(2890,3282))</f>
        <v>110786556.72839172</v>
      </c>
      <c r="B3882">
        <v>233838413.87605637</v>
      </c>
    </row>
    <row r="3883" spans="1:2" x14ac:dyDescent="0.25">
      <c r="A3883">
        <f ca="1">35137.6465850077*(RANDBETWEEN(2890,3282))</f>
        <v>111878266.72666456</v>
      </c>
      <c r="B3883">
        <v>226707217.78268862</v>
      </c>
    </row>
    <row r="3884" spans="1:2" x14ac:dyDescent="0.25">
      <c r="A3884">
        <f ca="1">37692.2661011642*(RANDBETWEEN(2890,3282))</f>
        <v>118127561.96104857</v>
      </c>
      <c r="B3884">
        <v>225336512.62311426</v>
      </c>
    </row>
    <row r="3885" spans="1:2" x14ac:dyDescent="0.25">
      <c r="A3885">
        <f ca="1">33225.2332742118*(RANDBETWEEN(2890,3282))</f>
        <v>108114909.07428521</v>
      </c>
      <c r="B3885">
        <v>245194947.50872821</v>
      </c>
    </row>
    <row r="3886" spans="1:2" x14ac:dyDescent="0.25">
      <c r="A3886">
        <f ca="1">31915.4307454254*(RANDBETWEEN(2890,3282))</f>
        <v>96384600.851184696</v>
      </c>
      <c r="B3886">
        <v>216838819.22515494</v>
      </c>
    </row>
    <row r="3887" spans="1:2" x14ac:dyDescent="0.25">
      <c r="A3887">
        <f ca="1">29752.490391756*(RANDBETWEEN(2890,3282))</f>
        <v>94345147.032258138</v>
      </c>
      <c r="B3887">
        <v>230390913.08115792</v>
      </c>
    </row>
    <row r="3888" spans="1:2" x14ac:dyDescent="0.25">
      <c r="A3888">
        <f ca="1">28336.2514166452*(RANDBETWEEN(2890,3282))</f>
        <v>83988649.198936492</v>
      </c>
      <c r="B3888">
        <v>239798028.85577679</v>
      </c>
    </row>
    <row r="3889" spans="1:2" x14ac:dyDescent="0.25">
      <c r="A3889">
        <f ca="1">32046.3224423515*(RANDBETWEEN(2890,3282))</f>
        <v>92645918.180838063</v>
      </c>
      <c r="B3889">
        <v>252262476.90157309</v>
      </c>
    </row>
    <row r="3890" spans="1:2" x14ac:dyDescent="0.25">
      <c r="A3890">
        <f ca="1">32628.0602051772*(RANDBETWEEN(2890,3282))</f>
        <v>96513802.086914301</v>
      </c>
      <c r="B3890">
        <v>249057796.5846462</v>
      </c>
    </row>
    <row r="3891" spans="1:2" x14ac:dyDescent="0.25">
      <c r="A3891">
        <f ca="1">36393.9067414451*(RANDBETWEEN(2890,3282))</f>
        <v>106779722.3794</v>
      </c>
      <c r="B3891">
        <v>214540435.29783127</v>
      </c>
    </row>
    <row r="3892" spans="1:2" x14ac:dyDescent="0.25">
      <c r="A3892">
        <f ca="1">39587.3383300471*(RANDBETWEEN(2890,3282))</f>
        <v>120978905.93662408</v>
      </c>
      <c r="B3892">
        <v>208963208.33203867</v>
      </c>
    </row>
    <row r="3893" spans="1:2" x14ac:dyDescent="0.25">
      <c r="A3893">
        <f ca="1">40275.1337695024*(RANDBETWEEN(2890,3282))</f>
        <v>124289062.81268455</v>
      </c>
      <c r="B3893">
        <v>261138477.79772639</v>
      </c>
    </row>
    <row r="3894" spans="1:2" x14ac:dyDescent="0.25">
      <c r="A3894">
        <f ca="1">40366.3565654276*(RANDBETWEEN(2890,3282))</f>
        <v>119968811.71245092</v>
      </c>
      <c r="B3894">
        <v>234432863.94961315</v>
      </c>
    </row>
    <row r="3895" spans="1:2" x14ac:dyDescent="0.25">
      <c r="A3895">
        <f ca="1">29906.093085775*(RANDBETWEEN(2890,3282))</f>
        <v>97105084.249511525</v>
      </c>
      <c r="B3895">
        <v>245129383.73280469</v>
      </c>
    </row>
    <row r="3896" spans="1:2" x14ac:dyDescent="0.25">
      <c r="A3896">
        <f ca="1">39344.722119569*(RANDBETWEEN(2890,3282))</f>
        <v>123581772.1775661</v>
      </c>
      <c r="B3896">
        <v>233465344.87261832</v>
      </c>
    </row>
    <row r="3897" spans="1:2" x14ac:dyDescent="0.25">
      <c r="A3897">
        <f ca="1">29645.5507645567*(RANDBETWEEN(2890,3282))</f>
        <v>89322044.453609228</v>
      </c>
      <c r="B3897">
        <v>264730154.23385596</v>
      </c>
    </row>
    <row r="3898" spans="1:2" x14ac:dyDescent="0.25">
      <c r="A3898">
        <f ca="1">36743.4754683607*(RANDBETWEEN(2890,3282))</f>
        <v>109311839.51837313</v>
      </c>
      <c r="B3898">
        <v>216342733.37259299</v>
      </c>
    </row>
    <row r="3899" spans="1:2" x14ac:dyDescent="0.25">
      <c r="A3899">
        <f ca="1">31551.8676868612*(RANDBETWEEN(2890,3282))</f>
        <v>96674922.592542619</v>
      </c>
      <c r="B3899">
        <v>239894023.9234705</v>
      </c>
    </row>
    <row r="3900" spans="1:2" x14ac:dyDescent="0.25">
      <c r="A3900">
        <f ca="1">37196.9573498798*(RANDBETWEEN(2890,3282))</f>
        <v>114864204.29642884</v>
      </c>
      <c r="B3900">
        <v>254753928.08024201</v>
      </c>
    </row>
    <row r="3901" spans="1:2" x14ac:dyDescent="0.25">
      <c r="A3901">
        <f ca="1">34887.0054446545*(RANDBETWEEN(2890,3282))</f>
        <v>112719914.59167881</v>
      </c>
      <c r="B3901">
        <v>230357550.80844504</v>
      </c>
    </row>
    <row r="3902" spans="1:2" x14ac:dyDescent="0.25">
      <c r="A3902">
        <f ca="1">39885.4521469491*(RANDBETWEEN(2890,3282))</f>
        <v>129787261.28617221</v>
      </c>
      <c r="B3902">
        <v>261127562.8057515</v>
      </c>
    </row>
    <row r="3903" spans="1:2" x14ac:dyDescent="0.25">
      <c r="A3903">
        <f ca="1">33942.6793395197*(RANDBETWEEN(2890,3282))</f>
        <v>102846318.39874463</v>
      </c>
      <c r="B3903">
        <v>209704160.15134352</v>
      </c>
    </row>
    <row r="3904" spans="1:2" x14ac:dyDescent="0.25">
      <c r="A3904">
        <f ca="1">31318.8290259876*(RANDBETWEEN(2890,3282))</f>
        <v>93580661.129651055</v>
      </c>
      <c r="B3904">
        <v>221845188.64953822</v>
      </c>
    </row>
    <row r="3905" spans="1:2" x14ac:dyDescent="0.25">
      <c r="A3905">
        <f ca="1">34571.2397192345*(RANDBETWEEN(2890,3282))</f>
        <v>101916014.69230327</v>
      </c>
      <c r="B3905">
        <v>262757645.25188318</v>
      </c>
    </row>
    <row r="3906" spans="1:2" x14ac:dyDescent="0.25">
      <c r="A3906">
        <f ca="1">36253.7265446455*(RANDBETWEEN(2890,3282))</f>
        <v>112314044.83531167</v>
      </c>
      <c r="B3906">
        <v>225130966.99214837</v>
      </c>
    </row>
    <row r="3907" spans="1:2" x14ac:dyDescent="0.25">
      <c r="A3907">
        <f ca="1">40165.7487826295*(RANDBETWEEN(2890,3282))</f>
        <v>126923766.15310934</v>
      </c>
      <c r="B3907">
        <v>264773019.39461893</v>
      </c>
    </row>
    <row r="3908" spans="1:2" x14ac:dyDescent="0.25">
      <c r="A3908">
        <f ca="1">39526.1469164196*(RANDBETWEEN(2890,3282))</f>
        <v>118025074.69242899</v>
      </c>
      <c r="B3908">
        <v>225640333.08197337</v>
      </c>
    </row>
    <row r="3909" spans="1:2" x14ac:dyDescent="0.25">
      <c r="A3909">
        <f ca="1">30269.0694486002*(RANDBETWEEN(2890,3282))</f>
        <v>93440617.387828797</v>
      </c>
      <c r="B3909">
        <v>254893363.87641633</v>
      </c>
    </row>
    <row r="3910" spans="1:2" x14ac:dyDescent="0.25">
      <c r="A3910">
        <f ca="1">31055.427432935*(RANDBETWEEN(2890,3282))</f>
        <v>94035834.266927123</v>
      </c>
      <c r="B3910">
        <v>233348489.26322347</v>
      </c>
    </row>
    <row r="3911" spans="1:2" x14ac:dyDescent="0.25">
      <c r="A3911">
        <f ca="1">35201.4487568706*(RANDBETWEEN(2890,3282))</f>
        <v>108244454.92737707</v>
      </c>
      <c r="B3911">
        <v>217892944.69619781</v>
      </c>
    </row>
    <row r="3912" spans="1:2" x14ac:dyDescent="0.25">
      <c r="A3912">
        <f ca="1">32091.324583441*(RANDBETWEEN(2890,3282))</f>
        <v>103687069.72909772</v>
      </c>
      <c r="B3912">
        <v>250855805.66375315</v>
      </c>
    </row>
    <row r="3913" spans="1:2" x14ac:dyDescent="0.25">
      <c r="A3913">
        <f ca="1">38319.2254021682*(RANDBETWEEN(2890,3282))</f>
        <v>123387905.79498146</v>
      </c>
      <c r="B3913">
        <v>228418598.40766826</v>
      </c>
    </row>
    <row r="3914" spans="1:2" x14ac:dyDescent="0.25">
      <c r="A3914">
        <f ca="1">27830.9124931513*(RANDBETWEEN(2890,3282))</f>
        <v>89114581.803070366</v>
      </c>
      <c r="B3914">
        <v>215519843.94987321</v>
      </c>
    </row>
    <row r="3915" spans="1:2" x14ac:dyDescent="0.25">
      <c r="A3915">
        <f ca="1">34212.6866705011*(RANDBETWEEN(2890,3282))</f>
        <v>101645892.09805885</v>
      </c>
      <c r="B3915">
        <v>235027364.05234355</v>
      </c>
    </row>
    <row r="3916" spans="1:2" x14ac:dyDescent="0.25">
      <c r="A3916">
        <f ca="1">31279.4826693453*(RANDBETWEEN(2890,3282))</f>
        <v>100313300.92059037</v>
      </c>
      <c r="B3916">
        <v>214734755.35625547</v>
      </c>
    </row>
    <row r="3917" spans="1:2" x14ac:dyDescent="0.25">
      <c r="A3917">
        <f ca="1">37007.384945179*(RANDBETWEEN(2890,3282))</f>
        <v>119681882.91270895</v>
      </c>
      <c r="B3917">
        <v>210950177.98147687</v>
      </c>
    </row>
    <row r="3918" spans="1:2" x14ac:dyDescent="0.25">
      <c r="A3918">
        <f ca="1">37066.4498661389*(RANDBETWEEN(2890,3282))</f>
        <v>119687566.61776258</v>
      </c>
      <c r="B3918">
        <v>266029926.62558523</v>
      </c>
    </row>
    <row r="3919" spans="1:2" x14ac:dyDescent="0.25">
      <c r="A3919">
        <f ca="1">36832.1549405541*(RANDBETWEEN(2890,3282))</f>
        <v>108249703.37028846</v>
      </c>
      <c r="B3919">
        <v>250890115.90161622</v>
      </c>
    </row>
    <row r="3920" spans="1:2" x14ac:dyDescent="0.25">
      <c r="A3920">
        <f ca="1">39051.3694006495*(RANDBETWEEN(2890,3282))</f>
        <v>126409282.7499024</v>
      </c>
      <c r="B3920">
        <v>262720683.89513555</v>
      </c>
    </row>
    <row r="3921" spans="1:2" x14ac:dyDescent="0.25">
      <c r="A3921">
        <f ca="1">31840.3147737745*(RANDBETWEEN(2890,3282))</f>
        <v>96667195.653179467</v>
      </c>
      <c r="B3921">
        <v>259180829.49587274</v>
      </c>
    </row>
    <row r="3922" spans="1:2" x14ac:dyDescent="0.25">
      <c r="A3922">
        <f ca="1">38847.9229367619*(RANDBETWEEN(2890,3282))</f>
        <v>126683076.69678067</v>
      </c>
      <c r="B3922">
        <v>212398930.78541857</v>
      </c>
    </row>
    <row r="3923" spans="1:2" x14ac:dyDescent="0.25">
      <c r="A3923">
        <f ca="1">40202.4345639557*(RANDBETWEEN(2890,3282))</f>
        <v>119200218.48212869</v>
      </c>
      <c r="B3923">
        <v>215902854.29766458</v>
      </c>
    </row>
    <row r="3924" spans="1:2" x14ac:dyDescent="0.25">
      <c r="A3924">
        <f ca="1">35640.0294901045*(RANDBETWEEN(2890,3282))</f>
        <v>106492408.11643223</v>
      </c>
      <c r="B3924">
        <v>227432911.19391418</v>
      </c>
    </row>
    <row r="3925" spans="1:2" x14ac:dyDescent="0.25">
      <c r="A3925">
        <f ca="1">32347.9599226348*(RANDBETWEEN(2890,3282))</f>
        <v>103319383.9928955</v>
      </c>
      <c r="B3925">
        <v>252601350.28652218</v>
      </c>
    </row>
    <row r="3926" spans="1:2" x14ac:dyDescent="0.25">
      <c r="A3926">
        <f ca="1">28262.9591690383*(RANDBETWEEN(2890,3282))</f>
        <v>86710758.730609462</v>
      </c>
      <c r="B3926">
        <v>260139303.98086578</v>
      </c>
    </row>
    <row r="3927" spans="1:2" x14ac:dyDescent="0.25">
      <c r="A3927">
        <f ca="1">32079.0825721567*(RANDBETWEEN(2890,3282))</f>
        <v>95082400.74387233</v>
      </c>
      <c r="B3927">
        <v>251190561.12805241</v>
      </c>
    </row>
    <row r="3928" spans="1:2" x14ac:dyDescent="0.25">
      <c r="A3928">
        <f ca="1">29303.8208297146*(RANDBETWEEN(2890,3282))</f>
        <v>85567156.822766736</v>
      </c>
      <c r="B3928">
        <v>213743271.30538398</v>
      </c>
    </row>
    <row r="3929" spans="1:2" x14ac:dyDescent="0.25">
      <c r="A3929">
        <f ca="1">32260.9661823591*(RANDBETWEEN(2890,3282))</f>
        <v>96782898.547077402</v>
      </c>
      <c r="B3929">
        <v>205467400.06596327</v>
      </c>
    </row>
    <row r="3930" spans="1:2" x14ac:dyDescent="0.25">
      <c r="A3930">
        <f ca="1">40843.7888791427*(RANDBETWEEN(2890,3282))</f>
        <v>133845096.15695071</v>
      </c>
      <c r="B3930">
        <v>266472089.42422009</v>
      </c>
    </row>
    <row r="3931" spans="1:2" x14ac:dyDescent="0.25">
      <c r="A3931">
        <f ca="1">36293.6406047812*(RANDBETWEEN(2890,3282))</f>
        <v>118934260.2618681</v>
      </c>
      <c r="B3931">
        <v>240407724.05074802</v>
      </c>
    </row>
    <row r="3932" spans="1:2" x14ac:dyDescent="0.25">
      <c r="A3932">
        <f ca="1">28707.9600009214*(RANDBETWEEN(2890,3282))</f>
        <v>91004233.202920973</v>
      </c>
      <c r="B3932">
        <v>235585661.57458195</v>
      </c>
    </row>
    <row r="3933" spans="1:2" x14ac:dyDescent="0.25">
      <c r="A3933">
        <f ca="1">38795.2010346386*(RANDBETWEEN(2890,3282))</f>
        <v>126549945.77499126</v>
      </c>
      <c r="B3933">
        <v>251853081.0835124</v>
      </c>
    </row>
    <row r="3934" spans="1:2" x14ac:dyDescent="0.25">
      <c r="A3934">
        <f ca="1">32148.2445531884*(RANDBETWEEN(2890,3282))</f>
        <v>103292309.74939421</v>
      </c>
      <c r="B3934">
        <v>205915918.61773831</v>
      </c>
    </row>
    <row r="3935" spans="1:2" x14ac:dyDescent="0.25">
      <c r="A3935">
        <f ca="1">35834.3868671927*(RANDBETWEEN(2890,3282))</f>
        <v>115135885.00429004</v>
      </c>
      <c r="B3935">
        <v>204523169.74140662</v>
      </c>
    </row>
    <row r="3936" spans="1:2" x14ac:dyDescent="0.25">
      <c r="A3936">
        <f ca="1">35682.2159698335*(RANDBETWEEN(2890,3282))</f>
        <v>114254455.53540675</v>
      </c>
      <c r="B3936">
        <v>246524754.82091007</v>
      </c>
    </row>
    <row r="3937" spans="1:2" x14ac:dyDescent="0.25">
      <c r="A3937">
        <f ca="1">32955.6040977737*(RANDBETWEEN(2890,3282))</f>
        <v>108028470.23250207</v>
      </c>
      <c r="B3937">
        <v>210719872.57804298</v>
      </c>
    </row>
    <row r="3938" spans="1:2" x14ac:dyDescent="0.25">
      <c r="A3938">
        <f ca="1">34802.5149379335*(RANDBETWEEN(2890,3282))</f>
        <v>107539771.15821467</v>
      </c>
      <c r="B3938">
        <v>205834400.28990692</v>
      </c>
    </row>
    <row r="3939" spans="1:2" x14ac:dyDescent="0.25">
      <c r="A3939">
        <f ca="1">30392.5848749822*(RANDBETWEEN(2890,3282))</f>
        <v>99049434.107567146</v>
      </c>
      <c r="B3939">
        <v>231582500.61674297</v>
      </c>
    </row>
    <row r="3940" spans="1:2" x14ac:dyDescent="0.25">
      <c r="A3940">
        <f ca="1">31739.4375865147*(RANDBETWEEN(2890,3282))</f>
        <v>96265714.199899197</v>
      </c>
      <c r="B3940">
        <v>266704583.49086571</v>
      </c>
    </row>
    <row r="3941" spans="1:2" x14ac:dyDescent="0.25">
      <c r="A3941">
        <f ca="1">34216.6061901172*(RANDBETWEEN(2890,3282))</f>
        <v>109424706.59599474</v>
      </c>
      <c r="B3941">
        <v>263247536.665277</v>
      </c>
    </row>
    <row r="3942" spans="1:2" x14ac:dyDescent="0.25">
      <c r="A3942">
        <f ca="1">34907.3804177216*(RANDBETWEEN(2890,3282))</f>
        <v>112960283.03174712</v>
      </c>
      <c r="B3942">
        <v>215610985.34254727</v>
      </c>
    </row>
    <row r="3943" spans="1:2" x14ac:dyDescent="0.25">
      <c r="A3943">
        <f ca="1">39072.6763519639*(RANDBETWEEN(2890,3282))</f>
        <v>113271688.74434349</v>
      </c>
      <c r="B3943">
        <v>216414589.3906067</v>
      </c>
    </row>
    <row r="3944" spans="1:2" x14ac:dyDescent="0.25">
      <c r="A3944">
        <f ca="1">28735.1053664053*(RANDBETWEEN(2890,3282))</f>
        <v>85601878.886521474</v>
      </c>
      <c r="B3944">
        <v>245794831.80777827</v>
      </c>
    </row>
    <row r="3945" spans="1:2" x14ac:dyDescent="0.25">
      <c r="A3945">
        <f ca="1">33560.931953725*(RANDBETWEEN(2890,3282))</f>
        <v>108435371.1424854</v>
      </c>
      <c r="B3945">
        <v>260300587.44944459</v>
      </c>
    </row>
    <row r="3946" spans="1:2" x14ac:dyDescent="0.25">
      <c r="A3946">
        <f ca="1">33089.5477324999*(RANDBETWEEN(2890,3282))</f>
        <v>106515254.15091707</v>
      </c>
      <c r="B3946">
        <v>267475786.47662276</v>
      </c>
    </row>
    <row r="3947" spans="1:2" x14ac:dyDescent="0.25">
      <c r="A3947">
        <f ca="1">34264.3440249948*(RANDBETWEEN(2890,3282))</f>
        <v>111496175.457333</v>
      </c>
      <c r="B3947">
        <v>262934853.72145143</v>
      </c>
    </row>
    <row r="3948" spans="1:2" x14ac:dyDescent="0.25">
      <c r="A3948">
        <f ca="1">31567.6503831246*(RANDBETWEEN(2890,3282))</f>
        <v>103163081.45205106</v>
      </c>
      <c r="B3948">
        <v>241157891.58490807</v>
      </c>
    </row>
    <row r="3949" spans="1:2" x14ac:dyDescent="0.25">
      <c r="A3949">
        <f ca="1">31025.7691046837*(RANDBETWEEN(2890,3282))</f>
        <v>97855275.756172493</v>
      </c>
      <c r="B3949">
        <v>207427370.81505826</v>
      </c>
    </row>
    <row r="3950" spans="1:2" x14ac:dyDescent="0.25">
      <c r="A3950">
        <f ca="1">38651.0139142389*(RANDBETWEEN(2890,3282))</f>
        <v>114561605.24180412</v>
      </c>
      <c r="B3950">
        <v>266099538.61178258</v>
      </c>
    </row>
    <row r="3951" spans="1:2" x14ac:dyDescent="0.25">
      <c r="A3951">
        <f ca="1">29780.2228882558*(RANDBETWEEN(2890,3282))</f>
        <v>97738691.519255668</v>
      </c>
      <c r="B3951">
        <v>212262793.31435806</v>
      </c>
    </row>
    <row r="3952" spans="1:2" x14ac:dyDescent="0.25">
      <c r="A3952">
        <f ca="1">30137.9242985977*(RANDBETWEEN(2890,3282))</f>
        <v>94181013.433117703</v>
      </c>
      <c r="B3952">
        <v>246012266.14515901</v>
      </c>
    </row>
    <row r="3953" spans="1:2" x14ac:dyDescent="0.25">
      <c r="A3953">
        <f ca="1">34106.4161535294*(RANDBETWEEN(2890,3282))</f>
        <v>98669861.932160482</v>
      </c>
      <c r="B3953">
        <v>238698744.55834302</v>
      </c>
    </row>
    <row r="3954" spans="1:2" x14ac:dyDescent="0.25">
      <c r="A3954">
        <f ca="1">40985.0472216244*(RANDBETWEEN(2890,3282))</f>
        <v>133201403.47027923</v>
      </c>
      <c r="B3954">
        <v>219389286.98528424</v>
      </c>
    </row>
    <row r="3955" spans="1:2" x14ac:dyDescent="0.25">
      <c r="A3955">
        <f ca="1">30258.1177523133*(RANDBETWEEN(2890,3282))</f>
        <v>99307142.463092238</v>
      </c>
      <c r="B3955">
        <v>221226297.94677514</v>
      </c>
    </row>
    <row r="3956" spans="1:2" x14ac:dyDescent="0.25">
      <c r="A3956">
        <f ca="1">33221.5959017163*(RANDBETWEEN(2890,3282))</f>
        <v>97272832.800225303</v>
      </c>
      <c r="B3956">
        <v>246665321.40381455</v>
      </c>
    </row>
    <row r="3957" spans="1:2" x14ac:dyDescent="0.25">
      <c r="A3957">
        <f ca="1">32410.3359396875*(RANDBETWEEN(2890,3282))</f>
        <v>103842716.35075861</v>
      </c>
      <c r="B3957">
        <v>217593890.4265019</v>
      </c>
    </row>
    <row r="3958" spans="1:2" x14ac:dyDescent="0.25">
      <c r="A3958">
        <f ca="1">32534.7370163142*(RANDBETWEEN(2890,3282))</f>
        <v>102809768.97155288</v>
      </c>
      <c r="B3958">
        <v>226792391.42742056</v>
      </c>
    </row>
    <row r="3959" spans="1:2" x14ac:dyDescent="0.25">
      <c r="A3959">
        <f ca="1">32626.3384491153*(RANDBETWEEN(2890,3282))</f>
        <v>98988310.854615793</v>
      </c>
      <c r="B3959">
        <v>248513538.0521304</v>
      </c>
    </row>
    <row r="3960" spans="1:2" x14ac:dyDescent="0.25">
      <c r="A3960">
        <f ca="1">39965.975817097*(RANDBETWEEN(2890,3282))</f>
        <v>121296736.60488939</v>
      </c>
      <c r="B3960">
        <v>218600771.16141659</v>
      </c>
    </row>
    <row r="3961" spans="1:2" x14ac:dyDescent="0.25">
      <c r="A3961">
        <f ca="1">32842.3423472068*(RANDBETWEEN(2890,3282))</f>
        <v>95242792.806899831</v>
      </c>
      <c r="B3961">
        <v>242973912.70388848</v>
      </c>
    </row>
    <row r="3962" spans="1:2" x14ac:dyDescent="0.25">
      <c r="A3962">
        <f ca="1">34731.1897563057*(RANDBETWEEN(2890,3282))</f>
        <v>100546794.34450506</v>
      </c>
      <c r="B3962">
        <v>222397901.97459275</v>
      </c>
    </row>
    <row r="3963" spans="1:2" x14ac:dyDescent="0.25">
      <c r="A3963">
        <f ca="1">32498.6032621128*(RANDBETWEEN(2890,3282))</f>
        <v>101168151.95495699</v>
      </c>
      <c r="B3963">
        <v>231957470.4321152</v>
      </c>
    </row>
    <row r="3964" spans="1:2" x14ac:dyDescent="0.25">
      <c r="A3964">
        <f ca="1">28716.2223637623*(RANDBETWEEN(2890,3282))</f>
        <v>86866572.650380969</v>
      </c>
      <c r="B3964">
        <v>205100642.16351509</v>
      </c>
    </row>
    <row r="3965" spans="1:2" x14ac:dyDescent="0.25">
      <c r="A3965">
        <f ca="1">32468.7658900394*(RANDBETWEEN(2890,3282))</f>
        <v>94743858.867135033</v>
      </c>
      <c r="B3965">
        <v>267754682.72084063</v>
      </c>
    </row>
    <row r="3966" spans="1:2" x14ac:dyDescent="0.25">
      <c r="A3966">
        <f ca="1">30668.8728328284*(RANDBETWEEN(2890,3282))</f>
        <v>95165512.400266364</v>
      </c>
      <c r="B3966">
        <v>247572395.46221682</v>
      </c>
    </row>
    <row r="3967" spans="1:2" x14ac:dyDescent="0.25">
      <c r="A3967">
        <f ca="1">31445.2199642242*(RANDBETWEEN(2890,3282))</f>
        <v>103014540.60279854</v>
      </c>
      <c r="B3967">
        <v>234063050.20954883</v>
      </c>
    </row>
    <row r="3968" spans="1:2" x14ac:dyDescent="0.25">
      <c r="A3968">
        <f ca="1">39201.7044026511*(RANDBETWEEN(2890,3282))</f>
        <v>128150371.69226637</v>
      </c>
      <c r="B3968">
        <v>206714133.16844037</v>
      </c>
    </row>
    <row r="3969" spans="1:2" x14ac:dyDescent="0.25">
      <c r="A3969">
        <f ca="1">31743.9593589052*(RANDBETWEEN(2890,3282))</f>
        <v>92660617.368644133</v>
      </c>
      <c r="B3969">
        <v>208851297.54361355</v>
      </c>
    </row>
    <row r="3970" spans="1:2" x14ac:dyDescent="0.25">
      <c r="A3970">
        <f ca="1">36574.006865193*(RANDBETWEEN(2890,3282))</f>
        <v>109027114.4651403</v>
      </c>
      <c r="B3970">
        <v>236075263.76550332</v>
      </c>
    </row>
    <row r="3971" spans="1:2" x14ac:dyDescent="0.25">
      <c r="A3971">
        <f ca="1">31943.0319597408*(RANDBETWEEN(2890,3282))</f>
        <v>98288709.340122566</v>
      </c>
      <c r="B3971">
        <v>207440731.41443479</v>
      </c>
    </row>
    <row r="3972" spans="1:2" x14ac:dyDescent="0.25">
      <c r="A3972">
        <f ca="1">39997.3075183727*(RANDBETWEEN(2890,3282))</f>
        <v>116352167.57094617</v>
      </c>
      <c r="B3972">
        <v>225744547.78738248</v>
      </c>
    </row>
    <row r="3973" spans="1:2" x14ac:dyDescent="0.25">
      <c r="A3973">
        <f ca="1">39233.7191871644*(RANDBETWEEN(2890,3282))</f>
        <v>127156483.88559966</v>
      </c>
      <c r="B3973">
        <v>221082605.02456877</v>
      </c>
    </row>
    <row r="3974" spans="1:2" x14ac:dyDescent="0.25">
      <c r="A3974">
        <f ca="1">31705.0928259011*(RANDBETWEEN(2890,3282))</f>
        <v>101995283.62092377</v>
      </c>
      <c r="B3974">
        <v>225355873.47974578</v>
      </c>
    </row>
    <row r="3975" spans="1:2" x14ac:dyDescent="0.25">
      <c r="A3975">
        <f ca="1">35543.1609071464*(RANDBETWEEN(2890,3282))</f>
        <v>114058003.35103284</v>
      </c>
      <c r="B3975">
        <v>248154277.20046517</v>
      </c>
    </row>
    <row r="3976" spans="1:2" x14ac:dyDescent="0.25">
      <c r="A3976">
        <f ca="1">35139.7267855363*(RANDBETWEEN(2890,3282))</f>
        <v>111463213.3637213</v>
      </c>
      <c r="B3976">
        <v>214522248.42665732</v>
      </c>
    </row>
    <row r="3977" spans="1:2" x14ac:dyDescent="0.25">
      <c r="A3977">
        <f ca="1">37879.3296359269*(RANDBETWEEN(2890,3282))</f>
        <v>111895539.74452814</v>
      </c>
      <c r="B3977">
        <v>214517456.93799245</v>
      </c>
    </row>
    <row r="3978" spans="1:2" x14ac:dyDescent="0.25">
      <c r="A3978">
        <f ca="1">37880.6731787437*(RANDBETWEEN(2890,3282))</f>
        <v>121293915.51833735</v>
      </c>
      <c r="B3978">
        <v>220151015.89508489</v>
      </c>
    </row>
    <row r="3979" spans="1:2" x14ac:dyDescent="0.25">
      <c r="A3979">
        <f ca="1">31000.7864490883*(RANDBETWEEN(2890,3282))</f>
        <v>90987308.228074133</v>
      </c>
      <c r="B3979">
        <v>220406150.50504375</v>
      </c>
    </row>
    <row r="3980" spans="1:2" x14ac:dyDescent="0.25">
      <c r="A3980">
        <f ca="1">31146.2288763387*(RANDBETWEEN(2890,3282))</f>
        <v>98297498.333724946</v>
      </c>
      <c r="B3980">
        <v>257462933.46154028</v>
      </c>
    </row>
    <row r="3981" spans="1:2" x14ac:dyDescent="0.25">
      <c r="A3981">
        <f ca="1">35721.6036150569*(RANDBETWEEN(2890,3282))</f>
        <v>111772897.71151318</v>
      </c>
      <c r="B3981">
        <v>259979646.15823591</v>
      </c>
    </row>
    <row r="3982" spans="1:2" x14ac:dyDescent="0.25">
      <c r="A3982">
        <f ca="1">32316.5049482003*(RANDBETWEEN(2890,3282))</f>
        <v>99276303.200871304</v>
      </c>
      <c r="B3982">
        <v>218462560.55319935</v>
      </c>
    </row>
    <row r="3983" spans="1:2" x14ac:dyDescent="0.25">
      <c r="A3983">
        <f ca="1">30679.5115910291*(RANDBETWEEN(2890,3282))</f>
        <v>89123981.171939582</v>
      </c>
      <c r="B3983">
        <v>264670630.78670326</v>
      </c>
    </row>
    <row r="3984" spans="1:2" x14ac:dyDescent="0.25">
      <c r="A3984">
        <f ca="1">35795.0671904849*(RANDBETWEEN(2890,3282))</f>
        <v>107743152.24335964</v>
      </c>
      <c r="B3984">
        <v>262266557.48454565</v>
      </c>
    </row>
    <row r="3985" spans="1:2" x14ac:dyDescent="0.25">
      <c r="A3985">
        <f ca="1">37314.4734029923*(RANDBETWEEN(2890,3282))</f>
        <v>116085326.7567092</v>
      </c>
      <c r="B3985">
        <v>239461428.72978985</v>
      </c>
    </row>
    <row r="3986" spans="1:2" x14ac:dyDescent="0.25">
      <c r="A3986">
        <f ca="1">32525.9025409618*(RANDBETWEEN(2890,3282))</f>
        <v>105514027.8428801</v>
      </c>
      <c r="B3986">
        <v>261858802.73809683</v>
      </c>
    </row>
    <row r="3987" spans="1:2" x14ac:dyDescent="0.25">
      <c r="A3987">
        <f ca="1">29100.034339358*(RANDBETWEEN(2890,3282))</f>
        <v>93411110.229339033</v>
      </c>
      <c r="B3987">
        <v>237314446.52256548</v>
      </c>
    </row>
    <row r="3988" spans="1:2" x14ac:dyDescent="0.25">
      <c r="A3988">
        <f ca="1">32222.0188345567*(RANDBETWEEN(2890,3282))</f>
        <v>101402693.27234991</v>
      </c>
      <c r="B3988">
        <v>204502279.13844869</v>
      </c>
    </row>
    <row r="3989" spans="1:2" x14ac:dyDescent="0.25">
      <c r="A3989">
        <f ca="1">33496.2473607335*(RANDBETWEEN(2890,3282))</f>
        <v>105144720.46534243</v>
      </c>
      <c r="B3989">
        <v>218160135.69008133</v>
      </c>
    </row>
    <row r="3990" spans="1:2" x14ac:dyDescent="0.25">
      <c r="A3990">
        <f ca="1">33667.0660380938*(RANDBETWEEN(2890,3282))</f>
        <v>105647253.2275385</v>
      </c>
      <c r="B3990">
        <v>230254489.3369531</v>
      </c>
    </row>
    <row r="3991" spans="1:2" x14ac:dyDescent="0.25">
      <c r="A3991">
        <f ca="1">38920.7873053379*(RANDBETWEEN(2890,3282))</f>
        <v>121627460.32918094</v>
      </c>
      <c r="B3991">
        <v>232767277.8109237</v>
      </c>
    </row>
    <row r="3992" spans="1:2" x14ac:dyDescent="0.25">
      <c r="A3992">
        <f ca="1">35792.7144442569*(RANDBETWEEN(2890,3282))</f>
        <v>111386927.35052742</v>
      </c>
      <c r="B3992">
        <v>250720633.42611846</v>
      </c>
    </row>
    <row r="3993" spans="1:2" x14ac:dyDescent="0.25">
      <c r="A3993">
        <f ca="1">35850.05068578*(RANDBETWEEN(2890,3282))</f>
        <v>114684312.14381021</v>
      </c>
      <c r="B3993">
        <v>234853731.55859613</v>
      </c>
    </row>
    <row r="3994" spans="1:2" x14ac:dyDescent="0.25">
      <c r="A3994">
        <f ca="1">29873.007359527*(RANDBETWEEN(2890,3282))</f>
        <v>96698924.822788924</v>
      </c>
      <c r="B3994">
        <v>213361480.87690675</v>
      </c>
    </row>
    <row r="3995" spans="1:2" x14ac:dyDescent="0.25">
      <c r="A3995">
        <f ca="1">36711.3820801694*(RANDBETWEEN(2890,3282))</f>
        <v>107050390.1457741</v>
      </c>
      <c r="B3995">
        <v>243640936.11812446</v>
      </c>
    </row>
    <row r="3996" spans="1:2" x14ac:dyDescent="0.25">
      <c r="A3996">
        <f ca="1">29444.0463891507*(RANDBETWEEN(2890,3282))</f>
        <v>87036601.126329333</v>
      </c>
      <c r="B3996">
        <v>260160945.42972508</v>
      </c>
    </row>
    <row r="3997" spans="1:2" x14ac:dyDescent="0.25">
      <c r="A3997">
        <f ca="1">29924.2814221793*(RANDBETWEEN(2890,3282))</f>
        <v>88067160.225473613</v>
      </c>
      <c r="B3997">
        <v>236730618.82464594</v>
      </c>
    </row>
    <row r="3998" spans="1:2" x14ac:dyDescent="0.25">
      <c r="A3998">
        <f ca="1">41443.5055386522*(RANDBETWEEN(2890,3282))</f>
        <v>134898610.5283128</v>
      </c>
      <c r="B3998">
        <v>256618121.94032797</v>
      </c>
    </row>
    <row r="3999" spans="1:2" x14ac:dyDescent="0.25">
      <c r="A3999">
        <f ca="1">32777.3743586384*(RANDBETWEEN(2890,3282))</f>
        <v>95218272.511844441</v>
      </c>
      <c r="B3999">
        <v>248962204.8479341</v>
      </c>
    </row>
    <row r="4000" spans="1:2" x14ac:dyDescent="0.25">
      <c r="A4000">
        <f ca="1">32416.5460633113*(RANDBETWEEN(2890,3282))</f>
        <v>106196604.90340814</v>
      </c>
      <c r="B4000">
        <v>216371766.89633054</v>
      </c>
    </row>
    <row r="4001" spans="1:2" x14ac:dyDescent="0.25">
      <c r="A4001">
        <f ca="1">36868.2735939315*(RANDBETWEEN(2890,3282))</f>
        <v>107544754.07349811</v>
      </c>
      <c r="B4001">
        <v>253414218.30195057</v>
      </c>
    </row>
    <row r="4002" spans="1:2" x14ac:dyDescent="0.25">
      <c r="A4002">
        <f ca="1">40170.7404848454*(RANDBETWEEN(2890,3282))</f>
        <v>125252368.83174804</v>
      </c>
      <c r="B4002">
        <v>217026397.78585213</v>
      </c>
    </row>
    <row r="4003" spans="1:2" x14ac:dyDescent="0.25">
      <c r="A4003">
        <f ca="1">29632.3990784508*(RANDBETWEEN(2890,3282))</f>
        <v>91564113.152412981</v>
      </c>
      <c r="B4003">
        <v>253999603.54271638</v>
      </c>
    </row>
    <row r="4004" spans="1:2" x14ac:dyDescent="0.25">
      <c r="A4004">
        <f ca="1">32348.1448180125*(RANDBETWEEN(2890,3282))</f>
        <v>104807989.21036047</v>
      </c>
      <c r="B4004">
        <v>243771558.70502159</v>
      </c>
    </row>
    <row r="4005" spans="1:2" x14ac:dyDescent="0.25">
      <c r="A4005">
        <f ca="1">30630.8514391551*(RANDBETWEEN(2890,3282))</f>
        <v>98447556.525444344</v>
      </c>
      <c r="B4005">
        <v>225255918.75144666</v>
      </c>
    </row>
    <row r="4006" spans="1:2" x14ac:dyDescent="0.25">
      <c r="A4006">
        <f ca="1">31921.0558459267*(RANDBETWEEN(2890,3282))</f>
        <v>98061483.558686763</v>
      </c>
      <c r="B4006">
        <v>232694688.30763856</v>
      </c>
    </row>
    <row r="4007" spans="1:2" x14ac:dyDescent="0.25">
      <c r="A4007">
        <f ca="1">30285.9455369317*(RANDBETWEEN(2890,3282))</f>
        <v>98338465.158417329</v>
      </c>
      <c r="B4007">
        <v>214825577.22904345</v>
      </c>
    </row>
    <row r="4008" spans="1:2" x14ac:dyDescent="0.25">
      <c r="A4008">
        <f ca="1">35353.6688675634*(RANDBETWEEN(2890,3282))</f>
        <v>111187288.58848689</v>
      </c>
      <c r="B4008">
        <v>209814468.86661756</v>
      </c>
    </row>
    <row r="4009" spans="1:2" x14ac:dyDescent="0.25">
      <c r="A4009">
        <f ca="1">42708.4660799114*(RANDBETWEEN(2890,3282))</f>
        <v>130089987.67941025</v>
      </c>
      <c r="B4009">
        <v>214041310.17951122</v>
      </c>
    </row>
    <row r="4010" spans="1:2" x14ac:dyDescent="0.25">
      <c r="A4010">
        <f ca="1">36329.0117210702*(RANDBETWEEN(2890,3282))</f>
        <v>118432578.21068898</v>
      </c>
      <c r="B4010">
        <v>243382288.62181687</v>
      </c>
    </row>
    <row r="4011" spans="1:2" x14ac:dyDescent="0.25">
      <c r="A4011">
        <f ca="1">37606.2106804729*(RANDBETWEEN(2890,3282))</f>
        <v>108794767.49860825</v>
      </c>
      <c r="B4011">
        <v>215848425.17834723</v>
      </c>
    </row>
    <row r="4012" spans="1:2" x14ac:dyDescent="0.25">
      <c r="A4012">
        <f ca="1">30179.2017519361*(RANDBETWEEN(2890,3282))</f>
        <v>97509000.860505596</v>
      </c>
      <c r="B4012">
        <v>267713526.07957721</v>
      </c>
    </row>
    <row r="4013" spans="1:2" x14ac:dyDescent="0.25">
      <c r="A4013">
        <f ca="1">32234.3470987262*(RANDBETWEEN(2890,3282))</f>
        <v>94220996.569576591</v>
      </c>
      <c r="B4013">
        <v>207289963.4073683</v>
      </c>
    </row>
    <row r="4014" spans="1:2" x14ac:dyDescent="0.25">
      <c r="A4014">
        <f ca="1">31365.5696354721*(RANDBETWEEN(2890,3282))</f>
        <v>91963850.171204105</v>
      </c>
      <c r="B4014">
        <v>221906183.44736794</v>
      </c>
    </row>
    <row r="4015" spans="1:2" x14ac:dyDescent="0.25">
      <c r="A4015">
        <f ca="1">36427.5469244501*(RANDBETWEEN(2890,3282))</f>
        <v>108153386.81869248</v>
      </c>
      <c r="B4015">
        <v>215811006.12307125</v>
      </c>
    </row>
    <row r="4016" spans="1:2" x14ac:dyDescent="0.25">
      <c r="A4016">
        <f ca="1">29268.1376533113*(RANDBETWEEN(2890,3282))</f>
        <v>90321472.798118666</v>
      </c>
      <c r="B4016">
        <v>262819932.74313998</v>
      </c>
    </row>
    <row r="4017" spans="1:2" x14ac:dyDescent="0.25">
      <c r="A4017">
        <f ca="1">32238.4088842362*(RANDBETWEEN(2890,3282))</f>
        <v>95135544.617381096</v>
      </c>
      <c r="B4017">
        <v>215557461.58772266</v>
      </c>
    </row>
    <row r="4018" spans="1:2" x14ac:dyDescent="0.25">
      <c r="A4018">
        <f ca="1">28468.4764994239*(RANDBETWEEN(2890,3282))</f>
        <v>88423088.007210642</v>
      </c>
      <c r="B4018">
        <v>211175483.41395241</v>
      </c>
    </row>
    <row r="4019" spans="1:2" x14ac:dyDescent="0.25">
      <c r="A4019">
        <f ca="1">32506.0097898481*(RANDBETWEEN(2890,3282))</f>
        <v>99240847.888406217</v>
      </c>
      <c r="B4019">
        <v>218505631.27520201</v>
      </c>
    </row>
    <row r="4020" spans="1:2" x14ac:dyDescent="0.25">
      <c r="A4020">
        <f ca="1">29289.1410619149*(RANDBETWEEN(2890,3282))</f>
        <v>95570467.285028428</v>
      </c>
      <c r="B4020">
        <v>256204551.1550222</v>
      </c>
    </row>
    <row r="4021" spans="1:2" x14ac:dyDescent="0.25">
      <c r="A4021">
        <f ca="1">38671.8053535704*(RANDBETWEEN(2890,3282))</f>
        <v>125257977.54021446</v>
      </c>
      <c r="B4021">
        <v>253512174.65578517</v>
      </c>
    </row>
    <row r="4022" spans="1:2" x14ac:dyDescent="0.25">
      <c r="A4022">
        <f ca="1">38270.9394534071*(RANDBETWEEN(2890,3282))</f>
        <v>118869537.94228256</v>
      </c>
      <c r="B4022">
        <v>232873440.22118804</v>
      </c>
    </row>
    <row r="4023" spans="1:2" x14ac:dyDescent="0.25">
      <c r="A4023">
        <f ca="1">39708.9587840078*(RANDBETWEEN(2890,3282))</f>
        <v>127426048.73788106</v>
      </c>
      <c r="B4023">
        <v>247041762.57892355</v>
      </c>
    </row>
    <row r="4024" spans="1:2" x14ac:dyDescent="0.25">
      <c r="A4024">
        <f ca="1">42523.6870842788*(RANDBETWEEN(2890,3282))</f>
        <v>139137504.13976038</v>
      </c>
      <c r="B4024">
        <v>263573234.93602949</v>
      </c>
    </row>
    <row r="4025" spans="1:2" x14ac:dyDescent="0.25">
      <c r="A4025">
        <f ca="1">31094.6892877437*(RANDBETWEEN(2890,3282))</f>
        <v>95087559.841920435</v>
      </c>
      <c r="B4025">
        <v>229238893.46197933</v>
      </c>
    </row>
    <row r="4026" spans="1:2" x14ac:dyDescent="0.25">
      <c r="A4026">
        <f ca="1">37178.9948566808*(RANDBETWEEN(2890,3282))</f>
        <v>118972783.54137847</v>
      </c>
      <c r="B4026">
        <v>207290749.02489036</v>
      </c>
    </row>
    <row r="4027" spans="1:2" x14ac:dyDescent="0.25">
      <c r="A4027">
        <f ca="1">38013.7543655999*(RANDBETWEEN(2890,3282))</f>
        <v>111988520.36105725</v>
      </c>
      <c r="B4027">
        <v>264582575.25779569</v>
      </c>
    </row>
    <row r="4028" spans="1:2" x14ac:dyDescent="0.25">
      <c r="A4028">
        <f ca="1">31324.2812358698*(RANDBETWEEN(2890,3282))</f>
        <v>102743642.45365289</v>
      </c>
      <c r="B4028">
        <v>227231608.93479213</v>
      </c>
    </row>
    <row r="4029" spans="1:2" x14ac:dyDescent="0.25">
      <c r="A4029">
        <f ca="1">33253.8101058139*(RANDBETWEEN(2890,3282))</f>
        <v>100825552.24082768</v>
      </c>
      <c r="B4029">
        <v>213714655.52820647</v>
      </c>
    </row>
    <row r="4030" spans="1:2" x14ac:dyDescent="0.25">
      <c r="A4030">
        <f ca="1">33623.4596437475*(RANDBETWEEN(2890,3282))</f>
        <v>104333595.2745485</v>
      </c>
      <c r="B4030">
        <v>233395962.96129304</v>
      </c>
    </row>
    <row r="4031" spans="1:2" x14ac:dyDescent="0.25">
      <c r="A4031">
        <f ca="1">37693.6104259865*(RANDBETWEEN(2890,3282))</f>
        <v>118697179.23143151</v>
      </c>
      <c r="B4031">
        <v>248196670.58855176</v>
      </c>
    </row>
    <row r="4032" spans="1:2" x14ac:dyDescent="0.25">
      <c r="A4032">
        <f ca="1">33492.1687878635*(RANDBETWEEN(2890,3282))</f>
        <v>107442877.47146617</v>
      </c>
      <c r="B4032">
        <v>226385871.39825019</v>
      </c>
    </row>
    <row r="4033" spans="1:2" x14ac:dyDescent="0.25">
      <c r="A4033">
        <f ca="1">32652.7462706967*(RANDBETWEEN(2890,3282))</f>
        <v>105925508.90214005</v>
      </c>
      <c r="B4033">
        <v>252152761.60398963</v>
      </c>
    </row>
    <row r="4034" spans="1:2" x14ac:dyDescent="0.25">
      <c r="A4034">
        <f ca="1">32031.1605403725*(RANDBETWEEN(2890,3282))</f>
        <v>97246603.40057084</v>
      </c>
      <c r="B4034">
        <v>206770424.2061426</v>
      </c>
    </row>
    <row r="4035" spans="1:2" x14ac:dyDescent="0.25">
      <c r="A4035">
        <f ca="1">32411.0830017519*(RANDBETWEEN(2890,3282))</f>
        <v>103456176.94159196</v>
      </c>
      <c r="B4035">
        <v>239534275.45671961</v>
      </c>
    </row>
    <row r="4036" spans="1:2" x14ac:dyDescent="0.25">
      <c r="A4036">
        <f ca="1">32159.5367011373*(RANDBETWEEN(2890,3282))</f>
        <v>99919680.530433491</v>
      </c>
      <c r="B4036">
        <v>236343888.88433596</v>
      </c>
    </row>
    <row r="4037" spans="1:2" x14ac:dyDescent="0.25">
      <c r="A4037">
        <f ca="1">36006.76731618*(RANDBETWEEN(2890,3282))</f>
        <v>114105445.62497434</v>
      </c>
      <c r="B4037">
        <v>258774770.58607051</v>
      </c>
    </row>
    <row r="4038" spans="1:2" x14ac:dyDescent="0.25">
      <c r="A4038">
        <f ca="1">39329.3974010481*(RANDBETWEEN(2890,3282))</f>
        <v>124005590.00550467</v>
      </c>
      <c r="B4038">
        <v>260794785.04331669</v>
      </c>
    </row>
    <row r="4039" spans="1:2" x14ac:dyDescent="0.25">
      <c r="A4039">
        <f ca="1">34045.9820845848*(RANDBETWEEN(2890,3282))</f>
        <v>100776106.97037128</v>
      </c>
      <c r="B4039">
        <v>258137215.9521465</v>
      </c>
    </row>
    <row r="4040" spans="1:2" x14ac:dyDescent="0.25">
      <c r="A4040">
        <f ca="1">44010.9659801012*(RANDBETWEEN(2890,3282))</f>
        <v>135509764.25273174</v>
      </c>
      <c r="B4040">
        <v>208876074.95862752</v>
      </c>
    </row>
    <row r="4041" spans="1:2" x14ac:dyDescent="0.25">
      <c r="A4041">
        <f ca="1">37269.5718360153*(RANDBETWEEN(2890,3282))</f>
        <v>121088838.89521375</v>
      </c>
      <c r="B4041">
        <v>208820081.81360176</v>
      </c>
    </row>
    <row r="4042" spans="1:2" x14ac:dyDescent="0.25">
      <c r="A4042">
        <f ca="1">30352.8356476889*(RANDBETWEEN(2890,3282))</f>
        <v>90117569.037988409</v>
      </c>
      <c r="B4042">
        <v>235475053.41174337</v>
      </c>
    </row>
    <row r="4043" spans="1:2" x14ac:dyDescent="0.25">
      <c r="A4043">
        <f ca="1">28807.1774876168*(RANDBETWEEN(2890,3282))</f>
        <v>91088295.215844393</v>
      </c>
      <c r="B4043">
        <v>263328510.05708033</v>
      </c>
    </row>
    <row r="4044" spans="1:2" x14ac:dyDescent="0.25">
      <c r="A4044">
        <f ca="1">29695.4417014419*(RANDBETWEEN(2890,3282))</f>
        <v>89739624.821757287</v>
      </c>
      <c r="B4044">
        <v>226301453.52508864</v>
      </c>
    </row>
    <row r="4045" spans="1:2" x14ac:dyDescent="0.25">
      <c r="A4045">
        <f ca="1">39413.1300390334*(RANDBETWEEN(2890,3282))</f>
        <v>123560162.67236979</v>
      </c>
      <c r="B4045">
        <v>261899189.58497804</v>
      </c>
    </row>
    <row r="4046" spans="1:2" x14ac:dyDescent="0.25">
      <c r="A4046">
        <f ca="1">35469.6165694042*(RANDBETWEEN(2890,3282))</f>
        <v>110487855.61369427</v>
      </c>
      <c r="B4046">
        <v>253623285.30059195</v>
      </c>
    </row>
    <row r="4047" spans="1:2" x14ac:dyDescent="0.25">
      <c r="A4047">
        <f ca="1">28575.1064699161*(RANDBETWEEN(2890,3282))</f>
        <v>92068993.046069518</v>
      </c>
      <c r="B4047">
        <v>205965387.78207031</v>
      </c>
    </row>
    <row r="4048" spans="1:2" x14ac:dyDescent="0.25">
      <c r="A4048">
        <f ca="1">33827.8989681233*(RANDBETWEEN(2890,3282))</f>
        <v>109365597.36394265</v>
      </c>
      <c r="B4048">
        <v>217530783.3581911</v>
      </c>
    </row>
    <row r="4049" spans="1:2" x14ac:dyDescent="0.25">
      <c r="A4049">
        <f ca="1">32671.6324221477*(RANDBETWEEN(2890,3282))</f>
        <v>106934252.9176897</v>
      </c>
      <c r="B4049">
        <v>217908113.63936302</v>
      </c>
    </row>
    <row r="4050" spans="1:2" x14ac:dyDescent="0.25">
      <c r="A4050">
        <f ca="1">36338.6396162192*(RANDBETWEEN(2890,3282))</f>
        <v>106980955.03014937</v>
      </c>
      <c r="B4050">
        <v>218119309.85326394</v>
      </c>
    </row>
    <row r="4051" spans="1:2" x14ac:dyDescent="0.25">
      <c r="A4051">
        <f ca="1">35570.9369014023*(RANDBETWEEN(2890,3282))</f>
        <v>110020907.8360374</v>
      </c>
      <c r="B4051">
        <v>218241930.93503076</v>
      </c>
    </row>
    <row r="4052" spans="1:2" x14ac:dyDescent="0.25">
      <c r="A4052">
        <f ca="1">30210.5543873505*(RANDBETWEEN(2890,3282))</f>
        <v>90963979.260312214</v>
      </c>
      <c r="B4052">
        <v>218616835.34474909</v>
      </c>
    </row>
    <row r="4053" spans="1:2" x14ac:dyDescent="0.25">
      <c r="A4053">
        <f ca="1">40883.0867548582*(RANDBETWEEN(2890,3282))</f>
        <v>126696685.8533055</v>
      </c>
      <c r="B4053">
        <v>235440919.22403941</v>
      </c>
    </row>
    <row r="4054" spans="1:2" x14ac:dyDescent="0.25">
      <c r="A4054">
        <f ca="1">30842.2253627375*(RANDBETWEEN(2890,3282))</f>
        <v>96505323.160005584</v>
      </c>
      <c r="B4054">
        <v>227312703.90626299</v>
      </c>
    </row>
    <row r="4055" spans="1:2" x14ac:dyDescent="0.25">
      <c r="A4055">
        <f ca="1">36769.0592515449*(RANDBETWEEN(2890,3282))</f>
        <v>106409657.47397095</v>
      </c>
      <c r="B4055">
        <v>208281040.72209495</v>
      </c>
    </row>
    <row r="4056" spans="1:2" x14ac:dyDescent="0.25">
      <c r="A4056">
        <f ca="1">30092.3158908848*(RANDBETWEEN(2890,3282))</f>
        <v>88351039.455637679</v>
      </c>
      <c r="B4056">
        <v>249300697.45597777</v>
      </c>
    </row>
    <row r="4057" spans="1:2" x14ac:dyDescent="0.25">
      <c r="A4057">
        <f ca="1">37295.0173361527*(RANDBETWEEN(2890,3282))</f>
        <v>109460875.88160813</v>
      </c>
      <c r="B4057">
        <v>235532415.85949245</v>
      </c>
    </row>
    <row r="4058" spans="1:2" x14ac:dyDescent="0.25">
      <c r="A4058">
        <f ca="1">39122.1252814561*(RANDBETWEEN(2890,3282))</f>
        <v>127459884.1669839</v>
      </c>
      <c r="B4058">
        <v>209422922.40611833</v>
      </c>
    </row>
    <row r="4059" spans="1:2" x14ac:dyDescent="0.25">
      <c r="A4059">
        <f ca="1">29662.7889901769*(RANDBETWEEN(2890,3282))</f>
        <v>89166343.704471782</v>
      </c>
      <c r="B4059">
        <v>235207240.90924421</v>
      </c>
    </row>
    <row r="4060" spans="1:2" x14ac:dyDescent="0.25">
      <c r="A4060">
        <f ca="1">37718.2659495995*(RANDBETWEEN(2890,3282))</f>
        <v>114399500.62513541</v>
      </c>
      <c r="B4060">
        <v>245330423.32120144</v>
      </c>
    </row>
    <row r="4061" spans="1:2" x14ac:dyDescent="0.25">
      <c r="A4061">
        <f ca="1">38183.200581169*(RANDBETWEEN(2890,3282))</f>
        <v>124897249.10100366</v>
      </c>
      <c r="B4061">
        <v>238244285.59039313</v>
      </c>
    </row>
    <row r="4062" spans="1:2" x14ac:dyDescent="0.25">
      <c r="A4062">
        <f ca="1">32487.7088434866*(RANDBETWEEN(2890,3282))</f>
        <v>99704778.440660343</v>
      </c>
      <c r="B4062">
        <v>240951305.28718495</v>
      </c>
    </row>
    <row r="4063" spans="1:2" x14ac:dyDescent="0.25">
      <c r="A4063">
        <f ca="1">31168.7901421503*(RANDBETWEEN(2890,3282))</f>
        <v>97558313.144930363</v>
      </c>
      <c r="B4063">
        <v>228314308.77949688</v>
      </c>
    </row>
    <row r="4064" spans="1:2" x14ac:dyDescent="0.25">
      <c r="A4064">
        <f ca="1">30335.952437246*(RANDBETWEEN(2890,3282))</f>
        <v>94162796.365211591</v>
      </c>
      <c r="B4064">
        <v>206623526.96600989</v>
      </c>
    </row>
    <row r="4065" spans="1:2" x14ac:dyDescent="0.25">
      <c r="A4065">
        <f ca="1">38708.3406849708*(RANDBETWEEN(2890,3282))</f>
        <v>121466773.06943826</v>
      </c>
      <c r="B4065">
        <v>204373378.75293884</v>
      </c>
    </row>
    <row r="4066" spans="1:2" x14ac:dyDescent="0.25">
      <c r="A4066">
        <f ca="1">41321.392136439*(RANDBETWEEN(2890,3282))</f>
        <v>123674926.6643618</v>
      </c>
      <c r="B4066">
        <v>204073895.47033513</v>
      </c>
    </row>
    <row r="4067" spans="1:2" x14ac:dyDescent="0.25">
      <c r="A4067">
        <f ca="1">37766.4915505316*(RANDBETWEEN(2890,3282))</f>
        <v>116887291.34889533</v>
      </c>
      <c r="B4067">
        <v>243497480.3586379</v>
      </c>
    </row>
    <row r="4068" spans="1:2" x14ac:dyDescent="0.25">
      <c r="A4068">
        <f ca="1">35904.0229783459*(RANDBETWEEN(2890,3282))</f>
        <v>115826378.12814377</v>
      </c>
      <c r="B4068">
        <v>254084328.44270551</v>
      </c>
    </row>
    <row r="4069" spans="1:2" x14ac:dyDescent="0.25">
      <c r="A4069">
        <f ca="1">33136.1127252986*(RANDBETWEEN(2890,3282))</f>
        <v>99905379.8667752</v>
      </c>
      <c r="B4069">
        <v>236846767.80374879</v>
      </c>
    </row>
    <row r="4070" spans="1:2" x14ac:dyDescent="0.25">
      <c r="A4070">
        <f ca="1">39522.1495377895*(RANDBETWEEN(2890,3282))</f>
        <v>114969933.00542967</v>
      </c>
      <c r="B4070">
        <v>232825148.56739503</v>
      </c>
    </row>
    <row r="4071" spans="1:2" x14ac:dyDescent="0.25">
      <c r="A4071">
        <f ca="1">30784.6046296949*(RANDBETWEEN(2890,3282))</f>
        <v>90168106.960376322</v>
      </c>
      <c r="B4071">
        <v>254943767.36071569</v>
      </c>
    </row>
    <row r="4072" spans="1:2" x14ac:dyDescent="0.25">
      <c r="A4072">
        <f ca="1">32451.8883510921*(RANDBETWEEN(2890,3282))</f>
        <v>100049171.78641698</v>
      </c>
      <c r="B4072">
        <v>210659045.05215436</v>
      </c>
    </row>
    <row r="4073" spans="1:2" x14ac:dyDescent="0.25">
      <c r="A4073">
        <f ca="1">38397.6057822563*(RANDBETWEEN(2890,3282))</f>
        <v>116613528.76071234</v>
      </c>
      <c r="B4073">
        <v>226832847.52827063</v>
      </c>
    </row>
    <row r="4074" spans="1:2" x14ac:dyDescent="0.25">
      <c r="A4074">
        <f ca="1">36888.0598108878*(RANDBETWEEN(2890,3282))</f>
        <v>118189343.63408443</v>
      </c>
      <c r="B4074">
        <v>225360250.7640357</v>
      </c>
    </row>
    <row r="4075" spans="1:2" x14ac:dyDescent="0.25">
      <c r="A4075">
        <f ca="1">36089.4048646489*(RANDBETWEEN(2890,3282))</f>
        <v>105633688.03882723</v>
      </c>
      <c r="B4075">
        <v>233203017.83435711</v>
      </c>
    </row>
    <row r="4076" spans="1:2" x14ac:dyDescent="0.25">
      <c r="A4076">
        <f ca="1">35176.994815204*(RANDBETWEEN(2890,3282))</f>
        <v>101872576.98483068</v>
      </c>
      <c r="B4076">
        <v>228991074.2301949</v>
      </c>
    </row>
    <row r="4077" spans="1:2" x14ac:dyDescent="0.25">
      <c r="A4077">
        <f ca="1">29958.8883069131*(RANDBETWEEN(2890,3282))</f>
        <v>91464486.001005709</v>
      </c>
      <c r="B4077">
        <v>236329685.19092354</v>
      </c>
    </row>
    <row r="4078" spans="1:2" x14ac:dyDescent="0.25">
      <c r="A4078">
        <f ca="1">39469.9398023363*(RANDBETWEEN(2890,3282))</f>
        <v>121843704.16981228</v>
      </c>
      <c r="B4078">
        <v>252835645.58322921</v>
      </c>
    </row>
    <row r="4079" spans="1:2" x14ac:dyDescent="0.25">
      <c r="A4079">
        <f ca="1">32627.6104118555*(RANDBETWEEN(2890,3282))</f>
        <v>105876595.7864711</v>
      </c>
      <c r="B4079">
        <v>257464445.28373623</v>
      </c>
    </row>
    <row r="4080" spans="1:2" x14ac:dyDescent="0.25">
      <c r="A4080">
        <f ca="1">36459.2005500239*(RANDBETWEEN(2890,3282))</f>
        <v>117289248.16942689</v>
      </c>
      <c r="B4080">
        <v>221490868.76925048</v>
      </c>
    </row>
    <row r="4081" spans="1:2" x14ac:dyDescent="0.25">
      <c r="A4081">
        <f ca="1">34224.5205956252*(RANDBETWEEN(2890,3282))</f>
        <v>103529174.80176631</v>
      </c>
      <c r="B4081">
        <v>263480885.92461023</v>
      </c>
    </row>
    <row r="4082" spans="1:2" x14ac:dyDescent="0.25">
      <c r="A4082">
        <f ca="1">31427.1253194085*(RANDBETWEEN(2890,3282))</f>
        <v>95789877.973557144</v>
      </c>
      <c r="B4082">
        <v>231039327.24540764</v>
      </c>
    </row>
    <row r="4083" spans="1:2" x14ac:dyDescent="0.25">
      <c r="A4083">
        <f ca="1">31740.6117173665*(RANDBETWEEN(2890,3282))</f>
        <v>95412278.822403654</v>
      </c>
      <c r="B4083">
        <v>253096536.82426381</v>
      </c>
    </row>
    <row r="4084" spans="1:2" x14ac:dyDescent="0.25">
      <c r="A4084">
        <f ca="1">31364.072144849*(RANDBETWEEN(2890,3282))</f>
        <v>101337317.10000713</v>
      </c>
      <c r="B4084">
        <v>266654727.58106834</v>
      </c>
    </row>
    <row r="4085" spans="1:2" x14ac:dyDescent="0.25">
      <c r="A4085">
        <f ca="1">29845.2468991135*(RANDBETWEEN(2890,3282))</f>
        <v>87625644.895797282</v>
      </c>
      <c r="B4085">
        <v>253850867.63978678</v>
      </c>
    </row>
    <row r="4086" spans="1:2" x14ac:dyDescent="0.25">
      <c r="A4086">
        <f ca="1">42416.0875662809*(RANDBETWEEN(2890,3282))</f>
        <v>122964237.85464831</v>
      </c>
      <c r="B4086">
        <v>244589078.29084945</v>
      </c>
    </row>
    <row r="4087" spans="1:2" x14ac:dyDescent="0.25">
      <c r="A4087">
        <f ca="1">41495.4768704818*(RANDBETWEEN(2890,3282))</f>
        <v>125233349.1951142</v>
      </c>
      <c r="B4087">
        <v>227442925.07543087</v>
      </c>
    </row>
    <row r="4088" spans="1:2" x14ac:dyDescent="0.25">
      <c r="A4088">
        <f ca="1">30425.4871035926*(RANDBETWEEN(2890,3282))</f>
        <v>88081785.164900571</v>
      </c>
      <c r="B4088">
        <v>208007272.42926541</v>
      </c>
    </row>
    <row r="4089" spans="1:2" x14ac:dyDescent="0.25">
      <c r="A4089">
        <f ca="1">33077.113047415*(RANDBETWEEN(2890,3282))</f>
        <v>102373664.88174957</v>
      </c>
      <c r="B4089">
        <v>243558608.10146192</v>
      </c>
    </row>
    <row r="4090" spans="1:2" x14ac:dyDescent="0.25">
      <c r="A4090">
        <f ca="1">32386.062954512*(RANDBETWEEN(2890,3282))</f>
        <v>95765588.15649192</v>
      </c>
      <c r="B4090">
        <v>225133863.54897875</v>
      </c>
    </row>
    <row r="4091" spans="1:2" x14ac:dyDescent="0.25">
      <c r="A4091">
        <f ca="1">32358.1133894619*(RANDBETWEEN(2890,3282))</f>
        <v>105487449.64964576</v>
      </c>
      <c r="B4091">
        <v>249128776.98421311</v>
      </c>
    </row>
    <row r="4092" spans="1:2" x14ac:dyDescent="0.25">
      <c r="A4092">
        <f ca="1">37280.7524756865*(RANDBETWEEN(2890,3282))</f>
        <v>116017701.70433646</v>
      </c>
      <c r="B4092">
        <v>240252262.52722979</v>
      </c>
    </row>
    <row r="4093" spans="1:2" x14ac:dyDescent="0.25">
      <c r="A4093">
        <f ca="1">35424.4522606927*(RANDBETWEEN(2890,3282))</f>
        <v>111374477.90761796</v>
      </c>
      <c r="B4093">
        <v>227540303.02852243</v>
      </c>
    </row>
    <row r="4094" spans="1:2" x14ac:dyDescent="0.25">
      <c r="A4094">
        <f ca="1">41672.5577736607*(RANDBETWEEN(2890,3282))</f>
        <v>129434964.44499016</v>
      </c>
      <c r="B4094">
        <v>229708263.62461954</v>
      </c>
    </row>
    <row r="4095" spans="1:2" x14ac:dyDescent="0.25">
      <c r="A4095">
        <f ca="1">33378.8228580433*(RANDBETWEEN(2890,3282))</f>
        <v>98934830.951240361</v>
      </c>
      <c r="B4095">
        <v>255848328.52580529</v>
      </c>
    </row>
    <row r="4096" spans="1:2" x14ac:dyDescent="0.25">
      <c r="A4096">
        <f ca="1">39762.3838967442*(RANDBETWEEN(2890,3282))</f>
        <v>119525725.99361299</v>
      </c>
      <c r="B4096">
        <v>235929511.69679192</v>
      </c>
    </row>
    <row r="4097" spans="1:2" x14ac:dyDescent="0.25">
      <c r="A4097">
        <f ca="1">29352.1327346496*(RANDBETWEEN(2890,3282))</f>
        <v>92077640.388595834</v>
      </c>
      <c r="B4097">
        <v>217174259.25365353</v>
      </c>
    </row>
    <row r="4098" spans="1:2" x14ac:dyDescent="0.25">
      <c r="A4098">
        <f ca="1">33945.9000755638*(RANDBETWEEN(2890,3282))</f>
        <v>99359649.52117525</v>
      </c>
      <c r="B4098">
        <v>221903013.07698256</v>
      </c>
    </row>
    <row r="4099" spans="1:2" x14ac:dyDescent="0.25">
      <c r="A4099">
        <f ca="1">30691.9730223296*(RANDBETWEEN(2890,3282))</f>
        <v>98521233.401677921</v>
      </c>
      <c r="B4099">
        <v>205875292.79693681</v>
      </c>
    </row>
    <row r="4100" spans="1:2" x14ac:dyDescent="0.25">
      <c r="A4100">
        <f ca="1">30350.8318589324*(RANDBETWEEN(2890,3282))</f>
        <v>87987061.559045002</v>
      </c>
      <c r="B4100">
        <v>235824062.82575372</v>
      </c>
    </row>
    <row r="4101" spans="1:2" x14ac:dyDescent="0.25">
      <c r="A4101">
        <f ca="1">30772.1402052992*(RANDBETWEEN(2890,3282))</f>
        <v>100317177.06927532</v>
      </c>
      <c r="B4101">
        <v>257542132.12132055</v>
      </c>
    </row>
    <row r="4102" spans="1:2" x14ac:dyDescent="0.25">
      <c r="A4102">
        <f ca="1">40785.415503026*(RANDBETWEEN(2890,3282))</f>
        <v>133572235.77241008</v>
      </c>
      <c r="B4102">
        <v>267337410.48410547</v>
      </c>
    </row>
    <row r="4103" spans="1:2" x14ac:dyDescent="0.25">
      <c r="A4103">
        <f ca="1">29047.4901206343*(RANDBETWEEN(2890,3282))</f>
        <v>89785791.962880731</v>
      </c>
      <c r="B4103">
        <v>205364746.69833395</v>
      </c>
    </row>
    <row r="4104" spans="1:2" x14ac:dyDescent="0.25">
      <c r="A4104">
        <f ca="1">32118.8040796716*(RANDBETWEEN(2890,3282))</f>
        <v>97544807.989962593</v>
      </c>
      <c r="B4104">
        <v>215214600.61100686</v>
      </c>
    </row>
    <row r="4105" spans="1:2" x14ac:dyDescent="0.25">
      <c r="A4105">
        <f ca="1">36040.6032479872*(RANDBETWEEN(2890,3282))</f>
        <v>106932469.83677794</v>
      </c>
      <c r="B4105">
        <v>248065949.10409144</v>
      </c>
    </row>
    <row r="4106" spans="1:2" x14ac:dyDescent="0.25">
      <c r="A4106">
        <f ca="1">40594.770604685*(RANDBETWEEN(2890,3282))</f>
        <v>129497318.22894511</v>
      </c>
      <c r="B4106">
        <v>228134635.4479785</v>
      </c>
    </row>
    <row r="4107" spans="1:2" x14ac:dyDescent="0.25">
      <c r="A4107">
        <f ca="1">31959.001625067*(RANDBETWEEN(2890,3282))</f>
        <v>93959464.777697071</v>
      </c>
      <c r="B4107">
        <v>216902566.80682963</v>
      </c>
    </row>
    <row r="4108" spans="1:2" x14ac:dyDescent="0.25">
      <c r="A4108">
        <f ca="1">28660.5117495666*(RANDBETWEEN(2890,3282))</f>
        <v>84663151.708219603</v>
      </c>
      <c r="B4108">
        <v>239788375.0145494</v>
      </c>
    </row>
    <row r="4109" spans="1:2" x14ac:dyDescent="0.25">
      <c r="A4109">
        <f ca="1">31875.8869291954*(RANDBETWEEN(2890,3282))</f>
        <v>103405377.19830984</v>
      </c>
      <c r="B4109">
        <v>207521866.40912914</v>
      </c>
    </row>
    <row r="4110" spans="1:2" x14ac:dyDescent="0.25">
      <c r="A4110">
        <f ca="1">32337.3827700939*(RANDBETWEEN(2890,3282))</f>
        <v>102186129.55349666</v>
      </c>
      <c r="B4110">
        <v>212802582.33586994</v>
      </c>
    </row>
    <row r="4111" spans="1:2" x14ac:dyDescent="0.25">
      <c r="A4111">
        <f ca="1">36856.8290162376*(RANDBETWEEN(2890,3282))</f>
        <v>107879938.53052756</v>
      </c>
      <c r="B4111">
        <v>211968576.94577378</v>
      </c>
    </row>
    <row r="4112" spans="1:2" x14ac:dyDescent="0.25">
      <c r="A4112">
        <f ca="1">28476.1213323574*(RANDBETWEEN(2890,3282))</f>
        <v>89016355.284949139</v>
      </c>
      <c r="B4112">
        <v>214476429.9614771</v>
      </c>
    </row>
    <row r="4113" spans="1:2" x14ac:dyDescent="0.25">
      <c r="A4113">
        <f ca="1">38174.368567055*(RANDBETWEEN(2890,3282))</f>
        <v>115859208.60101178</v>
      </c>
      <c r="B4113">
        <v>225785614.66704988</v>
      </c>
    </row>
    <row r="4114" spans="1:2" x14ac:dyDescent="0.25">
      <c r="A4114">
        <f ca="1">41055.4888687243*(RANDBETWEEN(2890,3282))</f>
        <v>132937672.9569294</v>
      </c>
      <c r="B4114">
        <v>256240531.53094089</v>
      </c>
    </row>
    <row r="4115" spans="1:2" x14ac:dyDescent="0.25">
      <c r="A4115">
        <f ca="1">33770.4611893654*(RANDBETWEEN(2890,3282))</f>
        <v>98238271.599863887</v>
      </c>
      <c r="B4115">
        <v>224912172.41174835</v>
      </c>
    </row>
    <row r="4116" spans="1:2" x14ac:dyDescent="0.25">
      <c r="A4116">
        <f ca="1">41775.0442569149*(RANDBETWEEN(2890,3282))</f>
        <v>121440053.6548515</v>
      </c>
      <c r="B4116">
        <v>259109252.19860572</v>
      </c>
    </row>
    <row r="4117" spans="1:2" x14ac:dyDescent="0.25">
      <c r="A4117">
        <f ca="1">39005.0631557488*(RANDBETWEEN(2890,3282))</f>
        <v>117600265.41458257</v>
      </c>
      <c r="B4117">
        <v>205368394.11827037</v>
      </c>
    </row>
    <row r="4118" spans="1:2" x14ac:dyDescent="0.25">
      <c r="A4118">
        <f ca="1">32134.4366100773*(RANDBETWEEN(2890,3282))</f>
        <v>104211977.92648064</v>
      </c>
      <c r="B4118">
        <v>207911319.25032315</v>
      </c>
    </row>
    <row r="4119" spans="1:2" x14ac:dyDescent="0.25">
      <c r="A4119">
        <f ca="1">41657.611352198*(RANDBETWEEN(2890,3282))</f>
        <v>132054627.98646757</v>
      </c>
      <c r="B4119">
        <v>210780767.62060475</v>
      </c>
    </row>
    <row r="4120" spans="1:2" x14ac:dyDescent="0.25">
      <c r="A4120">
        <f ca="1">31798.1796626725*(RANDBETWEEN(2890,3282))</f>
        <v>101404394.94426247</v>
      </c>
      <c r="B4120">
        <v>232196887.05915719</v>
      </c>
    </row>
    <row r="4121" spans="1:2" x14ac:dyDescent="0.25">
      <c r="A4121">
        <f ca="1">40274.599782824*(RANDBETWEEN(2890,3282))</f>
        <v>130248055.69765291</v>
      </c>
      <c r="B4121">
        <v>259491273.58023989</v>
      </c>
    </row>
    <row r="4122" spans="1:2" x14ac:dyDescent="0.25">
      <c r="A4122">
        <f ca="1">40037.8638570333*(RANDBETWEEN(2890,3282))</f>
        <v>122435787.67480789</v>
      </c>
      <c r="B4122">
        <v>207144775.8663913</v>
      </c>
    </row>
    <row r="4123" spans="1:2" x14ac:dyDescent="0.25">
      <c r="A4123">
        <f ca="1">33932.8182417796*(RANDBETWEEN(2890,3282))</f>
        <v>106616914.9156715</v>
      </c>
      <c r="B4123">
        <v>237603534.91664881</v>
      </c>
    </row>
    <row r="4124" spans="1:2" x14ac:dyDescent="0.25">
      <c r="A4124">
        <f ca="1">31047.7159547124*(RANDBETWEEN(2890,3282))</f>
        <v>97117255.506340474</v>
      </c>
      <c r="B4124">
        <v>206973802.82243574</v>
      </c>
    </row>
    <row r="4125" spans="1:2" x14ac:dyDescent="0.25">
      <c r="A4125">
        <f ca="1">35735.2345735705*(RANDBETWEEN(2890,3282))</f>
        <v>107598791.30102062</v>
      </c>
      <c r="B4125">
        <v>207117472.30784458</v>
      </c>
    </row>
    <row r="4126" spans="1:2" x14ac:dyDescent="0.25">
      <c r="A4126">
        <f ca="1">32429.2588747797*(RANDBETWEEN(2890,3282))</f>
        <v>97612069.213086933</v>
      </c>
      <c r="B4126">
        <v>222083758.60038599</v>
      </c>
    </row>
    <row r="4127" spans="1:2" x14ac:dyDescent="0.25">
      <c r="A4127">
        <f ca="1">37074.1695918647*(RANDBETWEEN(2890,3282))</f>
        <v>120898867.03907074</v>
      </c>
      <c r="B4127">
        <v>236808136.7509411</v>
      </c>
    </row>
    <row r="4128" spans="1:2" x14ac:dyDescent="0.25">
      <c r="A4128">
        <f ca="1">30896.3385967756*(RANDBETWEEN(2890,3282))</f>
        <v>96983606.855278581</v>
      </c>
      <c r="B4128">
        <v>240231979.99882665</v>
      </c>
    </row>
    <row r="4129" spans="1:2" x14ac:dyDescent="0.25">
      <c r="A4129">
        <f ca="1">30981.5506359097*(RANDBETWEEN(2890,3282))</f>
        <v>95856917.667504564</v>
      </c>
      <c r="B4129">
        <v>234370932.58481371</v>
      </c>
    </row>
    <row r="4130" spans="1:2" x14ac:dyDescent="0.25">
      <c r="A4130">
        <f ca="1">30620.6480205823*(RANDBETWEEN(2890,3282))</f>
        <v>90851462.677067697</v>
      </c>
      <c r="B4130">
        <v>224458211.18350253</v>
      </c>
    </row>
    <row r="4131" spans="1:2" x14ac:dyDescent="0.25">
      <c r="A4131">
        <f ca="1">35881.4417015186*(RANDBETWEEN(2890,3282))</f>
        <v>117547603.01417497</v>
      </c>
      <c r="B4131">
        <v>211547788.52823913</v>
      </c>
    </row>
    <row r="4132" spans="1:2" x14ac:dyDescent="0.25">
      <c r="A4132">
        <f ca="1">39821.6627525392*(RANDBETWEEN(2890,3282))</f>
        <v>120659638.14019366</v>
      </c>
      <c r="B4132">
        <v>210425589.32999873</v>
      </c>
    </row>
    <row r="4133" spans="1:2" x14ac:dyDescent="0.25">
      <c r="A4133">
        <f ca="1">39337.5758309754*(RANDBETWEEN(2890,3282))</f>
        <v>115613135.36723679</v>
      </c>
      <c r="B4133">
        <v>204843486.19966203</v>
      </c>
    </row>
    <row r="4134" spans="1:2" x14ac:dyDescent="0.25">
      <c r="A4134">
        <f ca="1">31678.325472494*(RANDBETWEEN(2890,3282))</f>
        <v>95826934.554294407</v>
      </c>
      <c r="B4134">
        <v>250727366.04647478</v>
      </c>
    </row>
    <row r="4135" spans="1:2" x14ac:dyDescent="0.25">
      <c r="A4135">
        <f ca="1">39092.3790249712*(RANDBETWEEN(2890,3282))</f>
        <v>114579762.92219056</v>
      </c>
      <c r="B4135">
        <v>257172635.72456729</v>
      </c>
    </row>
    <row r="4136" spans="1:2" x14ac:dyDescent="0.25">
      <c r="A4136">
        <f ca="1">38604.1408273551*(RANDBETWEEN(2890,3282))</f>
        <v>124382541.74573801</v>
      </c>
      <c r="B4136">
        <v>210232534.48764798</v>
      </c>
    </row>
    <row r="4137" spans="1:2" x14ac:dyDescent="0.25">
      <c r="A4137">
        <f ca="1">30788.8161105728*(RANDBETWEEN(2890,3282))</f>
        <v>95476118.758886352</v>
      </c>
      <c r="B4137">
        <v>212648994.6143705</v>
      </c>
    </row>
    <row r="4138" spans="1:2" x14ac:dyDescent="0.25">
      <c r="A4138">
        <f ca="1">31109.5439050676*(RANDBETWEEN(2890,3282))</f>
        <v>93826384.41768375</v>
      </c>
      <c r="B4138">
        <v>214855656.53843191</v>
      </c>
    </row>
    <row r="4139" spans="1:2" x14ac:dyDescent="0.25">
      <c r="A4139">
        <f ca="1">33995.8017285741*(RANDBETWEEN(2890,3282))</f>
        <v>106134892.99660848</v>
      </c>
      <c r="B4139">
        <v>206923099.8473213</v>
      </c>
    </row>
    <row r="4140" spans="1:2" x14ac:dyDescent="0.25">
      <c r="A4140">
        <f ca="1">41512.5877195745*(RANDBETWEEN(2890,3282))</f>
        <v>121839444.95695117</v>
      </c>
      <c r="B4140">
        <v>264377900.06177479</v>
      </c>
    </row>
    <row r="4141" spans="1:2" x14ac:dyDescent="0.25">
      <c r="A4141">
        <f ca="1">37366.1785261295*(RANDBETWEEN(2890,3282))</f>
        <v>118077124.14256929</v>
      </c>
      <c r="B4141">
        <v>260555440.97234148</v>
      </c>
    </row>
    <row r="4142" spans="1:2" x14ac:dyDescent="0.25">
      <c r="A4142">
        <f ca="1">31955.8184867323*(RANDBETWEEN(2890,3282))</f>
        <v>98328053.483675346</v>
      </c>
      <c r="B4142">
        <v>226568357.6917274</v>
      </c>
    </row>
    <row r="4143" spans="1:2" x14ac:dyDescent="0.25">
      <c r="A4143">
        <f ca="1">38201.281330008*(RANDBETWEEN(2890,3282))</f>
        <v>116170096.52455445</v>
      </c>
      <c r="B4143">
        <v>230222275.74956417</v>
      </c>
    </row>
    <row r="4144" spans="1:2" x14ac:dyDescent="0.25">
      <c r="A4144">
        <f ca="1">34898.325481197*(RANDBETWEEN(2890,3282))</f>
        <v>109022368.80325955</v>
      </c>
      <c r="B4144">
        <v>209665417.2985912</v>
      </c>
    </row>
    <row r="4145" spans="1:2" x14ac:dyDescent="0.25">
      <c r="A4145">
        <f ca="1">33435.8425838858*(RANDBETWEEN(2890,3282))</f>
        <v>98568863.937295213</v>
      </c>
      <c r="B4145">
        <v>212128506.46486631</v>
      </c>
    </row>
    <row r="4146" spans="1:2" x14ac:dyDescent="0.25">
      <c r="A4146">
        <f ca="1">30591.4414537338*(RANDBETWEEN(2890,3282))</f>
        <v>93334487.875341699</v>
      </c>
      <c r="B4146">
        <v>258207864.8638607</v>
      </c>
    </row>
    <row r="4147" spans="1:2" x14ac:dyDescent="0.25">
      <c r="A4147">
        <f ca="1">35262.3667642092*(RANDBETWEEN(2890,3282))</f>
        <v>105540263.72527806</v>
      </c>
      <c r="B4147">
        <v>250463824.38657242</v>
      </c>
    </row>
    <row r="4148" spans="1:2" x14ac:dyDescent="0.25">
      <c r="A4148">
        <f ca="1">32058.1252590983*(RANDBETWEEN(2890,3282))</f>
        <v>95276748.270040169</v>
      </c>
      <c r="B4148">
        <v>207672765.34755689</v>
      </c>
    </row>
    <row r="4149" spans="1:2" x14ac:dyDescent="0.25">
      <c r="A4149">
        <f ca="1">32343.2044368977*(RANDBETWEEN(2890,3282))</f>
        <v>100328620.16325663</v>
      </c>
      <c r="B4149">
        <v>262589043.04784569</v>
      </c>
    </row>
    <row r="4150" spans="1:2" x14ac:dyDescent="0.25">
      <c r="A4150">
        <f ca="1">42300.7667323782*(RANDBETWEEN(2890,3282))</f>
        <v>129778752.33493641</v>
      </c>
      <c r="B4150">
        <v>254594386.6910404</v>
      </c>
    </row>
    <row r="4151" spans="1:2" x14ac:dyDescent="0.25">
      <c r="A4151">
        <f ca="1">38278.4455023576*(RANDBETWEEN(2890,3282))</f>
        <v>118395231.93879199</v>
      </c>
      <c r="B4151">
        <v>215256963.91981754</v>
      </c>
    </row>
    <row r="4152" spans="1:2" x14ac:dyDescent="0.25">
      <c r="A4152">
        <f ca="1">27941.914178642*(RANDBETWEEN(2890,3282))</f>
        <v>82428646.826993972</v>
      </c>
      <c r="B4152">
        <v>219114905.06283051</v>
      </c>
    </row>
    <row r="4153" spans="1:2" x14ac:dyDescent="0.25">
      <c r="A4153">
        <f ca="1">31824.8057037378*(RANDBETWEEN(2890,3282))</f>
        <v>95474417.11121349</v>
      </c>
      <c r="B4153">
        <v>207942230.57078627</v>
      </c>
    </row>
    <row r="4154" spans="1:2" x14ac:dyDescent="0.25">
      <c r="A4154">
        <f ca="1">40706.9240372252*(RANDBETWEEN(2890,3282))</f>
        <v>124563187.55390921</v>
      </c>
      <c r="B4154">
        <v>252417972.78954655</v>
      </c>
    </row>
    <row r="4155" spans="1:2" x14ac:dyDescent="0.25">
      <c r="A4155">
        <f ca="1">31696.6221981965*(RANDBETWEEN(2890,3282))</f>
        <v>101682764.01181448</v>
      </c>
      <c r="B4155">
        <v>234362297.04779175</v>
      </c>
    </row>
    <row r="4156" spans="1:2" x14ac:dyDescent="0.25">
      <c r="A4156">
        <f ca="1">31132.8993988734*(RANDBETWEEN(2890,3282))</f>
        <v>99687543.875192717</v>
      </c>
      <c r="B4156">
        <v>249799537.54814991</v>
      </c>
    </row>
    <row r="4157" spans="1:2" x14ac:dyDescent="0.25">
      <c r="A4157">
        <f ca="1">41146.7886432804*(RANDBETWEEN(2890,3282))</f>
        <v>134015090.61116424</v>
      </c>
      <c r="B4157">
        <v>252438805.20216364</v>
      </c>
    </row>
    <row r="4158" spans="1:2" x14ac:dyDescent="0.25">
      <c r="A4158">
        <f ca="1">32000.4796781083*(RANDBETWEEN(2890,3282))</f>
        <v>95137426.083015963</v>
      </c>
      <c r="B4158">
        <v>215141386.08603552</v>
      </c>
    </row>
    <row r="4159" spans="1:2" x14ac:dyDescent="0.25">
      <c r="A4159">
        <f ca="1">34111.911267427*(RANDBETWEEN(2890,3282))</f>
        <v>107452520.492395</v>
      </c>
      <c r="B4159">
        <v>253713237.33957189</v>
      </c>
    </row>
    <row r="4160" spans="1:2" x14ac:dyDescent="0.25">
      <c r="A4160">
        <f ca="1">36746.2001785936*(RANDBETWEEN(2890,3282))</f>
        <v>118726972.77703592</v>
      </c>
      <c r="B4160">
        <v>213881364.18305475</v>
      </c>
    </row>
    <row r="4161" spans="1:2" x14ac:dyDescent="0.25">
      <c r="A4161">
        <f ca="1">36369.8390557296*(RANDBETWEEN(2890,3282))</f>
        <v>106309039.55989774</v>
      </c>
      <c r="B4161">
        <v>253454205.38805595</v>
      </c>
    </row>
    <row r="4162" spans="1:2" x14ac:dyDescent="0.25">
      <c r="A4162">
        <f ca="1">30932.6504218211*(RANDBETWEEN(2890,3282))</f>
        <v>99510336.406998396</v>
      </c>
      <c r="B4162">
        <v>244907874.44043243</v>
      </c>
    </row>
    <row r="4163" spans="1:2" x14ac:dyDescent="0.25">
      <c r="A4163">
        <f ca="1">33183.606211176*(RANDBETWEEN(2890,3282))</f>
        <v>106386641.51303028</v>
      </c>
      <c r="B4163">
        <v>257355533.86521894</v>
      </c>
    </row>
    <row r="4164" spans="1:2" x14ac:dyDescent="0.25">
      <c r="A4164">
        <f ca="1">40796.4701840579*(RANDBETWEEN(2890,3282))</f>
        <v>121165516.44665201</v>
      </c>
      <c r="B4164">
        <v>238148650.38204554</v>
      </c>
    </row>
    <row r="4165" spans="1:2" x14ac:dyDescent="0.25">
      <c r="A4165">
        <f ca="1">31263.5796018975*(RANDBETWEEN(2890,3282))</f>
        <v>96041716.537029147</v>
      </c>
      <c r="B4165">
        <v>264563713.97194713</v>
      </c>
    </row>
    <row r="4166" spans="1:2" x14ac:dyDescent="0.25">
      <c r="A4166">
        <f ca="1">30857.6504700667*(RANDBETWEEN(2890,3282))</f>
        <v>93251819.720541507</v>
      </c>
      <c r="B4166">
        <v>213404378.20355198</v>
      </c>
    </row>
    <row r="4167" spans="1:2" x14ac:dyDescent="0.25">
      <c r="A4167">
        <f ca="1">39672.0225975462*(RANDBETWEEN(2890,3282))</f>
        <v>120245900.49316259</v>
      </c>
      <c r="B4167">
        <v>229114596.98650861</v>
      </c>
    </row>
    <row r="4168" spans="1:2" x14ac:dyDescent="0.25">
      <c r="A4168">
        <f ca="1">31916.3365528629*(RANDBETWEEN(2890,3282))</f>
        <v>103696177.46025147</v>
      </c>
      <c r="B4168">
        <v>254761222.45172828</v>
      </c>
    </row>
    <row r="4169" spans="1:2" x14ac:dyDescent="0.25">
      <c r="A4169">
        <f ca="1">31479.5083387963*(RANDBETWEEN(2890,3282))</f>
        <v>102969471.77620254</v>
      </c>
      <c r="B4169">
        <v>208273634.99419495</v>
      </c>
    </row>
    <row r="4170" spans="1:2" x14ac:dyDescent="0.25">
      <c r="A4170">
        <f ca="1">32266.7545354645*(RANDBETWEEN(2890,3282))</f>
        <v>95090125.61601375</v>
      </c>
      <c r="B4170">
        <v>224366020.00345185</v>
      </c>
    </row>
    <row r="4171" spans="1:2" x14ac:dyDescent="0.25">
      <c r="A4171">
        <f ca="1">31252.5620198986*(RANDBETWEEN(2890,3282))</f>
        <v>98164297.30450137</v>
      </c>
      <c r="B4171">
        <v>267172543.03671858</v>
      </c>
    </row>
    <row r="4172" spans="1:2" x14ac:dyDescent="0.25">
      <c r="A4172">
        <f ca="1">38133.3026653949*(RANDBETWEEN(2890,3282))</f>
        <v>115925240.1028007</v>
      </c>
      <c r="B4172">
        <v>239314609.94349238</v>
      </c>
    </row>
    <row r="4173" spans="1:2" x14ac:dyDescent="0.25">
      <c r="A4173">
        <f ca="1">32191.3614752668*(RANDBETWEEN(2890,3282))</f>
        <v>96606275.787275597</v>
      </c>
      <c r="B4173">
        <v>258400324.09597841</v>
      </c>
    </row>
    <row r="4174" spans="1:2" x14ac:dyDescent="0.25">
      <c r="A4174">
        <f ca="1">31438.8100456381*(RANDBETWEEN(2890,3282))</f>
        <v>91738447.71317184</v>
      </c>
      <c r="B4174">
        <v>212703936.41507664</v>
      </c>
    </row>
    <row r="4175" spans="1:2" x14ac:dyDescent="0.25">
      <c r="A4175">
        <f ca="1">34042.3264345084*(RANDBETWEEN(2890,3282))</f>
        <v>110092883.68920015</v>
      </c>
      <c r="B4175">
        <v>225883738.40289429</v>
      </c>
    </row>
    <row r="4176" spans="1:2" x14ac:dyDescent="0.25">
      <c r="A4176">
        <f ca="1">35810.5701005782*(RANDBETWEEN(2890,3282))</f>
        <v>111299251.87259714</v>
      </c>
      <c r="B4176">
        <v>230938132.7368077</v>
      </c>
    </row>
    <row r="4177" spans="1:2" x14ac:dyDescent="0.25">
      <c r="A4177">
        <f ca="1">39184.1383987732*(RANDBETWEEN(2890,3282))</f>
        <v>115240551.03079186</v>
      </c>
      <c r="B4177">
        <v>242941354.12727615</v>
      </c>
    </row>
    <row r="4178" spans="1:2" x14ac:dyDescent="0.25">
      <c r="A4178">
        <f ca="1">40592.5505458056*(RANDBETWEEN(2890,3282))</f>
        <v>121452911.23305044</v>
      </c>
      <c r="B4178">
        <v>223155217.04613352</v>
      </c>
    </row>
    <row r="4179" spans="1:2" x14ac:dyDescent="0.25">
      <c r="A4179">
        <f ca="1">32470.9212956772*(RANDBETWEEN(2890,3282))</f>
        <v>96243810.720387161</v>
      </c>
      <c r="B4179">
        <v>233779732.65153909</v>
      </c>
    </row>
    <row r="4180" spans="1:2" x14ac:dyDescent="0.25">
      <c r="A4180">
        <f ca="1">30685.8335576389*(RANDBETWEEN(2890,3282))</f>
        <v>95709114.866275847</v>
      </c>
      <c r="B4180">
        <v>258544547.82577923</v>
      </c>
    </row>
    <row r="4181" spans="1:2" x14ac:dyDescent="0.25">
      <c r="A4181">
        <f ca="1">32250.1558701031*(RANDBETWEEN(2890,3282))</f>
        <v>97717972.286412299</v>
      </c>
      <c r="B4181">
        <v>263066008.21717513</v>
      </c>
    </row>
    <row r="4182" spans="1:2" x14ac:dyDescent="0.25">
      <c r="A4182">
        <f ca="1">31190.5327145012*(RANDBETWEEN(2890,3282))</f>
        <v>93290883.349073067</v>
      </c>
      <c r="B4182">
        <v>224336706.37565026</v>
      </c>
    </row>
    <row r="4183" spans="1:2" x14ac:dyDescent="0.25">
      <c r="A4183">
        <f ca="1">32156.8848869956*(RANDBETWEEN(2890,3282))</f>
        <v>94702025.992202044</v>
      </c>
      <c r="B4183">
        <v>231138598.86318809</v>
      </c>
    </row>
    <row r="4184" spans="1:2" x14ac:dyDescent="0.25">
      <c r="A4184">
        <f ca="1">33396.6611114963*(RANDBETWEEN(2890,3282))</f>
        <v>98386563.634468079</v>
      </c>
      <c r="B4184">
        <v>204536841.3322587</v>
      </c>
    </row>
    <row r="4185" spans="1:2" x14ac:dyDescent="0.25">
      <c r="A4185">
        <f ca="1">31738.5751022854*(RANDBETWEEN(2890,3282))</f>
        <v>98199151.366471186</v>
      </c>
      <c r="B4185">
        <v>253777998.87412086</v>
      </c>
    </row>
    <row r="4186" spans="1:2" x14ac:dyDescent="0.25">
      <c r="A4186">
        <f ca="1">37225.3964069424*(RANDBETWEEN(2890,3282))</f>
        <v>109628792.41844547</v>
      </c>
      <c r="B4186">
        <v>231115454.0148488</v>
      </c>
    </row>
    <row r="4187" spans="1:2" x14ac:dyDescent="0.25">
      <c r="A4187">
        <f ca="1">32724.1682333914*(RANDBETWEEN(2890,3282))</f>
        <v>97059882.980238855</v>
      </c>
      <c r="B4187">
        <v>217959757.98512334</v>
      </c>
    </row>
    <row r="4188" spans="1:2" x14ac:dyDescent="0.25">
      <c r="A4188">
        <f ca="1">31521.6902398576*(RANDBETWEEN(2890,3282))</f>
        <v>101909624.54545966</v>
      </c>
      <c r="B4188">
        <v>264024140.1487067</v>
      </c>
    </row>
    <row r="4189" spans="1:2" x14ac:dyDescent="0.25">
      <c r="A4189">
        <f ca="1">32031.6430611533*(RANDBETWEEN(2890,3282))</f>
        <v>102341099.58038475</v>
      </c>
      <c r="B4189">
        <v>212413325.86101788</v>
      </c>
    </row>
    <row r="4190" spans="1:2" x14ac:dyDescent="0.25">
      <c r="A4190">
        <f ca="1">36015.5619598796*(RANDBETWEEN(2890,3282))</f>
        <v>115321829.39553447</v>
      </c>
      <c r="B4190">
        <v>264955693.81541109</v>
      </c>
    </row>
    <row r="4191" spans="1:2" x14ac:dyDescent="0.25">
      <c r="A4191">
        <f ca="1">30307.2079633668*(RANDBETWEEN(2890,3282))</f>
        <v>96892143.858883739</v>
      </c>
      <c r="B4191">
        <v>229435044.22235435</v>
      </c>
    </row>
    <row r="4192" spans="1:2" x14ac:dyDescent="0.25">
      <c r="A4192">
        <f ca="1">39049.9459406509*(RANDBETWEEN(2890,3282))</f>
        <v>126053225.49642113</v>
      </c>
      <c r="B4192">
        <v>226590641.82978517</v>
      </c>
    </row>
    <row r="4193" spans="1:2" x14ac:dyDescent="0.25">
      <c r="A4193">
        <f ca="1">31863.6617487141*(RANDBETWEEN(2890,3282))</f>
        <v>100593580.1406904</v>
      </c>
      <c r="B4193">
        <v>225952965.61588231</v>
      </c>
    </row>
    <row r="4194" spans="1:2" x14ac:dyDescent="0.25">
      <c r="A4194">
        <f ca="1">33483.5479920552*(RANDBETWEEN(2890,3282))</f>
        <v>100283226.23620537</v>
      </c>
      <c r="B4194">
        <v>213177577.72368109</v>
      </c>
    </row>
    <row r="4195" spans="1:2" x14ac:dyDescent="0.25">
      <c r="A4195">
        <f ca="1">34160.7303041409*(RANDBETWEEN(2890,3282))</f>
        <v>102482190.91242279</v>
      </c>
      <c r="B4195">
        <v>215524070.47462013</v>
      </c>
    </row>
    <row r="4196" spans="1:2" x14ac:dyDescent="0.25">
      <c r="A4196">
        <f ca="1">35106.8045577638*(RANDBETWEEN(2890,3282))</f>
        <v>113746046.76715465</v>
      </c>
      <c r="B4196">
        <v>258163868.01737303</v>
      </c>
    </row>
    <row r="4197" spans="1:2" x14ac:dyDescent="0.25">
      <c r="A4197">
        <f ca="1">40729.6856564861*(RANDBETWEEN(2890,3282))</f>
        <v>131556884.67045023</v>
      </c>
      <c r="B4197">
        <v>241325038.21313313</v>
      </c>
    </row>
    <row r="4198" spans="1:2" x14ac:dyDescent="0.25">
      <c r="A4198">
        <f ca="1">32701.3506650836*(RANDBETWEEN(2890,3282))</f>
        <v>95030125.032732859</v>
      </c>
      <c r="B4198">
        <v>228259732.33696273</v>
      </c>
    </row>
    <row r="4199" spans="1:2" x14ac:dyDescent="0.25">
      <c r="A4199">
        <f ca="1">27268.5874425697*(RANDBETWEEN(2890,3282))</f>
        <v>82078448.202134669</v>
      </c>
      <c r="B4199">
        <v>231624086.66541418</v>
      </c>
    </row>
    <row r="4200" spans="1:2" x14ac:dyDescent="0.25">
      <c r="A4200">
        <f ca="1">37511.1374764678*(RANDBETWEEN(2890,3282))</f>
        <v>113621235.41622107</v>
      </c>
      <c r="B4200">
        <v>243227579.79771578</v>
      </c>
    </row>
    <row r="4201" spans="1:2" x14ac:dyDescent="0.25">
      <c r="A4201">
        <f ca="1">39313.9276687559*(RANDBETWEEN(2890,3282))</f>
        <v>120379246.52173051</v>
      </c>
      <c r="B4201">
        <v>250585249.99012405</v>
      </c>
    </row>
    <row r="4202" spans="1:2" x14ac:dyDescent="0.25">
      <c r="A4202">
        <f ca="1">30624.5731039925*(RANDBETWEEN(2890,3282))</f>
        <v>93404947.967177108</v>
      </c>
      <c r="B4202">
        <v>227159307.26862547</v>
      </c>
    </row>
    <row r="4203" spans="1:2" x14ac:dyDescent="0.25">
      <c r="A4203">
        <f ca="1">30068.3481357492*(RANDBETWEEN(2890,3282))</f>
        <v>90144907.710976005</v>
      </c>
      <c r="B4203">
        <v>233764645.21457809</v>
      </c>
    </row>
    <row r="4204" spans="1:2" x14ac:dyDescent="0.25">
      <c r="A4204">
        <f ca="1">32930.0130957509*(RANDBETWEEN(2890,3282))</f>
        <v>99843799.706316695</v>
      </c>
      <c r="B4204">
        <v>265209350.74511951</v>
      </c>
    </row>
    <row r="4205" spans="1:2" x14ac:dyDescent="0.25">
      <c r="A4205">
        <f ca="1">30176.9806097673*(RANDBETWEEN(2890,3282))</f>
        <v>93548639.890278772</v>
      </c>
      <c r="B4205">
        <v>223616392.12219062</v>
      </c>
    </row>
    <row r="4206" spans="1:2" x14ac:dyDescent="0.25">
      <c r="A4206">
        <f ca="1">35468.6737932972*(RANDBETWEEN(2890,3282))</f>
        <v>116195375.34684183</v>
      </c>
      <c r="B4206">
        <v>211023449.58817202</v>
      </c>
    </row>
    <row r="4207" spans="1:2" x14ac:dyDescent="0.25">
      <c r="A4207">
        <f ca="1">33326.8731285726*(RANDBETWEEN(2890,3282))</f>
        <v>97947680.124874905</v>
      </c>
      <c r="B4207">
        <v>247608894.8386887</v>
      </c>
    </row>
    <row r="4208" spans="1:2" x14ac:dyDescent="0.25">
      <c r="A4208">
        <f ca="1">34432.5585647571*(RANDBETWEEN(2890,3282))</f>
        <v>106603201.31648789</v>
      </c>
      <c r="B4208">
        <v>254630251.30743539</v>
      </c>
    </row>
    <row r="4209" spans="1:2" x14ac:dyDescent="0.25">
      <c r="A4209">
        <f ca="1">33329.8960908937*(RANDBETWEEN(2890,3282))</f>
        <v>99823038.792226627</v>
      </c>
      <c r="B4209">
        <v>212156344.55702335</v>
      </c>
    </row>
    <row r="4210" spans="1:2" x14ac:dyDescent="0.25">
      <c r="A4210">
        <f ca="1">34076.9542187126*(RANDBETWEEN(2890,3282))</f>
        <v>110443408.62284769</v>
      </c>
      <c r="B4210">
        <v>220787263.75435326</v>
      </c>
    </row>
    <row r="4211" spans="1:2" x14ac:dyDescent="0.25">
      <c r="A4211">
        <f ca="1">36614.738131772*(RANDBETWEEN(2890,3282))</f>
        <v>111601721.82564099</v>
      </c>
      <c r="B4211">
        <v>212294499.84606344</v>
      </c>
    </row>
    <row r="4212" spans="1:2" x14ac:dyDescent="0.25">
      <c r="A4212">
        <f ca="1">39763.5222212325*(RANDBETWEEN(2890,3282))</f>
        <v>123147628.31915715</v>
      </c>
      <c r="B4212">
        <v>211053077.87842545</v>
      </c>
    </row>
    <row r="4213" spans="1:2" x14ac:dyDescent="0.25">
      <c r="A4213">
        <f ca="1">36613.6884867324*(RANDBETWEEN(2890,3282))</f>
        <v>108339904.23224123</v>
      </c>
      <c r="B4213">
        <v>265050011.37624907</v>
      </c>
    </row>
    <row r="4214" spans="1:2" x14ac:dyDescent="0.25">
      <c r="A4214">
        <f ca="1">33193.3602686126*(RANDBETWEEN(2890,3282))</f>
        <v>97356125.667840645</v>
      </c>
      <c r="B4214">
        <v>267650962.50956157</v>
      </c>
    </row>
    <row r="4215" spans="1:2" x14ac:dyDescent="0.25">
      <c r="A4215">
        <f ca="1">33533.5879219634*(RANDBETWEEN(2890,3282))</f>
        <v>104188857.67354043</v>
      </c>
      <c r="B4215">
        <v>240736313.86988181</v>
      </c>
    </row>
    <row r="4216" spans="1:2" x14ac:dyDescent="0.25">
      <c r="A4216">
        <f ca="1">30039.9373490772*(RANDBETWEEN(2890,3282))</f>
        <v>92823406.408648401</v>
      </c>
      <c r="B4216">
        <v>205387567.05665639</v>
      </c>
    </row>
    <row r="4217" spans="1:2" x14ac:dyDescent="0.25">
      <c r="A4217">
        <f ca="1">37291.1426295469*(RANDBETWEEN(2890,3282))</f>
        <v>116609403.00259326</v>
      </c>
      <c r="B4217">
        <v>244521707.15857479</v>
      </c>
    </row>
    <row r="4218" spans="1:2" x14ac:dyDescent="0.25">
      <c r="A4218">
        <f ca="1">32590.4680325888*(RANDBETWEEN(2890,3282))</f>
        <v>98260261.118255347</v>
      </c>
      <c r="B4218">
        <v>222037274.77008411</v>
      </c>
    </row>
    <row r="4219" spans="1:2" x14ac:dyDescent="0.25">
      <c r="A4219">
        <f ca="1">37209.3646513086*(RANDBETWEEN(2890,3282))</f>
        <v>116390892.62929329</v>
      </c>
      <c r="B4219">
        <v>228323620.22122574</v>
      </c>
    </row>
    <row r="4220" spans="1:2" x14ac:dyDescent="0.25">
      <c r="A4220">
        <f ca="1">40228.8322655921*(RANDBETWEEN(2890,3282))</f>
        <v>119318716.49974623</v>
      </c>
      <c r="B4220">
        <v>207442651.4073295</v>
      </c>
    </row>
    <row r="4221" spans="1:2" x14ac:dyDescent="0.25">
      <c r="A4221">
        <f ca="1">37295.8049983873*(RANDBETWEEN(2890,3282))</f>
        <v>119160096.96984749</v>
      </c>
      <c r="B4221">
        <v>241966739.81813613</v>
      </c>
    </row>
    <row r="4222" spans="1:2" x14ac:dyDescent="0.25">
      <c r="A4222">
        <f ca="1">29126.4267448599*(RANDBETWEEN(2890,3282))</f>
        <v>90058911.495106891</v>
      </c>
      <c r="B4222">
        <v>237694829.01789266</v>
      </c>
    </row>
    <row r="4223" spans="1:2" x14ac:dyDescent="0.25">
      <c r="A4223">
        <f ca="1">29786.7314430924*(RANDBETWEEN(2890,3282))</f>
        <v>90670810.512773186</v>
      </c>
      <c r="B4223">
        <v>264381721.86119619</v>
      </c>
    </row>
    <row r="4224" spans="1:2" x14ac:dyDescent="0.25">
      <c r="A4224">
        <f ca="1">32572.652735614*(RANDBETWEEN(2890,3282))</f>
        <v>104590787.93405655</v>
      </c>
      <c r="B4224">
        <v>256390301.65699902</v>
      </c>
    </row>
    <row r="4225" spans="1:2" x14ac:dyDescent="0.25">
      <c r="A4225">
        <f ca="1">40490.467457066*(RANDBETWEEN(2890,3282))</f>
        <v>127868896.22941458</v>
      </c>
      <c r="B4225">
        <v>208686143.15213558</v>
      </c>
    </row>
    <row r="4226" spans="1:2" x14ac:dyDescent="0.25">
      <c r="A4226">
        <f ca="1">30321.393344274*(RANDBETWEEN(2890,3282))</f>
        <v>94693711.414167717</v>
      </c>
      <c r="B4226">
        <v>256269059.30678913</v>
      </c>
    </row>
    <row r="4227" spans="1:2" x14ac:dyDescent="0.25">
      <c r="A4227">
        <f ca="1">35844.3392927873*(RANDBETWEEN(2890,3282))</f>
        <v>105454046.19938034</v>
      </c>
      <c r="B4227">
        <v>260903390.04185653</v>
      </c>
    </row>
    <row r="4228" spans="1:2" x14ac:dyDescent="0.25">
      <c r="A4228">
        <f ca="1">32859.3261414252*(RANDBETWEEN(2890,3282))</f>
        <v>101765333.059994</v>
      </c>
      <c r="B4228">
        <v>247413979.50475803</v>
      </c>
    </row>
    <row r="4229" spans="1:2" x14ac:dyDescent="0.25">
      <c r="A4229">
        <f ca="1">38483.4482543598*(RANDBETWEEN(2890,3282))</f>
        <v>111755933.73066075</v>
      </c>
      <c r="B4229">
        <v>233086924.13174507</v>
      </c>
    </row>
    <row r="4230" spans="1:2" x14ac:dyDescent="0.25">
      <c r="A4230">
        <f ca="1">37824.296633284*(RANDBETWEEN(2890,3282))</f>
        <v>118314399.86891249</v>
      </c>
      <c r="B4230">
        <v>240491809.70502388</v>
      </c>
    </row>
    <row r="4231" spans="1:2" x14ac:dyDescent="0.25">
      <c r="A4231">
        <f ca="1">37157.1952442798*(RANDBETWEEN(2890,3282))</f>
        <v>118754396.0007181</v>
      </c>
      <c r="B4231">
        <v>248834782.5439803</v>
      </c>
    </row>
    <row r="4232" spans="1:2" x14ac:dyDescent="0.25">
      <c r="A4232">
        <f ca="1">32767.3499987082*(RANDBETWEEN(2890,3282))</f>
        <v>106854328.3457876</v>
      </c>
      <c r="B4232">
        <v>249438382.73219749</v>
      </c>
    </row>
    <row r="4233" spans="1:2" x14ac:dyDescent="0.25">
      <c r="A4233">
        <f ca="1">32900.4472509109*(RANDBETWEEN(2890,3282))</f>
        <v>95937704.183656275</v>
      </c>
      <c r="B4233">
        <v>261948879.14294744</v>
      </c>
    </row>
    <row r="4234" spans="1:2" x14ac:dyDescent="0.25">
      <c r="A4234">
        <f ca="1">34016.0170708021*(RANDBETWEEN(2890,3282))</f>
        <v>101503794.93927334</v>
      </c>
      <c r="B4234">
        <v>257442586.32820451</v>
      </c>
    </row>
    <row r="4235" spans="1:2" x14ac:dyDescent="0.25">
      <c r="A4235">
        <f ca="1">35159.9565940545*(RANDBETWEEN(2890,3282))</f>
        <v>111281262.6201825</v>
      </c>
      <c r="B4235">
        <v>237867899.8315334</v>
      </c>
    </row>
    <row r="4236" spans="1:2" x14ac:dyDescent="0.25">
      <c r="A4236">
        <f ca="1">32884.0398735002*(RANDBETWEEN(2890,3282))</f>
        <v>103847797.92051357</v>
      </c>
      <c r="B4236">
        <v>209699879.76618439</v>
      </c>
    </row>
    <row r="4237" spans="1:2" x14ac:dyDescent="0.25">
      <c r="A4237">
        <f ca="1">32935.5024551315*(RANDBETWEEN(2890,3282))</f>
        <v>107666157.5258249</v>
      </c>
      <c r="B4237">
        <v>250044894.8577196</v>
      </c>
    </row>
    <row r="4238" spans="1:2" x14ac:dyDescent="0.25">
      <c r="A4238">
        <f ca="1">33815.7872073387*(RANDBETWEEN(2890,3282))</f>
        <v>99993282.772100404</v>
      </c>
      <c r="B4238">
        <v>213678225.93898249</v>
      </c>
    </row>
    <row r="4239" spans="1:2" x14ac:dyDescent="0.25">
      <c r="A4239">
        <f ca="1">37063.6551739087*(RANDBETWEEN(2890,3282))</f>
        <v>114600821.79772562</v>
      </c>
      <c r="B4239">
        <v>220343895.98854488</v>
      </c>
    </row>
    <row r="4240" spans="1:2" x14ac:dyDescent="0.25">
      <c r="A4240">
        <f ca="1">30874.5224374197*(RANDBETWEEN(2890,3282))</f>
        <v>90184480.039702937</v>
      </c>
      <c r="B4240">
        <v>240283128.96810785</v>
      </c>
    </row>
    <row r="4241" spans="1:2" x14ac:dyDescent="0.25">
      <c r="A4241">
        <f ca="1">36210.9722232922*(RANDBETWEEN(2890,3282))</f>
        <v>105446351.11422686</v>
      </c>
      <c r="B4241">
        <v>257100852.70758677</v>
      </c>
    </row>
    <row r="4242" spans="1:2" x14ac:dyDescent="0.25">
      <c r="A4242">
        <f ca="1">29715.1107172168*(RANDBETWEEN(2890,3282))</f>
        <v>96009522.727327585</v>
      </c>
      <c r="B4242">
        <v>208831128.22977173</v>
      </c>
    </row>
    <row r="4243" spans="1:2" x14ac:dyDescent="0.25">
      <c r="A4243">
        <f ca="1">30656.3160759355*(RANDBETWEEN(2890,3282))</f>
        <v>92582074.549325198</v>
      </c>
      <c r="B4243">
        <v>235499613.98852563</v>
      </c>
    </row>
    <row r="4244" spans="1:2" x14ac:dyDescent="0.25">
      <c r="A4244">
        <f ca="1">30652.2651772205*(RANDBETWEEN(2890,3282))</f>
        <v>100079645.80362502</v>
      </c>
      <c r="B4244">
        <v>247131768.59773153</v>
      </c>
    </row>
    <row r="4245" spans="1:2" x14ac:dyDescent="0.25">
      <c r="A4245">
        <f ca="1">28594.4808965017*(RANDBETWEEN(2890,3282))</f>
        <v>92331578.814804077</v>
      </c>
      <c r="B4245">
        <v>249088690.26701123</v>
      </c>
    </row>
    <row r="4246" spans="1:2" x14ac:dyDescent="0.25">
      <c r="A4246">
        <f ca="1">34239.1821254285*(RANDBETWEEN(2890,3282))</f>
        <v>102306676.1907804</v>
      </c>
      <c r="B4246">
        <v>210067702.04110718</v>
      </c>
    </row>
    <row r="4247" spans="1:2" x14ac:dyDescent="0.25">
      <c r="A4247">
        <f ca="1">34327.4876973245*(RANDBETWEEN(2890,3282))</f>
        <v>107513691.46802026</v>
      </c>
      <c r="B4247">
        <v>250378592.29034492</v>
      </c>
    </row>
    <row r="4248" spans="1:2" x14ac:dyDescent="0.25">
      <c r="A4248">
        <f ca="1">37747.4381617066*(RANDBETWEEN(2890,3282))</f>
        <v>116035624.90908609</v>
      </c>
      <c r="B4248">
        <v>213594831.58761957</v>
      </c>
    </row>
    <row r="4249" spans="1:2" x14ac:dyDescent="0.25">
      <c r="A4249">
        <f ca="1">33265.054323002*(RANDBETWEEN(2890,3282))</f>
        <v>97000898.405873924</v>
      </c>
      <c r="B4249">
        <v>228570842.71544677</v>
      </c>
    </row>
    <row r="4250" spans="1:2" x14ac:dyDescent="0.25">
      <c r="A4250">
        <f ca="1">30437.4449060997*(RANDBETWEEN(2890,3282))</f>
        <v>88999088.905435622</v>
      </c>
      <c r="B4250">
        <v>224117932.8280111</v>
      </c>
    </row>
    <row r="4251" spans="1:2" x14ac:dyDescent="0.25">
      <c r="A4251">
        <f ca="1">39270.933507956*(RANDBETWEEN(2890,3282))</f>
        <v>113885707.17307243</v>
      </c>
      <c r="B4251">
        <v>255650033.74711937</v>
      </c>
    </row>
    <row r="4252" spans="1:2" x14ac:dyDescent="0.25">
      <c r="A4252">
        <f ca="1">32680.3867034528*(RANDBETWEEN(2890,3282))</f>
        <v>95884254.587930486</v>
      </c>
      <c r="B4252">
        <v>247888543.08058447</v>
      </c>
    </row>
    <row r="4253" spans="1:2" x14ac:dyDescent="0.25">
      <c r="A4253">
        <f ca="1">41529.0044894719*(RANDBETWEEN(2890,3282))</f>
        <v>134304800.51895201</v>
      </c>
      <c r="B4253">
        <v>215319456.41282061</v>
      </c>
    </row>
    <row r="4254" spans="1:2" x14ac:dyDescent="0.25">
      <c r="A4254">
        <f ca="1">32787.6964439965*(RANDBETWEEN(2890,3282))</f>
        <v>105871471.81766458</v>
      </c>
      <c r="B4254">
        <v>255642940.90241319</v>
      </c>
    </row>
    <row r="4255" spans="1:2" x14ac:dyDescent="0.25">
      <c r="A4255">
        <f ca="1">39820.0410324683*(RANDBETWEEN(2890,3282))</f>
        <v>120853824.53354143</v>
      </c>
      <c r="B4255">
        <v>213508718.60784683</v>
      </c>
    </row>
    <row r="4256" spans="1:2" x14ac:dyDescent="0.25">
      <c r="A4256">
        <f ca="1">30992.3932487369*(RANDBETWEEN(2890,3282))</f>
        <v>98214894.205247268</v>
      </c>
      <c r="B4256">
        <v>230642882.18223453</v>
      </c>
    </row>
    <row r="4257" spans="1:2" x14ac:dyDescent="0.25">
      <c r="A4257">
        <f ca="1">30442.8763399664*(RANDBETWEEN(2890,3282))</f>
        <v>89106299.047081709</v>
      </c>
      <c r="B4257">
        <v>216099838.85940623</v>
      </c>
    </row>
    <row r="4258" spans="1:2" x14ac:dyDescent="0.25">
      <c r="A4258">
        <f ca="1">35886.539360836*(RANDBETWEEN(2890,3282))</f>
        <v>110638200.84945753</v>
      </c>
      <c r="B4258">
        <v>230748694.47399879</v>
      </c>
    </row>
    <row r="4259" spans="1:2" x14ac:dyDescent="0.25">
      <c r="A4259">
        <f ca="1">32554.724842834*(RANDBETWEEN(2890,3282))</f>
        <v>101473077.33511366</v>
      </c>
      <c r="B4259">
        <v>209025568.61365825</v>
      </c>
    </row>
    <row r="4260" spans="1:2" x14ac:dyDescent="0.25">
      <c r="A4260">
        <f ca="1">30690.9565138341*(RANDBETWEEN(2890,3282))</f>
        <v>95847857.192703828</v>
      </c>
      <c r="B4260">
        <v>225272199.7263357</v>
      </c>
    </row>
    <row r="4261" spans="1:2" x14ac:dyDescent="0.25">
      <c r="A4261">
        <f ca="1">40818.4944816063*(RANDBETWEEN(2890,3282))</f>
        <v>128986442.56187604</v>
      </c>
      <c r="B4261">
        <v>242381587.26731187</v>
      </c>
    </row>
    <row r="4262" spans="1:2" x14ac:dyDescent="0.25">
      <c r="A4262">
        <f ca="1">35526.3856282983*(RANDBETWEEN(2890,3282))</f>
        <v>108852845.56510609</v>
      </c>
      <c r="B4262">
        <v>231611145.33671561</v>
      </c>
    </row>
    <row r="4263" spans="1:2" x14ac:dyDescent="0.25">
      <c r="A4263">
        <f ca="1">37638.6719722154*(RANDBETWEEN(2890,3282))</f>
        <v>119239312.80797844</v>
      </c>
      <c r="B4263">
        <v>243300311.29597741</v>
      </c>
    </row>
    <row r="4264" spans="1:2" x14ac:dyDescent="0.25">
      <c r="A4264">
        <f ca="1">31884.388769905*(RANDBETWEEN(2890,3282))</f>
        <v>95302438.03324607</v>
      </c>
      <c r="B4264">
        <v>223633730.80798382</v>
      </c>
    </row>
    <row r="4265" spans="1:2" x14ac:dyDescent="0.25">
      <c r="A4265">
        <f ca="1">38256.2386059688*(RANDBETWEEN(2890,3282))</f>
        <v>116719783.98681089</v>
      </c>
      <c r="B4265">
        <v>209988390.35264927</v>
      </c>
    </row>
    <row r="4266" spans="1:2" x14ac:dyDescent="0.25">
      <c r="A4266">
        <f ca="1">37224.1562620682*(RANDBETWEEN(2890,3282))</f>
        <v>117851678.72570783</v>
      </c>
      <c r="B4266">
        <v>265244612.24909699</v>
      </c>
    </row>
    <row r="4267" spans="1:2" x14ac:dyDescent="0.25">
      <c r="A4267">
        <f ca="1">29677.3255178834*(RANDBETWEEN(2890,3282))</f>
        <v>86657790.512219504</v>
      </c>
      <c r="B4267">
        <v>229948266.68896657</v>
      </c>
    </row>
    <row r="4268" spans="1:2" x14ac:dyDescent="0.25">
      <c r="A4268">
        <f ca="1">31390.715983939*(RANDBETWEEN(2890,3282))</f>
        <v>92634002.868603975</v>
      </c>
      <c r="B4268">
        <v>214737169.3392227</v>
      </c>
    </row>
    <row r="4269" spans="1:2" x14ac:dyDescent="0.25">
      <c r="A4269">
        <f ca="1">29780.1103085893*(RANDBETWEEN(2890,3282))</f>
        <v>92705483.39063856</v>
      </c>
      <c r="B4269">
        <v>259392539.85267997</v>
      </c>
    </row>
    <row r="4270" spans="1:2" x14ac:dyDescent="0.25">
      <c r="A4270">
        <f ca="1">34345.6232845948*(RANDBETWEEN(2890,3282))</f>
        <v>112653644.37347093</v>
      </c>
      <c r="B4270">
        <v>261580648.35761753</v>
      </c>
    </row>
    <row r="4271" spans="1:2" x14ac:dyDescent="0.25">
      <c r="A4271">
        <f ca="1">33502.8910471639*(RANDBETWEEN(2890,3282))</f>
        <v>105634615.47170772</v>
      </c>
      <c r="B4271">
        <v>241826454.27728403</v>
      </c>
    </row>
    <row r="4272" spans="1:2" x14ac:dyDescent="0.25">
      <c r="A4272">
        <f ca="1">31872.3292441944*(RANDBETWEEN(2890,3282))</f>
        <v>94055243.59961763</v>
      </c>
      <c r="B4272">
        <v>227645181.61515099</v>
      </c>
    </row>
    <row r="4273" spans="1:2" x14ac:dyDescent="0.25">
      <c r="A4273">
        <f ca="1">40036.5482768341*(RANDBETWEEN(2890,3282))</f>
        <v>125714761.58925909</v>
      </c>
      <c r="B4273">
        <v>229681425.39193362</v>
      </c>
    </row>
    <row r="4274" spans="1:2" x14ac:dyDescent="0.25">
      <c r="A4274">
        <f ca="1">38696.5381491629*(RANDBETWEEN(2890,3282))</f>
        <v>113574339.4677932</v>
      </c>
      <c r="B4274">
        <v>239569492.94388521</v>
      </c>
    </row>
    <row r="4275" spans="1:2" x14ac:dyDescent="0.25">
      <c r="A4275">
        <f ca="1">35272.3382974805*(RANDBETWEEN(2890,3282))</f>
        <v>108180261.55837262</v>
      </c>
      <c r="B4275">
        <v>248209947.96877822</v>
      </c>
    </row>
    <row r="4276" spans="1:2" x14ac:dyDescent="0.25">
      <c r="A4276">
        <f ca="1">31817.1770001885*(RANDBETWEEN(2890,3282))</f>
        <v>92333447.654547125</v>
      </c>
      <c r="B4276">
        <v>265332903.25385243</v>
      </c>
    </row>
    <row r="4277" spans="1:2" x14ac:dyDescent="0.25">
      <c r="A4277">
        <f ca="1">33656.4317561798*(RANDBETWEEN(2890,3282))</f>
        <v>107195735.14343277</v>
      </c>
      <c r="B4277">
        <v>222592488.97900185</v>
      </c>
    </row>
    <row r="4278" spans="1:2" x14ac:dyDescent="0.25">
      <c r="A4278">
        <f ca="1">41446.7984656002*(RANDBETWEEN(2890,3282))</f>
        <v>128526522.04182622</v>
      </c>
      <c r="B4278">
        <v>204063682.09193152</v>
      </c>
    </row>
    <row r="4279" spans="1:2" x14ac:dyDescent="0.25">
      <c r="A4279">
        <f ca="1">32898.438818423*(RANDBETWEEN(2890,3282))</f>
        <v>101392988.43837963</v>
      </c>
      <c r="B4279">
        <v>230678517.17650846</v>
      </c>
    </row>
    <row r="4280" spans="1:2" x14ac:dyDescent="0.25">
      <c r="A4280">
        <f ca="1">30967.6747681718*(RANDBETWEEN(2890,3282))</f>
        <v>91602381.964252189</v>
      </c>
      <c r="B4280">
        <v>222218228.72568414</v>
      </c>
    </row>
    <row r="4281" spans="1:2" x14ac:dyDescent="0.25">
      <c r="A4281">
        <f ca="1">34783.2067065412*(RANDBETWEEN(2890,3282))</f>
        <v>103827872.01902534</v>
      </c>
      <c r="B4281">
        <v>217120971.4498176</v>
      </c>
    </row>
    <row r="4282" spans="1:2" x14ac:dyDescent="0.25">
      <c r="A4282">
        <f ca="1">28011.8662968162*(RANDBETWEEN(2890,3282))</f>
        <v>83811503.960074097</v>
      </c>
      <c r="B4282">
        <v>243102237.11911386</v>
      </c>
    </row>
    <row r="4283" spans="1:2" x14ac:dyDescent="0.25">
      <c r="A4283">
        <f ca="1">34009.3304509028*(RANDBETWEEN(2890,3282))</f>
        <v>109101932.0864961</v>
      </c>
      <c r="B4283">
        <v>213815230.38859677</v>
      </c>
    </row>
    <row r="4284" spans="1:2" x14ac:dyDescent="0.25">
      <c r="A4284">
        <f ca="1">31882.9530359524*(RANDBETWEEN(2890,3282))</f>
        <v>93863413.737843826</v>
      </c>
      <c r="B4284">
        <v>222389372.14273891</v>
      </c>
    </row>
    <row r="4285" spans="1:2" x14ac:dyDescent="0.25">
      <c r="A4285">
        <f ca="1">32696.3997100968*(RANDBETWEEN(2890,3282))</f>
        <v>105380496.26564214</v>
      </c>
      <c r="B4285">
        <v>253157207.05823731</v>
      </c>
    </row>
    <row r="4286" spans="1:2" x14ac:dyDescent="0.25">
      <c r="A4286">
        <f ca="1">41843.3343106991*(RANDBETWEEN(2890,3282))</f>
        <v>127873229.65349638</v>
      </c>
      <c r="B4286">
        <v>205845308.34788525</v>
      </c>
    </row>
    <row r="4287" spans="1:2" x14ac:dyDescent="0.25">
      <c r="A4287">
        <f ca="1">29586.1228845019*(RANDBETWEEN(2890,3282))</f>
        <v>90089744.183308423</v>
      </c>
      <c r="B4287">
        <v>217469649.76464933</v>
      </c>
    </row>
    <row r="4288" spans="1:2" x14ac:dyDescent="0.25">
      <c r="A4288">
        <f ca="1">37524.4028191603*(RANDBETWEEN(2890,3282))</f>
        <v>110922134.73343773</v>
      </c>
      <c r="B4288">
        <v>225513213.63913527</v>
      </c>
    </row>
    <row r="4289" spans="1:2" x14ac:dyDescent="0.25">
      <c r="A4289">
        <f ca="1">31663.3768483088*(RANDBETWEEN(2890,3282))</f>
        <v>93533615.209904313</v>
      </c>
      <c r="B4289">
        <v>207226924.29304063</v>
      </c>
    </row>
    <row r="4290" spans="1:2" x14ac:dyDescent="0.25">
      <c r="A4290">
        <f ca="1">33451.4757393164*(RANDBETWEEN(2890,3282))</f>
        <v>102762933.47117999</v>
      </c>
      <c r="B4290">
        <v>243792606.57177803</v>
      </c>
    </row>
    <row r="4291" spans="1:2" x14ac:dyDescent="0.25">
      <c r="A4291">
        <f ca="1">31489.751776756*(RANDBETWEEN(2890,3282))</f>
        <v>98625902.564799905</v>
      </c>
      <c r="B4291">
        <v>237061036.56531692</v>
      </c>
    </row>
    <row r="4292" spans="1:2" x14ac:dyDescent="0.25">
      <c r="A4292">
        <f ca="1">32498.7553083194*(RANDBETWEEN(2890,3282))</f>
        <v>106433423.63474607</v>
      </c>
      <c r="B4292">
        <v>236178601.83593169</v>
      </c>
    </row>
    <row r="4293" spans="1:2" x14ac:dyDescent="0.25">
      <c r="A4293">
        <f ca="1">28946.8415719189*(RANDBETWEEN(2890,3282))</f>
        <v>91240444.634688258</v>
      </c>
      <c r="B4293">
        <v>240711612.46486166</v>
      </c>
    </row>
    <row r="4294" spans="1:2" x14ac:dyDescent="0.25">
      <c r="A4294">
        <f ca="1">39320.2124014568*(RANDBETWEEN(2890,3282))</f>
        <v>115719385.09748727</v>
      </c>
      <c r="B4294">
        <v>224670777.84836245</v>
      </c>
    </row>
    <row r="4295" spans="1:2" x14ac:dyDescent="0.25">
      <c r="A4295">
        <f ca="1">40156.9124003703*(RANDBETWEEN(2890,3282))</f>
        <v>124486428.44114785</v>
      </c>
      <c r="B4295">
        <v>259065134.38341177</v>
      </c>
    </row>
    <row r="4296" spans="1:2" x14ac:dyDescent="0.25">
      <c r="A4296">
        <f ca="1">28979.8143735456*(RANDBETWEEN(2890,3282))</f>
        <v>89982323.62985906</v>
      </c>
      <c r="B4296">
        <v>253643800.73410624</v>
      </c>
    </row>
    <row r="4297" spans="1:2" x14ac:dyDescent="0.25">
      <c r="A4297">
        <f ca="1">30246.2575004656*(RANDBETWEEN(2890,3282))</f>
        <v>95608419.958971694</v>
      </c>
      <c r="B4297">
        <v>234362629.09626541</v>
      </c>
    </row>
    <row r="4298" spans="1:2" x14ac:dyDescent="0.25">
      <c r="A4298">
        <f ca="1">34167.2859933641*(RANDBETWEEN(2890,3282))</f>
        <v>105611081.00548844</v>
      </c>
      <c r="B4298">
        <v>227972400.58339632</v>
      </c>
    </row>
    <row r="4299" spans="1:2" x14ac:dyDescent="0.25">
      <c r="A4299">
        <f ca="1">35718.3018770606*(RANDBETWEEN(2890,3282))</f>
        <v>104618906.19791041</v>
      </c>
      <c r="B4299">
        <v>257453217.64876842</v>
      </c>
    </row>
    <row r="4300" spans="1:2" x14ac:dyDescent="0.25">
      <c r="A4300">
        <f ca="1">39133.3960954237*(RANDBETWEEN(2890,3282))</f>
        <v>127966205.23203553</v>
      </c>
      <c r="B4300">
        <v>222206697.7361033</v>
      </c>
    </row>
    <row r="4301" spans="1:2" x14ac:dyDescent="0.25">
      <c r="A4301">
        <f ca="1">30573.7050944101*(RANDBETWEEN(2890,3282))</f>
        <v>94809059.49776566</v>
      </c>
      <c r="B4301">
        <v>230082830.86656171</v>
      </c>
    </row>
    <row r="4302" spans="1:2" x14ac:dyDescent="0.25">
      <c r="A4302">
        <f ca="1">37032.9339805802*(RANDBETWEEN(2890,3282))</f>
        <v>108099134.2893136</v>
      </c>
      <c r="B4302">
        <v>257779121.52851301</v>
      </c>
    </row>
    <row r="4303" spans="1:2" x14ac:dyDescent="0.25">
      <c r="A4303">
        <f ca="1">34949.4859667608*(RANDBETWEEN(2890,3282))</f>
        <v>111314112.80413318</v>
      </c>
      <c r="B4303">
        <v>249582912.04705006</v>
      </c>
    </row>
    <row r="4304" spans="1:2" x14ac:dyDescent="0.25">
      <c r="A4304">
        <f ca="1">29922.6264259512*(RANDBETWEEN(2890,3282))</f>
        <v>89887569.783557326</v>
      </c>
      <c r="B4304">
        <v>253719147.48695087</v>
      </c>
    </row>
    <row r="4305" spans="1:2" x14ac:dyDescent="0.25">
      <c r="A4305">
        <f ca="1">34758.1890344887*(RANDBETWEEN(2890,3282))</f>
        <v>111678061.36781217</v>
      </c>
      <c r="B4305">
        <v>227148441.16692433</v>
      </c>
    </row>
    <row r="4306" spans="1:2" x14ac:dyDescent="0.25">
      <c r="A4306">
        <f ca="1">31598.8650522992*(RANDBETWEEN(2890,3282))</f>
        <v>102190729.57913572</v>
      </c>
      <c r="B4306">
        <v>242479454.66292644</v>
      </c>
    </row>
    <row r="4307" spans="1:2" x14ac:dyDescent="0.25">
      <c r="A4307">
        <f ca="1">31171.1758004687*(RANDBETWEEN(2890,3282))</f>
        <v>94978572.664028227</v>
      </c>
      <c r="B4307">
        <v>257484559.65933555</v>
      </c>
    </row>
    <row r="4308" spans="1:2" x14ac:dyDescent="0.25">
      <c r="A4308">
        <f ca="1">31284.9866049012*(RANDBETWEEN(2890,3282))</f>
        <v>95732059.010997742</v>
      </c>
      <c r="B4308">
        <v>232952132.87864819</v>
      </c>
    </row>
    <row r="4309" spans="1:2" x14ac:dyDescent="0.25">
      <c r="A4309">
        <f ca="1">38490.8385046589*(RANDBETWEEN(2890,3282))</f>
        <v>115587988.02949062</v>
      </c>
      <c r="B4309">
        <v>242833377.59730107</v>
      </c>
    </row>
    <row r="4310" spans="1:2" x14ac:dyDescent="0.25">
      <c r="A4310">
        <f ca="1">31094.52487696*(RANDBETWEEN(2890,3282))</f>
        <v>95677853.046405792</v>
      </c>
      <c r="B4310">
        <v>243266536.15669006</v>
      </c>
    </row>
    <row r="4311" spans="1:2" x14ac:dyDescent="0.25">
      <c r="A4311">
        <f ca="1">35385.4173171579*(RANDBETWEEN(2890,3282))</f>
        <v>104493137.33756727</v>
      </c>
      <c r="B4311">
        <v>230058078.88109148</v>
      </c>
    </row>
    <row r="4312" spans="1:2" x14ac:dyDescent="0.25">
      <c r="A4312">
        <f ca="1">28834.8092359248*(RANDBETWEEN(2890,3282))</f>
        <v>83765120.830361664</v>
      </c>
      <c r="B4312">
        <v>263095472.97986269</v>
      </c>
    </row>
    <row r="4313" spans="1:2" x14ac:dyDescent="0.25">
      <c r="A4313">
        <f ca="1">30265.6288454134*(RANDBETWEEN(2890,3282))</f>
        <v>88708558.145906642</v>
      </c>
      <c r="B4313">
        <v>237693177.01257265</v>
      </c>
    </row>
    <row r="4314" spans="1:2" x14ac:dyDescent="0.25">
      <c r="A4314">
        <f ca="1">33132.7757178554*(RANDBETWEEN(2890,3282))</f>
        <v>101817019.78096977</v>
      </c>
      <c r="B4314">
        <v>257863604.32014516</v>
      </c>
    </row>
    <row r="4315" spans="1:2" x14ac:dyDescent="0.25">
      <c r="A4315">
        <f ca="1">38996.4169311336*(RANDBETWEEN(2890,3282))</f>
        <v>124203587.92566052</v>
      </c>
      <c r="B4315">
        <v>245587396.30656523</v>
      </c>
    </row>
    <row r="4316" spans="1:2" x14ac:dyDescent="0.25">
      <c r="A4316">
        <f ca="1">32011.9049086799*(RANDBETWEEN(2890,3282))</f>
        <v>95427488.532774672</v>
      </c>
      <c r="B4316">
        <v>225317443.51937756</v>
      </c>
    </row>
    <row r="4317" spans="1:2" x14ac:dyDescent="0.25">
      <c r="A4317">
        <f ca="1">36822.8923414114*(RANDBETWEEN(2890,3282))</f>
        <v>109179875.79228468</v>
      </c>
      <c r="B4317">
        <v>244603470.24193642</v>
      </c>
    </row>
    <row r="4318" spans="1:2" x14ac:dyDescent="0.25">
      <c r="A4318">
        <f ca="1">34427.3312869972*(RANDBETWEEN(2890,3282))</f>
        <v>104831223.76890656</v>
      </c>
      <c r="B4318">
        <v>251365471.5074712</v>
      </c>
    </row>
    <row r="4319" spans="1:2" x14ac:dyDescent="0.25">
      <c r="A4319">
        <f ca="1">35789.6740937709*(RANDBETWEEN(2890,3282))</f>
        <v>103682685.84965438</v>
      </c>
      <c r="B4319">
        <v>225012439.75041598</v>
      </c>
    </row>
    <row r="4320" spans="1:2" x14ac:dyDescent="0.25">
      <c r="A4320">
        <f ca="1">34030.0307368517*(RANDBETWEEN(2890,3282))</f>
        <v>106956386.60592483</v>
      </c>
      <c r="B4320">
        <v>231976278.53516489</v>
      </c>
    </row>
    <row r="4321" spans="1:2" x14ac:dyDescent="0.25">
      <c r="A4321">
        <f ca="1">31194.4686647249*(RANDBETWEEN(2890,3282))</f>
        <v>94176100.898804531</v>
      </c>
      <c r="B4321">
        <v>217531968.79721504</v>
      </c>
    </row>
    <row r="4322" spans="1:2" x14ac:dyDescent="0.25">
      <c r="A4322">
        <f ca="1">33279.8088730742*(RANDBETWEEN(2890,3282))</f>
        <v>103233967.12427615</v>
      </c>
      <c r="B4322">
        <v>229813509.73983106</v>
      </c>
    </row>
    <row r="4323" spans="1:2" x14ac:dyDescent="0.25">
      <c r="A4323">
        <f ca="1">34563.0569524672*(RANDBETWEEN(2890,3282))</f>
        <v>108355183.54598455</v>
      </c>
      <c r="B4323">
        <v>223777019.68391827</v>
      </c>
    </row>
    <row r="4324" spans="1:2" x14ac:dyDescent="0.25">
      <c r="A4324">
        <f ca="1">40799.659406899*(RANDBETWEEN(2890,3282))</f>
        <v>118523010.57704166</v>
      </c>
      <c r="B4324">
        <v>259427204.27680105</v>
      </c>
    </row>
    <row r="4325" spans="1:2" x14ac:dyDescent="0.25">
      <c r="A4325">
        <f ca="1">39229.0126071382*(RANDBETWEEN(2890,3282))</f>
        <v>121649168.09473541</v>
      </c>
      <c r="B4325">
        <v>238174605.68562546</v>
      </c>
    </row>
    <row r="4326" spans="1:2" x14ac:dyDescent="0.25">
      <c r="A4326">
        <f ca="1">36650.1672214284*(RANDBETWEEN(2890,3282))</f>
        <v>112919165.20922092</v>
      </c>
      <c r="B4326">
        <v>256964691.66616449</v>
      </c>
    </row>
    <row r="4327" spans="1:2" x14ac:dyDescent="0.25">
      <c r="A4327">
        <f ca="1">31308.2171725688*(RANDBETWEEN(2890,3282))</f>
        <v>93235870.739909813</v>
      </c>
      <c r="B4327">
        <v>251404625.22711438</v>
      </c>
    </row>
    <row r="4328" spans="1:2" x14ac:dyDescent="0.25">
      <c r="A4328">
        <f ca="1">33297.4724945287*(RANDBETWEEN(2890,3282))</f>
        <v>106318829.67503013</v>
      </c>
      <c r="B4328">
        <v>235517202.57650313</v>
      </c>
    </row>
    <row r="4329" spans="1:2" x14ac:dyDescent="0.25">
      <c r="A4329">
        <f ca="1">34209.3780046677*(RANDBETWEEN(2890,3282))</f>
        <v>100233477.55367635</v>
      </c>
      <c r="B4329">
        <v>229672844.64649054</v>
      </c>
    </row>
    <row r="4330" spans="1:2" x14ac:dyDescent="0.25">
      <c r="A4330">
        <f ca="1">35008.1877518551*(RANDBETWEEN(2890,3282))</f>
        <v>112481307.24671052</v>
      </c>
      <c r="B4330">
        <v>246878441.74328452</v>
      </c>
    </row>
    <row r="4331" spans="1:2" x14ac:dyDescent="0.25">
      <c r="A4331">
        <f ca="1">31483.4182621628*(RANDBETWEEN(2890,3282))</f>
        <v>91963064.743777543</v>
      </c>
      <c r="B4331">
        <v>214945494.41055244</v>
      </c>
    </row>
    <row r="4332" spans="1:2" x14ac:dyDescent="0.25">
      <c r="A4332">
        <f ca="1">30281.7190895847*(RANDBETWEEN(2890,3282))</f>
        <v>94600090.435862631</v>
      </c>
      <c r="B4332">
        <v>234628743.15175796</v>
      </c>
    </row>
    <row r="4333" spans="1:2" x14ac:dyDescent="0.25">
      <c r="A4333">
        <f ca="1">26809.0346246154*(RANDBETWEEN(2890,3282))</f>
        <v>87585116.118618667</v>
      </c>
      <c r="B4333">
        <v>211512979.43731701</v>
      </c>
    </row>
    <row r="4334" spans="1:2" x14ac:dyDescent="0.25">
      <c r="A4334">
        <f ca="1">30496.0109086762*(RANDBETWEEN(2890,3282))</f>
        <v>91518528.736937135</v>
      </c>
      <c r="B4334">
        <v>239286153.87699378</v>
      </c>
    </row>
    <row r="4335" spans="1:2" x14ac:dyDescent="0.25">
      <c r="A4335">
        <f ca="1">32870.5246611485*(RANDBETWEEN(2890,3282))</f>
        <v>105514384.16228656</v>
      </c>
      <c r="B4335">
        <v>247153998.01008517</v>
      </c>
    </row>
    <row r="4336" spans="1:2" x14ac:dyDescent="0.25">
      <c r="A4336">
        <f ca="1">30526.2089298543*(RANDBETWEEN(2890,3282))</f>
        <v>91181786.073474914</v>
      </c>
      <c r="B4336">
        <v>221880349.43612614</v>
      </c>
    </row>
    <row r="4337" spans="1:2" x14ac:dyDescent="0.25">
      <c r="A4337">
        <f ca="1">38693.8472503674*(RANDBETWEEN(2890,3282))</f>
        <v>116778031.00160892</v>
      </c>
      <c r="B4337">
        <v>236859647.21398252</v>
      </c>
    </row>
    <row r="4338" spans="1:2" x14ac:dyDescent="0.25">
      <c r="A4338">
        <f ca="1">31342.8423493613*(RANDBETWEEN(2890,3282))</f>
        <v>97444896.864164144</v>
      </c>
      <c r="B4338">
        <v>248705827.1066471</v>
      </c>
    </row>
    <row r="4339" spans="1:2" x14ac:dyDescent="0.25">
      <c r="A4339">
        <f ca="1">34257.0406235213*(RANDBETWEEN(2890,3282))</f>
        <v>106676424.50164527</v>
      </c>
      <c r="B4339">
        <v>205436605.91289797</v>
      </c>
    </row>
    <row r="4340" spans="1:2" x14ac:dyDescent="0.25">
      <c r="A4340">
        <f ca="1">39957.2907218017*(RANDBETWEEN(2890,3282))</f>
        <v>123787686.65614164</v>
      </c>
      <c r="B4340">
        <v>260379604.93151343</v>
      </c>
    </row>
    <row r="4341" spans="1:2" x14ac:dyDescent="0.25">
      <c r="A4341">
        <f ca="1">31201.9148522909*(RANDBETWEEN(2890,3282))</f>
        <v>97100359.020329133</v>
      </c>
      <c r="B4341">
        <v>215494815.96366477</v>
      </c>
    </row>
    <row r="4342" spans="1:2" x14ac:dyDescent="0.25">
      <c r="A4342">
        <f ca="1">33782.6350058698*(RANDBETWEEN(2890,3282))</f>
        <v>100638469.68248606</v>
      </c>
      <c r="B4342">
        <v>257934228.13949406</v>
      </c>
    </row>
    <row r="4343" spans="1:2" x14ac:dyDescent="0.25">
      <c r="A4343">
        <f ca="1">39616.7265267201*(RANDBETWEEN(2890,3282))</f>
        <v>127486625.96298538</v>
      </c>
      <c r="B4343">
        <v>212210294.09764299</v>
      </c>
    </row>
    <row r="4344" spans="1:2" x14ac:dyDescent="0.25">
      <c r="A4344">
        <f ca="1">32848.9578800307*(RANDBETWEEN(2890,3282))</f>
        <v>104098347.52181745</v>
      </c>
      <c r="B4344">
        <v>256078252.78845426</v>
      </c>
    </row>
    <row r="4345" spans="1:2" x14ac:dyDescent="0.25">
      <c r="A4345">
        <f ca="1">29941.8797880621*(RANDBETWEEN(2890,3282))</f>
        <v>87609940.259869739</v>
      </c>
      <c r="B4345">
        <v>240481183.44169345</v>
      </c>
    </row>
    <row r="4346" spans="1:2" x14ac:dyDescent="0.25">
      <c r="A4346">
        <f ca="1">32832.1211852804*(RANDBETWEEN(2890,3282))</f>
        <v>104504641.73274739</v>
      </c>
      <c r="B4346">
        <v>210685636.9643569</v>
      </c>
    </row>
    <row r="4347" spans="1:2" x14ac:dyDescent="0.25">
      <c r="A4347">
        <f ca="1">32125.8397397107*(RANDBETWEEN(2890,3282))</f>
        <v>96184764.18069385</v>
      </c>
      <c r="B4347">
        <v>212676058.41852903</v>
      </c>
    </row>
    <row r="4348" spans="1:2" x14ac:dyDescent="0.25">
      <c r="A4348">
        <f ca="1">30152.6404525936*(RANDBETWEEN(2890,3282))</f>
        <v>95493412.313363999</v>
      </c>
      <c r="B4348">
        <v>210646431.09365192</v>
      </c>
    </row>
    <row r="4349" spans="1:2" x14ac:dyDescent="0.25">
      <c r="A4349">
        <f ca="1">34396.2713434686*(RANDBETWEEN(2890,3282))</f>
        <v>104151909.62802288</v>
      </c>
      <c r="B4349">
        <v>262426353.74711868</v>
      </c>
    </row>
    <row r="4350" spans="1:2" x14ac:dyDescent="0.25">
      <c r="A4350">
        <f ca="1">33160.7283188416*(RANDBETWEEN(2890,3282))</f>
        <v>105981687.70701796</v>
      </c>
      <c r="B4350">
        <v>260265728.39818951</v>
      </c>
    </row>
    <row r="4351" spans="1:2" x14ac:dyDescent="0.25">
      <c r="A4351">
        <f ca="1">31396.3943501426*(RANDBETWEEN(2890,3282))</f>
        <v>99118416.963400185</v>
      </c>
      <c r="B4351">
        <v>214579409.67125443</v>
      </c>
    </row>
    <row r="4352" spans="1:2" x14ac:dyDescent="0.25">
      <c r="A4352">
        <f ca="1">31605.8068051154*(RANDBETWEEN(2890,3282))</f>
        <v>96587345.596432537</v>
      </c>
      <c r="B4352">
        <v>234945185.98775381</v>
      </c>
    </row>
    <row r="4353" spans="1:2" x14ac:dyDescent="0.25">
      <c r="A4353">
        <f ca="1">36022.1051216069*(RANDBETWEEN(2890,3282))</f>
        <v>112677144.82038641</v>
      </c>
      <c r="B4353">
        <v>249617417.82051596</v>
      </c>
    </row>
    <row r="4354" spans="1:2" x14ac:dyDescent="0.25">
      <c r="A4354">
        <f ca="1">37832.1967198983*(RANDBETWEEN(2890,3282))</f>
        <v>116787991.27432592</v>
      </c>
      <c r="B4354">
        <v>241524275.06746182</v>
      </c>
    </row>
    <row r="4355" spans="1:2" x14ac:dyDescent="0.25">
      <c r="A4355">
        <f ca="1">38615.4879062889*(RANDBETWEEN(2890,3282))</f>
        <v>114533537.13005275</v>
      </c>
      <c r="B4355">
        <v>242338164.9549084</v>
      </c>
    </row>
    <row r="4356" spans="1:2" x14ac:dyDescent="0.25">
      <c r="A4356">
        <f ca="1">31661.5741283656*(RANDBETWEEN(2890,3282))</f>
        <v>93433305.252806813</v>
      </c>
      <c r="B4356">
        <v>258747686.41136372</v>
      </c>
    </row>
    <row r="4357" spans="1:2" x14ac:dyDescent="0.25">
      <c r="A4357">
        <f ca="1">31412.2766428468*(RANDBETWEEN(2890,3282))</f>
        <v>96184391.080397129</v>
      </c>
      <c r="B4357">
        <v>221082587.02086872</v>
      </c>
    </row>
    <row r="4358" spans="1:2" x14ac:dyDescent="0.25">
      <c r="A4358">
        <f ca="1">37123.5062013119*(RANDBETWEEN(2890,3282))</f>
        <v>107769538.50240837</v>
      </c>
      <c r="B4358">
        <v>245966521.81340963</v>
      </c>
    </row>
    <row r="4359" spans="1:2" x14ac:dyDescent="0.25">
      <c r="A4359">
        <f ca="1">31630.6329647948*(RANDBETWEEN(2890,3282))</f>
        <v>93436889.778003976</v>
      </c>
      <c r="B4359">
        <v>210326908.1937013</v>
      </c>
    </row>
    <row r="4360" spans="1:2" x14ac:dyDescent="0.25">
      <c r="A4360">
        <f ca="1">38341.9298228096*(RANDBETWEEN(2890,3282))</f>
        <v>121697285.25759766</v>
      </c>
      <c r="B4360">
        <v>220533432.46214905</v>
      </c>
    </row>
    <row r="4361" spans="1:2" x14ac:dyDescent="0.25">
      <c r="A4361">
        <f ca="1">33325.4623898867*(RANDBETWEEN(2890,3282))</f>
        <v>107341314.35782501</v>
      </c>
      <c r="B4361">
        <v>242465461.01066992</v>
      </c>
    </row>
    <row r="4362" spans="1:2" x14ac:dyDescent="0.25">
      <c r="A4362">
        <f ca="1">34954.9920616867*(RANDBETWEEN(2890,3282))</f>
        <v>110108224.99431309</v>
      </c>
      <c r="B4362">
        <v>232600896.52533582</v>
      </c>
    </row>
    <row r="4363" spans="1:2" x14ac:dyDescent="0.25">
      <c r="A4363">
        <f ca="1">32170.8107948941*(RANDBETWEEN(2890,3282))</f>
        <v>99858196.707351148</v>
      </c>
      <c r="B4363">
        <v>230609458.24926347</v>
      </c>
    </row>
    <row r="4364" spans="1:2" x14ac:dyDescent="0.25">
      <c r="A4364">
        <f ca="1">30986.2675110888*(RANDBETWEEN(2890,3282))</f>
        <v>92555981.055622265</v>
      </c>
      <c r="B4364">
        <v>229008608.59942272</v>
      </c>
    </row>
    <row r="4365" spans="1:2" x14ac:dyDescent="0.25">
      <c r="A4365">
        <f ca="1">35582.6604706165*(RANDBETWEEN(2890,3282))</f>
        <v>107886626.54690921</v>
      </c>
      <c r="B4365">
        <v>246190877.46104339</v>
      </c>
    </row>
    <row r="4366" spans="1:2" x14ac:dyDescent="0.25">
      <c r="A4366">
        <f ca="1">38593.0657597575*(RANDBETWEEN(2890,3282))</f>
        <v>112537379.75545274</v>
      </c>
      <c r="B4366">
        <v>239393397.98326373</v>
      </c>
    </row>
    <row r="4367" spans="1:2" x14ac:dyDescent="0.25">
      <c r="A4367">
        <f ca="1">35023.394534367*(RANDBETWEEN(2890,3282))</f>
        <v>105595534.52111639</v>
      </c>
      <c r="B4367">
        <v>264925274.5204604</v>
      </c>
    </row>
    <row r="4368" spans="1:2" x14ac:dyDescent="0.25">
      <c r="A4368">
        <f ca="1">33870.5504347546*(RANDBETWEEN(2890,3282))</f>
        <v>104321295.33904403</v>
      </c>
      <c r="B4368">
        <v>227940499.07887453</v>
      </c>
    </row>
    <row r="4369" spans="1:2" x14ac:dyDescent="0.25">
      <c r="A4369">
        <f ca="1">28358.9718803898*(RANDBETWEEN(2890,3282))</f>
        <v>90521838.242204338</v>
      </c>
      <c r="B4369">
        <v>260645868.2508797</v>
      </c>
    </row>
    <row r="4370" spans="1:2" x14ac:dyDescent="0.25">
      <c r="A4370">
        <f ca="1">35767.3075373283*(RANDBETWEEN(2890,3282))</f>
        <v>106729645.69138773</v>
      </c>
      <c r="B4370">
        <v>226248177.71819246</v>
      </c>
    </row>
    <row r="4371" spans="1:2" x14ac:dyDescent="0.25">
      <c r="A4371">
        <f ca="1">35977.3436361923*(RANDBETWEEN(2890,3282))</f>
        <v>111062059.80492577</v>
      </c>
      <c r="B4371">
        <v>258205830.52895808</v>
      </c>
    </row>
    <row r="4372" spans="1:2" x14ac:dyDescent="0.25">
      <c r="A4372">
        <f ca="1">32051.9095112667*(RANDBETWEEN(2890,3282))</f>
        <v>98078843.104476169</v>
      </c>
      <c r="B4372">
        <v>211585469.60608006</v>
      </c>
    </row>
    <row r="4373" spans="1:2" x14ac:dyDescent="0.25">
      <c r="A4373">
        <f ca="1">35995.2955170242*(RANDBETWEEN(2890,3282))</f>
        <v>117704616.34066924</v>
      </c>
      <c r="B4373">
        <v>205552641.31727597</v>
      </c>
    </row>
    <row r="4374" spans="1:2" x14ac:dyDescent="0.25">
      <c r="A4374">
        <f ca="1">36814.5933775359*(RANDBETWEEN(2890,3282))</f>
        <v>111327330.37366852</v>
      </c>
      <c r="B4374">
        <v>215229368.87949401</v>
      </c>
    </row>
    <row r="4375" spans="1:2" x14ac:dyDescent="0.25">
      <c r="A4375">
        <f ca="1">31154.6789231218*(RANDBETWEEN(2890,3282))</f>
        <v>98604558.791680485</v>
      </c>
      <c r="B4375">
        <v>205421098.35993332</v>
      </c>
    </row>
    <row r="4376" spans="1:2" x14ac:dyDescent="0.25">
      <c r="A4376">
        <f ca="1">33415.0141773042*(RANDBETWEEN(2890,3282))</f>
        <v>101748718.16989119</v>
      </c>
      <c r="B4376">
        <v>205092163.70166022</v>
      </c>
    </row>
    <row r="4377" spans="1:2" x14ac:dyDescent="0.25">
      <c r="A4377">
        <f ca="1">40383.2681825071*(RANDBETWEEN(2890,3282))</f>
        <v>116869178.12017544</v>
      </c>
      <c r="B4377">
        <v>208276417.16873977</v>
      </c>
    </row>
    <row r="4378" spans="1:2" x14ac:dyDescent="0.25">
      <c r="A4378">
        <f ca="1">29082.6581465256*(RANDBETWEEN(2890,3282))</f>
        <v>93587993.915519342</v>
      </c>
      <c r="B4378">
        <v>263528488.74860618</v>
      </c>
    </row>
    <row r="4379" spans="1:2" x14ac:dyDescent="0.25">
      <c r="A4379">
        <f ca="1">35377.3776196179*(RANDBETWEEN(2890,3282))</f>
        <v>108148643.38317186</v>
      </c>
      <c r="B4379">
        <v>227638673.32635289</v>
      </c>
    </row>
    <row r="4380" spans="1:2" x14ac:dyDescent="0.25">
      <c r="A4380">
        <f ca="1">40745.1834401234*(RANDBETWEEN(2890,3282))</f>
        <v>123254179.9063732</v>
      </c>
      <c r="B4380">
        <v>263173087.29116201</v>
      </c>
    </row>
    <row r="4381" spans="1:2" x14ac:dyDescent="0.25">
      <c r="A4381">
        <f ca="1">31192.263773141*(RANDBETWEEN(2890,3282))</f>
        <v>97974900.511435747</v>
      </c>
      <c r="B4381">
        <v>239367885.36675572</v>
      </c>
    </row>
    <row r="4382" spans="1:2" x14ac:dyDescent="0.25">
      <c r="A4382">
        <f ca="1">31405.2110541353*(RANDBETWEEN(2890,3282))</f>
        <v>94058607.107135206</v>
      </c>
      <c r="B4382">
        <v>214896639.64350048</v>
      </c>
    </row>
    <row r="4383" spans="1:2" x14ac:dyDescent="0.25">
      <c r="A4383">
        <f ca="1">40898.0462015142*(RANDBETWEEN(2890,3282))</f>
        <v>120894624.57167584</v>
      </c>
      <c r="B4383">
        <v>211564426.05600089</v>
      </c>
    </row>
    <row r="4384" spans="1:2" x14ac:dyDescent="0.25">
      <c r="A4384">
        <f ca="1">40222.7487170526*(RANDBETWEEN(2890,3282))</f>
        <v>120708468.89987475</v>
      </c>
      <c r="B4384">
        <v>255649381.51580381</v>
      </c>
    </row>
    <row r="4385" spans="1:2" x14ac:dyDescent="0.25">
      <c r="A4385">
        <f ca="1">38547.279364458*(RANDBETWEEN(2890,3282))</f>
        <v>119535113.30918427</v>
      </c>
      <c r="B4385">
        <v>239118087.99915922</v>
      </c>
    </row>
    <row r="4386" spans="1:2" x14ac:dyDescent="0.25">
      <c r="A4386">
        <f ca="1">37211.2775771409*(RANDBETWEEN(2890,3282))</f>
        <v>115652650.70975387</v>
      </c>
      <c r="B4386">
        <v>234241350.90902615</v>
      </c>
    </row>
    <row r="4387" spans="1:2" x14ac:dyDescent="0.25">
      <c r="A4387">
        <f ca="1">35530.3890686446*(RANDBETWEEN(2890,3282))</f>
        <v>107976852.37961096</v>
      </c>
      <c r="B4387">
        <v>245450222.5183467</v>
      </c>
    </row>
    <row r="4388" spans="1:2" x14ac:dyDescent="0.25">
      <c r="A4388">
        <f ca="1">34768.3245128719*(RANDBETWEEN(2890,3282))</f>
        <v>102844703.90907519</v>
      </c>
      <c r="B4388">
        <v>213760484.30600637</v>
      </c>
    </row>
    <row r="4389" spans="1:2" x14ac:dyDescent="0.25">
      <c r="A4389">
        <f ca="1">26970.9463568133*(RANDBETWEEN(2890,3282))</f>
        <v>84392091.150468886</v>
      </c>
      <c r="B4389">
        <v>215934829.07643622</v>
      </c>
    </row>
    <row r="4390" spans="1:2" x14ac:dyDescent="0.25">
      <c r="A4390">
        <f ca="1">31881.6041472517*(RANDBETWEEN(2890,3282))</f>
        <v>98418512.00256595</v>
      </c>
      <c r="B4390">
        <v>248631798.69595522</v>
      </c>
    </row>
    <row r="4391" spans="1:2" x14ac:dyDescent="0.25">
      <c r="A4391">
        <f ca="1">40669.8916944127*(RANDBETWEEN(2890,3282))</f>
        <v>131160400.71448128</v>
      </c>
      <c r="B4391">
        <v>237509880.47855502</v>
      </c>
    </row>
    <row r="4392" spans="1:2" x14ac:dyDescent="0.25">
      <c r="A4392">
        <f ca="1">30868.8652004209*(RANDBETWEEN(2890,3282))</f>
        <v>97638220.628931358</v>
      </c>
      <c r="B4392">
        <v>239576970.46118501</v>
      </c>
    </row>
    <row r="4393" spans="1:2" x14ac:dyDescent="0.25">
      <c r="A4393">
        <f ca="1">30698.4965294351*(RANDBETWEEN(2890,3282))</f>
        <v>98787761.831722066</v>
      </c>
      <c r="B4393">
        <v>221881929.4448069</v>
      </c>
    </row>
    <row r="4394" spans="1:2" x14ac:dyDescent="0.25">
      <c r="A4394">
        <f ca="1">35362.9515543102*(RANDBETWEEN(2890,3282))</f>
        <v>114894229.59995377</v>
      </c>
      <c r="B4394">
        <v>204268828.27869049</v>
      </c>
    </row>
    <row r="4395" spans="1:2" x14ac:dyDescent="0.25">
      <c r="A4395">
        <f ca="1">32462.9267533785*(RANDBETWEEN(2890,3282))</f>
        <v>98524982.696503714</v>
      </c>
      <c r="B4395">
        <v>243906331.09401333</v>
      </c>
    </row>
    <row r="4396" spans="1:2" x14ac:dyDescent="0.25">
      <c r="A4396">
        <f ca="1">35878.357634971*(RANDBETWEEN(2890,3282))</f>
        <v>115528311.58460653</v>
      </c>
      <c r="B4396">
        <v>212641284.94870913</v>
      </c>
    </row>
    <row r="4397" spans="1:2" x14ac:dyDescent="0.25">
      <c r="A4397">
        <f ca="1">34299.3151083222*(RANDBETWEEN(2890,3282))</f>
        <v>106053482.31493226</v>
      </c>
      <c r="B4397">
        <v>265651717.46649641</v>
      </c>
    </row>
    <row r="4398" spans="1:2" x14ac:dyDescent="0.25">
      <c r="A4398">
        <f ca="1">39759.0483457814*(RANDBETWEEN(2890,3282))</f>
        <v>117328951.66840078</v>
      </c>
      <c r="B4398">
        <v>248814888.22676164</v>
      </c>
    </row>
    <row r="4399" spans="1:2" x14ac:dyDescent="0.25">
      <c r="A4399">
        <f ca="1">32135.0487738984*(RANDBETWEEN(2890,3282))</f>
        <v>94573448.541582882</v>
      </c>
      <c r="B4399">
        <v>239492646.93496022</v>
      </c>
    </row>
    <row r="4400" spans="1:2" x14ac:dyDescent="0.25">
      <c r="A4400">
        <f ca="1">31825.130632879*(RANDBETWEEN(2890,3282))</f>
        <v>96111894.511294469</v>
      </c>
      <c r="B4400">
        <v>211737394.87113219</v>
      </c>
    </row>
    <row r="4401" spans="1:2" x14ac:dyDescent="0.25">
      <c r="A4401">
        <f ca="1">31938.0808144897*(RANDBETWEEN(2890,3282))</f>
        <v>103447443.75813213</v>
      </c>
      <c r="B4401">
        <v>220558949.81951559</v>
      </c>
    </row>
    <row r="4402" spans="1:2" x14ac:dyDescent="0.25">
      <c r="A4402">
        <f ca="1">34831.9205884833*(RANDBETWEEN(2890,3282))</f>
        <v>110661011.70961158</v>
      </c>
      <c r="B4402">
        <v>240401697.32830751</v>
      </c>
    </row>
    <row r="4403" spans="1:2" x14ac:dyDescent="0.25">
      <c r="A4403">
        <f ca="1">31590.4217292989*(RANDBETWEEN(2890,3282))</f>
        <v>91296318.797673881</v>
      </c>
      <c r="B4403">
        <v>265878209.05033898</v>
      </c>
    </row>
    <row r="4404" spans="1:2" x14ac:dyDescent="0.25">
      <c r="A4404">
        <f ca="1">40056.4310023169*(RANDBETWEEN(2890,3282))</f>
        <v>126538265.53631908</v>
      </c>
      <c r="B4404">
        <v>212024380.5609346</v>
      </c>
    </row>
    <row r="4405" spans="1:2" x14ac:dyDescent="0.25">
      <c r="A4405">
        <f ca="1">34059.9177238567*(RANDBETWEEN(2890,3282))</f>
        <v>100272397.77903399</v>
      </c>
      <c r="B4405">
        <v>229362366.63925594</v>
      </c>
    </row>
    <row r="4406" spans="1:2" x14ac:dyDescent="0.25">
      <c r="A4406">
        <f ca="1">30689.615250276*(RANDBETWEEN(2890,3282))</f>
        <v>96887115.34512125</v>
      </c>
      <c r="B4406">
        <v>261634892.94643581</v>
      </c>
    </row>
    <row r="4407" spans="1:2" x14ac:dyDescent="0.25">
      <c r="A4407">
        <f ca="1">32590.4252665057*(RANDBETWEEN(2890,3282))</f>
        <v>106538100.19620702</v>
      </c>
      <c r="B4407">
        <v>234633861.29064277</v>
      </c>
    </row>
    <row r="4408" spans="1:2" x14ac:dyDescent="0.25">
      <c r="A4408">
        <f ca="1">35042.1187435208*(RANDBETWEEN(2890,3282))</f>
        <v>101727270.71244077</v>
      </c>
      <c r="B4408">
        <v>231103782.93383887</v>
      </c>
    </row>
    <row r="4409" spans="1:2" x14ac:dyDescent="0.25">
      <c r="A4409">
        <f ca="1">30925.821160767*(RANDBETWEEN(2890,3282))</f>
        <v>92004317.953281716</v>
      </c>
      <c r="B4409">
        <v>229391937.29211354</v>
      </c>
    </row>
    <row r="4410" spans="1:2" x14ac:dyDescent="0.25">
      <c r="A4410">
        <f ca="1">36729.5079490827*(RANDBETWEEN(2890,3282))</f>
        <v>113898204.15010551</v>
      </c>
      <c r="B4410">
        <v>228202648.3036021</v>
      </c>
    </row>
    <row r="4411" spans="1:2" x14ac:dyDescent="0.25">
      <c r="A4411">
        <f ca="1">30844.547819611*(RANDBETWEEN(2890,3282))</f>
        <v>90868037.876573876</v>
      </c>
      <c r="B4411">
        <v>264866280.09764829</v>
      </c>
    </row>
    <row r="4412" spans="1:2" x14ac:dyDescent="0.25">
      <c r="A4412">
        <f ca="1">32050.5224832443*(RANDBETWEEN(2890,3282))</f>
        <v>99773276.490339369</v>
      </c>
      <c r="B4412">
        <v>232647637.60044664</v>
      </c>
    </row>
    <row r="4413" spans="1:2" x14ac:dyDescent="0.25">
      <c r="A4413">
        <f ca="1">37663.5501622631*(RANDBETWEEN(2890,3282))</f>
        <v>120485696.96907967</v>
      </c>
      <c r="B4413">
        <v>207654436.63096017</v>
      </c>
    </row>
    <row r="4414" spans="1:2" x14ac:dyDescent="0.25">
      <c r="A4414">
        <f ca="1">31512.6107964786*(RANDBETWEEN(2890,3282))</f>
        <v>98382370.906606287</v>
      </c>
      <c r="B4414">
        <v>232375015.07574505</v>
      </c>
    </row>
    <row r="4415" spans="1:2" x14ac:dyDescent="0.25">
      <c r="A4415">
        <f ca="1">38246.497252015*(RANDBETWEEN(2890,3282))</f>
        <v>118143430.01147424</v>
      </c>
      <c r="B4415">
        <v>267521053.64911863</v>
      </c>
    </row>
    <row r="4416" spans="1:2" x14ac:dyDescent="0.25">
      <c r="A4416">
        <f ca="1">28755.3347855186*(RANDBETWEEN(2890,3282))</f>
        <v>89630378.526461542</v>
      </c>
      <c r="B4416">
        <v>245613400.51052651</v>
      </c>
    </row>
    <row r="4417" spans="1:2" x14ac:dyDescent="0.25">
      <c r="A4417">
        <f ca="1">39197.4915845475*(RANDBETWEEN(2890,3282))</f>
        <v>120571484.11406802</v>
      </c>
      <c r="B4417">
        <v>264586167.92515385</v>
      </c>
    </row>
    <row r="4418" spans="1:2" x14ac:dyDescent="0.25">
      <c r="A4418">
        <f ca="1">33101.9229427661*(RANDBETWEEN(2890,3282))</f>
        <v>104304159.19265588</v>
      </c>
      <c r="B4418">
        <v>217866784.86858302</v>
      </c>
    </row>
    <row r="4419" spans="1:2" x14ac:dyDescent="0.25">
      <c r="A4419">
        <f ca="1">42751.1642162579*(RANDBETWEEN(2890,3282))</f>
        <v>131374327.63656056</v>
      </c>
      <c r="B4419">
        <v>262819039.13894546</v>
      </c>
    </row>
    <row r="4420" spans="1:2" x14ac:dyDescent="0.25">
      <c r="A4420">
        <f ca="1">33485.6527576582*(RANDBETWEEN(2890,3282))</f>
        <v>102968382.22979888</v>
      </c>
      <c r="B4420">
        <v>259003110.39552116</v>
      </c>
    </row>
    <row r="4421" spans="1:2" x14ac:dyDescent="0.25">
      <c r="A4421">
        <f ca="1">29148.5554349924*(RANDBETWEEN(2890,3282))</f>
        <v>90564561.736521482</v>
      </c>
      <c r="B4421">
        <v>225565477.28203762</v>
      </c>
    </row>
    <row r="4422" spans="1:2" x14ac:dyDescent="0.25">
      <c r="A4422">
        <f ca="1">31705.7664608062*(RANDBETWEEN(2890,3282))</f>
        <v>103012035.23115921</v>
      </c>
      <c r="B4422">
        <v>267886687.57822365</v>
      </c>
    </row>
    <row r="4423" spans="1:2" x14ac:dyDescent="0.25">
      <c r="A4423">
        <f ca="1">30712.8294657509*(RANDBETWEEN(2890,3282))</f>
        <v>100154536.88781382</v>
      </c>
      <c r="B4423">
        <v>257715619.84618747</v>
      </c>
    </row>
    <row r="4424" spans="1:2" x14ac:dyDescent="0.25">
      <c r="A4424">
        <f ca="1">37474.0920439478*(RANDBETWEEN(2890,3282))</f>
        <v>115907366.69193056</v>
      </c>
      <c r="B4424">
        <v>208614801.28443307</v>
      </c>
    </row>
    <row r="4425" spans="1:2" x14ac:dyDescent="0.25">
      <c r="A4425">
        <f ca="1">31292.9616213619*(RANDBETWEEN(2890,3282))</f>
        <v>93565955.247871935</v>
      </c>
      <c r="B4425">
        <v>241970588.04936931</v>
      </c>
    </row>
    <row r="4426" spans="1:2" x14ac:dyDescent="0.25">
      <c r="A4426">
        <f ca="1">31280.585455685*(RANDBETWEEN(2890,3282))</f>
        <v>91057784.261498943</v>
      </c>
      <c r="B4426">
        <v>224299179.14234465</v>
      </c>
    </row>
    <row r="4427" spans="1:2" x14ac:dyDescent="0.25">
      <c r="A4427">
        <f ca="1">31189.3319035295*(RANDBETWEEN(2890,3282))</f>
        <v>92445179.762061477</v>
      </c>
      <c r="B4427">
        <v>203876724.55616438</v>
      </c>
    </row>
    <row r="4428" spans="1:2" x14ac:dyDescent="0.25">
      <c r="A4428">
        <f ca="1">37414.9324575906*(RANDBETWEEN(2890,3282))</f>
        <v>115836630.88870047</v>
      </c>
      <c r="B4428">
        <v>250363576.09333605</v>
      </c>
    </row>
    <row r="4429" spans="1:2" x14ac:dyDescent="0.25">
      <c r="A4429">
        <f ca="1">40502.3748909825*(RANDBETWEEN(2890,3282))</f>
        <v>118550451.30590591</v>
      </c>
      <c r="B4429">
        <v>230500902.99439204</v>
      </c>
    </row>
    <row r="4430" spans="1:2" x14ac:dyDescent="0.25">
      <c r="A4430">
        <f ca="1">32817.9559975761*(RANDBETWEEN(2890,3282))</f>
        <v>106198905.6081564</v>
      </c>
      <c r="B4430">
        <v>264544677.01968473</v>
      </c>
    </row>
    <row r="4431" spans="1:2" x14ac:dyDescent="0.25">
      <c r="A4431">
        <f ca="1">34909.5889158837*(RANDBETWEEN(2890,3282))</f>
        <v>114014717.3992762</v>
      </c>
      <c r="B4431">
        <v>259391577.66864598</v>
      </c>
    </row>
    <row r="4432" spans="1:2" x14ac:dyDescent="0.25">
      <c r="A4432">
        <f ca="1">31706.3991114063*(RANDBETWEEN(2890,3282))</f>
        <v>98955671.626699075</v>
      </c>
      <c r="B4432">
        <v>235111108.06297344</v>
      </c>
    </row>
    <row r="4433" spans="1:2" x14ac:dyDescent="0.25">
      <c r="A4433">
        <f ca="1">38234.5132719424*(RANDBETWEEN(2890,3282))</f>
        <v>125370969.01869915</v>
      </c>
      <c r="B4433">
        <v>251031643.57971144</v>
      </c>
    </row>
    <row r="4434" spans="1:2" x14ac:dyDescent="0.25">
      <c r="A4434">
        <f ca="1">32691.3885866731*(RANDBETWEEN(2890,3282))</f>
        <v>101016390.73281999</v>
      </c>
      <c r="B4434">
        <v>211591607.91739261</v>
      </c>
    </row>
    <row r="4435" spans="1:2" x14ac:dyDescent="0.25">
      <c r="A4435">
        <f ca="1">31196.2313623365*(RANDBETWEEN(2890,3282))</f>
        <v>90656248.338949919</v>
      </c>
      <c r="B4435">
        <v>209195161.55391169</v>
      </c>
    </row>
    <row r="4436" spans="1:2" x14ac:dyDescent="0.25">
      <c r="A4436">
        <f ca="1">39800.1648928171*(RANDBETWEEN(2890,3282))</f>
        <v>115102076.87002702</v>
      </c>
      <c r="B4436">
        <v>225522893.67406669</v>
      </c>
    </row>
    <row r="4437" spans="1:2" x14ac:dyDescent="0.25">
      <c r="A4437">
        <f ca="1">33440.4740163046*(RANDBETWEEN(2890,3282))</f>
        <v>105805659.78758781</v>
      </c>
      <c r="B4437">
        <v>264556190.49804497</v>
      </c>
    </row>
    <row r="4438" spans="1:2" x14ac:dyDescent="0.25">
      <c r="A4438">
        <f ca="1">30187.9882210843*(RANDBETWEEN(2890,3282))</f>
        <v>90533776.675031945</v>
      </c>
      <c r="B4438">
        <v>212192356.03172547</v>
      </c>
    </row>
    <row r="4439" spans="1:2" x14ac:dyDescent="0.25">
      <c r="A4439">
        <f ca="1">32971.9748861213*(RANDBETWEEN(2890,3282))</f>
        <v>103927664.84105448</v>
      </c>
      <c r="B4439">
        <v>211710111.87621719</v>
      </c>
    </row>
    <row r="4440" spans="1:2" x14ac:dyDescent="0.25">
      <c r="A4440">
        <f ca="1">42017.6920977132*(RANDBETWEEN(2890,3282))</f>
        <v>122817714.00161563</v>
      </c>
      <c r="B4440">
        <v>232792225.01847917</v>
      </c>
    </row>
    <row r="4441" spans="1:2" x14ac:dyDescent="0.25">
      <c r="A4441">
        <f ca="1">33490.4573740844*(RANDBETWEEN(2890,3282))</f>
        <v>105260507.52674712</v>
      </c>
      <c r="B4441">
        <v>249927520.90876955</v>
      </c>
    </row>
    <row r="4442" spans="1:2" x14ac:dyDescent="0.25">
      <c r="A4442">
        <f ca="1">40923.8295767364*(RANDBETWEEN(2890,3282))</f>
        <v>129032834.6554499</v>
      </c>
      <c r="B4442">
        <v>248481873.5747751</v>
      </c>
    </row>
    <row r="4443" spans="1:2" x14ac:dyDescent="0.25">
      <c r="A4443">
        <f ca="1">42069.4088965331*(RANDBETWEEN(2890,3282))</f>
        <v>130920000.48601101</v>
      </c>
      <c r="B4443">
        <v>262996943.84156245</v>
      </c>
    </row>
    <row r="4444" spans="1:2" x14ac:dyDescent="0.25">
      <c r="A4444">
        <f ca="1">31028.8426256367*(RANDBETWEEN(2890,3282))</f>
        <v>101154026.95957574</v>
      </c>
      <c r="B4444">
        <v>204405822.25966278</v>
      </c>
    </row>
    <row r="4445" spans="1:2" x14ac:dyDescent="0.25">
      <c r="A4445">
        <f ca="1">37735.1285232178*(RANDBETWEEN(2890,3282))</f>
        <v>119695827.67564677</v>
      </c>
      <c r="B4445">
        <v>236855395.4474391</v>
      </c>
    </row>
    <row r="4446" spans="1:2" x14ac:dyDescent="0.25">
      <c r="A4446">
        <f ca="1">36072.9870039364*(RANDBETWEEN(2890,3282))</f>
        <v>110960508.02410834</v>
      </c>
      <c r="B4446">
        <v>228814647.25281134</v>
      </c>
    </row>
    <row r="4447" spans="1:2" x14ac:dyDescent="0.25">
      <c r="A4447">
        <f ca="1">42243.7168430981*(RANDBETWEEN(2890,3282))</f>
        <v>135940280.80108982</v>
      </c>
      <c r="B4447">
        <v>206550097.28499246</v>
      </c>
    </row>
    <row r="4448" spans="1:2" x14ac:dyDescent="0.25">
      <c r="A4448">
        <f ca="1">30427.3064629663*(RANDBETWEEN(2890,3282))</f>
        <v>91555765.14706549</v>
      </c>
      <c r="B4448">
        <v>253172691.76403052</v>
      </c>
    </row>
    <row r="4449" spans="1:2" x14ac:dyDescent="0.25">
      <c r="A4449">
        <f ca="1">32201.187283957*(RANDBETWEEN(2890,3282))</f>
        <v>97279786.784833953</v>
      </c>
      <c r="B4449">
        <v>257300538.48829094</v>
      </c>
    </row>
    <row r="4450" spans="1:2" x14ac:dyDescent="0.25">
      <c r="A4450">
        <f ca="1">31049.5942218873*(RANDBETWEEN(2890,3282))</f>
        <v>101252726.75757445</v>
      </c>
      <c r="B4450">
        <v>265412252.88651192</v>
      </c>
    </row>
    <row r="4451" spans="1:2" x14ac:dyDescent="0.25">
      <c r="A4451">
        <f ca="1">35513.3909534643*(RANDBETWEEN(2890,3282))</f>
        <v>114743766.17064306</v>
      </c>
      <c r="B4451">
        <v>229125933.41917837</v>
      </c>
    </row>
    <row r="4452" spans="1:2" x14ac:dyDescent="0.25">
      <c r="A4452">
        <f ca="1">29972.2684244406*(RANDBETWEEN(2890,3282))</f>
        <v>97349927.842582986</v>
      </c>
      <c r="B4452">
        <v>223520293.87846208</v>
      </c>
    </row>
    <row r="4453" spans="1:2" x14ac:dyDescent="0.25">
      <c r="A4453">
        <f ca="1">39159.2098458799*(RANDBETWEEN(2890,3282))</f>
        <v>117320992.6982563</v>
      </c>
      <c r="B4453">
        <v>229347328.24802491</v>
      </c>
    </row>
    <row r="4454" spans="1:2" x14ac:dyDescent="0.25">
      <c r="A4454">
        <f ca="1">31362.4731793268*(RANDBETWEEN(2890,3282))</f>
        <v>93773794.806187302</v>
      </c>
      <c r="B4454">
        <v>249868987.90872413</v>
      </c>
    </row>
    <row r="4455" spans="1:2" x14ac:dyDescent="0.25">
      <c r="A4455">
        <f ca="1">33646.5459505431*(RANDBETWEEN(2890,3282))</f>
        <v>100805051.66782717</v>
      </c>
      <c r="B4455">
        <v>245024790.83077377</v>
      </c>
    </row>
    <row r="4456" spans="1:2" x14ac:dyDescent="0.25">
      <c r="A4456">
        <f ca="1">30621.4305854851*(RANDBETWEEN(2890,3282))</f>
        <v>88802148.697906688</v>
      </c>
      <c r="B4456">
        <v>223153599.0755704</v>
      </c>
    </row>
    <row r="4457" spans="1:2" x14ac:dyDescent="0.25">
      <c r="A4457">
        <f ca="1">40631.9091027235*(RANDBETWEEN(2890,3282))</f>
        <v>130956643.03807792</v>
      </c>
      <c r="B4457">
        <v>229695011.5998359</v>
      </c>
    </row>
    <row r="4458" spans="1:2" x14ac:dyDescent="0.25">
      <c r="A4458">
        <f ca="1">30097.6567636381*(RANDBETWEEN(2890,3282))</f>
        <v>91346388.277641699</v>
      </c>
      <c r="B4458">
        <v>213856703.64260569</v>
      </c>
    </row>
    <row r="4459" spans="1:2" x14ac:dyDescent="0.25">
      <c r="A4459">
        <f ca="1">38864.3353700907*(RANDBETWEEN(2890,3282))</f>
        <v>124132687.17206985</v>
      </c>
      <c r="B4459">
        <v>252102307.03414041</v>
      </c>
    </row>
    <row r="4460" spans="1:2" x14ac:dyDescent="0.25">
      <c r="A4460">
        <f ca="1">29984.6236282643*(RANDBETWEEN(2890,3282))</f>
        <v>93012302.494875848</v>
      </c>
      <c r="B4460">
        <v>210073103.82014012</v>
      </c>
    </row>
    <row r="4461" spans="1:2" x14ac:dyDescent="0.25">
      <c r="A4461">
        <f ca="1">30904.3429745606*(RANDBETWEEN(2890,3282))</f>
        <v>96267028.365756184</v>
      </c>
      <c r="B4461">
        <v>263076861.35593981</v>
      </c>
    </row>
    <row r="4462" spans="1:2" x14ac:dyDescent="0.25">
      <c r="A4462">
        <f ca="1">33417.026204536*(RANDBETWEEN(2890,3282))</f>
        <v>104528457.96778853</v>
      </c>
      <c r="B4462">
        <v>260802598.7975387</v>
      </c>
    </row>
    <row r="4463" spans="1:2" x14ac:dyDescent="0.25">
      <c r="A4463">
        <f ca="1">29589.3729430184*(RANDBETWEEN(2890,3282))</f>
        <v>94449278.434114859</v>
      </c>
      <c r="B4463">
        <v>261504100.51689953</v>
      </c>
    </row>
    <row r="4464" spans="1:2" x14ac:dyDescent="0.25">
      <c r="A4464">
        <f ca="1">30515.1052852037*(RANDBETWEEN(2890,3282))</f>
        <v>93498282.593864277</v>
      </c>
      <c r="B4464">
        <v>249695633.30621836</v>
      </c>
    </row>
    <row r="4465" spans="1:2" x14ac:dyDescent="0.25">
      <c r="A4465">
        <f ca="1">35712.8103001289*(RANDBETWEEN(2890,3282))</f>
        <v>109638327.62139563</v>
      </c>
      <c r="B4465">
        <v>227628440.78593218</v>
      </c>
    </row>
    <row r="4466" spans="1:2" x14ac:dyDescent="0.25">
      <c r="A4466">
        <f ca="1">29669.9601280776*(RANDBETWEEN(2890,3282))</f>
        <v>92955985.081266999</v>
      </c>
      <c r="B4466">
        <v>262038255.94750705</v>
      </c>
    </row>
    <row r="4467" spans="1:2" x14ac:dyDescent="0.25">
      <c r="A4467">
        <f ca="1">29952.0869142552*(RANDBETWEEN(2890,3282))</f>
        <v>91833098.479106337</v>
      </c>
      <c r="B4467">
        <v>242161279.84553516</v>
      </c>
    </row>
    <row r="4468" spans="1:2" x14ac:dyDescent="0.25">
      <c r="A4468">
        <f ca="1">28111.5416676365*(RANDBETWEEN(2890,3282))</f>
        <v>90940837.294804052</v>
      </c>
      <c r="B4468">
        <v>245020266.95293286</v>
      </c>
    </row>
    <row r="4469" spans="1:2" x14ac:dyDescent="0.25">
      <c r="A4469">
        <f ca="1">34984.5737234072*(RANDBETWEEN(2890,3282))</f>
        <v>106807903.57756209</v>
      </c>
      <c r="B4469">
        <v>236139290.9957369</v>
      </c>
    </row>
    <row r="4470" spans="1:2" x14ac:dyDescent="0.25">
      <c r="A4470">
        <f ca="1">41124.4244450831*(RANDBETWEEN(2890,3282))</f>
        <v>124401383.94637637</v>
      </c>
      <c r="B4470">
        <v>226581148.77662054</v>
      </c>
    </row>
    <row r="4471" spans="1:2" x14ac:dyDescent="0.25">
      <c r="A4471">
        <f ca="1">28704.6083131622*(RANDBETWEEN(2890,3282))</f>
        <v>88065738.304781556</v>
      </c>
      <c r="B4471">
        <v>259166588.99224561</v>
      </c>
    </row>
    <row r="4472" spans="1:2" x14ac:dyDescent="0.25">
      <c r="A4472">
        <f ca="1">36834.189242865*(RANDBETWEEN(2890,3282))</f>
        <v>115954027.73653908</v>
      </c>
      <c r="B4472">
        <v>225943897.77196831</v>
      </c>
    </row>
    <row r="4473" spans="1:2" x14ac:dyDescent="0.25">
      <c r="A4473">
        <f ca="1">29660.0050421963*(RANDBETWEEN(2890,3282))</f>
        <v>87912254.94506982</v>
      </c>
      <c r="B4473">
        <v>253428024.83608058</v>
      </c>
    </row>
    <row r="4474" spans="1:2" x14ac:dyDescent="0.25">
      <c r="A4474">
        <f ca="1">32927.526360662*(RANDBETWEEN(2890,3282))</f>
        <v>107936431.41025013</v>
      </c>
      <c r="B4474">
        <v>254069087.35298491</v>
      </c>
    </row>
    <row r="4475" spans="1:2" x14ac:dyDescent="0.25">
      <c r="A4475">
        <f ca="1">34312.8217495242*(RANDBETWEEN(2890,3282))</f>
        <v>106026619.20602964</v>
      </c>
      <c r="B4475">
        <v>214507283.16193777</v>
      </c>
    </row>
    <row r="4476" spans="1:2" x14ac:dyDescent="0.25">
      <c r="A4476">
        <f ca="1">32048.668313982*(RANDBETWEEN(2890,3282))</f>
        <v>103741539.33235984</v>
      </c>
      <c r="B4476">
        <v>209690311.53960717</v>
      </c>
    </row>
    <row r="4477" spans="1:2" x14ac:dyDescent="0.25">
      <c r="A4477">
        <f ca="1">40138.2601828019*(RANDBETWEEN(2890,3282))</f>
        <v>125913722.19344971</v>
      </c>
      <c r="B4477">
        <v>239677691.9894034</v>
      </c>
    </row>
    <row r="4478" spans="1:2" x14ac:dyDescent="0.25">
      <c r="A4478">
        <f ca="1">41364.8604670142*(RANDBETWEEN(2890,3282))</f>
        <v>131126607.68043494</v>
      </c>
      <c r="B4478">
        <v>229430004.30129313</v>
      </c>
    </row>
    <row r="4479" spans="1:2" x14ac:dyDescent="0.25">
      <c r="A4479">
        <f ca="1">41670.2880657919*(RANDBETWEEN(2890,3282))</f>
        <v>123094030.94634922</v>
      </c>
      <c r="B4479">
        <v>209082687.60275817</v>
      </c>
    </row>
    <row r="4480" spans="1:2" x14ac:dyDescent="0.25">
      <c r="A4480">
        <f ca="1">33925.9190531586*(RANDBETWEEN(2890,3282))</f>
        <v>101743831.24042255</v>
      </c>
      <c r="B4480">
        <v>241465144.93448144</v>
      </c>
    </row>
    <row r="4481" spans="1:2" x14ac:dyDescent="0.25">
      <c r="A4481">
        <f ca="1">32452.5344130715*(RANDBETWEEN(2890,3282))</f>
        <v>100570404.14610852</v>
      </c>
      <c r="B4481">
        <v>221284234.45298737</v>
      </c>
    </row>
    <row r="4482" spans="1:2" x14ac:dyDescent="0.25">
      <c r="A4482">
        <f ca="1">30843.6478624669*(RANDBETWEEN(2890,3282))</f>
        <v>92345881.700225934</v>
      </c>
      <c r="B4482">
        <v>252620394.03263032</v>
      </c>
    </row>
    <row r="4483" spans="1:2" x14ac:dyDescent="0.25">
      <c r="A4483">
        <f ca="1">34553.5138759659*(RANDBETWEEN(2890,3282))</f>
        <v>112817222.80502869</v>
      </c>
      <c r="B4483">
        <v>236278943.77204603</v>
      </c>
    </row>
    <row r="4484" spans="1:2" x14ac:dyDescent="0.25">
      <c r="A4484">
        <f ca="1">31720.4930013414*(RANDBETWEEN(2890,3282))</f>
        <v>94812553.581009582</v>
      </c>
      <c r="B4484">
        <v>249747928.54370508</v>
      </c>
    </row>
    <row r="4485" spans="1:2" x14ac:dyDescent="0.25">
      <c r="A4485">
        <f ca="1">30796.6205609478*(RANDBETWEEN(2890,3282))</f>
        <v>94453235.260426879</v>
      </c>
      <c r="B4485">
        <v>241744625.31011742</v>
      </c>
    </row>
    <row r="4486" spans="1:2" x14ac:dyDescent="0.25">
      <c r="A4486">
        <f ca="1">34766.8047132631*(RANDBETWEEN(2890,3282))</f>
        <v>106177821.59430543</v>
      </c>
      <c r="B4486">
        <v>207893223.37796777</v>
      </c>
    </row>
    <row r="4487" spans="1:2" x14ac:dyDescent="0.25">
      <c r="A4487">
        <f ca="1">29300.7183793581*(RANDBETWEEN(2890,3282))</f>
        <v>85587398.386105075</v>
      </c>
      <c r="B4487">
        <v>259512904.26545975</v>
      </c>
    </row>
    <row r="4488" spans="1:2" x14ac:dyDescent="0.25">
      <c r="A4488">
        <f ca="1">30865.5806205991*(RANDBETWEEN(2890,3282))</f>
        <v>98646395.66343461</v>
      </c>
      <c r="B4488">
        <v>205219247.76185057</v>
      </c>
    </row>
    <row r="4489" spans="1:2" x14ac:dyDescent="0.25">
      <c r="A4489">
        <f ca="1">40604.2404074047*(RANDBETWEEN(2890,3282))</f>
        <v>122746618.75158428</v>
      </c>
      <c r="B4489">
        <v>255153591.09706295</v>
      </c>
    </row>
    <row r="4490" spans="1:2" x14ac:dyDescent="0.25">
      <c r="A4490">
        <f ca="1">37767.213944047*(RANDBETWEEN(2890,3282))</f>
        <v>114736795.96201482</v>
      </c>
      <c r="B4490">
        <v>263161692.23661682</v>
      </c>
    </row>
    <row r="4491" spans="1:2" x14ac:dyDescent="0.25">
      <c r="A4491">
        <f ca="1">39640.1194865516*(RANDBETWEEN(2890,3282))</f>
        <v>129028588.92872544</v>
      </c>
      <c r="B4491">
        <v>256000505.6791577</v>
      </c>
    </row>
    <row r="4492" spans="1:2" x14ac:dyDescent="0.25">
      <c r="A4492">
        <f ca="1">33080.5185961419*(RANDBETWEEN(2890,3282))</f>
        <v>95867342.891619265</v>
      </c>
      <c r="B4492">
        <v>232835339.97064066</v>
      </c>
    </row>
    <row r="4493" spans="1:2" x14ac:dyDescent="0.25">
      <c r="A4493">
        <f ca="1">37951.7120299477*(RANDBETWEEN(2890,3282))</f>
        <v>111008757.6875969</v>
      </c>
      <c r="B4493">
        <v>229233736.60227001</v>
      </c>
    </row>
    <row r="4494" spans="1:2" x14ac:dyDescent="0.25">
      <c r="A4494">
        <f ca="1">31071.1310950066*(RANDBETWEEN(2890,3282))</f>
        <v>97594422.769415736</v>
      </c>
      <c r="B4494">
        <v>254916363.89670339</v>
      </c>
    </row>
    <row r="4495" spans="1:2" x14ac:dyDescent="0.25">
      <c r="A4495">
        <f ca="1">31995.6210176611*(RANDBETWEEN(2890,3282))</f>
        <v>101746074.83616221</v>
      </c>
      <c r="B4495">
        <v>214026470.67915016</v>
      </c>
    </row>
    <row r="4496" spans="1:2" x14ac:dyDescent="0.25">
      <c r="A4496">
        <f ca="1">39495.4563326961*(RANDBETWEEN(2890,3282))</f>
        <v>124766146.55498709</v>
      </c>
      <c r="B4496">
        <v>256901008.58503416</v>
      </c>
    </row>
    <row r="4497" spans="1:2" x14ac:dyDescent="0.25">
      <c r="A4497">
        <f ca="1">31144.0212837427*(RANDBETWEEN(2890,3282))</f>
        <v>90317661.722853929</v>
      </c>
      <c r="B4497">
        <v>205942494.36043704</v>
      </c>
    </row>
    <row r="4498" spans="1:2" x14ac:dyDescent="0.25">
      <c r="A4498">
        <f ca="1">41433.7253025124*(RANDBETWEEN(2890,3282))</f>
        <v>126787199.42568795</v>
      </c>
      <c r="B4498">
        <v>250595982.18035704</v>
      </c>
    </row>
    <row r="4499" spans="1:2" x14ac:dyDescent="0.25">
      <c r="A4499">
        <f ca="1">31621.8379946585*(RANDBETWEEN(2890,3282))</f>
        <v>96699580.587665662</v>
      </c>
      <c r="B4499">
        <v>219790484.14323413</v>
      </c>
    </row>
    <row r="4500" spans="1:2" x14ac:dyDescent="0.25">
      <c r="A4500">
        <f ca="1">35127.1663667751*(RANDBETWEEN(2890,3282))</f>
        <v>102044418.29548179</v>
      </c>
      <c r="B4500">
        <v>247348947.72248596</v>
      </c>
    </row>
    <row r="4501" spans="1:2" x14ac:dyDescent="0.25">
      <c r="A4501">
        <f ca="1">31186.7871925835*(RANDBETWEEN(2890,3282))</f>
        <v>93186120.131439358</v>
      </c>
      <c r="B4501">
        <v>258114801.10440913</v>
      </c>
    </row>
    <row r="4502" spans="1:2" x14ac:dyDescent="0.25">
      <c r="A4502">
        <f ca="1">33260.6709945539*(RANDBETWEEN(2890,3282))</f>
        <v>99948316.338634357</v>
      </c>
      <c r="B4502">
        <v>240234473.47551018</v>
      </c>
    </row>
    <row r="4503" spans="1:2" x14ac:dyDescent="0.25">
      <c r="A4503">
        <f ca="1">36894.8025565784*(RANDBETWEEN(2890,3282))</f>
        <v>114742835.95095886</v>
      </c>
      <c r="B4503">
        <v>212518575.96405888</v>
      </c>
    </row>
    <row r="4504" spans="1:2" x14ac:dyDescent="0.25">
      <c r="A4504">
        <f ca="1">34754.3191995977*(RANDBETWEEN(2890,3282))</f>
        <v>113785641.05948274</v>
      </c>
      <c r="B4504">
        <v>225663697.94785592</v>
      </c>
    </row>
    <row r="4505" spans="1:2" x14ac:dyDescent="0.25">
      <c r="A4505">
        <f ca="1">31663.6803567891*(RANDBETWEEN(2890,3282))</f>
        <v>95687642.038216755</v>
      </c>
      <c r="B4505">
        <v>253334522.83727112</v>
      </c>
    </row>
    <row r="4506" spans="1:2" x14ac:dyDescent="0.25">
      <c r="A4506">
        <f ca="1">40201.5933964221*(RANDBETWEEN(2890,3282))</f>
        <v>126233003.26476529</v>
      </c>
      <c r="B4506">
        <v>242070356.9390364</v>
      </c>
    </row>
    <row r="4507" spans="1:2" x14ac:dyDescent="0.25">
      <c r="A4507">
        <f ca="1">36908.5197903717*(RANDBETWEEN(2890,3282))</f>
        <v>110208840.09405005</v>
      </c>
      <c r="B4507">
        <v>255719116.01032573</v>
      </c>
    </row>
    <row r="4508" spans="1:2" x14ac:dyDescent="0.25">
      <c r="A4508">
        <f ca="1">30555.8223358928*(RANDBETWEEN(2890,3282))</f>
        <v>99886983.216033548</v>
      </c>
      <c r="B4508">
        <v>248836133.87710837</v>
      </c>
    </row>
    <row r="4509" spans="1:2" x14ac:dyDescent="0.25">
      <c r="A4509">
        <f ca="1">32955.8901074573*(RANDBETWEEN(2890,3282))</f>
        <v>107930540.10192256</v>
      </c>
      <c r="B4509">
        <v>223391348.37284905</v>
      </c>
    </row>
    <row r="4510" spans="1:2" x14ac:dyDescent="0.25">
      <c r="A4510">
        <f ca="1">37034.5117540231*(RANDBETWEEN(2890,3282))</f>
        <v>107548222.13368315</v>
      </c>
      <c r="B4510">
        <v>214174778.3927547</v>
      </c>
    </row>
    <row r="4511" spans="1:2" x14ac:dyDescent="0.25">
      <c r="A4511">
        <f ca="1">33866.4454259455*(RANDBETWEEN(2890,3282))</f>
        <v>100718808.69676201</v>
      </c>
      <c r="B4511">
        <v>216651339.37822601</v>
      </c>
    </row>
    <row r="4512" spans="1:2" x14ac:dyDescent="0.25">
      <c r="A4512">
        <f ca="1">37617.7970713035*(RANDBETWEEN(2890,3282))</f>
        <v>117367526.8624668</v>
      </c>
      <c r="B4512">
        <v>215424527.04452479</v>
      </c>
    </row>
    <row r="4513" spans="1:2" x14ac:dyDescent="0.25">
      <c r="A4513">
        <f ca="1">33598.991773633*(RANDBETWEEN(2890,3282))</f>
        <v>97269081.184667498</v>
      </c>
      <c r="B4513">
        <v>259814751.23043928</v>
      </c>
    </row>
    <row r="4514" spans="1:2" x14ac:dyDescent="0.25">
      <c r="A4514">
        <f ca="1">29417.6093696169*(RANDBETWEEN(2890,3282))</f>
        <v>88341080.936959624</v>
      </c>
      <c r="B4514">
        <v>218732450.88831916</v>
      </c>
    </row>
    <row r="4515" spans="1:2" x14ac:dyDescent="0.25">
      <c r="A4515">
        <f ca="1">31284.6740958077*(RANDBETWEEN(2890,3282))</f>
        <v>94542285.117530748</v>
      </c>
      <c r="B4515">
        <v>221912605.58819041</v>
      </c>
    </row>
    <row r="4516" spans="1:2" x14ac:dyDescent="0.25">
      <c r="A4516">
        <f ca="1">39749.3615440117*(RANDBETWEEN(2890,3282))</f>
        <v>118492846.76269881</v>
      </c>
      <c r="B4516">
        <v>238908088.42759085</v>
      </c>
    </row>
    <row r="4517" spans="1:2" x14ac:dyDescent="0.25">
      <c r="A4517">
        <f ca="1">34943.9487843525*(RANDBETWEEN(2890,3282))</f>
        <v>112589402.98318365</v>
      </c>
      <c r="B4517">
        <v>217433299.92211261</v>
      </c>
    </row>
    <row r="4518" spans="1:2" x14ac:dyDescent="0.25">
      <c r="A4518">
        <f ca="1">33288.9229210932*(RANDBETWEEN(2890,3282))</f>
        <v>99800190.917437315</v>
      </c>
      <c r="B4518">
        <v>258308175.84870353</v>
      </c>
    </row>
    <row r="4519" spans="1:2" x14ac:dyDescent="0.25">
      <c r="A4519">
        <f ca="1">30946.0274661429*(RANDBETWEEN(2890,3282))</f>
        <v>92311999.931504175</v>
      </c>
      <c r="B4519">
        <v>228413591.81400841</v>
      </c>
    </row>
    <row r="4520" spans="1:2" x14ac:dyDescent="0.25">
      <c r="A4520">
        <f ca="1">29263.0126751502*(RANDBETWEEN(2890,3282))</f>
        <v>88198720.202902555</v>
      </c>
      <c r="B4520">
        <v>225651993.82093731</v>
      </c>
    </row>
    <row r="4521" spans="1:2" x14ac:dyDescent="0.25">
      <c r="A4521">
        <f ca="1">33783.5558339986*(RANDBETWEEN(2890,3282))</f>
        <v>109222236.01131752</v>
      </c>
      <c r="B4521">
        <v>223377874.21800801</v>
      </c>
    </row>
    <row r="4522" spans="1:2" x14ac:dyDescent="0.25">
      <c r="A4522">
        <f ca="1">31802.5539551903*(RANDBETWEEN(2890,3282))</f>
        <v>93594916.290124923</v>
      </c>
      <c r="B4522">
        <v>225388644.48484284</v>
      </c>
    </row>
    <row r="4523" spans="1:2" x14ac:dyDescent="0.25">
      <c r="A4523">
        <f ca="1">40148.1791098005*(RANDBETWEEN(2890,3282))</f>
        <v>124740392.49415006</v>
      </c>
      <c r="B4523">
        <v>206138764.97245562</v>
      </c>
    </row>
    <row r="4524" spans="1:2" x14ac:dyDescent="0.25">
      <c r="A4524">
        <f ca="1">30982.4807201792*(RANDBETWEEN(2890,3282))</f>
        <v>101064852.10922465</v>
      </c>
      <c r="B4524">
        <v>241304404.41632792</v>
      </c>
    </row>
    <row r="4525" spans="1:2" x14ac:dyDescent="0.25">
      <c r="A4525">
        <f ca="1">32244.0162505369*(RANDBETWEEN(2890,3282))</f>
        <v>97796101.287878305</v>
      </c>
      <c r="B4525">
        <v>204839475.63575077</v>
      </c>
    </row>
    <row r="4526" spans="1:2" x14ac:dyDescent="0.25">
      <c r="A4526">
        <f ca="1">38570.8363268747*(RANDBETWEEN(2890,3282))</f>
        <v>123233822.06436454</v>
      </c>
      <c r="B4526">
        <v>255233360.49601853</v>
      </c>
    </row>
    <row r="4527" spans="1:2" x14ac:dyDescent="0.25">
      <c r="A4527">
        <f ca="1">32501.1178123735*(RANDBETWEEN(2890,3282))</f>
        <v>106051147.42177461</v>
      </c>
      <c r="B4527">
        <v>255598470.4126302</v>
      </c>
    </row>
    <row r="4528" spans="1:2" x14ac:dyDescent="0.25">
      <c r="A4528">
        <f ca="1">33287.5171632396*(RANDBETWEEN(2890,3282))</f>
        <v>108816893.60663019</v>
      </c>
      <c r="B4528">
        <v>218717956.22989485</v>
      </c>
    </row>
    <row r="4529" spans="1:2" x14ac:dyDescent="0.25">
      <c r="A4529">
        <f ca="1">33875.1154266977*(RANDBETWEEN(2890,3282))</f>
        <v>105825860.59300351</v>
      </c>
      <c r="B4529">
        <v>226903346.03912973</v>
      </c>
    </row>
    <row r="4530" spans="1:2" x14ac:dyDescent="0.25">
      <c r="A4530">
        <f ca="1">35860.8271590265*(RANDBETWEEN(2890,3282))</f>
        <v>109303801.18071274</v>
      </c>
      <c r="B4530">
        <v>209363774.7888031</v>
      </c>
    </row>
    <row r="4531" spans="1:2" x14ac:dyDescent="0.25">
      <c r="A4531">
        <f ca="1">39741.1153564071*(RANDBETWEEN(2890,3282))</f>
        <v>126893381.33300777</v>
      </c>
      <c r="B4531">
        <v>255599105.51387617</v>
      </c>
    </row>
    <row r="4532" spans="1:2" x14ac:dyDescent="0.25">
      <c r="A4532">
        <f ca="1">31849.3495139855*(RANDBETWEEN(2890,3282))</f>
        <v>102650453.48357528</v>
      </c>
      <c r="B4532">
        <v>261715110.99338436</v>
      </c>
    </row>
    <row r="4533" spans="1:2" x14ac:dyDescent="0.25">
      <c r="A4533">
        <f ca="1">35217.8209623228*(RANDBETWEEN(2890,3282))</f>
        <v>102765601.56805803</v>
      </c>
      <c r="B4533">
        <v>227123283.30333093</v>
      </c>
    </row>
    <row r="4534" spans="1:2" x14ac:dyDescent="0.25">
      <c r="A4534">
        <f ca="1">37326.432426913*(RANDBETWEEN(2890,3282))</f>
        <v>111755338.68617748</v>
      </c>
      <c r="B4534">
        <v>227790429.22317663</v>
      </c>
    </row>
    <row r="4535" spans="1:2" x14ac:dyDescent="0.25">
      <c r="A4535">
        <f ca="1">31908.6762330703*(RANDBETWEEN(2890,3282))</f>
        <v>94641133.707286566</v>
      </c>
      <c r="B4535">
        <v>258866833.9391675</v>
      </c>
    </row>
    <row r="4536" spans="1:2" x14ac:dyDescent="0.25">
      <c r="A4536">
        <f ca="1">36721.4503078019*(RANDBETWEEN(2890,3282))</f>
        <v>110788615.57863839</v>
      </c>
      <c r="B4536">
        <v>238836888.38585216</v>
      </c>
    </row>
    <row r="4537" spans="1:2" x14ac:dyDescent="0.25">
      <c r="A4537">
        <f ca="1">30549.8803763172*(RANDBETWEEN(2890,3282))</f>
        <v>90366546.153146178</v>
      </c>
      <c r="B4537">
        <v>241091350.00878197</v>
      </c>
    </row>
    <row r="4538" spans="1:2" x14ac:dyDescent="0.25">
      <c r="A4538">
        <f ca="1">31279.5324273466*(RANDBETWEEN(2890,3282))</f>
        <v>93431963.360484183</v>
      </c>
      <c r="B4538">
        <v>263164543.8639259</v>
      </c>
    </row>
    <row r="4539" spans="1:2" x14ac:dyDescent="0.25">
      <c r="A4539">
        <f ca="1">33836.4281721557*(RANDBETWEEN(2890,3282))</f>
        <v>98125641.699251562</v>
      </c>
      <c r="B4539">
        <v>251983177.19362313</v>
      </c>
    </row>
    <row r="4540" spans="1:2" x14ac:dyDescent="0.25">
      <c r="A4540">
        <f ca="1">32853.6999863821*(RANDBETWEEN(2890,3282))</f>
        <v>98199709.259296194</v>
      </c>
      <c r="B4540">
        <v>247663410.04530361</v>
      </c>
    </row>
    <row r="4541" spans="1:2" x14ac:dyDescent="0.25">
      <c r="A4541">
        <f ca="1">36590.3152740544*(RANDBETWEEN(2890,3282))</f>
        <v>115369264.05909358</v>
      </c>
      <c r="B4541">
        <v>240913776.12493408</v>
      </c>
    </row>
    <row r="4542" spans="1:2" x14ac:dyDescent="0.25">
      <c r="A4542">
        <f ca="1">27989.045631459*(RANDBETWEEN(2890,3282))</f>
        <v>90348639.29834953</v>
      </c>
      <c r="B4542">
        <v>231241471.20627001</v>
      </c>
    </row>
    <row r="4543" spans="1:2" x14ac:dyDescent="0.25">
      <c r="A4543">
        <f ca="1">30008.4965863808*(RANDBETWEEN(2890,3282))</f>
        <v>96267257.049109459</v>
      </c>
      <c r="B4543">
        <v>207510857.06283987</v>
      </c>
    </row>
    <row r="4544" spans="1:2" x14ac:dyDescent="0.25">
      <c r="A4544">
        <f ca="1">31858.1243712101*(RANDBETWEEN(2890,3282))</f>
        <v>104112350.44511451</v>
      </c>
      <c r="B4544">
        <v>215961584.83479977</v>
      </c>
    </row>
    <row r="4545" spans="1:2" x14ac:dyDescent="0.25">
      <c r="A4545">
        <f ca="1">36846.023348557*(RANDBETWEEN(2890,3282))</f>
        <v>119970652.02290161</v>
      </c>
      <c r="B4545">
        <v>248048503.78270769</v>
      </c>
    </row>
    <row r="4546" spans="1:2" x14ac:dyDescent="0.25">
      <c r="A4546">
        <f ca="1">29928.8520108803*(RANDBETWEEN(2890,3282))</f>
        <v>94335741.538294554</v>
      </c>
      <c r="B4546">
        <v>220858366.1359795</v>
      </c>
    </row>
    <row r="4547" spans="1:2" x14ac:dyDescent="0.25">
      <c r="A4547">
        <f ca="1">32111.7682844647*(RANDBETWEEN(2890,3282))</f>
        <v>99514369.913556024</v>
      </c>
      <c r="B4547">
        <v>265957154.27642801</v>
      </c>
    </row>
    <row r="4548" spans="1:2" x14ac:dyDescent="0.25">
      <c r="A4548">
        <f ca="1">34729.528917372*(RANDBETWEEN(2890,3282))</f>
        <v>105577767.90881094</v>
      </c>
      <c r="B4548">
        <v>214301109.55564597</v>
      </c>
    </row>
    <row r="4549" spans="1:2" x14ac:dyDescent="0.25">
      <c r="A4549">
        <f ca="1">38244.9767624636*(RANDBETWEEN(2890,3282))</f>
        <v>124104949.59419425</v>
      </c>
      <c r="B4549">
        <v>265635016.05870545</v>
      </c>
    </row>
    <row r="4550" spans="1:2" x14ac:dyDescent="0.25">
      <c r="A4550">
        <f ca="1">31081.2128230416*(RANDBETWEEN(2890,3282))</f>
        <v>99553124.672202349</v>
      </c>
      <c r="B4550">
        <v>221669915.76821756</v>
      </c>
    </row>
    <row r="4551" spans="1:2" x14ac:dyDescent="0.25">
      <c r="A4551">
        <f ca="1">30578.7897816778*(RANDBETWEEN(2890,3282))</f>
        <v>92592575.458920524</v>
      </c>
      <c r="B4551">
        <v>215441886.35966718</v>
      </c>
    </row>
    <row r="4552" spans="1:2" x14ac:dyDescent="0.25">
      <c r="A4552">
        <f ca="1">41599.3720299266*(RANDBETWEEN(2890,3282))</f>
        <v>134573968.51681268</v>
      </c>
      <c r="B4552">
        <v>263781765.33075255</v>
      </c>
    </row>
    <row r="4553" spans="1:2" x14ac:dyDescent="0.25">
      <c r="A4553">
        <f ca="1">34307.0721542188*(RANDBETWEEN(2890,3282))</f>
        <v>109027875.30610731</v>
      </c>
      <c r="B4553">
        <v>222170058.35469535</v>
      </c>
    </row>
    <row r="4554" spans="1:2" x14ac:dyDescent="0.25">
      <c r="A4554">
        <f ca="1">32874.959357021*(RANDBETWEEN(2890,3282))</f>
        <v>98723502.949134171</v>
      </c>
      <c r="B4554">
        <v>221313192.06798741</v>
      </c>
    </row>
    <row r="4555" spans="1:2" x14ac:dyDescent="0.25">
      <c r="A4555">
        <f ca="1">31097.8316579188*(RANDBETWEEN(2890,3282))</f>
        <v>96216691.149600744</v>
      </c>
      <c r="B4555">
        <v>264006088.77922848</v>
      </c>
    </row>
    <row r="4556" spans="1:2" x14ac:dyDescent="0.25">
      <c r="A4556">
        <f ca="1">31461.9382187798*(RANDBETWEEN(2890,3282))</f>
        <v>102974923.79006638</v>
      </c>
      <c r="B4556">
        <v>260683548.84217584</v>
      </c>
    </row>
    <row r="4557" spans="1:2" x14ac:dyDescent="0.25">
      <c r="A4557">
        <f ca="1">31012.5249671905*(RANDBETWEEN(2890,3282))</f>
        <v>94898326.399603009</v>
      </c>
      <c r="B4557">
        <v>246067911.67304331</v>
      </c>
    </row>
    <row r="4558" spans="1:2" x14ac:dyDescent="0.25">
      <c r="A4558">
        <f ca="1">30346.832918925*(RANDBETWEEN(2890,3282))</f>
        <v>91222579.754288658</v>
      </c>
      <c r="B4558">
        <v>216409255.54681927</v>
      </c>
    </row>
    <row r="4559" spans="1:2" x14ac:dyDescent="0.25">
      <c r="A4559">
        <f ca="1">34090.109547279*(RANDBETWEEN(2890,3282))</f>
        <v>106020240.69203758</v>
      </c>
      <c r="B4559">
        <v>223254043.73357314</v>
      </c>
    </row>
    <row r="4560" spans="1:2" x14ac:dyDescent="0.25">
      <c r="A4560">
        <f ca="1">31165.1229056316*(RANDBETWEEN(2890,3282))</f>
        <v>102034612.39303772</v>
      </c>
      <c r="B4560">
        <v>261516825.07029372</v>
      </c>
    </row>
    <row r="4561" spans="1:2" x14ac:dyDescent="0.25">
      <c r="A4561">
        <f ca="1">35664.0388908839*(RANDBETWEEN(2890,3282))</f>
        <v>106314499.93372497</v>
      </c>
      <c r="B4561">
        <v>233672079.0061965</v>
      </c>
    </row>
    <row r="4562" spans="1:2" x14ac:dyDescent="0.25">
      <c r="A4562">
        <f ca="1">39599.1116111084*(RANDBETWEEN(2890,3282))</f>
        <v>114718626.33738117</v>
      </c>
      <c r="B4562">
        <v>222259337.14399725</v>
      </c>
    </row>
    <row r="4563" spans="1:2" x14ac:dyDescent="0.25">
      <c r="A4563">
        <f ca="1">40663.0587287346*(RANDBETWEEN(2890,3282))</f>
        <v>119020772.89900614</v>
      </c>
      <c r="B4563">
        <v>210170672.88645443</v>
      </c>
    </row>
    <row r="4564" spans="1:2" x14ac:dyDescent="0.25">
      <c r="A4564">
        <f ca="1">38057.2041740062*(RANDBETWEEN(2890,3282))</f>
        <v>121288309.70255771</v>
      </c>
      <c r="B4564">
        <v>203975878.91247502</v>
      </c>
    </row>
    <row r="4565" spans="1:2" x14ac:dyDescent="0.25">
      <c r="A4565">
        <f ca="1">35497.3431270701*(RANDBETWEEN(2890,3282))</f>
        <v>109509303.54701118</v>
      </c>
      <c r="B4565">
        <v>246874936.21789905</v>
      </c>
    </row>
    <row r="4566" spans="1:2" x14ac:dyDescent="0.25">
      <c r="A4566">
        <f ca="1">32866.3300534289*(RANDBETWEEN(2890,3282))</f>
        <v>105270855.16113286</v>
      </c>
      <c r="B4566">
        <v>240453516.45061302</v>
      </c>
    </row>
    <row r="4567" spans="1:2" x14ac:dyDescent="0.25">
      <c r="A4567">
        <f ca="1">32687.7391798855*(RANDBETWEEN(2890,3282))</f>
        <v>100089857.36880936</v>
      </c>
      <c r="B4567">
        <v>213792532.84550428</v>
      </c>
    </row>
    <row r="4568" spans="1:2" x14ac:dyDescent="0.25">
      <c r="A4568">
        <f ca="1">30994.4991961213*(RANDBETWEEN(2890,3282))</f>
        <v>99833281.91070655</v>
      </c>
      <c r="B4568">
        <v>259489115.49775493</v>
      </c>
    </row>
    <row r="4569" spans="1:2" x14ac:dyDescent="0.25">
      <c r="A4569">
        <f ca="1">29363.9319260068*(RANDBETWEEN(2890,3282))</f>
        <v>90088543.148988754</v>
      </c>
      <c r="B4569">
        <v>262246310.30972552</v>
      </c>
    </row>
    <row r="4570" spans="1:2" x14ac:dyDescent="0.25">
      <c r="A4570">
        <f ca="1">34923.6253868599*(RANDBETWEEN(2890,3282))</f>
        <v>105993203.04911976</v>
      </c>
      <c r="B4570">
        <v>263181424.11114153</v>
      </c>
    </row>
    <row r="4571" spans="1:2" x14ac:dyDescent="0.25">
      <c r="A4571">
        <f ca="1">30861.8894045639*(RANDBETWEEN(2890,3282))</f>
        <v>89746374.388471782</v>
      </c>
      <c r="B4571">
        <v>254783355.28859141</v>
      </c>
    </row>
    <row r="4572" spans="1:2" x14ac:dyDescent="0.25">
      <c r="A4572">
        <f ca="1">32009.0605764811*(RANDBETWEEN(2890,3282))</f>
        <v>92890293.792948157</v>
      </c>
      <c r="B4572">
        <v>260545586.15756509</v>
      </c>
    </row>
    <row r="4573" spans="1:2" x14ac:dyDescent="0.25">
      <c r="A4573">
        <f ca="1">29905.4624287876*(RANDBETWEEN(2890,3282))</f>
        <v>91600431.419376284</v>
      </c>
      <c r="B4573">
        <v>215058860.42274541</v>
      </c>
    </row>
    <row r="4574" spans="1:2" x14ac:dyDescent="0.25">
      <c r="A4574">
        <f ca="1">35145.0614505533*(RANDBETWEEN(2890,3282))</f>
        <v>103888801.64783558</v>
      </c>
      <c r="B4574">
        <v>234142599.21838391</v>
      </c>
    </row>
    <row r="4575" spans="1:2" x14ac:dyDescent="0.25">
      <c r="A4575">
        <f ca="1">33669.1926129722*(RANDBETWEEN(2890,3282))</f>
        <v>100165848.02359244</v>
      </c>
      <c r="B4575">
        <v>210520052.91281193</v>
      </c>
    </row>
    <row r="4576" spans="1:2" x14ac:dyDescent="0.25">
      <c r="A4576">
        <f ca="1">29587.9794229476*(RANDBETWEEN(2890,3282))</f>
        <v>92758315.490940809</v>
      </c>
      <c r="B4576">
        <v>217831897.8643012</v>
      </c>
    </row>
    <row r="4577" spans="1:2" x14ac:dyDescent="0.25">
      <c r="A4577">
        <f ca="1">35497.6817384212*(RANDBETWEEN(2890,3282))</f>
        <v>105392617.08137266</v>
      </c>
      <c r="B4577">
        <v>257613239.28941268</v>
      </c>
    </row>
    <row r="4578" spans="1:2" x14ac:dyDescent="0.25">
      <c r="A4578">
        <f ca="1">31268.5050595071*(RANDBETWEEN(2890,3282))</f>
        <v>95212597.906199172</v>
      </c>
      <c r="B4578">
        <v>208108538.75593269</v>
      </c>
    </row>
    <row r="4579" spans="1:2" x14ac:dyDescent="0.25">
      <c r="A4579">
        <f ca="1">29042.7333253707*(RANDBETWEEN(2890,3282))</f>
        <v>94766438.840684444</v>
      </c>
      <c r="B4579">
        <v>231429519.56444094</v>
      </c>
    </row>
    <row r="4580" spans="1:2" x14ac:dyDescent="0.25">
      <c r="A4580">
        <f ca="1">36342.4740059435*(RANDBETWEEN(2890,3282))</f>
        <v>108373257.48572363</v>
      </c>
      <c r="B4580">
        <v>222320789.92439452</v>
      </c>
    </row>
    <row r="4581" spans="1:2" x14ac:dyDescent="0.25">
      <c r="A4581">
        <f ca="1">29897.6138486845*(RANDBETWEEN(2890,3282))</f>
        <v>89752636.773750842</v>
      </c>
      <c r="B4581">
        <v>261223065.69931465</v>
      </c>
    </row>
    <row r="4582" spans="1:2" x14ac:dyDescent="0.25">
      <c r="A4582">
        <f ca="1">29245.1374338958*(RANDBETWEEN(2890,3282))</f>
        <v>86594851.941765532</v>
      </c>
      <c r="B4582">
        <v>236105046.36082503</v>
      </c>
    </row>
    <row r="4583" spans="1:2" x14ac:dyDescent="0.25">
      <c r="A4583">
        <f ca="1">32420.7504815963*(RANDBETWEEN(2890,3282))</f>
        <v>93955334.895666003</v>
      </c>
      <c r="B4583">
        <v>252055625.5509524</v>
      </c>
    </row>
    <row r="4584" spans="1:2" x14ac:dyDescent="0.25">
      <c r="A4584">
        <f ca="1">32775.7892972152*(RANDBETWEEN(2890,3282))</f>
        <v>95279219.487004682</v>
      </c>
      <c r="B4584">
        <v>224711022.3041684</v>
      </c>
    </row>
    <row r="4585" spans="1:2" x14ac:dyDescent="0.25">
      <c r="A4585">
        <f ca="1">32026.8197695897*(RANDBETWEEN(2890,3282))</f>
        <v>96240593.407617033</v>
      </c>
      <c r="B4585">
        <v>216251864.08995661</v>
      </c>
    </row>
    <row r="4586" spans="1:2" x14ac:dyDescent="0.25">
      <c r="A4586">
        <f ca="1">34922.8765861846*(RANDBETWEEN(2890,3282))</f>
        <v>111823050.82896313</v>
      </c>
      <c r="B4586">
        <v>252393880.02217352</v>
      </c>
    </row>
    <row r="4587" spans="1:2" x14ac:dyDescent="0.25">
      <c r="A4587">
        <f ca="1">31461.4069743909*(RANDBETWEEN(2890,3282))</f>
        <v>101620344.52728273</v>
      </c>
      <c r="B4587">
        <v>215839649.48589706</v>
      </c>
    </row>
    <row r="4588" spans="1:2" x14ac:dyDescent="0.25">
      <c r="A4588">
        <f ca="1">31246.8571086239*(RANDBETWEEN(2890,3282))</f>
        <v>94834211.324673474</v>
      </c>
      <c r="B4588">
        <v>267406750.73949212</v>
      </c>
    </row>
    <row r="4589" spans="1:2" x14ac:dyDescent="0.25">
      <c r="A4589">
        <f ca="1">37528.5701541078*(RANDBETWEEN(2890,3282))</f>
        <v>110333996.25307702</v>
      </c>
      <c r="B4589">
        <v>241764088.16232666</v>
      </c>
    </row>
    <row r="4590" spans="1:2" x14ac:dyDescent="0.25">
      <c r="A4590">
        <f ca="1">32446.6977362012*(RANDBETWEEN(2890,3282))</f>
        <v>102628904.93960436</v>
      </c>
      <c r="B4590">
        <v>255830346.55042201</v>
      </c>
    </row>
    <row r="4591" spans="1:2" x14ac:dyDescent="0.25">
      <c r="A4591">
        <f ca="1">30929.1384043348*(RANDBETWEEN(2890,3282))</f>
        <v>93684360.226730019</v>
      </c>
      <c r="B4591">
        <v>222551282.75512746</v>
      </c>
    </row>
    <row r="4592" spans="1:2" x14ac:dyDescent="0.25">
      <c r="A4592">
        <f ca="1">36060.1217229373*(RANDBETWEEN(2890,3282))</f>
        <v>114635126.95721781</v>
      </c>
      <c r="B4592">
        <v>265541891.836593</v>
      </c>
    </row>
    <row r="4593" spans="1:2" x14ac:dyDescent="0.25">
      <c r="A4593">
        <f ca="1">37563.003043703*(RANDBETWEEN(2890,3282))</f>
        <v>119300097.66680087</v>
      </c>
      <c r="B4593">
        <v>248452536.73820534</v>
      </c>
    </row>
    <row r="4594" spans="1:2" x14ac:dyDescent="0.25">
      <c r="A4594">
        <f ca="1">39167.2483116279*(RANDBETWEEN(2890,3282))</f>
        <v>119930114.3302045</v>
      </c>
      <c r="B4594">
        <v>225963684.99531111</v>
      </c>
    </row>
    <row r="4595" spans="1:2" x14ac:dyDescent="0.25">
      <c r="A4595">
        <f ca="1">29450.5376643165*(RANDBETWEEN(2890,3282))</f>
        <v>95508093.645378441</v>
      </c>
      <c r="B4595">
        <v>246539599.42353582</v>
      </c>
    </row>
    <row r="4596" spans="1:2" x14ac:dyDescent="0.25">
      <c r="A4596">
        <f ca="1">31828.0568602201*(RANDBETWEEN(2890,3282))</f>
        <v>93415346.884746075</v>
      </c>
      <c r="B4596">
        <v>244802508.68366897</v>
      </c>
    </row>
    <row r="4597" spans="1:2" x14ac:dyDescent="0.25">
      <c r="A4597">
        <f ca="1">32811.2593904321*(RANDBETWEEN(2890,3282))</f>
        <v>95940122.457623363</v>
      </c>
      <c r="B4597">
        <v>225088448.68593982</v>
      </c>
    </row>
    <row r="4598" spans="1:2" x14ac:dyDescent="0.25">
      <c r="A4598">
        <f ca="1">32256.858052399*(RANDBETWEEN(2890,3282))</f>
        <v>102157469.45194754</v>
      </c>
      <c r="B4598">
        <v>207398147.67116562</v>
      </c>
    </row>
    <row r="4599" spans="1:2" x14ac:dyDescent="0.25">
      <c r="A4599">
        <f ca="1">30475.6676503769*(RANDBETWEEN(2890,3282))</f>
        <v>94962180.398574308</v>
      </c>
      <c r="B4599">
        <v>211052619.43696395</v>
      </c>
    </row>
    <row r="4600" spans="1:2" x14ac:dyDescent="0.25">
      <c r="A4600">
        <f ca="1">35558.3811218229*(RANDBETWEEN(2890,3282))</f>
        <v>110586565.28886919</v>
      </c>
      <c r="B4600">
        <v>263648961.93657017</v>
      </c>
    </row>
    <row r="4601" spans="1:2" x14ac:dyDescent="0.25">
      <c r="A4601">
        <f ca="1">34659.8666174018*(RANDBETWEEN(2890,3282))</f>
        <v>102281266.38795258</v>
      </c>
      <c r="B4601">
        <v>231046420.23824131</v>
      </c>
    </row>
    <row r="4602" spans="1:2" x14ac:dyDescent="0.25">
      <c r="A4602">
        <f ca="1">32022.7804207388*(RANDBETWEEN(2890,3282))</f>
        <v>96356546.286002919</v>
      </c>
      <c r="B4602">
        <v>248517130.88607836</v>
      </c>
    </row>
    <row r="4603" spans="1:2" x14ac:dyDescent="0.25">
      <c r="A4603">
        <f ca="1">33434.7547221607*(RANDBETWEEN(2890,3282))</f>
        <v>101608219.6006463</v>
      </c>
      <c r="B4603">
        <v>215901903.50167951</v>
      </c>
    </row>
    <row r="4604" spans="1:2" x14ac:dyDescent="0.25">
      <c r="A4604">
        <f ca="1">39492.5904224268*(RANDBETWEEN(2890,3282))</f>
        <v>127442589.29317136</v>
      </c>
      <c r="B4604">
        <v>239794776.11562315</v>
      </c>
    </row>
    <row r="4605" spans="1:2" x14ac:dyDescent="0.25">
      <c r="A4605">
        <f ca="1">30143.9260353854*(RANDBETWEEN(2890,3282))</f>
        <v>93596890.339871794</v>
      </c>
      <c r="B4605">
        <v>217183692.07532236</v>
      </c>
    </row>
    <row r="4606" spans="1:2" x14ac:dyDescent="0.25">
      <c r="A4606">
        <f ca="1">36038.9571491152*(RANDBETWEEN(2890,3282))</f>
        <v>111504533.41936241</v>
      </c>
      <c r="B4606">
        <v>266524361.14154565</v>
      </c>
    </row>
    <row r="4607" spans="1:2" x14ac:dyDescent="0.25">
      <c r="A4607">
        <f ca="1">37448.3608731591*(RANDBETWEEN(2890,3282))</f>
        <v>120284135.12458703</v>
      </c>
      <c r="B4607">
        <v>227606390.21382737</v>
      </c>
    </row>
    <row r="4608" spans="1:2" x14ac:dyDescent="0.25">
      <c r="A4608">
        <f ca="1">31419.4582907178*(RANDBETWEEN(2890,3282))</f>
        <v>95483733.745491415</v>
      </c>
      <c r="B4608">
        <v>250931367.20942947</v>
      </c>
    </row>
    <row r="4609" spans="1:2" x14ac:dyDescent="0.25">
      <c r="A4609">
        <f ca="1">37174.5991505249*(RANDBETWEEN(2890,3282))</f>
        <v>112155765.63713367</v>
      </c>
      <c r="B4609">
        <v>225948834.39958411</v>
      </c>
    </row>
    <row r="4610" spans="1:2" x14ac:dyDescent="0.25">
      <c r="A4610">
        <f ca="1">28161.957388609*(RANDBETWEEN(2890,3282))</f>
        <v>84598519.995381385</v>
      </c>
      <c r="B4610">
        <v>263824824.33750004</v>
      </c>
    </row>
    <row r="4611" spans="1:2" x14ac:dyDescent="0.25">
      <c r="A4611">
        <f ca="1">32880.7728597995*(RANDBETWEEN(2890,3282))</f>
        <v>106500823.29289044</v>
      </c>
      <c r="B4611">
        <v>205868971.93043002</v>
      </c>
    </row>
    <row r="4612" spans="1:2" x14ac:dyDescent="0.25">
      <c r="A4612">
        <f ca="1">36119.4307101947*(RANDBETWEEN(2890,3282))</f>
        <v>104385154.75246282</v>
      </c>
      <c r="B4612">
        <v>209747766.49669921</v>
      </c>
    </row>
    <row r="4613" spans="1:2" x14ac:dyDescent="0.25">
      <c r="A4613">
        <f ca="1">33367.1358558369*(RANDBETWEEN(2890,3282))</f>
        <v>106074124.88570535</v>
      </c>
      <c r="B4613">
        <v>210069138.70281708</v>
      </c>
    </row>
    <row r="4614" spans="1:2" x14ac:dyDescent="0.25">
      <c r="A4614">
        <f ca="1">43441.0225428296*(RANDBETWEEN(2890,3282))</f>
        <v>126978108.89269103</v>
      </c>
      <c r="B4614">
        <v>219635473.26403537</v>
      </c>
    </row>
    <row r="4615" spans="1:2" x14ac:dyDescent="0.25">
      <c r="A4615">
        <f ca="1">30680.7717971553*(RANDBETWEEN(2890,3282))</f>
        <v>96184219.584081948</v>
      </c>
      <c r="B4615">
        <v>247260037.66833031</v>
      </c>
    </row>
    <row r="4616" spans="1:2" x14ac:dyDescent="0.25">
      <c r="A4616">
        <f ca="1">37880.549640067*(RANDBETWEEN(2890,3282))</f>
        <v>111368815.9417969</v>
      </c>
      <c r="B4616">
        <v>252098473.60838825</v>
      </c>
    </row>
    <row r="4617" spans="1:2" x14ac:dyDescent="0.25">
      <c r="A4617">
        <f ca="1">36594.5246319344*(RANDBETWEEN(2890,3282))</f>
        <v>110918004.15939339</v>
      </c>
      <c r="B4617">
        <v>206021166.17377651</v>
      </c>
    </row>
    <row r="4618" spans="1:2" x14ac:dyDescent="0.25">
      <c r="A4618">
        <f ca="1">36125.9456700747*(RANDBETWEEN(2890,3282))</f>
        <v>116578426.67733093</v>
      </c>
      <c r="B4618">
        <v>221416188.9539125</v>
      </c>
    </row>
    <row r="4619" spans="1:2" x14ac:dyDescent="0.25">
      <c r="A4619">
        <f ca="1">37981.8120807367*(RANDBETWEEN(2890,3282))</f>
        <v>119870598.92680512</v>
      </c>
      <c r="B4619">
        <v>253522287.69359672</v>
      </c>
    </row>
    <row r="4620" spans="1:2" x14ac:dyDescent="0.25">
      <c r="A4620">
        <f ca="1">30945.8681948615*(RANDBETWEEN(2890,3282))</f>
        <v>100635963.3696897</v>
      </c>
      <c r="B4620">
        <v>236288931.92842397</v>
      </c>
    </row>
    <row r="4621" spans="1:2" x14ac:dyDescent="0.25">
      <c r="A4621">
        <f ca="1">38805.4162932545*(RANDBETWEEN(2890,3282))</f>
        <v>125380300.04350522</v>
      </c>
      <c r="B4621">
        <v>209579021.39352152</v>
      </c>
    </row>
    <row r="4622" spans="1:2" x14ac:dyDescent="0.25">
      <c r="A4622">
        <f ca="1">37933.5936200392*(RANDBETWEEN(2890,3282))</f>
        <v>109703952.74915339</v>
      </c>
      <c r="B4622">
        <v>221728934.89373422</v>
      </c>
    </row>
    <row r="4623" spans="1:2" x14ac:dyDescent="0.25">
      <c r="A4623">
        <f ca="1">38444.3172399509*(RANDBETWEEN(2890,3282))</f>
        <v>118523830.05076864</v>
      </c>
      <c r="B4623">
        <v>265201770.04625916</v>
      </c>
    </row>
    <row r="4624" spans="1:2" x14ac:dyDescent="0.25">
      <c r="A4624">
        <f ca="1">40821.3939107898*(RANDBETWEEN(2890,3282))</f>
        <v>118096292.58391507</v>
      </c>
      <c r="B4624">
        <v>254765702.30439958</v>
      </c>
    </row>
    <row r="4625" spans="1:2" x14ac:dyDescent="0.25">
      <c r="A4625">
        <f ca="1">34358.0375583918*(RANDBETWEEN(2890,3282))</f>
        <v>108468324.57184304</v>
      </c>
      <c r="B4625">
        <v>248401336.35467529</v>
      </c>
    </row>
    <row r="4626" spans="1:2" x14ac:dyDescent="0.25">
      <c r="A4626">
        <f ca="1">33272.8467200568*(RANDBETWEEN(2890,3282))</f>
        <v>104077464.54033753</v>
      </c>
      <c r="B4626">
        <v>255980388.24289906</v>
      </c>
    </row>
    <row r="4627" spans="1:2" x14ac:dyDescent="0.25">
      <c r="A4627">
        <f ca="1">32077.9614786986*(RANDBETWEEN(2890,3282))</f>
        <v>104798700.1509084</v>
      </c>
      <c r="B4627">
        <v>248628554.77362192</v>
      </c>
    </row>
    <row r="4628" spans="1:2" x14ac:dyDescent="0.25">
      <c r="A4628">
        <f ca="1">30724.0800773441*(RANDBETWEEN(2890,3282))</f>
        <v>92817445.913656443</v>
      </c>
      <c r="B4628">
        <v>259880865.02361158</v>
      </c>
    </row>
    <row r="4629" spans="1:2" x14ac:dyDescent="0.25">
      <c r="A4629">
        <f ca="1">33733.4604344281*(RANDBETWEEN(2890,3282))</f>
        <v>101099180.92198098</v>
      </c>
      <c r="B4629">
        <v>256553293.45558971</v>
      </c>
    </row>
    <row r="4630" spans="1:2" x14ac:dyDescent="0.25">
      <c r="A4630">
        <f ca="1">32706.4765480223*(RANDBETWEEN(2890,3282))</f>
        <v>99918285.854207993</v>
      </c>
      <c r="B4630">
        <v>253775585.19326544</v>
      </c>
    </row>
    <row r="4631" spans="1:2" x14ac:dyDescent="0.25">
      <c r="A4631">
        <f ca="1">36617.9864118431*(RANDBETWEEN(2890,3282))</f>
        <v>113112960.02618325</v>
      </c>
      <c r="B4631">
        <v>213862246.36047643</v>
      </c>
    </row>
    <row r="4632" spans="1:2" x14ac:dyDescent="0.25">
      <c r="A4632">
        <f ca="1">35621.6686961313*(RANDBETWEEN(2890,3282))</f>
        <v>112350743.06759809</v>
      </c>
      <c r="B4632">
        <v>223647187.42288774</v>
      </c>
    </row>
    <row r="4633" spans="1:2" x14ac:dyDescent="0.25">
      <c r="A4633">
        <f ca="1">29451.8373052727*(RANDBETWEEN(2890,3282))</f>
        <v>95158886.3333361</v>
      </c>
      <c r="B4633">
        <v>229720060.57745969</v>
      </c>
    </row>
    <row r="4634" spans="1:2" x14ac:dyDescent="0.25">
      <c r="A4634">
        <f ca="1">38711.4729811897*(RANDBETWEEN(2890,3282))</f>
        <v>122754080.82335262</v>
      </c>
      <c r="B4634">
        <v>204428469.24285099</v>
      </c>
    </row>
    <row r="4635" spans="1:2" x14ac:dyDescent="0.25">
      <c r="A4635">
        <f ca="1">30866.6770561344*(RANDBETWEEN(2890,3282))</f>
        <v>100563633.84888591</v>
      </c>
      <c r="B4635">
        <v>230944338.52573252</v>
      </c>
    </row>
    <row r="4636" spans="1:2" x14ac:dyDescent="0.25">
      <c r="A4636">
        <f ca="1">32234.1162852024*(RANDBETWEEN(2890,3282))</f>
        <v>100634911.04240185</v>
      </c>
      <c r="B4636">
        <v>257377831.42430693</v>
      </c>
    </row>
    <row r="4637" spans="1:2" x14ac:dyDescent="0.25">
      <c r="A4637">
        <f ca="1">36773.9700605392*(RANDBETWEEN(2890,3282))</f>
        <v>115102526.28948785</v>
      </c>
      <c r="B4637">
        <v>209240096.85811004</v>
      </c>
    </row>
    <row r="4638" spans="1:2" x14ac:dyDescent="0.25">
      <c r="A4638">
        <f ca="1">41435.1064645904*(RANDBETWEEN(2890,3282))</f>
        <v>129484707.70184487</v>
      </c>
      <c r="B4638">
        <v>220242202.30888423</v>
      </c>
    </row>
    <row r="4639" spans="1:2" x14ac:dyDescent="0.25">
      <c r="A4639">
        <f ca="1">42136.848946216*(RANDBETWEEN(2890,3282))</f>
        <v>137829632.90307266</v>
      </c>
      <c r="B4639">
        <v>228613920.65941843</v>
      </c>
    </row>
    <row r="4640" spans="1:2" x14ac:dyDescent="0.25">
      <c r="A4640">
        <f ca="1">34897.134887193*(RANDBETWEEN(2890,3282))</f>
        <v>110763506.13195051</v>
      </c>
      <c r="B4640">
        <v>255414555.97285843</v>
      </c>
    </row>
    <row r="4641" spans="1:2" x14ac:dyDescent="0.25">
      <c r="A4641">
        <f ca="1">26906.4015723034*(RANDBETWEEN(2890,3282))</f>
        <v>84593726.543321878</v>
      </c>
      <c r="B4641">
        <v>253231306.18357581</v>
      </c>
    </row>
    <row r="4642" spans="1:2" x14ac:dyDescent="0.25">
      <c r="A4642">
        <f ca="1">27554.8167147772*(RANDBETWEEN(2890,3282))</f>
        <v>88919393.538585931</v>
      </c>
      <c r="B4642">
        <v>234045953.07710898</v>
      </c>
    </row>
    <row r="4643" spans="1:2" x14ac:dyDescent="0.25">
      <c r="A4643">
        <f ca="1">34575.0310538052*(RANDBETWEEN(2890,3282))</f>
        <v>105453844.71410596</v>
      </c>
      <c r="B4643">
        <v>259134874.53314477</v>
      </c>
    </row>
    <row r="4644" spans="1:2" x14ac:dyDescent="0.25">
      <c r="A4644">
        <f ca="1">28519.639246839*(RANDBETWEEN(2890,3282))</f>
        <v>87270096.095327377</v>
      </c>
      <c r="B4644">
        <v>255362373.45222363</v>
      </c>
    </row>
    <row r="4645" spans="1:2" x14ac:dyDescent="0.25">
      <c r="A4645">
        <f ca="1">28431.655325965*(RANDBETWEEN(2890,3282))</f>
        <v>92090131.600800797</v>
      </c>
      <c r="B4645">
        <v>229154132.08462933</v>
      </c>
    </row>
    <row r="4646" spans="1:2" x14ac:dyDescent="0.25">
      <c r="A4646">
        <f ca="1">40958.7519347045*(RANDBETWEEN(2890,3282))</f>
        <v>129142944.85012324</v>
      </c>
      <c r="B4646">
        <v>205887621.69435155</v>
      </c>
    </row>
    <row r="4647" spans="1:2" x14ac:dyDescent="0.25">
      <c r="A4647">
        <f ca="1">31439.6603961257*(RANDBETWEEN(2890,3282))</f>
        <v>95796645.226994857</v>
      </c>
      <c r="B4647">
        <v>231013755.35693824</v>
      </c>
    </row>
    <row r="4648" spans="1:2" x14ac:dyDescent="0.25">
      <c r="A4648">
        <f ca="1">29241.9869877971*(RANDBETWEEN(2890,3282))</f>
        <v>90562433.701207533</v>
      </c>
      <c r="B4648">
        <v>226657451.92777205</v>
      </c>
    </row>
    <row r="4649" spans="1:2" x14ac:dyDescent="0.25">
      <c r="A4649">
        <f ca="1">32027.8811884786*(RANDBETWEEN(2890,3282))</f>
        <v>102905582.25858182</v>
      </c>
      <c r="B4649">
        <v>260684612.44869542</v>
      </c>
    </row>
    <row r="4650" spans="1:2" x14ac:dyDescent="0.25">
      <c r="A4650">
        <f ca="1">33737.1152033211*(RANDBETWEEN(2890,3282))</f>
        <v>110084206.90843667</v>
      </c>
      <c r="B4650">
        <v>261630166.85033533</v>
      </c>
    </row>
    <row r="4651" spans="1:2" x14ac:dyDescent="0.25">
      <c r="A4651">
        <f ca="1">32177.013867546*(RANDBETWEEN(2890,3282))</f>
        <v>99137379.725909323</v>
      </c>
      <c r="B4651">
        <v>234454754.37398046</v>
      </c>
    </row>
    <row r="4652" spans="1:2" x14ac:dyDescent="0.25">
      <c r="A4652">
        <f ca="1">34134.5094246458*(RANDBETWEEN(2890,3282))</f>
        <v>99365556.935143992</v>
      </c>
      <c r="B4652">
        <v>252868185.29841259</v>
      </c>
    </row>
    <row r="4653" spans="1:2" x14ac:dyDescent="0.25">
      <c r="A4653">
        <f ca="1">29259.8018198177*(RANDBETWEEN(2890,3282))</f>
        <v>90529826.830515891</v>
      </c>
      <c r="B4653">
        <v>263940387.66911486</v>
      </c>
    </row>
    <row r="4654" spans="1:2" x14ac:dyDescent="0.25">
      <c r="A4654">
        <f ca="1">31241.1959678831*(RANDBETWEEN(2890,3282))</f>
        <v>92005322.125415653</v>
      </c>
      <c r="B4654">
        <v>255561975.70543784</v>
      </c>
    </row>
    <row r="4655" spans="1:2" x14ac:dyDescent="0.25">
      <c r="A4655">
        <f ca="1">33748.532775691*(RANDBETWEEN(2890,3282))</f>
        <v>100908112.99931595</v>
      </c>
      <c r="B4655">
        <v>256528483.61890537</v>
      </c>
    </row>
    <row r="4656" spans="1:2" x14ac:dyDescent="0.25">
      <c r="A4656">
        <f ca="1">33136.0974662484*(RANDBETWEEN(2890,3282))</f>
        <v>95763321.677457958</v>
      </c>
      <c r="B4656">
        <v>264957990.52224353</v>
      </c>
    </row>
    <row r="4657" spans="1:2" x14ac:dyDescent="0.25">
      <c r="A4657">
        <f ca="1">39065.9834582583*(RANDBETWEEN(2890,3282))</f>
        <v>120362295.03489389</v>
      </c>
      <c r="B4657">
        <v>214491884.65665427</v>
      </c>
    </row>
    <row r="4658" spans="1:2" x14ac:dyDescent="0.25">
      <c r="A4658">
        <f ca="1">38585.0558217998*(RANDBETWEEN(2890,3282))</f>
        <v>120385374.1640155</v>
      </c>
      <c r="B4658">
        <v>241306890.88732454</v>
      </c>
    </row>
    <row r="4659" spans="1:2" x14ac:dyDescent="0.25">
      <c r="A4659">
        <f ca="1">30239.5060937873*(RANDBETWEEN(2890,3282))</f>
        <v>91202350.378862366</v>
      </c>
      <c r="B4659">
        <v>263781120.26250994</v>
      </c>
    </row>
    <row r="4660" spans="1:2" x14ac:dyDescent="0.25">
      <c r="A4660">
        <f ca="1">34009.4740514087*(RANDBETWEEN(2890,3282))</f>
        <v>109170411.70502193</v>
      </c>
      <c r="B4660">
        <v>254463898.66598725</v>
      </c>
    </row>
    <row r="4661" spans="1:2" x14ac:dyDescent="0.25">
      <c r="A4661">
        <f ca="1">39434.3651228164*(RANDBETWEEN(2890,3282))</f>
        <v>128713767.76087275</v>
      </c>
      <c r="B4661">
        <v>258425030.60847831</v>
      </c>
    </row>
    <row r="4662" spans="1:2" x14ac:dyDescent="0.25">
      <c r="A4662">
        <f ca="1">29913.5072514007*(RANDBETWEEN(2890,3282))</f>
        <v>94377115.378169283</v>
      </c>
      <c r="B4662">
        <v>254583331.10889283</v>
      </c>
    </row>
    <row r="4663" spans="1:2" x14ac:dyDescent="0.25">
      <c r="A4663">
        <f ca="1">38703.5457056974*(RANDBETWEEN(2890,3282))</f>
        <v>126792815.73186457</v>
      </c>
      <c r="B4663">
        <v>267712517.82326812</v>
      </c>
    </row>
    <row r="4664" spans="1:2" x14ac:dyDescent="0.25">
      <c r="A4664">
        <f ca="1">35489.5291168327*(RANDBETWEEN(2890,3282))</f>
        <v>108420511.45192395</v>
      </c>
      <c r="B4664">
        <v>251991985.36067611</v>
      </c>
    </row>
    <row r="4665" spans="1:2" x14ac:dyDescent="0.25">
      <c r="A4665">
        <f ca="1">31561.437833337*(RANDBETWEEN(2890,3282))</f>
        <v>92979995.857010871</v>
      </c>
      <c r="B4665">
        <v>214727896.43252394</v>
      </c>
    </row>
    <row r="4666" spans="1:2" x14ac:dyDescent="0.25">
      <c r="A4666">
        <f ca="1">34575.1661506888*(RANDBETWEEN(2890,3282))</f>
        <v>110191054.52224536</v>
      </c>
      <c r="B4666">
        <v>212544043.18918717</v>
      </c>
    </row>
    <row r="4667" spans="1:2" x14ac:dyDescent="0.25">
      <c r="A4667">
        <f ca="1">33508.652631949*(RANDBETWEEN(2890,3282))</f>
        <v>102167881.87481262</v>
      </c>
      <c r="B4667">
        <v>212229911.44276458</v>
      </c>
    </row>
    <row r="4668" spans="1:2" x14ac:dyDescent="0.25">
      <c r="A4668">
        <f ca="1">39834.5707450334*(RANDBETWEEN(2890,3282))</f>
        <v>120858087.64043118</v>
      </c>
      <c r="B4668">
        <v>248123604.87095723</v>
      </c>
    </row>
    <row r="4669" spans="1:2" x14ac:dyDescent="0.25">
      <c r="A4669">
        <f ca="1">34380.3635545947*(RANDBETWEEN(2890,3282))</f>
        <v>99909336.489652067</v>
      </c>
      <c r="B4669">
        <v>263516788.01399034</v>
      </c>
    </row>
    <row r="4670" spans="1:2" x14ac:dyDescent="0.25">
      <c r="A4670">
        <f ca="1">32844.9695550714*(RANDBETWEEN(2890,3282))</f>
        <v>97746629.395892605</v>
      </c>
      <c r="B4670">
        <v>219686534.70703459</v>
      </c>
    </row>
    <row r="4671" spans="1:2" x14ac:dyDescent="0.25">
      <c r="A4671">
        <f ca="1">34474.3032379171*(RANDBETWEEN(2890,3282))</f>
        <v>103767652.74613044</v>
      </c>
      <c r="B4671">
        <v>245049124.47808811</v>
      </c>
    </row>
    <row r="4672" spans="1:2" x14ac:dyDescent="0.25">
      <c r="A4672">
        <f ca="1">38549.4045477602*(RANDBETWEEN(2890,3282))</f>
        <v>117999727.32069412</v>
      </c>
      <c r="B4672">
        <v>224453412.7670902</v>
      </c>
    </row>
    <row r="4673" spans="1:2" x14ac:dyDescent="0.25">
      <c r="A4673">
        <f ca="1">32239.0860065524*(RANDBETWEEN(2890,3282))</f>
        <v>95234260.063355714</v>
      </c>
      <c r="B4673">
        <v>214651894.36238277</v>
      </c>
    </row>
    <row r="4674" spans="1:2" x14ac:dyDescent="0.25">
      <c r="A4674">
        <f ca="1">30736.3630325544*(RANDBETWEEN(2890,3282))</f>
        <v>95989661.750667393</v>
      </c>
      <c r="B4674">
        <v>206254763.09694725</v>
      </c>
    </row>
    <row r="4675" spans="1:2" x14ac:dyDescent="0.25">
      <c r="A4675">
        <f ca="1">36023.0696051049*(RANDBETWEEN(2890,3282))</f>
        <v>107204655.14479229</v>
      </c>
      <c r="B4675">
        <v>226884907.25471228</v>
      </c>
    </row>
    <row r="4676" spans="1:2" x14ac:dyDescent="0.25">
      <c r="A4676">
        <f ca="1">31375.8966017409*(RANDBETWEEN(2890,3282))</f>
        <v>100716628.09158841</v>
      </c>
      <c r="B4676">
        <v>204199791.96683791</v>
      </c>
    </row>
    <row r="4677" spans="1:2" x14ac:dyDescent="0.25">
      <c r="A4677">
        <f ca="1">33415.5363058257*(RANDBETWEEN(2890,3282))</f>
        <v>108500246.3850161</v>
      </c>
      <c r="B4677">
        <v>240969804.44876668</v>
      </c>
    </row>
    <row r="4678" spans="1:2" x14ac:dyDescent="0.25">
      <c r="A4678">
        <f ca="1">33326.0432260095*(RANDBETWEEN(2890,3282))</f>
        <v>104243863.21095766</v>
      </c>
      <c r="B4678">
        <v>257644906.20088217</v>
      </c>
    </row>
    <row r="4679" spans="1:2" x14ac:dyDescent="0.25">
      <c r="A4679">
        <f ca="1">29452.5274130804*(RANDBETWEEN(2890,3282))</f>
        <v>96103596.948881209</v>
      </c>
      <c r="B4679">
        <v>234452368.56246746</v>
      </c>
    </row>
    <row r="4680" spans="1:2" x14ac:dyDescent="0.25">
      <c r="A4680">
        <f ca="1">30800.7622217379*(RANDBETWEEN(2890,3282))</f>
        <v>100164078.74509172</v>
      </c>
      <c r="B4680">
        <v>225232400.28308141</v>
      </c>
    </row>
    <row r="4681" spans="1:2" x14ac:dyDescent="0.25">
      <c r="A4681">
        <f ca="1">31164.5213139*(RANDBETWEEN(2890,3282))</f>
        <v>90564098.93819344</v>
      </c>
      <c r="B4681">
        <v>267695539.95118147</v>
      </c>
    </row>
    <row r="4682" spans="1:2" x14ac:dyDescent="0.25">
      <c r="A4682">
        <f ca="1">30724.1478944529*(RANDBETWEEN(2890,3282))</f>
        <v>97334100.529626772</v>
      </c>
      <c r="B4682">
        <v>244282115.16273171</v>
      </c>
    </row>
    <row r="4683" spans="1:2" x14ac:dyDescent="0.25">
      <c r="A4683">
        <f ca="1">38120.7552625573*(RANDBETWEEN(2890,3282))</f>
        <v>123549367.80594806</v>
      </c>
      <c r="B4683">
        <v>222632613.14421511</v>
      </c>
    </row>
    <row r="4684" spans="1:2" x14ac:dyDescent="0.25">
      <c r="A4684">
        <f ca="1">30313.4799716113*(RANDBETWEEN(2890,3282))</f>
        <v>95275267.550774276</v>
      </c>
      <c r="B4684">
        <v>250548194.32058078</v>
      </c>
    </row>
    <row r="4685" spans="1:2" x14ac:dyDescent="0.25">
      <c r="A4685">
        <f ca="1">36769.0654622581*(RANDBETWEEN(2890,3282))</f>
        <v>115675479.94426386</v>
      </c>
      <c r="B4685">
        <v>263482476.30481189</v>
      </c>
    </row>
    <row r="4686" spans="1:2" x14ac:dyDescent="0.25">
      <c r="A4686">
        <f ca="1">28424.4933695929*(RANDBETWEEN(2890,3282))</f>
        <v>82857398.172363445</v>
      </c>
      <c r="B4686">
        <v>266869367.86730313</v>
      </c>
    </row>
    <row r="4687" spans="1:2" x14ac:dyDescent="0.25">
      <c r="A4687">
        <f ca="1">36345.8851921696*(RANDBETWEEN(2890,3282))</f>
        <v>110745912.18054089</v>
      </c>
      <c r="B4687">
        <v>238190315.59519264</v>
      </c>
    </row>
    <row r="4688" spans="1:2" x14ac:dyDescent="0.25">
      <c r="A4688">
        <f ca="1">32458.4452513671*(RANDBETWEEN(2890,3282))</f>
        <v>106431241.97923268</v>
      </c>
      <c r="B4688">
        <v>230370754.95766079</v>
      </c>
    </row>
    <row r="4689" spans="1:2" x14ac:dyDescent="0.25">
      <c r="A4689">
        <f ca="1">32061.7841992794*(RANDBETWEEN(2890,3282))</f>
        <v>98654109.98118262</v>
      </c>
      <c r="B4689">
        <v>224112499.1685245</v>
      </c>
    </row>
    <row r="4690" spans="1:2" x14ac:dyDescent="0.25">
      <c r="A4690">
        <f ca="1">37817.118695585*(RANDBETWEEN(2890,3282))</f>
        <v>113224453.37458159</v>
      </c>
      <c r="B4690">
        <v>264513778.61265796</v>
      </c>
    </row>
    <row r="4691" spans="1:2" x14ac:dyDescent="0.25">
      <c r="A4691">
        <f ca="1">30260.4505039037*(RANDBETWEEN(2890,3282))</f>
        <v>88451296.822910413</v>
      </c>
      <c r="B4691">
        <v>225209838.28492302</v>
      </c>
    </row>
    <row r="4692" spans="1:2" x14ac:dyDescent="0.25">
      <c r="A4692">
        <f ca="1">36942.071724378*(RANDBETWEEN(2890,3282))</f>
        <v>109828779.23657593</v>
      </c>
      <c r="B4692">
        <v>226446033.61297417</v>
      </c>
    </row>
    <row r="4693" spans="1:2" x14ac:dyDescent="0.25">
      <c r="A4693">
        <f ca="1">32666.8117922615*(RANDBETWEEN(2890,3282))</f>
        <v>106951141.80786425</v>
      </c>
      <c r="B4693">
        <v>234746815.17795008</v>
      </c>
    </row>
    <row r="4694" spans="1:2" x14ac:dyDescent="0.25">
      <c r="A4694">
        <f ca="1">36374.7207988553*(RANDBETWEEN(2890,3282))</f>
        <v>106323308.89505406</v>
      </c>
      <c r="B4694">
        <v>217502536.36221105</v>
      </c>
    </row>
    <row r="4695" spans="1:2" x14ac:dyDescent="0.25">
      <c r="A4695">
        <f ca="1">32079.2231346186*(RANDBETWEEN(2890,3282))</f>
        <v>98547373.469548345</v>
      </c>
      <c r="B4695">
        <v>209323962.90788516</v>
      </c>
    </row>
    <row r="4696" spans="1:2" x14ac:dyDescent="0.25">
      <c r="A4696">
        <f ca="1">34138.41610408*(RANDBETWEEN(2890,3282))</f>
        <v>105282875.26498286</v>
      </c>
      <c r="B4696">
        <v>227021384.0426265</v>
      </c>
    </row>
    <row r="4697" spans="1:2" x14ac:dyDescent="0.25">
      <c r="A4697">
        <f ca="1">32490.4209520993*(RANDBETWEEN(2890,3282))</f>
        <v>95749270.545836747</v>
      </c>
      <c r="B4697">
        <v>239515439.56848186</v>
      </c>
    </row>
    <row r="4698" spans="1:2" x14ac:dyDescent="0.25">
      <c r="A4698">
        <f ca="1">32565.424991362*(RANDBETWEEN(2890,3282))</f>
        <v>98770933.998800918</v>
      </c>
      <c r="B4698">
        <v>245948432.26464421</v>
      </c>
    </row>
    <row r="4699" spans="1:2" x14ac:dyDescent="0.25">
      <c r="A4699">
        <f ca="1">36120.2177307934*(RANDBETWEEN(2890,3282))</f>
        <v>107132565.78953336</v>
      </c>
      <c r="B4699">
        <v>252608221.6983858</v>
      </c>
    </row>
    <row r="4700" spans="1:2" x14ac:dyDescent="0.25">
      <c r="A4700">
        <f ca="1">37007.3696938688*(RANDBETWEEN(2890,3282))</f>
        <v>116536207.16599281</v>
      </c>
      <c r="B4700">
        <v>257229961.0199956</v>
      </c>
    </row>
    <row r="4701" spans="1:2" x14ac:dyDescent="0.25">
      <c r="A4701">
        <f ca="1">41321.4200060958*(RANDBETWEEN(2890,3282))</f>
        <v>125823723.91856165</v>
      </c>
      <c r="B4701">
        <v>250443470.77650094</v>
      </c>
    </row>
    <row r="4702" spans="1:2" x14ac:dyDescent="0.25">
      <c r="A4702">
        <f ca="1">36360.4465894582*(RANDBETWEEN(2890,3282))</f>
        <v>111044803.88420537</v>
      </c>
      <c r="B4702">
        <v>245133557.50863892</v>
      </c>
    </row>
    <row r="4703" spans="1:2" x14ac:dyDescent="0.25">
      <c r="A4703">
        <f ca="1">34920.7793597374*(RANDBETWEEN(2890,3282))</f>
        <v>101025814.68772027</v>
      </c>
      <c r="B4703">
        <v>251089920.71235725</v>
      </c>
    </row>
    <row r="4704" spans="1:2" x14ac:dyDescent="0.25">
      <c r="A4704">
        <f ca="1">31555.7495759645*(RANDBETWEEN(2890,3282))</f>
        <v>92332123.259272113</v>
      </c>
      <c r="B4704">
        <v>240562445.34193218</v>
      </c>
    </row>
    <row r="4705" spans="1:2" x14ac:dyDescent="0.25">
      <c r="A4705">
        <f ca="1">37434.9282340177*(RANDBETWEEN(2890,3282))</f>
        <v>114026791.40081777</v>
      </c>
      <c r="B4705">
        <v>219317081.11911553</v>
      </c>
    </row>
    <row r="4706" spans="1:2" x14ac:dyDescent="0.25">
      <c r="A4706">
        <f ca="1">32536.5368541219*(RANDBETWEEN(2890,3282))</f>
        <v>97251708.656970471</v>
      </c>
      <c r="B4706">
        <v>265624148.98125845</v>
      </c>
    </row>
    <row r="4707" spans="1:2" x14ac:dyDescent="0.25">
      <c r="A4707">
        <f ca="1">38478.2945410093*(RANDBETWEEN(2890,3282))</f>
        <v>120667931.68060526</v>
      </c>
      <c r="B4707">
        <v>254044963.35781384</v>
      </c>
    </row>
    <row r="4708" spans="1:2" x14ac:dyDescent="0.25">
      <c r="A4708">
        <f ca="1">34777.3501153682*(RANDBETWEEN(2890,3282))</f>
        <v>101202088.83572146</v>
      </c>
      <c r="B4708">
        <v>256722696.8950029</v>
      </c>
    </row>
    <row r="4709" spans="1:2" x14ac:dyDescent="0.25">
      <c r="A4709">
        <f ca="1">31089.2415452105*(RANDBETWEEN(2890,3282))</f>
        <v>99174680.529221505</v>
      </c>
      <c r="B4709">
        <v>217638819.38930422</v>
      </c>
    </row>
    <row r="4710" spans="1:2" x14ac:dyDescent="0.25">
      <c r="A4710">
        <f ca="1">36327.6732880629*(RANDBETWEEN(2890,3282))</f>
        <v>118319231.89922081</v>
      </c>
      <c r="B4710">
        <v>227325432.52898648</v>
      </c>
    </row>
    <row r="4711" spans="1:2" x14ac:dyDescent="0.25">
      <c r="A4711">
        <f ca="1">36808.7143264825*(RANDBETWEEN(2890,3282))</f>
        <v>110058055.83618279</v>
      </c>
      <c r="B4711">
        <v>226113596.44297144</v>
      </c>
    </row>
    <row r="4712" spans="1:2" x14ac:dyDescent="0.25">
      <c r="A4712">
        <f ca="1">35646.352256536*(RANDBETWEEN(2890,3282))</f>
        <v>110860155.51782693</v>
      </c>
      <c r="B4712">
        <v>236656906.10595387</v>
      </c>
    </row>
    <row r="4713" spans="1:2" x14ac:dyDescent="0.25">
      <c r="A4713">
        <f ca="1">33994.1797956944*(RANDBETWEEN(2890,3282))</f>
        <v>104022190.17482495</v>
      </c>
      <c r="B4713">
        <v>222875674.00441396</v>
      </c>
    </row>
    <row r="4714" spans="1:2" x14ac:dyDescent="0.25">
      <c r="A4714">
        <f ca="1">40359.9101403724*(RANDBETWEEN(2890,3282))</f>
        <v>119667133.56620406</v>
      </c>
      <c r="B4714">
        <v>247066147.4620007</v>
      </c>
    </row>
    <row r="4715" spans="1:2" x14ac:dyDescent="0.25">
      <c r="A4715">
        <f ca="1">31743.1906950857*(RANDBETWEEN(2890,3282))</f>
        <v>94086817.220233873</v>
      </c>
      <c r="B4715">
        <v>210515170.10692793</v>
      </c>
    </row>
    <row r="4716" spans="1:2" x14ac:dyDescent="0.25">
      <c r="A4716">
        <f ca="1">38769.490319716*(RANDBETWEEN(2890,3282))</f>
        <v>115378003.19147472</v>
      </c>
      <c r="B4716">
        <v>214786750.37814531</v>
      </c>
    </row>
    <row r="4717" spans="1:2" x14ac:dyDescent="0.25">
      <c r="A4717">
        <f ca="1">30737.0294766863*(RANDBETWEEN(2890,3282))</f>
        <v>100356401.24138078</v>
      </c>
      <c r="B4717">
        <v>261942798.00216565</v>
      </c>
    </row>
    <row r="4718" spans="1:2" x14ac:dyDescent="0.25">
      <c r="A4718">
        <f ca="1">35105.1032693659*(RANDBETWEEN(2890,3282))</f>
        <v>105420625.1179058</v>
      </c>
      <c r="B4718">
        <v>209201250.94663784</v>
      </c>
    </row>
    <row r="4719" spans="1:2" x14ac:dyDescent="0.25">
      <c r="A4719">
        <f ca="1">31026.041661935*(RANDBETWEEN(2890,3282))</f>
        <v>90658093.736174002</v>
      </c>
      <c r="B4719">
        <v>215304343.5707469</v>
      </c>
    </row>
    <row r="4720" spans="1:2" x14ac:dyDescent="0.25">
      <c r="A4720">
        <f ca="1">31831.5838079887*(RANDBETWEEN(2890,3282))</f>
        <v>100715131.16847633</v>
      </c>
      <c r="B4720">
        <v>237143016.97507271</v>
      </c>
    </row>
    <row r="4721" spans="1:2" x14ac:dyDescent="0.25">
      <c r="A4721">
        <f ca="1">31430.2358995907*(RANDBETWEEN(2890,3282))</f>
        <v>95987940.437349916</v>
      </c>
      <c r="B4721">
        <v>208060419.90637338</v>
      </c>
    </row>
    <row r="4722" spans="1:2" x14ac:dyDescent="0.25">
      <c r="A4722">
        <f ca="1">34072.8325724926*(RANDBETWEEN(2890,3282))</f>
        <v>109953030.71143354</v>
      </c>
      <c r="B4722">
        <v>248267948.9744516</v>
      </c>
    </row>
    <row r="4723" spans="1:2" x14ac:dyDescent="0.25">
      <c r="A4723">
        <f ca="1">32405.1877951686*(RANDBETWEEN(2890,3282))</f>
        <v>104150273.57367182</v>
      </c>
      <c r="B4723">
        <v>225450815.68501613</v>
      </c>
    </row>
    <row r="4724" spans="1:2" x14ac:dyDescent="0.25">
      <c r="A4724">
        <f ca="1">31128.5487775812*(RANDBETWEEN(2890,3282))</f>
        <v>97805900.259159997</v>
      </c>
      <c r="B4724">
        <v>228820304.84460196</v>
      </c>
    </row>
    <row r="4725" spans="1:2" x14ac:dyDescent="0.25">
      <c r="A4725">
        <f ca="1">32781.6852341438*(RANDBETWEEN(2890,3282))</f>
        <v>101065935.57686529</v>
      </c>
      <c r="B4725">
        <v>212491075.86735496</v>
      </c>
    </row>
    <row r="4726" spans="1:2" x14ac:dyDescent="0.25">
      <c r="A4726">
        <f ca="1">39459.2858666421*(RANDBETWEEN(2890,3282))</f>
        <v>125677825.48525493</v>
      </c>
      <c r="B4726">
        <v>214715007.10237876</v>
      </c>
    </row>
    <row r="4727" spans="1:2" x14ac:dyDescent="0.25">
      <c r="A4727">
        <f ca="1">29534.3844518115*(RANDBETWEEN(2890,3282))</f>
        <v>93328654.867724448</v>
      </c>
      <c r="B4727">
        <v>204470489.06939083</v>
      </c>
    </row>
    <row r="4728" spans="1:2" x14ac:dyDescent="0.25">
      <c r="A4728">
        <f ca="1">32582.6193109854*(RANDBETWEEN(2890,3282))</f>
        <v>96183892.206029043</v>
      </c>
      <c r="B4728">
        <v>223401754.21760044</v>
      </c>
    </row>
    <row r="4729" spans="1:2" x14ac:dyDescent="0.25">
      <c r="A4729">
        <f ca="1">38674.1834355943*(RANDBETWEEN(2890,3282))</f>
        <v>125961815.44973052</v>
      </c>
      <c r="B4729">
        <v>238333114.61570331</v>
      </c>
    </row>
    <row r="4730" spans="1:2" x14ac:dyDescent="0.25">
      <c r="A4730">
        <f ca="1">33143.6974989399*(RANDBETWEEN(2890,3282))</f>
        <v>104568365.60915533</v>
      </c>
      <c r="B4730">
        <v>220114196.75774789</v>
      </c>
    </row>
    <row r="4731" spans="1:2" x14ac:dyDescent="0.25">
      <c r="A4731">
        <f ca="1">41211.3008040077*(RANDBETWEEN(2890,3282))</f>
        <v>132988867.6945329</v>
      </c>
      <c r="B4731">
        <v>205889533.50236809</v>
      </c>
    </row>
    <row r="4732" spans="1:2" x14ac:dyDescent="0.25">
      <c r="A4732">
        <f ca="1">32182.3925698177*(RANDBETWEEN(2890,3282))</f>
        <v>97029913.598000318</v>
      </c>
      <c r="B4732">
        <v>242200405.13574731</v>
      </c>
    </row>
    <row r="4733" spans="1:2" x14ac:dyDescent="0.25">
      <c r="A4733">
        <f ca="1">29981.2574958892*(RANDBETWEEN(2890,3282))</f>
        <v>97559011.891623572</v>
      </c>
      <c r="B4733">
        <v>241166217.13779896</v>
      </c>
    </row>
    <row r="4734" spans="1:2" x14ac:dyDescent="0.25">
      <c r="A4734">
        <f ca="1">29310.7599996743*(RANDBETWEEN(2890,3282))</f>
        <v>92416826.278972998</v>
      </c>
      <c r="B4734">
        <v>206558848.41072345</v>
      </c>
    </row>
    <row r="4735" spans="1:2" x14ac:dyDescent="0.25">
      <c r="A4735">
        <f ca="1">30184.1023811656*(RANDBETWEEN(2890,3282))</f>
        <v>92031328.160173923</v>
      </c>
      <c r="B4735">
        <v>222655632.4156543</v>
      </c>
    </row>
    <row r="4736" spans="1:2" x14ac:dyDescent="0.25">
      <c r="A4736">
        <f ca="1">30450.9399183876*(RANDBETWEEN(2890,3282))</f>
        <v>93667091.188960209</v>
      </c>
      <c r="B4736">
        <v>233801752.39093116</v>
      </c>
    </row>
    <row r="4737" spans="1:2" x14ac:dyDescent="0.25">
      <c r="A4737">
        <f ca="1">40943.8681497795*(RANDBETWEEN(2890,3282))</f>
        <v>131020378.07929438</v>
      </c>
      <c r="B4737">
        <v>256455318.12809774</v>
      </c>
    </row>
    <row r="4738" spans="1:2" x14ac:dyDescent="0.25">
      <c r="A4738">
        <f ca="1">28960.3088492765*(RANDBETWEEN(2890,3282))</f>
        <v>84998506.472626522</v>
      </c>
      <c r="B4738">
        <v>235185148.94187456</v>
      </c>
    </row>
    <row r="4739" spans="1:2" x14ac:dyDescent="0.25">
      <c r="A4739">
        <f ca="1">29140.7318931072*(RANDBETWEEN(2890,3282))</f>
        <v>84274996.634866163</v>
      </c>
      <c r="B4739">
        <v>209775725.74513495</v>
      </c>
    </row>
    <row r="4740" spans="1:2" x14ac:dyDescent="0.25">
      <c r="A4740">
        <f ca="1">31988.5489461796*(RANDBETWEEN(2890,3282))</f>
        <v>94846047.625422642</v>
      </c>
      <c r="B4740">
        <v>266368594.53043666</v>
      </c>
    </row>
    <row r="4741" spans="1:2" x14ac:dyDescent="0.25">
      <c r="A4741">
        <f ca="1">39947.176432432*(RANDBETWEEN(2890,3282))</f>
        <v>129388904.46464723</v>
      </c>
      <c r="B4741">
        <v>231584339.86351764</v>
      </c>
    </row>
    <row r="4742" spans="1:2" x14ac:dyDescent="0.25">
      <c r="A4742">
        <f ca="1">35164.8212127928*(RANDBETWEEN(2890,3282))</f>
        <v>103947211.50501566</v>
      </c>
      <c r="B4742">
        <v>264230280.09485492</v>
      </c>
    </row>
    <row r="4743" spans="1:2" x14ac:dyDescent="0.25">
      <c r="A4743">
        <f ca="1">34362.3254617759*(RANDBETWEEN(2890,3282))</f>
        <v>107725890.32266757</v>
      </c>
      <c r="B4743">
        <v>242954412.13074753</v>
      </c>
    </row>
    <row r="4744" spans="1:2" x14ac:dyDescent="0.25">
      <c r="A4744">
        <f ca="1">33237.7913218831*(RANDBETWEEN(2890,3282))</f>
        <v>99912800.713580713</v>
      </c>
      <c r="B4744">
        <v>234441629.5642516</v>
      </c>
    </row>
    <row r="4745" spans="1:2" x14ac:dyDescent="0.25">
      <c r="A4745">
        <f ca="1">31830.146882022*(RANDBETWEEN(2890,3282))</f>
        <v>101156206.79106584</v>
      </c>
      <c r="B4745">
        <v>251288700.75495493</v>
      </c>
    </row>
    <row r="4746" spans="1:2" x14ac:dyDescent="0.25">
      <c r="A4746">
        <f ca="1">32406.990717901*(RANDBETWEEN(2890,3282))</f>
        <v>96378390.395037442</v>
      </c>
      <c r="B4746">
        <v>261190347.55721751</v>
      </c>
    </row>
    <row r="4747" spans="1:2" x14ac:dyDescent="0.25">
      <c r="A4747">
        <f ca="1">29747.3273853633*(RANDBETWEEN(2890,3282))</f>
        <v>90699601.197972611</v>
      </c>
      <c r="B4747">
        <v>212643304.28072241</v>
      </c>
    </row>
    <row r="4748" spans="1:2" x14ac:dyDescent="0.25">
      <c r="A4748">
        <f ca="1">38953.1138076449*(RANDBETWEEN(2890,3282))</f>
        <v>125857510.71250053</v>
      </c>
      <c r="B4748">
        <v>249548148.22662151</v>
      </c>
    </row>
    <row r="4749" spans="1:2" x14ac:dyDescent="0.25">
      <c r="A4749">
        <f ca="1">35237.0828265021*(RANDBETWEEN(2890,3282))</f>
        <v>114309096.68917297</v>
      </c>
      <c r="B4749">
        <v>212106608.54289311</v>
      </c>
    </row>
    <row r="4750" spans="1:2" x14ac:dyDescent="0.25">
      <c r="A4750">
        <f ca="1">40082.8106903006*(RANDBETWEEN(2890,3282))</f>
        <v>119607107.09985694</v>
      </c>
      <c r="B4750">
        <v>212895072.93383017</v>
      </c>
    </row>
    <row r="4751" spans="1:2" x14ac:dyDescent="0.25">
      <c r="A4751">
        <f ca="1">33163.1743524614*(RANDBETWEEN(2890,3282))</f>
        <v>105691036.66129437</v>
      </c>
      <c r="B4751">
        <v>245544363.83930063</v>
      </c>
    </row>
    <row r="4752" spans="1:2" x14ac:dyDescent="0.25">
      <c r="A4752">
        <f ca="1">33296.644960925*(RANDBETWEEN(2890,3282))</f>
        <v>97525873.090549365</v>
      </c>
      <c r="B4752">
        <v>257676512.26708668</v>
      </c>
    </row>
    <row r="4753" spans="1:2" x14ac:dyDescent="0.25">
      <c r="A4753">
        <f ca="1">30297.4613796573*(RANDBETWEEN(2890,3282))</f>
        <v>97406338.335598335</v>
      </c>
      <c r="B4753">
        <v>258647974.31961238</v>
      </c>
    </row>
    <row r="4754" spans="1:2" x14ac:dyDescent="0.25">
      <c r="A4754">
        <f ca="1">35637.0255723795*(RANDBETWEEN(2890,3282))</f>
        <v>107303083.99843471</v>
      </c>
      <c r="B4754">
        <v>241302513.95840338</v>
      </c>
    </row>
    <row r="4755" spans="1:2" x14ac:dyDescent="0.25">
      <c r="A4755">
        <f ca="1">35115.212274903*(RANDBETWEEN(2890,3282))</f>
        <v>103449415.36186422</v>
      </c>
      <c r="B4755">
        <v>208959104.08875263</v>
      </c>
    </row>
    <row r="4756" spans="1:2" x14ac:dyDescent="0.25">
      <c r="A4756">
        <f ca="1">34419.5117176604*(RANDBETWEEN(2890,3282))</f>
        <v>111140603.33632542</v>
      </c>
      <c r="B4756">
        <v>257478928.37132585</v>
      </c>
    </row>
    <row r="4757" spans="1:2" x14ac:dyDescent="0.25">
      <c r="A4757">
        <f ca="1">32635.7893312425*(RANDBETWEEN(2890,3282))</f>
        <v>96308214.31649673</v>
      </c>
      <c r="B4757">
        <v>243066562.4591161</v>
      </c>
    </row>
    <row r="4758" spans="1:2" x14ac:dyDescent="0.25">
      <c r="A4758">
        <f ca="1">31819.1302975624*(RANDBETWEEN(2890,3282))</f>
        <v>93866434.377808943</v>
      </c>
      <c r="B4758">
        <v>245757247.25847486</v>
      </c>
    </row>
    <row r="4759" spans="1:2" x14ac:dyDescent="0.25">
      <c r="A4759">
        <f ca="1">35749.4224415526*(RANDBETWEEN(2890,3282))</f>
        <v>106140035.22896971</v>
      </c>
      <c r="B4759">
        <v>206576557.11653298</v>
      </c>
    </row>
    <row r="4760" spans="1:2" x14ac:dyDescent="0.25">
      <c r="A4760">
        <f ca="1">32968.8922376112*(RANDBETWEEN(2890,3282))</f>
        <v>96961512.070814416</v>
      </c>
      <c r="B4760">
        <v>233748418.74390319</v>
      </c>
    </row>
    <row r="4761" spans="1:2" x14ac:dyDescent="0.25">
      <c r="A4761">
        <f ca="1">28451.5764917642*(RANDBETWEEN(2890,3282))</f>
        <v>85155568.43985033</v>
      </c>
      <c r="B4761">
        <v>248399841.89754111</v>
      </c>
    </row>
    <row r="4762" spans="1:2" x14ac:dyDescent="0.25">
      <c r="A4762">
        <f ca="1">32282.3704962151*(RANDBETWEEN(2890,3282))</f>
        <v>94813322.147383884</v>
      </c>
      <c r="B4762">
        <v>243728991.16585007</v>
      </c>
    </row>
    <row r="4763" spans="1:2" x14ac:dyDescent="0.25">
      <c r="A4763">
        <f ca="1">31123.7138764098*(RANDBETWEEN(2890,3282))</f>
        <v>91503718.796644807</v>
      </c>
      <c r="B4763">
        <v>229649101.15087724</v>
      </c>
    </row>
    <row r="4764" spans="1:2" x14ac:dyDescent="0.25">
      <c r="A4764">
        <f ca="1">30973.1732338417*(RANDBETWEEN(2890,3282))</f>
        <v>94375258.843515649</v>
      </c>
      <c r="B4764">
        <v>205030449.25038368</v>
      </c>
    </row>
    <row r="4765" spans="1:2" x14ac:dyDescent="0.25">
      <c r="A4765">
        <f ca="1">30697.2152376673*(RANDBETWEEN(2890,3282))</f>
        <v>100686865.97954889</v>
      </c>
      <c r="B4765">
        <v>216020815.82494497</v>
      </c>
    </row>
    <row r="4766" spans="1:2" x14ac:dyDescent="0.25">
      <c r="A4766">
        <f ca="1">32961.0028032625*(RANDBETWEEN(2890,3282))</f>
        <v>107156220.11340632</v>
      </c>
      <c r="B4766">
        <v>214710340.68389815</v>
      </c>
    </row>
    <row r="4767" spans="1:2" x14ac:dyDescent="0.25">
      <c r="A4767">
        <f ca="1">32683.7595875158*(RANDBETWEEN(2890,3282))</f>
        <v>99816201.780273378</v>
      </c>
      <c r="B4767">
        <v>213966800.08387956</v>
      </c>
    </row>
    <row r="4768" spans="1:2" x14ac:dyDescent="0.25">
      <c r="A4768">
        <f ca="1">30674.0787302657*(RANDBETWEEN(2890,3282))</f>
        <v>93433243.812389463</v>
      </c>
      <c r="B4768">
        <v>257543976.95956275</v>
      </c>
    </row>
    <row r="4769" spans="1:2" x14ac:dyDescent="0.25">
      <c r="A4769">
        <f ca="1">28754.3780734266*(RANDBETWEEN(2890,3282))</f>
        <v>87758361.880097881</v>
      </c>
      <c r="B4769">
        <v>253224761.87488124</v>
      </c>
    </row>
    <row r="4770" spans="1:2" x14ac:dyDescent="0.25">
      <c r="A4770">
        <f ca="1">31344.4906541402*(RANDBETWEEN(2890,3282))</f>
        <v>97544054.915684402</v>
      </c>
      <c r="B4770">
        <v>215678665.39436358</v>
      </c>
    </row>
    <row r="4771" spans="1:2" x14ac:dyDescent="0.25">
      <c r="A4771">
        <f ca="1">33503.4546459722*(RANDBETWEEN(2890,3282))</f>
        <v>101012915.7576061</v>
      </c>
      <c r="B4771">
        <v>236235541.0827961</v>
      </c>
    </row>
    <row r="4772" spans="1:2" x14ac:dyDescent="0.25">
      <c r="A4772">
        <f ca="1">29722.9381626926*(RANDBETWEEN(2890,3282))</f>
        <v>97402068.359143674</v>
      </c>
      <c r="B4772">
        <v>227557886.06839082</v>
      </c>
    </row>
    <row r="4773" spans="1:2" x14ac:dyDescent="0.25">
      <c r="A4773">
        <f ca="1">33029.6309003479*(RANDBETWEEN(2890,3282))</f>
        <v>97800737.09593001</v>
      </c>
      <c r="B4773">
        <v>265222824.18897575</v>
      </c>
    </row>
    <row r="4774" spans="1:2" x14ac:dyDescent="0.25">
      <c r="A4774">
        <f ca="1">32662.2544161501*(RANDBETWEEN(2890,3282))</f>
        <v>104715187.65817727</v>
      </c>
      <c r="B4774">
        <v>233881801.94945011</v>
      </c>
    </row>
    <row r="4775" spans="1:2" x14ac:dyDescent="0.25">
      <c r="A4775">
        <f ca="1">34361.9952094321*(RANDBETWEEN(2890,3282))</f>
        <v>111917018.39712046</v>
      </c>
      <c r="B4775">
        <v>233512502.3026568</v>
      </c>
    </row>
    <row r="4776" spans="1:2" x14ac:dyDescent="0.25">
      <c r="A4776">
        <f ca="1">29264.4051054148*(RANDBETWEEN(2890,3282))</f>
        <v>84603395.159754068</v>
      </c>
      <c r="B4776">
        <v>253792944.27814481</v>
      </c>
    </row>
    <row r="4777" spans="1:2" x14ac:dyDescent="0.25">
      <c r="A4777">
        <f ca="1">40316.5901732156*(RANDBETWEEN(2890,3282))</f>
        <v>126271560.42251125</v>
      </c>
      <c r="B4777">
        <v>252282422.1107648</v>
      </c>
    </row>
    <row r="4778" spans="1:2" x14ac:dyDescent="0.25">
      <c r="A4778">
        <f ca="1">34169.961996623*(RANDBETWEEN(2890,3282))</f>
        <v>99468759.372169644</v>
      </c>
      <c r="B4778">
        <v>213461293.05396882</v>
      </c>
    </row>
    <row r="4779" spans="1:2" x14ac:dyDescent="0.25">
      <c r="A4779">
        <f ca="1">31359.3791166482*(RANDBETWEEN(2890,3282))</f>
        <v>95489309.410193667</v>
      </c>
      <c r="B4779">
        <v>229261096.23400736</v>
      </c>
    </row>
    <row r="4780" spans="1:2" x14ac:dyDescent="0.25">
      <c r="A4780">
        <f ca="1">36048.884043912*(RANDBETWEEN(2890,3282))</f>
        <v>107894309.9434287</v>
      </c>
      <c r="B4780">
        <v>224078366.57158157</v>
      </c>
    </row>
    <row r="4781" spans="1:2" x14ac:dyDescent="0.25">
      <c r="A4781">
        <f ca="1">37348.1577315839*(RANDBETWEEN(2890,3282))</f>
        <v>119103275.00602116</v>
      </c>
      <c r="B4781">
        <v>226661423.97431886</v>
      </c>
    </row>
    <row r="4782" spans="1:2" x14ac:dyDescent="0.25">
      <c r="A4782">
        <f ca="1">37821.3553848855*(RANDBETWEEN(2890,3282))</f>
        <v>119477661.66085333</v>
      </c>
      <c r="B4782">
        <v>244465989.65092587</v>
      </c>
    </row>
    <row r="4783" spans="1:2" x14ac:dyDescent="0.25">
      <c r="A4783">
        <f ca="1">38771.9044655691*(RANDBETWEEN(2890,3282))</f>
        <v>125155707.6148569</v>
      </c>
      <c r="B4783">
        <v>267728426.34270564</v>
      </c>
    </row>
    <row r="4784" spans="1:2" x14ac:dyDescent="0.25">
      <c r="A4784">
        <f ca="1">32986.5061514737*(RANDBETWEEN(2890,3282))</f>
        <v>107733929.09071326</v>
      </c>
      <c r="B4784">
        <v>249071412.19466013</v>
      </c>
    </row>
    <row r="4785" spans="1:2" x14ac:dyDescent="0.25">
      <c r="A4785">
        <f ca="1">34833.7265158333*(RANDBETWEEN(2890,3282))</f>
        <v>102411155.95654978</v>
      </c>
      <c r="B4785">
        <v>264852834.64814836</v>
      </c>
    </row>
    <row r="4786" spans="1:2" x14ac:dyDescent="0.25">
      <c r="A4786">
        <f ca="1">37972.7796936156*(RANDBETWEEN(2890,3282))</f>
        <v>120715466.64600402</v>
      </c>
      <c r="B4786">
        <v>262090539.25011837</v>
      </c>
    </row>
    <row r="4787" spans="1:2" x14ac:dyDescent="0.25">
      <c r="A4787">
        <f ca="1">41709.7348300161*(RANDBETWEEN(2890,3282))</f>
        <v>121500457.55983688</v>
      </c>
      <c r="B4787">
        <v>223243968.30133632</v>
      </c>
    </row>
    <row r="4788" spans="1:2" x14ac:dyDescent="0.25">
      <c r="A4788">
        <f ca="1">35080.270540486*(RANDBETWEEN(2890,3282))</f>
        <v>109029480.83983059</v>
      </c>
      <c r="B4788">
        <v>231125350.42887095</v>
      </c>
    </row>
    <row r="4789" spans="1:2" x14ac:dyDescent="0.25">
      <c r="A4789">
        <f ca="1">30243.7096849592*(RANDBETWEEN(2890,3282))</f>
        <v>92727213.894084767</v>
      </c>
      <c r="B4789">
        <v>246217046.81233433</v>
      </c>
    </row>
    <row r="4790" spans="1:2" x14ac:dyDescent="0.25">
      <c r="A4790">
        <f ca="1">33203.0593268937*(RANDBETWEEN(2890,3282))</f>
        <v>98812304.556835562</v>
      </c>
      <c r="B4790">
        <v>258318206.08411637</v>
      </c>
    </row>
    <row r="4791" spans="1:2" x14ac:dyDescent="0.25">
      <c r="A4791">
        <f ca="1">33280.1390908807*(RANDBETWEEN(2890,3282))</f>
        <v>96379282.807190552</v>
      </c>
      <c r="B4791">
        <v>211054236.19336402</v>
      </c>
    </row>
    <row r="4792" spans="1:2" x14ac:dyDescent="0.25">
      <c r="A4792">
        <f ca="1">31597.1087691058*(RANDBETWEEN(2890,3282))</f>
        <v>92737514.237325534</v>
      </c>
      <c r="B4792">
        <v>224973055.49735138</v>
      </c>
    </row>
    <row r="4793" spans="1:2" x14ac:dyDescent="0.25">
      <c r="A4793">
        <f ca="1">30167.1089692864*(RANDBETWEEN(2890,3282))</f>
        <v>92160517.901169986</v>
      </c>
      <c r="B4793">
        <v>231174736.05404454</v>
      </c>
    </row>
    <row r="4794" spans="1:2" x14ac:dyDescent="0.25">
      <c r="A4794">
        <f ca="1">39777.6408731488*(RANDBETWEEN(2890,3282))</f>
        <v>128601112.94289003</v>
      </c>
      <c r="B4794">
        <v>244668215.67821625</v>
      </c>
    </row>
    <row r="4795" spans="1:2" x14ac:dyDescent="0.25">
      <c r="A4795">
        <f ca="1">34521.6935486765*(RANDBETWEEN(2890,3282))</f>
        <v>101873517.66214438</v>
      </c>
      <c r="B4795">
        <v>243773507.06978923</v>
      </c>
    </row>
    <row r="4796" spans="1:2" x14ac:dyDescent="0.25">
      <c r="A4796">
        <f ca="1">30896.8642952788*(RANDBETWEEN(2890,3282))</f>
        <v>89539112.727717921</v>
      </c>
      <c r="B4796">
        <v>264742740.17486143</v>
      </c>
    </row>
    <row r="4797" spans="1:2" x14ac:dyDescent="0.25">
      <c r="A4797">
        <f ca="1">31885.3781210113*(RANDBETWEEN(2890,3282))</f>
        <v>101076648.64360592</v>
      </c>
      <c r="B4797">
        <v>224830786.38178912</v>
      </c>
    </row>
    <row r="4798" spans="1:2" x14ac:dyDescent="0.25">
      <c r="A4798">
        <f ca="1">38535.3464794887*(RANDBETWEEN(2890,3282))</f>
        <v>115567504.09198658</v>
      </c>
      <c r="B4798">
        <v>212955427.5432924</v>
      </c>
    </row>
    <row r="4799" spans="1:2" x14ac:dyDescent="0.25">
      <c r="A4799">
        <f ca="1">32120.8171145793*(RANDBETWEEN(2890,3282))</f>
        <v>101983594.33878925</v>
      </c>
      <c r="B4799">
        <v>239531507.6176331</v>
      </c>
    </row>
    <row r="4800" spans="1:2" x14ac:dyDescent="0.25">
      <c r="A4800">
        <f ca="1">32739.5226421958*(RANDBETWEEN(2890,3282))</f>
        <v>104078942.47954035</v>
      </c>
      <c r="B4800">
        <v>266611411.88883027</v>
      </c>
    </row>
    <row r="4801" spans="1:2" x14ac:dyDescent="0.25">
      <c r="A4801">
        <f ca="1">41110.8781297835*(RANDBETWEEN(2890,3282))</f>
        <v>130568148.94019245</v>
      </c>
      <c r="B4801">
        <v>243342738.56433597</v>
      </c>
    </row>
    <row r="4802" spans="1:2" x14ac:dyDescent="0.25">
      <c r="A4802">
        <f ca="1">35026.7621187516*(RANDBETWEEN(2890,3282))</f>
        <v>107952480.84999232</v>
      </c>
      <c r="B4802">
        <v>217683126.42965791</v>
      </c>
    </row>
    <row r="4803" spans="1:2" x14ac:dyDescent="0.25">
      <c r="A4803">
        <f ca="1">43046.6177445978*(RANDBETWEEN(2890,3282))</f>
        <v>129570319.41123949</v>
      </c>
      <c r="B4803">
        <v>250333625.29002631</v>
      </c>
    </row>
    <row r="4804" spans="1:2" x14ac:dyDescent="0.25">
      <c r="A4804">
        <f ca="1">39653.2770510108*(RANDBETWEEN(2890,3282))</f>
        <v>116501327.97586961</v>
      </c>
      <c r="B4804">
        <v>228222161.91380584</v>
      </c>
    </row>
    <row r="4805" spans="1:2" x14ac:dyDescent="0.25">
      <c r="A4805">
        <f ca="1">40641.7297396692*(RANDBETWEEN(2890,3282))</f>
        <v>122128397.86770597</v>
      </c>
      <c r="B4805">
        <v>239150899.15871823</v>
      </c>
    </row>
    <row r="4806" spans="1:2" x14ac:dyDescent="0.25">
      <c r="A4806">
        <f ca="1">33829.9895879287*(RANDBETWEEN(2890,3282))</f>
        <v>105718717.46227725</v>
      </c>
      <c r="B4806">
        <v>227948197.11559892</v>
      </c>
    </row>
    <row r="4807" spans="1:2" x14ac:dyDescent="0.25">
      <c r="A4807">
        <f ca="1">32969.762832026*(RANDBETWEEN(2890,3282))</f>
        <v>98843348.970413879</v>
      </c>
      <c r="B4807">
        <v>248540684.26622903</v>
      </c>
    </row>
    <row r="4808" spans="1:2" x14ac:dyDescent="0.25">
      <c r="A4808">
        <f ca="1">37247.0556100718*(RANDBETWEEN(2890,3282))</f>
        <v>115316884.1687822</v>
      </c>
      <c r="B4808">
        <v>226274028.725667</v>
      </c>
    </row>
    <row r="4809" spans="1:2" x14ac:dyDescent="0.25">
      <c r="A4809">
        <f ca="1">31504.5433860462*(RANDBETWEEN(2890,3282))</f>
        <v>102169234.20094773</v>
      </c>
      <c r="B4809">
        <v>258922757.23796979</v>
      </c>
    </row>
    <row r="4810" spans="1:2" x14ac:dyDescent="0.25">
      <c r="A4810">
        <f ca="1">33825.1825852259*(RANDBETWEEN(2890,3282))</f>
        <v>101746149.21635957</v>
      </c>
      <c r="B4810">
        <v>251466826.54014802</v>
      </c>
    </row>
    <row r="4811" spans="1:2" x14ac:dyDescent="0.25">
      <c r="A4811">
        <f ca="1">37325.0485425133*(RANDBETWEEN(2890,3282))</f>
        <v>110780744.07417955</v>
      </c>
      <c r="B4811">
        <v>266175075.24976802</v>
      </c>
    </row>
    <row r="4812" spans="1:2" x14ac:dyDescent="0.25">
      <c r="A4812">
        <f ca="1">35117.8743941882*(RANDBETWEEN(2890,3282))</f>
        <v>108443996.12925327</v>
      </c>
      <c r="B4812">
        <v>214431853.18410754</v>
      </c>
    </row>
    <row r="4813" spans="1:2" x14ac:dyDescent="0.25">
      <c r="A4813">
        <f ca="1">30753.9904051168*(RANDBETWEEN(2890,3282))</f>
        <v>89770897.992535815</v>
      </c>
      <c r="B4813">
        <v>229291117.92884403</v>
      </c>
    </row>
    <row r="4814" spans="1:2" x14ac:dyDescent="0.25">
      <c r="A4814">
        <f ca="1">39176.5942636577*(RANDBETWEEN(2890,3282))</f>
        <v>124542393.16416791</v>
      </c>
      <c r="B4814">
        <v>229850939.07872295</v>
      </c>
    </row>
    <row r="4815" spans="1:2" x14ac:dyDescent="0.25">
      <c r="A4815">
        <f ca="1">30786.5528238405*(RANDBETWEEN(2890,3282))</f>
        <v>99902363.913362458</v>
      </c>
      <c r="B4815">
        <v>262318172.86680639</v>
      </c>
    </row>
    <row r="4816" spans="1:2" x14ac:dyDescent="0.25">
      <c r="A4816">
        <f ca="1">29261.1683316561*(RANDBETWEEN(2890,3282))</f>
        <v>93811305.67128931</v>
      </c>
      <c r="B4816">
        <v>257439746.79352054</v>
      </c>
    </row>
    <row r="4817" spans="1:2" x14ac:dyDescent="0.25">
      <c r="A4817">
        <f ca="1">34134.5225560162*(RANDBETWEEN(2890,3282))</f>
        <v>104827118.7695258</v>
      </c>
      <c r="B4817">
        <v>216973682.07573324</v>
      </c>
    </row>
    <row r="4818" spans="1:2" x14ac:dyDescent="0.25">
      <c r="A4818">
        <f ca="1">38573.0131807242*(RANDBETWEEN(2890,3282))</f>
        <v>116374780.76624487</v>
      </c>
      <c r="B4818">
        <v>262561693.05184042</v>
      </c>
    </row>
    <row r="4819" spans="1:2" x14ac:dyDescent="0.25">
      <c r="A4819">
        <f ca="1">38573.0617887119*(RANDBETWEEN(2890,3282))</f>
        <v>124205258.95965229</v>
      </c>
      <c r="B4819">
        <v>212113792.11059111</v>
      </c>
    </row>
    <row r="4820" spans="1:2" x14ac:dyDescent="0.25">
      <c r="A4820">
        <f ca="1">37535.9507604378*(RANDBETWEEN(2890,3282))</f>
        <v>108966865.05755098</v>
      </c>
      <c r="B4820">
        <v>236157927.43638551</v>
      </c>
    </row>
    <row r="4821" spans="1:2" x14ac:dyDescent="0.25">
      <c r="A4821">
        <f ca="1">31829.2610418561*(RANDBETWEEN(2890,3282))</f>
        <v>96410831.695782021</v>
      </c>
      <c r="B4821">
        <v>235298240.59077325</v>
      </c>
    </row>
    <row r="4822" spans="1:2" x14ac:dyDescent="0.25">
      <c r="A4822">
        <f ca="1">38082.526825421*(RANDBETWEEN(2890,3282))</f>
        <v>116151706.81753412</v>
      </c>
      <c r="B4822">
        <v>215487427.13370234</v>
      </c>
    </row>
    <row r="4823" spans="1:2" x14ac:dyDescent="0.25">
      <c r="A4823">
        <f ca="1">33020.5083700079*(RANDBETWEEN(2890,3282))</f>
        <v>96089679.356722876</v>
      </c>
      <c r="B4823">
        <v>234169975.55436999</v>
      </c>
    </row>
    <row r="4824" spans="1:2" x14ac:dyDescent="0.25">
      <c r="A4824">
        <f ca="1">33823.1270927564*(RANDBETWEEN(2890,3282))</f>
        <v>103464945.77674192</v>
      </c>
      <c r="B4824">
        <v>239738549.20659387</v>
      </c>
    </row>
    <row r="4825" spans="1:2" x14ac:dyDescent="0.25">
      <c r="A4825">
        <f ca="1">30656.3947582423*(RANDBETWEEN(2890,3282))</f>
        <v>96383705.119913667</v>
      </c>
      <c r="B4825">
        <v>204302926.41902071</v>
      </c>
    </row>
    <row r="4826" spans="1:2" x14ac:dyDescent="0.25">
      <c r="A4826">
        <f ca="1">34392.74765102*(RANDBETWEEN(2890,3282))</f>
        <v>105860877.26983958</v>
      </c>
      <c r="B4826">
        <v>243323427.94825321</v>
      </c>
    </row>
    <row r="4827" spans="1:2" x14ac:dyDescent="0.25">
      <c r="A4827">
        <f ca="1">33445.9653261273*(RANDBETWEEN(2890,3282))</f>
        <v>106592291.49436781</v>
      </c>
      <c r="B4827">
        <v>252489783.06740046</v>
      </c>
    </row>
    <row r="4828" spans="1:2" x14ac:dyDescent="0.25">
      <c r="A4828">
        <f ca="1">30135.3760143911*(RANDBETWEEN(2890,3282))</f>
        <v>96885233.886267409</v>
      </c>
      <c r="B4828">
        <v>219558249.4092418</v>
      </c>
    </row>
    <row r="4829" spans="1:2" x14ac:dyDescent="0.25">
      <c r="A4829">
        <f ca="1">30623.7178898479*(RANDBETWEEN(2890,3282))</f>
        <v>91718035.080094501</v>
      </c>
      <c r="B4829">
        <v>243595237.17904833</v>
      </c>
    </row>
    <row r="4830" spans="1:2" x14ac:dyDescent="0.25">
      <c r="A4830">
        <f ca="1">33573.8958111*(RANDBETWEEN(2890,3282))</f>
        <v>97230002.268945545</v>
      </c>
      <c r="B4830">
        <v>225499324.85823315</v>
      </c>
    </row>
    <row r="4831" spans="1:2" x14ac:dyDescent="0.25">
      <c r="A4831">
        <f ca="1">30305.4632998003*(RANDBETWEEN(2890,3282))</f>
        <v>97644202.751956433</v>
      </c>
      <c r="B4831">
        <v>242793208.12718439</v>
      </c>
    </row>
    <row r="4832" spans="1:2" x14ac:dyDescent="0.25">
      <c r="A4832">
        <f ca="1">32640.6078212393*(RANDBETWEEN(2890,3282))</f>
        <v>102687352.20561869</v>
      </c>
      <c r="B4832">
        <v>234308192.81387353</v>
      </c>
    </row>
    <row r="4833" spans="1:2" x14ac:dyDescent="0.25">
      <c r="A4833">
        <f ca="1">30185.4151238693*(RANDBETWEEN(2890,3282))</f>
        <v>89982722.484254405</v>
      </c>
      <c r="B4833">
        <v>239810908.03338313</v>
      </c>
    </row>
    <row r="4834" spans="1:2" x14ac:dyDescent="0.25">
      <c r="A4834">
        <f ca="1">41836.3037153854*(RANDBETWEEN(2890,3282))</f>
        <v>134545552.74867934</v>
      </c>
      <c r="B4834">
        <v>243547965.80328715</v>
      </c>
    </row>
    <row r="4835" spans="1:2" x14ac:dyDescent="0.25">
      <c r="A4835">
        <f ca="1">31876.8403361631*(RANDBETWEEN(2890,3282))</f>
        <v>93972925.311008796</v>
      </c>
      <c r="B4835">
        <v>209915084.37407458</v>
      </c>
    </row>
    <row r="4836" spans="1:2" x14ac:dyDescent="0.25">
      <c r="A4836">
        <f ca="1">33958.0382423537*(RANDBETWEEN(2890,3282))</f>
        <v>99666842.241308227</v>
      </c>
      <c r="B4836">
        <v>264345277.59247914</v>
      </c>
    </row>
    <row r="4837" spans="1:2" x14ac:dyDescent="0.25">
      <c r="A4837">
        <f ca="1">35578.0407678648*(RANDBETWEEN(2890,3282))</f>
        <v>106983168.58896953</v>
      </c>
      <c r="B4837">
        <v>238306176.66042829</v>
      </c>
    </row>
    <row r="4838" spans="1:2" x14ac:dyDescent="0.25">
      <c r="A4838">
        <f ca="1">38587.4536740204*(RANDBETWEEN(2890,3282))</f>
        <v>115492248.84634303</v>
      </c>
      <c r="B4838">
        <v>252763923.0806134</v>
      </c>
    </row>
    <row r="4839" spans="1:2" x14ac:dyDescent="0.25">
      <c r="A4839">
        <f ca="1">31540.5213660793*(RANDBETWEEN(2890,3282))</f>
        <v>92729132.816273257</v>
      </c>
      <c r="B4839">
        <v>235440450.04058045</v>
      </c>
    </row>
    <row r="4840" spans="1:2" x14ac:dyDescent="0.25">
      <c r="A4840">
        <f ca="1">36220.9688804532*(RANDBETWEEN(2890,3282))</f>
        <v>106598311.41517389</v>
      </c>
      <c r="B4840">
        <v>260130179.33925611</v>
      </c>
    </row>
    <row r="4841" spans="1:2" x14ac:dyDescent="0.25">
      <c r="A4841">
        <f ca="1">34899.2366298596*(RANDBETWEEN(2890,3282))</f>
        <v>113282922.10052428</v>
      </c>
      <c r="B4841">
        <v>211676761.66217524</v>
      </c>
    </row>
    <row r="4842" spans="1:2" x14ac:dyDescent="0.25">
      <c r="A4842">
        <f ca="1">29061.8679602798*(RANDBETWEEN(2890,3282))</f>
        <v>90120852.544827729</v>
      </c>
      <c r="B4842">
        <v>251900072.5426569</v>
      </c>
    </row>
    <row r="4843" spans="1:2" x14ac:dyDescent="0.25">
      <c r="A4843">
        <f ca="1">30482.2361707183*(RANDBETWEEN(2890,3282))</f>
        <v>94129145.295178205</v>
      </c>
      <c r="B4843">
        <v>234538327.74292573</v>
      </c>
    </row>
    <row r="4844" spans="1:2" x14ac:dyDescent="0.25">
      <c r="A4844">
        <f ca="1">31171.2527211535*(RANDBETWEEN(2890,3282))</f>
        <v>99342782.422316208</v>
      </c>
      <c r="B4844">
        <v>226465125.63876554</v>
      </c>
    </row>
    <row r="4845" spans="1:2" x14ac:dyDescent="0.25">
      <c r="A4845">
        <f ca="1">29208.2017123338*(RANDBETWEEN(2890,3282))</f>
        <v>94663781.749673903</v>
      </c>
      <c r="B4845">
        <v>256605236.87882844</v>
      </c>
    </row>
    <row r="4846" spans="1:2" x14ac:dyDescent="0.25">
      <c r="A4846">
        <f ca="1">36401.6608047037*(RANDBETWEEN(2890,3282))</f>
        <v>118633012.56252936</v>
      </c>
      <c r="B4846">
        <v>245286024.52647007</v>
      </c>
    </row>
    <row r="4847" spans="1:2" x14ac:dyDescent="0.25">
      <c r="A4847">
        <f ca="1">32672.9188883442*(RANDBETWEEN(2890,3282))</f>
        <v>95502941.910629958</v>
      </c>
      <c r="B4847">
        <v>205389715.76760125</v>
      </c>
    </row>
    <row r="4848" spans="1:2" x14ac:dyDescent="0.25">
      <c r="A4848">
        <f ca="1">31354.3516053036*(RANDBETWEEN(2890,3282))</f>
        <v>98828916.259916827</v>
      </c>
      <c r="B4848">
        <v>230799243.2240358</v>
      </c>
    </row>
    <row r="4849" spans="1:2" x14ac:dyDescent="0.25">
      <c r="A4849">
        <f ca="1">34997.8153214691*(RANDBETWEEN(2890,3282))</f>
        <v>114057880.13266772</v>
      </c>
      <c r="B4849">
        <v>229472621.98918527</v>
      </c>
    </row>
    <row r="4850" spans="1:2" x14ac:dyDescent="0.25">
      <c r="A4850">
        <f ca="1">31725.7514672429*(RANDBETWEEN(2890,3282))</f>
        <v>104092190.56402406</v>
      </c>
      <c r="B4850">
        <v>226673343.29628921</v>
      </c>
    </row>
    <row r="4851" spans="1:2" x14ac:dyDescent="0.25">
      <c r="A4851">
        <f ca="1">33321.5342474432*(RANDBETWEEN(2890,3282))</f>
        <v>108294986.3041905</v>
      </c>
      <c r="B4851">
        <v>254215367.31157354</v>
      </c>
    </row>
    <row r="4852" spans="1:2" x14ac:dyDescent="0.25">
      <c r="A4852">
        <f ca="1">35993.2880936543*(RANDBETWEEN(2890,3282))</f>
        <v>107727911.26430741</v>
      </c>
      <c r="B4852">
        <v>257865081.45020157</v>
      </c>
    </row>
    <row r="4853" spans="1:2" x14ac:dyDescent="0.25">
      <c r="A4853">
        <f ca="1">33406.4145539072*(RANDBETWEEN(2890,3282))</f>
        <v>100486494.97815277</v>
      </c>
      <c r="B4853">
        <v>217788532.49414504</v>
      </c>
    </row>
    <row r="4854" spans="1:2" x14ac:dyDescent="0.25">
      <c r="A4854">
        <f ca="1">36758.6387196965*(RANDBETWEEN(2890,3282))</f>
        <v>109283432.91365783</v>
      </c>
      <c r="B4854">
        <v>247208142.59559041</v>
      </c>
    </row>
    <row r="4855" spans="1:2" x14ac:dyDescent="0.25">
      <c r="A4855">
        <f ca="1">31455.927144797*(RANDBETWEEN(2890,3282))</f>
        <v>95720386.30161719</v>
      </c>
      <c r="B4855">
        <v>223821329.02038521</v>
      </c>
    </row>
    <row r="4856" spans="1:2" x14ac:dyDescent="0.25">
      <c r="A4856">
        <f ca="1">33372.6624584647*(RANDBETWEEN(2890,3282))</f>
        <v>106959383.17937946</v>
      </c>
      <c r="B4856">
        <v>243695465.48412386</v>
      </c>
    </row>
    <row r="4857" spans="1:2" x14ac:dyDescent="0.25">
      <c r="A4857">
        <f ca="1">33808.8485123076*(RANDBETWEEN(2890,3282))</f>
        <v>110318272.6956598</v>
      </c>
      <c r="B4857">
        <v>254880337.38771501</v>
      </c>
    </row>
    <row r="4858" spans="1:2" x14ac:dyDescent="0.25">
      <c r="A4858">
        <f ca="1">34776.6080639895*(RANDBETWEEN(2890,3282))</f>
        <v>101095599.6420175</v>
      </c>
      <c r="B4858">
        <v>225237463.42727152</v>
      </c>
    </row>
    <row r="4859" spans="1:2" x14ac:dyDescent="0.25">
      <c r="A4859">
        <f ca="1">32908.7552335992*(RANDBETWEEN(2890,3282))</f>
        <v>103827122.76200555</v>
      </c>
      <c r="B4859">
        <v>254923048.90666336</v>
      </c>
    </row>
    <row r="4860" spans="1:2" x14ac:dyDescent="0.25">
      <c r="A4860">
        <f ca="1">36366.502936951*(RANDBETWEEN(2890,3282))</f>
        <v>108735843.78148352</v>
      </c>
      <c r="B4860">
        <v>242958794.85711515</v>
      </c>
    </row>
    <row r="4861" spans="1:2" x14ac:dyDescent="0.25">
      <c r="A4861">
        <f ca="1">34007.2521223661*(RANDBETWEEN(2890,3282))</f>
        <v>105830568.60480325</v>
      </c>
      <c r="B4861">
        <v>251331951.97290224</v>
      </c>
    </row>
    <row r="4862" spans="1:2" x14ac:dyDescent="0.25">
      <c r="A4862">
        <f ca="1">33561.2279668553*(RANDBETWEEN(2890,3282))</f>
        <v>102093255.4751737</v>
      </c>
      <c r="B4862">
        <v>247032769.10643089</v>
      </c>
    </row>
    <row r="4863" spans="1:2" x14ac:dyDescent="0.25">
      <c r="A4863">
        <f ca="1">33226.8046532927*(RANDBETWEEN(2890,3282))</f>
        <v>99348145.913345203</v>
      </c>
      <c r="B4863">
        <v>221800835.48577967</v>
      </c>
    </row>
    <row r="4864" spans="1:2" x14ac:dyDescent="0.25">
      <c r="A4864">
        <f ca="1">31124.1254188442*(RANDBETWEEN(2890,3282))</f>
        <v>90353336.090904579</v>
      </c>
      <c r="B4864">
        <v>219677716.89314896</v>
      </c>
    </row>
    <row r="4865" spans="1:2" x14ac:dyDescent="0.25">
      <c r="A4865">
        <f ca="1">29679.1720588067*(RANDBETWEEN(2890,3282))</f>
        <v>88918799.488184929</v>
      </c>
      <c r="B4865">
        <v>212688337.13072383</v>
      </c>
    </row>
    <row r="4866" spans="1:2" x14ac:dyDescent="0.25">
      <c r="A4866">
        <f ca="1">32653.9230523385*(RANDBETWEEN(2890,3282))</f>
        <v>104394591.99832608</v>
      </c>
      <c r="B4866">
        <v>218278819.54404509</v>
      </c>
    </row>
    <row r="4867" spans="1:2" x14ac:dyDescent="0.25">
      <c r="A4867">
        <f ca="1">30814.202799931*(RANDBETWEEN(2890,3282))</f>
        <v>90439685.217797533</v>
      </c>
      <c r="B4867">
        <v>248939237.13439041</v>
      </c>
    </row>
    <row r="4868" spans="1:2" x14ac:dyDescent="0.25">
      <c r="A4868">
        <f ca="1">31516.4945757367*(RANDBETWEEN(2890,3282))</f>
        <v>97543550.711904988</v>
      </c>
      <c r="B4868">
        <v>231534826.06397378</v>
      </c>
    </row>
    <row r="4869" spans="1:2" x14ac:dyDescent="0.25">
      <c r="A4869">
        <f ca="1">35816.826326095*(RANDBETWEEN(2890,3282))</f>
        <v>116583769.69143933</v>
      </c>
      <c r="B4869">
        <v>256096797.54915023</v>
      </c>
    </row>
    <row r="4870" spans="1:2" x14ac:dyDescent="0.25">
      <c r="A4870">
        <f ca="1">30084.0340430581*(RANDBETWEEN(2890,3282))</f>
        <v>92147396.273886949</v>
      </c>
      <c r="B4870">
        <v>250294365.32037902</v>
      </c>
    </row>
    <row r="4871" spans="1:2" x14ac:dyDescent="0.25">
      <c r="A4871">
        <f ca="1">30592.4218488285*(RANDBETWEEN(2890,3282))</f>
        <v>90522976.250683442</v>
      </c>
      <c r="B4871">
        <v>253317629.20781255</v>
      </c>
    </row>
    <row r="4872" spans="1:2" x14ac:dyDescent="0.25">
      <c r="A4872">
        <f ca="1">32007.0220283081*(RANDBETWEEN(2890,3282))</f>
        <v>96661206.525490597</v>
      </c>
      <c r="B4872">
        <v>242344581.34174803</v>
      </c>
    </row>
    <row r="4873" spans="1:2" x14ac:dyDescent="0.25">
      <c r="A4873">
        <f ca="1">32865.9199880815*(RANDBETWEEN(2890,3282))</f>
        <v>104316430.04217061</v>
      </c>
      <c r="B4873">
        <v>253997845.10620776</v>
      </c>
    </row>
    <row r="4874" spans="1:2" x14ac:dyDescent="0.25">
      <c r="A4874">
        <f ca="1">36410.7122163135*(RANDBETWEEN(2890,3282))</f>
        <v>115858886.27230969</v>
      </c>
      <c r="B4874">
        <v>215542010.40461847</v>
      </c>
    </row>
    <row r="4875" spans="1:2" x14ac:dyDescent="0.25">
      <c r="A4875">
        <f ca="1">34486.5407804527*(RANDBETWEEN(2890,3282))</f>
        <v>111426013.26164265</v>
      </c>
      <c r="B4875">
        <v>209432272.87748808</v>
      </c>
    </row>
    <row r="4876" spans="1:2" x14ac:dyDescent="0.25">
      <c r="A4876">
        <f ca="1">34481.4477779744*(RANDBETWEEN(2890,3282))</f>
        <v>105651155.99171346</v>
      </c>
      <c r="B4876">
        <v>256721069.59921464</v>
      </c>
    </row>
    <row r="4877" spans="1:2" x14ac:dyDescent="0.25">
      <c r="A4877">
        <f ca="1">30584.1186204063*(RANDBETWEEN(2890,3282))</f>
        <v>94566094.774296418</v>
      </c>
      <c r="B4877">
        <v>216633367.18927592</v>
      </c>
    </row>
    <row r="4878" spans="1:2" x14ac:dyDescent="0.25">
      <c r="A4878">
        <f ca="1">36025.6069045754*(RANDBETWEEN(2890,3282))</f>
        <v>113444636.14250781</v>
      </c>
      <c r="B4878">
        <v>231297124.58522701</v>
      </c>
    </row>
    <row r="4879" spans="1:2" x14ac:dyDescent="0.25">
      <c r="A4879">
        <f ca="1">32112.9523831991*(RANDBETWEEN(2890,3282))</f>
        <v>96370970.101980403</v>
      </c>
      <c r="B4879">
        <v>253193152.46334004</v>
      </c>
    </row>
    <row r="4880" spans="1:2" x14ac:dyDescent="0.25">
      <c r="A4880">
        <f ca="1">35597.2269205156*(RANDBETWEEN(2890,3282))</f>
        <v>115940168.08011922</v>
      </c>
      <c r="B4880">
        <v>213886205.13423073</v>
      </c>
    </row>
    <row r="4881" spans="1:2" x14ac:dyDescent="0.25">
      <c r="A4881">
        <f ca="1">36610.1884311434*(RANDBETWEEN(2890,3282))</f>
        <v>114223787.90516746</v>
      </c>
      <c r="B4881">
        <v>223777469.43277299</v>
      </c>
    </row>
    <row r="4882" spans="1:2" x14ac:dyDescent="0.25">
      <c r="A4882">
        <f ca="1">36325.5460975545*(RANDBETWEEN(2890,3282))</f>
        <v>105453060.32120073</v>
      </c>
      <c r="B4882">
        <v>227186140.01833826</v>
      </c>
    </row>
    <row r="4883" spans="1:2" x14ac:dyDescent="0.25">
      <c r="A4883">
        <f ca="1">37223.0701506996*(RANDBETWEEN(2890,3282))</f>
        <v>108914703.26094705</v>
      </c>
      <c r="B4883">
        <v>267475313.46578133</v>
      </c>
    </row>
    <row r="4884" spans="1:2" x14ac:dyDescent="0.25">
      <c r="A4884">
        <f ca="1">31107.5310936044*(RANDBETWEEN(2890,3282))</f>
        <v>94722432.180025384</v>
      </c>
      <c r="B4884">
        <v>219166331.67487001</v>
      </c>
    </row>
    <row r="4885" spans="1:2" x14ac:dyDescent="0.25">
      <c r="A4885">
        <f ca="1">33616.5498879751*(RANDBETWEEN(2890,3282))</f>
        <v>98059476.023223475</v>
      </c>
      <c r="B4885">
        <v>229773221.19095004</v>
      </c>
    </row>
    <row r="4886" spans="1:2" x14ac:dyDescent="0.25">
      <c r="A4886">
        <f ca="1">31010.4560757422*(RANDBETWEEN(2890,3282))</f>
        <v>93341472.787984133</v>
      </c>
      <c r="B4886">
        <v>203792153.35126033</v>
      </c>
    </row>
    <row r="4887" spans="1:2" x14ac:dyDescent="0.25">
      <c r="A4887">
        <f ca="1">33450.8932929335*(RANDBETWEEN(2890,3282))</f>
        <v>105002354.04651834</v>
      </c>
      <c r="B4887">
        <v>224757549.85676175</v>
      </c>
    </row>
    <row r="4888" spans="1:2" x14ac:dyDescent="0.25">
      <c r="A4888">
        <f ca="1">39996.5635735465*(RANDBETWEEN(2890,3282))</f>
        <v>123829360.82369986</v>
      </c>
      <c r="B4888">
        <v>233502722.80927622</v>
      </c>
    </row>
    <row r="4889" spans="1:2" x14ac:dyDescent="0.25">
      <c r="A4889">
        <f ca="1">36708.662168802*(RANDBETWEEN(2890,3282))</f>
        <v>111741167.64183338</v>
      </c>
      <c r="B4889">
        <v>252244725.22480786</v>
      </c>
    </row>
    <row r="4890" spans="1:2" x14ac:dyDescent="0.25">
      <c r="A4890">
        <f ca="1">33494.0613481933*(RANDBETWEEN(2890,3282))</f>
        <v>104367495.1609702</v>
      </c>
      <c r="B4890">
        <v>263040625.84737408</v>
      </c>
    </row>
    <row r="4891" spans="1:2" x14ac:dyDescent="0.25">
      <c r="A4891">
        <f ca="1">29149.5930723263*(RANDBETWEEN(2890,3282))</f>
        <v>84971063.805831283</v>
      </c>
      <c r="B4891">
        <v>226687309.58531028</v>
      </c>
    </row>
    <row r="4892" spans="1:2" x14ac:dyDescent="0.25">
      <c r="A4892">
        <f ca="1">38708.987627817*(RANDBETWEEN(2890,3282))</f>
        <v>125842918.77803314</v>
      </c>
      <c r="B4892">
        <v>240986620.49663222</v>
      </c>
    </row>
    <row r="4893" spans="1:2" x14ac:dyDescent="0.25">
      <c r="A4893">
        <f ca="1">31009.0263210588*(RANDBETWEEN(2890,3282))</f>
        <v>95073674.700366423</v>
      </c>
      <c r="B4893">
        <v>219654798.74034137</v>
      </c>
    </row>
    <row r="4894" spans="1:2" x14ac:dyDescent="0.25">
      <c r="A4894">
        <f ca="1">31267.4187193483*(RANDBETWEEN(2890,3282))</f>
        <v>101806715.35019813</v>
      </c>
      <c r="B4894">
        <v>248796790.45971146</v>
      </c>
    </row>
    <row r="4895" spans="1:2" x14ac:dyDescent="0.25">
      <c r="A4895">
        <f ca="1">29445.0018318906*(RANDBETWEEN(2890,3282))</f>
        <v>90602270.636727408</v>
      </c>
      <c r="B4895">
        <v>252624176.55235475</v>
      </c>
    </row>
    <row r="4896" spans="1:2" x14ac:dyDescent="0.25">
      <c r="A4896">
        <f ca="1">39422.8889862178*(RANDBETWEEN(2890,3282))</f>
        <v>115311950.28468697</v>
      </c>
      <c r="B4896">
        <v>267674231.42876548</v>
      </c>
    </row>
    <row r="4897" spans="1:2" x14ac:dyDescent="0.25">
      <c r="A4897">
        <f ca="1">36426.4730868192*(RANDBETWEEN(2890,3282))</f>
        <v>109607257.51823886</v>
      </c>
      <c r="B4897">
        <v>243706621.69198787</v>
      </c>
    </row>
    <row r="4898" spans="1:2" x14ac:dyDescent="0.25">
      <c r="A4898">
        <f ca="1">31825.8604995347*(RANDBETWEEN(2890,3282))</f>
        <v>102861181.1344963</v>
      </c>
      <c r="B4898">
        <v>247770079.66026488</v>
      </c>
    </row>
    <row r="4899" spans="1:2" x14ac:dyDescent="0.25">
      <c r="A4899">
        <f ca="1">31677.7585321526*(RANDBETWEEN(2890,3282))</f>
        <v>102287482.30032076</v>
      </c>
      <c r="B4899">
        <v>260235086.56871659</v>
      </c>
    </row>
    <row r="4900" spans="1:2" x14ac:dyDescent="0.25">
      <c r="A4900">
        <f ca="1">30846.514556794*(RANDBETWEEN(2890,3282))</f>
        <v>93094780.93240428</v>
      </c>
      <c r="B4900">
        <v>227821717.61151123</v>
      </c>
    </row>
    <row r="4901" spans="1:2" x14ac:dyDescent="0.25">
      <c r="A4901">
        <f ca="1">31578.5389806185*(RANDBETWEEN(2890,3282))</f>
        <v>93914574.928359404</v>
      </c>
      <c r="B4901">
        <v>209929239.8137973</v>
      </c>
    </row>
    <row r="4902" spans="1:2" x14ac:dyDescent="0.25">
      <c r="A4902">
        <f ca="1">30607.3273827412*(RANDBETWEEN(2890,3282))</f>
        <v>99841101.922501937</v>
      </c>
      <c r="B4902">
        <v>235714324.1673649</v>
      </c>
    </row>
    <row r="4903" spans="1:2" x14ac:dyDescent="0.25">
      <c r="A4903">
        <f ca="1">32631.9182914297*(RANDBETWEEN(2890,3282))</f>
        <v>105629519.50935796</v>
      </c>
      <c r="B4903">
        <v>248772894.31472385</v>
      </c>
    </row>
    <row r="4904" spans="1:2" x14ac:dyDescent="0.25">
      <c r="A4904">
        <f ca="1">31818.6294242726*(RANDBETWEEN(2890,3282))</f>
        <v>99560491.468549043</v>
      </c>
      <c r="B4904">
        <v>235436640.13145286</v>
      </c>
    </row>
    <row r="4905" spans="1:2" x14ac:dyDescent="0.25">
      <c r="A4905">
        <f ca="1">28638.5706167726*(RANDBETWEEN(2890,3282))</f>
        <v>89781918.883581966</v>
      </c>
      <c r="B4905">
        <v>214203547.90448815</v>
      </c>
    </row>
    <row r="4906" spans="1:2" x14ac:dyDescent="0.25">
      <c r="A4906">
        <f ca="1">31542.2496643028*(RANDBETWEEN(2890,3282))</f>
        <v>92292622.517750055</v>
      </c>
      <c r="B4906">
        <v>252017619.02573821</v>
      </c>
    </row>
    <row r="4907" spans="1:2" x14ac:dyDescent="0.25">
      <c r="A4907">
        <f ca="1">38442.0115915997*(RANDBETWEEN(2890,3282))</f>
        <v>116633063.16891345</v>
      </c>
      <c r="B4907">
        <v>264119139.25195915</v>
      </c>
    </row>
    <row r="4908" spans="1:2" x14ac:dyDescent="0.25">
      <c r="A4908">
        <f ca="1">30174.1944510144*(RANDBETWEEN(2890,3282))</f>
        <v>94777144.770636082</v>
      </c>
      <c r="B4908">
        <v>220232779.61970925</v>
      </c>
    </row>
    <row r="4909" spans="1:2" x14ac:dyDescent="0.25">
      <c r="A4909">
        <f ca="1">31468.1580928824*(RANDBETWEEN(2890,3282))</f>
        <v>99722592.996344268</v>
      </c>
      <c r="B4909">
        <v>204151659.84717095</v>
      </c>
    </row>
    <row r="4910" spans="1:2" x14ac:dyDescent="0.25">
      <c r="A4910">
        <f ca="1">30886.9957701973*(RANDBETWEEN(2890,3282))</f>
        <v>90622445.589759052</v>
      </c>
      <c r="B4910">
        <v>211978704.93205661</v>
      </c>
    </row>
    <row r="4911" spans="1:2" x14ac:dyDescent="0.25">
      <c r="A4911">
        <f ca="1">28457.3231574244*(RANDBETWEEN(2890,3282))</f>
        <v>84461335.131235674</v>
      </c>
      <c r="B4911">
        <v>228362494.81778282</v>
      </c>
    </row>
    <row r="4912" spans="1:2" x14ac:dyDescent="0.25">
      <c r="A4912">
        <f ca="1">37675.0114187093*(RANDBETWEEN(2890,3282))</f>
        <v>115586935.03260019</v>
      </c>
      <c r="B4912">
        <v>263105749.16466781</v>
      </c>
    </row>
    <row r="4913" spans="1:2" x14ac:dyDescent="0.25">
      <c r="A4913">
        <f ca="1">28659.5371836905*(RANDBETWEEN(2890,3282))</f>
        <v>93458750.756014645</v>
      </c>
      <c r="B4913">
        <v>212312861.48635671</v>
      </c>
    </row>
    <row r="4914" spans="1:2" x14ac:dyDescent="0.25">
      <c r="A4914">
        <f ca="1">28583.3568324255*(RANDBETWEEN(2890,3282))</f>
        <v>93210326.630539477</v>
      </c>
      <c r="B4914">
        <v>209990020.49563813</v>
      </c>
    </row>
    <row r="4915" spans="1:2" x14ac:dyDescent="0.25">
      <c r="A4915">
        <f ca="1">38759.5900361968*(RANDBETWEEN(2890,3282))</f>
        <v>112325291.92489821</v>
      </c>
      <c r="B4915">
        <v>227149389.78545564</v>
      </c>
    </row>
    <row r="4916" spans="1:2" x14ac:dyDescent="0.25">
      <c r="A4916">
        <f ca="1">31017.5865615504*(RANDBETWEEN(2890,3282))</f>
        <v>92618513.472789437</v>
      </c>
      <c r="B4916">
        <v>253743084.22023946</v>
      </c>
    </row>
    <row r="4917" spans="1:2" x14ac:dyDescent="0.25">
      <c r="A4917">
        <f ca="1">40444.305269138*(RANDBETWEEN(2890,3282))</f>
        <v>121899136.08118197</v>
      </c>
      <c r="B4917">
        <v>263968485.22910681</v>
      </c>
    </row>
    <row r="4918" spans="1:2" x14ac:dyDescent="0.25">
      <c r="A4918">
        <f ca="1">36104.0395980631*(RANDBETWEEN(2890,3282))</f>
        <v>111164337.9224364</v>
      </c>
      <c r="B4918">
        <v>225834037.49031109</v>
      </c>
    </row>
    <row r="4919" spans="1:2" x14ac:dyDescent="0.25">
      <c r="A4919">
        <f ca="1">37516.7034267505*(RANDBETWEEN(2890,3282))</f>
        <v>121329018.88211107</v>
      </c>
      <c r="B4919">
        <v>240320030.46950534</v>
      </c>
    </row>
    <row r="4920" spans="1:2" x14ac:dyDescent="0.25">
      <c r="A4920">
        <f ca="1">28700.7808951567*(RANDBETWEEN(2890,3282))</f>
        <v>84839508.326083183</v>
      </c>
      <c r="B4920">
        <v>258886696.03464252</v>
      </c>
    </row>
    <row r="4921" spans="1:2" x14ac:dyDescent="0.25">
      <c r="A4921">
        <f ca="1">36403.9960776591*(RANDBETWEEN(2890,3282))</f>
        <v>107937848.37025918</v>
      </c>
      <c r="B4921">
        <v>262215912.02571613</v>
      </c>
    </row>
    <row r="4922" spans="1:2" x14ac:dyDescent="0.25">
      <c r="A4922">
        <f ca="1">31746.1002916082*(RANDBETWEEN(2890,3282))</f>
        <v>102952603.24568538</v>
      </c>
      <c r="B4922">
        <v>225088535.99778441</v>
      </c>
    </row>
    <row r="4923" spans="1:2" x14ac:dyDescent="0.25">
      <c r="A4923">
        <f ca="1">31692.3157801411*(RANDBETWEEN(2890,3282))</f>
        <v>93967716.288118288</v>
      </c>
      <c r="B4923">
        <v>266274552.91589203</v>
      </c>
    </row>
    <row r="4924" spans="1:2" x14ac:dyDescent="0.25">
      <c r="A4924">
        <f ca="1">29879.2399265868*(RANDBETWEEN(2890,3282))</f>
        <v>88293153.983064011</v>
      </c>
      <c r="B4924">
        <v>227959294.4457939</v>
      </c>
    </row>
    <row r="4925" spans="1:2" x14ac:dyDescent="0.25">
      <c r="A4925">
        <f ca="1">32832.4570440256*(RANDBETWEEN(2890,3282))</f>
        <v>102502930.89144781</v>
      </c>
      <c r="B4925">
        <v>259631322.86254403</v>
      </c>
    </row>
    <row r="4926" spans="1:2" x14ac:dyDescent="0.25">
      <c r="A4926">
        <f ca="1">32540.2203077759*(RANDBETWEEN(2890,3282))</f>
        <v>97588120.703019947</v>
      </c>
      <c r="B4926">
        <v>245993699.66825396</v>
      </c>
    </row>
    <row r="4927" spans="1:2" x14ac:dyDescent="0.25">
      <c r="A4927">
        <f ca="1">38760.2410646767*(RANDBETWEEN(2890,3282))</f>
        <v>115699319.57806019</v>
      </c>
      <c r="B4927">
        <v>241453152.00094822</v>
      </c>
    </row>
    <row r="4928" spans="1:2" x14ac:dyDescent="0.25">
      <c r="A4928">
        <f ca="1">34837.7432315314*(RANDBETWEEN(2890,3282))</f>
        <v>112073019.97583644</v>
      </c>
      <c r="B4928">
        <v>211545868.95677683</v>
      </c>
    </row>
    <row r="4929" spans="1:2" x14ac:dyDescent="0.25">
      <c r="A4929">
        <f ca="1">31245.8416898266*(RANDBETWEEN(2890,3282))</f>
        <v>91737791.20133096</v>
      </c>
      <c r="B4929">
        <v>225011259.67135954</v>
      </c>
    </row>
    <row r="4930" spans="1:2" x14ac:dyDescent="0.25">
      <c r="A4930">
        <f ca="1">33233.3289833712*(RANDBETWEEN(2890,3282))</f>
        <v>99866153.595030487</v>
      </c>
      <c r="B4930">
        <v>212419777.09374207</v>
      </c>
    </row>
    <row r="4931" spans="1:2" x14ac:dyDescent="0.25">
      <c r="A4931">
        <f ca="1">40252.5283796514*(RANDBETWEEN(2890,3282))</f>
        <v>131021979.87576525</v>
      </c>
      <c r="B4931">
        <v>211917513.12218049</v>
      </c>
    </row>
    <row r="4932" spans="1:2" x14ac:dyDescent="0.25">
      <c r="A4932">
        <f ca="1">31813.6798904475*(RANDBETWEEN(2890,3282))</f>
        <v>102408235.56735061</v>
      </c>
      <c r="B4932">
        <v>243926813.31956261</v>
      </c>
    </row>
    <row r="4933" spans="1:2" x14ac:dyDescent="0.25">
      <c r="A4933">
        <f ca="1">30503.9770533302*(RANDBETWEEN(2890,3282))</f>
        <v>88614053.339924172</v>
      </c>
      <c r="B4933">
        <v>219446822.41640437</v>
      </c>
    </row>
    <row r="4934" spans="1:2" x14ac:dyDescent="0.25">
      <c r="A4934">
        <f ca="1">32328.048375236*(RANDBETWEEN(2890,3282))</f>
        <v>95529382.94882226</v>
      </c>
      <c r="B4934">
        <v>223363054.03858674</v>
      </c>
    </row>
    <row r="4935" spans="1:2" x14ac:dyDescent="0.25">
      <c r="A4935">
        <f ca="1">28820.724360493*(RANDBETWEEN(2890,3282))</f>
        <v>91736365.639449134</v>
      </c>
      <c r="B4935">
        <v>234724995.49402243</v>
      </c>
    </row>
    <row r="4936" spans="1:2" x14ac:dyDescent="0.25">
      <c r="A4936">
        <f ca="1">32507.7926036624*(RANDBETWEEN(2890,3282))</f>
        <v>104805123.35420747</v>
      </c>
      <c r="B4936">
        <v>225814488.43848544</v>
      </c>
    </row>
    <row r="4937" spans="1:2" x14ac:dyDescent="0.25">
      <c r="A4937">
        <f ca="1">30101.7455419578*(RANDBETWEEN(2890,3282))</f>
        <v>98041385.230156526</v>
      </c>
      <c r="B4937">
        <v>218377629.30021486</v>
      </c>
    </row>
    <row r="4938" spans="1:2" x14ac:dyDescent="0.25">
      <c r="A4938">
        <f ca="1">33321.3120008858*(RANDBETWEEN(2890,3282))</f>
        <v>97031660.546579435</v>
      </c>
      <c r="B4938">
        <v>252119942.06686482</v>
      </c>
    </row>
    <row r="4939" spans="1:2" x14ac:dyDescent="0.25">
      <c r="A4939">
        <f ca="1">30126.7821281865*(RANDBETWEEN(2890,3282))</f>
        <v>94206447.714839295</v>
      </c>
      <c r="B4939">
        <v>222696102.05560499</v>
      </c>
    </row>
    <row r="4940" spans="1:2" x14ac:dyDescent="0.25">
      <c r="A4940">
        <f ca="1">42814.0591229221*(RANDBETWEEN(2890,3282))</f>
        <v>124674540.16594927</v>
      </c>
      <c r="B4940">
        <v>255144658.60223359</v>
      </c>
    </row>
    <row r="4941" spans="1:2" x14ac:dyDescent="0.25">
      <c r="A4941">
        <f ca="1">41230.7028959783*(RANDBETWEEN(2890,3282))</f>
        <v>130907481.69473107</v>
      </c>
      <c r="B4941">
        <v>229508139.47815791</v>
      </c>
    </row>
    <row r="4942" spans="1:2" x14ac:dyDescent="0.25">
      <c r="A4942">
        <f ca="1">29116.1660620558*(RANDBETWEEN(2890,3282))</f>
        <v>92705872.741585776</v>
      </c>
      <c r="B4942">
        <v>221723932.42619774</v>
      </c>
    </row>
    <row r="4943" spans="1:2" x14ac:dyDescent="0.25">
      <c r="A4943">
        <f ca="1">29319.7263594687*(RANDBETWEEN(2890,3282))</f>
        <v>92562376.116842791</v>
      </c>
      <c r="B4943">
        <v>240384123.04119521</v>
      </c>
    </row>
    <row r="4944" spans="1:2" x14ac:dyDescent="0.25">
      <c r="A4944">
        <f ca="1">28563.5293686529*(RANDBETWEEN(2890,3282))</f>
        <v>93431304.564863741</v>
      </c>
      <c r="B4944">
        <v>226178326.89804658</v>
      </c>
    </row>
    <row r="4945" spans="1:2" x14ac:dyDescent="0.25">
      <c r="A4945">
        <f ca="1">37515.2300260231*(RANDBETWEEN(2890,3282))</f>
        <v>114609027.72950073</v>
      </c>
      <c r="B4945">
        <v>225566083.40725669</v>
      </c>
    </row>
    <row r="4946" spans="1:2" x14ac:dyDescent="0.25">
      <c r="A4946">
        <f ca="1">32519.7212304275*(RANDBETWEEN(2890,3282))</f>
        <v>94567349.338083193</v>
      </c>
      <c r="B4946">
        <v>232506985.85826474</v>
      </c>
    </row>
    <row r="4947" spans="1:2" x14ac:dyDescent="0.25">
      <c r="A4947">
        <f ca="1">35408.9335314575*(RANDBETWEEN(2890,3282))</f>
        <v>111679776.35821693</v>
      </c>
      <c r="B4947">
        <v>237375537.36915809</v>
      </c>
    </row>
    <row r="4948" spans="1:2" x14ac:dyDescent="0.25">
      <c r="A4948">
        <f ca="1">38731.0701597856*(RANDBETWEEN(2890,3282))</f>
        <v>122545105.98556162</v>
      </c>
      <c r="B4948">
        <v>258711089.7544255</v>
      </c>
    </row>
    <row r="4949" spans="1:2" x14ac:dyDescent="0.25">
      <c r="A4949">
        <f ca="1">33072.600933949*(RANDBETWEEN(2890,3282))</f>
        <v>100011545.22426164</v>
      </c>
      <c r="B4949">
        <v>252458226.54586563</v>
      </c>
    </row>
    <row r="4950" spans="1:2" x14ac:dyDescent="0.25">
      <c r="A4950">
        <f ca="1">38308.3999540033*(RANDBETWEEN(2890,3282))</f>
        <v>122510263.05290264</v>
      </c>
      <c r="B4950">
        <v>237074505.01856759</v>
      </c>
    </row>
    <row r="4951" spans="1:2" x14ac:dyDescent="0.25">
      <c r="A4951">
        <f ca="1">30541.7905081194*(RANDBETWEEN(2890,3282))</f>
        <v>97245060.97785227</v>
      </c>
      <c r="B4951">
        <v>229063638.96605119</v>
      </c>
    </row>
    <row r="4952" spans="1:2" x14ac:dyDescent="0.25">
      <c r="A4952">
        <f ca="1">34219.9325706109*(RANDBETWEEN(2890,3282))</f>
        <v>111317440.65219741</v>
      </c>
      <c r="B4952">
        <v>254004951.37237251</v>
      </c>
    </row>
    <row r="4953" spans="1:2" x14ac:dyDescent="0.25">
      <c r="A4953">
        <f ca="1">37471.6728398862*(RANDBETWEEN(2890,3282))</f>
        <v>108592907.88999024</v>
      </c>
      <c r="B4953">
        <v>233051502.15396118</v>
      </c>
    </row>
    <row r="4954" spans="1:2" x14ac:dyDescent="0.25">
      <c r="A4954">
        <f ca="1">31206.414628818*(RANDBETWEEN(2890,3282))</f>
        <v>97332807.227283269</v>
      </c>
      <c r="B4954">
        <v>223309480.20722443</v>
      </c>
    </row>
    <row r="4955" spans="1:2" x14ac:dyDescent="0.25">
      <c r="A4955">
        <f ca="1">34672.0952579877*(RANDBETWEEN(2890,3282))</f>
        <v>105541857.96531469</v>
      </c>
      <c r="B4955">
        <v>236312374.19010654</v>
      </c>
    </row>
    <row r="4956" spans="1:2" x14ac:dyDescent="0.25">
      <c r="A4956">
        <f ca="1">34123.6103348559*(RANDBETWEEN(2890,3282))</f>
        <v>107182260.0617826</v>
      </c>
      <c r="B4956">
        <v>212810182.5836584</v>
      </c>
    </row>
    <row r="4957" spans="1:2" x14ac:dyDescent="0.25">
      <c r="A4957">
        <f ca="1">30290.9778708348*(RANDBETWEEN(2890,3282))</f>
        <v>97597530.699829787</v>
      </c>
      <c r="B4957">
        <v>221168416.89326969</v>
      </c>
    </row>
    <row r="4958" spans="1:2" x14ac:dyDescent="0.25">
      <c r="A4958">
        <f ca="1">30805.162767298*(RANDBETWEEN(2890,3282))</f>
        <v>98176053.739378825</v>
      </c>
      <c r="B4958">
        <v>264183876.99189776</v>
      </c>
    </row>
    <row r="4959" spans="1:2" x14ac:dyDescent="0.25">
      <c r="A4959">
        <f ca="1">36478.4170118213*(RANDBETWEEN(2890,3282))</f>
        <v>112754786.98353973</v>
      </c>
      <c r="B4959">
        <v>219589027.12661746</v>
      </c>
    </row>
    <row r="4960" spans="1:2" x14ac:dyDescent="0.25">
      <c r="A4960">
        <f ca="1">36268.1274824093*(RANDBETWEEN(2890,3282))</f>
        <v>117871414.31783026</v>
      </c>
      <c r="B4960">
        <v>225315089.75577396</v>
      </c>
    </row>
    <row r="4961" spans="1:2" x14ac:dyDescent="0.25">
      <c r="A4961">
        <f ca="1">32770.2102111442*(RANDBETWEEN(2890,3282))</f>
        <v>99457587.990822598</v>
      </c>
      <c r="B4961">
        <v>248283059.6290127</v>
      </c>
    </row>
    <row r="4962" spans="1:2" x14ac:dyDescent="0.25">
      <c r="A4962">
        <f ca="1">28657.9226760114*(RANDBETWEEN(2890,3282))</f>
        <v>88524323.14619936</v>
      </c>
      <c r="B4962">
        <v>217353364.97057745</v>
      </c>
    </row>
    <row r="4963" spans="1:2" x14ac:dyDescent="0.25">
      <c r="A4963">
        <f ca="1">32069.6888370631*(RANDBETWEEN(2890,3282))</f>
        <v>97459784.375834718</v>
      </c>
      <c r="B4963">
        <v>243193058.20283443</v>
      </c>
    </row>
    <row r="4964" spans="1:2" x14ac:dyDescent="0.25">
      <c r="A4964">
        <f ca="1">32609.8852439404*(RANDBETWEEN(2890,3282))</f>
        <v>103992924.04292591</v>
      </c>
      <c r="B4964">
        <v>221789788.90445751</v>
      </c>
    </row>
    <row r="4965" spans="1:2" x14ac:dyDescent="0.25">
      <c r="A4965">
        <f ca="1">40099.2947563387*(RANDBETWEEN(2890,3282))</f>
        <v>124468210.92367537</v>
      </c>
      <c r="B4965">
        <v>260571247.56137371</v>
      </c>
    </row>
    <row r="4966" spans="1:2" x14ac:dyDescent="0.25">
      <c r="A4966">
        <f ca="1">29248.225457385*(RANDBETWEEN(2890,3282))</f>
        <v>92746122.925367683</v>
      </c>
      <c r="B4966">
        <v>215267242.78080162</v>
      </c>
    </row>
    <row r="4967" spans="1:2" x14ac:dyDescent="0.25">
      <c r="A4967">
        <f ca="1">31240.0503193187*(RANDBETWEEN(2890,3282))</f>
        <v>91845747.938796982</v>
      </c>
      <c r="B4967">
        <v>215753674.89339703</v>
      </c>
    </row>
    <row r="4968" spans="1:2" x14ac:dyDescent="0.25">
      <c r="A4968">
        <f ca="1">41531.6879283892*(RANDBETWEEN(2890,3282))</f>
        <v>124138215.21795531</v>
      </c>
      <c r="B4968">
        <v>220043215.66388851</v>
      </c>
    </row>
    <row r="4969" spans="1:2" x14ac:dyDescent="0.25">
      <c r="A4969">
        <f ca="1">30299.2000572115*(RANDBETWEEN(2890,3282))</f>
        <v>94351708.978156492</v>
      </c>
      <c r="B4969">
        <v>231183377.64623207</v>
      </c>
    </row>
    <row r="4970" spans="1:2" x14ac:dyDescent="0.25">
      <c r="A4970">
        <f ca="1">34679.1024122554*(RANDBETWEEN(2890,3282))</f>
        <v>100604076.09795305</v>
      </c>
      <c r="B4970">
        <v>207602917.48241293</v>
      </c>
    </row>
    <row r="4971" spans="1:2" x14ac:dyDescent="0.25">
      <c r="A4971">
        <f ca="1">31168.8052794319*(RANDBETWEEN(2890,3282))</f>
        <v>92072650.795441851</v>
      </c>
      <c r="B4971">
        <v>261073356.88362589</v>
      </c>
    </row>
    <row r="4972" spans="1:2" x14ac:dyDescent="0.25">
      <c r="A4972">
        <f ca="1">33512.2428613144*(RANDBETWEEN(2890,3282))</f>
        <v>104859807.91305275</v>
      </c>
      <c r="B4972">
        <v>263856932.49341077</v>
      </c>
    </row>
    <row r="4973" spans="1:2" x14ac:dyDescent="0.25">
      <c r="A4973">
        <f ca="1">32885.0114937821*(RANDBETWEEN(2890,3282))</f>
        <v>107040712.4122608</v>
      </c>
      <c r="B4973">
        <v>265976091.40325868</v>
      </c>
    </row>
    <row r="4974" spans="1:2" x14ac:dyDescent="0.25">
      <c r="A4974">
        <f ca="1">40184.7513777416*(RANDBETWEEN(2890,3282))</f>
        <v>120192591.37082502</v>
      </c>
      <c r="B4974">
        <v>260796836.17423239</v>
      </c>
    </row>
    <row r="4975" spans="1:2" x14ac:dyDescent="0.25">
      <c r="A4975">
        <f ca="1">33310.3473369783*(RANDBETWEEN(2890,3282))</f>
        <v>102262766.32452352</v>
      </c>
      <c r="B4975">
        <v>247456352.15684447</v>
      </c>
    </row>
    <row r="4976" spans="1:2" x14ac:dyDescent="0.25">
      <c r="A4976">
        <f ca="1">28865.7617999446*(RANDBETWEEN(2890,3282))</f>
        <v>93929188.89701964</v>
      </c>
      <c r="B4976">
        <v>236074889.14811322</v>
      </c>
    </row>
    <row r="4977" spans="1:2" x14ac:dyDescent="0.25">
      <c r="A4977">
        <f ca="1">39709.9200308317*(RANDBETWEEN(2890,3282))</f>
        <v>129414629.38048042</v>
      </c>
      <c r="B4977">
        <v>232945741.73774523</v>
      </c>
    </row>
    <row r="4978" spans="1:2" x14ac:dyDescent="0.25">
      <c r="A4978">
        <f ca="1">40080.0697328485*(RANDBETWEEN(2890,3282))</f>
        <v>124127975.96263178</v>
      </c>
      <c r="B4978">
        <v>258401939.33482853</v>
      </c>
    </row>
    <row r="4979" spans="1:2" x14ac:dyDescent="0.25">
      <c r="A4979">
        <f ca="1">31114.1798091489*(RANDBETWEEN(2890,3282))</f>
        <v>98258579.837292269</v>
      </c>
      <c r="B4979">
        <v>207584516.48047188</v>
      </c>
    </row>
    <row r="4980" spans="1:2" x14ac:dyDescent="0.25">
      <c r="A4980">
        <f ca="1">36103.6859025655*(RANDBETWEEN(2890,3282))</f>
        <v>107264050.81652212</v>
      </c>
      <c r="B4980">
        <v>232527333.15767866</v>
      </c>
    </row>
    <row r="4981" spans="1:2" x14ac:dyDescent="0.25">
      <c r="A4981">
        <f ca="1">35412.9586482951*(RANDBETWEEN(2890,3282))</f>
        <v>104043272.50869101</v>
      </c>
      <c r="B4981">
        <v>259150643.02616277</v>
      </c>
    </row>
    <row r="4982" spans="1:2" x14ac:dyDescent="0.25">
      <c r="A4982">
        <f ca="1">33911.7291998262*(RANDBETWEEN(2890,3282))</f>
        <v>108856650.73144212</v>
      </c>
      <c r="B4982">
        <v>216184845.80130216</v>
      </c>
    </row>
    <row r="4983" spans="1:2" x14ac:dyDescent="0.25">
      <c r="A4983">
        <f ca="1">40952.0783749492*(RANDBETWEEN(2890,3282))</f>
        <v>122078145.63572362</v>
      </c>
      <c r="B4983">
        <v>216177988.01658297</v>
      </c>
    </row>
    <row r="4984" spans="1:2" x14ac:dyDescent="0.25">
      <c r="A4984">
        <f ca="1">32464.3222028135*(RANDBETWEEN(2890,3282))</f>
        <v>105736297.41456348</v>
      </c>
      <c r="B4984">
        <v>232347829.59000033</v>
      </c>
    </row>
    <row r="4985" spans="1:2" x14ac:dyDescent="0.25">
      <c r="A4985">
        <f ca="1">39344.2109832388*(RANDBETWEEN(2890,3282))</f>
        <v>125311311.98161542</v>
      </c>
      <c r="B4985">
        <v>214941832.86251727</v>
      </c>
    </row>
    <row r="4986" spans="1:2" x14ac:dyDescent="0.25">
      <c r="A4986">
        <f ca="1">31597.8602794507*(RANDBETWEEN(2890,3282))</f>
        <v>97258213.940149307</v>
      </c>
      <c r="B4986">
        <v>213797528.86095494</v>
      </c>
    </row>
    <row r="4987" spans="1:2" x14ac:dyDescent="0.25">
      <c r="A4987">
        <f ca="1">32472.2782131581*(RANDBETWEEN(2890,3282))</f>
        <v>101443397.13790604</v>
      </c>
      <c r="B4987">
        <v>204196284.85276222</v>
      </c>
    </row>
    <row r="4988" spans="1:2" x14ac:dyDescent="0.25">
      <c r="A4988">
        <f ca="1">31183.2332581526*(RANDBETWEEN(2890,3282))</f>
        <v>92084087.81132476</v>
      </c>
      <c r="B4988">
        <v>234594075.29469889</v>
      </c>
    </row>
    <row r="4989" spans="1:2" x14ac:dyDescent="0.25">
      <c r="A4989">
        <f ca="1">30400.5652611941*(RANDBETWEEN(2890,3282))</f>
        <v>95032167.006492808</v>
      </c>
      <c r="B4989">
        <v>214685443.22826308</v>
      </c>
    </row>
    <row r="4990" spans="1:2" x14ac:dyDescent="0.25">
      <c r="A4990">
        <f ca="1">29917.5670724062*(RANDBETWEEN(2890,3282))</f>
        <v>94988275.454889566</v>
      </c>
      <c r="B4990">
        <v>209397111.35678899</v>
      </c>
    </row>
    <row r="4991" spans="1:2" x14ac:dyDescent="0.25">
      <c r="A4991">
        <f ca="1">30425.0880782726*(RANDBETWEEN(2890,3282))</f>
        <v>94104797.426097095</v>
      </c>
      <c r="B4991">
        <v>214410957.64893681</v>
      </c>
    </row>
    <row r="4992" spans="1:2" x14ac:dyDescent="0.25">
      <c r="A4992">
        <f ca="1">29842.9017368917*(RANDBETWEEN(2890,3282))</f>
        <v>92662209.893048704</v>
      </c>
      <c r="B4992">
        <v>216585503.78684938</v>
      </c>
    </row>
    <row r="4993" spans="1:2" x14ac:dyDescent="0.25">
      <c r="A4993">
        <f ca="1">35283.4982836637*(RANDBETWEEN(2890,3282))</f>
        <v>108779025.20853522</v>
      </c>
      <c r="B4993">
        <v>226368520.49125254</v>
      </c>
    </row>
    <row r="4994" spans="1:2" x14ac:dyDescent="0.25">
      <c r="A4994">
        <f ca="1">31672.3385586702*(RANDBETWEEN(2890,3282))</f>
        <v>91723092.465908974</v>
      </c>
      <c r="B4994">
        <v>254386228.33320016</v>
      </c>
    </row>
    <row r="4995" spans="1:2" x14ac:dyDescent="0.25">
      <c r="A4995">
        <f ca="1">40033.9879892964*(RANDBETWEEN(2890,3282))</f>
        <v>121423085.57153594</v>
      </c>
      <c r="B4995">
        <v>203752788.50404114</v>
      </c>
    </row>
    <row r="4996" spans="1:2" x14ac:dyDescent="0.25">
      <c r="A4996">
        <f ca="1">31726.5364022999*(RANDBETWEEN(2890,3282))</f>
        <v>102032541.06979644</v>
      </c>
      <c r="B4996">
        <v>250205232.03238946</v>
      </c>
    </row>
    <row r="4997" spans="1:2" x14ac:dyDescent="0.25">
      <c r="A4997">
        <f ca="1">39708.6205041812*(RANDBETWEEN(2890,3282))</f>
        <v>122421677.01439063</v>
      </c>
      <c r="B4997">
        <v>227500481.30396831</v>
      </c>
    </row>
    <row r="4998" spans="1:2" x14ac:dyDescent="0.25">
      <c r="A4998">
        <f ca="1">37766.1157041789*(RANDBETWEEN(2890,3282))</f>
        <v>122664343.80717303</v>
      </c>
      <c r="B4998">
        <v>240680216.35821864</v>
      </c>
    </row>
    <row r="4999" spans="1:2" x14ac:dyDescent="0.25">
      <c r="A4999">
        <f ca="1">38624.2310651142*(RANDBETWEEN(2890,3282))</f>
        <v>124099654.41221184</v>
      </c>
      <c r="B4999">
        <v>255533642.42470673</v>
      </c>
    </row>
    <row r="5000" spans="1:2" x14ac:dyDescent="0.25">
      <c r="A5000">
        <f ca="1">32023.5080043214*(RANDBETWEEN(2890,3282))</f>
        <v>104716871.17413113</v>
      </c>
      <c r="B5000">
        <v>248474415.24057561</v>
      </c>
    </row>
    <row r="5001" spans="1:2" x14ac:dyDescent="0.25">
      <c r="A5001">
        <f ca="1">36317.0061624037*(RANDBETWEEN(2890,3282))</f>
        <v>118683976.13873515</v>
      </c>
      <c r="B5001">
        <v>231393241.21084282</v>
      </c>
    </row>
    <row r="5002" spans="1:2" x14ac:dyDescent="0.25">
      <c r="A5002">
        <f ca="1">30090.2303615216*(RANDBETWEEN(2890,3282))</f>
        <v>94663864.717346892</v>
      </c>
      <c r="B5002">
        <v>206409967.55584076</v>
      </c>
    </row>
    <row r="5003" spans="1:2" x14ac:dyDescent="0.25">
      <c r="A5003">
        <f ca="1">34635.5918444483*(RANDBETWEEN(2890,3282))</f>
        <v>104322402.63547815</v>
      </c>
      <c r="B5003">
        <v>212163237.84260789</v>
      </c>
    </row>
    <row r="5004" spans="1:2" x14ac:dyDescent="0.25">
      <c r="A5004">
        <f ca="1">32403.7426094119*(RANDBETWEEN(2890,3282))</f>
        <v>101229291.91180272</v>
      </c>
      <c r="B5004">
        <v>206362881.6743232</v>
      </c>
    </row>
    <row r="5005" spans="1:2" x14ac:dyDescent="0.25">
      <c r="A5005">
        <f ca="1">31168.1066427574*(RANDBETWEEN(2890,3282))</f>
        <v>91010871.39685151</v>
      </c>
      <c r="B5005">
        <v>253480770.22322604</v>
      </c>
    </row>
    <row r="5006" spans="1:2" x14ac:dyDescent="0.25">
      <c r="A5006">
        <f ca="1">32823.2870695162*(RANDBETWEEN(2890,3282))</f>
        <v>107529088.43973503</v>
      </c>
      <c r="B5006">
        <v>249367238.99427003</v>
      </c>
    </row>
    <row r="5007" spans="1:2" x14ac:dyDescent="0.25">
      <c r="A5007">
        <f ca="1">39368.7517741158*(RANDBETWEEN(2890,3282))</f>
        <v>124483993.10975415</v>
      </c>
      <c r="B5007">
        <v>234647277.89624554</v>
      </c>
    </row>
    <row r="5008" spans="1:2" x14ac:dyDescent="0.25">
      <c r="A5008">
        <f ca="1">30584.4851855122*(RANDBETWEEN(2890,3282))</f>
        <v>95912945.541766256</v>
      </c>
      <c r="B5008">
        <v>248854685.90957299</v>
      </c>
    </row>
    <row r="5009" spans="1:2" x14ac:dyDescent="0.25">
      <c r="A5009">
        <f ca="1">36046.2234044684*(RANDBETWEEN(2890,3282))</f>
        <v>108571224.89425893</v>
      </c>
      <c r="B5009">
        <v>252496274.55356762</v>
      </c>
    </row>
    <row r="5010" spans="1:2" x14ac:dyDescent="0.25">
      <c r="A5010">
        <f ca="1">40247.3066077233*(RANDBETWEEN(2890,3282))</f>
        <v>119051532.94564548</v>
      </c>
      <c r="B5010">
        <v>207171879.83824581</v>
      </c>
    </row>
    <row r="5011" spans="1:2" x14ac:dyDescent="0.25">
      <c r="A5011">
        <f ca="1">30883.7979695536*(RANDBETWEEN(2890,3282))</f>
        <v>100217924.41120148</v>
      </c>
      <c r="B5011">
        <v>238244135.77304769</v>
      </c>
    </row>
    <row r="5012" spans="1:2" x14ac:dyDescent="0.25">
      <c r="A5012">
        <f ca="1">30624.1921203868*(RANDBETWEEN(2890,3282))</f>
        <v>99804242.120340541</v>
      </c>
      <c r="B5012">
        <v>262208309.45268515</v>
      </c>
    </row>
    <row r="5013" spans="1:2" x14ac:dyDescent="0.25">
      <c r="A5013">
        <f ca="1">34610.7432570887*(RANDBETWEEN(2890,3282))</f>
        <v>108227794.16491631</v>
      </c>
      <c r="B5013">
        <v>211666413.02172837</v>
      </c>
    </row>
    <row r="5014" spans="1:2" x14ac:dyDescent="0.25">
      <c r="A5014">
        <f ca="1">39319.403959196*(RANDBETWEEN(2890,3282))</f>
        <v>128574450.94657086</v>
      </c>
      <c r="B5014">
        <v>252214079.28210771</v>
      </c>
    </row>
    <row r="5015" spans="1:2" x14ac:dyDescent="0.25">
      <c r="A5015">
        <f ca="1">31383.1019861949*(RANDBETWEEN(2890,3282))</f>
        <v>94808351.100294903</v>
      </c>
      <c r="B5015">
        <v>219934451.92100236</v>
      </c>
    </row>
    <row r="5016" spans="1:2" x14ac:dyDescent="0.25">
      <c r="A5016">
        <f ca="1">36000.1877178169*(RANDBETWEEN(2890,3282))</f>
        <v>116892609.51975143</v>
      </c>
      <c r="B5016">
        <v>215630209.31937176</v>
      </c>
    </row>
    <row r="5017" spans="1:2" x14ac:dyDescent="0.25">
      <c r="A5017">
        <f ca="1">36015.723295982*(RANDBETWEEN(2890,3282))</f>
        <v>104985833.40778747</v>
      </c>
      <c r="B5017">
        <v>219948399.07787928</v>
      </c>
    </row>
    <row r="5018" spans="1:2" x14ac:dyDescent="0.25">
      <c r="A5018">
        <f ca="1">43023.8870483275*(RANDBETWEEN(2890,3282))</f>
        <v>124941367.98834313</v>
      </c>
      <c r="B5018">
        <v>225218807.90931332</v>
      </c>
    </row>
    <row r="5019" spans="1:2" x14ac:dyDescent="0.25">
      <c r="A5019">
        <f ca="1">29742.7782188139*(RANDBETWEEN(2890,3282))</f>
        <v>96753257.545801535</v>
      </c>
      <c r="B5019">
        <v>210852653.92677909</v>
      </c>
    </row>
    <row r="5020" spans="1:2" x14ac:dyDescent="0.25">
      <c r="A5020">
        <f ca="1">31255.0025111644*(RANDBETWEEN(2890,3282))</f>
        <v>97546862.837343976</v>
      </c>
      <c r="B5020">
        <v>266726028.62452853</v>
      </c>
    </row>
    <row r="5021" spans="1:2" x14ac:dyDescent="0.25">
      <c r="A5021">
        <f ca="1">35811.7934234081*(RANDBETWEEN(2890,3282))</f>
        <v>107542815.65049466</v>
      </c>
      <c r="B5021">
        <v>250740209.36316159</v>
      </c>
    </row>
    <row r="5022" spans="1:2" x14ac:dyDescent="0.25">
      <c r="A5022">
        <f ca="1">37460.8361706684*(RANDBETWEEN(2890,3282))</f>
        <v>121373109.19296564</v>
      </c>
      <c r="B5022">
        <v>238160931.10765925</v>
      </c>
    </row>
    <row r="5023" spans="1:2" x14ac:dyDescent="0.25">
      <c r="A5023">
        <f ca="1">29432.0575771232*(RANDBETWEEN(2890,3282))</f>
        <v>85794447.837314069</v>
      </c>
      <c r="B5023">
        <v>222242570.36439818</v>
      </c>
    </row>
    <row r="5024" spans="1:2" x14ac:dyDescent="0.25">
      <c r="A5024">
        <f ca="1">35337.7321642945*(RANDBETWEEN(2890,3282))</f>
        <v>111843922.29999219</v>
      </c>
      <c r="B5024">
        <v>213749948.56532097</v>
      </c>
    </row>
    <row r="5025" spans="1:2" x14ac:dyDescent="0.25">
      <c r="A5025">
        <f ca="1">30339.6294914581*(RANDBETWEEN(2890,3282))</f>
        <v>94507945.865892082</v>
      </c>
      <c r="B5025">
        <v>257725611.26732323</v>
      </c>
    </row>
    <row r="5026" spans="1:2" x14ac:dyDescent="0.25">
      <c r="A5026">
        <f ca="1">30393.0234583787*(RANDBETWEEN(2890,3282))</f>
        <v>89203523.850341514</v>
      </c>
      <c r="B5026">
        <v>266639064.53944528</v>
      </c>
    </row>
    <row r="5027" spans="1:2" x14ac:dyDescent="0.25">
      <c r="A5027">
        <f ca="1">33247.3286091733*(RANDBETWEEN(2890,3282))</f>
        <v>107222634.76458383</v>
      </c>
      <c r="B5027">
        <v>229483371.80594814</v>
      </c>
    </row>
    <row r="5028" spans="1:2" x14ac:dyDescent="0.25">
      <c r="A5028">
        <f ca="1">31694.5768393187*(RANDBETWEEN(2890,3282))</f>
        <v>97967937.010334194</v>
      </c>
      <c r="B5028">
        <v>221440476.98092496</v>
      </c>
    </row>
    <row r="5029" spans="1:2" x14ac:dyDescent="0.25">
      <c r="A5029">
        <f ca="1">31813.1638534155*(RANDBETWEEN(2890,3282))</f>
        <v>94612349.300057665</v>
      </c>
      <c r="B5029">
        <v>206733667.03930876</v>
      </c>
    </row>
    <row r="5030" spans="1:2" x14ac:dyDescent="0.25">
      <c r="A5030">
        <f ca="1">35828.8648711774*(RANDBETWEEN(2890,3282))</f>
        <v>115727233.533903</v>
      </c>
      <c r="B5030">
        <v>262292731.51697487</v>
      </c>
    </row>
    <row r="5031" spans="1:2" x14ac:dyDescent="0.25">
      <c r="A5031">
        <f ca="1">30694.112249568*(RANDBETWEEN(2890,3282))</f>
        <v>95704241.994153038</v>
      </c>
      <c r="B5031">
        <v>209628509.87442055</v>
      </c>
    </row>
    <row r="5032" spans="1:2" x14ac:dyDescent="0.25">
      <c r="A5032">
        <f ca="1">32570.608508668*(RANDBETWEEN(2890,3282))</f>
        <v>96767277.879252717</v>
      </c>
      <c r="B5032">
        <v>248585657.68904221</v>
      </c>
    </row>
    <row r="5033" spans="1:2" x14ac:dyDescent="0.25">
      <c r="A5033">
        <f ca="1">33227.3253965728*(RANDBETWEEN(2890,3282))</f>
        <v>100047476.76908073</v>
      </c>
      <c r="B5033">
        <v>218834621.76075652</v>
      </c>
    </row>
    <row r="5034" spans="1:2" x14ac:dyDescent="0.25">
      <c r="A5034">
        <f ca="1">33740.9353007106*(RANDBETWEEN(2890,3282))</f>
        <v>104192008.20859441</v>
      </c>
      <c r="B5034">
        <v>214172892.2054919</v>
      </c>
    </row>
    <row r="5035" spans="1:2" x14ac:dyDescent="0.25">
      <c r="A5035">
        <f ca="1">30634.2690635264*(RANDBETWEEN(2890,3282))</f>
        <v>92147881.343087539</v>
      </c>
      <c r="B5035">
        <v>219062789.52905414</v>
      </c>
    </row>
    <row r="5036" spans="1:2" x14ac:dyDescent="0.25">
      <c r="A5036">
        <f ca="1">32472.8016633412*(RANDBETWEEN(2890,3282))</f>
        <v>96931312.965073362</v>
      </c>
      <c r="B5036">
        <v>265491187.23487407</v>
      </c>
    </row>
    <row r="5037" spans="1:2" x14ac:dyDescent="0.25">
      <c r="A5037">
        <f ca="1">35925.8195802105*(RANDBETWEEN(2890,3282))</f>
        <v>117261875.10980693</v>
      </c>
      <c r="B5037">
        <v>261075716.94784337</v>
      </c>
    </row>
    <row r="5038" spans="1:2" x14ac:dyDescent="0.25">
      <c r="A5038">
        <f ca="1">38029.9913406086*(RANDBETWEEN(2890,3282))</f>
        <v>113747704.0997604</v>
      </c>
      <c r="B5038">
        <v>209008954.77930027</v>
      </c>
    </row>
    <row r="5039" spans="1:2" x14ac:dyDescent="0.25">
      <c r="A5039">
        <f ca="1">41907.999730242*(RANDBETWEEN(2890,3282))</f>
        <v>135362839.12868175</v>
      </c>
      <c r="B5039">
        <v>258933840.62502754</v>
      </c>
    </row>
    <row r="5040" spans="1:2" x14ac:dyDescent="0.25">
      <c r="A5040">
        <f ca="1">37168.8872991251*(RANDBETWEEN(2890,3282))</f>
        <v>112324377.41795611</v>
      </c>
      <c r="B5040">
        <v>226958628.65752476</v>
      </c>
    </row>
    <row r="5041" spans="1:2" x14ac:dyDescent="0.25">
      <c r="A5041">
        <f ca="1">34817.9316037671*(RANDBETWEEN(2890,3282))</f>
        <v>102260265.12026393</v>
      </c>
      <c r="B5041">
        <v>219063553.77420798</v>
      </c>
    </row>
    <row r="5042" spans="1:2" x14ac:dyDescent="0.25">
      <c r="A5042">
        <f ca="1">31352.1509222865*(RANDBETWEEN(2890,3282))</f>
        <v>92551549.522589713</v>
      </c>
      <c r="B5042">
        <v>240538037.18225321</v>
      </c>
    </row>
    <row r="5043" spans="1:2" x14ac:dyDescent="0.25">
      <c r="A5043">
        <f ca="1">33373.1223863473*(RANDBETWEEN(2890,3282))</f>
        <v>101821396.40074563</v>
      </c>
      <c r="B5043">
        <v>243263623.49653852</v>
      </c>
    </row>
    <row r="5044" spans="1:2" x14ac:dyDescent="0.25">
      <c r="A5044">
        <f ca="1">36710.3668159648*(RANDBETWEEN(2890,3282))</f>
        <v>108112030.27301644</v>
      </c>
      <c r="B5044">
        <v>213270937.70747876</v>
      </c>
    </row>
    <row r="5045" spans="1:2" x14ac:dyDescent="0.25">
      <c r="A5045">
        <f ca="1">36452.1137782128*(RANDBETWEEN(2890,3282))</f>
        <v>110267644.17909381</v>
      </c>
      <c r="B5045">
        <v>210214771.07987291</v>
      </c>
    </row>
    <row r="5046" spans="1:2" x14ac:dyDescent="0.25">
      <c r="A5046">
        <f ca="1">34385.4321924472*(RANDBETWEEN(2890,3282))</f>
        <v>110342851.90556315</v>
      </c>
      <c r="B5046">
        <v>226239577.54001993</v>
      </c>
    </row>
    <row r="5047" spans="1:2" x14ac:dyDescent="0.25">
      <c r="A5047">
        <f ca="1">32945.9993276076*(RANDBETWEEN(2890,3282))</f>
        <v>97421320.011735752</v>
      </c>
      <c r="B5047">
        <v>205718377.0355272</v>
      </c>
    </row>
    <row r="5048" spans="1:2" x14ac:dyDescent="0.25">
      <c r="A5048">
        <f ca="1">27571.3590992881*(RANDBETWEEN(2890,3282))</f>
        <v>90048058.818275079</v>
      </c>
      <c r="B5048">
        <v>263495061.09575522</v>
      </c>
    </row>
    <row r="5049" spans="1:2" x14ac:dyDescent="0.25">
      <c r="A5049">
        <f ca="1">32480.7761000978*(RANDBETWEEN(2890,3282))</f>
        <v>101015213.67130409</v>
      </c>
      <c r="B5049">
        <v>229782814.38243669</v>
      </c>
    </row>
    <row r="5050" spans="1:2" x14ac:dyDescent="0.25">
      <c r="A5050">
        <f ca="1">32231.5395833073*(RANDBETWEEN(2890,3282))</f>
        <v>103495473.60199973</v>
      </c>
      <c r="B5050">
        <v>219947327.56448531</v>
      </c>
    </row>
    <row r="5051" spans="1:2" x14ac:dyDescent="0.25">
      <c r="A5051">
        <f ca="1">27455.4173869758*(RANDBETWEEN(2890,3282))</f>
        <v>80224729.604743153</v>
      </c>
      <c r="B5051">
        <v>208343083.16036701</v>
      </c>
    </row>
    <row r="5052" spans="1:2" x14ac:dyDescent="0.25">
      <c r="A5052">
        <f ca="1">34041.4144656709*(RANDBETWEEN(2890,3282))</f>
        <v>109341023.26373509</v>
      </c>
      <c r="B5052">
        <v>231551749.51841694</v>
      </c>
    </row>
    <row r="5053" spans="1:2" x14ac:dyDescent="0.25">
      <c r="A5053">
        <f ca="1">31168.3529969692*(RANDBETWEEN(2890,3282))</f>
        <v>100206254.88525605</v>
      </c>
      <c r="B5053">
        <v>255936675.6435419</v>
      </c>
    </row>
    <row r="5054" spans="1:2" x14ac:dyDescent="0.25">
      <c r="A5054">
        <f ca="1">31075.6272093779*(RANDBETWEEN(2890,3282))</f>
        <v>96303368.721862108</v>
      </c>
      <c r="B5054">
        <v>242645959.02459314</v>
      </c>
    </row>
    <row r="5055" spans="1:2" x14ac:dyDescent="0.25">
      <c r="A5055">
        <f ca="1">32527.7942808557*(RANDBETWEEN(2890,3282))</f>
        <v>101519245.95055051</v>
      </c>
      <c r="B5055">
        <v>244392891.71990535</v>
      </c>
    </row>
    <row r="5056" spans="1:2" x14ac:dyDescent="0.25">
      <c r="A5056">
        <f ca="1">31785.6457549583*(RANDBETWEEN(2890,3282))</f>
        <v>96088007.117239028</v>
      </c>
      <c r="B5056">
        <v>206099002.02973801</v>
      </c>
    </row>
    <row r="5057" spans="1:2" x14ac:dyDescent="0.25">
      <c r="A5057">
        <f ca="1">37455.250752246*(RANDBETWEEN(2890,3282))</f>
        <v>113564320.28080975</v>
      </c>
      <c r="B5057">
        <v>244272853.80866098</v>
      </c>
    </row>
    <row r="5058" spans="1:2" x14ac:dyDescent="0.25">
      <c r="A5058">
        <f ca="1">34047.9235241921*(RANDBETWEEN(2890,3282))</f>
        <v>104935700.30156012</v>
      </c>
      <c r="B5058">
        <v>241183232.44832158</v>
      </c>
    </row>
    <row r="5059" spans="1:2" x14ac:dyDescent="0.25">
      <c r="A5059">
        <f ca="1">28863.6723090731*(RANDBETWEEN(2890,3282))</f>
        <v>84483968.848656997</v>
      </c>
      <c r="B5059">
        <v>205654995.27875564</v>
      </c>
    </row>
    <row r="5060" spans="1:2" x14ac:dyDescent="0.25">
      <c r="A5060">
        <f ca="1">31920.5134021783*(RANDBETWEEN(2890,3282))</f>
        <v>92473727.326110616</v>
      </c>
      <c r="B5060">
        <v>265355973.38840583</v>
      </c>
    </row>
    <row r="5061" spans="1:2" x14ac:dyDescent="0.25">
      <c r="A5061">
        <f ca="1">30446.5107813902*(RANDBETWEEN(2890,3282))</f>
        <v>88112202.201343209</v>
      </c>
      <c r="B5061">
        <v>247060499.56137538</v>
      </c>
    </row>
    <row r="5062" spans="1:2" x14ac:dyDescent="0.25">
      <c r="A5062">
        <f ca="1">40467.9923521072*(RANDBETWEEN(2890,3282))</f>
        <v>132775482.90726386</v>
      </c>
      <c r="B5062">
        <v>234381710.93816742</v>
      </c>
    </row>
    <row r="5063" spans="1:2" x14ac:dyDescent="0.25">
      <c r="A5063">
        <f ca="1">40669.6709041654*(RANDBETWEEN(2890,3282))</f>
        <v>122375039.75063375</v>
      </c>
      <c r="B5063">
        <v>217239148.98110893</v>
      </c>
    </row>
    <row r="5064" spans="1:2" x14ac:dyDescent="0.25">
      <c r="A5064">
        <f ca="1">31471.0827859876*(RANDBETWEEN(2890,3282))</f>
        <v>91832619.569511741</v>
      </c>
      <c r="B5064">
        <v>258990147.13732293</v>
      </c>
    </row>
    <row r="5065" spans="1:2" x14ac:dyDescent="0.25">
      <c r="A5065">
        <f ca="1">31328.8615629977*(RANDBETWEEN(2890,3282))</f>
        <v>99500464.324080661</v>
      </c>
      <c r="B5065">
        <v>204998434.56489635</v>
      </c>
    </row>
    <row r="5066" spans="1:2" x14ac:dyDescent="0.25">
      <c r="A5066">
        <f ca="1">37743.1368974137*(RANDBETWEEN(2890,3282))</f>
        <v>112134859.72221628</v>
      </c>
      <c r="B5066">
        <v>213026707.4454605</v>
      </c>
    </row>
    <row r="5067" spans="1:2" x14ac:dyDescent="0.25">
      <c r="A5067">
        <f ca="1">36194.8728238225*(RANDBETWEEN(2890,3282))</f>
        <v>106449120.9748621</v>
      </c>
      <c r="B5067">
        <v>204584644.64154655</v>
      </c>
    </row>
    <row r="5068" spans="1:2" x14ac:dyDescent="0.25">
      <c r="A5068">
        <f ca="1">31643.0723791682*(RANDBETWEEN(2890,3282))</f>
        <v>98599813.533488214</v>
      </c>
      <c r="B5068">
        <v>230037042.96350271</v>
      </c>
    </row>
    <row r="5069" spans="1:2" x14ac:dyDescent="0.25">
      <c r="A5069">
        <f ca="1">44928.6126152307*(RANDBETWEEN(2890,3282))</f>
        <v>139458413.55767599</v>
      </c>
      <c r="B5069">
        <v>227382446.06624639</v>
      </c>
    </row>
    <row r="5070" spans="1:2" x14ac:dyDescent="0.25">
      <c r="A5070">
        <f ca="1">32932.3026186028*(RANDBETWEEN(2890,3282))</f>
        <v>99784876.934366465</v>
      </c>
      <c r="B5070">
        <v>259229487.38201275</v>
      </c>
    </row>
    <row r="5071" spans="1:2" x14ac:dyDescent="0.25">
      <c r="A5071">
        <f ca="1">40483.1225834618*(RANDBETWEEN(2890,3282))</f>
        <v>118615549.16954297</v>
      </c>
      <c r="B5071">
        <v>222801490.93852952</v>
      </c>
    </row>
    <row r="5072" spans="1:2" x14ac:dyDescent="0.25">
      <c r="A5072">
        <f ca="1">33184.3695329251*(RANDBETWEEN(2890,3282))</f>
        <v>107450988.54761137</v>
      </c>
      <c r="B5072">
        <v>221256206.68406028</v>
      </c>
    </row>
    <row r="5073" spans="1:2" x14ac:dyDescent="0.25">
      <c r="A5073">
        <f ca="1">33998.7371194383*(RANDBETWEEN(2890,3282))</f>
        <v>104784107.80210884</v>
      </c>
      <c r="B5073">
        <v>263454778.33927476</v>
      </c>
    </row>
    <row r="5074" spans="1:2" x14ac:dyDescent="0.25">
      <c r="A5074">
        <f ca="1">39523.693862643*(RANDBETWEEN(2890,3282))</f>
        <v>128452005.05359006</v>
      </c>
      <c r="B5074">
        <v>209236581.60041445</v>
      </c>
    </row>
    <row r="5075" spans="1:2" x14ac:dyDescent="0.25">
      <c r="A5075">
        <f ca="1">32539.4935817133*(RANDBETWEEN(2890,3282))</f>
        <v>106664459.96085607</v>
      </c>
      <c r="B5075">
        <v>233740831.34012002</v>
      </c>
    </row>
    <row r="5076" spans="1:2" x14ac:dyDescent="0.25">
      <c r="A5076">
        <f ca="1">31670.3492703665*(RANDBETWEEN(2890,3282))</f>
        <v>99983292.646547034</v>
      </c>
      <c r="B5076">
        <v>236369988.66007066</v>
      </c>
    </row>
    <row r="5077" spans="1:2" x14ac:dyDescent="0.25">
      <c r="A5077">
        <f ca="1">30263.1068734173*(RANDBETWEEN(2890,3282))</f>
        <v>96145890.536846891</v>
      </c>
      <c r="B5077">
        <v>211550662.70995492</v>
      </c>
    </row>
    <row r="5078" spans="1:2" x14ac:dyDescent="0.25">
      <c r="A5078">
        <f ca="1">28988.1861060189*(RANDBETWEEN(2890,3282))</f>
        <v>91196833.489535362</v>
      </c>
      <c r="B5078">
        <v>210835498.86420968</v>
      </c>
    </row>
    <row r="5079" spans="1:2" x14ac:dyDescent="0.25">
      <c r="A5079">
        <f ca="1">41794.0800370498*(RANDBETWEEN(2890,3282))</f>
        <v>135579995.64018944</v>
      </c>
      <c r="B5079">
        <v>207095957.01611212</v>
      </c>
    </row>
    <row r="5080" spans="1:2" x14ac:dyDescent="0.25">
      <c r="A5080">
        <f ca="1">34288.3815465669*(RANDBETWEEN(2890,3282))</f>
        <v>104236679.90156356</v>
      </c>
      <c r="B5080">
        <v>252356850.54815573</v>
      </c>
    </row>
    <row r="5081" spans="1:2" x14ac:dyDescent="0.25">
      <c r="A5081">
        <f ca="1">39391.0101155205*(RANDBETWEEN(2890,3282))</f>
        <v>122190913.37834454</v>
      </c>
      <c r="B5081">
        <v>231241968.21108934</v>
      </c>
    </row>
    <row r="5082" spans="1:2" x14ac:dyDescent="0.25">
      <c r="A5082">
        <f ca="1">30001.9649364176*(RANDBETWEEN(2890,3282))</f>
        <v>94086162.04060559</v>
      </c>
      <c r="B5082">
        <v>210260652.7247197</v>
      </c>
    </row>
    <row r="5083" spans="1:2" x14ac:dyDescent="0.25">
      <c r="A5083">
        <f ca="1">33350.1720628645*(RANDBETWEEN(2890,3282))</f>
        <v>103218782.53456569</v>
      </c>
      <c r="B5083">
        <v>207262353.084445</v>
      </c>
    </row>
    <row r="5084" spans="1:2" x14ac:dyDescent="0.25">
      <c r="A5084">
        <f ca="1">37084.787756463*(RANDBETWEEN(2890,3282))</f>
        <v>111699380.72246659</v>
      </c>
      <c r="B5084">
        <v>257677573.30384758</v>
      </c>
    </row>
    <row r="5085" spans="1:2" x14ac:dyDescent="0.25">
      <c r="A5085">
        <f ca="1">38804.3197802341*(RANDBETWEEN(2890,3282))</f>
        <v>115986111.82311964</v>
      </c>
      <c r="B5085">
        <v>247376584.40387678</v>
      </c>
    </row>
    <row r="5086" spans="1:2" x14ac:dyDescent="0.25">
      <c r="A5086">
        <f ca="1">40593.9435118313*(RANDBETWEEN(2890,3282))</f>
        <v>119346193.92478409</v>
      </c>
      <c r="B5086">
        <v>235205558.68502864</v>
      </c>
    </row>
    <row r="5087" spans="1:2" x14ac:dyDescent="0.25">
      <c r="A5087">
        <f ca="1">39142.6492058087*(RANDBETWEEN(2890,3282))</f>
        <v>114648819.52381386</v>
      </c>
      <c r="B5087">
        <v>241725793.19594142</v>
      </c>
    </row>
    <row r="5088" spans="1:2" x14ac:dyDescent="0.25">
      <c r="A5088">
        <f ca="1">31682.9335965579*(RANDBETWEEN(2890,3282))</f>
        <v>98628972.286084831</v>
      </c>
      <c r="B5088">
        <v>242967415.58353326</v>
      </c>
    </row>
    <row r="5089" spans="1:2" x14ac:dyDescent="0.25">
      <c r="A5089">
        <f ca="1">32017.6337594779*(RANDBETWEEN(2890,3282))</f>
        <v>94644125.3930168</v>
      </c>
      <c r="B5089">
        <v>234394925.94553053</v>
      </c>
    </row>
    <row r="5090" spans="1:2" x14ac:dyDescent="0.25">
      <c r="A5090">
        <f ca="1">31517.513049802*(RANDBETWEEN(2890,3282))</f>
        <v>92409348.262019441</v>
      </c>
      <c r="B5090">
        <v>253747191.32105094</v>
      </c>
    </row>
    <row r="5091" spans="1:2" x14ac:dyDescent="0.25">
      <c r="A5091">
        <f ca="1">34005.6880674474*(RANDBETWEEN(2890,3282))</f>
        <v>105757689.88976133</v>
      </c>
      <c r="B5091">
        <v>225950898.79971772</v>
      </c>
    </row>
    <row r="5092" spans="1:2" x14ac:dyDescent="0.25">
      <c r="A5092">
        <f ca="1">42092.324940457*(RANDBETWEEN(2890,3282))</f>
        <v>135074270.73392659</v>
      </c>
      <c r="B5092">
        <v>249045793.96130422</v>
      </c>
    </row>
    <row r="5093" spans="1:2" x14ac:dyDescent="0.25">
      <c r="A5093">
        <f ca="1">31301.0606642612*(RANDBETWEEN(2890,3282))</f>
        <v>93277160.779498309</v>
      </c>
      <c r="B5093">
        <v>230803763.12071469</v>
      </c>
    </row>
    <row r="5094" spans="1:2" x14ac:dyDescent="0.25">
      <c r="A5094">
        <f ca="1">37304.9058474169*(RANDBETWEEN(2890,3282))</f>
        <v>117846197.5719901</v>
      </c>
      <c r="B5094">
        <v>209085624.29104203</v>
      </c>
    </row>
    <row r="5095" spans="1:2" x14ac:dyDescent="0.25">
      <c r="A5095">
        <f ca="1">29849.3717168157*(RANDBETWEEN(2890,3282))</f>
        <v>87398960.386836305</v>
      </c>
      <c r="B5095">
        <v>224311315.73333159</v>
      </c>
    </row>
    <row r="5096" spans="1:2" x14ac:dyDescent="0.25">
      <c r="A5096">
        <f ca="1">36622.358098636*(RANDBETWEEN(2890,3282))</f>
        <v>112796862.94379883</v>
      </c>
      <c r="B5096">
        <v>263749626.59597749</v>
      </c>
    </row>
    <row r="5097" spans="1:2" x14ac:dyDescent="0.25">
      <c r="A5097">
        <f ca="1">35917.08978415*(RANDBETWEEN(2890,3282))</f>
        <v>117448883.59417038</v>
      </c>
      <c r="B5097">
        <v>210218408.79323626</v>
      </c>
    </row>
    <row r="5098" spans="1:2" x14ac:dyDescent="0.25">
      <c r="A5098">
        <f ca="1">32273.9836979103*(RANDBETWEEN(2890,3282))</f>
        <v>93562278.740241915</v>
      </c>
      <c r="B5098">
        <v>231868732.04334021</v>
      </c>
    </row>
    <row r="5099" spans="1:2" x14ac:dyDescent="0.25">
      <c r="A5099">
        <f ca="1">38854.2114097811*(RANDBETWEEN(2890,3282))</f>
        <v>121885661.19248338</v>
      </c>
      <c r="B5099">
        <v>224998618.67865944</v>
      </c>
    </row>
    <row r="5100" spans="1:2" x14ac:dyDescent="0.25">
      <c r="A5100">
        <f ca="1">31061.1622611351*(RANDBETWEEN(2890,3282))</f>
        <v>99085107.613020897</v>
      </c>
      <c r="B5100">
        <v>248882971.09299326</v>
      </c>
    </row>
    <row r="5101" spans="1:2" x14ac:dyDescent="0.25">
      <c r="A5101">
        <f ca="1">31044.9457174108*(RANDBETWEEN(2890,3282))</f>
        <v>97108590.204061121</v>
      </c>
      <c r="B5101">
        <v>242626869.82290792</v>
      </c>
    </row>
    <row r="5102" spans="1:2" x14ac:dyDescent="0.25">
      <c r="A5102">
        <f ca="1">41732.7763877097*(RANDBETWEEN(2890,3282))</f>
        <v>127243235.20612679</v>
      </c>
      <c r="B5102">
        <v>206623450.37115833</v>
      </c>
    </row>
    <row r="5103" spans="1:2" x14ac:dyDescent="0.25">
      <c r="A5103">
        <f ca="1">38561.3220525196*(RANDBETWEEN(2890,3282))</f>
        <v>125054367.41632107</v>
      </c>
      <c r="B5103">
        <v>244514027.36036128</v>
      </c>
    </row>
    <row r="5104" spans="1:2" x14ac:dyDescent="0.25">
      <c r="A5104">
        <f ca="1">31348.8572065946*(RANDBETWEEN(2890,3282))</f>
        <v>98811597.915186077</v>
      </c>
      <c r="B5104">
        <v>210314908.09007248</v>
      </c>
    </row>
    <row r="5105" spans="1:2" x14ac:dyDescent="0.25">
      <c r="A5105">
        <f ca="1">31488.781098729*(RANDBETWEEN(2890,3282))</f>
        <v>99787947.301872045</v>
      </c>
      <c r="B5105">
        <v>213598039.57903978</v>
      </c>
    </row>
    <row r="5106" spans="1:2" x14ac:dyDescent="0.25">
      <c r="A5106">
        <f ca="1">32656.7151871113*(RANDBETWEEN(2890,3282))</f>
        <v>99374384.314379647</v>
      </c>
      <c r="B5106">
        <v>252616217.93493235</v>
      </c>
    </row>
    <row r="5107" spans="1:2" x14ac:dyDescent="0.25">
      <c r="A5107">
        <f ca="1">37283.3937868124*(RANDBETWEEN(2890,3282))</f>
        <v>108755659.67613183</v>
      </c>
      <c r="B5107">
        <v>244987929.01138365</v>
      </c>
    </row>
    <row r="5108" spans="1:2" x14ac:dyDescent="0.25">
      <c r="A5108">
        <f ca="1">32543.3279330532*(RANDBETWEEN(2890,3282))</f>
        <v>97629983.799159721</v>
      </c>
      <c r="B5108">
        <v>209977443.4401193</v>
      </c>
    </row>
    <row r="5109" spans="1:2" x14ac:dyDescent="0.25">
      <c r="A5109">
        <f ca="1">40133.4645039154*(RANDBETWEEN(2890,3282))</f>
        <v>130835094.2827642</v>
      </c>
      <c r="B5109">
        <v>265848040.94454589</v>
      </c>
    </row>
    <row r="5110" spans="1:2" x14ac:dyDescent="0.25">
      <c r="A5110">
        <f ca="1">39280.8869496039*(RANDBETWEEN(2890,3282))</f>
        <v>126130927.99517822</v>
      </c>
      <c r="B5110">
        <v>212367117.86563101</v>
      </c>
    </row>
    <row r="5111" spans="1:2" x14ac:dyDescent="0.25">
      <c r="A5111">
        <f ca="1">33153.5266108359*(RANDBETWEEN(2890,3282))</f>
        <v>102908546.60003452</v>
      </c>
      <c r="B5111">
        <v>256034415.87236911</v>
      </c>
    </row>
    <row r="5112" spans="1:2" x14ac:dyDescent="0.25">
      <c r="A5112">
        <f ca="1">38445.8734753421*(RANDBETWEEN(2890,3282))</f>
        <v>111685262.44586885</v>
      </c>
      <c r="B5112">
        <v>263432846.85237831</v>
      </c>
    </row>
    <row r="5113" spans="1:2" x14ac:dyDescent="0.25">
      <c r="A5113">
        <f ca="1">37487.121904889*(RANDBETWEEN(2890,3282))</f>
        <v>120071251.46135934</v>
      </c>
      <c r="B5113">
        <v>232906620.31136665</v>
      </c>
    </row>
    <row r="5114" spans="1:2" x14ac:dyDescent="0.25">
      <c r="A5114">
        <f ca="1">30646.6653495504*(RANDBETWEEN(2890,3282))</f>
        <v>94023969.292420611</v>
      </c>
      <c r="B5114">
        <v>214796991.66555634</v>
      </c>
    </row>
    <row r="5115" spans="1:2" x14ac:dyDescent="0.25">
      <c r="A5115">
        <f ca="1">32377.3669486655*(RANDBETWEEN(2890,3282))</f>
        <v>99463271.26630038</v>
      </c>
      <c r="B5115">
        <v>242320773.14416143</v>
      </c>
    </row>
    <row r="5116" spans="1:2" x14ac:dyDescent="0.25">
      <c r="A5116">
        <f ca="1">33575.5873411048*(RANDBETWEEN(2890,3282))</f>
        <v>104285774.28147158</v>
      </c>
      <c r="B5116">
        <v>226041579.39180872</v>
      </c>
    </row>
    <row r="5117" spans="1:2" x14ac:dyDescent="0.25">
      <c r="A5117">
        <f ca="1">30796.8628560493*(RANDBETWEEN(2890,3282))</f>
        <v>94700353.282351717</v>
      </c>
      <c r="B5117">
        <v>226212572.27420497</v>
      </c>
    </row>
    <row r="5118" spans="1:2" x14ac:dyDescent="0.25">
      <c r="A5118">
        <f ca="1">32135.3508277832*(RANDBETWEEN(2890,3282))</f>
        <v>104793379.04940102</v>
      </c>
      <c r="B5118">
        <v>216685267.31086567</v>
      </c>
    </row>
    <row r="5119" spans="1:2" x14ac:dyDescent="0.25">
      <c r="A5119">
        <f ca="1">31850.9526066489*(RANDBETWEEN(2890,3282))</f>
        <v>92081103.985822037</v>
      </c>
      <c r="B5119">
        <v>230923334.88663977</v>
      </c>
    </row>
    <row r="5120" spans="1:2" x14ac:dyDescent="0.25">
      <c r="A5120">
        <f ca="1">32104.8877723193*(RANDBETWEEN(2890,3282))</f>
        <v>104565619.4744442</v>
      </c>
      <c r="B5120">
        <v>224239153.93925998</v>
      </c>
    </row>
    <row r="5121" spans="1:2" x14ac:dyDescent="0.25">
      <c r="A5121">
        <f ca="1">31355.3479535169*(RANDBETWEEN(2890,3282))</f>
        <v>102030302.24074416</v>
      </c>
      <c r="B5121">
        <v>234790653.15148687</v>
      </c>
    </row>
    <row r="5122" spans="1:2" x14ac:dyDescent="0.25">
      <c r="A5122">
        <f ca="1">30298.1556124633*(RANDBETWEEN(2890,3282))</f>
        <v>88682701.477680206</v>
      </c>
      <c r="B5122">
        <v>213826386.24412337</v>
      </c>
    </row>
    <row r="5123" spans="1:2" x14ac:dyDescent="0.25">
      <c r="A5123">
        <f ca="1">36950.7182130455*(RANDBETWEEN(2890,3282))</f>
        <v>118131446.12710652</v>
      </c>
      <c r="B5123">
        <v>238710785.98964146</v>
      </c>
    </row>
    <row r="5124" spans="1:2" x14ac:dyDescent="0.25">
      <c r="A5124">
        <f ca="1">40719.6943580626*(RANDBETWEEN(2890,3282))</f>
        <v>120408136.21679105</v>
      </c>
      <c r="B5124">
        <v>248564798.51847324</v>
      </c>
    </row>
    <row r="5125" spans="1:2" x14ac:dyDescent="0.25">
      <c r="A5125">
        <f ca="1">31966.929787647*(RANDBETWEEN(2890,3282))</f>
        <v>93119666.471415579</v>
      </c>
      <c r="B5125">
        <v>260656974.24355441</v>
      </c>
    </row>
    <row r="5126" spans="1:2" x14ac:dyDescent="0.25">
      <c r="A5126">
        <f ca="1">38363.5210368479*(RANDBETWEEN(2890,3282))</f>
        <v>114745291.42121203</v>
      </c>
      <c r="B5126">
        <v>265007336.924072</v>
      </c>
    </row>
    <row r="5127" spans="1:2" x14ac:dyDescent="0.25">
      <c r="A5127">
        <f ca="1">31405.3285519294*(RANDBETWEEN(2890,3282))</f>
        <v>91012642.143491387</v>
      </c>
      <c r="B5127">
        <v>224406565.37717301</v>
      </c>
    </row>
    <row r="5128" spans="1:2" x14ac:dyDescent="0.25">
      <c r="A5128">
        <f ca="1">32212.2641276066*(RANDBETWEEN(2890,3282))</f>
        <v>100437839.54987745</v>
      </c>
      <c r="B5128">
        <v>203940641.78276929</v>
      </c>
    </row>
    <row r="5129" spans="1:2" x14ac:dyDescent="0.25">
      <c r="A5129">
        <f ca="1">30898.9433556696*(RANDBETWEEN(2890,3282))</f>
        <v>96312006.439622253</v>
      </c>
      <c r="B5129">
        <v>215755787.46726602</v>
      </c>
    </row>
    <row r="5130" spans="1:2" x14ac:dyDescent="0.25">
      <c r="A5130">
        <f ca="1">41057.5613656905*(RANDBETWEEN(2890,3282))</f>
        <v>125677195.34037861</v>
      </c>
      <c r="B5130">
        <v>209442577.65187132</v>
      </c>
    </row>
    <row r="5131" spans="1:2" x14ac:dyDescent="0.25">
      <c r="A5131">
        <f ca="1">31423.8151552243*(RANDBETWEEN(2890,3282))</f>
        <v>98607931.957093835</v>
      </c>
      <c r="B5131">
        <v>253198452.34395832</v>
      </c>
    </row>
    <row r="5132" spans="1:2" x14ac:dyDescent="0.25">
      <c r="A5132">
        <f ca="1">32534.7634976463*(RANDBETWEEN(2890,3282))</f>
        <v>96465573.770521224</v>
      </c>
      <c r="B5132">
        <v>227206774.4751679</v>
      </c>
    </row>
    <row r="5133" spans="1:2" x14ac:dyDescent="0.25">
      <c r="A5133">
        <f ca="1">34222.0600459334*(RANDBETWEEN(2890,3282))</f>
        <v>104993280.22092359</v>
      </c>
      <c r="B5133">
        <v>263633061.88487977</v>
      </c>
    </row>
    <row r="5134" spans="1:2" x14ac:dyDescent="0.25">
      <c r="A5134">
        <f ca="1">28511.6927472923*(RANDBETWEEN(2890,3282))</f>
        <v>86247870.560559154</v>
      </c>
      <c r="B5134">
        <v>212935773.74925363</v>
      </c>
    </row>
    <row r="5135" spans="1:2" x14ac:dyDescent="0.25">
      <c r="A5135">
        <f ca="1">37428.6715481644*(RANDBETWEEN(2890,3282))</f>
        <v>120969466.44366737</v>
      </c>
      <c r="B5135">
        <v>217437647.36114556</v>
      </c>
    </row>
    <row r="5136" spans="1:2" x14ac:dyDescent="0.25">
      <c r="A5136">
        <f ca="1">41059.2661505751*(RANDBETWEEN(2890,3282))</f>
        <v>129665162.5035162</v>
      </c>
      <c r="B5136">
        <v>222451834.27743071</v>
      </c>
    </row>
    <row r="5137" spans="1:2" x14ac:dyDescent="0.25">
      <c r="A5137">
        <f ca="1">31433.9400893444*(RANDBETWEEN(2890,3282))</f>
        <v>97570950.037324905</v>
      </c>
      <c r="B5137">
        <v>245556418.74342009</v>
      </c>
    </row>
    <row r="5138" spans="1:2" x14ac:dyDescent="0.25">
      <c r="A5138">
        <f ca="1">40494.4024168815*(RANDBETWEEN(2890,3282))</f>
        <v>125411164.28508203</v>
      </c>
      <c r="B5138">
        <v>265266251.26412281</v>
      </c>
    </row>
    <row r="5139" spans="1:2" x14ac:dyDescent="0.25">
      <c r="A5139">
        <f ca="1">36368.1258659801*(RANDBETWEEN(2890,3282))</f>
        <v>116268898.39353831</v>
      </c>
      <c r="B5139">
        <v>247877166.25875187</v>
      </c>
    </row>
    <row r="5140" spans="1:2" x14ac:dyDescent="0.25">
      <c r="A5140">
        <f ca="1">32431.1757433735*(RANDBETWEEN(2890,3282))</f>
        <v>102125772.41588303</v>
      </c>
      <c r="B5140">
        <v>227206072.88486356</v>
      </c>
    </row>
    <row r="5141" spans="1:2" x14ac:dyDescent="0.25">
      <c r="A5141">
        <f ca="1">29838.1442207654*(RANDBETWEEN(2890,3282))</f>
        <v>90737796.575347528</v>
      </c>
      <c r="B5141">
        <v>232033402.31477189</v>
      </c>
    </row>
    <row r="5142" spans="1:2" x14ac:dyDescent="0.25">
      <c r="A5142">
        <f ca="1">30813.2382549159*(RANDBETWEEN(2890,3282))</f>
        <v>98355856.5096917</v>
      </c>
      <c r="B5142">
        <v>210505239.07041234</v>
      </c>
    </row>
    <row r="5143" spans="1:2" x14ac:dyDescent="0.25">
      <c r="A5143">
        <f ca="1">29248.9267127616*(RANDBETWEEN(2890,3282))</f>
        <v>92514355.192464799</v>
      </c>
      <c r="B5143">
        <v>226938397.25833464</v>
      </c>
    </row>
    <row r="5144" spans="1:2" x14ac:dyDescent="0.25">
      <c r="A5144">
        <f ca="1">37992.4229706088*(RANDBETWEEN(2890,3282))</f>
        <v>116560753.67382766</v>
      </c>
      <c r="B5144">
        <v>267305770.12136596</v>
      </c>
    </row>
    <row r="5145" spans="1:2" x14ac:dyDescent="0.25">
      <c r="A5145">
        <f ca="1">31377.3584532362*(RANDBETWEEN(2890,3282))</f>
        <v>99685867.805931687</v>
      </c>
      <c r="B5145">
        <v>259770880.50856405</v>
      </c>
    </row>
    <row r="5146" spans="1:2" x14ac:dyDescent="0.25">
      <c r="A5146">
        <f ca="1">30234.1673909128*(RANDBETWEEN(2890,3282))</f>
        <v>90369926.331438288</v>
      </c>
      <c r="B5146">
        <v>225144631.34120238</v>
      </c>
    </row>
    <row r="5147" spans="1:2" x14ac:dyDescent="0.25">
      <c r="A5147">
        <f ca="1">36017.4349564952*(RANDBETWEEN(2890,3282))</f>
        <v>109204862.78809333</v>
      </c>
      <c r="B5147">
        <v>254433237.73930842</v>
      </c>
    </row>
    <row r="5148" spans="1:2" x14ac:dyDescent="0.25">
      <c r="A5148">
        <f ca="1">38885.8989004233*(RANDBETWEEN(2890,3282))</f>
        <v>120001884.00670645</v>
      </c>
      <c r="B5148">
        <v>229424893.67529911</v>
      </c>
    </row>
    <row r="5149" spans="1:2" x14ac:dyDescent="0.25">
      <c r="A5149">
        <f ca="1">37530.9749688597*(RANDBETWEEN(2890,3282))</f>
        <v>123026535.9479221</v>
      </c>
      <c r="B5149">
        <v>242960673.91062161</v>
      </c>
    </row>
    <row r="5150" spans="1:2" x14ac:dyDescent="0.25">
      <c r="A5150">
        <f ca="1">31010.0070882066*(RANDBETWEEN(2890,3282))</f>
        <v>92657901.179561287</v>
      </c>
      <c r="B5150">
        <v>225379943.04851586</v>
      </c>
    </row>
    <row r="5151" spans="1:2" x14ac:dyDescent="0.25">
      <c r="A5151">
        <f ca="1">41371.8713256702*(RANDBETWEEN(2890,3282))</f>
        <v>127632223.03969255</v>
      </c>
      <c r="B5151">
        <v>248070614.56337136</v>
      </c>
    </row>
    <row r="5152" spans="1:2" x14ac:dyDescent="0.25">
      <c r="A5152">
        <f ca="1">33203.3167494002*(RANDBETWEEN(2890,3282))</f>
        <v>100074796.68269235</v>
      </c>
      <c r="B5152">
        <v>249863455.11034507</v>
      </c>
    </row>
    <row r="5153" spans="1:2" x14ac:dyDescent="0.25">
      <c r="A5153">
        <f ca="1">30309.5503842485*(RANDBETWEEN(2890,3282))</f>
        <v>88867601.726616547</v>
      </c>
      <c r="B5153">
        <v>236410294.04286727</v>
      </c>
    </row>
    <row r="5154" spans="1:2" x14ac:dyDescent="0.25">
      <c r="A5154">
        <f ca="1">31475.9034033509*(RANDBETWEEN(2890,3282))</f>
        <v>93892619.852195725</v>
      </c>
      <c r="B5154">
        <v>219726596.91885859</v>
      </c>
    </row>
    <row r="5155" spans="1:2" x14ac:dyDescent="0.25">
      <c r="A5155">
        <f ca="1">33562.9869299974*(RANDBETWEEN(2890,3282))</f>
        <v>99480693.260512188</v>
      </c>
      <c r="B5155">
        <v>231229307.23175359</v>
      </c>
    </row>
    <row r="5156" spans="1:2" x14ac:dyDescent="0.25">
      <c r="A5156">
        <f ca="1">40387.8876581839*(RANDBETWEEN(2890,3282))</f>
        <v>118538450.27676965</v>
      </c>
      <c r="B5156">
        <v>231577519.39427716</v>
      </c>
    </row>
    <row r="5157" spans="1:2" x14ac:dyDescent="0.25">
      <c r="A5157">
        <f ca="1">32571.4988170726*(RANDBETWEEN(2890,3282))</f>
        <v>105303655.67559564</v>
      </c>
      <c r="B5157">
        <v>204001727.93294513</v>
      </c>
    </row>
    <row r="5158" spans="1:2" x14ac:dyDescent="0.25">
      <c r="A5158">
        <f ca="1">29386.4336806138*(RANDBETWEEN(2890,3282))</f>
        <v>86014091.383156523</v>
      </c>
      <c r="B5158">
        <v>230990117.42225075</v>
      </c>
    </row>
    <row r="5159" spans="1:2" x14ac:dyDescent="0.25">
      <c r="A5159">
        <f ca="1">33088.2933847665*(RANDBETWEEN(2890,3282))</f>
        <v>96485463.509979218</v>
      </c>
      <c r="B5159">
        <v>254420335.18811738</v>
      </c>
    </row>
    <row r="5160" spans="1:2" x14ac:dyDescent="0.25">
      <c r="A5160">
        <f ca="1">31012.2712591045*(RANDBETWEEN(2890,3282))</f>
        <v>101565188.37356722</v>
      </c>
      <c r="B5160">
        <v>211564757.01466966</v>
      </c>
    </row>
    <row r="5161" spans="1:2" x14ac:dyDescent="0.25">
      <c r="A5161">
        <f ca="1">38823.7107565877*(RANDBETWEEN(2890,3282))</f>
        <v>115500539.50084838</v>
      </c>
      <c r="B5161">
        <v>216976526.08945864</v>
      </c>
    </row>
    <row r="5162" spans="1:2" x14ac:dyDescent="0.25">
      <c r="A5162">
        <f ca="1">31468.4006896499*(RANDBETWEEN(2890,3282))</f>
        <v>100667413.80619003</v>
      </c>
      <c r="B5162">
        <v>203999627.09147695</v>
      </c>
    </row>
    <row r="5163" spans="1:2" x14ac:dyDescent="0.25">
      <c r="A5163">
        <f ca="1">36544.4443962881*(RANDBETWEEN(2890,3282))</f>
        <v>117673110.95604774</v>
      </c>
      <c r="B5163">
        <v>262400505.70176008</v>
      </c>
    </row>
    <row r="5164" spans="1:2" x14ac:dyDescent="0.25">
      <c r="A5164">
        <f ca="1">32602.0305016292*(RANDBETWEEN(2890,3282))</f>
        <v>105174150.39825574</v>
      </c>
      <c r="B5164">
        <v>213409913.02080461</v>
      </c>
    </row>
    <row r="5165" spans="1:2" x14ac:dyDescent="0.25">
      <c r="A5165">
        <f ca="1">36266.4805276143*(RANDBETWEEN(2890,3282))</f>
        <v>110866630.97291677</v>
      </c>
      <c r="B5165">
        <v>249277855.17448243</v>
      </c>
    </row>
    <row r="5166" spans="1:2" x14ac:dyDescent="0.25">
      <c r="A5166">
        <f ca="1">34697.3487854505*(RANDBETWEEN(2890,3282))</f>
        <v>109088464.58145644</v>
      </c>
      <c r="B5166">
        <v>246942662.17010126</v>
      </c>
    </row>
    <row r="5167" spans="1:2" x14ac:dyDescent="0.25">
      <c r="A5167">
        <f ca="1">36708.7098161587*(RANDBETWEEN(2890,3282))</f>
        <v>113980543.97917266</v>
      </c>
      <c r="B5167">
        <v>247034903.69144273</v>
      </c>
    </row>
    <row r="5168" spans="1:2" x14ac:dyDescent="0.25">
      <c r="A5168">
        <f ca="1">34031.0674791695*(RANDBETWEEN(2890,3282))</f>
        <v>105190029.57811308</v>
      </c>
      <c r="B5168">
        <v>219251501.07467818</v>
      </c>
    </row>
    <row r="5169" spans="1:2" x14ac:dyDescent="0.25">
      <c r="A5169">
        <f ca="1">32625.6442019393*(RANDBETWEEN(2890,3282))</f>
        <v>100650112.36298278</v>
      </c>
      <c r="B5169">
        <v>239496583.78637376</v>
      </c>
    </row>
    <row r="5170" spans="1:2" x14ac:dyDescent="0.25">
      <c r="A5170">
        <f ca="1">29668.7122584111*(RANDBETWEEN(2890,3282))</f>
        <v>88828124.501682937</v>
      </c>
      <c r="B5170">
        <v>259941652.40989664</v>
      </c>
    </row>
    <row r="5171" spans="1:2" x14ac:dyDescent="0.25">
      <c r="A5171">
        <f ca="1">35560.9830154695*(RANDBETWEEN(2890,3282))</f>
        <v>103802509.42215551</v>
      </c>
      <c r="B5171">
        <v>265849930.34523544</v>
      </c>
    </row>
    <row r="5172" spans="1:2" x14ac:dyDescent="0.25">
      <c r="A5172">
        <f ca="1">33301.915634065*(RANDBETWEEN(2890,3282))</f>
        <v>106666035.77591015</v>
      </c>
      <c r="B5172">
        <v>260445941.42962641</v>
      </c>
    </row>
    <row r="5173" spans="1:2" x14ac:dyDescent="0.25">
      <c r="A5173">
        <f ca="1">37911.5171613158*(RANDBETWEEN(2890,3282))</f>
        <v>110360426.45659025</v>
      </c>
      <c r="B5173">
        <v>261646877.9988918</v>
      </c>
    </row>
    <row r="5174" spans="1:2" x14ac:dyDescent="0.25">
      <c r="A5174">
        <f ca="1">37878.7414189906*(RANDBETWEEN(2890,3282))</f>
        <v>120833185.12658015</v>
      </c>
      <c r="B5174">
        <v>236364072.05787796</v>
      </c>
    </row>
    <row r="5175" spans="1:2" x14ac:dyDescent="0.25">
      <c r="A5175">
        <f ca="1">34022.8027732846*(RANDBETWEEN(2890,3282))</f>
        <v>106389304.27206098</v>
      </c>
      <c r="B5175">
        <v>239242604.01259503</v>
      </c>
    </row>
    <row r="5176" spans="1:2" x14ac:dyDescent="0.25">
      <c r="A5176">
        <f ca="1">38007.91487733*(RANDBETWEEN(2890,3282))</f>
        <v>111325182.67569947</v>
      </c>
      <c r="B5176">
        <v>260599149.642497</v>
      </c>
    </row>
    <row r="5177" spans="1:2" x14ac:dyDescent="0.25">
      <c r="A5177">
        <f ca="1">41180.4471628812*(RANDBETWEEN(2890,3282))</f>
        <v>120864612.42305626</v>
      </c>
      <c r="B5177">
        <v>261946644.98787004</v>
      </c>
    </row>
    <row r="5178" spans="1:2" x14ac:dyDescent="0.25">
      <c r="A5178">
        <f ca="1">39985.8591338967*(RANDBETWEEN(2890,3282))</f>
        <v>120597351.14783241</v>
      </c>
      <c r="B5178">
        <v>254146737.20121655</v>
      </c>
    </row>
    <row r="5179" spans="1:2" x14ac:dyDescent="0.25">
      <c r="A5179">
        <f ca="1">34638.4972279018*(RANDBETWEEN(2890,3282))</f>
        <v>107032956.4342166</v>
      </c>
      <c r="B5179">
        <v>261198997.32109573</v>
      </c>
    </row>
    <row r="5180" spans="1:2" x14ac:dyDescent="0.25">
      <c r="A5180">
        <f ca="1">30739.3892435808*(RANDBETWEEN(2890,3282))</f>
        <v>93509222.078972787</v>
      </c>
      <c r="B5180">
        <v>204203049.09861726</v>
      </c>
    </row>
    <row r="5181" spans="1:2" x14ac:dyDescent="0.25">
      <c r="A5181">
        <f ca="1">31483.4882667513*(RANDBETWEEN(2890,3282))</f>
        <v>99991558.735202119</v>
      </c>
      <c r="B5181">
        <v>247589599.61815783</v>
      </c>
    </row>
    <row r="5182" spans="1:2" x14ac:dyDescent="0.25">
      <c r="A5182">
        <f ca="1">38992.0030641283*(RANDBETWEEN(2890,3282))</f>
        <v>118613673.32107827</v>
      </c>
      <c r="B5182">
        <v>204820860.84917808</v>
      </c>
    </row>
    <row r="5183" spans="1:2" x14ac:dyDescent="0.25">
      <c r="A5183">
        <f ca="1">31863.4189997267*(RANDBETWEEN(2890,3282))</f>
        <v>101899213.96112615</v>
      </c>
      <c r="B5183">
        <v>220608717.18746451</v>
      </c>
    </row>
    <row r="5184" spans="1:2" x14ac:dyDescent="0.25">
      <c r="A5184">
        <f ca="1">41232.4706395618*(RANDBETWEEN(2890,3282))</f>
        <v>130500769.57421304</v>
      </c>
      <c r="B5184">
        <v>215219868.36840445</v>
      </c>
    </row>
    <row r="5185" spans="1:2" x14ac:dyDescent="0.25">
      <c r="A5185">
        <f ca="1">32824.8262086876*(RANDBETWEEN(2890,3282))</f>
        <v>97325609.708758712</v>
      </c>
      <c r="B5185">
        <v>261597810.65223527</v>
      </c>
    </row>
    <row r="5186" spans="1:2" x14ac:dyDescent="0.25">
      <c r="A5186">
        <f ca="1">30016.7276940303*(RANDBETWEEN(2890,3282))</f>
        <v>93081872.579187945</v>
      </c>
      <c r="B5186">
        <v>232588388.93958694</v>
      </c>
    </row>
    <row r="5187" spans="1:2" x14ac:dyDescent="0.25">
      <c r="A5187">
        <f ca="1">31399.0081357612*(RANDBETWEEN(2890,3282))</f>
        <v>93569044.244568437</v>
      </c>
      <c r="B5187">
        <v>255656919.62126982</v>
      </c>
    </row>
    <row r="5188" spans="1:2" x14ac:dyDescent="0.25">
      <c r="A5188">
        <f ca="1">29924.1386814099*(RANDBETWEEN(2890,3282))</f>
        <v>87228864.256309986</v>
      </c>
      <c r="B5188">
        <v>261564349.95468616</v>
      </c>
    </row>
    <row r="5189" spans="1:2" x14ac:dyDescent="0.25">
      <c r="A5189">
        <f ca="1">29841.8188072717*(RANDBETWEEN(2890,3282))</f>
        <v>97314171.130512968</v>
      </c>
      <c r="B5189">
        <v>208794470.80001324</v>
      </c>
    </row>
    <row r="5190" spans="1:2" x14ac:dyDescent="0.25">
      <c r="A5190">
        <f ca="1">32271.679865912*(RANDBETWEEN(2890,3282))</f>
        <v>99913120.864863545</v>
      </c>
      <c r="B5190">
        <v>227686864.28413796</v>
      </c>
    </row>
    <row r="5191" spans="1:2" x14ac:dyDescent="0.25">
      <c r="A5191">
        <f ca="1">38868.7141808785*(RANDBETWEEN(2890,3282))</f>
        <v>114390625.83432528</v>
      </c>
      <c r="B5191">
        <v>236470005.83956093</v>
      </c>
    </row>
    <row r="5192" spans="1:2" x14ac:dyDescent="0.25">
      <c r="A5192">
        <f ca="1">30543.7011778423*(RANDBETWEEN(2890,3282))</f>
        <v>93463725.604197413</v>
      </c>
      <c r="B5192">
        <v>254193750.9589155</v>
      </c>
    </row>
    <row r="5193" spans="1:2" x14ac:dyDescent="0.25">
      <c r="A5193">
        <f ca="1">30639.7320804802*(RANDBETWEEN(2890,3282))</f>
        <v>95442765.430695862</v>
      </c>
      <c r="B5193">
        <v>223674992.44724241</v>
      </c>
    </row>
    <row r="5194" spans="1:2" x14ac:dyDescent="0.25">
      <c r="A5194">
        <f ca="1">30558.8380375645*(RANDBETWEEN(2890,3282))</f>
        <v>93296132.528684378</v>
      </c>
      <c r="B5194">
        <v>214992293.0832791</v>
      </c>
    </row>
    <row r="5195" spans="1:2" x14ac:dyDescent="0.25">
      <c r="A5195">
        <f ca="1">42252.0274935748*(RANDBETWEEN(2890,3282))</f>
        <v>137741609.6290538</v>
      </c>
      <c r="B5195">
        <v>218417189.57041588</v>
      </c>
    </row>
    <row r="5196" spans="1:2" x14ac:dyDescent="0.25">
      <c r="A5196">
        <f ca="1">40168.8412582084*(RANDBETWEEN(2890,3282))</f>
        <v>126732694.16964754</v>
      </c>
      <c r="B5196">
        <v>228001798.94623324</v>
      </c>
    </row>
    <row r="5197" spans="1:2" x14ac:dyDescent="0.25">
      <c r="A5197">
        <f ca="1">36622.66809071*(RANDBETWEEN(2890,3282))</f>
        <v>120195596.67371008</v>
      </c>
      <c r="B5197">
        <v>242365809.16090846</v>
      </c>
    </row>
    <row r="5198" spans="1:2" x14ac:dyDescent="0.25">
      <c r="A5198">
        <f ca="1">35888.1761297609*(RANDBETWEEN(2890,3282))</f>
        <v>108454068.26413749</v>
      </c>
      <c r="B5198">
        <v>227996815.21697479</v>
      </c>
    </row>
    <row r="5199" spans="1:2" x14ac:dyDescent="0.25">
      <c r="A5199">
        <f ca="1">29707.6795635841*(RANDBETWEEN(2890,3282))</f>
        <v>94529836.371324539</v>
      </c>
      <c r="B5199">
        <v>226061214.00956836</v>
      </c>
    </row>
    <row r="5200" spans="1:2" x14ac:dyDescent="0.25">
      <c r="A5200">
        <f ca="1">35774.9353351607*(RANDBETWEEN(2890,3282))</f>
        <v>115982340.35659103</v>
      </c>
      <c r="B5200">
        <v>245107272.74743494</v>
      </c>
    </row>
    <row r="5201" spans="1:2" x14ac:dyDescent="0.25">
      <c r="A5201">
        <f ca="1">30394.4921776175*(RANDBETWEEN(2890,3282))</f>
        <v>98508549.147658169</v>
      </c>
      <c r="B5201">
        <v>215165766.81086829</v>
      </c>
    </row>
    <row r="5202" spans="1:2" x14ac:dyDescent="0.25">
      <c r="A5202">
        <f ca="1">37539.4196859527*(RANDBETWEEN(2890,3282))</f>
        <v>122040653.39903229</v>
      </c>
      <c r="B5202">
        <v>246506729.40473479</v>
      </c>
    </row>
    <row r="5203" spans="1:2" x14ac:dyDescent="0.25">
      <c r="A5203">
        <f ca="1">32024.019619746*(RANDBETWEEN(2890,3282))</f>
        <v>104270207.88189302</v>
      </c>
      <c r="B5203">
        <v>207010505.03796643</v>
      </c>
    </row>
    <row r="5204" spans="1:2" x14ac:dyDescent="0.25">
      <c r="A5204">
        <f ca="1">32053.0602978952*(RANDBETWEEN(2890,3282))</f>
        <v>101928731.74730673</v>
      </c>
      <c r="B5204">
        <v>250821582.03445667</v>
      </c>
    </row>
    <row r="5205" spans="1:2" x14ac:dyDescent="0.25">
      <c r="A5205">
        <f ca="1">29916.0935575704*(RANDBETWEEN(2890,3282))</f>
        <v>91513330.19260785</v>
      </c>
      <c r="B5205">
        <v>257422248.34136635</v>
      </c>
    </row>
    <row r="5206" spans="1:2" x14ac:dyDescent="0.25">
      <c r="A5206">
        <f ca="1">37804.7238067704*(RANDBETWEEN(2890,3282))</f>
        <v>119954388.63888249</v>
      </c>
      <c r="B5206">
        <v>252165278.96754599</v>
      </c>
    </row>
    <row r="5207" spans="1:2" x14ac:dyDescent="0.25">
      <c r="A5207">
        <f ca="1">40480.5805181534*(RANDBETWEEN(2890,3282))</f>
        <v>126420852.95819299</v>
      </c>
      <c r="B5207">
        <v>243412544.70806107</v>
      </c>
    </row>
    <row r="5208" spans="1:2" x14ac:dyDescent="0.25">
      <c r="A5208">
        <f ca="1">36916.1343727971*(RANDBETWEEN(2890,3282))</f>
        <v>117024145.9617667</v>
      </c>
      <c r="B5208">
        <v>239622371.29963747</v>
      </c>
    </row>
    <row r="5209" spans="1:2" x14ac:dyDescent="0.25">
      <c r="A5209">
        <f ca="1">36390.5591296278*(RANDBETWEEN(2890,3282))</f>
        <v>115103338.52701278</v>
      </c>
      <c r="B5209">
        <v>258435156.10233659</v>
      </c>
    </row>
    <row r="5210" spans="1:2" x14ac:dyDescent="0.25">
      <c r="A5210">
        <f ca="1">30690.1804723012*(RANDBETWEEN(2890,3282))</f>
        <v>98730310.579392806</v>
      </c>
      <c r="B5210">
        <v>233601189.50107452</v>
      </c>
    </row>
    <row r="5211" spans="1:2" x14ac:dyDescent="0.25">
      <c r="A5211">
        <f ca="1">35497.5334129567*(RANDBETWEEN(2890,3282))</f>
        <v>113663101.98828742</v>
      </c>
      <c r="B5211">
        <v>250528710.95787573</v>
      </c>
    </row>
    <row r="5212" spans="1:2" x14ac:dyDescent="0.25">
      <c r="A5212">
        <f ca="1">31180.5898176316*(RANDBETWEEN(2890,3282))</f>
        <v>95194340.71322915</v>
      </c>
      <c r="B5212">
        <v>258426355.79980126</v>
      </c>
    </row>
    <row r="5213" spans="1:2" x14ac:dyDescent="0.25">
      <c r="A5213">
        <f ca="1">32538.7631153315*(RANDBETWEEN(2890,3282))</f>
        <v>102464565.05017893</v>
      </c>
      <c r="B5213">
        <v>204279992.19980058</v>
      </c>
    </row>
    <row r="5214" spans="1:2" x14ac:dyDescent="0.25">
      <c r="A5214">
        <f ca="1">31122.5126462876*(RANDBETWEEN(2890,3282))</f>
        <v>94114478.24237375</v>
      </c>
      <c r="B5214">
        <v>206396260.76175538</v>
      </c>
    </row>
    <row r="5215" spans="1:2" x14ac:dyDescent="0.25">
      <c r="A5215">
        <f ca="1">40986.6513073596*(RANDBETWEEN(2890,3282))</f>
        <v>126443819.28320444</v>
      </c>
      <c r="B5215">
        <v>241323501.09887496</v>
      </c>
    </row>
    <row r="5216" spans="1:2" x14ac:dyDescent="0.25">
      <c r="A5216">
        <f ca="1">39668.7075395936*(RANDBETWEEN(2890,3282))</f>
        <v>115792957.30807376</v>
      </c>
      <c r="B5216">
        <v>266390571.43800879</v>
      </c>
    </row>
    <row r="5217" spans="1:2" x14ac:dyDescent="0.25">
      <c r="A5217">
        <f ca="1">30991.208734165*(RANDBETWEEN(2890,3282))</f>
        <v>92384793.23654598</v>
      </c>
      <c r="B5217">
        <v>245575215.14277366</v>
      </c>
    </row>
    <row r="5218" spans="1:2" x14ac:dyDescent="0.25">
      <c r="A5218">
        <f ca="1">30789.296979061*(RANDBETWEEN(2890,3282))</f>
        <v>93630252.113324493</v>
      </c>
      <c r="B5218">
        <v>206383550.81949019</v>
      </c>
    </row>
    <row r="5219" spans="1:2" x14ac:dyDescent="0.25">
      <c r="A5219">
        <f ca="1">36300.2774155109*(RANDBETWEEN(2890,3282))</f>
        <v>109808339.18192042</v>
      </c>
      <c r="B5219">
        <v>240570253.19797352</v>
      </c>
    </row>
    <row r="5220" spans="1:2" x14ac:dyDescent="0.25">
      <c r="A5220">
        <f ca="1">34672.2172908785*(RANDBETWEEN(2890,3282))</f>
        <v>109529534.42188531</v>
      </c>
      <c r="B5220">
        <v>237466989.98354945</v>
      </c>
    </row>
    <row r="5221" spans="1:2" x14ac:dyDescent="0.25">
      <c r="A5221">
        <f ca="1">37323.8817772509*(RANDBETWEEN(2890,3282))</f>
        <v>119735012.74142088</v>
      </c>
      <c r="B5221">
        <v>244528845.91637456</v>
      </c>
    </row>
    <row r="5222" spans="1:2" x14ac:dyDescent="0.25">
      <c r="A5222">
        <f ca="1">31720.1694935608*(RANDBETWEEN(2890,3282))</f>
        <v>92971816.785626605</v>
      </c>
      <c r="B5222">
        <v>218079692.76768935</v>
      </c>
    </row>
    <row r="5223" spans="1:2" x14ac:dyDescent="0.25">
      <c r="A5223">
        <f ca="1">39167.3362240624*(RANDBETWEEN(2890,3282))</f>
        <v>123063770.41600421</v>
      </c>
      <c r="B5223">
        <v>236395028.72013906</v>
      </c>
    </row>
    <row r="5224" spans="1:2" x14ac:dyDescent="0.25">
      <c r="A5224">
        <f ca="1">40767.3858263518*(RANDBETWEEN(2890,3282))</f>
        <v>125767385.27429532</v>
      </c>
      <c r="B5224">
        <v>216918824.91258189</v>
      </c>
    </row>
    <row r="5225" spans="1:2" x14ac:dyDescent="0.25">
      <c r="A5225">
        <f ca="1">30992.0938939966*(RANDBETWEEN(2890,3282))</f>
        <v>93007273.775883824</v>
      </c>
      <c r="B5225">
        <v>222299202.84300983</v>
      </c>
    </row>
    <row r="5226" spans="1:2" x14ac:dyDescent="0.25">
      <c r="A5226">
        <f ca="1">32403.1051010883*(RANDBETWEEN(2890,3282))</f>
        <v>99445129.555239871</v>
      </c>
      <c r="B5226">
        <v>214211546.01438138</v>
      </c>
    </row>
    <row r="5227" spans="1:2" x14ac:dyDescent="0.25">
      <c r="A5227">
        <f ca="1">32177.4475270512*(RANDBETWEEN(2890,3282))</f>
        <v>100683233.31214334</v>
      </c>
      <c r="B5227">
        <v>208002224.60797954</v>
      </c>
    </row>
    <row r="5228" spans="1:2" x14ac:dyDescent="0.25">
      <c r="A5228">
        <f ca="1">31008.8378381949*(RANDBETWEEN(2890,3282))</f>
        <v>95011079.136229068</v>
      </c>
      <c r="B5228">
        <v>218231630.32770014</v>
      </c>
    </row>
    <row r="5229" spans="1:2" x14ac:dyDescent="0.25">
      <c r="A5229">
        <f ca="1">31094.7468419628*(RANDBETWEEN(2890,3282))</f>
        <v>91263081.98116079</v>
      </c>
      <c r="B5229">
        <v>259747748.25785115</v>
      </c>
    </row>
    <row r="5230" spans="1:2" x14ac:dyDescent="0.25">
      <c r="A5230">
        <f ca="1">37977.2707412281*(RANDBETWEEN(2890,3282))</f>
        <v>111273403.27179831</v>
      </c>
      <c r="B5230">
        <v>244172112.40647745</v>
      </c>
    </row>
    <row r="5231" spans="1:2" x14ac:dyDescent="0.25">
      <c r="A5231">
        <f ca="1">35890.1253454029*(RANDBETWEEN(2890,3282))</f>
        <v>113628136.84354565</v>
      </c>
      <c r="B5231">
        <v>211835468.56539595</v>
      </c>
    </row>
    <row r="5232" spans="1:2" x14ac:dyDescent="0.25">
      <c r="A5232">
        <f ca="1">35051.2620827286*(RANDBETWEEN(2890,3282))</f>
        <v>108203246.04938307</v>
      </c>
      <c r="B5232">
        <v>259117681.63690498</v>
      </c>
    </row>
    <row r="5233" spans="1:2" x14ac:dyDescent="0.25">
      <c r="A5233">
        <f ca="1">38525.2620818435*(RANDBETWEEN(2890,3282))</f>
        <v>120892272.41282484</v>
      </c>
      <c r="B5233">
        <v>212132253.3614215</v>
      </c>
    </row>
    <row r="5234" spans="1:2" x14ac:dyDescent="0.25">
      <c r="A5234">
        <f ca="1">36882.8703228792*(RANDBETWEEN(2890,3282))</f>
        <v>115885978.55448654</v>
      </c>
      <c r="B5234">
        <v>263325604.90478188</v>
      </c>
    </row>
    <row r="5235" spans="1:2" x14ac:dyDescent="0.25">
      <c r="A5235">
        <f ca="1">33882.9690176799*(RANDBETWEEN(2890,3282))</f>
        <v>106595820.52962096</v>
      </c>
      <c r="B5235">
        <v>221922300.74487224</v>
      </c>
    </row>
    <row r="5236" spans="1:2" x14ac:dyDescent="0.25">
      <c r="A5236">
        <f ca="1">37554.6856156436*(RANDBETWEEN(2890,3282))</f>
        <v>112213400.61954315</v>
      </c>
      <c r="B5236">
        <v>255585957.8176778</v>
      </c>
    </row>
    <row r="5237" spans="1:2" x14ac:dyDescent="0.25">
      <c r="A5237">
        <f ca="1">34819.8559705847*(RANDBETWEEN(2890,3282))</f>
        <v>101325780.87440158</v>
      </c>
      <c r="B5237">
        <v>216205661.79775974</v>
      </c>
    </row>
    <row r="5238" spans="1:2" x14ac:dyDescent="0.25">
      <c r="A5238">
        <f ca="1">33439.6847948462*(RANDBETWEEN(2890,3282))</f>
        <v>107274508.82186653</v>
      </c>
      <c r="B5238">
        <v>205339708.07445657</v>
      </c>
    </row>
    <row r="5239" spans="1:2" x14ac:dyDescent="0.25">
      <c r="A5239">
        <f ca="1">31321.2466614704*(RANDBETWEEN(2890,3282))</f>
        <v>97377755.870511457</v>
      </c>
      <c r="B5239">
        <v>253695672.48191094</v>
      </c>
    </row>
    <row r="5240" spans="1:2" x14ac:dyDescent="0.25">
      <c r="A5240">
        <f ca="1">36655.573737651*(RANDBETWEEN(2890,3282))</f>
        <v>106631064.00282688</v>
      </c>
      <c r="B5240">
        <v>218538617.50366843</v>
      </c>
    </row>
    <row r="5241" spans="1:2" x14ac:dyDescent="0.25">
      <c r="A5241">
        <f ca="1">36126.7871307002*(RANDBETWEEN(2890,3282))</f>
        <v>105598598.78303672</v>
      </c>
      <c r="B5241">
        <v>240809331.00968996</v>
      </c>
    </row>
    <row r="5242" spans="1:2" x14ac:dyDescent="0.25">
      <c r="A5242">
        <f ca="1">36149.112105322*(RANDBETWEEN(2890,3282))</f>
        <v>114014299.5801857</v>
      </c>
      <c r="B5242">
        <v>233374954.38301179</v>
      </c>
    </row>
    <row r="5243" spans="1:2" x14ac:dyDescent="0.25">
      <c r="A5243">
        <f ca="1">33316.0205124184*(RANDBETWEEN(2890,3282))</f>
        <v>108177118.60382268</v>
      </c>
      <c r="B5243">
        <v>241505810.84214172</v>
      </c>
    </row>
    <row r="5244" spans="1:2" x14ac:dyDescent="0.25">
      <c r="A5244">
        <f ca="1">40046.2692440397*(RANDBETWEEN(2890,3282))</f>
        <v>130310560.12010513</v>
      </c>
      <c r="B5244">
        <v>220396052.85426036</v>
      </c>
    </row>
    <row r="5245" spans="1:2" x14ac:dyDescent="0.25">
      <c r="A5245">
        <f ca="1">31397.5685693755*(RANDBETWEEN(2890,3282))</f>
        <v>92151863.75111711</v>
      </c>
      <c r="B5245">
        <v>245918594.78783682</v>
      </c>
    </row>
    <row r="5246" spans="1:2" x14ac:dyDescent="0.25">
      <c r="A5246">
        <f ca="1">34964.9423113222*(RANDBETWEEN(2890,3282))</f>
        <v>102482245.91448541</v>
      </c>
      <c r="B5246">
        <v>219272555.94249475</v>
      </c>
    </row>
    <row r="5247" spans="1:2" x14ac:dyDescent="0.25">
      <c r="A5247">
        <f ca="1">34060.9764154499*(RANDBETWEEN(2890,3282))</f>
        <v>101501709.7180407</v>
      </c>
      <c r="B5247">
        <v>222076284.16892827</v>
      </c>
    </row>
    <row r="5248" spans="1:2" x14ac:dyDescent="0.25">
      <c r="A5248">
        <f ca="1">33177.8160737108*(RANDBETWEEN(2890,3282))</f>
        <v>99666159.485427216</v>
      </c>
      <c r="B5248">
        <v>254585763.02409557</v>
      </c>
    </row>
    <row r="5249" spans="1:2" x14ac:dyDescent="0.25">
      <c r="A5249">
        <f ca="1">32897.3983542884*(RANDBETWEEN(2890,3282))</f>
        <v>107278416.03333452</v>
      </c>
      <c r="B5249">
        <v>233809663.403732</v>
      </c>
    </row>
    <row r="5250" spans="1:2" x14ac:dyDescent="0.25">
      <c r="A5250">
        <f ca="1">31005.2399548822*(RANDBETWEEN(2890,3282))</f>
        <v>101511155.61228439</v>
      </c>
      <c r="B5250">
        <v>229443251.55057335</v>
      </c>
    </row>
    <row r="5251" spans="1:2" x14ac:dyDescent="0.25">
      <c r="A5251">
        <f ca="1">28847.1427630594*(RANDBETWEEN(2890,3282))</f>
        <v>89974238.277982369</v>
      </c>
      <c r="B5251">
        <v>239638486.87024006</v>
      </c>
    </row>
    <row r="5252" spans="1:2" x14ac:dyDescent="0.25">
      <c r="A5252">
        <f ca="1">35112.5382288544*(RANDBETWEEN(2890,3282))</f>
        <v>106074977.98936903</v>
      </c>
      <c r="B5252">
        <v>260228814.43064725</v>
      </c>
    </row>
    <row r="5253" spans="1:2" x14ac:dyDescent="0.25">
      <c r="A5253">
        <f ca="1">32630.3333158082*(RANDBETWEEN(2890,3282))</f>
        <v>102785549.94479571</v>
      </c>
      <c r="B5253">
        <v>220486984.58920467</v>
      </c>
    </row>
    <row r="5254" spans="1:2" x14ac:dyDescent="0.25">
      <c r="A5254">
        <f ca="1">32751.6243052103*(RANDBETWEEN(2890,3282))</f>
        <v>96551788.451760039</v>
      </c>
      <c r="B5254">
        <v>251673284.62936187</v>
      </c>
    </row>
    <row r="5255" spans="1:2" x14ac:dyDescent="0.25">
      <c r="A5255">
        <f ca="1">42025.0748052673*(RANDBETWEEN(2890,3282))</f>
        <v>123301569.47865437</v>
      </c>
      <c r="B5255">
        <v>204691856.99972922</v>
      </c>
    </row>
    <row r="5256" spans="1:2" x14ac:dyDescent="0.25">
      <c r="A5256">
        <f ca="1">36787.497468426*(RANDBETWEEN(2890,3282))</f>
        <v>119632941.76732121</v>
      </c>
      <c r="B5256">
        <v>264641904.28850639</v>
      </c>
    </row>
    <row r="5257" spans="1:2" x14ac:dyDescent="0.25">
      <c r="A5257">
        <f ca="1">33307.3936892622*(RANDBETWEEN(2890,3282))</f>
        <v>107149885.49835639</v>
      </c>
      <c r="B5257">
        <v>229081254.04761159</v>
      </c>
    </row>
    <row r="5258" spans="1:2" x14ac:dyDescent="0.25">
      <c r="A5258">
        <f ca="1">34610.7030324873*(RANDBETWEEN(2890,3282))</f>
        <v>103174505.73984453</v>
      </c>
      <c r="B5258">
        <v>265426949.74945658</v>
      </c>
    </row>
    <row r="5259" spans="1:2" x14ac:dyDescent="0.25">
      <c r="A5259">
        <f ca="1">30868.6199318606*(RANDBETWEEN(2890,3282))</f>
        <v>96217488.32760942</v>
      </c>
      <c r="B5259">
        <v>207500243.18657699</v>
      </c>
    </row>
    <row r="5260" spans="1:2" x14ac:dyDescent="0.25">
      <c r="A5260">
        <f ca="1">30911.4354276968*(RANDBETWEEN(2890,3282))</f>
        <v>95392689.729872286</v>
      </c>
      <c r="B5260">
        <v>253409843.79797542</v>
      </c>
    </row>
    <row r="5261" spans="1:2" x14ac:dyDescent="0.25">
      <c r="A5261">
        <f ca="1">33040.425756763*(RANDBETWEEN(2890,3282))</f>
        <v>97964862.36880216</v>
      </c>
      <c r="B5261">
        <v>236073956.96398327</v>
      </c>
    </row>
    <row r="5262" spans="1:2" x14ac:dyDescent="0.25">
      <c r="A5262">
        <f ca="1">38624.3212385513*(RANDBETWEEN(2890,3282))</f>
        <v>121589363.25895934</v>
      </c>
      <c r="B5262">
        <v>220647800.31348836</v>
      </c>
    </row>
    <row r="5263" spans="1:2" x14ac:dyDescent="0.25">
      <c r="A5263">
        <f ca="1">37039.7060241451*(RANDBETWEEN(2890,3282))</f>
        <v>109526410.71339706</v>
      </c>
      <c r="B5263">
        <v>213027069.933119</v>
      </c>
    </row>
    <row r="5264" spans="1:2" x14ac:dyDescent="0.25">
      <c r="A5264">
        <f ca="1">31371.6989297166*(RANDBETWEEN(2890,3282))</f>
        <v>100577666.76867156</v>
      </c>
      <c r="B5264">
        <v>258427367.98862058</v>
      </c>
    </row>
    <row r="5265" spans="1:2" x14ac:dyDescent="0.25">
      <c r="A5265">
        <f ca="1">29961.7560620812*(RANDBETWEEN(2890,3282))</f>
        <v>96416931.007777289</v>
      </c>
      <c r="B5265">
        <v>222151065.54965001</v>
      </c>
    </row>
    <row r="5266" spans="1:2" x14ac:dyDescent="0.25">
      <c r="A5266">
        <f ca="1">33911.4060557468*(RANDBETWEEN(2890,3282))</f>
        <v>111059854.83257073</v>
      </c>
      <c r="B5266">
        <v>211275674.36545217</v>
      </c>
    </row>
    <row r="5267" spans="1:2" x14ac:dyDescent="0.25">
      <c r="A5267">
        <f ca="1">35166.6901859402*(RANDBETWEEN(2890,3282))</f>
        <v>112322408.45389307</v>
      </c>
      <c r="B5267">
        <v>249677663.52828628</v>
      </c>
    </row>
    <row r="5268" spans="1:2" x14ac:dyDescent="0.25">
      <c r="A5268">
        <f ca="1">31265.6332036114*(RANDBETWEEN(2890,3282))</f>
        <v>94109555.942870274</v>
      </c>
      <c r="B5268">
        <v>218317363.21628129</v>
      </c>
    </row>
    <row r="5269" spans="1:2" x14ac:dyDescent="0.25">
      <c r="A5269">
        <f ca="1">33466.7792948191*(RANDBETWEEN(2890,3282))</f>
        <v>103546215.1381702</v>
      </c>
      <c r="B5269">
        <v>213026687.08523962</v>
      </c>
    </row>
    <row r="5270" spans="1:2" x14ac:dyDescent="0.25">
      <c r="A5270">
        <f ca="1">31547.1284681814*(RANDBETWEEN(2890,3282))</f>
        <v>94672932.53301248</v>
      </c>
      <c r="B5270">
        <v>214195166.77116492</v>
      </c>
    </row>
    <row r="5271" spans="1:2" x14ac:dyDescent="0.25">
      <c r="A5271">
        <f ca="1">28744.8543880727*(RANDBETWEEN(2890,3282))</f>
        <v>87528081.611681446</v>
      </c>
      <c r="B5271">
        <v>233888078.01964468</v>
      </c>
    </row>
    <row r="5272" spans="1:2" x14ac:dyDescent="0.25">
      <c r="A5272">
        <f ca="1">37310.3207047493*(RANDBETWEEN(2890,3282))</f>
        <v>116743993.48516066</v>
      </c>
      <c r="B5272">
        <v>220093685.40243557</v>
      </c>
    </row>
    <row r="5273" spans="1:2" x14ac:dyDescent="0.25">
      <c r="A5273">
        <f ca="1">33049.6165219515*(RANDBETWEEN(2890,3282))</f>
        <v>107378204.07982036</v>
      </c>
      <c r="B5273">
        <v>219331276.09755874</v>
      </c>
    </row>
    <row r="5274" spans="1:2" x14ac:dyDescent="0.25">
      <c r="A5274">
        <f ca="1">33799.4924917839*(RANDBETWEEN(2890,3282))</f>
        <v>101601274.43030232</v>
      </c>
      <c r="B5274">
        <v>238848543.12884462</v>
      </c>
    </row>
    <row r="5275" spans="1:2" x14ac:dyDescent="0.25">
      <c r="A5275">
        <f ca="1">34809.2715836024*(RANDBETWEEN(2890,3282))</f>
        <v>110171344.56210171</v>
      </c>
      <c r="B5275">
        <v>254029642.7230823</v>
      </c>
    </row>
    <row r="5276" spans="1:2" x14ac:dyDescent="0.25">
      <c r="A5276">
        <f ca="1">38072.3491716824*(RANDBETWEEN(2890,3282))</f>
        <v>118671512.36813416</v>
      </c>
      <c r="B5276">
        <v>264219661.95478809</v>
      </c>
    </row>
    <row r="5277" spans="1:2" x14ac:dyDescent="0.25">
      <c r="A5277">
        <f ca="1">33823.2960094316*(RANDBETWEEN(2890,3282))</f>
        <v>97816972.059276313</v>
      </c>
      <c r="B5277">
        <v>231986612.48509705</v>
      </c>
    </row>
    <row r="5278" spans="1:2" x14ac:dyDescent="0.25">
      <c r="A5278">
        <f ca="1">29895.7293852626*(RANDBETWEEN(2890,3282))</f>
        <v>93543737.24648653</v>
      </c>
      <c r="B5278">
        <v>263783292.86979005</v>
      </c>
    </row>
    <row r="5279" spans="1:2" x14ac:dyDescent="0.25">
      <c r="A5279">
        <f ca="1">32450.7735752389*(RANDBETWEEN(2890,3282))</f>
        <v>100435144.21536455</v>
      </c>
      <c r="B5279">
        <v>237223024.07616627</v>
      </c>
    </row>
    <row r="5280" spans="1:2" x14ac:dyDescent="0.25">
      <c r="A5280">
        <f ca="1">34322.2347376038*(RANDBETWEEN(2890,3282))</f>
        <v>100529825.54644139</v>
      </c>
      <c r="B5280">
        <v>227283294.3079983</v>
      </c>
    </row>
    <row r="5281" spans="1:2" x14ac:dyDescent="0.25">
      <c r="A5281">
        <f ca="1">36678.4926687577*(RANDBETWEEN(2890,3282))</f>
        <v>115683965.87726189</v>
      </c>
      <c r="B5281">
        <v>244303884.92160928</v>
      </c>
    </row>
    <row r="5282" spans="1:2" x14ac:dyDescent="0.25">
      <c r="A5282">
        <f ca="1">39422.7450820279*(RANDBETWEEN(2890,3282))</f>
        <v>118504771.71657579</v>
      </c>
      <c r="B5282">
        <v>258445409.85803097</v>
      </c>
    </row>
    <row r="5283" spans="1:2" x14ac:dyDescent="0.25">
      <c r="A5283">
        <f ca="1">38350.5531116092*(RANDBETWEEN(2890,3282))</f>
        <v>114859906.56926943</v>
      </c>
      <c r="B5283">
        <v>216772683.5143925</v>
      </c>
    </row>
    <row r="5284" spans="1:2" x14ac:dyDescent="0.25">
      <c r="A5284">
        <f ca="1">40147.3678280694*(RANDBETWEEN(2890,3282))</f>
        <v>117752229.83972746</v>
      </c>
      <c r="B5284">
        <v>259348526.63427949</v>
      </c>
    </row>
    <row r="5285" spans="1:2" x14ac:dyDescent="0.25">
      <c r="A5285">
        <f ca="1">31062.80978732*(RANDBETWEEN(2890,3282))</f>
        <v>97568285.541971996</v>
      </c>
      <c r="B5285">
        <v>264646689.74414796</v>
      </c>
    </row>
    <row r="5286" spans="1:2" x14ac:dyDescent="0.25">
      <c r="A5286">
        <f ca="1">36407.5572854042*(RANDBETWEEN(2890,3282))</f>
        <v>117050296.67257437</v>
      </c>
      <c r="B5286">
        <v>215973559.75330657</v>
      </c>
    </row>
    <row r="5287" spans="1:2" x14ac:dyDescent="0.25">
      <c r="A5287">
        <f ca="1">37402.4891893502*(RANDBETWEEN(2890,3282))</f>
        <v>122156529.69241789</v>
      </c>
      <c r="B5287">
        <v>204721120.06722441</v>
      </c>
    </row>
    <row r="5288" spans="1:2" x14ac:dyDescent="0.25">
      <c r="A5288">
        <f ca="1">32985.4678032821*(RANDBETWEEN(2890,3282))</f>
        <v>105190656.82466649</v>
      </c>
      <c r="B5288">
        <v>209229723.44229877</v>
      </c>
    </row>
    <row r="5289" spans="1:2" x14ac:dyDescent="0.25">
      <c r="A5289">
        <f ca="1">34917.1776404659*(RANDBETWEEN(2890,3282))</f>
        <v>105554628.00712836</v>
      </c>
      <c r="B5289">
        <v>208750456.52572727</v>
      </c>
    </row>
    <row r="5290" spans="1:2" x14ac:dyDescent="0.25">
      <c r="A5290">
        <f ca="1">33180.9314984629*(RANDBETWEEN(2890,3282))</f>
        <v>97021043.701505527</v>
      </c>
      <c r="B5290">
        <v>221686135.85579482</v>
      </c>
    </row>
    <row r="5291" spans="1:2" x14ac:dyDescent="0.25">
      <c r="A5291">
        <f ca="1">32402.1150391288*(RANDBETWEEN(2890,3282))</f>
        <v>102423085.63868608</v>
      </c>
      <c r="B5291">
        <v>263870583.289042</v>
      </c>
    </row>
    <row r="5292" spans="1:2" x14ac:dyDescent="0.25">
      <c r="A5292">
        <f ca="1">31013.6461021069*(RANDBETWEEN(2890,3282))</f>
        <v>95956221.03991887</v>
      </c>
      <c r="B5292">
        <v>246794819.64842987</v>
      </c>
    </row>
    <row r="5293" spans="1:2" x14ac:dyDescent="0.25">
      <c r="A5293">
        <f ca="1">29661.0537204794*(RANDBETWEEN(2890,3282))</f>
        <v>96368763.537837446</v>
      </c>
      <c r="B5293">
        <v>214290854.29417801</v>
      </c>
    </row>
    <row r="5294" spans="1:2" x14ac:dyDescent="0.25">
      <c r="A5294">
        <f ca="1">36058.6354728169*(RANDBETWEEN(2890,3282))</f>
        <v>110808186.80796638</v>
      </c>
      <c r="B5294">
        <v>214047269.54159808</v>
      </c>
    </row>
    <row r="5295" spans="1:2" x14ac:dyDescent="0.25">
      <c r="A5295">
        <f ca="1">40471.5243983673*(RANDBETWEEN(2890,3282))</f>
        <v>123600035.512614</v>
      </c>
      <c r="B5295">
        <v>233208107.49077746</v>
      </c>
    </row>
    <row r="5296" spans="1:2" x14ac:dyDescent="0.25">
      <c r="A5296">
        <f ca="1">32272.8585198278*(RANDBETWEEN(2890,3282))</f>
        <v>96818575.559483498</v>
      </c>
      <c r="B5296">
        <v>221354055.08724257</v>
      </c>
    </row>
    <row r="5297" spans="1:2" x14ac:dyDescent="0.25">
      <c r="A5297">
        <f ca="1">34051.6038583387*(RANDBETWEEN(2890,3282))</f>
        <v>99839302.512649059</v>
      </c>
      <c r="B5297">
        <v>240512658.78444913</v>
      </c>
    </row>
    <row r="5298" spans="1:2" x14ac:dyDescent="0.25">
      <c r="A5298">
        <f ca="1">40542.5402416253*(RANDBETWEEN(2890,3282))</f>
        <v>120654599.75907704</v>
      </c>
      <c r="B5298">
        <v>238301647.32137966</v>
      </c>
    </row>
    <row r="5299" spans="1:2" x14ac:dyDescent="0.25">
      <c r="A5299">
        <f ca="1">30030.0134788079*(RANDBETWEEN(2890,3282))</f>
        <v>87927879.465949625</v>
      </c>
      <c r="B5299">
        <v>245031757.39633754</v>
      </c>
    </row>
    <row r="5300" spans="1:2" x14ac:dyDescent="0.25">
      <c r="A5300">
        <f ca="1">37228.4108258373*(RANDBETWEEN(2890,3282))</f>
        <v>119465970.34011194</v>
      </c>
      <c r="B5300">
        <v>261538655.94068438</v>
      </c>
    </row>
    <row r="5301" spans="1:2" x14ac:dyDescent="0.25">
      <c r="A5301">
        <f ca="1">36507.6598086513*(RANDBETWEEN(2890,3282))</f>
        <v>107515058.13647801</v>
      </c>
      <c r="B5301">
        <v>248418133.74616969</v>
      </c>
    </row>
    <row r="5302" spans="1:2" x14ac:dyDescent="0.25">
      <c r="A5302">
        <f ca="1">29648.5602778342*(RANDBETWEEN(2890,3282))</f>
        <v>95290472.732959241</v>
      </c>
      <c r="B5302">
        <v>221159626.05440626</v>
      </c>
    </row>
    <row r="5303" spans="1:2" x14ac:dyDescent="0.25">
      <c r="A5303">
        <f ca="1">30693.3702383652*(RANDBETWEEN(2890,3282))</f>
        <v>91957337.234142065</v>
      </c>
      <c r="B5303">
        <v>234914775.18639809</v>
      </c>
    </row>
    <row r="5304" spans="1:2" x14ac:dyDescent="0.25">
      <c r="A5304">
        <f ca="1">32054.8881028965*(RANDBETWEEN(2890,3282))</f>
        <v>93696437.92476657</v>
      </c>
      <c r="B5304">
        <v>239746400.28230289</v>
      </c>
    </row>
    <row r="5305" spans="1:2" x14ac:dyDescent="0.25">
      <c r="A5305">
        <f ca="1">35115.312237042*(RANDBETWEEN(2890,3282))</f>
        <v>102150443.29755531</v>
      </c>
      <c r="B5305">
        <v>220564087.12592918</v>
      </c>
    </row>
    <row r="5306" spans="1:2" x14ac:dyDescent="0.25">
      <c r="A5306">
        <f ca="1">29967.4442920431*(RANDBETWEEN(2890,3282))</f>
        <v>95026765.850068673</v>
      </c>
      <c r="B5306">
        <v>258308603.09363475</v>
      </c>
    </row>
    <row r="5307" spans="1:2" x14ac:dyDescent="0.25">
      <c r="A5307">
        <f ca="1">31286.4637874811*(RANDBETWEEN(2890,3282))</f>
        <v>97551194.089365989</v>
      </c>
      <c r="B5307">
        <v>252016237.3294456</v>
      </c>
    </row>
    <row r="5308" spans="1:2" x14ac:dyDescent="0.25">
      <c r="A5308">
        <f ca="1">32065.6516634459*(RANDBETWEEN(2890,3282))</f>
        <v>96325217.596991524</v>
      </c>
      <c r="B5308">
        <v>244393615.09396532</v>
      </c>
    </row>
    <row r="5309" spans="1:2" x14ac:dyDescent="0.25">
      <c r="A5309">
        <f ca="1">33435.0978717162*(RANDBETWEEN(2890,3282))</f>
        <v>97028654.023720503</v>
      </c>
      <c r="B5309">
        <v>217358239.59774587</v>
      </c>
    </row>
    <row r="5310" spans="1:2" x14ac:dyDescent="0.25">
      <c r="A5310">
        <f ca="1">30793.3285177651*(RANDBETWEEN(2890,3282))</f>
        <v>94165998.607325613</v>
      </c>
      <c r="B5310">
        <v>253008956.04369366</v>
      </c>
    </row>
    <row r="5311" spans="1:2" x14ac:dyDescent="0.25">
      <c r="A5311">
        <f ca="1">39634.0484091179*(RANDBETWEEN(2890,3282))</f>
        <v>129880776.63667932</v>
      </c>
      <c r="B5311">
        <v>220232042.25092632</v>
      </c>
    </row>
    <row r="5312" spans="1:2" x14ac:dyDescent="0.25">
      <c r="A5312">
        <f ca="1">31354.4292037768*(RANDBETWEEN(2890,3282))</f>
        <v>91805768.708658427</v>
      </c>
      <c r="B5312">
        <v>245262813.68408608</v>
      </c>
    </row>
    <row r="5313" spans="1:2" x14ac:dyDescent="0.25">
      <c r="A5313">
        <f ca="1">31576.4086483996*(RANDBETWEEN(2890,3282))</f>
        <v>100065639.0067784</v>
      </c>
      <c r="B5313">
        <v>239713899.9334341</v>
      </c>
    </row>
    <row r="5314" spans="1:2" x14ac:dyDescent="0.25">
      <c r="A5314">
        <f ca="1">33070.2390314261*(RANDBETWEEN(2890,3282))</f>
        <v>106254678.00797206</v>
      </c>
      <c r="B5314">
        <v>245376025.06026441</v>
      </c>
    </row>
    <row r="5315" spans="1:2" x14ac:dyDescent="0.25">
      <c r="A5315">
        <f ca="1">34467.0068158975*(RANDBETWEEN(2890,3282))</f>
        <v>100609192.89560471</v>
      </c>
      <c r="B5315">
        <v>229751957.82654262</v>
      </c>
    </row>
    <row r="5316" spans="1:2" x14ac:dyDescent="0.25">
      <c r="A5316">
        <f ca="1">31630.1617393499*(RANDBETWEEN(2890,3282))</f>
        <v>101532819.18331322</v>
      </c>
      <c r="B5316">
        <v>234436980.53675765</v>
      </c>
    </row>
    <row r="5317" spans="1:2" x14ac:dyDescent="0.25">
      <c r="A5317">
        <f ca="1">37058.2321817027*(RANDBETWEEN(2890,3282))</f>
        <v>110878230.68765458</v>
      </c>
      <c r="B5317">
        <v>209485608.50694883</v>
      </c>
    </row>
    <row r="5318" spans="1:2" x14ac:dyDescent="0.25">
      <c r="A5318">
        <f ca="1">41479.4336105224*(RANDBETWEEN(2890,3282))</f>
        <v>130867613.04119819</v>
      </c>
      <c r="B5318">
        <v>262376397.60713151</v>
      </c>
    </row>
    <row r="5319" spans="1:2" x14ac:dyDescent="0.25">
      <c r="A5319">
        <f ca="1">33257.0042536978*(RANDBETWEEN(2890,3282))</f>
        <v>107353609.73093636</v>
      </c>
      <c r="B5319">
        <v>207452646.0902966</v>
      </c>
    </row>
    <row r="5320" spans="1:2" x14ac:dyDescent="0.25">
      <c r="A5320">
        <f ca="1">31431.2118624669*(RANDBETWEEN(2890,3282))</f>
        <v>98756867.671871006</v>
      </c>
      <c r="B5320">
        <v>234859317.20870525</v>
      </c>
    </row>
    <row r="5321" spans="1:2" x14ac:dyDescent="0.25">
      <c r="A5321">
        <f ca="1">35139.9435480313*(RANDBETWEEN(2890,3282))</f>
        <v>111920720.20047954</v>
      </c>
      <c r="B5321">
        <v>234546190.56041652</v>
      </c>
    </row>
    <row r="5322" spans="1:2" x14ac:dyDescent="0.25">
      <c r="A5322">
        <f ca="1">32715.0009157876*(RANDBETWEEN(2890,3282))</f>
        <v>99551747.786741763</v>
      </c>
      <c r="B5322">
        <v>212652689.94744295</v>
      </c>
    </row>
    <row r="5323" spans="1:2" x14ac:dyDescent="0.25">
      <c r="A5323">
        <f ca="1">31316.3305457181*(RANDBETWEEN(2890,3282))</f>
        <v>93510563.009514377</v>
      </c>
      <c r="B5323">
        <v>224410375.89548331</v>
      </c>
    </row>
    <row r="5324" spans="1:2" x14ac:dyDescent="0.25">
      <c r="A5324">
        <f ca="1">36540.8967640286*(RANDBETWEEN(2890,3282))</f>
        <v>115651938.25815064</v>
      </c>
      <c r="B5324">
        <v>243620314.20450914</v>
      </c>
    </row>
    <row r="5325" spans="1:2" x14ac:dyDescent="0.25">
      <c r="A5325">
        <f ca="1">32201.2031031538*(RANDBETWEEN(2890,3282))</f>
        <v>97215432.168421313</v>
      </c>
      <c r="B5325">
        <v>204878635.05426145</v>
      </c>
    </row>
    <row r="5326" spans="1:2" x14ac:dyDescent="0.25">
      <c r="A5326">
        <f ca="1">31083.2975701881*(RANDBETWEEN(2890,3282))</f>
        <v>93747225.471687213</v>
      </c>
      <c r="B5326">
        <v>251135749.99187565</v>
      </c>
    </row>
    <row r="5327" spans="1:2" x14ac:dyDescent="0.25">
      <c r="A5327">
        <f ca="1">31695.1791579304*(RANDBETWEEN(2890,3282))</f>
        <v>95148927.832107022</v>
      </c>
      <c r="B5327">
        <v>242580070.69203115</v>
      </c>
    </row>
    <row r="5328" spans="1:2" x14ac:dyDescent="0.25">
      <c r="A5328">
        <f ca="1">34778.1381435914*(RANDBETWEEN(2890,3282))</f>
        <v>102908510.76688688</v>
      </c>
      <c r="B5328">
        <v>247230315.6636894</v>
      </c>
    </row>
    <row r="5329" spans="1:2" x14ac:dyDescent="0.25">
      <c r="A5329">
        <f ca="1">37333.2005102944*(RANDBETWEEN(2890,3282))</f>
        <v>113455596.3507846</v>
      </c>
      <c r="B5329">
        <v>212809540.33064055</v>
      </c>
    </row>
    <row r="5330" spans="1:2" x14ac:dyDescent="0.25">
      <c r="A5330">
        <f ca="1">34904.3934799968*(RANDBETWEEN(2890,3282))</f>
        <v>114381697.43394953</v>
      </c>
      <c r="B5330">
        <v>232287409.11796021</v>
      </c>
    </row>
    <row r="5331" spans="1:2" x14ac:dyDescent="0.25">
      <c r="A5331">
        <f ca="1">35850.8314077811*(RANDBETWEEN(2890,3282))</f>
        <v>116084992.09839509</v>
      </c>
      <c r="B5331">
        <v>214931318.13994122</v>
      </c>
    </row>
    <row r="5332" spans="1:2" x14ac:dyDescent="0.25">
      <c r="A5332">
        <f ca="1">31077.4797705009*(RANDBETWEEN(2890,3282))</f>
        <v>93201361.831732094</v>
      </c>
      <c r="B5332">
        <v>214111594.89733952</v>
      </c>
    </row>
    <row r="5333" spans="1:2" x14ac:dyDescent="0.25">
      <c r="A5333">
        <f ca="1">33013.235715117*(RANDBETWEEN(2890,3282))</f>
        <v>106665764.59554315</v>
      </c>
      <c r="B5333">
        <v>266042702.63325968</v>
      </c>
    </row>
    <row r="5334" spans="1:2" x14ac:dyDescent="0.25">
      <c r="A5334">
        <f ca="1">31530.5992990754*(RANDBETWEEN(2890,3282))</f>
        <v>95096287.486011297</v>
      </c>
      <c r="B5334">
        <v>221080422.99077895</v>
      </c>
    </row>
    <row r="5335" spans="1:2" x14ac:dyDescent="0.25">
      <c r="A5335">
        <f ca="1">31786.830807898*(RANDBETWEEN(2890,3282))</f>
        <v>102035726.89335261</v>
      </c>
      <c r="B5335">
        <v>213441913.19984427</v>
      </c>
    </row>
    <row r="5336" spans="1:2" x14ac:dyDescent="0.25">
      <c r="A5336">
        <f ca="1">33219.4965148818*(RANDBETWEEN(2890,3282))</f>
        <v>104076682.58112481</v>
      </c>
      <c r="B5336">
        <v>230351676.06079689</v>
      </c>
    </row>
    <row r="5337" spans="1:2" x14ac:dyDescent="0.25">
      <c r="A5337">
        <f ca="1">38613.6151485121*(RANDBETWEEN(2890,3282))</f>
        <v>112288392.8518731</v>
      </c>
      <c r="B5337">
        <v>246190011.67418718</v>
      </c>
    </row>
    <row r="5338" spans="1:2" x14ac:dyDescent="0.25">
      <c r="A5338">
        <f ca="1">32567.1558090982*(RANDBETWEEN(2890,3282))</f>
        <v>100274272.73621345</v>
      </c>
      <c r="B5338">
        <v>230374414.16317976</v>
      </c>
    </row>
    <row r="5339" spans="1:2" x14ac:dyDescent="0.25">
      <c r="A5339">
        <f ca="1">29848.0511435277*(RANDBETWEEN(2890,3282))</f>
        <v>86798132.725378454</v>
      </c>
      <c r="B5339">
        <v>240726693.61514199</v>
      </c>
    </row>
    <row r="5340" spans="1:2" x14ac:dyDescent="0.25">
      <c r="A5340">
        <f ca="1">40373.2817063102*(RANDBETWEEN(2890,3282))</f>
        <v>119989393.23115389</v>
      </c>
      <c r="B5340">
        <v>204257994.39105925</v>
      </c>
    </row>
    <row r="5341" spans="1:2" x14ac:dyDescent="0.25">
      <c r="A5341">
        <f ca="1">29282.0647011529*(RANDBETWEEN(2890,3282))</f>
        <v>95459530.925758511</v>
      </c>
      <c r="B5341">
        <v>262432703.84047109</v>
      </c>
    </row>
    <row r="5342" spans="1:2" x14ac:dyDescent="0.25">
      <c r="A5342">
        <f ca="1">29966.2576818079*(RANDBETWEEN(2890,3282))</f>
        <v>90827727.033559784</v>
      </c>
      <c r="B5342">
        <v>265851749.58701986</v>
      </c>
    </row>
    <row r="5343" spans="1:2" x14ac:dyDescent="0.25">
      <c r="A5343">
        <f ca="1">30646.2600138253*(RANDBETWEEN(2890,3282))</f>
        <v>98926127.32462801</v>
      </c>
      <c r="B5343">
        <v>234503081.08191633</v>
      </c>
    </row>
    <row r="5344" spans="1:2" x14ac:dyDescent="0.25">
      <c r="A5344">
        <f ca="1">31889.2874763583*(RANDBETWEEN(2890,3282))</f>
        <v>99016237.614092603</v>
      </c>
      <c r="B5344">
        <v>252847562.24742034</v>
      </c>
    </row>
    <row r="5345" spans="1:2" x14ac:dyDescent="0.25">
      <c r="A5345">
        <f ca="1">32129.415863231*(RANDBETWEEN(2890,3282))</f>
        <v>100051000.99810147</v>
      </c>
      <c r="B5345">
        <v>218152361.63595468</v>
      </c>
    </row>
    <row r="5346" spans="1:2" x14ac:dyDescent="0.25">
      <c r="A5346">
        <f ca="1">32414.77911128*(RANDBETWEEN(2890,3282))</f>
        <v>96433967.856058002</v>
      </c>
      <c r="B5346">
        <v>208933367.39093852</v>
      </c>
    </row>
    <row r="5347" spans="1:2" x14ac:dyDescent="0.25">
      <c r="A5347">
        <f ca="1">35950.3807716246*(RANDBETWEEN(2890,3282))</f>
        <v>111985436.10361056</v>
      </c>
      <c r="B5347">
        <v>217086035.6166265</v>
      </c>
    </row>
    <row r="5348" spans="1:2" x14ac:dyDescent="0.25">
      <c r="A5348">
        <f ca="1">33852.0344858147*(RANDBETWEEN(2890,3282))</f>
        <v>103011740.94033416</v>
      </c>
      <c r="B5348">
        <v>239482802.36178279</v>
      </c>
    </row>
    <row r="5349" spans="1:2" x14ac:dyDescent="0.25">
      <c r="A5349">
        <f ca="1">36668.5555115937*(RANDBETWEEN(2890,3282))</f>
        <v>107438867.64896944</v>
      </c>
      <c r="B5349">
        <v>240675080.30582917</v>
      </c>
    </row>
    <row r="5350" spans="1:2" x14ac:dyDescent="0.25">
      <c r="A5350">
        <f ca="1">32095.3258505199*(RANDBETWEEN(2890,3282))</f>
        <v>104502380.96929272</v>
      </c>
      <c r="B5350">
        <v>215585459.30090946</v>
      </c>
    </row>
    <row r="5351" spans="1:2" x14ac:dyDescent="0.25">
      <c r="A5351">
        <f ca="1">34553.100446786*(RANDBETWEEN(2890,3282))</f>
        <v>100791394.00327481</v>
      </c>
      <c r="B5351">
        <v>215043147.38914919</v>
      </c>
    </row>
    <row r="5352" spans="1:2" x14ac:dyDescent="0.25">
      <c r="A5352">
        <f ca="1">30906.9294109757*(RANDBETWEEN(2890,3282))</f>
        <v>90279140.809460163</v>
      </c>
      <c r="B5352">
        <v>244907387.273718</v>
      </c>
    </row>
    <row r="5353" spans="1:2" x14ac:dyDescent="0.25">
      <c r="A5353">
        <f ca="1">33285.5491740745*(RANDBETWEEN(2890,3282))</f>
        <v>96261808.211423472</v>
      </c>
      <c r="B5353">
        <v>240993809.9003616</v>
      </c>
    </row>
    <row r="5354" spans="1:2" x14ac:dyDescent="0.25">
      <c r="A5354">
        <f ca="1">29926.4040405697*(RANDBETWEEN(2890,3282))</f>
        <v>90527372.222723365</v>
      </c>
      <c r="B5354">
        <v>257100489.94066396</v>
      </c>
    </row>
    <row r="5355" spans="1:2" x14ac:dyDescent="0.25">
      <c r="A5355">
        <f ca="1">36098.9212211308*(RANDBETWEEN(2890,3282))</f>
        <v>105986432.70524013</v>
      </c>
      <c r="B5355">
        <v>265669069.755748</v>
      </c>
    </row>
    <row r="5356" spans="1:2" x14ac:dyDescent="0.25">
      <c r="A5356">
        <f ca="1">30266.1275047606*(RANDBETWEEN(2890,3282))</f>
        <v>90344390.601710513</v>
      </c>
      <c r="B5356">
        <v>238317101.00183955</v>
      </c>
    </row>
    <row r="5357" spans="1:2" x14ac:dyDescent="0.25">
      <c r="A5357">
        <f ca="1">37791.5027636856*(RANDBETWEEN(2890,3282))</f>
        <v>117607156.6005896</v>
      </c>
      <c r="B5357">
        <v>247449563.77342871</v>
      </c>
    </row>
    <row r="5358" spans="1:2" x14ac:dyDescent="0.25">
      <c r="A5358">
        <f ca="1">32868.1339774182*(RANDBETWEEN(2890,3282))</f>
        <v>97355412.841112837</v>
      </c>
      <c r="B5358">
        <v>253883675.80626512</v>
      </c>
    </row>
    <row r="5359" spans="1:2" x14ac:dyDescent="0.25">
      <c r="A5359">
        <f ca="1">37257.7083402941*(RANDBETWEEN(2890,3282))</f>
        <v>118516770.23047544</v>
      </c>
      <c r="B5359">
        <v>241732706.65027806</v>
      </c>
    </row>
    <row r="5360" spans="1:2" x14ac:dyDescent="0.25">
      <c r="A5360">
        <f ca="1">36947.4298532617*(RANDBETWEEN(2890,3282))</f>
        <v>117123352.6348395</v>
      </c>
      <c r="B5360">
        <v>224387458.52847791</v>
      </c>
    </row>
    <row r="5361" spans="1:2" x14ac:dyDescent="0.25">
      <c r="A5361">
        <f ca="1">38616.2315955699*(RANDBETWEEN(2890,3282))</f>
        <v>124035335.88497038</v>
      </c>
      <c r="B5361">
        <v>253378728.87764731</v>
      </c>
    </row>
    <row r="5362" spans="1:2" x14ac:dyDescent="0.25">
      <c r="A5362">
        <f ca="1">35275.7541830879*(RANDBETWEEN(2890,3282))</f>
        <v>103075753.72298288</v>
      </c>
      <c r="B5362">
        <v>204913529.69825125</v>
      </c>
    </row>
    <row r="5363" spans="1:2" x14ac:dyDescent="0.25">
      <c r="A5363">
        <f ca="1">31254.3126567195*(RANDBETWEEN(2890,3282))</f>
        <v>94388024.223292992</v>
      </c>
      <c r="B5363">
        <v>265152646.73949045</v>
      </c>
    </row>
    <row r="5364" spans="1:2" x14ac:dyDescent="0.25">
      <c r="A5364">
        <f ca="1">29908.7934193519*(RANDBETWEEN(2890,3282))</f>
        <v>88709481.281797752</v>
      </c>
      <c r="B5364">
        <v>228874285.34134132</v>
      </c>
    </row>
    <row r="5365" spans="1:2" x14ac:dyDescent="0.25">
      <c r="A5365">
        <f ca="1">32393.4319599417*(RANDBETWEEN(2890,3282))</f>
        <v>95754984.873587787</v>
      </c>
      <c r="B5365">
        <v>251074460.07900131</v>
      </c>
    </row>
    <row r="5366" spans="1:2" x14ac:dyDescent="0.25">
      <c r="A5366">
        <f ca="1">29741.0728460343*(RANDBETWEEN(2890,3282))</f>
        <v>87706423.822955012</v>
      </c>
      <c r="B5366">
        <v>241283846.48059952</v>
      </c>
    </row>
    <row r="5367" spans="1:2" x14ac:dyDescent="0.25">
      <c r="A5367">
        <f ca="1">30860.8920239944*(RANDBETWEEN(2890,3282))</f>
        <v>97921610.3921341</v>
      </c>
      <c r="B5367">
        <v>256937412.6825406</v>
      </c>
    </row>
    <row r="5368" spans="1:2" x14ac:dyDescent="0.25">
      <c r="A5368">
        <f ca="1">31324.5240004548*(RANDBETWEEN(2890,3282))</f>
        <v>96448209.397400424</v>
      </c>
      <c r="B5368">
        <v>220704614.14465132</v>
      </c>
    </row>
    <row r="5369" spans="1:2" x14ac:dyDescent="0.25">
      <c r="A5369">
        <f ca="1">28430.6593736757*(RANDBETWEEN(2890,3282))</f>
        <v>91717307.139477864</v>
      </c>
      <c r="B5369">
        <v>234692997.56188414</v>
      </c>
    </row>
    <row r="5370" spans="1:2" x14ac:dyDescent="0.25">
      <c r="A5370">
        <f ca="1">37974.1585526716*(RANDBETWEEN(2890,3282))</f>
        <v>119504676.96525753</v>
      </c>
      <c r="B5370">
        <v>241461785.68969461</v>
      </c>
    </row>
    <row r="5371" spans="1:2" x14ac:dyDescent="0.25">
      <c r="A5371">
        <f ca="1">39083.2502778923*(RANDBETWEEN(2890,3282))</f>
        <v>127098729.90370581</v>
      </c>
      <c r="B5371">
        <v>228712298.30252162</v>
      </c>
    </row>
    <row r="5372" spans="1:2" x14ac:dyDescent="0.25">
      <c r="A5372">
        <f ca="1">32202.0682220263*(RANDBETWEEN(2890,3282))</f>
        <v>95607940.551196232</v>
      </c>
      <c r="B5372">
        <v>210448474.51584747</v>
      </c>
    </row>
    <row r="5373" spans="1:2" x14ac:dyDescent="0.25">
      <c r="A5373">
        <f ca="1">34898.8837548764*(RANDBETWEEN(2890,3282))</f>
        <v>104940943.45091335</v>
      </c>
      <c r="B5373">
        <v>223787801.93790099</v>
      </c>
    </row>
    <row r="5374" spans="1:2" x14ac:dyDescent="0.25">
      <c r="A5374">
        <f ca="1">31758.6497398196*(RANDBETWEEN(2890,3282))</f>
        <v>98769400.690838993</v>
      </c>
      <c r="B5374">
        <v>261056405.02718154</v>
      </c>
    </row>
    <row r="5375" spans="1:2" x14ac:dyDescent="0.25">
      <c r="A5375">
        <f ca="1">42977.9631172912*(RANDBETWEEN(2890,3282))</f>
        <v>139334556.42625815</v>
      </c>
      <c r="B5375">
        <v>264630041.63582122</v>
      </c>
    </row>
    <row r="5376" spans="1:2" x14ac:dyDescent="0.25">
      <c r="A5376">
        <f ca="1">33193.6818971397*(RANDBETWEEN(2890,3282))</f>
        <v>99747014.100904867</v>
      </c>
      <c r="B5376">
        <v>216378231.62201023</v>
      </c>
    </row>
    <row r="5377" spans="1:2" x14ac:dyDescent="0.25">
      <c r="A5377">
        <f ca="1">40215.5555419295*(RANDBETWEEN(2890,3282))</f>
        <v>122737875.51396878</v>
      </c>
      <c r="B5377">
        <v>237641208.41660434</v>
      </c>
    </row>
    <row r="5378" spans="1:2" x14ac:dyDescent="0.25">
      <c r="A5378">
        <f ca="1">37760.0461067812*(RANDBETWEEN(2890,3282))</f>
        <v>112978057.95148939</v>
      </c>
      <c r="B5378">
        <v>234554402.66412139</v>
      </c>
    </row>
    <row r="5379" spans="1:2" x14ac:dyDescent="0.25">
      <c r="A5379">
        <f ca="1">30008.0025427635*(RANDBETWEEN(2890,3282))</f>
        <v>90384103.658803731</v>
      </c>
      <c r="B5379">
        <v>232417671.28943107</v>
      </c>
    </row>
    <row r="5380" spans="1:2" x14ac:dyDescent="0.25">
      <c r="A5380">
        <f ca="1">40632.3223385941*(RANDBETWEEN(2890,3282))</f>
        <v>126000831.57198024</v>
      </c>
      <c r="B5380">
        <v>266601570.32823583</v>
      </c>
    </row>
    <row r="5381" spans="1:2" x14ac:dyDescent="0.25">
      <c r="A5381">
        <f ca="1">34992.5223157936*(RANDBETWEEN(2890,3282))</f>
        <v>101443322.19348578</v>
      </c>
      <c r="B5381">
        <v>225776257.65331361</v>
      </c>
    </row>
    <row r="5382" spans="1:2" x14ac:dyDescent="0.25">
      <c r="A5382">
        <f ca="1">38225.4928298975*(RANDBETWEEN(2890,3282))</f>
        <v>124347528.17565645</v>
      </c>
      <c r="B5382">
        <v>258463889.07128584</v>
      </c>
    </row>
    <row r="5383" spans="1:2" x14ac:dyDescent="0.25">
      <c r="A5383">
        <f ca="1">31479.0845033871*(RANDBETWEEN(2890,3282))</f>
        <v>95822333.228310198</v>
      </c>
      <c r="B5383">
        <v>231443888.2873503</v>
      </c>
    </row>
    <row r="5384" spans="1:2" x14ac:dyDescent="0.25">
      <c r="A5384">
        <f ca="1">30057.3022271517*(RANDBETWEEN(2890,3282))</f>
        <v>98527836.700603366</v>
      </c>
      <c r="B5384">
        <v>267074289.49707514</v>
      </c>
    </row>
    <row r="5385" spans="1:2" x14ac:dyDescent="0.25">
      <c r="A5385">
        <f ca="1">39513.005618252*(RANDBETWEEN(2890,3282))</f>
        <v>127192365.08515321</v>
      </c>
      <c r="B5385">
        <v>257844362.62671942</v>
      </c>
    </row>
    <row r="5386" spans="1:2" x14ac:dyDescent="0.25">
      <c r="A5386">
        <f ca="1">32381.3232203903*(RANDBETWEEN(2890,3282))</f>
        <v>100705915.21541393</v>
      </c>
      <c r="B5386">
        <v>206671608.70663068</v>
      </c>
    </row>
    <row r="5387" spans="1:2" x14ac:dyDescent="0.25">
      <c r="A5387">
        <f ca="1">32753.6595089792*(RANDBETWEEN(2890,3282))</f>
        <v>96295758.956398711</v>
      </c>
      <c r="B5387">
        <v>227182951.56165645</v>
      </c>
    </row>
    <row r="5388" spans="1:2" x14ac:dyDescent="0.25">
      <c r="A5388">
        <f ca="1">35480.9163149308*(RANDBETWEEN(2890,3282))</f>
        <v>103107542.81118892</v>
      </c>
      <c r="B5388">
        <v>256998370.64129204</v>
      </c>
    </row>
    <row r="5389" spans="1:2" x14ac:dyDescent="0.25">
      <c r="A5389">
        <f ca="1">30655.9049653216*(RANDBETWEEN(2890,3282))</f>
        <v>99662347.042260647</v>
      </c>
      <c r="B5389">
        <v>250189722.3979598</v>
      </c>
    </row>
    <row r="5390" spans="1:2" x14ac:dyDescent="0.25">
      <c r="A5390">
        <f ca="1">32433.8556019035*(RANDBETWEEN(2890,3282))</f>
        <v>99928709.10946472</v>
      </c>
      <c r="B5390">
        <v>212428538.68673354</v>
      </c>
    </row>
    <row r="5391" spans="1:2" x14ac:dyDescent="0.25">
      <c r="A5391">
        <f ca="1">33171.7670498657*(RANDBETWEEN(2890,3282))</f>
        <v>104159348.53657819</v>
      </c>
      <c r="B5391">
        <v>250291521.05898625</v>
      </c>
    </row>
    <row r="5392" spans="1:2" x14ac:dyDescent="0.25">
      <c r="A5392">
        <f ca="1">31049.9784356272*(RANDBETWEEN(2890,3282))</f>
        <v>96037583.30139482</v>
      </c>
      <c r="B5392">
        <v>253974187.04839155</v>
      </c>
    </row>
    <row r="5393" spans="1:2" x14ac:dyDescent="0.25">
      <c r="A5393">
        <f ca="1">41831.2548275943*(RANDBETWEEN(2890,3282))</f>
        <v>124740801.8958863</v>
      </c>
      <c r="B5393">
        <v>262204457.28251565</v>
      </c>
    </row>
    <row r="5394" spans="1:2" x14ac:dyDescent="0.25">
      <c r="A5394">
        <f ca="1">37079.9617394162*(RANDBETWEEN(2890,3282))</f>
        <v>109534206.97823536</v>
      </c>
      <c r="B5394">
        <v>254332063.30398023</v>
      </c>
    </row>
    <row r="5395" spans="1:2" x14ac:dyDescent="0.25">
      <c r="A5395">
        <f ca="1">36516.0355824303*(RANDBETWEEN(2890,3282))</f>
        <v>107685788.93258703</v>
      </c>
      <c r="B5395">
        <v>208017737.41836002</v>
      </c>
    </row>
    <row r="5396" spans="1:2" x14ac:dyDescent="0.25">
      <c r="A5396">
        <f ca="1">40451.000318859*(RANDBETWEEN(2890,3282))</f>
        <v>125762159.99133249</v>
      </c>
      <c r="B5396">
        <v>207982058.74173769</v>
      </c>
    </row>
    <row r="5397" spans="1:2" x14ac:dyDescent="0.25">
      <c r="A5397">
        <f ca="1">38508.8077967454*(RANDBETWEEN(2890,3282))</f>
        <v>111482998.57157779</v>
      </c>
      <c r="B5397">
        <v>211109691.83735847</v>
      </c>
    </row>
    <row r="5398" spans="1:2" x14ac:dyDescent="0.25">
      <c r="A5398">
        <f ca="1">30949.5241219121*(RANDBETWEEN(2890,3282))</f>
        <v>99224174.334850222</v>
      </c>
      <c r="B5398">
        <v>232761976.36687532</v>
      </c>
    </row>
    <row r="5399" spans="1:2" x14ac:dyDescent="0.25">
      <c r="A5399">
        <f ca="1">39047.5649025138*(RANDBETWEEN(2890,3282))</f>
        <v>121476974.41172051</v>
      </c>
      <c r="B5399">
        <v>210145638.31997937</v>
      </c>
    </row>
    <row r="5400" spans="1:2" x14ac:dyDescent="0.25">
      <c r="A5400">
        <f ca="1">31872.3151459129*(RANDBETWEEN(2890,3282))</f>
        <v>96923710.358721197</v>
      </c>
      <c r="B5400">
        <v>212432535.32490683</v>
      </c>
    </row>
    <row r="5401" spans="1:2" x14ac:dyDescent="0.25">
      <c r="A5401">
        <f ca="1">31128.7729066426*(RANDBETWEEN(2890,3282))</f>
        <v>93292932.401207864</v>
      </c>
      <c r="B5401">
        <v>251916527.02539974</v>
      </c>
    </row>
    <row r="5402" spans="1:2" x14ac:dyDescent="0.25">
      <c r="A5402">
        <f ca="1">32921.8102678236*(RANDBETWEEN(2890,3282))</f>
        <v>97218105.720883012</v>
      </c>
      <c r="B5402">
        <v>252616005.90351063</v>
      </c>
    </row>
    <row r="5403" spans="1:2" x14ac:dyDescent="0.25">
      <c r="A5403">
        <f ca="1">32011.906143063*(RANDBETWEEN(2890,3282))</f>
        <v>96964063.707337931</v>
      </c>
      <c r="B5403">
        <v>226140968.82609281</v>
      </c>
    </row>
    <row r="5404" spans="1:2" x14ac:dyDescent="0.25">
      <c r="A5404">
        <f ca="1">32204.0898395454*(RANDBETWEEN(2890,3282))</f>
        <v>104244638.8106084</v>
      </c>
      <c r="B5404">
        <v>265966007.34340054</v>
      </c>
    </row>
    <row r="5405" spans="1:2" x14ac:dyDescent="0.25">
      <c r="A5405">
        <f ca="1">39846.2627388556*(RANDBETWEEN(2890,3282))</f>
        <v>124678956.10987929</v>
      </c>
      <c r="B5405">
        <v>264036535.76422885</v>
      </c>
    </row>
    <row r="5406" spans="1:2" x14ac:dyDescent="0.25">
      <c r="A5406">
        <f ca="1">31174.8513731226*(RANDBETWEEN(2890,3282))</f>
        <v>99416601.028887823</v>
      </c>
      <c r="B5406">
        <v>221115364.01441094</v>
      </c>
    </row>
    <row r="5407" spans="1:2" x14ac:dyDescent="0.25">
      <c r="A5407">
        <f ca="1">39468.7512876057*(RANDBETWEEN(2890,3282))</f>
        <v>114656722.49049468</v>
      </c>
      <c r="B5407">
        <v>238783659.06748244</v>
      </c>
    </row>
    <row r="5408" spans="1:2" x14ac:dyDescent="0.25">
      <c r="A5408">
        <f ca="1">31752.9856907943*(RANDBETWEEN(2890,3282))</f>
        <v>98338996.684389874</v>
      </c>
      <c r="B5408">
        <v>261497976.06581843</v>
      </c>
    </row>
    <row r="5409" spans="1:2" x14ac:dyDescent="0.25">
      <c r="A5409">
        <f ca="1">32222.7441642244*(RANDBETWEEN(2890,3282))</f>
        <v>98311592.445048794</v>
      </c>
      <c r="B5409">
        <v>266063408.52619016</v>
      </c>
    </row>
    <row r="5410" spans="1:2" x14ac:dyDescent="0.25">
      <c r="A5410">
        <f ca="1">36954.5298827631*(RANDBETWEEN(2890,3282))</f>
        <v>114448179.04691747</v>
      </c>
      <c r="B5410">
        <v>255246190.3393265</v>
      </c>
    </row>
    <row r="5411" spans="1:2" x14ac:dyDescent="0.25">
      <c r="A5411">
        <f ca="1">39292.2462008617*(RANDBETWEEN(2890,3282))</f>
        <v>123888452.27131696</v>
      </c>
      <c r="B5411">
        <v>262037430.55982471</v>
      </c>
    </row>
    <row r="5412" spans="1:2" x14ac:dyDescent="0.25">
      <c r="A5412">
        <f ca="1">39287.8437132753*(RANDBETWEEN(2890,3282))</f>
        <v>127567628.53700484</v>
      </c>
      <c r="B5412">
        <v>227955634.84980246</v>
      </c>
    </row>
    <row r="5413" spans="1:2" x14ac:dyDescent="0.25">
      <c r="A5413">
        <f ca="1">38155.3901722081*(RANDBETWEEN(2890,3282))</f>
        <v>122516957.84296016</v>
      </c>
      <c r="B5413">
        <v>251563409.04238826</v>
      </c>
    </row>
    <row r="5414" spans="1:2" x14ac:dyDescent="0.25">
      <c r="A5414">
        <f ca="1">39883.0624578086*(RANDBETWEEN(2890,3282))</f>
        <v>121045094.55944918</v>
      </c>
      <c r="B5414">
        <v>258614007.33930379</v>
      </c>
    </row>
    <row r="5415" spans="1:2" x14ac:dyDescent="0.25">
      <c r="A5415">
        <f ca="1">36290.0412844062*(RANDBETWEEN(2890,3282))</f>
        <v>118341824.62844858</v>
      </c>
      <c r="B5415">
        <v>222549496.22346276</v>
      </c>
    </row>
    <row r="5416" spans="1:2" x14ac:dyDescent="0.25">
      <c r="A5416">
        <f ca="1">29869.0087238543*(RANDBETWEEN(2890,3282))</f>
        <v>95760041.96867691</v>
      </c>
      <c r="B5416">
        <v>253324495.60905054</v>
      </c>
    </row>
    <row r="5417" spans="1:2" x14ac:dyDescent="0.25">
      <c r="A5417">
        <f ca="1">39547.7602561351*(RANDBETWEEN(2890,3282))</f>
        <v>129518914.83884253</v>
      </c>
      <c r="B5417">
        <v>244113077.45121399</v>
      </c>
    </row>
    <row r="5418" spans="1:2" x14ac:dyDescent="0.25">
      <c r="A5418">
        <f ca="1">31751.2069504173*(RANDBETWEEN(2890,3282))</f>
        <v>101413354.99963273</v>
      </c>
      <c r="B5418">
        <v>207796810.4055109</v>
      </c>
    </row>
    <row r="5419" spans="1:2" x14ac:dyDescent="0.25">
      <c r="A5419">
        <f ca="1">32672.9848388792*(RANDBETWEEN(2890,3282))</f>
        <v>107036698.33216839</v>
      </c>
      <c r="B5419">
        <v>238861357.90471986</v>
      </c>
    </row>
    <row r="5420" spans="1:2" x14ac:dyDescent="0.25">
      <c r="A5420">
        <f ca="1">31253.1862444466*(RANDBETWEEN(2890,3282))</f>
        <v>90602986.92265062</v>
      </c>
      <c r="B5420">
        <v>212269194.3582367</v>
      </c>
    </row>
    <row r="5421" spans="1:2" x14ac:dyDescent="0.25">
      <c r="A5421">
        <f ca="1">33624.4821717952*(RANDBETWEEN(2890,3282))</f>
        <v>104504890.58993948</v>
      </c>
      <c r="B5421">
        <v>260404871.22750056</v>
      </c>
    </row>
    <row r="5422" spans="1:2" x14ac:dyDescent="0.25">
      <c r="A5422">
        <f ca="1">37113.3613609564*(RANDBETWEEN(2890,3282))</f>
        <v>115793687.44618383</v>
      </c>
      <c r="B5422">
        <v>209642355.03544235</v>
      </c>
    </row>
    <row r="5423" spans="1:2" x14ac:dyDescent="0.25">
      <c r="A5423">
        <f ca="1">39218.427154072*(RANDBETWEEN(2890,3282))</f>
        <v>116949349.77344273</v>
      </c>
      <c r="B5423">
        <v>240537396.53544182</v>
      </c>
    </row>
    <row r="5424" spans="1:2" x14ac:dyDescent="0.25">
      <c r="A5424">
        <f ca="1">42401.2504964227*(RANDBETWEEN(2890,3282))</f>
        <v>134920779.07961687</v>
      </c>
      <c r="B5424">
        <v>243948048.38595545</v>
      </c>
    </row>
    <row r="5425" spans="1:2" x14ac:dyDescent="0.25">
      <c r="A5425">
        <f ca="1">32926.8587371483*(RANDBETWEEN(2890,3282))</f>
        <v>97595209.296907455</v>
      </c>
      <c r="B5425">
        <v>234145592.66127723</v>
      </c>
    </row>
    <row r="5426" spans="1:2" x14ac:dyDescent="0.25">
      <c r="A5426">
        <f ca="1">32309.9840635379*(RANDBETWEEN(2890,3282))</f>
        <v>96768402.270296067</v>
      </c>
      <c r="B5426">
        <v>229617077.5217182</v>
      </c>
    </row>
    <row r="5427" spans="1:2" x14ac:dyDescent="0.25">
      <c r="A5427">
        <f ca="1">32022.0118682352*(RANDBETWEEN(2890,3282))</f>
        <v>94945265.18931745</v>
      </c>
      <c r="B5427">
        <v>223827293.60341451</v>
      </c>
    </row>
    <row r="5428" spans="1:2" x14ac:dyDescent="0.25">
      <c r="A5428">
        <f ca="1">32873.2675118751*(RANDBETWEEN(2890,3282))</f>
        <v>104175384.74513216</v>
      </c>
      <c r="B5428">
        <v>243926645.51157439</v>
      </c>
    </row>
    <row r="5429" spans="1:2" x14ac:dyDescent="0.25">
      <c r="A5429">
        <f ca="1">37969.7093277256*(RANDBETWEEN(2890,3282))</f>
        <v>110643732.98099239</v>
      </c>
      <c r="B5429">
        <v>237520768.23142672</v>
      </c>
    </row>
    <row r="5430" spans="1:2" x14ac:dyDescent="0.25">
      <c r="A5430">
        <f ca="1">33105.9155100709*(RANDBETWEEN(2890,3282))</f>
        <v>107163848.50609946</v>
      </c>
      <c r="B5430">
        <v>220403815.61249602</v>
      </c>
    </row>
    <row r="5431" spans="1:2" x14ac:dyDescent="0.25">
      <c r="A5431">
        <f ca="1">38315.6045171545*(RANDBETWEEN(2890,3282))</f>
        <v>122035200.38713694</v>
      </c>
      <c r="B5431">
        <v>229859481.87680811</v>
      </c>
    </row>
    <row r="5432" spans="1:2" x14ac:dyDescent="0.25">
      <c r="A5432">
        <f ca="1">32595.4790538801*(RANDBETWEEN(2890,3282))</f>
        <v>102414995.1872914</v>
      </c>
      <c r="B5432">
        <v>238546299.98977295</v>
      </c>
    </row>
    <row r="5433" spans="1:2" x14ac:dyDescent="0.25">
      <c r="A5433">
        <f ca="1">30548.563594824*(RANDBETWEEN(2890,3282))</f>
        <v>94303415.817221701</v>
      </c>
      <c r="B5433">
        <v>261530594.20752868</v>
      </c>
    </row>
    <row r="5434" spans="1:2" x14ac:dyDescent="0.25">
      <c r="A5434">
        <f ca="1">29443.0420779918*(RANDBETWEEN(2890,3282))</f>
        <v>92451152.124894172</v>
      </c>
      <c r="B5434">
        <v>214584028.30840439</v>
      </c>
    </row>
    <row r="5435" spans="1:2" x14ac:dyDescent="0.25">
      <c r="A5435">
        <f ca="1">40601.3872031934*(RANDBETWEEN(2890,3282))</f>
        <v>129762033.50140609</v>
      </c>
      <c r="B5435">
        <v>256722403.03664112</v>
      </c>
    </row>
    <row r="5436" spans="1:2" x14ac:dyDescent="0.25">
      <c r="A5436">
        <f ca="1">37171.3360585155*(RANDBETWEEN(2890,3282))</f>
        <v>116606481.21556313</v>
      </c>
      <c r="B5436">
        <v>238400928.74998084</v>
      </c>
    </row>
    <row r="5437" spans="1:2" x14ac:dyDescent="0.25">
      <c r="A5437">
        <f ca="1">38000.5195256654*(RANDBETWEEN(2890,3282))</f>
        <v>123881693.65366931</v>
      </c>
      <c r="B5437">
        <v>237782782.24852377</v>
      </c>
    </row>
    <row r="5438" spans="1:2" x14ac:dyDescent="0.25">
      <c r="A5438">
        <f ca="1">39134.2789809093*(RANDBETWEEN(2890,3282))</f>
        <v>118498596.75419328</v>
      </c>
      <c r="B5438">
        <v>237322365.77969748</v>
      </c>
    </row>
    <row r="5439" spans="1:2" x14ac:dyDescent="0.25">
      <c r="A5439">
        <f ca="1">30043.5704120249*(RANDBETWEEN(2890,3282))</f>
        <v>98572954.521853581</v>
      </c>
      <c r="B5439">
        <v>250474595.2179116</v>
      </c>
    </row>
    <row r="5440" spans="1:2" x14ac:dyDescent="0.25">
      <c r="A5440">
        <f ca="1">37991.233594449*(RANDBETWEEN(2890,3282))</f>
        <v>123053605.61242019</v>
      </c>
      <c r="B5440">
        <v>226976095.97421581</v>
      </c>
    </row>
    <row r="5441" spans="1:2" x14ac:dyDescent="0.25">
      <c r="A5441">
        <f ca="1">39749.9428674296*(RANDBETWEEN(2890,3282))</f>
        <v>126365068.37555858</v>
      </c>
      <c r="B5441">
        <v>260391392.87592399</v>
      </c>
    </row>
    <row r="5442" spans="1:2" x14ac:dyDescent="0.25">
      <c r="A5442">
        <f ca="1">31567.9531724808*(RANDBETWEEN(2890,3282))</f>
        <v>100859610.38607621</v>
      </c>
      <c r="B5442">
        <v>238908944.7027809</v>
      </c>
    </row>
    <row r="5443" spans="1:2" x14ac:dyDescent="0.25">
      <c r="A5443">
        <f ca="1">31249.9048908638*(RANDBETWEEN(2890,3282))</f>
        <v>92780967.62097463</v>
      </c>
      <c r="B5443">
        <v>257259030.78728858</v>
      </c>
    </row>
    <row r="5444" spans="1:2" x14ac:dyDescent="0.25">
      <c r="A5444">
        <f ca="1">35492.6000915695*(RANDBETWEEN(2890,3282))</f>
        <v>107400607.87708941</v>
      </c>
      <c r="B5444">
        <v>211050057.0070045</v>
      </c>
    </row>
    <row r="5445" spans="1:2" x14ac:dyDescent="0.25">
      <c r="A5445">
        <f ca="1">31385.6514428256*(RANDBETWEEN(2890,3282))</f>
        <v>101940595.88629754</v>
      </c>
      <c r="B5445">
        <v>258299350.07309565</v>
      </c>
    </row>
    <row r="5446" spans="1:2" x14ac:dyDescent="0.25">
      <c r="A5446">
        <f ca="1">33068.3221524581*(RANDBETWEEN(2890,3282))</f>
        <v>96162680.819348246</v>
      </c>
      <c r="B5446">
        <v>262379645.43098617</v>
      </c>
    </row>
    <row r="5447" spans="1:2" x14ac:dyDescent="0.25">
      <c r="A5447">
        <f ca="1">29138.1556859588*(RANDBETWEEN(2890,3282))</f>
        <v>86948256.566901103</v>
      </c>
      <c r="B5447">
        <v>238835669.55020764</v>
      </c>
    </row>
    <row r="5448" spans="1:2" x14ac:dyDescent="0.25">
      <c r="A5448">
        <f ca="1">39969.7371370773*(RANDBETWEEN(2890,3282))</f>
        <v>123906185.12493977</v>
      </c>
      <c r="B5448">
        <v>225415685.90266654</v>
      </c>
    </row>
    <row r="5449" spans="1:2" x14ac:dyDescent="0.25">
      <c r="A5449">
        <f ca="1">32831.4607873196*(RANDBETWEEN(2890,3282))</f>
        <v>99348000.342428982</v>
      </c>
      <c r="B5449">
        <v>223399085.52257836</v>
      </c>
    </row>
    <row r="5450" spans="1:2" x14ac:dyDescent="0.25">
      <c r="A5450">
        <f ca="1">36792.4747241001*(RANDBETWEEN(2890,3282))</f>
        <v>106661384.22516616</v>
      </c>
      <c r="B5450">
        <v>267256773.76992235</v>
      </c>
    </row>
    <row r="5451" spans="1:2" x14ac:dyDescent="0.25">
      <c r="A5451">
        <f ca="1">30960.138053718*(RANDBETWEEN(2890,3282))</f>
        <v>93933058.854980499</v>
      </c>
      <c r="B5451">
        <v>245188236.02852392</v>
      </c>
    </row>
    <row r="5452" spans="1:2" x14ac:dyDescent="0.25">
      <c r="A5452">
        <f ca="1">31134.9580916635*(RANDBETWEEN(2890,3282))</f>
        <v>91443371.915215686</v>
      </c>
      <c r="B5452">
        <v>245389086.39274377</v>
      </c>
    </row>
    <row r="5453" spans="1:2" x14ac:dyDescent="0.25">
      <c r="A5453">
        <f ca="1">41201.7723657882*(RANDBETWEEN(2890,3282))</f>
        <v>132752110.56256947</v>
      </c>
      <c r="B5453">
        <v>222865804.49145222</v>
      </c>
    </row>
    <row r="5454" spans="1:2" x14ac:dyDescent="0.25">
      <c r="A5454">
        <f ca="1">37885.6620605156*(RANDBETWEEN(2890,3282))</f>
        <v>117066695.76699331</v>
      </c>
      <c r="B5454">
        <v>264003031.89268881</v>
      </c>
    </row>
    <row r="5455" spans="1:2" x14ac:dyDescent="0.25">
      <c r="A5455">
        <f ca="1">36778.7089576604*(RANDBETWEEN(2890,3282))</f>
        <v>113609431.97021306</v>
      </c>
      <c r="B5455">
        <v>220909368.28703272</v>
      </c>
    </row>
    <row r="5456" spans="1:2" x14ac:dyDescent="0.25">
      <c r="A5456">
        <f ca="1">33333.575678732*(RANDBETWEEN(2890,3282))</f>
        <v>101134068.60927278</v>
      </c>
      <c r="B5456">
        <v>258586339.62535</v>
      </c>
    </row>
    <row r="5457" spans="1:2" x14ac:dyDescent="0.25">
      <c r="A5457">
        <f ca="1">30429.4588792018*(RANDBETWEEN(2890,3282))</f>
        <v>90588499.083383799</v>
      </c>
      <c r="B5457">
        <v>212795920.41445822</v>
      </c>
    </row>
    <row r="5458" spans="1:2" x14ac:dyDescent="0.25">
      <c r="A5458">
        <f ca="1">29448.2910570387*(RANDBETWEEN(2890,3282))</f>
        <v>86784113.745093063</v>
      </c>
      <c r="B5458">
        <v>263650607.64059186</v>
      </c>
    </row>
    <row r="5459" spans="1:2" x14ac:dyDescent="0.25">
      <c r="A5459">
        <f ca="1">31376.288727471*(RANDBETWEEN(2890,3282))</f>
        <v>98050902.27334702</v>
      </c>
      <c r="B5459">
        <v>255845306.96380791</v>
      </c>
    </row>
    <row r="5460" spans="1:2" x14ac:dyDescent="0.25">
      <c r="A5460">
        <f ca="1">36071.5972104058*(RANDBETWEEN(2890,3282))</f>
        <v>105617636.63206817</v>
      </c>
      <c r="B5460">
        <v>231939033.07053578</v>
      </c>
    </row>
    <row r="5461" spans="1:2" x14ac:dyDescent="0.25">
      <c r="A5461">
        <f ca="1">30540.0138975875*(RANDBETWEEN(2890,3282))</f>
        <v>90551141.206346884</v>
      </c>
      <c r="B5461">
        <v>246740995.97625971</v>
      </c>
    </row>
    <row r="5462" spans="1:2" x14ac:dyDescent="0.25">
      <c r="A5462">
        <f ca="1">35486.5128267811*(RANDBETWEEN(2890,3282))</f>
        <v>105678835.19815412</v>
      </c>
      <c r="B5462">
        <v>263365981.07574996</v>
      </c>
    </row>
    <row r="5463" spans="1:2" x14ac:dyDescent="0.25">
      <c r="A5463">
        <f ca="1">32723.6418192322*(RANDBETWEEN(2890,3282))</f>
        <v>102392275.25237758</v>
      </c>
      <c r="B5463">
        <v>208260332.24992615</v>
      </c>
    </row>
    <row r="5464" spans="1:2" x14ac:dyDescent="0.25">
      <c r="A5464">
        <f ca="1">35126.3922875424*(RANDBETWEEN(2890,3282))</f>
        <v>107627265.96902977</v>
      </c>
      <c r="B5464">
        <v>211731845.27759051</v>
      </c>
    </row>
    <row r="5465" spans="1:2" x14ac:dyDescent="0.25">
      <c r="A5465">
        <f ca="1">38532.6861456986*(RANDBETWEEN(2890,3282))</f>
        <v>121262363.30051336</v>
      </c>
      <c r="B5465">
        <v>206160624.3535938</v>
      </c>
    </row>
    <row r="5466" spans="1:2" x14ac:dyDescent="0.25">
      <c r="A5466">
        <f ca="1">37003.9793073409*(RANDBETWEEN(2890,3282))</f>
        <v>111307969.75648144</v>
      </c>
      <c r="B5466">
        <v>260818207.42624378</v>
      </c>
    </row>
    <row r="5467" spans="1:2" x14ac:dyDescent="0.25">
      <c r="A5467">
        <f ca="1">38655.5768080156*(RANDBETWEEN(2890,3282))</f>
        <v>116469252.92255107</v>
      </c>
      <c r="B5467">
        <v>207848285.63817874</v>
      </c>
    </row>
    <row r="5468" spans="1:2" x14ac:dyDescent="0.25">
      <c r="A5468">
        <f ca="1">32283.5303872681*(RANDBETWEEN(2890,3282))</f>
        <v>99885243.018207386</v>
      </c>
      <c r="B5468">
        <v>241162303.48469108</v>
      </c>
    </row>
    <row r="5469" spans="1:2" x14ac:dyDescent="0.25">
      <c r="A5469">
        <f ca="1">39412.9245033496*(RANDBETWEEN(2890,3282))</f>
        <v>119105857.84912257</v>
      </c>
      <c r="B5469">
        <v>260003527.90282238</v>
      </c>
    </row>
    <row r="5470" spans="1:2" x14ac:dyDescent="0.25">
      <c r="A5470">
        <f ca="1">33169.7653344031*(RANDBETWEEN(2890,3282))</f>
        <v>107735397.80614144</v>
      </c>
      <c r="B5470">
        <v>264119364.67748055</v>
      </c>
    </row>
    <row r="5471" spans="1:2" x14ac:dyDescent="0.25">
      <c r="A5471">
        <f ca="1">32250.3004071043*(RANDBETWEEN(2890,3282))</f>
        <v>101040191.17545778</v>
      </c>
      <c r="B5471">
        <v>257859787.39622459</v>
      </c>
    </row>
    <row r="5472" spans="1:2" x14ac:dyDescent="0.25">
      <c r="A5472">
        <f ca="1">30248.8043747184*(RANDBETWEEN(2890,3282))</f>
        <v>93499054.322254553</v>
      </c>
      <c r="B5472">
        <v>259371654.43010122</v>
      </c>
    </row>
    <row r="5473" spans="1:2" x14ac:dyDescent="0.25">
      <c r="A5473">
        <f ca="1">30350.2653413872*(RANDBETWEEN(2890,3282))</f>
        <v>92386207.699182585</v>
      </c>
      <c r="B5473">
        <v>237270020.34381399</v>
      </c>
    </row>
    <row r="5474" spans="1:2" x14ac:dyDescent="0.25">
      <c r="A5474">
        <f ca="1">37975.5339254955*(RANDBETWEEN(2890,3282))</f>
        <v>114306357.11574136</v>
      </c>
      <c r="B5474">
        <v>254966377.45462459</v>
      </c>
    </row>
    <row r="5475" spans="1:2" x14ac:dyDescent="0.25">
      <c r="A5475">
        <f ca="1">33240.9221664556*(RANDBETWEEN(2890,3282))</f>
        <v>104143809.14750537</v>
      </c>
      <c r="B5475">
        <v>249733435.0896953</v>
      </c>
    </row>
    <row r="5476" spans="1:2" x14ac:dyDescent="0.25">
      <c r="A5476">
        <f ca="1">42217.1876637172*(RANDBETWEEN(2890,3282))</f>
        <v>125765002.05021341</v>
      </c>
      <c r="B5476">
        <v>228201327.18833423</v>
      </c>
    </row>
    <row r="5477" spans="1:2" x14ac:dyDescent="0.25">
      <c r="A5477">
        <f ca="1">36487.8587377265*(RANDBETWEEN(2890,3282))</f>
        <v>108624355.46221183</v>
      </c>
      <c r="B5477">
        <v>252908441.65829715</v>
      </c>
    </row>
    <row r="5478" spans="1:2" x14ac:dyDescent="0.25">
      <c r="A5478">
        <f ca="1">39680.9825727639*(RANDBETWEEN(2890,3282))</f>
        <v>123923708.57474163</v>
      </c>
      <c r="B5478">
        <v>211499467.14422294</v>
      </c>
    </row>
    <row r="5479" spans="1:2" x14ac:dyDescent="0.25">
      <c r="A5479">
        <f ca="1">32150.6816886777*(RANDBETWEEN(2890,3282))</f>
        <v>101692606.18128751</v>
      </c>
      <c r="B5479">
        <v>212494461.9190504</v>
      </c>
    </row>
    <row r="5480" spans="1:2" x14ac:dyDescent="0.25">
      <c r="A5480">
        <f ca="1">38939.1877476757*(RANDBETWEEN(2890,3282))</f>
        <v>117557407.81023307</v>
      </c>
      <c r="B5480">
        <v>236560520.19765091</v>
      </c>
    </row>
    <row r="5481" spans="1:2" x14ac:dyDescent="0.25">
      <c r="A5481">
        <f ca="1">33558.2901932604*(RANDBETWEEN(2890,3282))</f>
        <v>97889532.493740484</v>
      </c>
      <c r="B5481">
        <v>222604442.74059978</v>
      </c>
    </row>
    <row r="5482" spans="1:2" x14ac:dyDescent="0.25">
      <c r="A5482">
        <f ca="1">40461.5653714043*(RANDBETWEEN(2890,3282))</f>
        <v>132673472.85283472</v>
      </c>
      <c r="B5482">
        <v>204607327.40467179</v>
      </c>
    </row>
    <row r="5483" spans="1:2" x14ac:dyDescent="0.25">
      <c r="A5483">
        <f ca="1">29473.3429882647*(RANDBETWEEN(2890,3282))</f>
        <v>88125295.534911588</v>
      </c>
      <c r="B5483">
        <v>233113822.20532629</v>
      </c>
    </row>
    <row r="5484" spans="1:2" x14ac:dyDescent="0.25">
      <c r="A5484">
        <f ca="1">29108.9007993372*(RANDBETWEEN(2890,3282))</f>
        <v>85638386.151650086</v>
      </c>
      <c r="B5484">
        <v>266393425.00394642</v>
      </c>
    </row>
    <row r="5485" spans="1:2" x14ac:dyDescent="0.25">
      <c r="A5485">
        <f ca="1">40032.6208120731*(RANDBETWEEN(2890,3282))</f>
        <v>125862559.83315793</v>
      </c>
      <c r="B5485">
        <v>257969565.83290917</v>
      </c>
    </row>
    <row r="5486" spans="1:2" x14ac:dyDescent="0.25">
      <c r="A5486">
        <f ca="1">30858.4913830124*(RANDBETWEEN(2890,3282))</f>
        <v>91711436.390312985</v>
      </c>
      <c r="B5486">
        <v>257614205.07264128</v>
      </c>
    </row>
    <row r="5487" spans="1:2" x14ac:dyDescent="0.25">
      <c r="A5487">
        <f ca="1">29841.8608710406*(RANDBETWEEN(2890,3282))</f>
        <v>97105415.274366215</v>
      </c>
      <c r="B5487">
        <v>246795015.02527434</v>
      </c>
    </row>
    <row r="5488" spans="1:2" x14ac:dyDescent="0.25">
      <c r="A5488">
        <f ca="1">31207.4778232664*(RANDBETWEEN(2890,3282))</f>
        <v>94839525.104906663</v>
      </c>
      <c r="B5488">
        <v>209872956.3348</v>
      </c>
    </row>
    <row r="5489" spans="1:2" x14ac:dyDescent="0.25">
      <c r="A5489">
        <f ca="1">31142.5936022777*(RANDBETWEEN(2890,3282))</f>
        <v>100995431.05218665</v>
      </c>
      <c r="B5489">
        <v>208271538.06149721</v>
      </c>
    </row>
    <row r="5490" spans="1:2" x14ac:dyDescent="0.25">
      <c r="A5490">
        <f ca="1">30989.6932716447*(RANDBETWEEN(2890,3282))</f>
        <v>91636523.004253492</v>
      </c>
      <c r="B5490">
        <v>262545788.79406327</v>
      </c>
    </row>
    <row r="5491" spans="1:2" x14ac:dyDescent="0.25">
      <c r="A5491">
        <f ca="1">37636.8248817842*(RANDBETWEEN(2890,3282))</f>
        <v>109824255.00504622</v>
      </c>
      <c r="B5491">
        <v>205423528.48831779</v>
      </c>
    </row>
    <row r="5492" spans="1:2" x14ac:dyDescent="0.25">
      <c r="A5492">
        <f ca="1">40385.5280808768*(RANDBETWEEN(2890,3282))</f>
        <v>126931714.75819585</v>
      </c>
      <c r="B5492">
        <v>231216606.11726606</v>
      </c>
    </row>
    <row r="5493" spans="1:2" x14ac:dyDescent="0.25">
      <c r="A5493">
        <f ca="1">30242.8743585364*(RANDBETWEEN(2890,3282))</f>
        <v>93692424.762745872</v>
      </c>
      <c r="B5493">
        <v>266738666.28788763</v>
      </c>
    </row>
    <row r="5494" spans="1:2" x14ac:dyDescent="0.25">
      <c r="A5494">
        <f ca="1">30682.275767865*(RANDBETWEEN(2890,3282))</f>
        <v>94194586.60734567</v>
      </c>
      <c r="B5494">
        <v>240276338.78507257</v>
      </c>
    </row>
    <row r="5495" spans="1:2" x14ac:dyDescent="0.25">
      <c r="A5495">
        <f ca="1">31771.3816047788*(RANDBETWEEN(2890,3282))</f>
        <v>93630261.589283004</v>
      </c>
      <c r="B5495">
        <v>262289003.7916041</v>
      </c>
    </row>
    <row r="5496" spans="1:2" x14ac:dyDescent="0.25">
      <c r="A5496">
        <f ca="1">32707.7996841593*(RANDBETWEEN(2890,3282))</f>
        <v>104697666.78899398</v>
      </c>
      <c r="B5496">
        <v>221358128.39537555</v>
      </c>
    </row>
    <row r="5497" spans="1:2" x14ac:dyDescent="0.25">
      <c r="A5497">
        <f ca="1">40680.6500623816*(RANDBETWEEN(2890,3282))</f>
        <v>132618919.20336398</v>
      </c>
      <c r="B5497">
        <v>226920922.00493449</v>
      </c>
    </row>
    <row r="5498" spans="1:2" x14ac:dyDescent="0.25">
      <c r="A5498">
        <f ca="1">31354.3493292896*(RANDBETWEEN(2890,3282))</f>
        <v>93812213.193234548</v>
      </c>
      <c r="B5498">
        <v>215278558.302634</v>
      </c>
    </row>
    <row r="5499" spans="1:2" x14ac:dyDescent="0.25">
      <c r="A5499">
        <f ca="1">30955.852529654*(RANDBETWEEN(2890,3282))</f>
        <v>100668432.42643493</v>
      </c>
      <c r="B5499">
        <v>205597268.47110832</v>
      </c>
    </row>
    <row r="5500" spans="1:2" x14ac:dyDescent="0.25">
      <c r="A5500">
        <f ca="1">31067.5904012977*(RANDBETWEEN(2890,3282))</f>
        <v>90499890.838980198</v>
      </c>
      <c r="B5500">
        <v>240891047.2884472</v>
      </c>
    </row>
    <row r="5501" spans="1:2" x14ac:dyDescent="0.25">
      <c r="A5501">
        <f ca="1">31690.7001442377*(RANDBETWEEN(2890,3282))</f>
        <v>103723661.57208993</v>
      </c>
      <c r="B5501">
        <v>227234360.84776378</v>
      </c>
    </row>
    <row r="5502" spans="1:2" x14ac:dyDescent="0.25">
      <c r="A5502">
        <f ca="1">34660.3199020567*(RANDBETWEEN(2890,3282))</f>
        <v>102490565.9503818</v>
      </c>
      <c r="B5502">
        <v>213247861.08946767</v>
      </c>
    </row>
    <row r="5503" spans="1:2" x14ac:dyDescent="0.25">
      <c r="A5503">
        <f ca="1">36402.425987289*(RANDBETWEEN(2890,3282))</f>
        <v>112556301.15269744</v>
      </c>
      <c r="B5503">
        <v>209607161.78484321</v>
      </c>
    </row>
    <row r="5504" spans="1:2" x14ac:dyDescent="0.25">
      <c r="A5504">
        <f ca="1">32900.4754709897*(RANDBETWEEN(2890,3282))</f>
        <v>106663341.47694874</v>
      </c>
      <c r="B5504">
        <v>245315075.82900605</v>
      </c>
    </row>
    <row r="5505" spans="1:2" x14ac:dyDescent="0.25">
      <c r="A5505">
        <f ca="1">32748.3890683014*(RANDBETWEEN(2890,3282))</f>
        <v>95265063.799688891</v>
      </c>
      <c r="B5505">
        <v>260368434.42929372</v>
      </c>
    </row>
    <row r="5506" spans="1:2" x14ac:dyDescent="0.25">
      <c r="A5506">
        <f ca="1">31955.8164764516*(RANDBETWEEN(2890,3282))</f>
        <v>99829970.672434703</v>
      </c>
      <c r="B5506">
        <v>224403169.24262992</v>
      </c>
    </row>
    <row r="5507" spans="1:2" x14ac:dyDescent="0.25">
      <c r="A5507">
        <f ca="1">40709.2351825017*(RANDBETWEEN(2890,3282))</f>
        <v>124488841.18809015</v>
      </c>
      <c r="B5507">
        <v>209180861.40442973</v>
      </c>
    </row>
    <row r="5508" spans="1:2" x14ac:dyDescent="0.25">
      <c r="A5508">
        <f ca="1">30693.588158499*(RANDBETWEEN(2890,3282))</f>
        <v>92694636.238666847</v>
      </c>
      <c r="B5508">
        <v>229055784.07166532</v>
      </c>
    </row>
    <row r="5509" spans="1:2" x14ac:dyDescent="0.25">
      <c r="A5509">
        <f ca="1">30501.9355022408*(RANDBETWEEN(2890,3282))</f>
        <v>98185730.381713152</v>
      </c>
      <c r="B5509">
        <v>266581317.38889164</v>
      </c>
    </row>
    <row r="5510" spans="1:2" x14ac:dyDescent="0.25">
      <c r="A5510">
        <f ca="1">37551.8368352973*(RANDBETWEEN(2890,3282))</f>
        <v>109088086.00653869</v>
      </c>
      <c r="B5510">
        <v>236540657.06210876</v>
      </c>
    </row>
    <row r="5511" spans="1:2" x14ac:dyDescent="0.25">
      <c r="A5511">
        <f ca="1">37205.2574614262*(RANDBETWEEN(2890,3282))</f>
        <v>115336298.13042121</v>
      </c>
      <c r="B5511">
        <v>257013715.43287516</v>
      </c>
    </row>
    <row r="5512" spans="1:2" x14ac:dyDescent="0.25">
      <c r="A5512">
        <f ca="1">38419.9470930276*(RANDBETWEEN(2890,3282))</f>
        <v>111533106.41105908</v>
      </c>
      <c r="B5512">
        <v>219219914.2230711</v>
      </c>
    </row>
    <row r="5513" spans="1:2" x14ac:dyDescent="0.25">
      <c r="A5513">
        <f ca="1">32474.8497069021*(RANDBETWEEN(2890,3282))</f>
        <v>103822094.51296592</v>
      </c>
      <c r="B5513">
        <v>204983061.85295764</v>
      </c>
    </row>
    <row r="5514" spans="1:2" x14ac:dyDescent="0.25">
      <c r="A5514">
        <f ca="1">37869.2557242072*(RANDBETWEEN(2890,3282))</f>
        <v>119894063.62283999</v>
      </c>
      <c r="B5514">
        <v>250685308.83420703</v>
      </c>
    </row>
    <row r="5515" spans="1:2" x14ac:dyDescent="0.25">
      <c r="A5515">
        <f ca="1">29853.4544769453*(RANDBETWEEN(2890,3282))</f>
        <v>87858716.525650129</v>
      </c>
      <c r="B5515">
        <v>266394500.79672712</v>
      </c>
    </row>
    <row r="5516" spans="1:2" x14ac:dyDescent="0.25">
      <c r="A5516">
        <f ca="1">33435.603380696*(RANDBETWEEN(2890,3282))</f>
        <v>101945154.70774224</v>
      </c>
      <c r="B5516">
        <v>240041077.00676578</v>
      </c>
    </row>
    <row r="5517" spans="1:2" x14ac:dyDescent="0.25">
      <c r="A5517">
        <f ca="1">29172.3852152351*(RANDBETWEEN(2890,3282))</f>
        <v>89121636.83254315</v>
      </c>
      <c r="B5517">
        <v>230425902.60040522</v>
      </c>
    </row>
    <row r="5518" spans="1:2" x14ac:dyDescent="0.25">
      <c r="A5518">
        <f ca="1">37554.6571417236*(RANDBETWEEN(2890,3282))</f>
        <v>109133833.65384892</v>
      </c>
      <c r="B5518">
        <v>264017609.99208209</v>
      </c>
    </row>
    <row r="5519" spans="1:2" x14ac:dyDescent="0.25">
      <c r="A5519">
        <f ca="1">37553.1987194551*(RANDBETWEEN(2890,3282))</f>
        <v>110331297.83775899</v>
      </c>
      <c r="B5519">
        <v>243138477.64009219</v>
      </c>
    </row>
    <row r="5520" spans="1:2" x14ac:dyDescent="0.25">
      <c r="A5520">
        <f ca="1">29730.0819845269*(RANDBETWEEN(2890,3282))</f>
        <v>89695657.347317562</v>
      </c>
      <c r="B5520">
        <v>221285259.57918277</v>
      </c>
    </row>
    <row r="5521" spans="1:2" x14ac:dyDescent="0.25">
      <c r="A5521">
        <f ca="1">32792.8953224732*(RANDBETWEEN(2890,3282))</f>
        <v>99887159.152253419</v>
      </c>
      <c r="B5521">
        <v>236617196.08222714</v>
      </c>
    </row>
    <row r="5522" spans="1:2" x14ac:dyDescent="0.25">
      <c r="A5522">
        <f ca="1">30581.5110288248*(RANDBETWEEN(2890,3282))</f>
        <v>90857669.266638398</v>
      </c>
      <c r="B5522">
        <v>237768182.26235288</v>
      </c>
    </row>
    <row r="5523" spans="1:2" x14ac:dyDescent="0.25">
      <c r="A5523">
        <f ca="1">38186.6082433753*(RANDBETWEEN(2890,3282))</f>
        <v>122693572.28596479</v>
      </c>
      <c r="B5523">
        <v>212813846.54510641</v>
      </c>
    </row>
    <row r="5524" spans="1:2" x14ac:dyDescent="0.25">
      <c r="A5524">
        <f ca="1">35808.0827874736*(RANDBETWEEN(2890,3282))</f>
        <v>110467935.39935598</v>
      </c>
      <c r="B5524">
        <v>228940247.99882102</v>
      </c>
    </row>
    <row r="5525" spans="1:2" x14ac:dyDescent="0.25">
      <c r="A5525">
        <f ca="1">32968.0588810194*(RANDBETWEEN(2890,3282))</f>
        <v>103816417.41632994</v>
      </c>
      <c r="B5525">
        <v>249117981.06219223</v>
      </c>
    </row>
    <row r="5526" spans="1:2" x14ac:dyDescent="0.25">
      <c r="A5526">
        <f ca="1">36665.7837658606*(RANDBETWEEN(2890,3282))</f>
        <v>112527290.37742621</v>
      </c>
      <c r="B5526">
        <v>238790253.92549872</v>
      </c>
    </row>
    <row r="5527" spans="1:2" x14ac:dyDescent="0.25">
      <c r="A5527">
        <f ca="1">30267.45419935*(RANDBETWEEN(2890,3282))</f>
        <v>94434457.101972044</v>
      </c>
      <c r="B5527">
        <v>259710525.24452892</v>
      </c>
    </row>
    <row r="5528" spans="1:2" x14ac:dyDescent="0.25">
      <c r="A5528">
        <f ca="1">30936.317043108*(RANDBETWEEN(2890,3282))</f>
        <v>99150896.123161227</v>
      </c>
      <c r="B5528">
        <v>217272973.9408513</v>
      </c>
    </row>
    <row r="5529" spans="1:2" x14ac:dyDescent="0.25">
      <c r="A5529">
        <f ca="1">31919.7041529113*(RANDBETWEEN(2890,3282))</f>
        <v>103004885.30144483</v>
      </c>
      <c r="B5529">
        <v>231815268.6046716</v>
      </c>
    </row>
    <row r="5530" spans="1:2" x14ac:dyDescent="0.25">
      <c r="A5530">
        <f ca="1">34713.9950389168*(RANDBETWEEN(2890,3282))</f>
        <v>109036658.41723761</v>
      </c>
      <c r="B5530">
        <v>262051556.22936296</v>
      </c>
    </row>
    <row r="5531" spans="1:2" x14ac:dyDescent="0.25">
      <c r="A5531">
        <f ca="1">30888.9419001668*(RANDBETWEEN(2890,3282))</f>
        <v>91462156.966393769</v>
      </c>
      <c r="B5531">
        <v>211853536.90520403</v>
      </c>
    </row>
    <row r="5532" spans="1:2" x14ac:dyDescent="0.25">
      <c r="A5532">
        <f ca="1">30545.3510462685*(RANDBETWEEN(2890,3282))</f>
        <v>89222970.406150252</v>
      </c>
      <c r="B5532">
        <v>250918388.12056303</v>
      </c>
    </row>
    <row r="5533" spans="1:2" x14ac:dyDescent="0.25">
      <c r="A5533">
        <f ca="1">30112.0628482053*(RANDBETWEEN(2890,3282))</f>
        <v>87776663.202518329</v>
      </c>
      <c r="B5533">
        <v>258431565.15882742</v>
      </c>
    </row>
    <row r="5534" spans="1:2" x14ac:dyDescent="0.25">
      <c r="A5534">
        <f ca="1">37792.245551309*(RANDBETWEEN(2890,3282))</f>
        <v>122522460.07734379</v>
      </c>
      <c r="B5534">
        <v>219768493.43669087</v>
      </c>
    </row>
    <row r="5535" spans="1:2" x14ac:dyDescent="0.25">
      <c r="A5535">
        <f ca="1">39237.9136002709*(RANDBETWEEN(2890,3282))</f>
        <v>122029911.29684259</v>
      </c>
      <c r="B5535">
        <v>233919937.91470367</v>
      </c>
    </row>
    <row r="5536" spans="1:2" x14ac:dyDescent="0.25">
      <c r="A5536">
        <f ca="1">30005.8804737804*(RANDBETWEEN(2890,3282))</f>
        <v>88607365.039073601</v>
      </c>
      <c r="B5536">
        <v>232063183.05288088</v>
      </c>
    </row>
    <row r="5537" spans="1:2" x14ac:dyDescent="0.25">
      <c r="A5537">
        <f ca="1">32173.3013600164*(RANDBETWEEN(2890,3282))</f>
        <v>101892845.40717199</v>
      </c>
      <c r="B5537">
        <v>231380327.11517549</v>
      </c>
    </row>
    <row r="5538" spans="1:2" x14ac:dyDescent="0.25">
      <c r="A5538">
        <f ca="1">32182.1148176186*(RANDBETWEEN(2890,3282))</f>
        <v>97865811.160378113</v>
      </c>
      <c r="B5538">
        <v>220876845.30078572</v>
      </c>
    </row>
    <row r="5539" spans="1:2" x14ac:dyDescent="0.25">
      <c r="A5539">
        <f ca="1">39666.820582491*(RANDBETWEEN(2890,3282))</f>
        <v>116382451.58902873</v>
      </c>
      <c r="B5539">
        <v>239777130.85072911</v>
      </c>
    </row>
    <row r="5540" spans="1:2" x14ac:dyDescent="0.25">
      <c r="A5540">
        <f ca="1">31610.9206615642*(RANDBETWEEN(2890,3282))</f>
        <v>102988379.51537615</v>
      </c>
      <c r="B5540">
        <v>229277641.49584433</v>
      </c>
    </row>
    <row r="5541" spans="1:2" x14ac:dyDescent="0.25">
      <c r="A5541">
        <f ca="1">34138.1849510416*(RANDBETWEEN(2890,3282))</f>
        <v>104394569.58028507</v>
      </c>
      <c r="B5541">
        <v>260060012.12585431</v>
      </c>
    </row>
    <row r="5542" spans="1:2" x14ac:dyDescent="0.25">
      <c r="A5542">
        <f ca="1">29647.0439530074*(RANDBETWEEN(2890,3282))</f>
        <v>93536423.671738431</v>
      </c>
      <c r="B5542">
        <v>205373910.68248838</v>
      </c>
    </row>
    <row r="5543" spans="1:2" x14ac:dyDescent="0.25">
      <c r="A5543">
        <f ca="1">28690.3126336372*(RANDBETWEEN(2890,3282))</f>
        <v>89858059.168551788</v>
      </c>
      <c r="B5543">
        <v>262819843.17598736</v>
      </c>
    </row>
    <row r="5544" spans="1:2" x14ac:dyDescent="0.25">
      <c r="A5544">
        <f ca="1">30893.5175685262*(RANDBETWEEN(2890,3282))</f>
        <v>92927700.846126884</v>
      </c>
      <c r="B5544">
        <v>209314787.512748</v>
      </c>
    </row>
    <row r="5545" spans="1:2" x14ac:dyDescent="0.25">
      <c r="A5545">
        <f ca="1">37444.0230614657*(RANDBETWEEN(2890,3282))</f>
        <v>117836340.57443269</v>
      </c>
      <c r="B5545">
        <v>258415023.93155366</v>
      </c>
    </row>
    <row r="5546" spans="1:2" x14ac:dyDescent="0.25">
      <c r="A5546">
        <f ca="1">31444.2343295524*(RANDBETWEEN(2890,3282))</f>
        <v>95087364.612566575</v>
      </c>
      <c r="B5546">
        <v>240991055.56406665</v>
      </c>
    </row>
    <row r="5547" spans="1:2" x14ac:dyDescent="0.25">
      <c r="A5547">
        <f ca="1">30924.7074458113*(RANDBETWEEN(2890,3282))</f>
        <v>94134809.465049595</v>
      </c>
      <c r="B5547">
        <v>234442617.98036274</v>
      </c>
    </row>
    <row r="5548" spans="1:2" x14ac:dyDescent="0.25">
      <c r="A5548">
        <f ca="1">38550.3747468513*(RANDBETWEEN(2890,3282))</f>
        <v>123746702.93739296</v>
      </c>
      <c r="B5548">
        <v>234887878.47618008</v>
      </c>
    </row>
    <row r="5549" spans="1:2" x14ac:dyDescent="0.25">
      <c r="A5549">
        <f ca="1">33311.6747013095*(RANDBETWEEN(2890,3282))</f>
        <v>105964437.22486554</v>
      </c>
      <c r="B5549">
        <v>257457382.86986768</v>
      </c>
    </row>
    <row r="5550" spans="1:2" x14ac:dyDescent="0.25">
      <c r="A5550">
        <f ca="1">32019.9180952063*(RANDBETWEEN(2890,3282))</f>
        <v>99261746.095139563</v>
      </c>
      <c r="B5550">
        <v>229140305.52514073</v>
      </c>
    </row>
    <row r="5551" spans="1:2" x14ac:dyDescent="0.25">
      <c r="A5551">
        <f ca="1">31722.4923303318*(RANDBETWEEN(2890,3282))</f>
        <v>92724845.081559777</v>
      </c>
      <c r="B5551">
        <v>262819072.40634125</v>
      </c>
    </row>
    <row r="5552" spans="1:2" x14ac:dyDescent="0.25">
      <c r="A5552">
        <f ca="1">30822.7829897173*(RANDBETWEEN(2890,3282))</f>
        <v>100543918.11245771</v>
      </c>
      <c r="B5552">
        <v>211268383.8212972</v>
      </c>
    </row>
    <row r="5553" spans="1:2" x14ac:dyDescent="0.25">
      <c r="A5553">
        <f ca="1">33125.924741952*(RANDBETWEEN(2890,3282))</f>
        <v>98218366.859887794</v>
      </c>
      <c r="B5553">
        <v>254184481.28357106</v>
      </c>
    </row>
    <row r="5554" spans="1:2" x14ac:dyDescent="0.25">
      <c r="A5554">
        <f ca="1">32024.0622010872*(RANDBETWEEN(2890,3282))</f>
        <v>102348902.79467461</v>
      </c>
      <c r="B5554">
        <v>241385472.20914727</v>
      </c>
    </row>
    <row r="5555" spans="1:2" x14ac:dyDescent="0.25">
      <c r="A5555">
        <f ca="1">33740.2515193824*(RANDBETWEEN(2890,3282))</f>
        <v>100714650.78535654</v>
      </c>
      <c r="B5555">
        <v>240601059.87619498</v>
      </c>
    </row>
    <row r="5556" spans="1:2" x14ac:dyDescent="0.25">
      <c r="A5556">
        <f ca="1">33002.553591158*(RANDBETWEEN(2890,3282))</f>
        <v>99271681.202203348</v>
      </c>
      <c r="B5556">
        <v>214735512.4980835</v>
      </c>
    </row>
    <row r="5557" spans="1:2" x14ac:dyDescent="0.25">
      <c r="A5557">
        <f ca="1">30100.2573278579*(RANDBETWEEN(2890,3282))</f>
        <v>92618491.79781884</v>
      </c>
      <c r="B5557">
        <v>208821283.29562709</v>
      </c>
    </row>
    <row r="5558" spans="1:2" x14ac:dyDescent="0.25">
      <c r="A5558">
        <f ca="1">31646.5667642742*(RANDBETWEEN(2890,3282))</f>
        <v>92281388.684623554</v>
      </c>
      <c r="B5558">
        <v>228915736.53942901</v>
      </c>
    </row>
    <row r="5559" spans="1:2" x14ac:dyDescent="0.25">
      <c r="A5559">
        <f ca="1">32772.6785874731*(RANDBETWEEN(2890,3282))</f>
        <v>96613856.475870699</v>
      </c>
      <c r="B5559">
        <v>226603283.85869798</v>
      </c>
    </row>
    <row r="5560" spans="1:2" x14ac:dyDescent="0.25">
      <c r="A5560">
        <f ca="1">32648.5348542922*(RANDBETWEEN(2890,3282))</f>
        <v>105193579.3005296</v>
      </c>
      <c r="B5560">
        <v>234498483.93635514</v>
      </c>
    </row>
    <row r="5561" spans="1:2" x14ac:dyDescent="0.25">
      <c r="A5561">
        <f ca="1">34702.1446086676*(RANDBETWEEN(2890,3282))</f>
        <v>112261437.80903971</v>
      </c>
      <c r="B5561">
        <v>228812208.79457241</v>
      </c>
    </row>
    <row r="5562" spans="1:2" x14ac:dyDescent="0.25">
      <c r="A5562">
        <f ca="1">30221.562426802*(RANDBETWEEN(2890,3282))</f>
        <v>91057567.591954321</v>
      </c>
      <c r="B5562">
        <v>208292081.83454108</v>
      </c>
    </row>
    <row r="5563" spans="1:2" x14ac:dyDescent="0.25">
      <c r="A5563">
        <f ca="1">32228.5588669861*(RANDBETWEEN(2890,3282))</f>
        <v>102035617.37287812</v>
      </c>
      <c r="B5563">
        <v>210845087.49275896</v>
      </c>
    </row>
    <row r="5564" spans="1:2" x14ac:dyDescent="0.25">
      <c r="A5564">
        <f ca="1">42060.3422239881*(RANDBETWEEN(2890,3282))</f>
        <v>122605897.58292517</v>
      </c>
      <c r="B5564">
        <v>261722697.06394169</v>
      </c>
    </row>
    <row r="5565" spans="1:2" x14ac:dyDescent="0.25">
      <c r="A5565">
        <f ca="1">41259.6313498391*(RANDBETWEEN(2890,3282))</f>
        <v>130339175.43414173</v>
      </c>
      <c r="B5565">
        <v>205256021.46882486</v>
      </c>
    </row>
    <row r="5566" spans="1:2" x14ac:dyDescent="0.25">
      <c r="A5566">
        <f ca="1">30659.4695937598*(RANDBETWEEN(2890,3282))</f>
        <v>98600854.21353142</v>
      </c>
      <c r="B5566">
        <v>236400995.84965333</v>
      </c>
    </row>
    <row r="5567" spans="1:2" x14ac:dyDescent="0.25">
      <c r="A5567">
        <f ca="1">29791.7449424494*(RANDBETWEEN(2890,3282))</f>
        <v>90745655.094700798</v>
      </c>
      <c r="B5567">
        <v>242382569.80917087</v>
      </c>
    </row>
    <row r="5568" spans="1:2" x14ac:dyDescent="0.25">
      <c r="A5568">
        <f ca="1">29175.5264320659*(RANDBETWEEN(2890,3282))</f>
        <v>94557881.166325673</v>
      </c>
      <c r="B5568">
        <v>227799910.31600004</v>
      </c>
    </row>
    <row r="5569" spans="1:2" x14ac:dyDescent="0.25">
      <c r="A5569">
        <f ca="1">38006.7648611478*(RANDBETWEEN(2890,3282))</f>
        <v>123179924.91497988</v>
      </c>
      <c r="B5569">
        <v>241154437.13285467</v>
      </c>
    </row>
    <row r="5570" spans="1:2" x14ac:dyDescent="0.25">
      <c r="A5570">
        <f ca="1">31039.0305079555*(RANDBETWEEN(2890,3282))</f>
        <v>97866063.191583842</v>
      </c>
      <c r="B5570">
        <v>224077779.79707411</v>
      </c>
    </row>
    <row r="5571" spans="1:2" x14ac:dyDescent="0.25">
      <c r="A5571">
        <f ca="1">36010.65127164*(RANDBETWEEN(2890,3282))</f>
        <v>104466899.3390279</v>
      </c>
      <c r="B5571">
        <v>246569272.7596184</v>
      </c>
    </row>
    <row r="5572" spans="1:2" x14ac:dyDescent="0.25">
      <c r="A5572">
        <f ca="1">31957.6801451413*(RANDBETWEEN(2890,3282))</f>
        <v>95809125.075133532</v>
      </c>
      <c r="B5572">
        <v>256890145.77109343</v>
      </c>
    </row>
    <row r="5573" spans="1:2" x14ac:dyDescent="0.25">
      <c r="A5573">
        <f ca="1">37767.124110152*(RANDBETWEEN(2890,3282))</f>
        <v>122780920.48210429</v>
      </c>
      <c r="B5573">
        <v>253221521.77244022</v>
      </c>
    </row>
    <row r="5574" spans="1:2" x14ac:dyDescent="0.25">
      <c r="A5574">
        <f ca="1">33587.9075792577*(RANDBETWEEN(2890,3282))</f>
        <v>102208002.76368125</v>
      </c>
      <c r="B5574">
        <v>220437282.11951154</v>
      </c>
    </row>
    <row r="5575" spans="1:2" x14ac:dyDescent="0.25">
      <c r="A5575">
        <f ca="1">30163.6116535372*(RANDBETWEEN(2890,3282))</f>
        <v>93929486.689114988</v>
      </c>
      <c r="B5575">
        <v>263525890.26534563</v>
      </c>
    </row>
    <row r="5576" spans="1:2" x14ac:dyDescent="0.25">
      <c r="A5576">
        <f ca="1">35128.7126939373*(RANDBETWEEN(2890,3282))</f>
        <v>107423603.41806017</v>
      </c>
      <c r="B5576">
        <v>230965913.05152181</v>
      </c>
    </row>
    <row r="5577" spans="1:2" x14ac:dyDescent="0.25">
      <c r="A5577">
        <f ca="1">32216.6374221686*(RANDBETWEEN(2890,3282))</f>
        <v>100838075.13138786</v>
      </c>
      <c r="B5577">
        <v>255973341.59127557</v>
      </c>
    </row>
    <row r="5578" spans="1:2" x14ac:dyDescent="0.25">
      <c r="A5578">
        <f ca="1">35726.1616596528*(RANDBETWEEN(2890,3282))</f>
        <v>106571140.23074436</v>
      </c>
      <c r="B5578">
        <v>224532668.39385462</v>
      </c>
    </row>
    <row r="5579" spans="1:2" x14ac:dyDescent="0.25">
      <c r="A5579">
        <f ca="1">41250.4271712392*(RANDBETWEEN(2890,3282))</f>
        <v>130227598.57960223</v>
      </c>
      <c r="B5579">
        <v>244567853.71817452</v>
      </c>
    </row>
    <row r="5580" spans="1:2" x14ac:dyDescent="0.25">
      <c r="A5580">
        <f ca="1">29203.4649744629*(RANDBETWEEN(2890,3282))</f>
        <v>84748455.355891228</v>
      </c>
      <c r="B5580">
        <v>218555485.14908808</v>
      </c>
    </row>
    <row r="5581" spans="1:2" x14ac:dyDescent="0.25">
      <c r="A5581">
        <f ca="1">28944.8401059819*(RANDBETWEEN(2890,3282))</f>
        <v>93057660.940731779</v>
      </c>
      <c r="B5581">
        <v>261248955.08474347</v>
      </c>
    </row>
    <row r="5582" spans="1:2" x14ac:dyDescent="0.25">
      <c r="A5582">
        <f ca="1">35043.1962658099*(RANDBETWEEN(2890,3282))</f>
        <v>105655236.74141672</v>
      </c>
      <c r="B5582">
        <v>211290599.79285511</v>
      </c>
    </row>
    <row r="5583" spans="1:2" x14ac:dyDescent="0.25">
      <c r="A5583">
        <f ca="1">40549.5080820386*(RANDBETWEEN(2890,3282))</f>
        <v>117796320.97832218</v>
      </c>
      <c r="B5583">
        <v>231554792.23062229</v>
      </c>
    </row>
    <row r="5584" spans="1:2" x14ac:dyDescent="0.25">
      <c r="A5584">
        <f ca="1">31722.9305042075*(RANDBETWEEN(2890,3282))</f>
        <v>98055578.188505262</v>
      </c>
      <c r="B5584">
        <v>261806072.44300777</v>
      </c>
    </row>
    <row r="5585" spans="1:2" x14ac:dyDescent="0.25">
      <c r="A5585">
        <f ca="1">40220.3804551983*(RANDBETWEEN(2890,3282))</f>
        <v>125165823.97657719</v>
      </c>
      <c r="B5585">
        <v>267437692.32160565</v>
      </c>
    </row>
    <row r="5586" spans="1:2" x14ac:dyDescent="0.25">
      <c r="A5586">
        <f ca="1">40522.5973292655*(RANDBETWEEN(2890,3282))</f>
        <v>122661902.11568677</v>
      </c>
      <c r="B5586">
        <v>266291609.04996294</v>
      </c>
    </row>
    <row r="5587" spans="1:2" x14ac:dyDescent="0.25">
      <c r="A5587">
        <f ca="1">32128.0154120838*(RANDBETWEEN(2890,3282))</f>
        <v>92946348.587158337</v>
      </c>
      <c r="B5587">
        <v>266348381.67194557</v>
      </c>
    </row>
    <row r="5588" spans="1:2" x14ac:dyDescent="0.25">
      <c r="A5588">
        <f ca="1">31618.0246163946*(RANDBETWEEN(2890,3282))</f>
        <v>100798262.47706591</v>
      </c>
      <c r="B5588">
        <v>215619565.67071092</v>
      </c>
    </row>
    <row r="5589" spans="1:2" x14ac:dyDescent="0.25">
      <c r="A5589">
        <f ca="1">32470.6495122397*(RANDBETWEEN(2890,3282))</f>
        <v>99003010.362818792</v>
      </c>
      <c r="B5589">
        <v>237851969.58560005</v>
      </c>
    </row>
    <row r="5590" spans="1:2" x14ac:dyDescent="0.25">
      <c r="A5590">
        <f ca="1">34149.5261865252*(RANDBETWEEN(2890,3282))</f>
        <v>101150896.56448761</v>
      </c>
      <c r="B5590">
        <v>253586391.78912893</v>
      </c>
    </row>
    <row r="5591" spans="1:2" x14ac:dyDescent="0.25">
      <c r="A5591">
        <f ca="1">37642.6947715114*(RANDBETWEEN(2890,3282))</f>
        <v>112928084.3145342</v>
      </c>
      <c r="B5591">
        <v>219476462.70591444</v>
      </c>
    </row>
    <row r="5592" spans="1:2" x14ac:dyDescent="0.25">
      <c r="A5592">
        <f ca="1">32345.5334162222*(RANDBETWEEN(2890,3282))</f>
        <v>101532629.39352143</v>
      </c>
      <c r="B5592">
        <v>209462795.11297557</v>
      </c>
    </row>
    <row r="5593" spans="1:2" x14ac:dyDescent="0.25">
      <c r="A5593">
        <f ca="1">37058.3393113896*(RANDBETWEEN(2890,3282))</f>
        <v>108840342.55755123</v>
      </c>
      <c r="B5593">
        <v>248710369.89888051</v>
      </c>
    </row>
    <row r="5594" spans="1:2" x14ac:dyDescent="0.25">
      <c r="A5594">
        <f ca="1">30459.7582763801*(RANDBETWEEN(2890,3282))</f>
        <v>96344215.428190291</v>
      </c>
      <c r="B5594">
        <v>223441659.41430816</v>
      </c>
    </row>
    <row r="5595" spans="1:2" x14ac:dyDescent="0.25">
      <c r="A5595">
        <f ca="1">34186.6175798424*(RANDBETWEEN(2890,3282))</f>
        <v>101021454.94843438</v>
      </c>
      <c r="B5595">
        <v>266905239.08002684</v>
      </c>
    </row>
    <row r="5596" spans="1:2" x14ac:dyDescent="0.25">
      <c r="A5596">
        <f ca="1">39457.2155687372*(RANDBETWEEN(2890,3282))</f>
        <v>120226135.83794218</v>
      </c>
      <c r="B5596">
        <v>233124404.89403707</v>
      </c>
    </row>
    <row r="5597" spans="1:2" x14ac:dyDescent="0.25">
      <c r="A5597">
        <f ca="1">33344.449737995*(RANDBETWEEN(2890,3282))</f>
        <v>105001672.22494628</v>
      </c>
      <c r="B5597">
        <v>223233622.63015273</v>
      </c>
    </row>
    <row r="5598" spans="1:2" x14ac:dyDescent="0.25">
      <c r="A5598">
        <f ca="1">32864.3536403742*(RANDBETWEEN(2890,3282))</f>
        <v>105790354.36836468</v>
      </c>
      <c r="B5598">
        <v>233639645.7049557</v>
      </c>
    </row>
    <row r="5599" spans="1:2" x14ac:dyDescent="0.25">
      <c r="A5599">
        <f ca="1">37451.6846014897*(RANDBETWEEN(2890,3282))</f>
        <v>108385175.23671113</v>
      </c>
      <c r="B5599">
        <v>229899034.05315959</v>
      </c>
    </row>
    <row r="5600" spans="1:2" x14ac:dyDescent="0.25">
      <c r="A5600">
        <f ca="1">32514.4383490407*(RANDBETWEEN(2890,3282))</f>
        <v>94194327.897170916</v>
      </c>
      <c r="B5600">
        <v>215218848.61804038</v>
      </c>
    </row>
    <row r="5601" spans="1:2" x14ac:dyDescent="0.25">
      <c r="A5601">
        <f ca="1">31018.6848956882*(RANDBETWEEN(2890,3282))</f>
        <v>98887567.44745414</v>
      </c>
      <c r="B5601">
        <v>245520170.79837483</v>
      </c>
    </row>
    <row r="5602" spans="1:2" x14ac:dyDescent="0.25">
      <c r="A5602">
        <f ca="1">30181.8628390736*(RANDBETWEEN(2890,3282))</f>
        <v>90455042.928703591</v>
      </c>
      <c r="B5602">
        <v>265272025.99481079</v>
      </c>
    </row>
    <row r="5603" spans="1:2" x14ac:dyDescent="0.25">
      <c r="A5603">
        <f ca="1">30870.0267457579*(RANDBETWEEN(2890,3282))</f>
        <v>96777533.847951069</v>
      </c>
      <c r="B5603">
        <v>224291932.11469263</v>
      </c>
    </row>
    <row r="5604" spans="1:2" x14ac:dyDescent="0.25">
      <c r="A5604">
        <f ca="1">37924.5729260923*(RANDBETWEEN(2890,3282))</f>
        <v>114342587.37216838</v>
      </c>
      <c r="B5604">
        <v>261837385.1151098</v>
      </c>
    </row>
    <row r="5605" spans="1:2" x14ac:dyDescent="0.25">
      <c r="A5605">
        <f ca="1">30464.2348994161*(RANDBETWEEN(2890,3282))</f>
        <v>94043093.134497538</v>
      </c>
      <c r="B5605">
        <v>224428541.44327301</v>
      </c>
    </row>
    <row r="5606" spans="1:2" x14ac:dyDescent="0.25">
      <c r="A5606">
        <f ca="1">31689.5804148604*(RANDBETWEEN(2890,3282))</f>
        <v>103941823.76074208</v>
      </c>
      <c r="B5606">
        <v>206442426.00041583</v>
      </c>
    </row>
    <row r="5607" spans="1:2" x14ac:dyDescent="0.25">
      <c r="A5607">
        <f ca="1">30327.6924055276*(RANDBETWEEN(2890,3282))</f>
        <v>96108457.233117059</v>
      </c>
      <c r="B5607">
        <v>229208823.52727234</v>
      </c>
    </row>
    <row r="5608" spans="1:2" x14ac:dyDescent="0.25">
      <c r="A5608">
        <f ca="1">37976.998526456*(RANDBETWEEN(2890,3282))</f>
        <v>115943776.50127019</v>
      </c>
      <c r="B5608">
        <v>224391209.74099484</v>
      </c>
    </row>
    <row r="5609" spans="1:2" x14ac:dyDescent="0.25">
      <c r="A5609">
        <f ca="1">32606.7500598235*(RANDBETWEEN(2890,3282))</f>
        <v>94657395.423667505</v>
      </c>
      <c r="B5609">
        <v>256546990.1005384</v>
      </c>
    </row>
    <row r="5610" spans="1:2" x14ac:dyDescent="0.25">
      <c r="A5610">
        <f ca="1">30806.8787273161*(RANDBETWEEN(2890,3282))</f>
        <v>91003519.760491893</v>
      </c>
      <c r="B5610">
        <v>204365498.57483283</v>
      </c>
    </row>
    <row r="5611" spans="1:2" x14ac:dyDescent="0.25">
      <c r="A5611">
        <f ca="1">36165.5947591813*(RANDBETWEEN(2890,3282))</f>
        <v>110883713.53164989</v>
      </c>
      <c r="B5611">
        <v>224828795.08900377</v>
      </c>
    </row>
    <row r="5612" spans="1:2" x14ac:dyDescent="0.25">
      <c r="A5612">
        <f ca="1">36223.4115747635*(RANDBETWEEN(2890,3282))</f>
        <v>114791991.28042567</v>
      </c>
      <c r="B5612">
        <v>220694922.31862506</v>
      </c>
    </row>
    <row r="5613" spans="1:2" x14ac:dyDescent="0.25">
      <c r="A5613">
        <f ca="1">38400.4503381828*(RANDBETWEEN(2890,3282))</f>
        <v>120500613.16121778</v>
      </c>
      <c r="B5613">
        <v>207396949.05172488</v>
      </c>
    </row>
    <row r="5614" spans="1:2" x14ac:dyDescent="0.25">
      <c r="A5614">
        <f ca="1">30022.3286269364*(RANDBETWEEN(2890,3282))</f>
        <v>95020670.104253769</v>
      </c>
      <c r="B5614">
        <v>246534812.03904122</v>
      </c>
    </row>
    <row r="5615" spans="1:2" x14ac:dyDescent="0.25">
      <c r="A5615">
        <f ca="1">40016.5365688793*(RANDBETWEEN(2890,3282))</f>
        <v>126252172.87481414</v>
      </c>
      <c r="B5615">
        <v>238842641.65427428</v>
      </c>
    </row>
    <row r="5616" spans="1:2" x14ac:dyDescent="0.25">
      <c r="A5616">
        <f ca="1">38798.6293532577*(RANDBETWEEN(2890,3282))</f>
        <v>113835178.52245802</v>
      </c>
      <c r="B5616">
        <v>220908105.49736297</v>
      </c>
    </row>
    <row r="5617" spans="1:2" x14ac:dyDescent="0.25">
      <c r="A5617">
        <f ca="1">31427.2917156498*(RANDBETWEEN(2890,3282))</f>
        <v>99844505.780619398</v>
      </c>
      <c r="B5617">
        <v>254866619.99295419</v>
      </c>
    </row>
    <row r="5618" spans="1:2" x14ac:dyDescent="0.25">
      <c r="A5618">
        <f ca="1">37297.0242758774*(RANDBETWEEN(2890,3282))</f>
        <v>113644032.96859832</v>
      </c>
      <c r="B5618">
        <v>256722209.22062135</v>
      </c>
    </row>
    <row r="5619" spans="1:2" x14ac:dyDescent="0.25">
      <c r="A5619">
        <f ca="1">33699.7190003358*(RANDBETWEEN(2890,3282))</f>
        <v>106625910.91706251</v>
      </c>
      <c r="B5619">
        <v>253241437.22178981</v>
      </c>
    </row>
    <row r="5620" spans="1:2" x14ac:dyDescent="0.25">
      <c r="A5620">
        <f ca="1">30648.9877607092*(RANDBETWEEN(2890,3282))</f>
        <v>90199970.979767323</v>
      </c>
      <c r="B5620">
        <v>221614509.49737579</v>
      </c>
    </row>
    <row r="5621" spans="1:2" x14ac:dyDescent="0.25">
      <c r="A5621">
        <f ca="1">37439.144780429*(RANDBETWEEN(2890,3282))</f>
        <v>114713539.60723443</v>
      </c>
      <c r="B5621">
        <v>230956957.43094826</v>
      </c>
    </row>
    <row r="5622" spans="1:2" x14ac:dyDescent="0.25">
      <c r="A5622">
        <f ca="1">32496.8395037643*(RANDBETWEEN(2890,3282))</f>
        <v>97717996.38781938</v>
      </c>
      <c r="B5622">
        <v>242870053.29528317</v>
      </c>
    </row>
    <row r="5623" spans="1:2" x14ac:dyDescent="0.25">
      <c r="A5623">
        <f ca="1">30839.5169749104*(RANDBETWEEN(2890,3282))</f>
        <v>90513982.321362004</v>
      </c>
      <c r="B5623">
        <v>250015510.62157884</v>
      </c>
    </row>
    <row r="5624" spans="1:2" x14ac:dyDescent="0.25">
      <c r="A5624">
        <f ca="1">39914.013174029*(RANDBETWEEN(2890,3282))</f>
        <v>128882348.53893954</v>
      </c>
      <c r="B5624">
        <v>253764388.32258257</v>
      </c>
    </row>
    <row r="5625" spans="1:2" x14ac:dyDescent="0.25">
      <c r="A5625">
        <f ca="1">34255.3342675789*(RANDBETWEEN(2890,3282))</f>
        <v>110199410.33880143</v>
      </c>
      <c r="B5625">
        <v>244284360.18832469</v>
      </c>
    </row>
    <row r="5626" spans="1:2" x14ac:dyDescent="0.25">
      <c r="A5626">
        <f ca="1">33517.1202868991*(RANDBETWEEN(2890,3282))</f>
        <v>101724460.0707387</v>
      </c>
      <c r="B5626">
        <v>224631970.94542456</v>
      </c>
    </row>
    <row r="5627" spans="1:2" x14ac:dyDescent="0.25">
      <c r="A5627">
        <f ca="1">30765.407966881*(RANDBETWEEN(2890,3282))</f>
        <v>95803480.408867449</v>
      </c>
      <c r="B5627">
        <v>254775513.25762957</v>
      </c>
    </row>
    <row r="5628" spans="1:2" x14ac:dyDescent="0.25">
      <c r="A5628">
        <f ca="1">32122.0310576266*(RANDBETWEEN(2890,3282))</f>
        <v>97233388.011435688</v>
      </c>
      <c r="B5628">
        <v>244241215.04057428</v>
      </c>
    </row>
    <row r="5629" spans="1:2" x14ac:dyDescent="0.25">
      <c r="A5629">
        <f ca="1">28379.6792611001*(RANDBETWEEN(2890,3282))</f>
        <v>84088989.650639564</v>
      </c>
      <c r="B5629">
        <v>214142421.40778723</v>
      </c>
    </row>
    <row r="5630" spans="1:2" x14ac:dyDescent="0.25">
      <c r="A5630">
        <f ca="1">33560.9766826521*(RANDBETWEEN(2890,3282))</f>
        <v>102629466.69555022</v>
      </c>
      <c r="B5630">
        <v>235579787.8065449</v>
      </c>
    </row>
    <row r="5631" spans="1:2" x14ac:dyDescent="0.25">
      <c r="A5631">
        <f ca="1">35139.267302187*(RANDBETWEEN(2890,3282))</f>
        <v>102255267.84936428</v>
      </c>
      <c r="B5631">
        <v>262985477.98470354</v>
      </c>
    </row>
    <row r="5632" spans="1:2" x14ac:dyDescent="0.25">
      <c r="A5632">
        <f ca="1">30762.3394457561*(RANDBETWEEN(2890,3282))</f>
        <v>100746661.68485136</v>
      </c>
      <c r="B5632">
        <v>228754900.25917417</v>
      </c>
    </row>
    <row r="5633" spans="1:2" x14ac:dyDescent="0.25">
      <c r="A5633">
        <f ca="1">30609.4043999745*(RANDBETWEEN(2890,3282))</f>
        <v>90389571.193124831</v>
      </c>
      <c r="B5633">
        <v>230890778.19197807</v>
      </c>
    </row>
    <row r="5634" spans="1:2" x14ac:dyDescent="0.25">
      <c r="A5634">
        <f ca="1">35011.9305545514*(RANDBETWEEN(2890,3282))</f>
        <v>104020445.67757228</v>
      </c>
      <c r="B5634">
        <v>207014649.23361045</v>
      </c>
    </row>
    <row r="5635" spans="1:2" x14ac:dyDescent="0.25">
      <c r="A5635">
        <f ca="1">37267.7433280099*(RANDBETWEEN(2890,3282))</f>
        <v>118846833.47302368</v>
      </c>
      <c r="B5635">
        <v>230968205.4361468</v>
      </c>
    </row>
    <row r="5636" spans="1:2" x14ac:dyDescent="0.25">
      <c r="A5636">
        <f ca="1">33281.5512265332*(RANDBETWEEN(2890,3282))</f>
        <v>98613236.284217998</v>
      </c>
      <c r="B5636">
        <v>267370355.97326431</v>
      </c>
    </row>
    <row r="5637" spans="1:2" x14ac:dyDescent="0.25">
      <c r="A5637">
        <f ca="1">31548.8351233032*(RANDBETWEEN(2890,3282))</f>
        <v>95340579.742622152</v>
      </c>
      <c r="B5637">
        <v>213695900.88114706</v>
      </c>
    </row>
    <row r="5638" spans="1:2" x14ac:dyDescent="0.25">
      <c r="A5638">
        <f ca="1">30878.1340983323*(RANDBETWEEN(2890,3282))</f>
        <v>97574903.750729978</v>
      </c>
      <c r="B5638">
        <v>224032666.18027237</v>
      </c>
    </row>
    <row r="5639" spans="1:2" x14ac:dyDescent="0.25">
      <c r="A5639">
        <f ca="1">33581.1375239445*(RANDBETWEEN(2890,3282))</f>
        <v>103597809.26136889</v>
      </c>
      <c r="B5639">
        <v>260304619.05680832</v>
      </c>
    </row>
    <row r="5640" spans="1:2" x14ac:dyDescent="0.25">
      <c r="A5640">
        <f ca="1">38431.4871992275*(RANDBETWEEN(2890,3282))</f>
        <v>117830939.75283144</v>
      </c>
      <c r="B5640">
        <v>256546275.46283033</v>
      </c>
    </row>
    <row r="5641" spans="1:2" x14ac:dyDescent="0.25">
      <c r="A5641">
        <f ca="1">41752.8547020869*(RANDBETWEEN(2890,3282))</f>
        <v>126636408.31142959</v>
      </c>
      <c r="B5641">
        <v>220384908.67574555</v>
      </c>
    </row>
    <row r="5642" spans="1:2" x14ac:dyDescent="0.25">
      <c r="A5642">
        <f ca="1">31111.6475450918*(RANDBETWEEN(2890,3282))</f>
        <v>92961602.864734426</v>
      </c>
      <c r="B5642">
        <v>208535275.38077793</v>
      </c>
    </row>
    <row r="5643" spans="1:2" x14ac:dyDescent="0.25">
      <c r="A5643">
        <f ca="1">35299.7947277511*(RANDBETWEEN(2890,3282))</f>
        <v>106358281.51471421</v>
      </c>
      <c r="B5643">
        <v>254034454.89245528</v>
      </c>
    </row>
    <row r="5644" spans="1:2" x14ac:dyDescent="0.25">
      <c r="A5644">
        <f ca="1">30997.8190133103*(RANDBETWEEN(2890,3282))</f>
        <v>92063522.469531551</v>
      </c>
      <c r="B5644">
        <v>261017481.78450722</v>
      </c>
    </row>
    <row r="5645" spans="1:2" x14ac:dyDescent="0.25">
      <c r="A5645">
        <f ca="1">32940.1854981208*(RANDBETWEEN(2890,3282))</f>
        <v>104354507.65804668</v>
      </c>
      <c r="B5645">
        <v>216965094.06593463</v>
      </c>
    </row>
    <row r="5646" spans="1:2" x14ac:dyDescent="0.25">
      <c r="A5646">
        <f ca="1">34060.8501868591*(RANDBETWEEN(2890,3282))</f>
        <v>100581690.60179481</v>
      </c>
      <c r="B5646">
        <v>216863186.65996933</v>
      </c>
    </row>
    <row r="5647" spans="1:2" x14ac:dyDescent="0.25">
      <c r="A5647">
        <f ca="1">31116.7638609383*(RANDBETWEEN(2890,3282))</f>
        <v>90394199.016025737</v>
      </c>
      <c r="B5647">
        <v>254815395.22202462</v>
      </c>
    </row>
    <row r="5648" spans="1:2" x14ac:dyDescent="0.25">
      <c r="A5648">
        <f ca="1">39343.2113033018*(RANDBETWEEN(2890,3282))</f>
        <v>121491836.50459588</v>
      </c>
      <c r="B5648">
        <v>217058354.8678149</v>
      </c>
    </row>
    <row r="5649" spans="1:2" x14ac:dyDescent="0.25">
      <c r="A5649">
        <f ca="1">30305.2479187044*(RANDBETWEEN(2890,3282))</f>
        <v>97188930.075284868</v>
      </c>
      <c r="B5649">
        <v>265520294.23129106</v>
      </c>
    </row>
    <row r="5650" spans="1:2" x14ac:dyDescent="0.25">
      <c r="A5650">
        <f ca="1">37530.8058643722*(RANDBETWEEN(2890,3282))</f>
        <v>112142047.92274441</v>
      </c>
      <c r="B5650">
        <v>261759216.33286101</v>
      </c>
    </row>
    <row r="5651" spans="1:2" x14ac:dyDescent="0.25">
      <c r="A5651">
        <f ca="1">35515.8343088627*(RANDBETWEEN(2890,3282))</f>
        <v>113366543.11388978</v>
      </c>
      <c r="B5651">
        <v>214414489.5347383</v>
      </c>
    </row>
    <row r="5652" spans="1:2" x14ac:dyDescent="0.25">
      <c r="A5652">
        <f ca="1">37942.2704276049*(RANDBETWEEN(2890,3282))</f>
        <v>114851252.58436</v>
      </c>
      <c r="B5652">
        <v>229363681.75981733</v>
      </c>
    </row>
    <row r="5653" spans="1:2" x14ac:dyDescent="0.25">
      <c r="A5653">
        <f ca="1">34348.9315840084*(RANDBETWEEN(2890,3282))</f>
        <v>106516036.8420101</v>
      </c>
      <c r="B5653">
        <v>222601817.60873115</v>
      </c>
    </row>
    <row r="5654" spans="1:2" x14ac:dyDescent="0.25">
      <c r="A5654">
        <f ca="1">29673.6027031497*(RANDBETWEEN(2890,3282))</f>
        <v>93946626.158172071</v>
      </c>
      <c r="B5654">
        <v>204146219.87168074</v>
      </c>
    </row>
    <row r="5655" spans="1:2" x14ac:dyDescent="0.25">
      <c r="A5655">
        <f ca="1">32179.0759058167*(RANDBETWEEN(2890,3282))</f>
        <v>102039849.6973446</v>
      </c>
      <c r="B5655">
        <v>232587342.60322669</v>
      </c>
    </row>
    <row r="5656" spans="1:2" x14ac:dyDescent="0.25">
      <c r="A5656">
        <f ca="1">37230.1879769467*(RANDBETWEEN(2890,3282))</f>
        <v>120811959.98519213</v>
      </c>
      <c r="B5656">
        <v>207695445.04303068</v>
      </c>
    </row>
    <row r="5657" spans="1:2" x14ac:dyDescent="0.25">
      <c r="A5657">
        <f ca="1">31046.582794692*(RANDBETWEEN(2890,3282))</f>
        <v>99845810.267729551</v>
      </c>
      <c r="B5657">
        <v>204923816.27416396</v>
      </c>
    </row>
    <row r="5658" spans="1:2" x14ac:dyDescent="0.25">
      <c r="A5658">
        <f ca="1">42034.2427997376*(RANDBETWEEN(2890,3282))</f>
        <v>137830282.14033973</v>
      </c>
      <c r="B5658">
        <v>225645952.8948912</v>
      </c>
    </row>
    <row r="5659" spans="1:2" x14ac:dyDescent="0.25">
      <c r="A5659">
        <f ca="1">29391.1792197199*(RANDBETWEEN(2890,3282))</f>
        <v>95433158.926430643</v>
      </c>
      <c r="B5659">
        <v>262051610.92242271</v>
      </c>
    </row>
    <row r="5660" spans="1:2" x14ac:dyDescent="0.25">
      <c r="A5660">
        <f ca="1">32365.3741332423*(RANDBETWEEN(2890,3282))</f>
        <v>99555890.833853185</v>
      </c>
      <c r="B5660">
        <v>208478320.13277537</v>
      </c>
    </row>
    <row r="5661" spans="1:2" x14ac:dyDescent="0.25">
      <c r="A5661">
        <f ca="1">31484.2962114289*(RANDBETWEEN(2890,3282))</f>
        <v>101096075.13489817</v>
      </c>
      <c r="B5661">
        <v>238831157.66822028</v>
      </c>
    </row>
    <row r="5662" spans="1:2" x14ac:dyDescent="0.25">
      <c r="A5662">
        <f ca="1">35323.4390364854*(RANDBETWEEN(2890,3282))</f>
        <v>113670826.8194101</v>
      </c>
      <c r="B5662">
        <v>223066385.33822706</v>
      </c>
    </row>
    <row r="5663" spans="1:2" x14ac:dyDescent="0.25">
      <c r="A5663">
        <f ca="1">32988.1381436838*(RANDBETWEEN(2890,3282))</f>
        <v>101273584.10110915</v>
      </c>
      <c r="B5663">
        <v>236179844.00993213</v>
      </c>
    </row>
    <row r="5664" spans="1:2" x14ac:dyDescent="0.25">
      <c r="A5664">
        <f ca="1">38561.2852928855*(RANDBETWEEN(2890,3282))</f>
        <v>119732790.83440961</v>
      </c>
      <c r="B5664">
        <v>223060415.18587133</v>
      </c>
    </row>
    <row r="5665" spans="1:2" x14ac:dyDescent="0.25">
      <c r="A5665">
        <f ca="1">34358.4142040691*(RANDBETWEEN(2890,3282))</f>
        <v>109981283.86722526</v>
      </c>
      <c r="B5665">
        <v>247224277.16253763</v>
      </c>
    </row>
    <row r="5666" spans="1:2" x14ac:dyDescent="0.25">
      <c r="A5666">
        <f ca="1">32069.2177540135*(RANDBETWEEN(2890,3282))</f>
        <v>99350436.601933777</v>
      </c>
      <c r="B5666">
        <v>244003434.86894321</v>
      </c>
    </row>
    <row r="5667" spans="1:2" x14ac:dyDescent="0.25">
      <c r="A5667">
        <f ca="1">27659.0127302012*(RANDBETWEEN(2890,3282))</f>
        <v>88757771.851215705</v>
      </c>
      <c r="B5667">
        <v>258248040.3880527</v>
      </c>
    </row>
    <row r="5668" spans="1:2" x14ac:dyDescent="0.25">
      <c r="A5668">
        <f ca="1">30488.8775541546*(RANDBETWEEN(2890,3282))</f>
        <v>91954454.703330413</v>
      </c>
      <c r="B5668">
        <v>222626028.8090353</v>
      </c>
    </row>
    <row r="5669" spans="1:2" x14ac:dyDescent="0.25">
      <c r="A5669">
        <f ca="1">32676.7149821268*(RANDBETWEEN(2890,3282))</f>
        <v>101265139.72961102</v>
      </c>
      <c r="B5669">
        <v>244567303.75300726</v>
      </c>
    </row>
    <row r="5670" spans="1:2" x14ac:dyDescent="0.25">
      <c r="A5670">
        <f ca="1">31740.6394545609*(RANDBETWEEN(2890,3282))</f>
        <v>103284040.78514114</v>
      </c>
      <c r="B5670">
        <v>211036203.87665218</v>
      </c>
    </row>
    <row r="5671" spans="1:2" x14ac:dyDescent="0.25">
      <c r="A5671">
        <f ca="1">36136.8099260384*(RANDBETWEEN(2890,3282))</f>
        <v>112060247.58064523</v>
      </c>
      <c r="B5671">
        <v>229744081.55821195</v>
      </c>
    </row>
    <row r="5672" spans="1:2" x14ac:dyDescent="0.25">
      <c r="A5672">
        <f ca="1">38056.0685549703*(RANDBETWEEN(2890,3282))</f>
        <v>112151234.03149751</v>
      </c>
      <c r="B5672">
        <v>203776631.88282672</v>
      </c>
    </row>
    <row r="5673" spans="1:2" x14ac:dyDescent="0.25">
      <c r="A5673">
        <f ca="1">38547.5324952551*(RANDBETWEEN(2890,3282))</f>
        <v>115873882.68073668</v>
      </c>
      <c r="B5673">
        <v>216859787.02520785</v>
      </c>
    </row>
    <row r="5674" spans="1:2" x14ac:dyDescent="0.25">
      <c r="A5674">
        <f ca="1">28355.7593523722*(RANDBETWEEN(2890,3282))</f>
        <v>88299834.623287067</v>
      </c>
      <c r="B5674">
        <v>243254552.47524315</v>
      </c>
    </row>
    <row r="5675" spans="1:2" x14ac:dyDescent="0.25">
      <c r="A5675">
        <f ca="1">31661.5003039979*(RANDBETWEEN(2890,3282))</f>
        <v>93749702.400137782</v>
      </c>
      <c r="B5675">
        <v>258694959.9483026</v>
      </c>
    </row>
    <row r="5676" spans="1:2" x14ac:dyDescent="0.25">
      <c r="A5676">
        <f ca="1">33577.8314848187*(RANDBETWEEN(2890,3282))</f>
        <v>105837324.84014845</v>
      </c>
      <c r="B5676">
        <v>219204745.06246075</v>
      </c>
    </row>
    <row r="5677" spans="1:2" x14ac:dyDescent="0.25">
      <c r="A5677">
        <f ca="1">32230.4181662895*(RANDBETWEEN(2890,3282))</f>
        <v>101010130.53315128</v>
      </c>
      <c r="B5677">
        <v>211533604.9425621</v>
      </c>
    </row>
    <row r="5678" spans="1:2" x14ac:dyDescent="0.25">
      <c r="A5678">
        <f ca="1">31043.6014304156*(RANDBETWEEN(2890,3282))</f>
        <v>93192891.494107574</v>
      </c>
      <c r="B5678">
        <v>230366311.70409313</v>
      </c>
    </row>
    <row r="5679" spans="1:2" x14ac:dyDescent="0.25">
      <c r="A5679">
        <f ca="1">32557.1274855296*(RANDBETWEEN(2890,3282))</f>
        <v>94090098.433180645</v>
      </c>
      <c r="B5679">
        <v>212913336.43624929</v>
      </c>
    </row>
    <row r="5680" spans="1:2" x14ac:dyDescent="0.25">
      <c r="A5680">
        <f ca="1">37015.1279661041*(RANDBETWEEN(2890,3282))</f>
        <v>120669317.16949935</v>
      </c>
      <c r="B5680">
        <v>244783305.88558611</v>
      </c>
    </row>
    <row r="5681" spans="1:2" x14ac:dyDescent="0.25">
      <c r="A5681">
        <f ca="1">28537.4415987976*(RANDBETWEEN(2890,3282))</f>
        <v>91462500.324146181</v>
      </c>
      <c r="B5681">
        <v>216954776.40750647</v>
      </c>
    </row>
    <row r="5682" spans="1:2" x14ac:dyDescent="0.25">
      <c r="A5682">
        <f ca="1">37297.1693244308*(RANDBETWEEN(2890,3282))</f>
        <v>112189885.32788779</v>
      </c>
      <c r="B5682">
        <v>212979376.45591468</v>
      </c>
    </row>
    <row r="5683" spans="1:2" x14ac:dyDescent="0.25">
      <c r="A5683">
        <f ca="1">30915.5105362969*(RANDBETWEEN(2890,3282))</f>
        <v>95590758.578229949</v>
      </c>
      <c r="B5683">
        <v>241184257.50758845</v>
      </c>
    </row>
    <row r="5684" spans="1:2" x14ac:dyDescent="0.25">
      <c r="A5684">
        <f ca="1">38078.8886318476*(RANDBETWEEN(2890,3282))</f>
        <v>110200303.7005672</v>
      </c>
      <c r="B5684">
        <v>228136263.33063179</v>
      </c>
    </row>
    <row r="5685" spans="1:2" x14ac:dyDescent="0.25">
      <c r="A5685">
        <f ca="1">31962.1413106691*(RANDBETWEEN(2890,3282))</f>
        <v>102630435.74855857</v>
      </c>
      <c r="B5685">
        <v>224337825.00458264</v>
      </c>
    </row>
    <row r="5686" spans="1:2" x14ac:dyDescent="0.25">
      <c r="A5686">
        <f ca="1">30768.395256225*(RANDBETWEEN(2890,3282))</f>
        <v>90735997.61060749</v>
      </c>
      <c r="B5686">
        <v>214950139.44958121</v>
      </c>
    </row>
    <row r="5687" spans="1:2" x14ac:dyDescent="0.25">
      <c r="A5687">
        <f ca="1">39464.533249332*(RANDBETWEEN(2890,3282))</f>
        <v>123958098.9361518</v>
      </c>
      <c r="B5687">
        <v>265004636.88660973</v>
      </c>
    </row>
    <row r="5688" spans="1:2" x14ac:dyDescent="0.25">
      <c r="A5688">
        <f ca="1">36857.1212412229*(RANDBETWEEN(2890,3282))</f>
        <v>116210503.27357589</v>
      </c>
      <c r="B5688">
        <v>205658584.4266246</v>
      </c>
    </row>
    <row r="5689" spans="1:2" x14ac:dyDescent="0.25">
      <c r="A5689">
        <f ca="1">33594.7764590484*(RANDBETWEEN(2890,3282))</f>
        <v>104916486.88160807</v>
      </c>
      <c r="B5689">
        <v>217155561.75587684</v>
      </c>
    </row>
    <row r="5690" spans="1:2" x14ac:dyDescent="0.25">
      <c r="A5690">
        <f ca="1">31525.3116939848*(RANDBETWEEN(2890,3282))</f>
        <v>96877282.835615173</v>
      </c>
      <c r="B5690">
        <v>232671255.71267557</v>
      </c>
    </row>
    <row r="5691" spans="1:2" x14ac:dyDescent="0.25">
      <c r="A5691">
        <f ca="1">31810.1822380248*(RANDBETWEEN(2890,3282))</f>
        <v>92344959.036985993</v>
      </c>
      <c r="B5691">
        <v>215109758.85505751</v>
      </c>
    </row>
    <row r="5692" spans="1:2" x14ac:dyDescent="0.25">
      <c r="A5692">
        <f ca="1">32932.1051139217*(RANDBETWEEN(2890,3282))</f>
        <v>102287118.48384067</v>
      </c>
      <c r="B5692">
        <v>230341482.63223651</v>
      </c>
    </row>
    <row r="5693" spans="1:2" x14ac:dyDescent="0.25">
      <c r="A5693">
        <f ca="1">31993.2665740232*(RANDBETWEEN(2890,3282))</f>
        <v>104138082.69844562</v>
      </c>
      <c r="B5693">
        <v>261243000.27044266</v>
      </c>
    </row>
    <row r="5694" spans="1:2" x14ac:dyDescent="0.25">
      <c r="A5694">
        <f ca="1">41738.4525806642*(RANDBETWEEN(2890,3282))</f>
        <v>136192570.77070737</v>
      </c>
      <c r="B5694">
        <v>259289439.23475286</v>
      </c>
    </row>
    <row r="5695" spans="1:2" x14ac:dyDescent="0.25">
      <c r="A5695">
        <f ca="1">32481.3773788584*(RANDBETWEEN(2890,3282))</f>
        <v>98775868.609108388</v>
      </c>
      <c r="B5695">
        <v>261976186.04506737</v>
      </c>
    </row>
    <row r="5696" spans="1:2" x14ac:dyDescent="0.25">
      <c r="A5696">
        <f ca="1">37570.2377536677*(RANDBETWEEN(2890,3282))</f>
        <v>109629953.76520237</v>
      </c>
      <c r="B5696">
        <v>230007298.77554882</v>
      </c>
    </row>
    <row r="5697" spans="1:2" x14ac:dyDescent="0.25">
      <c r="A5697">
        <f ca="1">38604.4195651272*(RANDBETWEEN(2890,3282))</f>
        <v>115543027.75842562</v>
      </c>
      <c r="B5697">
        <v>256296690.47540867</v>
      </c>
    </row>
    <row r="5698" spans="1:2" x14ac:dyDescent="0.25">
      <c r="A5698">
        <f ca="1">39645.6049948517*(RANDBETWEEN(2890,3282))</f>
        <v>115923749.00494644</v>
      </c>
      <c r="B5698">
        <v>256158232.71669763</v>
      </c>
    </row>
    <row r="5699" spans="1:2" x14ac:dyDescent="0.25">
      <c r="A5699">
        <f ca="1">36857.3288875284*(RANDBETWEEN(2890,3282))</f>
        <v>111677706.52921095</v>
      </c>
      <c r="B5699">
        <v>209596868.60479006</v>
      </c>
    </row>
    <row r="5700" spans="1:2" x14ac:dyDescent="0.25">
      <c r="A5700">
        <f ca="1">36408.9108975381*(RANDBETWEEN(2890,3282))</f>
        <v>105658659.42465557</v>
      </c>
      <c r="B5700">
        <v>254066220.55005628</v>
      </c>
    </row>
    <row r="5701" spans="1:2" x14ac:dyDescent="0.25">
      <c r="A5701">
        <f ca="1">31938.1803205174*(RANDBETWEEN(2890,3282))</f>
        <v>104342035.10713023</v>
      </c>
      <c r="B5701">
        <v>240903987.77039176</v>
      </c>
    </row>
    <row r="5702" spans="1:2" x14ac:dyDescent="0.25">
      <c r="A5702">
        <f ca="1">33219.0090561456*(RANDBETWEEN(2890,3282))</f>
        <v>96401564.280934542</v>
      </c>
      <c r="B5702">
        <v>255536223.36192232</v>
      </c>
    </row>
    <row r="5703" spans="1:2" x14ac:dyDescent="0.25">
      <c r="A5703">
        <f ca="1">32476.5142454977*(RANDBETWEEN(2890,3282))</f>
        <v>98663650.277821928</v>
      </c>
      <c r="B5703">
        <v>226840045.93814051</v>
      </c>
    </row>
    <row r="5704" spans="1:2" x14ac:dyDescent="0.25">
      <c r="A5704">
        <f ca="1">32606.9850602004*(RANDBETWEEN(2890,3282))</f>
        <v>104929277.92372489</v>
      </c>
      <c r="B5704">
        <v>210930723.22100657</v>
      </c>
    </row>
    <row r="5705" spans="1:2" x14ac:dyDescent="0.25">
      <c r="A5705">
        <f ca="1">39595.8867243191*(RANDBETWEEN(2890,3282))</f>
        <v>124014317.22056739</v>
      </c>
      <c r="B5705">
        <v>254392922.5368655</v>
      </c>
    </row>
    <row r="5706" spans="1:2" x14ac:dyDescent="0.25">
      <c r="A5706">
        <f ca="1">37718.7706944535*(RANDBETWEEN(2890,3282))</f>
        <v>112703686.83502708</v>
      </c>
      <c r="B5706">
        <v>235912926.19120556</v>
      </c>
    </row>
    <row r="5707" spans="1:2" x14ac:dyDescent="0.25">
      <c r="A5707">
        <f ca="1">31903.4869114233*(RANDBETWEEN(2890,3282))</f>
        <v>92520112.043127567</v>
      </c>
      <c r="B5707">
        <v>244665939.34119833</v>
      </c>
    </row>
    <row r="5708" spans="1:2" x14ac:dyDescent="0.25">
      <c r="A5708">
        <f ca="1">31613.6205102589*(RANDBETWEEN(2890,3282))</f>
        <v>99709359.089356676</v>
      </c>
      <c r="B5708">
        <v>247717492.37607712</v>
      </c>
    </row>
    <row r="5709" spans="1:2" x14ac:dyDescent="0.25">
      <c r="A5709">
        <f ca="1">34675.5964896415*(RANDBETWEEN(2890,3282))</f>
        <v>109574884.907267</v>
      </c>
      <c r="B5709">
        <v>259045405.78421459</v>
      </c>
    </row>
    <row r="5710" spans="1:2" x14ac:dyDescent="0.25">
      <c r="A5710">
        <f ca="1">40064.705197004*(RANDBETWEEN(2890,3282))</f>
        <v>125682980.20300168</v>
      </c>
      <c r="B5710">
        <v>251517957.41000873</v>
      </c>
    </row>
    <row r="5711" spans="1:2" x14ac:dyDescent="0.25">
      <c r="A5711">
        <f ca="1">31753.8538146429*(RANDBETWEEN(2890,3282))</f>
        <v>103009501.77470158</v>
      </c>
      <c r="B5711">
        <v>256657436.00185677</v>
      </c>
    </row>
    <row r="5712" spans="1:2" x14ac:dyDescent="0.25">
      <c r="A5712">
        <f ca="1">39511.9017664168*(RANDBETWEEN(2890,3282))</f>
        <v>123079574.00238824</v>
      </c>
      <c r="B5712">
        <v>248640276.14488351</v>
      </c>
    </row>
    <row r="5713" spans="1:2" x14ac:dyDescent="0.25">
      <c r="A5713">
        <f ca="1">32498.5584282764*(RANDBETWEEN(2890,3282))</f>
        <v>105620314.89189835</v>
      </c>
      <c r="B5713">
        <v>242529478.73775542</v>
      </c>
    </row>
    <row r="5714" spans="1:2" x14ac:dyDescent="0.25">
      <c r="A5714">
        <f ca="1">29233.7802200095*(RANDBETWEEN(2890,3282))</f>
        <v>88549120.286408901</v>
      </c>
      <c r="B5714">
        <v>245848472.69286102</v>
      </c>
    </row>
    <row r="5715" spans="1:2" x14ac:dyDescent="0.25">
      <c r="A5715">
        <f ca="1">36329.5350934844*(RANDBETWEEN(2890,3282))</f>
        <v>113239160.88639084</v>
      </c>
      <c r="B5715">
        <v>209252921.24588466</v>
      </c>
    </row>
    <row r="5716" spans="1:2" x14ac:dyDescent="0.25">
      <c r="A5716">
        <f ca="1">37207.9174840271*(RANDBETWEEN(2890,3282))</f>
        <v>112777197.89408621</v>
      </c>
      <c r="B5716">
        <v>234152306.2795431</v>
      </c>
    </row>
    <row r="5717" spans="1:2" x14ac:dyDescent="0.25">
      <c r="A5717">
        <f ca="1">34308.5338199734*(RANDBETWEEN(2890,3282))</f>
        <v>110473478.90031433</v>
      </c>
      <c r="B5717">
        <v>262234928.31075794</v>
      </c>
    </row>
    <row r="5718" spans="1:2" x14ac:dyDescent="0.25">
      <c r="A5718">
        <f ca="1">38211.9014591178*(RANDBETWEEN(2890,3282))</f>
        <v>118571530.22764255</v>
      </c>
      <c r="B5718">
        <v>206168114.82293579</v>
      </c>
    </row>
    <row r="5719" spans="1:2" x14ac:dyDescent="0.25">
      <c r="A5719">
        <f ca="1">30865.5111780756*(RANDBETWEEN(2890,3282))</f>
        <v>94880581.361404285</v>
      </c>
      <c r="B5719">
        <v>255628837.03190118</v>
      </c>
    </row>
    <row r="5720" spans="1:2" x14ac:dyDescent="0.25">
      <c r="A5720">
        <f ca="1">31884.4835940943*(RANDBETWEEN(2890,3282))</f>
        <v>102189769.9190723</v>
      </c>
      <c r="B5720">
        <v>218473884.49563962</v>
      </c>
    </row>
    <row r="5721" spans="1:2" x14ac:dyDescent="0.25">
      <c r="A5721">
        <f ca="1">38073.3100061774*(RANDBETWEEN(2890,3282))</f>
        <v>113230023.95837168</v>
      </c>
      <c r="B5721">
        <v>258659396.09311968</v>
      </c>
    </row>
    <row r="5722" spans="1:2" x14ac:dyDescent="0.25">
      <c r="A5722">
        <f ca="1">30776.7928182517*(RANDBETWEEN(2890,3282))</f>
        <v>99162826.460407138</v>
      </c>
      <c r="B5722">
        <v>229542950.59940314</v>
      </c>
    </row>
    <row r="5723" spans="1:2" x14ac:dyDescent="0.25">
      <c r="A5723">
        <f ca="1">33863.6087030502*(RANDBETWEEN(2890,3282))</f>
        <v>98001283.586627558</v>
      </c>
      <c r="B5723">
        <v>231452232.31970096</v>
      </c>
    </row>
    <row r="5724" spans="1:2" x14ac:dyDescent="0.25">
      <c r="A5724">
        <f ca="1">29722.722448864*(RANDBETWEEN(2890,3282))</f>
        <v>94666870.999631971</v>
      </c>
      <c r="B5724">
        <v>261698317.31052935</v>
      </c>
    </row>
    <row r="5725" spans="1:2" x14ac:dyDescent="0.25">
      <c r="A5725">
        <f ca="1">30786.0605923082*(RANDBETWEEN(2890,3282))</f>
        <v>99931552.682632461</v>
      </c>
      <c r="B5725">
        <v>258893808.48875895</v>
      </c>
    </row>
    <row r="5726" spans="1:2" x14ac:dyDescent="0.25">
      <c r="A5726">
        <f ca="1">35123.2497188681*(RANDBETWEEN(2890,3282))</f>
        <v>102665258.92825155</v>
      </c>
      <c r="B5726">
        <v>216078603.70212591</v>
      </c>
    </row>
    <row r="5727" spans="1:2" x14ac:dyDescent="0.25">
      <c r="A5727">
        <f ca="1">39986.1134452332*(RANDBETWEEN(2890,3282))</f>
        <v>126156187.91971065</v>
      </c>
      <c r="B5727">
        <v>215893861.65714842</v>
      </c>
    </row>
    <row r="5728" spans="1:2" x14ac:dyDescent="0.25">
      <c r="A5728">
        <f ca="1">32884.2537365152*(RANDBETWEEN(2890,3282))</f>
        <v>101974070.83693355</v>
      </c>
      <c r="B5728">
        <v>235907898.58826303</v>
      </c>
    </row>
    <row r="5729" spans="1:2" x14ac:dyDescent="0.25">
      <c r="A5729">
        <f ca="1">33042.2956780665*(RANDBETWEEN(2890,3282))</f>
        <v>105801430.76116911</v>
      </c>
      <c r="B5729">
        <v>258138646.61988395</v>
      </c>
    </row>
    <row r="5730" spans="1:2" x14ac:dyDescent="0.25">
      <c r="A5730">
        <f ca="1">30139.770237725*(RANDBETWEEN(2890,3282))</f>
        <v>93101750.264332607</v>
      </c>
      <c r="B5730">
        <v>230611739.52108327</v>
      </c>
    </row>
    <row r="5731" spans="1:2" x14ac:dyDescent="0.25">
      <c r="A5731">
        <f ca="1">31240.9903468673*(RANDBETWEEN(2890,3282))</f>
        <v>101658182.58870631</v>
      </c>
      <c r="B5731">
        <v>252734767.41052508</v>
      </c>
    </row>
    <row r="5732" spans="1:2" x14ac:dyDescent="0.25">
      <c r="A5732">
        <f ca="1">33069.3122111479*(RANDBETWEEN(2890,3282))</f>
        <v>97785956.208364218</v>
      </c>
      <c r="B5732">
        <v>239961762.9236114</v>
      </c>
    </row>
    <row r="5733" spans="1:2" x14ac:dyDescent="0.25">
      <c r="A5733">
        <f ca="1">36216.8465517543*(RANDBETWEEN(2890,3282))</f>
        <v>110533815.67595419</v>
      </c>
      <c r="B5733">
        <v>261592946.82583806</v>
      </c>
    </row>
    <row r="5734" spans="1:2" x14ac:dyDescent="0.25">
      <c r="A5734">
        <f ca="1">38685.709675481*(RANDBETWEEN(2890,3282))</f>
        <v>114509700.639424</v>
      </c>
      <c r="B5734">
        <v>204036468.32236141</v>
      </c>
    </row>
    <row r="5735" spans="1:2" x14ac:dyDescent="0.25">
      <c r="A5735">
        <f ca="1">30364.8261795257*(RANDBETWEEN(2890,3282))</f>
        <v>99444805.737946615</v>
      </c>
      <c r="B5735">
        <v>221001669.84280512</v>
      </c>
    </row>
    <row r="5736" spans="1:2" x14ac:dyDescent="0.25">
      <c r="A5736">
        <f ca="1">38498.028800146*(RANDBETWEEN(2890,3282))</f>
        <v>112260251.98122562</v>
      </c>
      <c r="B5736">
        <v>232406793.33171955</v>
      </c>
    </row>
    <row r="5737" spans="1:2" x14ac:dyDescent="0.25">
      <c r="A5737">
        <f ca="1">36832.1591317118*(RANDBETWEEN(2890,3282))</f>
        <v>116942105.24318492</v>
      </c>
      <c r="B5737">
        <v>223175747.23561129</v>
      </c>
    </row>
    <row r="5738" spans="1:2" x14ac:dyDescent="0.25">
      <c r="A5738">
        <f ca="1">31243.9270799637*(RANDBETWEEN(2890,3282))</f>
        <v>95450197.22928907</v>
      </c>
      <c r="B5738">
        <v>225588738.80017489</v>
      </c>
    </row>
    <row r="5739" spans="1:2" x14ac:dyDescent="0.25">
      <c r="A5739">
        <f ca="1">34115.8668070349*(RANDBETWEEN(2890,3282))</f>
        <v>99788910.410577148</v>
      </c>
      <c r="B5739">
        <v>258990890.31077117</v>
      </c>
    </row>
    <row r="5740" spans="1:2" x14ac:dyDescent="0.25">
      <c r="A5740">
        <f ca="1">28757.5875178942*(RANDBETWEEN(2890,3282))</f>
        <v>93318371.495566592</v>
      </c>
      <c r="B5740">
        <v>207441536.36632764</v>
      </c>
    </row>
    <row r="5741" spans="1:2" x14ac:dyDescent="0.25">
      <c r="A5741">
        <f ca="1">32850.7449408778*(RANDBETWEEN(2890,3282))</f>
        <v>95300011.073486432</v>
      </c>
      <c r="B5741">
        <v>217984936.55244425</v>
      </c>
    </row>
    <row r="5742" spans="1:2" x14ac:dyDescent="0.25">
      <c r="A5742">
        <f ca="1">38429.430990236*(RANDBETWEEN(2890,3282))</f>
        <v>111214773.28574295</v>
      </c>
      <c r="B5742">
        <v>251357043.87114087</v>
      </c>
    </row>
    <row r="5743" spans="1:2" x14ac:dyDescent="0.25">
      <c r="A5743">
        <f ca="1">31570.1876437252*(RANDBETWEEN(2890,3282))</f>
        <v>100109065.01825257</v>
      </c>
      <c r="B5743">
        <v>245874471.7537412</v>
      </c>
    </row>
    <row r="5744" spans="1:2" x14ac:dyDescent="0.25">
      <c r="A5744">
        <f ca="1">30677.552203414*(RANDBETWEEN(2890,3282))</f>
        <v>89118289.150917649</v>
      </c>
      <c r="B5744">
        <v>227954207.12720746</v>
      </c>
    </row>
    <row r="5745" spans="1:2" x14ac:dyDescent="0.25">
      <c r="A5745">
        <f ca="1">34789.4978354521*(RANDBETWEEN(2890,3282))</f>
        <v>112300499.01283938</v>
      </c>
      <c r="B5745">
        <v>265838222.41071784</v>
      </c>
    </row>
    <row r="5746" spans="1:2" x14ac:dyDescent="0.25">
      <c r="A5746">
        <f ca="1">35209.5950504109*(RANDBETWEEN(2890,3282))</f>
        <v>101931777.67093943</v>
      </c>
      <c r="B5746">
        <v>220423856.28715158</v>
      </c>
    </row>
    <row r="5747" spans="1:2" x14ac:dyDescent="0.25">
      <c r="A5747">
        <f ca="1">31832.9268537304*(RANDBETWEEN(2890,3282))</f>
        <v>103966339.10428363</v>
      </c>
      <c r="B5747">
        <v>207684025.01127711</v>
      </c>
    </row>
    <row r="5748" spans="1:2" x14ac:dyDescent="0.25">
      <c r="A5748">
        <f ca="1">39780.7622144039*(RANDBETWEEN(2890,3282))</f>
        <v>130441119.3010304</v>
      </c>
      <c r="B5748">
        <v>241516804.4063971</v>
      </c>
    </row>
    <row r="5749" spans="1:2" x14ac:dyDescent="0.25">
      <c r="A5749">
        <f ca="1">29334.2580514151*(RANDBETWEEN(2890,3282))</f>
        <v>85421359.445720673</v>
      </c>
      <c r="B5749">
        <v>251699601.49827939</v>
      </c>
    </row>
    <row r="5750" spans="1:2" x14ac:dyDescent="0.25">
      <c r="A5750">
        <f ca="1">29978.7251861149*(RANDBETWEEN(2890,3282))</f>
        <v>88946877.627202764</v>
      </c>
      <c r="B5750">
        <v>239697229.5639523</v>
      </c>
    </row>
    <row r="5751" spans="1:2" x14ac:dyDescent="0.25">
      <c r="A5751">
        <f ca="1">30098.3310421334*(RANDBETWEEN(2890,3282))</f>
        <v>96435052.658995286</v>
      </c>
      <c r="B5751">
        <v>214502726.81176522</v>
      </c>
    </row>
    <row r="5752" spans="1:2" x14ac:dyDescent="0.25">
      <c r="A5752">
        <f ca="1">35591.2725255933*(RANDBETWEEN(2890,3282))</f>
        <v>115885183.34333175</v>
      </c>
      <c r="B5752">
        <v>241870833.82449788</v>
      </c>
    </row>
    <row r="5753" spans="1:2" x14ac:dyDescent="0.25">
      <c r="A5753">
        <f ca="1">32245.3268536179*(RANDBETWEEN(2890,3282))</f>
        <v>103088309.95101653</v>
      </c>
      <c r="B5753">
        <v>256462465.41102317</v>
      </c>
    </row>
    <row r="5754" spans="1:2" x14ac:dyDescent="0.25">
      <c r="A5754">
        <f ca="1">31833.5070220851*(RANDBETWEEN(2890,3282))</f>
        <v>94991184.953901887</v>
      </c>
      <c r="B5754">
        <v>248160904.65342635</v>
      </c>
    </row>
    <row r="5755" spans="1:2" x14ac:dyDescent="0.25">
      <c r="A5755">
        <f ca="1">31697.9259413242*(RANDBETWEEN(2890,3282))</f>
        <v>103842405.38377813</v>
      </c>
      <c r="B5755">
        <v>264842734.39794669</v>
      </c>
    </row>
    <row r="5756" spans="1:2" x14ac:dyDescent="0.25">
      <c r="A5756">
        <f ca="1">36652.9877630228*(RANDBETWEEN(2890,3282))</f>
        <v>119452087.11969131</v>
      </c>
      <c r="B5756">
        <v>206182085.63205051</v>
      </c>
    </row>
    <row r="5757" spans="1:2" x14ac:dyDescent="0.25">
      <c r="A5757">
        <f ca="1">38517.8167659835*(RANDBETWEEN(2890,3282))</f>
        <v>120522248.66076265</v>
      </c>
      <c r="B5757">
        <v>234021076.84865591</v>
      </c>
    </row>
    <row r="5758" spans="1:2" x14ac:dyDescent="0.25">
      <c r="A5758">
        <f ca="1">30822.1554718839*(RANDBETWEEN(2890,3282))</f>
        <v>101096669.94777906</v>
      </c>
      <c r="B5758">
        <v>215854753.50330493</v>
      </c>
    </row>
    <row r="5759" spans="1:2" x14ac:dyDescent="0.25">
      <c r="A5759">
        <f ca="1">31840.5800171121*(RANDBETWEEN(2890,3282))</f>
        <v>104468943.03614466</v>
      </c>
      <c r="B5759">
        <v>262440872.44976756</v>
      </c>
    </row>
    <row r="5760" spans="1:2" x14ac:dyDescent="0.25">
      <c r="A5760">
        <f ca="1">34944.8570153034*(RANDBETWEEN(2890,3282))</f>
        <v>106092585.89846109</v>
      </c>
      <c r="B5760">
        <v>256404517.17884961</v>
      </c>
    </row>
    <row r="5761" spans="1:2" x14ac:dyDescent="0.25">
      <c r="A5761">
        <f ca="1">35266.5131324408*(RANDBETWEEN(2890,3282))</f>
        <v>114369302.08850557</v>
      </c>
      <c r="B5761">
        <v>213394927.81962392</v>
      </c>
    </row>
    <row r="5762" spans="1:2" x14ac:dyDescent="0.25">
      <c r="A5762">
        <f ca="1">39339.1594531628*(RANDBETWEEN(2890,3282))</f>
        <v>123997030.59636916</v>
      </c>
      <c r="B5762">
        <v>214185542.01826388</v>
      </c>
    </row>
    <row r="5763" spans="1:2" x14ac:dyDescent="0.25">
      <c r="A5763">
        <f ca="1">28265.8386881618*(RANDBETWEEN(2890,3282))</f>
        <v>91213861.446698174</v>
      </c>
      <c r="B5763">
        <v>208845491.96550488</v>
      </c>
    </row>
    <row r="5764" spans="1:2" x14ac:dyDescent="0.25">
      <c r="A5764">
        <f ca="1">31332.6662298023*(RANDBETWEEN(2890,3282))</f>
        <v>100953850.59242299</v>
      </c>
      <c r="B5764">
        <v>225787365.90529418</v>
      </c>
    </row>
    <row r="5765" spans="1:2" x14ac:dyDescent="0.25">
      <c r="A5765">
        <f ca="1">30066.5979320656*(RANDBETWEEN(2890,3282))</f>
        <v>89508262.043759286</v>
      </c>
      <c r="B5765">
        <v>265732498.13965243</v>
      </c>
    </row>
    <row r="5766" spans="1:2" x14ac:dyDescent="0.25">
      <c r="A5766">
        <f ca="1">38176.7597303306*(RANDBETWEEN(2890,3282))</f>
        <v>118118894.60564302</v>
      </c>
      <c r="B5766">
        <v>249983378.44406974</v>
      </c>
    </row>
    <row r="5767" spans="1:2" x14ac:dyDescent="0.25">
      <c r="A5767">
        <f ca="1">33713.0339270663*(RANDBETWEEN(2890,3282))</f>
        <v>110511325.21292344</v>
      </c>
      <c r="B5767">
        <v>230788488.37772277</v>
      </c>
    </row>
    <row r="5768" spans="1:2" x14ac:dyDescent="0.25">
      <c r="A5768">
        <f ca="1">32041.4423483792*(RANDBETWEEN(2890,3282))</f>
        <v>99168264.068233669</v>
      </c>
      <c r="B5768">
        <v>243040530.14003262</v>
      </c>
    </row>
    <row r="5769" spans="1:2" x14ac:dyDescent="0.25">
      <c r="A5769">
        <f ca="1">32749.1529125437*(RANDBETWEEN(2890,3282))</f>
        <v>100474401.13568419</v>
      </c>
      <c r="B5769">
        <v>263440780.32832503</v>
      </c>
    </row>
    <row r="5770" spans="1:2" x14ac:dyDescent="0.25">
      <c r="A5770">
        <f ca="1">32192.8298859092*(RANDBETWEEN(2890,3282))</f>
        <v>94453762.885257512</v>
      </c>
      <c r="B5770">
        <v>244536460.21619403</v>
      </c>
    </row>
    <row r="5771" spans="1:2" x14ac:dyDescent="0.25">
      <c r="A5771">
        <f ca="1">28683.0025794962*(RANDBETWEEN(2890,3282))</f>
        <v>84184612.570821226</v>
      </c>
      <c r="B5771">
        <v>207031386.70421204</v>
      </c>
    </row>
    <row r="5772" spans="1:2" x14ac:dyDescent="0.25">
      <c r="A5772">
        <f ca="1">31360.621137679*(RANDBETWEEN(2890,3282))</f>
        <v>95148124.531718209</v>
      </c>
      <c r="B5772">
        <v>251326509.51078478</v>
      </c>
    </row>
    <row r="5773" spans="1:2" x14ac:dyDescent="0.25">
      <c r="A5773">
        <f ca="1">35479.1585809561*(RANDBETWEEN(2890,3282))</f>
        <v>107324454.7073921</v>
      </c>
      <c r="B5773">
        <v>205919702.23482782</v>
      </c>
    </row>
    <row r="5774" spans="1:2" x14ac:dyDescent="0.25">
      <c r="A5774">
        <f ca="1">34646.3072982662*(RANDBETWEEN(2890,3282))</f>
        <v>112843022.8704531</v>
      </c>
      <c r="B5774">
        <v>228620058.61258808</v>
      </c>
    </row>
    <row r="5775" spans="1:2" x14ac:dyDescent="0.25">
      <c r="A5775">
        <f ca="1">39363.3612444953*(RANDBETWEEN(2890,3282))</f>
        <v>120924245.74308965</v>
      </c>
      <c r="B5775">
        <v>223495317.0387485</v>
      </c>
    </row>
    <row r="5776" spans="1:2" x14ac:dyDescent="0.25">
      <c r="A5776">
        <f ca="1">35718.4529541778*(RANDBETWEEN(2890,3282))</f>
        <v>104440756.43801583</v>
      </c>
      <c r="B5776">
        <v>240053106.59514463</v>
      </c>
    </row>
    <row r="5777" spans="1:2" x14ac:dyDescent="0.25">
      <c r="A5777">
        <f ca="1">32205.2922892169*(RANDBETWEEN(2890,3282))</f>
        <v>96873519.20596458</v>
      </c>
      <c r="B5777">
        <v>205417842.05659771</v>
      </c>
    </row>
    <row r="5778" spans="1:2" x14ac:dyDescent="0.25">
      <c r="A5778">
        <f ca="1">30786.483033752*(RANDBETWEEN(2890,3282))</f>
        <v>90050462.87372458</v>
      </c>
      <c r="B5778">
        <v>231137375.08087051</v>
      </c>
    </row>
    <row r="5779" spans="1:2" x14ac:dyDescent="0.25">
      <c r="A5779">
        <f ca="1">33244.1054577136*(RANDBETWEEN(2890,3282))</f>
        <v>103621876.71169344</v>
      </c>
      <c r="B5779">
        <v>249551154.68931121</v>
      </c>
    </row>
    <row r="5780" spans="1:2" x14ac:dyDescent="0.25">
      <c r="A5780">
        <f ca="1">39721.0738647712*(RANDBETWEEN(2890,3282))</f>
        <v>118924895.15112488</v>
      </c>
      <c r="B5780">
        <v>223922843.26957715</v>
      </c>
    </row>
    <row r="5781" spans="1:2" x14ac:dyDescent="0.25">
      <c r="A5781">
        <f ca="1">30154.7553745275*(RANDBETWEEN(2890,3282))</f>
        <v>98696514.340828657</v>
      </c>
      <c r="B5781">
        <v>212146030.51993293</v>
      </c>
    </row>
    <row r="5782" spans="1:2" x14ac:dyDescent="0.25">
      <c r="A5782">
        <f ca="1">29481.0463764622*(RANDBETWEEN(2890,3282))</f>
        <v>92482042.482961804</v>
      </c>
      <c r="B5782">
        <v>259391521.93117586</v>
      </c>
    </row>
    <row r="5783" spans="1:2" x14ac:dyDescent="0.25">
      <c r="A5783">
        <f ca="1">34035.0560240032*(RANDBETWEEN(2890,3282))</f>
        <v>110716037.24608237</v>
      </c>
      <c r="B5783">
        <v>252131498.27447006</v>
      </c>
    </row>
    <row r="5784" spans="1:2" x14ac:dyDescent="0.25">
      <c r="A5784">
        <f ca="1">31249.7357089074*(RANDBETWEEN(2890,3282))</f>
        <v>96124187.040599301</v>
      </c>
      <c r="B5784">
        <v>209504524.14657119</v>
      </c>
    </row>
    <row r="5785" spans="1:2" x14ac:dyDescent="0.25">
      <c r="A5785">
        <f ca="1">34646.217539117*(RANDBETWEEN(2890,3282))</f>
        <v>107368628.15372358</v>
      </c>
      <c r="B5785">
        <v>261002999.99882814</v>
      </c>
    </row>
    <row r="5786" spans="1:2" x14ac:dyDescent="0.25">
      <c r="A5786">
        <f ca="1">37306.3499655042*(RANDBETWEEN(2890,3282))</f>
        <v>120574123.08850968</v>
      </c>
      <c r="B5786">
        <v>239193838.39029533</v>
      </c>
    </row>
    <row r="5787" spans="1:2" x14ac:dyDescent="0.25">
      <c r="A5787">
        <f ca="1">31674.30682838*(RANDBETWEEN(2890,3282))</f>
        <v>96163195.530961797</v>
      </c>
      <c r="B5787">
        <v>240281063.09995562</v>
      </c>
    </row>
    <row r="5788" spans="1:2" x14ac:dyDescent="0.25">
      <c r="A5788">
        <f ca="1">31822.951288304*(RANDBETWEEN(2890,3282))</f>
        <v>103901935.95631245</v>
      </c>
      <c r="B5788">
        <v>235653236.07468775</v>
      </c>
    </row>
    <row r="5789" spans="1:2" x14ac:dyDescent="0.25">
      <c r="A5789">
        <f ca="1">32036.8813430003*(RANDBETWEEN(2890,3282))</f>
        <v>101108397.51850903</v>
      </c>
      <c r="B5789">
        <v>229888981.64580789</v>
      </c>
    </row>
    <row r="5790" spans="1:2" x14ac:dyDescent="0.25">
      <c r="A5790">
        <f ca="1">32565.8650089902*(RANDBETWEEN(2890,3282))</f>
        <v>99586415.197491989</v>
      </c>
      <c r="B5790">
        <v>241226082.04980811</v>
      </c>
    </row>
    <row r="5791" spans="1:2" x14ac:dyDescent="0.25">
      <c r="A5791">
        <f ca="1">29015.5339073195*(RANDBETWEEN(2890,3282))</f>
        <v>94358516.266603157</v>
      </c>
      <c r="B5791">
        <v>253743868.33965239</v>
      </c>
    </row>
    <row r="5792" spans="1:2" x14ac:dyDescent="0.25">
      <c r="A5792">
        <f ca="1">35007.3054765657*(RANDBETWEEN(2890,3282))</f>
        <v>104566821.4585017</v>
      </c>
      <c r="B5792">
        <v>229860124.45338377</v>
      </c>
    </row>
    <row r="5793" spans="1:2" x14ac:dyDescent="0.25">
      <c r="A5793">
        <f ca="1">32195.0762805276*(RANDBETWEEN(2890,3282))</f>
        <v>96939374.680668458</v>
      </c>
      <c r="B5793">
        <v>226595722.06543463</v>
      </c>
    </row>
    <row r="5794" spans="1:2" x14ac:dyDescent="0.25">
      <c r="A5794">
        <f ca="1">33598.101668687*(RANDBETWEEN(2890,3282))</f>
        <v>102742994.90284476</v>
      </c>
      <c r="B5794">
        <v>236859172.67717683</v>
      </c>
    </row>
    <row r="5795" spans="1:2" x14ac:dyDescent="0.25">
      <c r="A5795">
        <f ca="1">31521.2822136325*(RANDBETWEEN(2890,3282))</f>
        <v>102002869.24331464</v>
      </c>
      <c r="B5795">
        <v>250902324.00338206</v>
      </c>
    </row>
    <row r="5796" spans="1:2" x14ac:dyDescent="0.25">
      <c r="A5796">
        <f ca="1">31881.0389182365*(RANDBETWEEN(2890,3282))</f>
        <v>103772781.67885995</v>
      </c>
      <c r="B5796">
        <v>214196067.71074355</v>
      </c>
    </row>
    <row r="5797" spans="1:2" x14ac:dyDescent="0.25">
      <c r="A5797">
        <f ca="1">30280.1603303404*(RANDBETWEEN(2890,3282))</f>
        <v>92778411.252162874</v>
      </c>
      <c r="B5797">
        <v>220859704.69572759</v>
      </c>
    </row>
    <row r="5798" spans="1:2" x14ac:dyDescent="0.25">
      <c r="A5798">
        <f ca="1">33903.8344602461*(RANDBETWEEN(2890,3282))</f>
        <v>108933020.12077077</v>
      </c>
      <c r="B5798">
        <v>257856216.54462755</v>
      </c>
    </row>
    <row r="5799" spans="1:2" x14ac:dyDescent="0.25">
      <c r="A5799">
        <f ca="1">32696.0988204234*(RANDBETWEEN(2890,3282))</f>
        <v>96813148.607273757</v>
      </c>
      <c r="B5799">
        <v>221591553.17851368</v>
      </c>
    </row>
    <row r="5800" spans="1:2" x14ac:dyDescent="0.25">
      <c r="A5800">
        <f ca="1">35865.0364589769*(RANDBETWEEN(2890,3282))</f>
        <v>103649955.36644316</v>
      </c>
      <c r="B5800">
        <v>217001468.38267094</v>
      </c>
    </row>
    <row r="5801" spans="1:2" x14ac:dyDescent="0.25">
      <c r="A5801">
        <f ca="1">28894.1927412625*(RANDBETWEEN(2890,3282))</f>
        <v>88185076.246333033</v>
      </c>
      <c r="B5801">
        <v>259499649.40100953</v>
      </c>
    </row>
    <row r="5802" spans="1:2" x14ac:dyDescent="0.25">
      <c r="A5802">
        <f ca="1">36732.2881902924*(RANDBETWEEN(2890,3282))</f>
        <v>109719344.82440354</v>
      </c>
      <c r="B5802">
        <v>217499847.82049882</v>
      </c>
    </row>
    <row r="5803" spans="1:2" x14ac:dyDescent="0.25">
      <c r="A5803">
        <f ca="1">31128.386676221*(RANDBETWEEN(2890,3282))</f>
        <v>93758700.668777719</v>
      </c>
      <c r="B5803">
        <v>203937642.6321702</v>
      </c>
    </row>
    <row r="5804" spans="1:2" x14ac:dyDescent="0.25">
      <c r="A5804">
        <f ca="1">40327.3598869499*(RANDBETWEEN(2890,3282))</f>
        <v>130579991.31394367</v>
      </c>
      <c r="B5804">
        <v>223430567.91773301</v>
      </c>
    </row>
    <row r="5805" spans="1:2" x14ac:dyDescent="0.25">
      <c r="A5805">
        <f ca="1">41288.0339926915*(RANDBETWEEN(2890,3282))</f>
        <v>131584964.33470792</v>
      </c>
      <c r="B5805">
        <v>229601904.51791477</v>
      </c>
    </row>
    <row r="5806" spans="1:2" x14ac:dyDescent="0.25">
      <c r="A5806">
        <f ca="1">40738.9795324541*(RANDBETWEEN(2890,3282))</f>
        <v>127431527.97751631</v>
      </c>
      <c r="B5806">
        <v>206471854.36021459</v>
      </c>
    </row>
    <row r="5807" spans="1:2" x14ac:dyDescent="0.25">
      <c r="A5807">
        <f ca="1">31618.5904188953*(RANDBETWEEN(2890,3282))</f>
        <v>96499937.958468482</v>
      </c>
      <c r="B5807">
        <v>225455892.8870104</v>
      </c>
    </row>
    <row r="5808" spans="1:2" x14ac:dyDescent="0.25">
      <c r="A5808">
        <f ca="1">32321.6202970516*(RANDBETWEEN(2890,3282))</f>
        <v>97417363.575313568</v>
      </c>
      <c r="B5808">
        <v>206443651.87436649</v>
      </c>
    </row>
    <row r="5809" spans="1:2" x14ac:dyDescent="0.25">
      <c r="A5809">
        <f ca="1">32935.7947447463*(RANDBETWEEN(2890,3282))</f>
        <v>101705734.1717765</v>
      </c>
      <c r="B5809">
        <v>246573562.7084212</v>
      </c>
    </row>
    <row r="5810" spans="1:2" x14ac:dyDescent="0.25">
      <c r="A5810">
        <f ca="1">31452.3594796984*(RANDBETWEEN(2890,3282))</f>
        <v>98037004.498219877</v>
      </c>
      <c r="B5810">
        <v>245627500.33815619</v>
      </c>
    </row>
    <row r="5811" spans="1:2" x14ac:dyDescent="0.25">
      <c r="A5811">
        <f ca="1">36841.7667136849*(RANDBETWEEN(2890,3282))</f>
        <v>117488394.04994102</v>
      </c>
      <c r="B5811">
        <v>245253215.46220943</v>
      </c>
    </row>
    <row r="5812" spans="1:2" x14ac:dyDescent="0.25">
      <c r="A5812">
        <f ca="1">33309.8129508461*(RANDBETWEEN(2890,3282))</f>
        <v>108323511.71615158</v>
      </c>
      <c r="B5812">
        <v>229153854.61199546</v>
      </c>
    </row>
    <row r="5813" spans="1:2" x14ac:dyDescent="0.25">
      <c r="A5813">
        <f ca="1">41255.4562687269*(RANDBETWEEN(2890,3282))</f>
        <v>134740320.17366219</v>
      </c>
      <c r="B5813">
        <v>259787494.56704938</v>
      </c>
    </row>
    <row r="5814" spans="1:2" x14ac:dyDescent="0.25">
      <c r="A5814">
        <f ca="1">32676.9490056565*(RANDBETWEEN(2890,3282))</f>
        <v>99468632.773218527</v>
      </c>
      <c r="B5814">
        <v>226505113.03582609</v>
      </c>
    </row>
    <row r="5815" spans="1:2" x14ac:dyDescent="0.25">
      <c r="A5815">
        <f ca="1">32120.3105866907*(RANDBETWEEN(2890,3282))</f>
        <v>104904934.37613195</v>
      </c>
      <c r="B5815">
        <v>239960237.65964532</v>
      </c>
    </row>
    <row r="5816" spans="1:2" x14ac:dyDescent="0.25">
      <c r="A5816">
        <f ca="1">34427.9056715812*(RANDBETWEEN(2890,3282))</f>
        <v>103042721.67504245</v>
      </c>
      <c r="B5816">
        <v>216403390.76975948</v>
      </c>
    </row>
    <row r="5817" spans="1:2" x14ac:dyDescent="0.25">
      <c r="A5817">
        <f ca="1">30913.5384390353*(RANDBETWEEN(2890,3282))</f>
        <v>94533600.546569839</v>
      </c>
      <c r="B5817">
        <v>261402623.39565083</v>
      </c>
    </row>
    <row r="5818" spans="1:2" x14ac:dyDescent="0.25">
      <c r="A5818">
        <f ca="1">40363.2680585601*(RANDBETWEEN(2890,3282))</f>
        <v>121210893.97985604</v>
      </c>
      <c r="B5818">
        <v>244600965.08262339</v>
      </c>
    </row>
    <row r="5819" spans="1:2" x14ac:dyDescent="0.25">
      <c r="A5819">
        <f ca="1">33165.1294695826*(RANDBETWEEN(2890,3282))</f>
        <v>107123368.18675177</v>
      </c>
      <c r="B5819">
        <v>223756987.1258873</v>
      </c>
    </row>
    <row r="5820" spans="1:2" x14ac:dyDescent="0.25">
      <c r="A5820">
        <f ca="1">29114.3452593747*(RANDBETWEEN(2890,3282))</f>
        <v>86440491.075083375</v>
      </c>
      <c r="B5820">
        <v>243508771.38354117</v>
      </c>
    </row>
    <row r="5821" spans="1:2" x14ac:dyDescent="0.25">
      <c r="A5821">
        <f ca="1">29609.7464352105*(RANDBETWEEN(2890,3282))</f>
        <v>93211481.778042644</v>
      </c>
      <c r="B5821">
        <v>210779887.34935454</v>
      </c>
    </row>
    <row r="5822" spans="1:2" x14ac:dyDescent="0.25">
      <c r="A5822">
        <f ca="1">31017.7788539725*(RANDBETWEEN(2890,3282))</f>
        <v>92681123.215669915</v>
      </c>
      <c r="B5822">
        <v>243396566.62125593</v>
      </c>
    </row>
    <row r="5823" spans="1:2" x14ac:dyDescent="0.25">
      <c r="A5823">
        <f ca="1">32549.5328928477*(RANDBETWEEN(2890,3282))</f>
        <v>97648598.678543136</v>
      </c>
      <c r="B5823">
        <v>219240791.9127686</v>
      </c>
    </row>
    <row r="5824" spans="1:2" x14ac:dyDescent="0.25">
      <c r="A5824">
        <f ca="1">32943.0246651206*(RANDBETWEEN(2890,3282))</f>
        <v>103375211.39914839</v>
      </c>
      <c r="B5824">
        <v>265666340.22805145</v>
      </c>
    </row>
    <row r="5825" spans="1:2" x14ac:dyDescent="0.25">
      <c r="A5825">
        <f ca="1">39697.161714934*(RANDBETWEEN(2890,3282))</f>
        <v>126951523.16435882</v>
      </c>
      <c r="B5825">
        <v>252429358.91412979</v>
      </c>
    </row>
    <row r="5826" spans="1:2" x14ac:dyDescent="0.25">
      <c r="A5826">
        <f ca="1">30063.823107111*(RANDBETWEEN(2890,3282))</f>
        <v>96534935.996933311</v>
      </c>
      <c r="B5826">
        <v>204962041.08936062</v>
      </c>
    </row>
    <row r="5827" spans="1:2" x14ac:dyDescent="0.25">
      <c r="A5827">
        <f ca="1">37742.7377531844*(RANDBETWEEN(2890,3282))</f>
        <v>117417657.15015671</v>
      </c>
      <c r="B5827">
        <v>238268233.74458352</v>
      </c>
    </row>
    <row r="5828" spans="1:2" x14ac:dyDescent="0.25">
      <c r="A5828">
        <f ca="1">38936.3055800544*(RANDBETWEEN(2890,3282))</f>
        <v>123817451.744573</v>
      </c>
      <c r="B5828">
        <v>247458967.07703266</v>
      </c>
    </row>
    <row r="5829" spans="1:2" x14ac:dyDescent="0.25">
      <c r="A5829">
        <f ca="1">30954.426827518*(RANDBETWEEN(2890,3282))</f>
        <v>95618224.470203087</v>
      </c>
      <c r="B5829">
        <v>263561981.57721144</v>
      </c>
    </row>
    <row r="5830" spans="1:2" x14ac:dyDescent="0.25">
      <c r="A5830">
        <f ca="1">30780.8890854704*(RANDBETWEEN(2890,3282))</f>
        <v>90834403.691223234</v>
      </c>
      <c r="B5830">
        <v>222280451.66322178</v>
      </c>
    </row>
    <row r="5831" spans="1:2" x14ac:dyDescent="0.25">
      <c r="A5831">
        <f ca="1">34726.2989437741*(RANDBETWEEN(2890,3282))</f>
        <v>102303676.68835856</v>
      </c>
      <c r="B5831">
        <v>261349818.32783216</v>
      </c>
    </row>
    <row r="5832" spans="1:2" x14ac:dyDescent="0.25">
      <c r="A5832">
        <f ca="1">31692.3451642945*(RANDBETWEEN(2890,3282))</f>
        <v>93429033.544340223</v>
      </c>
      <c r="B5832">
        <v>234027179.6597375</v>
      </c>
    </row>
    <row r="5833" spans="1:2" x14ac:dyDescent="0.25">
      <c r="A5833">
        <f ca="1">29788.7125565023*(RANDBETWEEN(2890,3282))</f>
        <v>94191909.103660181</v>
      </c>
      <c r="B5833">
        <v>244398429.38995665</v>
      </c>
    </row>
    <row r="5834" spans="1:2" x14ac:dyDescent="0.25">
      <c r="A5834">
        <f ca="1">39099.8838427287*(RANDBETWEEN(2890,3282))</f>
        <v>124024831.54913545</v>
      </c>
      <c r="B5834">
        <v>253247342.47995102</v>
      </c>
    </row>
    <row r="5835" spans="1:2" x14ac:dyDescent="0.25">
      <c r="A5835">
        <f ca="1">32173.8564502714*(RANDBETWEEN(2890,3282))</f>
        <v>93625922.270289719</v>
      </c>
      <c r="B5835">
        <v>258565056.96483043</v>
      </c>
    </row>
    <row r="5836" spans="1:2" x14ac:dyDescent="0.25">
      <c r="A5836">
        <f ca="1">35802.5692509651*(RANDBETWEEN(2890,3282))</f>
        <v>113637354.80256326</v>
      </c>
      <c r="B5836">
        <v>241861230.43845296</v>
      </c>
    </row>
    <row r="5837" spans="1:2" x14ac:dyDescent="0.25">
      <c r="A5837">
        <f ca="1">41156.7581513134*(RANDBETWEEN(2890,3282))</f>
        <v>129396847.62772942</v>
      </c>
      <c r="B5837">
        <v>258093341.10762602</v>
      </c>
    </row>
    <row r="5838" spans="1:2" x14ac:dyDescent="0.25">
      <c r="A5838">
        <f ca="1">31475.3197860665*(RANDBETWEEN(2890,3282))</f>
        <v>100752498.63519891</v>
      </c>
      <c r="B5838">
        <v>203701691.72592473</v>
      </c>
    </row>
    <row r="5839" spans="1:2" x14ac:dyDescent="0.25">
      <c r="A5839">
        <f ca="1">33884.4781624383*(RANDBETWEEN(2890,3282))</f>
        <v>108362561.16347779</v>
      </c>
      <c r="B5839">
        <v>250032106.75856507</v>
      </c>
    </row>
    <row r="5840" spans="1:2" x14ac:dyDescent="0.25">
      <c r="A5840">
        <f ca="1">31888.0182513644*(RANDBETWEEN(2890,3282))</f>
        <v>104146267.6089562</v>
      </c>
      <c r="B5840">
        <v>233654895.96236005</v>
      </c>
    </row>
    <row r="5841" spans="1:2" x14ac:dyDescent="0.25">
      <c r="A5841">
        <f ca="1">39256.6985533587*(RANDBETWEEN(2890,3282))</f>
        <v>120949888.24289824</v>
      </c>
      <c r="B5841">
        <v>221185664.9976989</v>
      </c>
    </row>
    <row r="5842" spans="1:2" x14ac:dyDescent="0.25">
      <c r="A5842">
        <f ca="1">31860.3558789195*(RANDBETWEEN(2890,3282))</f>
        <v>95421765.85736376</v>
      </c>
      <c r="B5842">
        <v>245770092.28837961</v>
      </c>
    </row>
    <row r="5843" spans="1:2" x14ac:dyDescent="0.25">
      <c r="A5843">
        <f ca="1">40996.8587765805*(RANDBETWEEN(2890,3282))</f>
        <v>131804900.96670644</v>
      </c>
      <c r="B5843">
        <v>256238338.21282679</v>
      </c>
    </row>
    <row r="5844" spans="1:2" x14ac:dyDescent="0.25">
      <c r="A5844">
        <f ca="1">30363.3890806515*(RANDBETWEEN(2890,3282))</f>
        <v>97102118.279923379</v>
      </c>
      <c r="B5844">
        <v>226958334.62608099</v>
      </c>
    </row>
    <row r="5845" spans="1:2" x14ac:dyDescent="0.25">
      <c r="A5845">
        <f ca="1">31609.4777680762*(RANDBETWEEN(2890,3282))</f>
        <v>103331382.82384099</v>
      </c>
      <c r="B5845">
        <v>249882468.41766328</v>
      </c>
    </row>
    <row r="5846" spans="1:2" x14ac:dyDescent="0.25">
      <c r="A5846">
        <f ca="1">37111.4249910372*(RANDBETWEEN(2890,3282))</f>
        <v>117643217.22158779</v>
      </c>
      <c r="B5846">
        <v>266131640.80817279</v>
      </c>
    </row>
    <row r="5847" spans="1:2" x14ac:dyDescent="0.25">
      <c r="A5847">
        <f ca="1">37829.249763431*(RANDBETWEEN(2890,3282))</f>
        <v>111974579.29975583</v>
      </c>
      <c r="B5847">
        <v>214778436.19308949</v>
      </c>
    </row>
    <row r="5848" spans="1:2" x14ac:dyDescent="0.25">
      <c r="A5848">
        <f ca="1">31820.0535731678*(RANDBETWEEN(2890,3282))</f>
        <v>101919631.59485643</v>
      </c>
      <c r="B5848">
        <v>209889800.79312289</v>
      </c>
    </row>
    <row r="5849" spans="1:2" x14ac:dyDescent="0.25">
      <c r="A5849">
        <f ca="1">38780.9824374645*(RANDBETWEEN(2890,3282))</f>
        <v>122547904.50238781</v>
      </c>
      <c r="B5849">
        <v>255176104.07670724</v>
      </c>
    </row>
    <row r="5850" spans="1:2" x14ac:dyDescent="0.25">
      <c r="A5850">
        <f ca="1">37630.8896690274*(RANDBETWEEN(2890,3282))</f>
        <v>118236255.34008418</v>
      </c>
      <c r="B5850">
        <v>218444447.58921087</v>
      </c>
    </row>
    <row r="5851" spans="1:2" x14ac:dyDescent="0.25">
      <c r="A5851">
        <f ca="1">31597.2958131362*(RANDBETWEEN(2890,3282))</f>
        <v>92422090.253423482</v>
      </c>
      <c r="B5851">
        <v>252299390.71017107</v>
      </c>
    </row>
    <row r="5852" spans="1:2" x14ac:dyDescent="0.25">
      <c r="A5852">
        <f ca="1">39782.9562612754*(RANDBETWEEN(2890,3282))</f>
        <v>116643627.75805932</v>
      </c>
      <c r="B5852">
        <v>263278907.53570735</v>
      </c>
    </row>
    <row r="5853" spans="1:2" x14ac:dyDescent="0.25">
      <c r="A5853">
        <f ca="1">29435.2661912099*(RANDBETWEEN(2890,3282))</f>
        <v>91278760.458941758</v>
      </c>
      <c r="B5853">
        <v>227663119.38488096</v>
      </c>
    </row>
    <row r="5854" spans="1:2" x14ac:dyDescent="0.25">
      <c r="A5854">
        <f ca="1">34077.457068902*(RANDBETWEEN(2890,3282))</f>
        <v>110649503.10272488</v>
      </c>
      <c r="B5854">
        <v>215920859.86618042</v>
      </c>
    </row>
    <row r="5855" spans="1:2" x14ac:dyDescent="0.25">
      <c r="A5855">
        <f ca="1">38625.8549323033*(RANDBETWEEN(2890,3282))</f>
        <v>123293728.94391209</v>
      </c>
      <c r="B5855">
        <v>226126371.0046809</v>
      </c>
    </row>
    <row r="5856" spans="1:2" x14ac:dyDescent="0.25">
      <c r="A5856">
        <f ca="1">31382.3101391746*(RANDBETWEEN(2890,3282))</f>
        <v>98038336.874781325</v>
      </c>
      <c r="B5856">
        <v>252474823.09421098</v>
      </c>
    </row>
    <row r="5857" spans="1:2" x14ac:dyDescent="0.25">
      <c r="A5857">
        <f ca="1">33531.6433655493*(RANDBETWEEN(2890,3282))</f>
        <v>100460803.52318558</v>
      </c>
      <c r="B5857">
        <v>215153786.18500948</v>
      </c>
    </row>
    <row r="5858" spans="1:2" x14ac:dyDescent="0.25">
      <c r="A5858">
        <f ca="1">32762.7023768801*(RANDBETWEEN(2890,3282))</f>
        <v>101760953.58258966</v>
      </c>
      <c r="B5858">
        <v>239894830.28306276</v>
      </c>
    </row>
    <row r="5859" spans="1:2" x14ac:dyDescent="0.25">
      <c r="A5859">
        <f ca="1">32741.0752110072*(RANDBETWEEN(2890,3282))</f>
        <v>105557226.48028706</v>
      </c>
      <c r="B5859">
        <v>219786243.0976499</v>
      </c>
    </row>
    <row r="5860" spans="1:2" x14ac:dyDescent="0.25">
      <c r="A5860">
        <f ca="1">30173.6717613789*(RANDBETWEEN(2890,3282))</f>
        <v>93960813.864933863</v>
      </c>
      <c r="B5860">
        <v>205727631.26212394</v>
      </c>
    </row>
    <row r="5861" spans="1:2" x14ac:dyDescent="0.25">
      <c r="A5861">
        <f ca="1">37167.6313891405*(RANDBETWEEN(2890,3282))</f>
        <v>114067460.73327233</v>
      </c>
      <c r="B5861">
        <v>209951220.94345018</v>
      </c>
    </row>
    <row r="5862" spans="1:2" x14ac:dyDescent="0.25">
      <c r="A5862">
        <f ca="1">39717.4189231591*(RANDBETWEEN(2890,3282))</f>
        <v>125229021.86472064</v>
      </c>
      <c r="B5862">
        <v>214290444.13505378</v>
      </c>
    </row>
    <row r="5863" spans="1:2" x14ac:dyDescent="0.25">
      <c r="A5863">
        <f ca="1">39204.8694762266*(RANDBETWEEN(2890,3282))</f>
        <v>121652709.98473099</v>
      </c>
      <c r="B5863">
        <v>249960129.54289708</v>
      </c>
    </row>
    <row r="5864" spans="1:2" x14ac:dyDescent="0.25">
      <c r="A5864">
        <f ca="1">38487.3912355553*(RANDBETWEEN(2890,3282))</f>
        <v>114807888.05566138</v>
      </c>
      <c r="B5864">
        <v>215700540.72957435</v>
      </c>
    </row>
    <row r="5865" spans="1:2" x14ac:dyDescent="0.25">
      <c r="A5865">
        <f ca="1">35279.9946181807*(RANDBETWEEN(2890,3282))</f>
        <v>109473823.30021459</v>
      </c>
      <c r="B5865">
        <v>226325815.26103008</v>
      </c>
    </row>
    <row r="5866" spans="1:2" x14ac:dyDescent="0.25">
      <c r="A5866">
        <f ca="1">32077.7719523042*(RANDBETWEEN(2890,3282))</f>
        <v>97869282.226479977</v>
      </c>
      <c r="B5866">
        <v>258806161.53326204</v>
      </c>
    </row>
    <row r="5867" spans="1:2" x14ac:dyDescent="0.25">
      <c r="A5867">
        <f ca="1">36519.2001190121*(RANDBETWEEN(2890,3282))</f>
        <v>108315947.55298977</v>
      </c>
      <c r="B5867">
        <v>207932552.18423158</v>
      </c>
    </row>
    <row r="5868" spans="1:2" x14ac:dyDescent="0.25">
      <c r="A5868">
        <f ca="1">38837.4244832368*(RANDBETWEEN(2890,3282))</f>
        <v>114026678.28278323</v>
      </c>
      <c r="B5868">
        <v>220234681.55023253</v>
      </c>
    </row>
    <row r="5869" spans="1:2" x14ac:dyDescent="0.25">
      <c r="A5869">
        <f ca="1">36489.6027741377*(RANDBETWEEN(2890,3282))</f>
        <v>111548715.68053883</v>
      </c>
      <c r="B5869">
        <v>211105206.01305085</v>
      </c>
    </row>
    <row r="5870" spans="1:2" x14ac:dyDescent="0.25">
      <c r="A5870">
        <f ca="1">30881.5578784644*(RANDBETWEEN(2890,3282))</f>
        <v>91224121.972983867</v>
      </c>
      <c r="B5870">
        <v>204656846.4332642</v>
      </c>
    </row>
    <row r="5871" spans="1:2" x14ac:dyDescent="0.25">
      <c r="A5871">
        <f ca="1">33304.9512847283*(RANDBETWEEN(2890,3282))</f>
        <v>98915705.315643087</v>
      </c>
      <c r="B5871">
        <v>224763812.96984121</v>
      </c>
    </row>
    <row r="5872" spans="1:2" x14ac:dyDescent="0.25">
      <c r="A5872">
        <f ca="1">29978.1324800009*(RANDBETWEEN(2890,3282))</f>
        <v>97788668.149763033</v>
      </c>
      <c r="B5872">
        <v>244210457.97008324</v>
      </c>
    </row>
    <row r="5873" spans="1:2" x14ac:dyDescent="0.25">
      <c r="A5873">
        <f ca="1">33768.6933430079*(RANDBETWEEN(2890,3282))</f>
        <v>98638353.2549261</v>
      </c>
      <c r="B5873">
        <v>216047377.37260157</v>
      </c>
    </row>
    <row r="5874" spans="1:2" x14ac:dyDescent="0.25">
      <c r="A5874">
        <f ca="1">31177.3877704292*(RANDBETWEEN(2890,3282))</f>
        <v>90663843.63640815</v>
      </c>
      <c r="B5874">
        <v>211841535.16090956</v>
      </c>
    </row>
    <row r="5875" spans="1:2" x14ac:dyDescent="0.25">
      <c r="A5875">
        <f ca="1">42407.1474647503*(RANDBETWEEN(2890,3282))</f>
        <v>129087356.88269985</v>
      </c>
      <c r="B5875">
        <v>246250529.84092018</v>
      </c>
    </row>
    <row r="5876" spans="1:2" x14ac:dyDescent="0.25">
      <c r="A5876">
        <f ca="1">32610.4716801872*(RANDBETWEEN(2890,3282))</f>
        <v>95581292.494628727</v>
      </c>
      <c r="B5876">
        <v>258410329.64444214</v>
      </c>
    </row>
    <row r="5877" spans="1:2" x14ac:dyDescent="0.25">
      <c r="A5877">
        <f ca="1">37725.4593916443*(RANDBETWEEN(2890,3282))</f>
        <v>116760296.81713921</v>
      </c>
      <c r="B5877">
        <v>245465468.50349253</v>
      </c>
    </row>
    <row r="5878" spans="1:2" x14ac:dyDescent="0.25">
      <c r="A5878">
        <f ca="1">29149.6237860112*(RANDBETWEEN(2890,3282))</f>
        <v>91092574.331285089</v>
      </c>
      <c r="B5878">
        <v>220498379.52469021</v>
      </c>
    </row>
    <row r="5879" spans="1:2" x14ac:dyDescent="0.25">
      <c r="A5879">
        <f ca="1">34079.4820280949*(RANDBETWEEN(2890,3282))</f>
        <v>99205372.183784142</v>
      </c>
      <c r="B5879">
        <v>246409039.44429237</v>
      </c>
    </row>
    <row r="5880" spans="1:2" x14ac:dyDescent="0.25">
      <c r="A5880">
        <f ca="1">33192.3357125069*(RANDBETWEEN(2890,3282))</f>
        <v>104755011.50867176</v>
      </c>
      <c r="B5880">
        <v>260034746.63939679</v>
      </c>
    </row>
    <row r="5881" spans="1:2" x14ac:dyDescent="0.25">
      <c r="A5881">
        <f ca="1">29689.2851710732*(RANDBETWEEN(2890,3282))</f>
        <v>95154158.973289654</v>
      </c>
      <c r="B5881">
        <v>226885213.84252059</v>
      </c>
    </row>
    <row r="5882" spans="1:2" x14ac:dyDescent="0.25">
      <c r="A5882">
        <f ca="1">29188.5617899504*(RANDBETWEEN(2890,3282))</f>
        <v>95154711.435238302</v>
      </c>
      <c r="B5882">
        <v>248084217.3528229</v>
      </c>
    </row>
    <row r="5883" spans="1:2" x14ac:dyDescent="0.25">
      <c r="A5883">
        <f ca="1">33234.2562123642*(RANDBETWEEN(2890,3282))</f>
        <v>106814899.46653844</v>
      </c>
      <c r="B5883">
        <v>211714367.07029587</v>
      </c>
    </row>
    <row r="5884" spans="1:2" x14ac:dyDescent="0.25">
      <c r="A5884">
        <f ca="1">39579.6648589427*(RANDBETWEEN(2890,3282))</f>
        <v>126338290.22974503</v>
      </c>
      <c r="B5884">
        <v>236954886.220157</v>
      </c>
    </row>
    <row r="5885" spans="1:2" x14ac:dyDescent="0.25">
      <c r="A5885">
        <f ca="1">30606.1021111481*(RANDBETWEEN(2890,3282))</f>
        <v>99347407.452786639</v>
      </c>
      <c r="B5885">
        <v>261324443.77671009</v>
      </c>
    </row>
    <row r="5886" spans="1:2" x14ac:dyDescent="0.25">
      <c r="A5886">
        <f ca="1">32537.5998736414*(RANDBETWEEN(2890,3282))</f>
        <v>99630130.813089818</v>
      </c>
      <c r="B5886">
        <v>238154240.9211604</v>
      </c>
    </row>
    <row r="5887" spans="1:2" x14ac:dyDescent="0.25">
      <c r="A5887">
        <f ca="1">34051.7317539028*(RANDBETWEEN(2890,3282))</f>
        <v>108727179.49021174</v>
      </c>
      <c r="B5887">
        <v>249935544.79741555</v>
      </c>
    </row>
    <row r="5888" spans="1:2" x14ac:dyDescent="0.25">
      <c r="A5888">
        <f ca="1">34218.3189825477*(RANDBETWEEN(2890,3282))</f>
        <v>106213662.12182797</v>
      </c>
      <c r="B5888">
        <v>222242478.25492212</v>
      </c>
    </row>
    <row r="5889" spans="1:2" x14ac:dyDescent="0.25">
      <c r="A5889">
        <f ca="1">36502.930034836*(RANDBETWEEN(2890,3282))</f>
        <v>117028393.69168423</v>
      </c>
      <c r="B5889">
        <v>209564455.29392245</v>
      </c>
    </row>
    <row r="5890" spans="1:2" x14ac:dyDescent="0.25">
      <c r="A5890">
        <f ca="1">32594.713236942*(RANDBETWEEN(2890,3282))</f>
        <v>95404725.644529313</v>
      </c>
      <c r="B5890">
        <v>261604269.03476045</v>
      </c>
    </row>
    <row r="5891" spans="1:2" x14ac:dyDescent="0.25">
      <c r="A5891">
        <f ca="1">33350.9126118803*(RANDBETWEEN(2890,3282))</f>
        <v>104821918.33913982</v>
      </c>
      <c r="B5891">
        <v>243760363.08602202</v>
      </c>
    </row>
    <row r="5892" spans="1:2" x14ac:dyDescent="0.25">
      <c r="A5892">
        <f ca="1">31549.413091557*(RANDBETWEEN(2890,3282))</f>
        <v>102220098.41664469</v>
      </c>
      <c r="B5892">
        <v>229711685.12122992</v>
      </c>
    </row>
    <row r="5893" spans="1:2" x14ac:dyDescent="0.25">
      <c r="A5893">
        <f ca="1">30023.1839351634*(RANDBETWEEN(2890,3282))</f>
        <v>97995672.364373475</v>
      </c>
      <c r="B5893">
        <v>242562436.4042806</v>
      </c>
    </row>
    <row r="5894" spans="1:2" x14ac:dyDescent="0.25">
      <c r="A5894">
        <f ca="1">39817.9750813347*(RANDBETWEEN(2890,3282))</f>
        <v>118179750.04140136</v>
      </c>
      <c r="B5894">
        <v>222820492.48302853</v>
      </c>
    </row>
    <row r="5895" spans="1:2" x14ac:dyDescent="0.25">
      <c r="A5895">
        <f ca="1">38117.5236343343*(RANDBETWEEN(2890,3282))</f>
        <v>124529949.71337017</v>
      </c>
      <c r="B5895">
        <v>253909681.6289213</v>
      </c>
    </row>
    <row r="5896" spans="1:2" x14ac:dyDescent="0.25">
      <c r="A5896">
        <f ca="1">32378.0327107261*(RANDBETWEEN(2890,3282))</f>
        <v>99724340.749036431</v>
      </c>
      <c r="B5896">
        <v>221052775.36010239</v>
      </c>
    </row>
    <row r="5897" spans="1:2" x14ac:dyDescent="0.25">
      <c r="A5897">
        <f ca="1">34575.7295043219*(RANDBETWEEN(2890,3282))</f>
        <v>102862795.27535774</v>
      </c>
      <c r="B5897">
        <v>264766785.21524936</v>
      </c>
    </row>
    <row r="5898" spans="1:2" x14ac:dyDescent="0.25">
      <c r="A5898">
        <f ca="1">39301.6244062293*(RANDBETWEEN(2890,3282))</f>
        <v>122463861.64981042</v>
      </c>
      <c r="B5898">
        <v>245070724.15181917</v>
      </c>
    </row>
    <row r="5899" spans="1:2" x14ac:dyDescent="0.25">
      <c r="A5899">
        <f ca="1">30215.3334600788*(RANDBETWEEN(2890,3282))</f>
        <v>98441556.412936583</v>
      </c>
      <c r="B5899">
        <v>237863741.24170366</v>
      </c>
    </row>
    <row r="5900" spans="1:2" x14ac:dyDescent="0.25">
      <c r="A5900">
        <f ca="1">30617.8514108194*(RANDBETWEEN(2890,3282))</f>
        <v>99354927.828108996</v>
      </c>
      <c r="B5900">
        <v>238531069.79573214</v>
      </c>
    </row>
    <row r="5901" spans="1:2" x14ac:dyDescent="0.25">
      <c r="A5901">
        <f ca="1">36837.9704860881*(RANDBETWEEN(2890,3282))</f>
        <v>110550749.42875066</v>
      </c>
      <c r="B5901">
        <v>221351136.08098876</v>
      </c>
    </row>
    <row r="5902" spans="1:2" x14ac:dyDescent="0.25">
      <c r="A5902">
        <f ca="1">29330.1764647204*(RANDBETWEEN(2890,3282))</f>
        <v>92712687.804981247</v>
      </c>
      <c r="B5902">
        <v>240913265.86547539</v>
      </c>
    </row>
    <row r="5903" spans="1:2" x14ac:dyDescent="0.25">
      <c r="A5903">
        <f ca="1">31314.9256788185*(RANDBETWEEN(2890,3282))</f>
        <v>101867453.23319656</v>
      </c>
      <c r="B5903">
        <v>238181570.94167688</v>
      </c>
    </row>
    <row r="5904" spans="1:2" x14ac:dyDescent="0.25">
      <c r="A5904">
        <f ca="1">36496.230685773*(RANDBETWEEN(2890,3282))</f>
        <v>108393805.13674572</v>
      </c>
      <c r="B5904">
        <v>239783509.9764542</v>
      </c>
    </row>
    <row r="5905" spans="1:2" x14ac:dyDescent="0.25">
      <c r="A5905">
        <f ca="1">32029.0600323419*(RANDBETWEEN(2890,3282))</f>
        <v>94069349.314988092</v>
      </c>
      <c r="B5905">
        <v>255752186.21216023</v>
      </c>
    </row>
    <row r="5906" spans="1:2" x14ac:dyDescent="0.25">
      <c r="A5906">
        <f ca="1">33025.1503491308*(RANDBETWEEN(2890,3282))</f>
        <v>96532514.470509425</v>
      </c>
      <c r="B5906">
        <v>233646950.03672415</v>
      </c>
    </row>
    <row r="5907" spans="1:2" x14ac:dyDescent="0.25">
      <c r="A5907">
        <f ca="1">29619.6899935198*(RANDBETWEEN(2890,3282))</f>
        <v>92798488.749697417</v>
      </c>
      <c r="B5907">
        <v>205058404.79681033</v>
      </c>
    </row>
    <row r="5908" spans="1:2" x14ac:dyDescent="0.25">
      <c r="A5908">
        <f ca="1">36936.0143618966*(RANDBETWEEN(2890,3282))</f>
        <v>112100803.58835606</v>
      </c>
      <c r="B5908">
        <v>220431607.32997593</v>
      </c>
    </row>
    <row r="5909" spans="1:2" x14ac:dyDescent="0.25">
      <c r="A5909">
        <f ca="1">32197.5953659988*(RANDBETWEEN(2890,3282))</f>
        <v>98395851.438492224</v>
      </c>
      <c r="B5909">
        <v>230249407.57529026</v>
      </c>
    </row>
    <row r="5910" spans="1:2" x14ac:dyDescent="0.25">
      <c r="A5910">
        <f ca="1">32620.642184308*(RANDBETWEEN(2890,3282))</f>
        <v>99525579.304323584</v>
      </c>
      <c r="B5910">
        <v>259329528.282318</v>
      </c>
    </row>
    <row r="5911" spans="1:2" x14ac:dyDescent="0.25">
      <c r="A5911">
        <f ca="1">31007.0279713768*(RANDBETWEEN(2890,3282))</f>
        <v>94137336.921099827</v>
      </c>
      <c r="B5911">
        <v>242451535.6420356</v>
      </c>
    </row>
    <row r="5912" spans="1:2" x14ac:dyDescent="0.25">
      <c r="A5912">
        <f ca="1">32390.9862599489*(RANDBETWEEN(2890,3282))</f>
        <v>100897922.19974068</v>
      </c>
      <c r="B5912">
        <v>251912434.35549784</v>
      </c>
    </row>
    <row r="5913" spans="1:2" x14ac:dyDescent="0.25">
      <c r="A5913">
        <f ca="1">32237.4117972955*(RANDBETWEEN(2890,3282))</f>
        <v>98517530.452535138</v>
      </c>
      <c r="B5913">
        <v>256448427.55063316</v>
      </c>
    </row>
    <row r="5914" spans="1:2" x14ac:dyDescent="0.25">
      <c r="A5914">
        <f ca="1">37527.4140817409*(RANDBETWEEN(2890,3282))</f>
        <v>114195921.05073771</v>
      </c>
      <c r="B5914">
        <v>203810192.80779135</v>
      </c>
    </row>
    <row r="5915" spans="1:2" x14ac:dyDescent="0.25">
      <c r="A5915">
        <f ca="1">34232.1116628527*(RANDBETWEEN(2890,3282))</f>
        <v>107968080.18463756</v>
      </c>
      <c r="B5915">
        <v>255686793.9508186</v>
      </c>
    </row>
    <row r="5916" spans="1:2" x14ac:dyDescent="0.25">
      <c r="A5916">
        <f ca="1">39694.4619992639*(RANDBETWEEN(2890,3282))</f>
        <v>129999363.04758921</v>
      </c>
      <c r="B5916">
        <v>234987948.23343262</v>
      </c>
    </row>
    <row r="5917" spans="1:2" x14ac:dyDescent="0.25">
      <c r="A5917">
        <f ca="1">34940.7973477265*(RANDBETWEEN(2890,3282))</f>
        <v>104507924.86704984</v>
      </c>
      <c r="B5917">
        <v>262673204.96887022</v>
      </c>
    </row>
    <row r="5918" spans="1:2" x14ac:dyDescent="0.25">
      <c r="A5918">
        <f ca="1">39214.7138761949*(RANDBETWEEN(2890,3282))</f>
        <v>125879231.5425857</v>
      </c>
      <c r="B5918">
        <v>206262778.36018866</v>
      </c>
    </row>
    <row r="5919" spans="1:2" x14ac:dyDescent="0.25">
      <c r="A5919">
        <f ca="1">36699.8867501697*(RANDBETWEEN(2890,3282))</f>
        <v>106906770.10324462</v>
      </c>
      <c r="B5919">
        <v>232523092.70711139</v>
      </c>
    </row>
    <row r="5920" spans="1:2" x14ac:dyDescent="0.25">
      <c r="A5920">
        <f ca="1">31948.4230326629*(RANDBETWEEN(2890,3282))</f>
        <v>104694982.2780363</v>
      </c>
      <c r="B5920">
        <v>240021096.49085984</v>
      </c>
    </row>
    <row r="5921" spans="1:2" x14ac:dyDescent="0.25">
      <c r="A5921">
        <f ca="1">40768.9852428209*(RANDBETWEEN(2890,3282))</f>
        <v>121491576.02360615</v>
      </c>
      <c r="B5921">
        <v>221202995.47988844</v>
      </c>
    </row>
    <row r="5922" spans="1:2" x14ac:dyDescent="0.25">
      <c r="A5922">
        <f ca="1">30764.0663022092*(RANDBETWEEN(2890,3282))</f>
        <v>97952787.106234252</v>
      </c>
      <c r="B5922">
        <v>252047827.33554718</v>
      </c>
    </row>
    <row r="5923" spans="1:2" x14ac:dyDescent="0.25">
      <c r="A5923">
        <f ca="1">32516.0618898996*(RANDBETWEEN(2890,3282))</f>
        <v>95011932.842286691</v>
      </c>
      <c r="B5923">
        <v>212950874.07324588</v>
      </c>
    </row>
    <row r="5924" spans="1:2" x14ac:dyDescent="0.25">
      <c r="A5924">
        <f ca="1">37238.4679978444*(RANDBETWEEN(2890,3282))</f>
        <v>109816242.12564321</v>
      </c>
      <c r="B5924">
        <v>209445744.08106989</v>
      </c>
    </row>
    <row r="5925" spans="1:2" x14ac:dyDescent="0.25">
      <c r="A5925">
        <f ca="1">32379.8258842324*(RANDBETWEEN(2890,3282))</f>
        <v>97916593.473918751</v>
      </c>
      <c r="B5925">
        <v>242951311.56311092</v>
      </c>
    </row>
    <row r="5926" spans="1:2" x14ac:dyDescent="0.25">
      <c r="A5926">
        <f ca="1">31151.6284851009*(RANDBETWEEN(2890,3282))</f>
        <v>92551488.229234636</v>
      </c>
      <c r="B5926">
        <v>238595875.79878834</v>
      </c>
    </row>
    <row r="5927" spans="1:2" x14ac:dyDescent="0.25">
      <c r="A5927">
        <f ca="1">29881.3595999455*(RANDBETWEEN(2890,3282))</f>
        <v>97592520.453422114</v>
      </c>
      <c r="B5927">
        <v>215939012.40806451</v>
      </c>
    </row>
    <row r="5928" spans="1:2" x14ac:dyDescent="0.25">
      <c r="A5928">
        <f ca="1">30965.913759542*(RANDBETWEEN(2890,3282))</f>
        <v>96180128.137137353</v>
      </c>
      <c r="B5928">
        <v>231637633.39301598</v>
      </c>
    </row>
    <row r="5929" spans="1:2" x14ac:dyDescent="0.25">
      <c r="A5929">
        <f ca="1">29763.4767081153*(RANDBETWEEN(2890,3282))</f>
        <v>90302388.332421958</v>
      </c>
      <c r="B5929">
        <v>220588925.74543786</v>
      </c>
    </row>
    <row r="5930" spans="1:2" x14ac:dyDescent="0.25">
      <c r="A5930">
        <f ca="1">39922.0300482704*(RANDBETWEEN(2890,3282))</f>
        <v>119806012.1748597</v>
      </c>
      <c r="B5930">
        <v>233998207.04883015</v>
      </c>
    </row>
    <row r="5931" spans="1:2" x14ac:dyDescent="0.25">
      <c r="A5931">
        <f ca="1">31893.1002514698*(RANDBETWEEN(2890,3282))</f>
        <v>95200904.250637501</v>
      </c>
      <c r="B5931">
        <v>225039611.56434721</v>
      </c>
    </row>
    <row r="5932" spans="1:2" x14ac:dyDescent="0.25">
      <c r="A5932">
        <f ca="1">32988.5269978915*(RANDBETWEEN(2890,3282))</f>
        <v>95996613.563864142</v>
      </c>
      <c r="B5932">
        <v>229934088.38837689</v>
      </c>
    </row>
    <row r="5933" spans="1:2" x14ac:dyDescent="0.25">
      <c r="A5933">
        <f ca="1">35732.6425532528*(RANDBETWEEN(2890,3282))</f>
        <v>112129032.3321075</v>
      </c>
      <c r="B5933">
        <v>231101794.7597256</v>
      </c>
    </row>
    <row r="5934" spans="1:2" x14ac:dyDescent="0.25">
      <c r="A5934">
        <f ca="1">41426.4972461601*(RANDBETWEEN(2890,3282))</f>
        <v>125605139.65035738</v>
      </c>
      <c r="B5934">
        <v>226188679.92628685</v>
      </c>
    </row>
    <row r="5935" spans="1:2" x14ac:dyDescent="0.25">
      <c r="A5935">
        <f ca="1">37561.3797565071*(RANDBETWEEN(2890,3282))</f>
        <v>117341750.35932805</v>
      </c>
      <c r="B5935">
        <v>206744543.6148026</v>
      </c>
    </row>
    <row r="5936" spans="1:2" x14ac:dyDescent="0.25">
      <c r="A5936">
        <f ca="1">37928.0466022022*(RANDBETWEEN(2890,3282))</f>
        <v>117880368.83964442</v>
      </c>
      <c r="B5936">
        <v>205734082.74787286</v>
      </c>
    </row>
    <row r="5937" spans="1:2" x14ac:dyDescent="0.25">
      <c r="A5937">
        <f ca="1">33966.5130498175*(RANDBETWEEN(2890,3282))</f>
        <v>98536854.357520565</v>
      </c>
      <c r="B5937">
        <v>236124125.39290452</v>
      </c>
    </row>
    <row r="5938" spans="1:2" x14ac:dyDescent="0.25">
      <c r="A5938">
        <f ca="1">31989.2236362451*(RANDBETWEEN(2890,3282))</f>
        <v>96767401.499641508</v>
      </c>
      <c r="B5938">
        <v>251892258.78348726</v>
      </c>
    </row>
    <row r="5939" spans="1:2" x14ac:dyDescent="0.25">
      <c r="A5939">
        <f ca="1">33092.707932109*(RANDBETWEEN(2890,3282))</f>
        <v>97656581.107653737</v>
      </c>
      <c r="B5939">
        <v>230332588.32031995</v>
      </c>
    </row>
    <row r="5940" spans="1:2" x14ac:dyDescent="0.25">
      <c r="A5940">
        <f ca="1">36652.4288651665*(RANDBETWEEN(2890,3282))</f>
        <v>115894980.07165658</v>
      </c>
      <c r="B5940">
        <v>234589699.250682</v>
      </c>
    </row>
    <row r="5941" spans="1:2" x14ac:dyDescent="0.25">
      <c r="A5941">
        <f ca="1">29483.9339632148*(RANDBETWEEN(2890,3282))</f>
        <v>92078325.76711975</v>
      </c>
      <c r="B5941">
        <v>262611672.36041442</v>
      </c>
    </row>
    <row r="5942" spans="1:2" x14ac:dyDescent="0.25">
      <c r="A5942">
        <f ca="1">29946.4732428942*(RANDBETWEEN(2890,3282))</f>
        <v>92504655.847300157</v>
      </c>
      <c r="B5942">
        <v>210814321.28584361</v>
      </c>
    </row>
    <row r="5943" spans="1:2" x14ac:dyDescent="0.25">
      <c r="A5943">
        <f ca="1">29472.3980514869*(RANDBETWEEN(2890,3282))</f>
        <v>93486446.619316578</v>
      </c>
      <c r="B5943">
        <v>227180346.13365689</v>
      </c>
    </row>
    <row r="5944" spans="1:2" x14ac:dyDescent="0.25">
      <c r="A5944">
        <f ca="1">31209.0266232798*(RANDBETWEEN(2890,3282))</f>
        <v>98995032.449043423</v>
      </c>
      <c r="B5944">
        <v>213194773.40484145</v>
      </c>
    </row>
    <row r="5945" spans="1:2" x14ac:dyDescent="0.25">
      <c r="A5945">
        <f ca="1">33847.2441766821*(RANDBETWEEN(2890,3282))</f>
        <v>105671096.31960152</v>
      </c>
      <c r="B5945">
        <v>205467005.52743322</v>
      </c>
    </row>
    <row r="5946" spans="1:2" x14ac:dyDescent="0.25">
      <c r="A5946">
        <f ca="1">30721.1840360039*(RANDBETWEEN(2890,3282))</f>
        <v>97969855.890816569</v>
      </c>
      <c r="B5946">
        <v>246136513.06785208</v>
      </c>
    </row>
    <row r="5947" spans="1:2" x14ac:dyDescent="0.25">
      <c r="A5947">
        <f ca="1">29594.9237061389*(RANDBETWEEN(2890,3282))</f>
        <v>95354844.181179434</v>
      </c>
      <c r="B5947">
        <v>250533517.37797141</v>
      </c>
    </row>
    <row r="5948" spans="1:2" x14ac:dyDescent="0.25">
      <c r="A5948">
        <f ca="1">31822.2767743105*(RANDBETWEEN(2890,3282))</f>
        <v>103804266.83780089</v>
      </c>
      <c r="B5948">
        <v>241579556.9510434</v>
      </c>
    </row>
    <row r="5949" spans="1:2" x14ac:dyDescent="0.25">
      <c r="A5949">
        <f ca="1">31669.5267377104*(RANDBETWEEN(2890,3282))</f>
        <v>101754189.40826352</v>
      </c>
      <c r="B5949">
        <v>255668383.29597574</v>
      </c>
    </row>
    <row r="5950" spans="1:2" x14ac:dyDescent="0.25">
      <c r="A5950">
        <f ca="1">28738.1714172449*(RANDBETWEEN(2890,3282))</f>
        <v>84605176.652368918</v>
      </c>
      <c r="B5950">
        <v>237379819.5007765</v>
      </c>
    </row>
    <row r="5951" spans="1:2" x14ac:dyDescent="0.25">
      <c r="A5951">
        <f ca="1">36687.2993248697*(RANDBETWEEN(2890,3282))</f>
        <v>113950751.70304528</v>
      </c>
      <c r="B5951">
        <v>238781152.75417992</v>
      </c>
    </row>
    <row r="5952" spans="1:2" x14ac:dyDescent="0.25">
      <c r="A5952">
        <f ca="1">31017.8671178051*(RANDBETWEEN(2890,3282))</f>
        <v>98357656.63056013</v>
      </c>
      <c r="B5952">
        <v>241064610.83559704</v>
      </c>
    </row>
    <row r="5953" spans="1:2" x14ac:dyDescent="0.25">
      <c r="A5953">
        <f ca="1">33623.5545661383*(RANDBETWEEN(2890,3282))</f>
        <v>108805822.57602349</v>
      </c>
      <c r="B5953">
        <v>241067246.25016546</v>
      </c>
    </row>
    <row r="5954" spans="1:2" x14ac:dyDescent="0.25">
      <c r="A5954">
        <f ca="1">34167.9669724787*(RANDBETWEEN(2890,3282))</f>
        <v>102708908.71927088</v>
      </c>
      <c r="B5954">
        <v>255832890.08185372</v>
      </c>
    </row>
    <row r="5955" spans="1:2" x14ac:dyDescent="0.25">
      <c r="A5955">
        <f ca="1">32318.384156739*(RANDBETWEEN(2890,3282))</f>
        <v>100510174.72745831</v>
      </c>
      <c r="B5955">
        <v>233344833.59017149</v>
      </c>
    </row>
    <row r="5956" spans="1:2" x14ac:dyDescent="0.25">
      <c r="A5956">
        <f ca="1">31502.5902571672*(RANDBETWEEN(2890,3282))</f>
        <v>94350257.820215791</v>
      </c>
      <c r="B5956">
        <v>261101294.93972215</v>
      </c>
    </row>
    <row r="5957" spans="1:2" x14ac:dyDescent="0.25">
      <c r="A5957">
        <f ca="1">33946.7522887985*(RANDBETWEEN(2890,3282))</f>
        <v>100550280.27942102</v>
      </c>
      <c r="B5957">
        <v>227284964.16216031</v>
      </c>
    </row>
    <row r="5958" spans="1:2" x14ac:dyDescent="0.25">
      <c r="A5958">
        <f ca="1">29156.4577400709*(RANDBETWEEN(2890,3282))</f>
        <v>87032026.354111597</v>
      </c>
      <c r="B5958">
        <v>246368045.78555426</v>
      </c>
    </row>
    <row r="5959" spans="1:2" x14ac:dyDescent="0.25">
      <c r="A5959">
        <f ca="1">36979.0442969358*(RANDBETWEEN(2890,3282))</f>
        <v>112860043.19424836</v>
      </c>
      <c r="B5959">
        <v>242420626.25101346</v>
      </c>
    </row>
    <row r="5960" spans="1:2" x14ac:dyDescent="0.25">
      <c r="A5960">
        <f ca="1">31663.0418335118*(RANDBETWEEN(2890,3282))</f>
        <v>93405973.408859938</v>
      </c>
      <c r="B5960">
        <v>264045377.6291706</v>
      </c>
    </row>
    <row r="5961" spans="1:2" x14ac:dyDescent="0.25">
      <c r="A5961">
        <f ca="1">33942.8586818857*(RANDBETWEEN(2890,3282))</f>
        <v>98298518.742741033</v>
      </c>
      <c r="B5961">
        <v>217771233.89700621</v>
      </c>
    </row>
    <row r="5962" spans="1:2" x14ac:dyDescent="0.25">
      <c r="A5962">
        <f ca="1">33714.3516436542*(RANDBETWEEN(2890,3282))</f>
        <v>107515067.39161333</v>
      </c>
      <c r="B5962">
        <v>257129213.10620171</v>
      </c>
    </row>
    <row r="5963" spans="1:2" x14ac:dyDescent="0.25">
      <c r="A5963">
        <f ca="1">31773.9104463351*(RANDBETWEEN(2890,3282))</f>
        <v>94146096.652490884</v>
      </c>
      <c r="B5963">
        <v>220163463.57364988</v>
      </c>
    </row>
    <row r="5964" spans="1:2" x14ac:dyDescent="0.25">
      <c r="A5964">
        <f ca="1">40943.9460386569*(RANDBETWEEN(2890,3282))</f>
        <v>122790894.16993204</v>
      </c>
      <c r="B5964">
        <v>220773052.47073689</v>
      </c>
    </row>
    <row r="5965" spans="1:2" x14ac:dyDescent="0.25">
      <c r="A5965">
        <f ca="1">37135.2825171456*(RANDBETWEEN(2890,3282))</f>
        <v>110737412.46612824</v>
      </c>
      <c r="B5965">
        <v>205723780.9910503</v>
      </c>
    </row>
    <row r="5966" spans="1:2" x14ac:dyDescent="0.25">
      <c r="A5966">
        <f ca="1">31369.7047550047*(RANDBETWEEN(2890,3282))</f>
        <v>102798522.48215029</v>
      </c>
      <c r="B5966">
        <v>208450189.24075392</v>
      </c>
    </row>
    <row r="5967" spans="1:2" x14ac:dyDescent="0.25">
      <c r="A5967">
        <f ca="1">29161.4470764267*(RANDBETWEEN(2890,3282))</f>
        <v>88738283.453566313</v>
      </c>
      <c r="B5967">
        <v>253234829.80556577</v>
      </c>
    </row>
    <row r="5968" spans="1:2" x14ac:dyDescent="0.25">
      <c r="A5968">
        <f ca="1">33010.4297243399*(RANDBETWEEN(2890,3282))</f>
        <v>100516758.51061508</v>
      </c>
      <c r="B5968">
        <v>230571808.89697683</v>
      </c>
    </row>
    <row r="5969" spans="1:2" x14ac:dyDescent="0.25">
      <c r="A5969">
        <f ca="1">32078.9935960061*(RANDBETWEEN(2890,3282))</f>
        <v>96686086.69836244</v>
      </c>
      <c r="B5969">
        <v>211367764.20136443</v>
      </c>
    </row>
    <row r="5970" spans="1:2" x14ac:dyDescent="0.25">
      <c r="A5970">
        <f ca="1">31715.9904759678*(RANDBETWEEN(2890,3282))</f>
        <v>91817792.427926719</v>
      </c>
      <c r="B5970">
        <v>209380581.86159337</v>
      </c>
    </row>
    <row r="5971" spans="1:2" x14ac:dyDescent="0.25">
      <c r="A5971">
        <f ca="1">29147.3412951595*(RANDBETWEEN(2890,3282))</f>
        <v>92980018.73155874</v>
      </c>
      <c r="B5971">
        <v>252926380.84142029</v>
      </c>
    </row>
    <row r="5972" spans="1:2" x14ac:dyDescent="0.25">
      <c r="A5972">
        <f ca="1">33392.9493768635*(RANDBETWEEN(2890,3282))</f>
        <v>98175271.167978644</v>
      </c>
      <c r="B5972">
        <v>212536978.44234586</v>
      </c>
    </row>
    <row r="5973" spans="1:2" x14ac:dyDescent="0.25">
      <c r="A5973">
        <f ca="1">37344.9905928856*(RANDBETWEEN(2890,3282))</f>
        <v>118122205.24529718</v>
      </c>
      <c r="B5973">
        <v>239062610.08682171</v>
      </c>
    </row>
    <row r="5974" spans="1:2" x14ac:dyDescent="0.25">
      <c r="A5974">
        <f ca="1">31779.3358865645*(RANDBETWEEN(2890,3282))</f>
        <v>103346400.30310766</v>
      </c>
      <c r="B5974">
        <v>247757671.90679532</v>
      </c>
    </row>
    <row r="5975" spans="1:2" x14ac:dyDescent="0.25">
      <c r="A5975">
        <f ca="1">30699.9350335694*(RANDBETWEEN(2890,3282))</f>
        <v>96612695.550642788</v>
      </c>
      <c r="B5975">
        <v>212255271.07316077</v>
      </c>
    </row>
    <row r="5976" spans="1:2" x14ac:dyDescent="0.25">
      <c r="A5976">
        <f ca="1">38266.0192548298*(RANDBETWEEN(2890,3282))</f>
        <v>113917939.32162841</v>
      </c>
      <c r="B5976">
        <v>245034347.01240867</v>
      </c>
    </row>
    <row r="5977" spans="1:2" x14ac:dyDescent="0.25">
      <c r="A5977">
        <f ca="1">32328.875567128*(RANDBETWEEN(2890,3282))</f>
        <v>99928554.377992675</v>
      </c>
      <c r="B5977">
        <v>207122552.76408184</v>
      </c>
    </row>
    <row r="5978" spans="1:2" x14ac:dyDescent="0.25">
      <c r="A5978">
        <f ca="1">36108.8930206977*(RANDBETWEEN(2890,3282))</f>
        <v>114140210.83842541</v>
      </c>
      <c r="B5978">
        <v>261412527.10048431</v>
      </c>
    </row>
    <row r="5979" spans="1:2" x14ac:dyDescent="0.25">
      <c r="A5979">
        <f ca="1">31006.1394528049*(RANDBETWEEN(2890,3282))</f>
        <v>93793571.844734922</v>
      </c>
      <c r="B5979">
        <v>235815401.01289845</v>
      </c>
    </row>
    <row r="5980" spans="1:2" x14ac:dyDescent="0.25">
      <c r="A5980">
        <f ca="1">30432.0218997316*(RANDBETWEEN(2890,3282))</f>
        <v>96712965.59734714</v>
      </c>
      <c r="B5980">
        <v>230862161.42061451</v>
      </c>
    </row>
    <row r="5981" spans="1:2" x14ac:dyDescent="0.25">
      <c r="A5981">
        <f ca="1">32662.5941237847*(RANDBETWEEN(2890,3282))</f>
        <v>95211461.870832309</v>
      </c>
      <c r="B5981">
        <v>223360089.50058421</v>
      </c>
    </row>
    <row r="5982" spans="1:2" x14ac:dyDescent="0.25">
      <c r="A5982">
        <f ca="1">35168.0402087123*(RANDBETWEEN(2890,3282))</f>
        <v>112045376.10495739</v>
      </c>
      <c r="B5982">
        <v>220926277.89093098</v>
      </c>
    </row>
    <row r="5983" spans="1:2" x14ac:dyDescent="0.25">
      <c r="A5983">
        <f ca="1">38589.4753029441*(RANDBETWEEN(2890,3282))</f>
        <v>112797036.31050558</v>
      </c>
      <c r="B5983">
        <v>258644292.92917222</v>
      </c>
    </row>
    <row r="5984" spans="1:2" x14ac:dyDescent="0.25">
      <c r="A5984">
        <f ca="1">37842.0421267076*(RANDBETWEEN(2890,3282))</f>
        <v>115229018.27582462</v>
      </c>
      <c r="B5984">
        <v>204035844.43269876</v>
      </c>
    </row>
    <row r="5985" spans="1:2" x14ac:dyDescent="0.25">
      <c r="A5985">
        <f ca="1">31055.7647084809*(RANDBETWEEN(2890,3282))</f>
        <v>98788387.53767781</v>
      </c>
      <c r="B5985">
        <v>252348331.40207362</v>
      </c>
    </row>
    <row r="5986" spans="1:2" x14ac:dyDescent="0.25">
      <c r="A5986">
        <f ca="1">39132.5722825946*(RANDBETWEEN(2890,3282))</f>
        <v>118376031.15484864</v>
      </c>
      <c r="B5986">
        <v>236253220.77516356</v>
      </c>
    </row>
    <row r="5987" spans="1:2" x14ac:dyDescent="0.25">
      <c r="A5987">
        <f ca="1">36900.6134373652*(RANDBETWEEN(2890,3282))</f>
        <v>114355001.04239498</v>
      </c>
      <c r="B5987">
        <v>236076463.96978956</v>
      </c>
    </row>
    <row r="5988" spans="1:2" x14ac:dyDescent="0.25">
      <c r="A5988">
        <f ca="1">33424.0329357138*(RANDBETWEEN(2890,3282))</f>
        <v>97898992.468705863</v>
      </c>
      <c r="B5988">
        <v>264264187.04949912</v>
      </c>
    </row>
    <row r="5989" spans="1:2" x14ac:dyDescent="0.25">
      <c r="A5989">
        <f ca="1">34528.3902009223*(RANDBETWEEN(2890,3282))</f>
        <v>105794987.57562587</v>
      </c>
      <c r="B5989">
        <v>257270927.05192289</v>
      </c>
    </row>
    <row r="5990" spans="1:2" x14ac:dyDescent="0.25">
      <c r="A5990">
        <f ca="1">39315.3588478395*(RANDBETWEEN(2890,3282))</f>
        <v>127499708.74354362</v>
      </c>
      <c r="B5990">
        <v>233866688.77474394</v>
      </c>
    </row>
    <row r="5991" spans="1:2" x14ac:dyDescent="0.25">
      <c r="A5991">
        <f ca="1">33742.416258608*(RANDBETWEEN(2890,3282))</f>
        <v>104837687.31549512</v>
      </c>
      <c r="B5991">
        <v>257769557.65554833</v>
      </c>
    </row>
    <row r="5992" spans="1:2" x14ac:dyDescent="0.25">
      <c r="A5992">
        <f ca="1">33894.5466988969*(RANDBETWEEN(2890,3282))</f>
        <v>101344694.62970175</v>
      </c>
      <c r="B5992">
        <v>244466662.58993933</v>
      </c>
    </row>
    <row r="5993" spans="1:2" x14ac:dyDescent="0.25">
      <c r="A5993">
        <f ca="1">30148.9785410751*(RANDBETWEEN(2890,3282))</f>
        <v>87341590.833494574</v>
      </c>
      <c r="B5993">
        <v>259883952.57231873</v>
      </c>
    </row>
    <row r="5994" spans="1:2" x14ac:dyDescent="0.25">
      <c r="A5994">
        <f ca="1">30275.9047754788*(RANDBETWEEN(2890,3282))</f>
        <v>88920332.325581238</v>
      </c>
      <c r="B5994">
        <v>265478789.73800886</v>
      </c>
    </row>
    <row r="5995" spans="1:2" x14ac:dyDescent="0.25">
      <c r="A5995">
        <f ca="1">32499.4804202511*(RANDBETWEEN(2890,3282))</f>
        <v>97563440.221593931</v>
      </c>
      <c r="B5995">
        <v>213934137.21474802</v>
      </c>
    </row>
    <row r="5996" spans="1:2" x14ac:dyDescent="0.25">
      <c r="A5996">
        <f ca="1">37500.6587164776*(RANDBETWEEN(2890,3282))</f>
        <v>120864623.04320717</v>
      </c>
      <c r="B5996">
        <v>265155192.51287383</v>
      </c>
    </row>
    <row r="5997" spans="1:2" x14ac:dyDescent="0.25">
      <c r="A5997">
        <f ca="1">38816.2214218488*(RANDBETWEEN(2890,3282))</f>
        <v>123862562.55711967</v>
      </c>
      <c r="B5997">
        <v>219397798.6352233</v>
      </c>
    </row>
    <row r="5998" spans="1:2" x14ac:dyDescent="0.25">
      <c r="A5998">
        <f ca="1">29598.9764378624*(RANDBETWEEN(2890,3282))</f>
        <v>94568729.718970358</v>
      </c>
      <c r="B5998">
        <v>260617671.66554755</v>
      </c>
    </row>
    <row r="5999" spans="1:2" x14ac:dyDescent="0.25">
      <c r="A5999">
        <f ca="1">32246.0866772581*(RANDBETWEEN(2890,3282))</f>
        <v>97802380.892123789</v>
      </c>
      <c r="B5999">
        <v>251835556.26465863</v>
      </c>
    </row>
    <row r="6000" spans="1:2" x14ac:dyDescent="0.25">
      <c r="A6000">
        <f ca="1">31763.9082580837*(RANDBETWEEN(2890,3282))</f>
        <v>95132905.232960567</v>
      </c>
      <c r="B6000">
        <v>223262867.28142425</v>
      </c>
    </row>
    <row r="6001" spans="1:2" x14ac:dyDescent="0.25">
      <c r="A6001">
        <f ca="1">36467.9528165842*(RANDBETWEEN(2890,3282))</f>
        <v>112613038.29761188</v>
      </c>
      <c r="B6001">
        <v>217383348.76420429</v>
      </c>
    </row>
    <row r="6002" spans="1:2" x14ac:dyDescent="0.25">
      <c r="A6002">
        <f ca="1">38170.8519817939*(RANDBETWEEN(2890,3282))</f>
        <v>111726083.75071067</v>
      </c>
      <c r="B6002">
        <v>238956265.03821391</v>
      </c>
    </row>
    <row r="6003" spans="1:2" x14ac:dyDescent="0.25">
      <c r="A6003">
        <f ca="1">31363.6547467967*(RANDBETWEEN(2890,3282))</f>
        <v>99391421.892598599</v>
      </c>
      <c r="B6003">
        <v>230591338.18360856</v>
      </c>
    </row>
    <row r="6004" spans="1:2" x14ac:dyDescent="0.25">
      <c r="A6004">
        <f ca="1">39509.2274067517*(RANDBETWEEN(2890,3282))</f>
        <v>127654313.75121467</v>
      </c>
      <c r="B6004">
        <v>218722040.18337381</v>
      </c>
    </row>
    <row r="6005" spans="1:2" x14ac:dyDescent="0.25">
      <c r="A6005">
        <f ca="1">35417.7686771499*(RANDBETWEEN(2890,3282))</f>
        <v>108378372.15207858</v>
      </c>
      <c r="B6005">
        <v>215754951.38625425</v>
      </c>
    </row>
    <row r="6006" spans="1:2" x14ac:dyDescent="0.25">
      <c r="A6006">
        <f ca="1">38436.024206761*(RANDBETWEEN(2890,3282))</f>
        <v>112502242.85318957</v>
      </c>
      <c r="B6006">
        <v>206746214.27532032</v>
      </c>
    </row>
    <row r="6007" spans="1:2" x14ac:dyDescent="0.25">
      <c r="A6007">
        <f ca="1">32215.6119356061*(RANDBETWEEN(2890,3282))</f>
        <v>96228032.851655304</v>
      </c>
      <c r="B6007">
        <v>221564568.6385904</v>
      </c>
    </row>
    <row r="6008" spans="1:2" x14ac:dyDescent="0.25">
      <c r="A6008">
        <f ca="1">31151.8234451833*(RANDBETWEEN(2890,3282))</f>
        <v>94265417.745124727</v>
      </c>
      <c r="B6008">
        <v>244490223.19875163</v>
      </c>
    </row>
    <row r="6009" spans="1:2" x14ac:dyDescent="0.25">
      <c r="A6009">
        <f ca="1">32691.5415269147*(RANDBETWEEN(2890,3282))</f>
        <v>104449475.17849241</v>
      </c>
      <c r="B6009">
        <v>211882869.61698511</v>
      </c>
    </row>
    <row r="6010" spans="1:2" x14ac:dyDescent="0.25">
      <c r="A6010">
        <f ca="1">27949.4768159333*(RANDBETWEEN(2890,3282))</f>
        <v>91506587.095365644</v>
      </c>
      <c r="B6010">
        <v>235662465.39631075</v>
      </c>
    </row>
    <row r="6011" spans="1:2" x14ac:dyDescent="0.25">
      <c r="A6011">
        <f ca="1">29732.4810911026*(RANDBETWEEN(2890,3282))</f>
        <v>95976448.962079197</v>
      </c>
      <c r="B6011">
        <v>254254059.19785979</v>
      </c>
    </row>
    <row r="6012" spans="1:2" x14ac:dyDescent="0.25">
      <c r="A6012">
        <f ca="1">35217.8506995985*(RANDBETWEEN(2890,3282))</f>
        <v>102800906.19212814</v>
      </c>
      <c r="B6012">
        <v>209071279.50466037</v>
      </c>
    </row>
    <row r="6013" spans="1:2" x14ac:dyDescent="0.25">
      <c r="A6013">
        <f ca="1">32899.0941807158*(RANDBETWEEN(2890,3282))</f>
        <v>105573193.22591691</v>
      </c>
      <c r="B6013">
        <v>225875195.43034902</v>
      </c>
    </row>
    <row r="6014" spans="1:2" x14ac:dyDescent="0.25">
      <c r="A6014">
        <f ca="1">33814.0609452189*(RANDBETWEEN(2890,3282))</f>
        <v>104384006.13789082</v>
      </c>
      <c r="B6014">
        <v>207514187.40456703</v>
      </c>
    </row>
    <row r="6015" spans="1:2" x14ac:dyDescent="0.25">
      <c r="A6015">
        <f ca="1">29226.0756176406*(RANDBETWEEN(2890,3282))</f>
        <v>94400224.244979084</v>
      </c>
      <c r="B6015">
        <v>238685630.23941672</v>
      </c>
    </row>
    <row r="6016" spans="1:2" x14ac:dyDescent="0.25">
      <c r="A6016">
        <f ca="1">33101.7805086103*(RANDBETWEEN(2890,3282))</f>
        <v>99934275.355494589</v>
      </c>
      <c r="B6016">
        <v>258384708.26773983</v>
      </c>
    </row>
    <row r="6017" spans="1:2" x14ac:dyDescent="0.25">
      <c r="A6017">
        <f ca="1">38087.7265945257*(RANDBETWEEN(2890,3282))</f>
        <v>113196723.43893035</v>
      </c>
      <c r="B6017">
        <v>254626468.59605354</v>
      </c>
    </row>
    <row r="6018" spans="1:2" x14ac:dyDescent="0.25">
      <c r="A6018">
        <f ca="1">31033.2000718753*(RANDBETWEEN(2890,3282))</f>
        <v>101044099.43402606</v>
      </c>
      <c r="B6018">
        <v>222647179.04190719</v>
      </c>
    </row>
    <row r="6019" spans="1:2" x14ac:dyDescent="0.25">
      <c r="A6019">
        <f ca="1">29629.7784141205*(RANDBETWEEN(2890,3282))</f>
        <v>90815270.839279354</v>
      </c>
      <c r="B6019">
        <v>241098190.99480951</v>
      </c>
    </row>
    <row r="6020" spans="1:2" x14ac:dyDescent="0.25">
      <c r="A6020">
        <f ca="1">36816.4537878664*(RANDBETWEEN(2890,3282))</f>
        <v>114462354.82647656</v>
      </c>
      <c r="B6020">
        <v>256018916.06976563</v>
      </c>
    </row>
    <row r="6021" spans="1:2" x14ac:dyDescent="0.25">
      <c r="A6021">
        <f ca="1">29629.891088124*(RANDBETWEEN(2890,3282))</f>
        <v>87763737.403023362</v>
      </c>
      <c r="B6021">
        <v>210161201.8098394</v>
      </c>
    </row>
    <row r="6022" spans="1:2" x14ac:dyDescent="0.25">
      <c r="A6022">
        <f ca="1">31748.036196227*(RANDBETWEEN(2890,3282))</f>
        <v>97212486.832847074</v>
      </c>
      <c r="B6022">
        <v>223025539.68512556</v>
      </c>
    </row>
    <row r="6023" spans="1:2" x14ac:dyDescent="0.25">
      <c r="A6023">
        <f ca="1">33319.5786160777*(RANDBETWEEN(2890,3282))</f>
        <v>97792963.238188282</v>
      </c>
      <c r="B6023">
        <v>225574321.47711149</v>
      </c>
    </row>
    <row r="6024" spans="1:2" x14ac:dyDescent="0.25">
      <c r="A6024">
        <f ca="1">31515.0061942936*(RANDBETWEEN(2890,3282))</f>
        <v>91488062.9820344</v>
      </c>
      <c r="B6024">
        <v>258261783.50625989</v>
      </c>
    </row>
    <row r="6025" spans="1:2" x14ac:dyDescent="0.25">
      <c r="A6025">
        <f ca="1">31408.2429051271*(RANDBETWEEN(2890,3282))</f>
        <v>98778923.936624736</v>
      </c>
      <c r="B6025">
        <v>243474420.70320743</v>
      </c>
    </row>
    <row r="6026" spans="1:2" x14ac:dyDescent="0.25">
      <c r="A6026">
        <f ca="1">31143.2654968137*(RANDBETWEEN(2890,3282))</f>
        <v>99347016.934835628</v>
      </c>
      <c r="B6026">
        <v>238498296.9461202</v>
      </c>
    </row>
    <row r="6027" spans="1:2" x14ac:dyDescent="0.25">
      <c r="A6027">
        <f ca="1">32319.9528839302*(RANDBETWEEN(2890,3282))</f>
        <v>93727863.363397494</v>
      </c>
      <c r="B6027">
        <v>222988499.01833937</v>
      </c>
    </row>
    <row r="6028" spans="1:2" x14ac:dyDescent="0.25">
      <c r="A6028">
        <f ca="1">28457.5588024734*(RANDBETWEEN(2890,3282))</f>
        <v>82783038.556395188</v>
      </c>
      <c r="B6028">
        <v>216770312.4585422</v>
      </c>
    </row>
    <row r="6029" spans="1:2" x14ac:dyDescent="0.25">
      <c r="A6029">
        <f ca="1">37124.8586483863*(RANDBETWEEN(2890,3282))</f>
        <v>115532560.11377817</v>
      </c>
      <c r="B6029">
        <v>225723897.97508666</v>
      </c>
    </row>
    <row r="6030" spans="1:2" x14ac:dyDescent="0.25">
      <c r="A6030">
        <f ca="1">32602.3304192966*(RANDBETWEEN(2890,3282))</f>
        <v>103740615.3942018</v>
      </c>
      <c r="B6030">
        <v>217075322.4343822</v>
      </c>
    </row>
    <row r="6031" spans="1:2" x14ac:dyDescent="0.25">
      <c r="A6031">
        <f ca="1">32473.9155554121*(RANDBETWEEN(2890,3282))</f>
        <v>100669138.22177756</v>
      </c>
      <c r="B6031">
        <v>216945006.45680609</v>
      </c>
    </row>
    <row r="6032" spans="1:2" x14ac:dyDescent="0.25">
      <c r="A6032">
        <f ca="1">31341.4329996753*(RANDBETWEEN(2890,3282))</f>
        <v>92394544.483042717</v>
      </c>
      <c r="B6032">
        <v>223289930.54948691</v>
      </c>
    </row>
    <row r="6033" spans="1:2" x14ac:dyDescent="0.25">
      <c r="A6033">
        <f ca="1">29989.3261955039*(RANDBETWEEN(2890,3282))</f>
        <v>94226462.906273231</v>
      </c>
      <c r="B6033">
        <v>223540741.71073863</v>
      </c>
    </row>
    <row r="6034" spans="1:2" x14ac:dyDescent="0.25">
      <c r="A6034">
        <f ca="1">39096.6795967536*(RANDBETWEEN(2890,3282))</f>
        <v>125383051.46678878</v>
      </c>
      <c r="B6034">
        <v>210967031.62520784</v>
      </c>
    </row>
    <row r="6035" spans="1:2" x14ac:dyDescent="0.25">
      <c r="A6035">
        <f ca="1">30271.013692615*(RANDBETWEEN(2890,3282))</f>
        <v>97200224.966986641</v>
      </c>
      <c r="B6035">
        <v>263140185.72065827</v>
      </c>
    </row>
    <row r="6036" spans="1:2" x14ac:dyDescent="0.25">
      <c r="A6036">
        <f ca="1">32275.7031487793*(RANDBETWEEN(2890,3282))</f>
        <v>96665730.930593997</v>
      </c>
      <c r="B6036">
        <v>227118614.79981777</v>
      </c>
    </row>
    <row r="6037" spans="1:2" x14ac:dyDescent="0.25">
      <c r="A6037">
        <f ca="1">38478.6838198988*(RANDBETWEEN(2890,3282))</f>
        <v>116975198.81249247</v>
      </c>
      <c r="B6037">
        <v>263370515.0826546</v>
      </c>
    </row>
    <row r="6038" spans="1:2" x14ac:dyDescent="0.25">
      <c r="A6038">
        <f ca="1">38070.94979481*(RANDBETWEEN(2890,3282))</f>
        <v>119885420.90385677</v>
      </c>
      <c r="B6038">
        <v>226500757.98468432</v>
      </c>
    </row>
    <row r="6039" spans="1:2" x14ac:dyDescent="0.25">
      <c r="A6039">
        <f ca="1">35842.1978918583*(RANDBETWEEN(2890,3282))</f>
        <v>114695033.25394653</v>
      </c>
      <c r="B6039">
        <v>243545486.23361108</v>
      </c>
    </row>
    <row r="6040" spans="1:2" x14ac:dyDescent="0.25">
      <c r="A6040">
        <f ca="1">36839.9562981235*(RANDBETWEEN(2890,3282))</f>
        <v>117445780.67841762</v>
      </c>
      <c r="B6040">
        <v>237711464.11628738</v>
      </c>
    </row>
    <row r="6041" spans="1:2" x14ac:dyDescent="0.25">
      <c r="A6041">
        <f ca="1">31499.6230519812*(RANDBETWEEN(2890,3282))</f>
        <v>92104897.803993136</v>
      </c>
      <c r="B6041">
        <v>242735087.65315235</v>
      </c>
    </row>
    <row r="6042" spans="1:2" x14ac:dyDescent="0.25">
      <c r="A6042">
        <f ca="1">29728.5063278232*(RANDBETWEEN(2890,3282))</f>
        <v>89512532.553075582</v>
      </c>
      <c r="B6042">
        <v>242909071.87337202</v>
      </c>
    </row>
    <row r="6043" spans="1:2" x14ac:dyDescent="0.25">
      <c r="A6043">
        <f ca="1">33911.8540386808*(RANDBETWEEN(2890,3282))</f>
        <v>98480024.128329068</v>
      </c>
      <c r="B6043">
        <v>232773375.6963315</v>
      </c>
    </row>
    <row r="6044" spans="1:2" x14ac:dyDescent="0.25">
      <c r="A6044">
        <f ca="1">32074.3034462231*(RANDBETWEEN(2890,3282))</f>
        <v>103824520.25542423</v>
      </c>
      <c r="B6044">
        <v>220461258.52642825</v>
      </c>
    </row>
    <row r="6045" spans="1:2" x14ac:dyDescent="0.25">
      <c r="A6045">
        <f ca="1">32611.6014224396*(RANDBETWEEN(2890,3282))</f>
        <v>102041700.85081351</v>
      </c>
      <c r="B6045">
        <v>264019518.41115725</v>
      </c>
    </row>
    <row r="6046" spans="1:2" x14ac:dyDescent="0.25">
      <c r="A6046">
        <f ca="1">31300.7081129885*(RANDBETWEEN(2890,3282))</f>
        <v>98159020.642332003</v>
      </c>
      <c r="B6046">
        <v>232339952.39760271</v>
      </c>
    </row>
    <row r="6047" spans="1:2" x14ac:dyDescent="0.25">
      <c r="A6047">
        <f ca="1">36114.1467606879*(RANDBETWEEN(2890,3282))</f>
        <v>104622683.16571295</v>
      </c>
      <c r="B6047">
        <v>209021275.30464411</v>
      </c>
    </row>
    <row r="6048" spans="1:2" x14ac:dyDescent="0.25">
      <c r="A6048">
        <f ca="1">32077.0422751834*(RANDBETWEEN(2890,3282))</f>
        <v>98412365.700262815</v>
      </c>
      <c r="B6048">
        <v>227593064.87155497</v>
      </c>
    </row>
    <row r="6049" spans="1:2" x14ac:dyDescent="0.25">
      <c r="A6049">
        <f ca="1">36176.1646607587*(RANDBETWEEN(2890,3282))</f>
        <v>112073758.11903043</v>
      </c>
      <c r="B6049">
        <v>227115761.70413217</v>
      </c>
    </row>
    <row r="6050" spans="1:2" x14ac:dyDescent="0.25">
      <c r="A6050">
        <f ca="1">39004.6201442503*(RANDBETWEEN(2890,3282))</f>
        <v>124658765.98102394</v>
      </c>
      <c r="B6050">
        <v>248512448.9631083</v>
      </c>
    </row>
    <row r="6051" spans="1:2" x14ac:dyDescent="0.25">
      <c r="A6051">
        <f ca="1">39208.3911285437*(RANDBETWEEN(2890,3282))</f>
        <v>116723380.38967474</v>
      </c>
      <c r="B6051">
        <v>257631088.46751988</v>
      </c>
    </row>
    <row r="6052" spans="1:2" x14ac:dyDescent="0.25">
      <c r="A6052">
        <f ca="1">39332.0815638454*(RANDBETWEEN(2890,3282))</f>
        <v>121142811.21664393</v>
      </c>
      <c r="B6052">
        <v>231783642.49527767</v>
      </c>
    </row>
    <row r="6053" spans="1:2" x14ac:dyDescent="0.25">
      <c r="A6053">
        <f ca="1">35397.9609611952*(RANDBETWEEN(2890,3282))</f>
        <v>113167281.19294111</v>
      </c>
      <c r="B6053">
        <v>256706641.50966349</v>
      </c>
    </row>
    <row r="6054" spans="1:2" x14ac:dyDescent="0.25">
      <c r="A6054">
        <f ca="1">32137.6050827326*(RANDBETWEEN(2890,3282))</f>
        <v>94998760.62455757</v>
      </c>
      <c r="B6054">
        <v>231224218.88960975</v>
      </c>
    </row>
    <row r="6055" spans="1:2" x14ac:dyDescent="0.25">
      <c r="A6055">
        <f ca="1">29608.5907312315*(RANDBETWEEN(2890,3282))</f>
        <v>91460936.768774197</v>
      </c>
      <c r="B6055">
        <v>235728848.0827347</v>
      </c>
    </row>
    <row r="6056" spans="1:2" x14ac:dyDescent="0.25">
      <c r="A6056">
        <f ca="1">39110.6106084837*(RANDBETWEEN(2890,3282))</f>
        <v>124254409.90315269</v>
      </c>
      <c r="B6056">
        <v>227922436.86660904</v>
      </c>
    </row>
    <row r="6057" spans="1:2" x14ac:dyDescent="0.25">
      <c r="A6057">
        <f ca="1">32780.2468955999*(RANDBETWEEN(2890,3282))</f>
        <v>107486429.57067212</v>
      </c>
      <c r="B6057">
        <v>245514710.63152152</v>
      </c>
    </row>
    <row r="6058" spans="1:2" x14ac:dyDescent="0.25">
      <c r="A6058">
        <f ca="1">37158.2940995251*(RANDBETWEEN(2890,3282))</f>
        <v>116305460.53151344</v>
      </c>
      <c r="B6058">
        <v>217224244.18088099</v>
      </c>
    </row>
    <row r="6059" spans="1:2" x14ac:dyDescent="0.25">
      <c r="A6059">
        <f ca="1">41220.7094574855*(RANDBETWEEN(2890,3282))</f>
        <v>133348995.09496552</v>
      </c>
      <c r="B6059">
        <v>218696247.97712845</v>
      </c>
    </row>
    <row r="6060" spans="1:2" x14ac:dyDescent="0.25">
      <c r="A6060">
        <f ca="1">36900.1404256023*(RANDBETWEEN(2890,3282))</f>
        <v>113763132.93213192</v>
      </c>
      <c r="B6060">
        <v>223544537.95775652</v>
      </c>
    </row>
    <row r="6061" spans="1:2" x14ac:dyDescent="0.25">
      <c r="A6061">
        <f ca="1">33183.3578521924*(RANDBETWEEN(2890,3282))</f>
        <v>101972458.67978738</v>
      </c>
      <c r="B6061">
        <v>235149142.41062307</v>
      </c>
    </row>
    <row r="6062" spans="1:2" x14ac:dyDescent="0.25">
      <c r="A6062">
        <f ca="1">33707.9825238219*(RANDBETWEEN(2890,3282))</f>
        <v>105539693.28208627</v>
      </c>
      <c r="B6062">
        <v>253878635.50536051</v>
      </c>
    </row>
    <row r="6063" spans="1:2" x14ac:dyDescent="0.25">
      <c r="A6063">
        <f ca="1">31815.7225610508*(RANDBETWEEN(2890,3282))</f>
        <v>101333076.35694692</v>
      </c>
      <c r="B6063">
        <v>265132328.5453673</v>
      </c>
    </row>
    <row r="6064" spans="1:2" x14ac:dyDescent="0.25">
      <c r="A6064">
        <f ca="1">29567.2740623448*(RANDBETWEEN(2890,3282))</f>
        <v>91274175.030458376</v>
      </c>
      <c r="B6064">
        <v>234307824.37519488</v>
      </c>
    </row>
    <row r="6065" spans="1:2" x14ac:dyDescent="0.25">
      <c r="A6065">
        <f ca="1">38350.7734993409*(RANDBETWEEN(2890,3282))</f>
        <v>123949699.94986966</v>
      </c>
      <c r="B6065">
        <v>262624127.0607329</v>
      </c>
    </row>
    <row r="6066" spans="1:2" x14ac:dyDescent="0.25">
      <c r="A6066">
        <f ca="1">35401.8897032053*(RANDBETWEEN(2890,3282))</f>
        <v>103373517.93335949</v>
      </c>
      <c r="B6066">
        <v>220812642.3466</v>
      </c>
    </row>
    <row r="6067" spans="1:2" x14ac:dyDescent="0.25">
      <c r="A6067">
        <f ca="1">31424.6491805099*(RANDBETWEEN(2890,3282))</f>
        <v>103104273.96125299</v>
      </c>
      <c r="B6067">
        <v>228845261.85591522</v>
      </c>
    </row>
    <row r="6068" spans="1:2" x14ac:dyDescent="0.25">
      <c r="A6068">
        <f ca="1">29825.9324428966*(RANDBETWEEN(2890,3282))</f>
        <v>90611182.761519983</v>
      </c>
      <c r="B6068">
        <v>252162343.44068491</v>
      </c>
    </row>
    <row r="6069" spans="1:2" x14ac:dyDescent="0.25">
      <c r="A6069">
        <f ca="1">30005.4473770395*(RANDBETWEEN(2890,3282))</f>
        <v>96647546.00144425</v>
      </c>
      <c r="B6069">
        <v>258788181.57443857</v>
      </c>
    </row>
    <row r="6070" spans="1:2" x14ac:dyDescent="0.25">
      <c r="A6070">
        <f ca="1">30839.3308644834*(RANDBETWEEN(2890,3282))</f>
        <v>100320343.30216479</v>
      </c>
      <c r="B6070">
        <v>254433348.56592807</v>
      </c>
    </row>
    <row r="6071" spans="1:2" x14ac:dyDescent="0.25">
      <c r="A6071">
        <f ca="1">37191.3523482451*(RANDBETWEEN(2890,3282))</f>
        <v>109528532.6655817</v>
      </c>
      <c r="B6071">
        <v>241739426.51058424</v>
      </c>
    </row>
    <row r="6072" spans="1:2" x14ac:dyDescent="0.25">
      <c r="A6072">
        <f ca="1">32457.4322914346*(RANDBETWEEN(2890,3282))</f>
        <v>97242467.145138159</v>
      </c>
      <c r="B6072">
        <v>230082145.71181047</v>
      </c>
    </row>
    <row r="6073" spans="1:2" x14ac:dyDescent="0.25">
      <c r="A6073">
        <f ca="1">39465.7197093257*(RANDBETWEEN(2890,3282))</f>
        <v>123251442.65222432</v>
      </c>
      <c r="B6073">
        <v>263560282.48895973</v>
      </c>
    </row>
    <row r="6074" spans="1:2" x14ac:dyDescent="0.25">
      <c r="A6074">
        <f ca="1">39281.9926348901*(RANDBETWEEN(2890,3282))</f>
        <v>120045769.49222417</v>
      </c>
      <c r="B6074">
        <v>241728942.47334448</v>
      </c>
    </row>
    <row r="6075" spans="1:2" x14ac:dyDescent="0.25">
      <c r="A6075">
        <f ca="1">32431.9939477846*(RANDBETWEEN(2890,3282))</f>
        <v>94766286.315426648</v>
      </c>
      <c r="B6075">
        <v>232869458.67226109</v>
      </c>
    </row>
    <row r="6076" spans="1:2" x14ac:dyDescent="0.25">
      <c r="A6076">
        <f ca="1">31865.9890970902*(RANDBETWEEN(2890,3282))</f>
        <v>99421885.982921377</v>
      </c>
      <c r="B6076">
        <v>238097255.79906014</v>
      </c>
    </row>
    <row r="6077" spans="1:2" x14ac:dyDescent="0.25">
      <c r="A6077">
        <f ca="1">40127.3453516792*(RANDBETWEEN(2890,3282))</f>
        <v>121264837.65277445</v>
      </c>
      <c r="B6077">
        <v>231426492.1112273</v>
      </c>
    </row>
    <row r="6078" spans="1:2" x14ac:dyDescent="0.25">
      <c r="A6078">
        <f ca="1">31229.2585093376*(RANDBETWEEN(2890,3282))</f>
        <v>91626644.466396406</v>
      </c>
      <c r="B6078">
        <v>262160760.12446281</v>
      </c>
    </row>
    <row r="6079" spans="1:2" x14ac:dyDescent="0.25">
      <c r="A6079">
        <f ca="1">30315.3028852623*(RANDBETWEEN(2890,3282))</f>
        <v>95856987.723199397</v>
      </c>
      <c r="B6079">
        <v>227068419.53622863</v>
      </c>
    </row>
    <row r="6080" spans="1:2" x14ac:dyDescent="0.25">
      <c r="A6080">
        <f ca="1">35745.7474546469*(RANDBETWEEN(2890,3282))</f>
        <v>111026291.59413326</v>
      </c>
      <c r="B6080">
        <v>256902848.46195474</v>
      </c>
    </row>
    <row r="6081" spans="1:2" x14ac:dyDescent="0.25">
      <c r="A6081">
        <f ca="1">33061.4859107419*(RANDBETWEEN(2890,3282))</f>
        <v>97762813.838063747</v>
      </c>
      <c r="B6081">
        <v>254650579.72953516</v>
      </c>
    </row>
    <row r="6082" spans="1:2" x14ac:dyDescent="0.25">
      <c r="A6082">
        <f ca="1">33607.5868607415*(RANDBETWEEN(2890,3282))</f>
        <v>100856368.16908523</v>
      </c>
      <c r="B6082">
        <v>205146160.1964111</v>
      </c>
    </row>
    <row r="6083" spans="1:2" x14ac:dyDescent="0.25">
      <c r="A6083">
        <f ca="1">32398.1002209426*(RANDBETWEEN(2890,3282))</f>
        <v>102118811.89641094</v>
      </c>
      <c r="B6083">
        <v>235551240.39186919</v>
      </c>
    </row>
    <row r="6084" spans="1:2" x14ac:dyDescent="0.25">
      <c r="A6084">
        <f ca="1">32843.9048187305*(RANDBETWEEN(2890,3282))</f>
        <v>95805670.35623683</v>
      </c>
      <c r="B6084">
        <v>236363184.47043857</v>
      </c>
    </row>
    <row r="6085" spans="1:2" x14ac:dyDescent="0.25">
      <c r="A6085">
        <f ca="1">31143.7208340334*(RANDBETWEEN(2890,3282))</f>
        <v>90565940.185369208</v>
      </c>
      <c r="B6085">
        <v>228644119.48175514</v>
      </c>
    </row>
    <row r="6086" spans="1:2" x14ac:dyDescent="0.25">
      <c r="A6086">
        <f ca="1">32721.233285564*(RANDBETWEEN(2890,3282))</f>
        <v>96233147.092843667</v>
      </c>
      <c r="B6086">
        <v>250038186.00868082</v>
      </c>
    </row>
    <row r="6087" spans="1:2" x14ac:dyDescent="0.25">
      <c r="A6087">
        <f ca="1">31711.3593330119*(RANDBETWEEN(2890,3282))</f>
        <v>93136262.361055925</v>
      </c>
      <c r="B6087">
        <v>243220086.42301869</v>
      </c>
    </row>
    <row r="6088" spans="1:2" x14ac:dyDescent="0.25">
      <c r="A6088">
        <f ca="1">31482.6316924118*(RANDBETWEEN(2890,3282))</f>
        <v>103294514.5828031</v>
      </c>
      <c r="B6088">
        <v>247372661.89392793</v>
      </c>
    </row>
    <row r="6089" spans="1:2" x14ac:dyDescent="0.25">
      <c r="A6089">
        <f ca="1">31172.747992443*(RANDBETWEEN(2890,3282))</f>
        <v>101779022.19532654</v>
      </c>
      <c r="B6089">
        <v>213241719.3597495</v>
      </c>
    </row>
    <row r="6090" spans="1:2" x14ac:dyDescent="0.25">
      <c r="A6090">
        <f ca="1">30830.4601744767*(RANDBETWEEN(2890,3282))</f>
        <v>95666917.921401173</v>
      </c>
      <c r="B6090">
        <v>245430995.43532413</v>
      </c>
    </row>
    <row r="6091" spans="1:2" x14ac:dyDescent="0.25">
      <c r="A6091">
        <f ca="1">32842.0616911336*(RANDBETWEEN(2890,3282))</f>
        <v>107656278.22353603</v>
      </c>
      <c r="B6091">
        <v>242485789.58333725</v>
      </c>
    </row>
    <row r="6092" spans="1:2" x14ac:dyDescent="0.25">
      <c r="A6092">
        <f ca="1">33415.9089165324*(RANDBETWEEN(2890,3282))</f>
        <v>102653672.19158754</v>
      </c>
      <c r="B6092">
        <v>267795000.57478803</v>
      </c>
    </row>
    <row r="6093" spans="1:2" x14ac:dyDescent="0.25">
      <c r="A6093">
        <f ca="1">33137.006955066*(RANDBETWEEN(2890,3282))</f>
        <v>103486872.72067101</v>
      </c>
      <c r="B6093">
        <v>258258272.16257617</v>
      </c>
    </row>
    <row r="6094" spans="1:2" x14ac:dyDescent="0.25">
      <c r="A6094">
        <f ca="1">38495.0336849311*(RANDBETWEEN(2890,3282))</f>
        <v>111943557.95577961</v>
      </c>
      <c r="B6094">
        <v>206883621.5213739</v>
      </c>
    </row>
    <row r="6095" spans="1:2" x14ac:dyDescent="0.25">
      <c r="A6095">
        <f ca="1">31934.8971765991*(RANDBETWEEN(2890,3282))</f>
        <v>100211707.34016787</v>
      </c>
      <c r="B6095">
        <v>214836016.49345893</v>
      </c>
    </row>
    <row r="6096" spans="1:2" x14ac:dyDescent="0.25">
      <c r="A6096">
        <f ca="1">37928.4875455994*(RANDBETWEEN(2890,3282))</f>
        <v>122433157.79719502</v>
      </c>
      <c r="B6096">
        <v>213015109.17359978</v>
      </c>
    </row>
    <row r="6097" spans="1:2" x14ac:dyDescent="0.25">
      <c r="A6097">
        <f ca="1">27929.505030985*(RANDBETWEEN(2890,3282))</f>
        <v>88899614.513625383</v>
      </c>
      <c r="B6097">
        <v>265162239.58482522</v>
      </c>
    </row>
    <row r="6098" spans="1:2" x14ac:dyDescent="0.25">
      <c r="A6098">
        <f ca="1">28491.2511190068*(RANDBETWEEN(2890,3282))</f>
        <v>92140706.118868098</v>
      </c>
      <c r="B6098">
        <v>221403408.99037537</v>
      </c>
    </row>
    <row r="6099" spans="1:2" x14ac:dyDescent="0.25">
      <c r="A6099">
        <f ca="1">30765.3928961343*(RANDBETWEEN(2890,3282))</f>
        <v>92757659.581845015</v>
      </c>
      <c r="B6099">
        <v>267874345.50363374</v>
      </c>
    </row>
    <row r="6100" spans="1:2" x14ac:dyDescent="0.25">
      <c r="A6100">
        <f ca="1">33504.5062824834*(RANDBETWEEN(2890,3282))</f>
        <v>105874239.85264739</v>
      </c>
      <c r="B6100">
        <v>238114409.64778394</v>
      </c>
    </row>
    <row r="6101" spans="1:2" x14ac:dyDescent="0.25">
      <c r="A6101">
        <f ca="1">31844.2996609081*(RANDBETWEEN(2890,3282))</f>
        <v>96074252.076959595</v>
      </c>
      <c r="B6101">
        <v>210839429.65255538</v>
      </c>
    </row>
    <row r="6102" spans="1:2" x14ac:dyDescent="0.25">
      <c r="A6102">
        <f ca="1">30313.6259634692*(RANDBETWEEN(2890,3282))</f>
        <v>97518934.724480286</v>
      </c>
      <c r="B6102">
        <v>260504254.88546592</v>
      </c>
    </row>
    <row r="6103" spans="1:2" x14ac:dyDescent="0.25">
      <c r="A6103">
        <f ca="1">41610.8082442457*(RANDBETWEEN(2890,3282))</f>
        <v>130116997.37975641</v>
      </c>
      <c r="B6103">
        <v>229628453.61695558</v>
      </c>
    </row>
    <row r="6104" spans="1:2" x14ac:dyDescent="0.25">
      <c r="A6104">
        <f ca="1">31706.4396399463*(RANDBETWEEN(2890,3282))</f>
        <v>101048423.13250875</v>
      </c>
      <c r="B6104">
        <v>258694973.10654053</v>
      </c>
    </row>
    <row r="6105" spans="1:2" x14ac:dyDescent="0.25">
      <c r="A6105">
        <f ca="1">39831.7316787638*(RANDBETWEEN(2890,3282))</f>
        <v>126147094.22664495</v>
      </c>
      <c r="B6105">
        <v>217530725.88539463</v>
      </c>
    </row>
    <row r="6106" spans="1:2" x14ac:dyDescent="0.25">
      <c r="A6106">
        <f ca="1">37699.7969236249*(RANDBETWEEN(2890,3282))</f>
        <v>120375451.5771343</v>
      </c>
      <c r="B6106">
        <v>264646827.02258757</v>
      </c>
    </row>
    <row r="6107" spans="1:2" x14ac:dyDescent="0.25">
      <c r="A6107">
        <f ca="1">37486.2001442888*(RANDBETWEEN(2890,3282))</f>
        <v>111708876.42998056</v>
      </c>
      <c r="B6107">
        <v>215729250.65286183</v>
      </c>
    </row>
    <row r="6108" spans="1:2" x14ac:dyDescent="0.25">
      <c r="A6108">
        <f ca="1">35351.6384344636*(RANDBETWEEN(2890,3282))</f>
        <v>113832275.75897287</v>
      </c>
      <c r="B6108">
        <v>241497886.21583724</v>
      </c>
    </row>
    <row r="6109" spans="1:2" x14ac:dyDescent="0.25">
      <c r="A6109">
        <f ca="1">38336.7674903736*(RANDBETWEEN(2890,3282))</f>
        <v>123981106.06386812</v>
      </c>
      <c r="B6109">
        <v>250735028.58863235</v>
      </c>
    </row>
    <row r="6110" spans="1:2" x14ac:dyDescent="0.25">
      <c r="A6110">
        <f ca="1">38177.9594458377*(RANDBETWEEN(2890,3282))</f>
        <v>112243200.77076295</v>
      </c>
      <c r="B6110">
        <v>263137473.31966668</v>
      </c>
    </row>
    <row r="6111" spans="1:2" x14ac:dyDescent="0.25">
      <c r="A6111">
        <f ca="1">35105.1057044635*(RANDBETWEEN(2890,3282))</f>
        <v>104543004.78789227</v>
      </c>
      <c r="B6111">
        <v>228408734.01338577</v>
      </c>
    </row>
    <row r="6112" spans="1:2" x14ac:dyDescent="0.25">
      <c r="A6112">
        <f ca="1">38527.8470833954*(RANDBETWEEN(2890,3282))</f>
        <v>119860132.27644299</v>
      </c>
      <c r="B6112">
        <v>225330205.6011354</v>
      </c>
    </row>
    <row r="6113" spans="1:2" x14ac:dyDescent="0.25">
      <c r="A6113">
        <f ca="1">41847.0756110544*(RANDBETWEEN(2890,3282))</f>
        <v>128888992.88204752</v>
      </c>
      <c r="B6113">
        <v>238990511.40515733</v>
      </c>
    </row>
    <row r="6114" spans="1:2" x14ac:dyDescent="0.25">
      <c r="A6114">
        <f ca="1">40426.2944583023*(RANDBETWEEN(2890,3282))</f>
        <v>129889684.09452538</v>
      </c>
      <c r="B6114">
        <v>227582984.0651781</v>
      </c>
    </row>
    <row r="6115" spans="1:2" x14ac:dyDescent="0.25">
      <c r="A6115">
        <f ca="1">37021.4982090889*(RANDBETWEEN(2890,3282))</f>
        <v>117506235.31564815</v>
      </c>
      <c r="B6115">
        <v>263940752.42215377</v>
      </c>
    </row>
    <row r="6116" spans="1:2" x14ac:dyDescent="0.25">
      <c r="A6116">
        <f ca="1">30626.4785555989*(RANDBETWEEN(2890,3282))</f>
        <v>97453454.763915583</v>
      </c>
      <c r="B6116">
        <v>207170896.93331879</v>
      </c>
    </row>
    <row r="6117" spans="1:2" x14ac:dyDescent="0.25">
      <c r="A6117">
        <f ca="1">34459.9893449758*(RANDBETWEEN(2890,3282))</f>
        <v>105034047.52348636</v>
      </c>
      <c r="B6117">
        <v>253399095.29072288</v>
      </c>
    </row>
    <row r="6118" spans="1:2" x14ac:dyDescent="0.25">
      <c r="A6118">
        <f ca="1">31286.6841349477*(RANDBETWEEN(2890,3282))</f>
        <v>102589037.27849366</v>
      </c>
      <c r="B6118">
        <v>232319803.01936179</v>
      </c>
    </row>
    <row r="6119" spans="1:2" x14ac:dyDescent="0.25">
      <c r="A6119">
        <f ca="1">37609.0078439819*(RANDBETWEEN(2890,3282))</f>
        <v>113052677.57900971</v>
      </c>
      <c r="B6119">
        <v>206051161.14209095</v>
      </c>
    </row>
    <row r="6120" spans="1:2" x14ac:dyDescent="0.25">
      <c r="A6120">
        <f ca="1">42565.6700696959*(RANDBETWEEN(2890,3282))</f>
        <v>123525574.54225743</v>
      </c>
      <c r="B6120">
        <v>218322168.78364754</v>
      </c>
    </row>
    <row r="6121" spans="1:2" x14ac:dyDescent="0.25">
      <c r="A6121">
        <f ca="1">33284.9770494228*(RANDBETWEEN(2890,3282))</f>
        <v>107876610.61717936</v>
      </c>
      <c r="B6121">
        <v>228158600.31376967</v>
      </c>
    </row>
    <row r="6122" spans="1:2" x14ac:dyDescent="0.25">
      <c r="A6122">
        <f ca="1">30390.0556819317*(RANDBETWEEN(2890,3282))</f>
        <v>89529104.038970694</v>
      </c>
      <c r="B6122">
        <v>218949503.43962127</v>
      </c>
    </row>
    <row r="6123" spans="1:2" x14ac:dyDescent="0.25">
      <c r="A6123">
        <f ca="1">31042.6751125312*(RANDBETWEEN(2890,3282))</f>
        <v>94618073.742995203</v>
      </c>
      <c r="B6123">
        <v>242415952.6045208</v>
      </c>
    </row>
    <row r="6124" spans="1:2" x14ac:dyDescent="0.25">
      <c r="A6124">
        <f ca="1">33517.5297210189*(RANDBETWEEN(2890,3282))</f>
        <v>108999006.65275352</v>
      </c>
      <c r="B6124">
        <v>248951808.75977385</v>
      </c>
    </row>
    <row r="6125" spans="1:2" x14ac:dyDescent="0.25">
      <c r="A6125">
        <f ca="1">35738.9205991447*(RANDBETWEEN(2890,3282))</f>
        <v>108288929.41540837</v>
      </c>
      <c r="B6125">
        <v>217667918.90596902</v>
      </c>
    </row>
    <row r="6126" spans="1:2" x14ac:dyDescent="0.25">
      <c r="A6126">
        <f ca="1">29411.8611145131*(RANDBETWEEN(2890,3282))</f>
        <v>91706182.95505175</v>
      </c>
      <c r="B6126">
        <v>232964660.564601</v>
      </c>
    </row>
    <row r="6127" spans="1:2" x14ac:dyDescent="0.25">
      <c r="A6127">
        <f ca="1">39938.7565401684*(RANDBETWEEN(2890,3282))</f>
        <v>122611982.57831696</v>
      </c>
      <c r="B6127">
        <v>229865922.90056863</v>
      </c>
    </row>
    <row r="6128" spans="1:2" x14ac:dyDescent="0.25">
      <c r="A6128">
        <f ca="1">32534.7574292394*(RANDBETWEEN(2890,3282))</f>
        <v>97051181.411421269</v>
      </c>
      <c r="B6128">
        <v>244516390.82757449</v>
      </c>
    </row>
    <row r="6129" spans="1:2" x14ac:dyDescent="0.25">
      <c r="A6129">
        <f ca="1">38920.2474143685*(RANDBETWEEN(2890,3282))</f>
        <v>125284276.42685217</v>
      </c>
      <c r="B6129">
        <v>236818449.46045125</v>
      </c>
    </row>
    <row r="6130" spans="1:2" x14ac:dyDescent="0.25">
      <c r="A6130">
        <f ca="1">39023.2174280058*(RANDBETWEEN(2890,3282))</f>
        <v>126435224.46673886</v>
      </c>
      <c r="B6130">
        <v>250882375.35634756</v>
      </c>
    </row>
    <row r="6131" spans="1:2" x14ac:dyDescent="0.25">
      <c r="A6131">
        <f ca="1">30977.9357032692*(RANDBETWEEN(2890,3282))</f>
        <v>94761505.316300437</v>
      </c>
      <c r="B6131">
        <v>261377142.02745461</v>
      </c>
    </row>
    <row r="6132" spans="1:2" x14ac:dyDescent="0.25">
      <c r="A6132">
        <f ca="1">38015.8205437031*(RANDBETWEEN(2890,3282))</f>
        <v>112298733.88609904</v>
      </c>
      <c r="B6132">
        <v>222908603.81023976</v>
      </c>
    </row>
    <row r="6133" spans="1:2" x14ac:dyDescent="0.25">
      <c r="A6133">
        <f ca="1">35028.7522815101*(RANDBETWEEN(2890,3282))</f>
        <v>104595854.31258915</v>
      </c>
      <c r="B6133">
        <v>224231959.54670623</v>
      </c>
    </row>
    <row r="6134" spans="1:2" x14ac:dyDescent="0.25">
      <c r="A6134">
        <f ca="1">29880.6503077452*(RANDBETWEEN(2890,3282))</f>
        <v>92510493.352779031</v>
      </c>
      <c r="B6134">
        <v>221526474.72709477</v>
      </c>
    </row>
    <row r="6135" spans="1:2" x14ac:dyDescent="0.25">
      <c r="A6135">
        <f ca="1">33133.3573611615*(RANDBETWEEN(2890,3282))</f>
        <v>107617144.70905255</v>
      </c>
      <c r="B6135">
        <v>265863010.11030903</v>
      </c>
    </row>
    <row r="6136" spans="1:2" x14ac:dyDescent="0.25">
      <c r="A6136">
        <f ca="1">36131.8995723949*(RANDBETWEEN(2890,3282))</f>
        <v>115549814.83251895</v>
      </c>
      <c r="B6136">
        <v>243565696.10590553</v>
      </c>
    </row>
    <row r="6137" spans="1:2" x14ac:dyDescent="0.25">
      <c r="A6137">
        <f ca="1">33046.8588097957*(RANDBETWEEN(2890,3282))</f>
        <v>95935031.124837056</v>
      </c>
      <c r="B6137">
        <v>235623926.16302565</v>
      </c>
    </row>
    <row r="6138" spans="1:2" x14ac:dyDescent="0.25">
      <c r="A6138">
        <f ca="1">32523.0519411867*(RANDBETWEEN(2890,3282))</f>
        <v>103781058.74432662</v>
      </c>
      <c r="B6138">
        <v>238006213.43528914</v>
      </c>
    </row>
    <row r="6139" spans="1:2" x14ac:dyDescent="0.25">
      <c r="A6139">
        <f ca="1">35479.3602591647*(RANDBETWEEN(2890,3282))</f>
        <v>113179159.2267354</v>
      </c>
      <c r="B6139">
        <v>221176562.52113643</v>
      </c>
    </row>
    <row r="6140" spans="1:2" x14ac:dyDescent="0.25">
      <c r="A6140">
        <f ca="1">31915.9457299972*(RANDBETWEEN(2890,3282))</f>
        <v>99003263.654451191</v>
      </c>
      <c r="B6140">
        <v>236211945.73214716</v>
      </c>
    </row>
    <row r="6141" spans="1:2" x14ac:dyDescent="0.25">
      <c r="A6141">
        <f ca="1">35636.8494150377*(RANDBETWEEN(2890,3282))</f>
        <v>105449437.4190965</v>
      </c>
      <c r="B6141">
        <v>204591110.85048515</v>
      </c>
    </row>
    <row r="6142" spans="1:2" x14ac:dyDescent="0.25">
      <c r="A6142">
        <f ca="1">31939.3192612759*(RANDBETWEEN(2890,3282))</f>
        <v>92751783.134745285</v>
      </c>
      <c r="B6142">
        <v>242075812.20444793</v>
      </c>
    </row>
    <row r="6143" spans="1:2" x14ac:dyDescent="0.25">
      <c r="A6143">
        <f ca="1">35173.8105870234*(RANDBETWEEN(2890,3282))</f>
        <v>105732474.62459224</v>
      </c>
      <c r="B6143">
        <v>237767805.81900427</v>
      </c>
    </row>
    <row r="6144" spans="1:2" x14ac:dyDescent="0.25">
      <c r="A6144">
        <f ca="1">30989.1004872386*(RANDBETWEEN(2890,3282))</f>
        <v>89899380.513479158</v>
      </c>
      <c r="B6144">
        <v>212608015.49138784</v>
      </c>
    </row>
    <row r="6145" spans="1:2" x14ac:dyDescent="0.25">
      <c r="A6145">
        <f ca="1">41304.4598207016*(RANDBETWEEN(2890,3282))</f>
        <v>127630780.8459679</v>
      </c>
      <c r="B6145">
        <v>254571381.314412</v>
      </c>
    </row>
    <row r="6146" spans="1:2" x14ac:dyDescent="0.25">
      <c r="A6146">
        <f ca="1">32981.8131779617*(RANDBETWEEN(2890,3282))</f>
        <v>101880820.90672375</v>
      </c>
      <c r="B6146">
        <v>225646342.25471562</v>
      </c>
    </row>
    <row r="6147" spans="1:2" x14ac:dyDescent="0.25">
      <c r="A6147">
        <f ca="1">37036.4404004056*(RANDBETWEEN(2890,3282))</f>
        <v>113627799.14844437</v>
      </c>
      <c r="B6147">
        <v>255259911.98216173</v>
      </c>
    </row>
    <row r="6148" spans="1:2" x14ac:dyDescent="0.25">
      <c r="A6148">
        <f ca="1">32174.2268073278*(RANDBETWEEN(2890,3282))</f>
        <v>95879195.885836706</v>
      </c>
      <c r="B6148">
        <v>215383761.59978217</v>
      </c>
    </row>
    <row r="6149" spans="1:2" x14ac:dyDescent="0.25">
      <c r="A6149">
        <f ca="1">32427.4499104502*(RANDBETWEEN(2890,3282))</f>
        <v>100298102.57302251</v>
      </c>
      <c r="B6149">
        <v>257916409.17270157</v>
      </c>
    </row>
    <row r="6150" spans="1:2" x14ac:dyDescent="0.25">
      <c r="A6150">
        <f ca="1">32459.9951530063*(RANDBETWEEN(2890,3282))</f>
        <v>104034284.46538508</v>
      </c>
      <c r="B6150">
        <v>223357589.5840987</v>
      </c>
    </row>
    <row r="6151" spans="1:2" x14ac:dyDescent="0.25">
      <c r="A6151">
        <f ca="1">32726.2443994514*(RANDBETWEEN(2890,3282))</f>
        <v>96738778.444778323</v>
      </c>
      <c r="B6151">
        <v>245620498.34955192</v>
      </c>
    </row>
    <row r="6152" spans="1:2" x14ac:dyDescent="0.25">
      <c r="A6152">
        <f ca="1">39496.631987808*(RANDBETWEEN(2890,3282))</f>
        <v>128482543.85633956</v>
      </c>
      <c r="B6152">
        <v>215055380.04281044</v>
      </c>
    </row>
    <row r="6153" spans="1:2" x14ac:dyDescent="0.25">
      <c r="A6153">
        <f ca="1">29175.9942833257*(RANDBETWEEN(2890,3282))</f>
        <v>91904381.992476046</v>
      </c>
      <c r="B6153">
        <v>228395883.57631409</v>
      </c>
    </row>
    <row r="6154" spans="1:2" x14ac:dyDescent="0.25">
      <c r="A6154">
        <f ca="1">32060.9369650188*(RANDBETWEEN(2890,3282))</f>
        <v>100703403.00712413</v>
      </c>
      <c r="B6154">
        <v>265268660.7798419</v>
      </c>
    </row>
    <row r="6155" spans="1:2" x14ac:dyDescent="0.25">
      <c r="A6155">
        <f ca="1">40203.5839502592*(RANDBETWEEN(2890,3282))</f>
        <v>119042812.07671748</v>
      </c>
      <c r="B6155">
        <v>208717042.99976772</v>
      </c>
    </row>
    <row r="6156" spans="1:2" x14ac:dyDescent="0.25">
      <c r="A6156">
        <f ca="1">31758.4046449739*(RANDBETWEEN(2890,3282))</f>
        <v>103786466.37977481</v>
      </c>
      <c r="B6156">
        <v>240745931.74456671</v>
      </c>
    </row>
    <row r="6157" spans="1:2" x14ac:dyDescent="0.25">
      <c r="A6157">
        <f ca="1">31163.8886310843*(RANDBETWEEN(2890,3282))</f>
        <v>92432093.679796055</v>
      </c>
      <c r="B6157">
        <v>251393902.19378147</v>
      </c>
    </row>
    <row r="6158" spans="1:2" x14ac:dyDescent="0.25">
      <c r="A6158">
        <f ca="1">31860.4647728202*(RANDBETWEEN(2890,3282))</f>
        <v>96027440.82528016</v>
      </c>
      <c r="B6158">
        <v>208873996.20785415</v>
      </c>
    </row>
    <row r="6159" spans="1:2" x14ac:dyDescent="0.25">
      <c r="A6159">
        <f ca="1">36166.9886052603*(RANDBETWEEN(2890,3282))</f>
        <v>115264192.68496457</v>
      </c>
      <c r="B6159">
        <v>216850776.68558374</v>
      </c>
    </row>
    <row r="6160" spans="1:2" x14ac:dyDescent="0.25">
      <c r="A6160">
        <f ca="1">38053.6230033941*(RANDBETWEEN(2890,3282))</f>
        <v>123141524.03898324</v>
      </c>
      <c r="B6160">
        <v>235943893.8281351</v>
      </c>
    </row>
    <row r="6161" spans="1:2" x14ac:dyDescent="0.25">
      <c r="A6161">
        <f ca="1">35984.3687500803*(RANDBETWEEN(2890,3282))</f>
        <v>108528856.15024233</v>
      </c>
      <c r="B6161">
        <v>236293940.3398166</v>
      </c>
    </row>
    <row r="6162" spans="1:2" x14ac:dyDescent="0.25">
      <c r="A6162">
        <f ca="1">29179.2985349867*(RANDBETWEEN(2890,3282))</f>
        <v>94161596.372402161</v>
      </c>
      <c r="B6162">
        <v>235615539.54140085</v>
      </c>
    </row>
    <row r="6163" spans="1:2" x14ac:dyDescent="0.25">
      <c r="A6163">
        <f ca="1">30136.8913108214*(RANDBETWEEN(2890,3282))</f>
        <v>88301091.540706709</v>
      </c>
      <c r="B6163">
        <v>261445882.25182727</v>
      </c>
    </row>
    <row r="6164" spans="1:2" x14ac:dyDescent="0.25">
      <c r="A6164">
        <f ca="1">36914.0455166359*(RANDBETWEEN(2890,3282))</f>
        <v>113584518.0546886</v>
      </c>
      <c r="B6164">
        <v>233313248.17660052</v>
      </c>
    </row>
    <row r="6165" spans="1:2" x14ac:dyDescent="0.25">
      <c r="A6165">
        <f ca="1">29292.859518866*(RANDBETWEEN(2890,3282))</f>
        <v>86443228.440173462</v>
      </c>
      <c r="B6165">
        <v>251218537.98897123</v>
      </c>
    </row>
    <row r="6166" spans="1:2" x14ac:dyDescent="0.25">
      <c r="A6166">
        <f ca="1">32324.5548322351*(RANDBETWEEN(2890,3282))</f>
        <v>96909015.38704069</v>
      </c>
      <c r="B6166">
        <v>238058499.47243476</v>
      </c>
    </row>
    <row r="6167" spans="1:2" x14ac:dyDescent="0.25">
      <c r="A6167">
        <f ca="1">30942.9680495465*(RANDBETWEEN(2890,3282))</f>
        <v>94221337.710869059</v>
      </c>
      <c r="B6167">
        <v>208867429.98892444</v>
      </c>
    </row>
    <row r="6168" spans="1:2" x14ac:dyDescent="0.25">
      <c r="A6168">
        <f ca="1">31997.9239717709*(RANDBETWEEN(2890,3282))</f>
        <v>92793979.518135548</v>
      </c>
      <c r="B6168">
        <v>207241164.11854157</v>
      </c>
    </row>
    <row r="6169" spans="1:2" x14ac:dyDescent="0.25">
      <c r="A6169">
        <f ca="1">39240.678644481*(RANDBETWEEN(2890,3282))</f>
        <v>113444801.96119468</v>
      </c>
      <c r="B6169">
        <v>255909511.7855331</v>
      </c>
    </row>
    <row r="6170" spans="1:2" x14ac:dyDescent="0.25">
      <c r="A6170">
        <f ca="1">39368.6577544254*(RANDBETWEEN(2890,3282))</f>
        <v>127239501.86230274</v>
      </c>
      <c r="B6170">
        <v>226403806.18684885</v>
      </c>
    </row>
    <row r="6171" spans="1:2" x14ac:dyDescent="0.25">
      <c r="A6171">
        <f ca="1">39194.6757508059*(RANDBETWEEN(2890,3282))</f>
        <v>125893298.51158886</v>
      </c>
      <c r="B6171">
        <v>215394694.80716172</v>
      </c>
    </row>
    <row r="6172" spans="1:2" x14ac:dyDescent="0.25">
      <c r="A6172">
        <f ca="1">32604.8681557481*(RANDBETWEEN(2890,3282))</f>
        <v>104922465.72519745</v>
      </c>
      <c r="B6172">
        <v>206813044.66089672</v>
      </c>
    </row>
    <row r="6173" spans="1:2" x14ac:dyDescent="0.25">
      <c r="A6173">
        <f ca="1">33165.3395541216*(RANDBETWEEN(2890,3282))</f>
        <v>108715983.05841067</v>
      </c>
      <c r="B6173">
        <v>256117927.01198429</v>
      </c>
    </row>
    <row r="6174" spans="1:2" x14ac:dyDescent="0.25">
      <c r="A6174">
        <f ca="1">34565.8004865806*(RANDBETWEEN(2890,3282))</f>
        <v>105598520.48650371</v>
      </c>
      <c r="B6174">
        <v>262639322.36339837</v>
      </c>
    </row>
    <row r="6175" spans="1:2" x14ac:dyDescent="0.25">
      <c r="A6175">
        <f ca="1">31744.8140001299*(RANDBETWEEN(2890,3282))</f>
        <v>97297854.910398185</v>
      </c>
      <c r="B6175">
        <v>261644781.68308458</v>
      </c>
    </row>
    <row r="6176" spans="1:2" x14ac:dyDescent="0.25">
      <c r="A6176">
        <f ca="1">38099.1059782744*(RANDBETWEEN(2890,3282))</f>
        <v>119707390.98373814</v>
      </c>
      <c r="B6176">
        <v>233162146.85701546</v>
      </c>
    </row>
    <row r="6177" spans="1:2" x14ac:dyDescent="0.25">
      <c r="A6177">
        <f ca="1">31345.3996597973*(RANDBETWEEN(2890,3282))</f>
        <v>96293067.754897371</v>
      </c>
      <c r="B6177">
        <v>218070901.32664376</v>
      </c>
    </row>
    <row r="6178" spans="1:2" x14ac:dyDescent="0.25">
      <c r="A6178">
        <f ca="1">34359.7428606912*(RANDBETWEEN(2890,3282))</f>
        <v>109779378.43990847</v>
      </c>
      <c r="B6178">
        <v>266836033.40520164</v>
      </c>
    </row>
    <row r="6179" spans="1:2" x14ac:dyDescent="0.25">
      <c r="A6179">
        <f ca="1">30573.5912563561*(RANDBETWEEN(2890,3282))</f>
        <v>95022721.624754831</v>
      </c>
      <c r="B6179">
        <v>204559393.54376984</v>
      </c>
    </row>
    <row r="6180" spans="1:2" x14ac:dyDescent="0.25">
      <c r="A6180">
        <f ca="1">35430.3848106197*(RANDBETWEEN(2890,3282))</f>
        <v>104094470.57360062</v>
      </c>
      <c r="B6180">
        <v>205440061.0753814</v>
      </c>
    </row>
    <row r="6181" spans="1:2" x14ac:dyDescent="0.25">
      <c r="A6181">
        <f ca="1">38266.7151474959*(RANDBETWEEN(2890,3282))</f>
        <v>111547474.65495075</v>
      </c>
      <c r="B6181">
        <v>249554806.93146908</v>
      </c>
    </row>
    <row r="6182" spans="1:2" x14ac:dyDescent="0.25">
      <c r="A6182">
        <f ca="1">36795.3344567224*(RANDBETWEEN(2890,3282))</f>
        <v>107368785.94471602</v>
      </c>
      <c r="B6182">
        <v>245453025.14412028</v>
      </c>
    </row>
    <row r="6183" spans="1:2" x14ac:dyDescent="0.25">
      <c r="A6183">
        <f ca="1">30877.5315475192*(RANDBETWEEN(2890,3282))</f>
        <v>93157512.678865537</v>
      </c>
      <c r="B6183">
        <v>228024689.32362208</v>
      </c>
    </row>
    <row r="6184" spans="1:2" x14ac:dyDescent="0.25">
      <c r="A6184">
        <f ca="1">37284.4819890725*(RANDBETWEEN(2890,3282))</f>
        <v>118788359.61718494</v>
      </c>
      <c r="B6184">
        <v>221523618.99182105</v>
      </c>
    </row>
    <row r="6185" spans="1:2" x14ac:dyDescent="0.25">
      <c r="A6185">
        <f ca="1">34498.7172019551*(RANDBETWEEN(2890,3282))</f>
        <v>109498928.39900556</v>
      </c>
      <c r="B6185">
        <v>216571264.26247153</v>
      </c>
    </row>
    <row r="6186" spans="1:2" x14ac:dyDescent="0.25">
      <c r="A6186">
        <f ca="1">30386.3454893661*(RANDBETWEEN(2890,3282))</f>
        <v>97965577.857716337</v>
      </c>
      <c r="B6186">
        <v>213462348.67474079</v>
      </c>
    </row>
    <row r="6187" spans="1:2" x14ac:dyDescent="0.25">
      <c r="A6187">
        <f ca="1">33309.1626958742*(RANDBETWEEN(2890,3282))</f>
        <v>104923862.49200381</v>
      </c>
      <c r="B6187">
        <v>247993557.2619026</v>
      </c>
    </row>
    <row r="6188" spans="1:2" x14ac:dyDescent="0.25">
      <c r="A6188">
        <f ca="1">32563.9061986293*(RANDBETWEEN(2890,3282))</f>
        <v>95444809.068182468</v>
      </c>
      <c r="B6188">
        <v>228062049.87346247</v>
      </c>
    </row>
    <row r="6189" spans="1:2" x14ac:dyDescent="0.25">
      <c r="A6189">
        <f ca="1">31495.308456687*(RANDBETWEEN(2890,3282))</f>
        <v>91462375.758218974</v>
      </c>
      <c r="B6189">
        <v>265868889.81413463</v>
      </c>
    </row>
    <row r="6190" spans="1:2" x14ac:dyDescent="0.25">
      <c r="A6190">
        <f ca="1">29625.9568100788*(RANDBETWEEN(2890,3282))</f>
        <v>87544702.373782724</v>
      </c>
      <c r="B6190">
        <v>225672825.88940617</v>
      </c>
    </row>
    <row r="6191" spans="1:2" x14ac:dyDescent="0.25">
      <c r="A6191">
        <f ca="1">38015.7884300912*(RANDBETWEEN(2890,3282))</f>
        <v>115187838.94317622</v>
      </c>
      <c r="B6191">
        <v>237255091.74044287</v>
      </c>
    </row>
    <row r="6192" spans="1:2" x14ac:dyDescent="0.25">
      <c r="A6192">
        <f ca="1">34592.7418669704*(RANDBETWEEN(2890,3282))</f>
        <v>105058157.04998907</v>
      </c>
      <c r="B6192">
        <v>227693129.40285793</v>
      </c>
    </row>
    <row r="6193" spans="1:2" x14ac:dyDescent="0.25">
      <c r="A6193">
        <f ca="1">41151.2871634627*(RANDBETWEEN(2890,3282))</f>
        <v>131025698.32846522</v>
      </c>
      <c r="B6193">
        <v>214552810.89379787</v>
      </c>
    </row>
    <row r="6194" spans="1:2" x14ac:dyDescent="0.25">
      <c r="A6194">
        <f ca="1">34040.5160638497*(RANDBETWEEN(2890,3282))</f>
        <v>99670631.034951955</v>
      </c>
      <c r="B6194">
        <v>233594921.94255257</v>
      </c>
    </row>
    <row r="6195" spans="1:2" x14ac:dyDescent="0.25">
      <c r="A6195">
        <f ca="1">29879.5495304633*(RANDBETWEEN(2890,3282))</f>
        <v>87995273.367214367</v>
      </c>
      <c r="B6195">
        <v>252988146.20611364</v>
      </c>
    </row>
    <row r="6196" spans="1:2" x14ac:dyDescent="0.25">
      <c r="A6196">
        <f ca="1">41347.2549799296*(RANDBETWEEN(2890,3282))</f>
        <v>123421556.11508989</v>
      </c>
      <c r="B6196">
        <v>256401562.37194782</v>
      </c>
    </row>
    <row r="6197" spans="1:2" x14ac:dyDescent="0.25">
      <c r="A6197">
        <f ca="1">37455.9881193883*(RANDBETWEEN(2890,3282))</f>
        <v>109034381.41553921</v>
      </c>
      <c r="B6197">
        <v>205907714.27885246</v>
      </c>
    </row>
    <row r="6198" spans="1:2" x14ac:dyDescent="0.25">
      <c r="A6198">
        <f ca="1">32213.5332039985*(RANDBETWEEN(2890,3282))</f>
        <v>99249895.801519334</v>
      </c>
      <c r="B6198">
        <v>250989118.84132114</v>
      </c>
    </row>
    <row r="6199" spans="1:2" x14ac:dyDescent="0.25">
      <c r="A6199">
        <f ca="1">32733.632355182*(RANDBETWEEN(2890,3282))</f>
        <v>105664165.24252766</v>
      </c>
      <c r="B6199">
        <v>224941688.5246543</v>
      </c>
    </row>
    <row r="6200" spans="1:2" x14ac:dyDescent="0.25">
      <c r="A6200">
        <f ca="1">40214.1053351388*(RANDBETWEEN(2890,3282))</f>
        <v>126875502.33236304</v>
      </c>
      <c r="B6200">
        <v>265912964.12243819</v>
      </c>
    </row>
    <row r="6201" spans="1:2" x14ac:dyDescent="0.25">
      <c r="A6201">
        <f ca="1">29080.0296562874*(RANDBETWEEN(2890,3282))</f>
        <v>86513088.227455124</v>
      </c>
      <c r="B6201">
        <v>228382126.3152597</v>
      </c>
    </row>
    <row r="6202" spans="1:2" x14ac:dyDescent="0.25">
      <c r="A6202">
        <f ca="1">31207.2607594437*(RANDBETWEEN(2890,3282))</f>
        <v>92623149.934028924</v>
      </c>
      <c r="B6202">
        <v>213247561.57867652</v>
      </c>
    </row>
    <row r="6203" spans="1:2" x14ac:dyDescent="0.25">
      <c r="A6203">
        <f ca="1">34735.2897308842*(RANDBETWEEN(2890,3282))</f>
        <v>102260692.96772303</v>
      </c>
      <c r="B6203">
        <v>240997403.31939673</v>
      </c>
    </row>
    <row r="6204" spans="1:2" x14ac:dyDescent="0.25">
      <c r="A6204">
        <f ca="1">32718.5759054735*(RANDBETWEEN(2890,3282))</f>
        <v>95145618.733117089</v>
      </c>
      <c r="B6204">
        <v>242139744.13576275</v>
      </c>
    </row>
    <row r="6205" spans="1:2" x14ac:dyDescent="0.25">
      <c r="A6205">
        <f ca="1">27464.4977524545*(RANDBETWEEN(2890,3282))</f>
        <v>85387123.512380943</v>
      </c>
      <c r="B6205">
        <v>205037969.48788923</v>
      </c>
    </row>
    <row r="6206" spans="1:2" x14ac:dyDescent="0.25">
      <c r="A6206">
        <f ca="1">30947.0924962413*(RANDBETWEEN(2890,3282))</f>
        <v>97297658.808182493</v>
      </c>
      <c r="B6206">
        <v>240913098.21149063</v>
      </c>
    </row>
    <row r="6207" spans="1:2" x14ac:dyDescent="0.25">
      <c r="A6207">
        <f ca="1">32246.9317943709*(RANDBETWEEN(2890,3282))</f>
        <v>102029292.19738959</v>
      </c>
      <c r="B6207">
        <v>220472777.03012222</v>
      </c>
    </row>
    <row r="6208" spans="1:2" x14ac:dyDescent="0.25">
      <c r="A6208">
        <f ca="1">35408.8248088201*(RANDBETWEEN(2890,3282))</f>
        <v>112210565.81915106</v>
      </c>
      <c r="B6208">
        <v>263210486.06646496</v>
      </c>
    </row>
    <row r="6209" spans="1:2" x14ac:dyDescent="0.25">
      <c r="A6209">
        <f ca="1">28659.7475269425*(RANDBETWEEN(2890,3282))</f>
        <v>84517595.456953302</v>
      </c>
      <c r="B6209">
        <v>219036339.05943426</v>
      </c>
    </row>
    <row r="6210" spans="1:2" x14ac:dyDescent="0.25">
      <c r="A6210">
        <f ca="1">31249.2313570168*(RANDBETWEEN(2890,3282))</f>
        <v>94247681.772762612</v>
      </c>
      <c r="B6210">
        <v>239385329.00214079</v>
      </c>
    </row>
    <row r="6211" spans="1:2" x14ac:dyDescent="0.25">
      <c r="A6211">
        <f ca="1">32011.5368547787*(RANDBETWEEN(2890,3282))</f>
        <v>95778518.269497976</v>
      </c>
      <c r="B6211">
        <v>261193240.54079479</v>
      </c>
    </row>
    <row r="6212" spans="1:2" x14ac:dyDescent="0.25">
      <c r="A6212">
        <f ca="1">31932.5655104789*(RANDBETWEEN(2890,3282))</f>
        <v>102535467.85414787</v>
      </c>
      <c r="B6212">
        <v>229750052.4413448</v>
      </c>
    </row>
    <row r="6213" spans="1:2" x14ac:dyDescent="0.25">
      <c r="A6213">
        <f ca="1">34972.3745331977*(RANDBETWEEN(2890,3282))</f>
        <v>103553200.99279846</v>
      </c>
      <c r="B6213">
        <v>211005072.44557244</v>
      </c>
    </row>
    <row r="6214" spans="1:2" x14ac:dyDescent="0.25">
      <c r="A6214">
        <f ca="1">28349.6178107347*(RANDBETWEEN(2890,3282))</f>
        <v>92107908.267077014</v>
      </c>
      <c r="B6214">
        <v>265669493.21855888</v>
      </c>
    </row>
    <row r="6215" spans="1:2" x14ac:dyDescent="0.25">
      <c r="A6215">
        <f ca="1">37138.6739284206*(RANDBETWEEN(2890,3282))</f>
        <v>121889127.83307645</v>
      </c>
      <c r="B6215">
        <v>265469384.10532236</v>
      </c>
    </row>
    <row r="6216" spans="1:2" x14ac:dyDescent="0.25">
      <c r="A6216">
        <f ca="1">35772.5240894976*(RANDBETWEEN(2890,3282))</f>
        <v>111753365.25559051</v>
      </c>
      <c r="B6216">
        <v>206034535.8003042</v>
      </c>
    </row>
    <row r="6217" spans="1:2" x14ac:dyDescent="0.25">
      <c r="A6217">
        <f ca="1">37284.6679033592*(RANDBETWEEN(2890,3282))</f>
        <v>113382675.09411542</v>
      </c>
      <c r="B6217">
        <v>205219578.48614955</v>
      </c>
    </row>
    <row r="6218" spans="1:2" x14ac:dyDescent="0.25">
      <c r="A6218">
        <f ca="1">33072.3965226691*(RANDBETWEEN(2890,3282))</f>
        <v>107617578.28476514</v>
      </c>
      <c r="B6218">
        <v>223293837.42399377</v>
      </c>
    </row>
    <row r="6219" spans="1:2" x14ac:dyDescent="0.25">
      <c r="A6219">
        <f ca="1">31187.3599767593*(RANDBETWEEN(2890,3282))</f>
        <v>91597276.25174199</v>
      </c>
      <c r="B6219">
        <v>262777093.73423058</v>
      </c>
    </row>
    <row r="6220" spans="1:2" x14ac:dyDescent="0.25">
      <c r="A6220">
        <f ca="1">29006.5007264899*(RANDBETWEEN(2890,3282))</f>
        <v>94561192.368357122</v>
      </c>
      <c r="B6220">
        <v>239547762.09235412</v>
      </c>
    </row>
    <row r="6221" spans="1:2" x14ac:dyDescent="0.25">
      <c r="A6221">
        <f ca="1">39223.7839213967*(RANDBETWEEN(2890,3282))</f>
        <v>117161442.57321195</v>
      </c>
      <c r="B6221">
        <v>223707075.76569477</v>
      </c>
    </row>
    <row r="6222" spans="1:2" x14ac:dyDescent="0.25">
      <c r="A6222">
        <f ca="1">29195.1722558759*(RANDBETWEEN(2890,3282))</f>
        <v>91410084.333147347</v>
      </c>
      <c r="B6222">
        <v>218433719.33754194</v>
      </c>
    </row>
    <row r="6223" spans="1:2" x14ac:dyDescent="0.25">
      <c r="A6223">
        <f ca="1">31855.3859127473*(RANDBETWEEN(2890,3282))</f>
        <v>102510631.86722074</v>
      </c>
      <c r="B6223">
        <v>218082139.53981721</v>
      </c>
    </row>
    <row r="6224" spans="1:2" x14ac:dyDescent="0.25">
      <c r="A6224">
        <f ca="1">37765.6051634881*(RANDBETWEEN(2890,3282))</f>
        <v>113183518.67497377</v>
      </c>
      <c r="B6224">
        <v>242980218.24566767</v>
      </c>
    </row>
    <row r="6225" spans="1:2" x14ac:dyDescent="0.25">
      <c r="A6225">
        <f ca="1">33266.7864552227*(RANDBETWEEN(2890,3282))</f>
        <v>103393172.30283211</v>
      </c>
      <c r="B6225">
        <v>208409553.3093397</v>
      </c>
    </row>
    <row r="6226" spans="1:2" x14ac:dyDescent="0.25">
      <c r="A6226">
        <f ca="1">36065.5586459708*(RANDBETWEEN(2890,3282))</f>
        <v>113065526.35511853</v>
      </c>
      <c r="B6226">
        <v>256151787.71954492</v>
      </c>
    </row>
    <row r="6227" spans="1:2" x14ac:dyDescent="0.25">
      <c r="A6227">
        <f ca="1">35121.0956602132*(RANDBETWEEN(2890,3282))</f>
        <v>112949443.64324565</v>
      </c>
      <c r="B6227">
        <v>210529056.57704276</v>
      </c>
    </row>
    <row r="6228" spans="1:2" x14ac:dyDescent="0.25">
      <c r="A6228">
        <f ca="1">34248.6642993278*(RANDBETWEEN(2890,3282))</f>
        <v>107369562.57839254</v>
      </c>
      <c r="B6228">
        <v>263099271.74965495</v>
      </c>
    </row>
    <row r="6229" spans="1:2" x14ac:dyDescent="0.25">
      <c r="A6229">
        <f ca="1">39354.8075038921*(RANDBETWEEN(2890,3282))</f>
        <v>115112811.94888426</v>
      </c>
      <c r="B6229">
        <v>247938142.47306567</v>
      </c>
    </row>
    <row r="6230" spans="1:2" x14ac:dyDescent="0.25">
      <c r="A6230">
        <f ca="1">36608.6274153232*(RANDBETWEEN(2890,3282))</f>
        <v>116269000.67106649</v>
      </c>
      <c r="B6230">
        <v>252022302.18631271</v>
      </c>
    </row>
    <row r="6231" spans="1:2" x14ac:dyDescent="0.25">
      <c r="A6231">
        <f ca="1">31520.8784236828*(RANDBETWEEN(2890,3282))</f>
        <v>97399514.329179958</v>
      </c>
      <c r="B6231">
        <v>222004500.60473362</v>
      </c>
    </row>
    <row r="6232" spans="1:2" x14ac:dyDescent="0.25">
      <c r="A6232">
        <f ca="1">29786.143889149*(RANDBETWEEN(2890,3282))</f>
        <v>87124470.875760809</v>
      </c>
      <c r="B6232">
        <v>266622199.84977633</v>
      </c>
    </row>
    <row r="6233" spans="1:2" x14ac:dyDescent="0.25">
      <c r="A6233">
        <f ca="1">29709.0590886686*(RANDBETWEEN(2890,3282))</f>
        <v>90077867.156843215</v>
      </c>
      <c r="B6233">
        <v>208965650.88444746</v>
      </c>
    </row>
    <row r="6234" spans="1:2" x14ac:dyDescent="0.25">
      <c r="A6234">
        <f ca="1">33937.8073174397*(RANDBETWEEN(2890,3282))</f>
        <v>101100727.99865277</v>
      </c>
      <c r="B6234">
        <v>250695161.44679803</v>
      </c>
    </row>
    <row r="6235" spans="1:2" x14ac:dyDescent="0.25">
      <c r="A6235">
        <f ca="1">31072.119163863*(RANDBETWEEN(2890,3282))</f>
        <v>94024232.589849353</v>
      </c>
      <c r="B6235">
        <v>254337053.21612531</v>
      </c>
    </row>
    <row r="6236" spans="1:2" x14ac:dyDescent="0.25">
      <c r="A6236">
        <f ca="1">38708.2433941026*(RANDBETWEEN(2890,3282))</f>
        <v>117556935.1878897</v>
      </c>
      <c r="B6236">
        <v>249632178.5529595</v>
      </c>
    </row>
    <row r="6237" spans="1:2" x14ac:dyDescent="0.25">
      <c r="A6237">
        <f ca="1">32898.3592194392*(RANDBETWEEN(2890,3282))</f>
        <v>106853870.74473861</v>
      </c>
      <c r="B6237">
        <v>228164465.86077118</v>
      </c>
    </row>
    <row r="6238" spans="1:2" x14ac:dyDescent="0.25">
      <c r="A6238">
        <f ca="1">31737.5476260528*(RANDBETWEEN(2890,3282))</f>
        <v>95117430.235280216</v>
      </c>
      <c r="B6238">
        <v>239702025.93145639</v>
      </c>
    </row>
    <row r="6239" spans="1:2" x14ac:dyDescent="0.25">
      <c r="A6239">
        <f ca="1">30657.3536562552*(RANDBETWEEN(2890,3282))</f>
        <v>93351641.88329713</v>
      </c>
      <c r="B6239">
        <v>218362622.63400018</v>
      </c>
    </row>
    <row r="6240" spans="1:2" x14ac:dyDescent="0.25">
      <c r="A6240">
        <f ca="1">34969.6363626806*(RANDBETWEEN(2890,3282))</f>
        <v>110294233.08789493</v>
      </c>
      <c r="B6240">
        <v>208514356.96286714</v>
      </c>
    </row>
    <row r="6241" spans="1:2" x14ac:dyDescent="0.25">
      <c r="A6241">
        <f ca="1">39769.3558660349*(RANDBETWEEN(2890,3282))</f>
        <v>117717293.36346328</v>
      </c>
      <c r="B6241">
        <v>213113242.17530394</v>
      </c>
    </row>
    <row r="6242" spans="1:2" x14ac:dyDescent="0.25">
      <c r="A6242">
        <f ca="1">35703.3776543859*(RANDBETWEEN(2890,3282))</f>
        <v>103361278.3094472</v>
      </c>
      <c r="B6242">
        <v>219428057.73263061</v>
      </c>
    </row>
    <row r="6243" spans="1:2" x14ac:dyDescent="0.25">
      <c r="A6243">
        <f ca="1">34967.717057279*(RANDBETWEEN(2890,3282))</f>
        <v>112805855.22678202</v>
      </c>
      <c r="B6243">
        <v>255991125.05166015</v>
      </c>
    </row>
    <row r="6244" spans="1:2" x14ac:dyDescent="0.25">
      <c r="A6244">
        <f ca="1">31266.7489740262*(RANDBETWEEN(2890,3282))</f>
        <v>100710198.44533826</v>
      </c>
      <c r="B6244">
        <v>262408078.24957272</v>
      </c>
    </row>
    <row r="6245" spans="1:2" x14ac:dyDescent="0.25">
      <c r="A6245">
        <f ca="1">40085.7348983937*(RANDBETWEEN(2890,3282))</f>
        <v>117531374.72209038</v>
      </c>
      <c r="B6245">
        <v>260537076.86714795</v>
      </c>
    </row>
    <row r="6246" spans="1:2" x14ac:dyDescent="0.25">
      <c r="A6246">
        <f ca="1">35102.3593921134*(RANDBETWEEN(2890,3282))</f>
        <v>113521030.27409458</v>
      </c>
      <c r="B6246">
        <v>206341403.54778498</v>
      </c>
    </row>
    <row r="6247" spans="1:2" x14ac:dyDescent="0.25">
      <c r="A6247">
        <f ca="1">32283.3199628812*(RANDBETWEEN(2890,3282))</f>
        <v>101531041.28326122</v>
      </c>
      <c r="B6247">
        <v>265754651.37537539</v>
      </c>
    </row>
    <row r="6248" spans="1:2" x14ac:dyDescent="0.25">
      <c r="A6248">
        <f ca="1">26773.5137173897*(RANDBETWEEN(2890,3282))</f>
        <v>79356694.658343181</v>
      </c>
      <c r="B6248">
        <v>237667454.69108272</v>
      </c>
    </row>
    <row r="6249" spans="1:2" x14ac:dyDescent="0.25">
      <c r="A6249">
        <f ca="1">31458.8330148815*(RANDBETWEEN(2890,3282))</f>
        <v>98057182.507385746</v>
      </c>
      <c r="B6249">
        <v>267548436.47668734</v>
      </c>
    </row>
    <row r="6250" spans="1:2" x14ac:dyDescent="0.25">
      <c r="A6250">
        <f ca="1">36614.3213147032*(RANDBETWEEN(2890,3282))</f>
        <v>110868164.9409212</v>
      </c>
      <c r="B6250">
        <v>265487099.40258393</v>
      </c>
    </row>
    <row r="6251" spans="1:2" x14ac:dyDescent="0.25">
      <c r="A6251">
        <f ca="1">36287.420621514*(RANDBETWEEN(2890,3282))</f>
        <v>105850405.95295644</v>
      </c>
      <c r="B6251">
        <v>263610328.76946598</v>
      </c>
    </row>
    <row r="6252" spans="1:2" x14ac:dyDescent="0.25">
      <c r="A6252">
        <f ca="1">32194.3322150409*(RANDBETWEEN(2890,3282))</f>
        <v>98418073.581379965</v>
      </c>
      <c r="B6252">
        <v>205027501.61612073</v>
      </c>
    </row>
    <row r="6253" spans="1:2" x14ac:dyDescent="0.25">
      <c r="A6253">
        <f ca="1">37765.7559645483*(RANDBETWEEN(2890,3282))</f>
        <v>118999897.0442916</v>
      </c>
      <c r="B6253">
        <v>257414600.9645493</v>
      </c>
    </row>
    <row r="6254" spans="1:2" x14ac:dyDescent="0.25">
      <c r="A6254">
        <f ca="1">34360.9134417259*(RANDBETWEEN(2890,3282))</f>
        <v>106621914.40967552</v>
      </c>
      <c r="B6254">
        <v>214098754.31691971</v>
      </c>
    </row>
    <row r="6255" spans="1:2" x14ac:dyDescent="0.25">
      <c r="A6255">
        <f ca="1">38983.8047862344*(RANDBETWEEN(2890,3282))</f>
        <v>122721017.46706599</v>
      </c>
      <c r="B6255">
        <v>258889019.25211608</v>
      </c>
    </row>
    <row r="6256" spans="1:2" x14ac:dyDescent="0.25">
      <c r="A6256">
        <f ca="1">35816.3324027459*(RANDBETWEEN(2890,3282))</f>
        <v>103652465.97354655</v>
      </c>
      <c r="B6256">
        <v>215060112.85509941</v>
      </c>
    </row>
    <row r="6257" spans="1:2" x14ac:dyDescent="0.25">
      <c r="A6257">
        <f ca="1">33151.9983203898*(RANDBETWEEN(2890,3282))</f>
        <v>102041850.83015992</v>
      </c>
      <c r="B6257">
        <v>226370625.89113069</v>
      </c>
    </row>
    <row r="6258" spans="1:2" x14ac:dyDescent="0.25">
      <c r="A6258">
        <f ca="1">37253.9144368087*(RANDBETWEEN(2890,3282))</f>
        <v>112059774.62592044</v>
      </c>
      <c r="B6258">
        <v>240509921.81328258</v>
      </c>
    </row>
    <row r="6259" spans="1:2" x14ac:dyDescent="0.25">
      <c r="A6259">
        <f ca="1">30731.5988256071*(RANDBETWEEN(2890,3282))</f>
        <v>99754769.787920609</v>
      </c>
      <c r="B6259">
        <v>252248755.78866276</v>
      </c>
    </row>
    <row r="6260" spans="1:2" x14ac:dyDescent="0.25">
      <c r="A6260">
        <f ca="1">35939.3655484877*(RANDBETWEEN(2890,3282))</f>
        <v>117018574.22587609</v>
      </c>
      <c r="B6260">
        <v>206571097.20490715</v>
      </c>
    </row>
    <row r="6261" spans="1:2" x14ac:dyDescent="0.25">
      <c r="A6261">
        <f ca="1">33531.163083165*(RANDBETWEEN(2890,3282))</f>
        <v>109814559.09736545</v>
      </c>
      <c r="B6261">
        <v>259563725.82489628</v>
      </c>
    </row>
    <row r="6262" spans="1:2" x14ac:dyDescent="0.25">
      <c r="A6262">
        <f ca="1">33259.0011531241*(RANDBETWEEN(2890,3282))</f>
        <v>108524120.76264378</v>
      </c>
      <c r="B6262">
        <v>249612781.00384492</v>
      </c>
    </row>
    <row r="6263" spans="1:2" x14ac:dyDescent="0.25">
      <c r="A6263">
        <f ca="1">38862.0078896349*(RANDBETWEEN(2890,3282))</f>
        <v>121171740.59988157</v>
      </c>
      <c r="B6263">
        <v>245933650.12593448</v>
      </c>
    </row>
    <row r="6264" spans="1:2" x14ac:dyDescent="0.25">
      <c r="A6264">
        <f ca="1">29918.7399821721*(RANDBETWEEN(2890,3282))</f>
        <v>92478825.284894034</v>
      </c>
      <c r="B6264">
        <v>216688780.05111355</v>
      </c>
    </row>
    <row r="6265" spans="1:2" x14ac:dyDescent="0.25">
      <c r="A6265">
        <f ca="1">38822.0376524882*(RANDBETWEEN(2890,3282))</f>
        <v>115534384.05380495</v>
      </c>
      <c r="B6265">
        <v>223286608.12853953</v>
      </c>
    </row>
    <row r="6266" spans="1:2" x14ac:dyDescent="0.25">
      <c r="A6266">
        <f ca="1">38002.8322221383*(RANDBETWEEN(2890,3282))</f>
        <v>111652321.06864236</v>
      </c>
      <c r="B6266">
        <v>240532436.96313313</v>
      </c>
    </row>
    <row r="6267" spans="1:2" x14ac:dyDescent="0.25">
      <c r="A6267">
        <f ca="1">33720.8893370094*(RANDBETWEEN(2890,3282))</f>
        <v>101533597.79373524</v>
      </c>
      <c r="B6267">
        <v>251011700.57211852</v>
      </c>
    </row>
    <row r="6268" spans="1:2" x14ac:dyDescent="0.25">
      <c r="A6268">
        <f ca="1">37134.0062689726*(RANDBETWEEN(2890,3282))</f>
        <v>117529129.84129813</v>
      </c>
      <c r="B6268">
        <v>249921377.52930698</v>
      </c>
    </row>
    <row r="6269" spans="1:2" x14ac:dyDescent="0.25">
      <c r="A6269">
        <f ca="1">31172.7503761992*(RANDBETWEEN(2890,3282))</f>
        <v>101498475.22490448</v>
      </c>
      <c r="B6269">
        <v>247489214.56371319</v>
      </c>
    </row>
    <row r="6270" spans="1:2" x14ac:dyDescent="0.25">
      <c r="A6270">
        <f ca="1">35984.6803545086*(RANDBETWEEN(2890,3282))</f>
        <v>109429412.95806061</v>
      </c>
      <c r="B6270">
        <v>227918476.11815315</v>
      </c>
    </row>
    <row r="6271" spans="1:2" x14ac:dyDescent="0.25">
      <c r="A6271">
        <f ca="1">37709.9940619507*(RANDBETWEEN(2890,3282))</f>
        <v>120747400.98636611</v>
      </c>
      <c r="B6271">
        <v>208356961.73775372</v>
      </c>
    </row>
    <row r="6272" spans="1:2" x14ac:dyDescent="0.25">
      <c r="A6272">
        <f ca="1">35183.2449953087*(RANDBETWEEN(2890,3282))</f>
        <v>108082928.62558843</v>
      </c>
      <c r="B6272">
        <v>213952373.27238196</v>
      </c>
    </row>
    <row r="6273" spans="1:2" x14ac:dyDescent="0.25">
      <c r="A6273">
        <f ca="1">32284.2390983503*(RANDBETWEEN(2890,3282))</f>
        <v>102179616.74627858</v>
      </c>
      <c r="B6273">
        <v>247551844.0521659</v>
      </c>
    </row>
    <row r="6274" spans="1:2" x14ac:dyDescent="0.25">
      <c r="A6274">
        <f ca="1">36425.1638972588*(RANDBETWEEN(2890,3282))</f>
        <v>113464385.53996116</v>
      </c>
      <c r="B6274">
        <v>246283120.56683299</v>
      </c>
    </row>
    <row r="6275" spans="1:2" x14ac:dyDescent="0.25">
      <c r="A6275">
        <f ca="1">32244.3552984671*(RANDBETWEEN(2890,3282))</f>
        <v>103504380.50807954</v>
      </c>
      <c r="B6275">
        <v>204852198.96537775</v>
      </c>
    </row>
    <row r="6276" spans="1:2" x14ac:dyDescent="0.25">
      <c r="A6276">
        <f ca="1">30826.7641718025*(RANDBETWEEN(2890,3282))</f>
        <v>94823126.592464522</v>
      </c>
      <c r="B6276">
        <v>256432369.87296724</v>
      </c>
    </row>
    <row r="6277" spans="1:2" x14ac:dyDescent="0.25">
      <c r="A6277">
        <f ca="1">30915.4617587751*(RANDBETWEEN(2890,3282))</f>
        <v>98249337.469387338</v>
      </c>
      <c r="B6277">
        <v>203853473.9269163</v>
      </c>
    </row>
    <row r="6278" spans="1:2" x14ac:dyDescent="0.25">
      <c r="A6278">
        <f ca="1">29330.1039042431*(RANDBETWEEN(2890,3282))</f>
        <v>94882886.130226508</v>
      </c>
      <c r="B6278">
        <v>209538878.21145269</v>
      </c>
    </row>
    <row r="6279" spans="1:2" x14ac:dyDescent="0.25">
      <c r="A6279">
        <f ca="1">31810.9706106117*(RANDBETWEEN(2890,3282))</f>
        <v>96578106.773817092</v>
      </c>
      <c r="B6279">
        <v>231749580.73082504</v>
      </c>
    </row>
    <row r="6280" spans="1:2" x14ac:dyDescent="0.25">
      <c r="A6280">
        <f ca="1">34717.5911170255*(RANDBETWEEN(2890,3282))</f>
        <v>111860078.57905616</v>
      </c>
      <c r="B6280">
        <v>261909331.37440354</v>
      </c>
    </row>
    <row r="6281" spans="1:2" x14ac:dyDescent="0.25">
      <c r="A6281">
        <f ca="1">32964.3740525724*(RANDBETWEEN(2890,3282))</f>
        <v>99024979.65392755</v>
      </c>
      <c r="B6281">
        <v>256655776.52021885</v>
      </c>
    </row>
    <row r="6282" spans="1:2" x14ac:dyDescent="0.25">
      <c r="A6282">
        <f ca="1">33876.0481647802*(RANDBETWEEN(2890,3282))</f>
        <v>98816432.496663734</v>
      </c>
      <c r="B6282">
        <v>213314960.33626115</v>
      </c>
    </row>
    <row r="6283" spans="1:2" x14ac:dyDescent="0.25">
      <c r="A6283">
        <f ca="1">39498.2585188433*(RANDBETWEEN(2890,3282))</f>
        <v>116322371.33799346</v>
      </c>
      <c r="B6283">
        <v>245356333.33335865</v>
      </c>
    </row>
    <row r="6284" spans="1:2" x14ac:dyDescent="0.25">
      <c r="A6284">
        <f ca="1">36686.6013688324*(RANDBETWEEN(2890,3282))</f>
        <v>111453894.95851271</v>
      </c>
      <c r="B6284">
        <v>251824320.72331887</v>
      </c>
    </row>
    <row r="6285" spans="1:2" x14ac:dyDescent="0.25">
      <c r="A6285">
        <f ca="1">32397.5469164365*(RANDBETWEEN(2890,3282))</f>
        <v>98196964.703719169</v>
      </c>
      <c r="B6285">
        <v>217422336.1161944</v>
      </c>
    </row>
    <row r="6286" spans="1:2" x14ac:dyDescent="0.25">
      <c r="A6286">
        <f ca="1">34390.4007606573*(RANDBETWEEN(2890,3282))</f>
        <v>111184165.65920502</v>
      </c>
      <c r="B6286">
        <v>245344426.74068186</v>
      </c>
    </row>
    <row r="6287" spans="1:2" x14ac:dyDescent="0.25">
      <c r="A6287">
        <f ca="1">34541.4569478001*(RANDBETWEEN(2890,3282))</f>
        <v>110636286.60380386</v>
      </c>
      <c r="B6287">
        <v>209345537.3273977</v>
      </c>
    </row>
    <row r="6288" spans="1:2" x14ac:dyDescent="0.25">
      <c r="A6288">
        <f ca="1">37725.1991022819*(RANDBETWEEN(2890,3282))</f>
        <v>109855779.78584482</v>
      </c>
      <c r="B6288">
        <v>206137631.21416995</v>
      </c>
    </row>
    <row r="6289" spans="1:2" x14ac:dyDescent="0.25">
      <c r="A6289">
        <f ca="1">38432.8377127227*(RANDBETWEEN(2890,3282))</f>
        <v>119564558.12428036</v>
      </c>
      <c r="B6289">
        <v>256781733.78722677</v>
      </c>
    </row>
    <row r="6290" spans="1:2" x14ac:dyDescent="0.25">
      <c r="A6290">
        <f ca="1">41299.1178957672*(RANDBETWEEN(2890,3282))</f>
        <v>131124699.31906086</v>
      </c>
      <c r="B6290">
        <v>211336274.8839449</v>
      </c>
    </row>
    <row r="6291" spans="1:2" x14ac:dyDescent="0.25">
      <c r="A6291">
        <f ca="1">30527.8730612425*(RANDBETWEEN(2890,3282))</f>
        <v>90362504.261277899</v>
      </c>
      <c r="B6291">
        <v>263281312.0776065</v>
      </c>
    </row>
    <row r="6292" spans="1:2" x14ac:dyDescent="0.25">
      <c r="A6292">
        <f ca="1">33924.2643218534*(RANDBETWEEN(2890,3282))</f>
        <v>103536854.71029653</v>
      </c>
      <c r="B6292">
        <v>244823545.84891647</v>
      </c>
    </row>
    <row r="6293" spans="1:2" x14ac:dyDescent="0.25">
      <c r="A6293">
        <f ca="1">33927.7491528775*(RANDBETWEEN(2890,3282))</f>
        <v>109450918.76718289</v>
      </c>
      <c r="B6293">
        <v>219063081.35332009</v>
      </c>
    </row>
    <row r="6294" spans="1:2" x14ac:dyDescent="0.25">
      <c r="A6294">
        <f ca="1">37130.6571228956*(RANDBETWEEN(2890,3282))</f>
        <v>111911800.56840745</v>
      </c>
      <c r="B6294">
        <v>264870807.09893087</v>
      </c>
    </row>
    <row r="6295" spans="1:2" x14ac:dyDescent="0.25">
      <c r="A6295">
        <f ca="1">33424.3560424371*(RANDBETWEEN(2890,3282))</f>
        <v>97164603.015364513</v>
      </c>
      <c r="B6295">
        <v>251885298.79846001</v>
      </c>
    </row>
    <row r="6296" spans="1:2" x14ac:dyDescent="0.25">
      <c r="A6296">
        <f ca="1">31520.8463475648*(RANDBETWEEN(2890,3282))</f>
        <v>98849374.145963237</v>
      </c>
      <c r="B6296">
        <v>223374727.37437966</v>
      </c>
    </row>
    <row r="6297" spans="1:2" x14ac:dyDescent="0.25">
      <c r="A6297">
        <f ca="1">32269.9058942426*(RANDBETWEEN(2890,3282))</f>
        <v>99584929.589632794</v>
      </c>
      <c r="B6297">
        <v>206528880.38284615</v>
      </c>
    </row>
    <row r="6298" spans="1:2" x14ac:dyDescent="0.25">
      <c r="A6298">
        <f ca="1">28606.2697287329*(RANDBETWEEN(2890,3282))</f>
        <v>85103652.442980275</v>
      </c>
      <c r="B6298">
        <v>234247963.43918604</v>
      </c>
    </row>
    <row r="6299" spans="1:2" x14ac:dyDescent="0.25">
      <c r="A6299">
        <f ca="1">38147.6114913579*(RANDBETWEEN(2890,3282))</f>
        <v>112840634.79143676</v>
      </c>
      <c r="B6299">
        <v>242567391.27690831</v>
      </c>
    </row>
    <row r="6300" spans="1:2" x14ac:dyDescent="0.25">
      <c r="A6300">
        <f ca="1">31086.8129325767*(RANDBETWEEN(2890,3282))</f>
        <v>101840399.16712134</v>
      </c>
      <c r="B6300">
        <v>205210404.90239584</v>
      </c>
    </row>
    <row r="6301" spans="1:2" x14ac:dyDescent="0.25">
      <c r="A6301">
        <f ca="1">32448.8787584156*(RANDBETWEEN(2890,3282))</f>
        <v>96827454.215112269</v>
      </c>
      <c r="B6301">
        <v>230729010.21823704</v>
      </c>
    </row>
    <row r="6302" spans="1:2" x14ac:dyDescent="0.25">
      <c r="A6302">
        <f ca="1">38294.9586351265*(RANDBETWEEN(2890,3282))</f>
        <v>116723033.91986556</v>
      </c>
      <c r="B6302">
        <v>246804682.19517222</v>
      </c>
    </row>
    <row r="6303" spans="1:2" x14ac:dyDescent="0.25">
      <c r="A6303">
        <f ca="1">32233.812718129*(RANDBETWEEN(2890,3282))</f>
        <v>96701438.154386997</v>
      </c>
      <c r="B6303">
        <v>210880305.7959888</v>
      </c>
    </row>
    <row r="6304" spans="1:2" x14ac:dyDescent="0.25">
      <c r="A6304">
        <f ca="1">30611.7754550225*(RANDBETWEEN(2890,3282))</f>
        <v>90396572.918681383</v>
      </c>
      <c r="B6304">
        <v>224562226.23431268</v>
      </c>
    </row>
    <row r="6305" spans="1:2" x14ac:dyDescent="0.25">
      <c r="A6305">
        <f ca="1">32354.3449268731*(RANDBETWEEN(2890,3282))</f>
        <v>105313392.73697197</v>
      </c>
      <c r="B6305">
        <v>251645522.21191448</v>
      </c>
    </row>
    <row r="6306" spans="1:2" x14ac:dyDescent="0.25">
      <c r="A6306">
        <f ca="1">37335.8389487386*(RANDBETWEEN(2890,3282))</f>
        <v>109319336.44190651</v>
      </c>
      <c r="B6306">
        <v>263331881.65256733</v>
      </c>
    </row>
    <row r="6307" spans="1:2" x14ac:dyDescent="0.25">
      <c r="A6307">
        <f ca="1">30343.2607135582*(RANDBETWEEN(2890,3282))</f>
        <v>91151155.18352893</v>
      </c>
      <c r="B6307">
        <v>233968645.48323649</v>
      </c>
    </row>
    <row r="6308" spans="1:2" x14ac:dyDescent="0.25">
      <c r="A6308">
        <f ca="1">34692.070848594*(RANDBETWEEN(2890,3282))</f>
        <v>105047590.52954273</v>
      </c>
      <c r="B6308">
        <v>249202997.2624703</v>
      </c>
    </row>
    <row r="6309" spans="1:2" x14ac:dyDescent="0.25">
      <c r="A6309">
        <f ca="1">33705.2435567117*(RANDBETWEEN(2890,3282))</f>
        <v>102868403.33508416</v>
      </c>
      <c r="B6309">
        <v>230097098.92966896</v>
      </c>
    </row>
    <row r="6310" spans="1:2" x14ac:dyDescent="0.25">
      <c r="A6310">
        <f ca="1">31731.6949465601*(RANDBETWEEN(2890,3282))</f>
        <v>103191471.96621355</v>
      </c>
      <c r="B6310">
        <v>216688280.00604963</v>
      </c>
    </row>
    <row r="6311" spans="1:2" x14ac:dyDescent="0.25">
      <c r="A6311">
        <f ca="1">29996.4423046105*(RANDBETWEEN(2890,3282))</f>
        <v>88489504.798600972</v>
      </c>
      <c r="B6311">
        <v>216991169.41907075</v>
      </c>
    </row>
    <row r="6312" spans="1:2" x14ac:dyDescent="0.25">
      <c r="A6312">
        <f ca="1">29520.9672705363*(RANDBETWEEN(2890,3282))</f>
        <v>85492721.215473056</v>
      </c>
      <c r="B6312">
        <v>252690797.30444255</v>
      </c>
    </row>
    <row r="6313" spans="1:2" x14ac:dyDescent="0.25">
      <c r="A6313">
        <f ca="1">40399.9734514248*(RANDBETWEEN(2890,3282))</f>
        <v>120149521.0445374</v>
      </c>
      <c r="B6313">
        <v>204446503.41014975</v>
      </c>
    </row>
    <row r="6314" spans="1:2" x14ac:dyDescent="0.25">
      <c r="A6314">
        <f ca="1">29221.6995570639*(RANDBETWEEN(2890,3282))</f>
        <v>86437787.289794981</v>
      </c>
      <c r="B6314">
        <v>254182132.11365789</v>
      </c>
    </row>
    <row r="6315" spans="1:2" x14ac:dyDescent="0.25">
      <c r="A6315">
        <f ca="1">31275.5362128554*(RANDBETWEEN(2890,3282))</f>
        <v>95984620.637253225</v>
      </c>
      <c r="B6315">
        <v>244454052.7454876</v>
      </c>
    </row>
    <row r="6316" spans="1:2" x14ac:dyDescent="0.25">
      <c r="A6316">
        <f ca="1">38650.9680546922*(RANDBETWEEN(2890,3282))</f>
        <v>119470142.25705355</v>
      </c>
      <c r="B6316">
        <v>237143093.09781012</v>
      </c>
    </row>
    <row r="6317" spans="1:2" x14ac:dyDescent="0.25">
      <c r="A6317">
        <f ca="1">37853.4383983253*(RANDBETWEEN(2890,3282))</f>
        <v>114468797.71653566</v>
      </c>
      <c r="B6317">
        <v>210270291.24904126</v>
      </c>
    </row>
    <row r="6318" spans="1:2" x14ac:dyDescent="0.25">
      <c r="A6318">
        <f ca="1">28045.3172321268*(RANDBETWEEN(2890,3282))</f>
        <v>85818670.73030813</v>
      </c>
      <c r="B6318">
        <v>210679300.89690286</v>
      </c>
    </row>
    <row r="6319" spans="1:2" x14ac:dyDescent="0.25">
      <c r="A6319">
        <f ca="1">29832.0027449503*(RANDBETWEEN(2890,3282))</f>
        <v>88929200.182696953</v>
      </c>
      <c r="B6319">
        <v>247146754.40783459</v>
      </c>
    </row>
    <row r="6320" spans="1:2" x14ac:dyDescent="0.25">
      <c r="A6320">
        <f ca="1">38981.074251889*(RANDBETWEEN(2890,3282))</f>
        <v>116826279.5329112</v>
      </c>
      <c r="B6320">
        <v>250784041.79971904</v>
      </c>
    </row>
    <row r="6321" spans="1:2" x14ac:dyDescent="0.25">
      <c r="A6321">
        <f ca="1">40959.5543911717*(RANDBETWEEN(2890,3282))</f>
        <v>123615935.15255609</v>
      </c>
      <c r="B6321">
        <v>253919560.8916178</v>
      </c>
    </row>
    <row r="6322" spans="1:2" x14ac:dyDescent="0.25">
      <c r="A6322">
        <f ca="1">30411.3295234448*(RANDBETWEEN(2890,3282))</f>
        <v>94518412.15886648</v>
      </c>
      <c r="B6322">
        <v>240757776.32203671</v>
      </c>
    </row>
    <row r="6323" spans="1:2" x14ac:dyDescent="0.25">
      <c r="A6323">
        <f ca="1">33252.8671711977*(RANDBETWEEN(2890,3282))</f>
        <v>98328728.225231722</v>
      </c>
      <c r="B6323">
        <v>224153992.94318873</v>
      </c>
    </row>
    <row r="6324" spans="1:2" x14ac:dyDescent="0.25">
      <c r="A6324">
        <f ca="1">28658.2475089279*(RANDBETWEEN(2890,3282))</f>
        <v>85688160.051694468</v>
      </c>
      <c r="B6324">
        <v>230094482.38173357</v>
      </c>
    </row>
    <row r="6325" spans="1:2" x14ac:dyDescent="0.25">
      <c r="A6325">
        <f ca="1">34850.4170441314*(RANDBETWEEN(2890,3282))</f>
        <v>101554115.26659891</v>
      </c>
      <c r="B6325">
        <v>253797952.11521909</v>
      </c>
    </row>
    <row r="6326" spans="1:2" x14ac:dyDescent="0.25">
      <c r="A6326">
        <f ca="1">31216.2242309777*(RANDBETWEEN(2890,3282))</f>
        <v>99829485.090666711</v>
      </c>
      <c r="B6326">
        <v>218241036.59643859</v>
      </c>
    </row>
    <row r="6327" spans="1:2" x14ac:dyDescent="0.25">
      <c r="A6327">
        <f ca="1">32199.9780435211*(RANDBETWEEN(2890,3282))</f>
        <v>100496131.4738294</v>
      </c>
      <c r="B6327">
        <v>251589346.05178869</v>
      </c>
    </row>
    <row r="6328" spans="1:2" x14ac:dyDescent="0.25">
      <c r="A6328">
        <f ca="1">40950.406614767*(RANDBETWEEN(2890,3282))</f>
        <v>128010971.07776178</v>
      </c>
      <c r="B6328">
        <v>231171179.74072874</v>
      </c>
    </row>
    <row r="6329" spans="1:2" x14ac:dyDescent="0.25">
      <c r="A6329">
        <f ca="1">28961.5046481664*(RANDBETWEEN(2890,3282))</f>
        <v>93140198.948503003</v>
      </c>
      <c r="B6329">
        <v>234669915.72763351</v>
      </c>
    </row>
    <row r="6330" spans="1:2" x14ac:dyDescent="0.25">
      <c r="A6330">
        <f ca="1">36435.4398951411*(RANDBETWEEN(2890,3282))</f>
        <v>107666724.89014186</v>
      </c>
      <c r="B6330">
        <v>231512169.31242394</v>
      </c>
    </row>
    <row r="6331" spans="1:2" x14ac:dyDescent="0.25">
      <c r="A6331">
        <f ca="1">34338.9308755938*(RANDBETWEEN(2890,3282))</f>
        <v>105111467.41019247</v>
      </c>
      <c r="B6331">
        <v>251537035.12991038</v>
      </c>
    </row>
    <row r="6332" spans="1:2" x14ac:dyDescent="0.25">
      <c r="A6332">
        <f ca="1">32381.8765705085*(RANDBETWEEN(2890,3282))</f>
        <v>100675254.25771083</v>
      </c>
      <c r="B6332">
        <v>212008334.26331669</v>
      </c>
    </row>
    <row r="6333" spans="1:2" x14ac:dyDescent="0.25">
      <c r="A6333">
        <f ca="1">32440.5234977449*(RANDBETWEEN(2890,3282))</f>
        <v>105237058.22668459</v>
      </c>
      <c r="B6333">
        <v>233891230.52220994</v>
      </c>
    </row>
    <row r="6334" spans="1:2" x14ac:dyDescent="0.25">
      <c r="A6334">
        <f ca="1">31738.8315266854*(RANDBETWEEN(2890,3282))</f>
        <v>95406927.569216326</v>
      </c>
      <c r="B6334">
        <v>242253122.72330105</v>
      </c>
    </row>
    <row r="6335" spans="1:2" x14ac:dyDescent="0.25">
      <c r="A6335">
        <f ca="1">29356.3253908145*(RANDBETWEEN(2890,3282))</f>
        <v>91356884.616214648</v>
      </c>
      <c r="B6335">
        <v>224831738.58112136</v>
      </c>
    </row>
    <row r="6336" spans="1:2" x14ac:dyDescent="0.25">
      <c r="A6336">
        <f ca="1">41830.2003249781*(RANDBETWEEN(2890,3282))</f>
        <v>134274943.0431796</v>
      </c>
      <c r="B6336">
        <v>253238070.58084503</v>
      </c>
    </row>
    <row r="6337" spans="1:2" x14ac:dyDescent="0.25">
      <c r="A6337">
        <f ca="1">31569.747348527*(RANDBETWEEN(2890,3282))</f>
        <v>91299709.331940114</v>
      </c>
      <c r="B6337">
        <v>208281267.43711334</v>
      </c>
    </row>
    <row r="6338" spans="1:2" x14ac:dyDescent="0.25">
      <c r="A6338">
        <f ca="1">31163.7486965958*(RANDBETWEEN(2890,3282))</f>
        <v>96140164.728998154</v>
      </c>
      <c r="B6338">
        <v>262922726.23961693</v>
      </c>
    </row>
    <row r="6339" spans="1:2" x14ac:dyDescent="0.25">
      <c r="A6339">
        <f ca="1">32199.565633328*(RANDBETWEEN(2890,3282))</f>
        <v>102201421.32018323</v>
      </c>
      <c r="B6339">
        <v>252983402.5310846</v>
      </c>
    </row>
    <row r="6340" spans="1:2" x14ac:dyDescent="0.25">
      <c r="A6340">
        <f ca="1">28713.2058769894*(RANDBETWEEN(2890,3282))</f>
        <v>85393074.278166384</v>
      </c>
      <c r="B6340">
        <v>207840197.69574055</v>
      </c>
    </row>
    <row r="6341" spans="1:2" x14ac:dyDescent="0.25">
      <c r="A6341">
        <f ca="1">33030.4859920628*(RANDBETWEEN(2890,3282))</f>
        <v>101998140.74348988</v>
      </c>
      <c r="B6341">
        <v>206493422.13800272</v>
      </c>
    </row>
    <row r="6342" spans="1:2" x14ac:dyDescent="0.25">
      <c r="A6342">
        <f ca="1">36353.0209931418*(RANDBETWEEN(2890,3282))</f>
        <v>118183671.24870402</v>
      </c>
      <c r="B6342">
        <v>220511040.02245897</v>
      </c>
    </row>
    <row r="6343" spans="1:2" x14ac:dyDescent="0.25">
      <c r="A6343">
        <f ca="1">32854.8880782961*(RANDBETWEEN(2890,3282))</f>
        <v>99681730.429550469</v>
      </c>
      <c r="B6343">
        <v>249323370.10275868</v>
      </c>
    </row>
    <row r="6344" spans="1:2" x14ac:dyDescent="0.25">
      <c r="A6344">
        <f ca="1">32412.6318851281*(RANDBETWEEN(2890,3282))</f>
        <v>104076960.98314637</v>
      </c>
      <c r="B6344">
        <v>223436387.43706161</v>
      </c>
    </row>
    <row r="6345" spans="1:2" x14ac:dyDescent="0.25">
      <c r="A6345">
        <f ca="1">33007.557832857*(RANDBETWEEN(2890,3282))</f>
        <v>96448083.987608269</v>
      </c>
      <c r="B6345">
        <v>227202312.65214357</v>
      </c>
    </row>
    <row r="6346" spans="1:2" x14ac:dyDescent="0.25">
      <c r="A6346">
        <f ca="1">29355.8276227895*(RANDBETWEEN(2890,3282))</f>
        <v>86247421.5557556</v>
      </c>
      <c r="B6346">
        <v>216886591.77560544</v>
      </c>
    </row>
    <row r="6347" spans="1:2" x14ac:dyDescent="0.25">
      <c r="A6347">
        <f ca="1">39351.3207503436*(RANDBETWEEN(2890,3282))</f>
        <v>125648767.15584713</v>
      </c>
      <c r="B6347">
        <v>259498364.29333097</v>
      </c>
    </row>
    <row r="6348" spans="1:2" x14ac:dyDescent="0.25">
      <c r="A6348">
        <f ca="1">30884.2107447517*(RANDBETWEEN(2890,3282))</f>
        <v>91664337.490423068</v>
      </c>
      <c r="B6348">
        <v>242147859.20317951</v>
      </c>
    </row>
    <row r="6349" spans="1:2" x14ac:dyDescent="0.25">
      <c r="A6349">
        <f ca="1">30331.7406674558*(RANDBETWEEN(2890,3282))</f>
        <v>92572472.517075121</v>
      </c>
      <c r="B6349">
        <v>208647669.29723984</v>
      </c>
    </row>
    <row r="6350" spans="1:2" x14ac:dyDescent="0.25">
      <c r="A6350">
        <f ca="1">36363.9288272343*(RANDBETWEEN(2890,3282))</f>
        <v>106873586.82324152</v>
      </c>
      <c r="B6350">
        <v>222199874.33736601</v>
      </c>
    </row>
    <row r="6351" spans="1:2" x14ac:dyDescent="0.25">
      <c r="A6351">
        <f ca="1">30810.8439069166*(RANDBETWEEN(2890,3282))</f>
        <v>90922800.369310915</v>
      </c>
      <c r="B6351">
        <v>267129575.41882885</v>
      </c>
    </row>
    <row r="6352" spans="1:2" x14ac:dyDescent="0.25">
      <c r="A6352">
        <f ca="1">31076.9655035782*(RANDBETWEEN(2890,3282))</f>
        <v>100627214.30058615</v>
      </c>
      <c r="B6352">
        <v>244626637.97437882</v>
      </c>
    </row>
    <row r="6353" spans="1:2" x14ac:dyDescent="0.25">
      <c r="A6353">
        <f ca="1">33692.6452845417*(RANDBETWEEN(2890,3282))</f>
        <v>109096785.43134607</v>
      </c>
      <c r="B6353">
        <v>237596478.97342938</v>
      </c>
    </row>
    <row r="6354" spans="1:2" x14ac:dyDescent="0.25">
      <c r="A6354">
        <f ca="1">36129.9582292915*(RANDBETWEEN(2890,3282))</f>
        <v>104668488.99025737</v>
      </c>
      <c r="B6354">
        <v>225475851.64257276</v>
      </c>
    </row>
    <row r="6355" spans="1:2" x14ac:dyDescent="0.25">
      <c r="A6355">
        <f ca="1">30153.6344203825*(RANDBETWEEN(2890,3282))</f>
        <v>87807383.43215397</v>
      </c>
      <c r="B6355">
        <v>258163557.24696553</v>
      </c>
    </row>
    <row r="6356" spans="1:2" x14ac:dyDescent="0.25">
      <c r="A6356">
        <f ca="1">35394.3486964007*(RANDBETWEEN(2890,3282))</f>
        <v>112341662.76237583</v>
      </c>
      <c r="B6356">
        <v>212309853.59035677</v>
      </c>
    </row>
    <row r="6357" spans="1:2" x14ac:dyDescent="0.25">
      <c r="A6357">
        <f ca="1">31112.8609234114*(RANDBETWEEN(2890,3282))</f>
        <v>98503317.68352057</v>
      </c>
      <c r="B6357">
        <v>254553664.0023247</v>
      </c>
    </row>
    <row r="6358" spans="1:2" x14ac:dyDescent="0.25">
      <c r="A6358">
        <f ca="1">36825.3103901964*(RANDBETWEEN(2890,3282))</f>
        <v>113679733.17453626</v>
      </c>
      <c r="B6358">
        <v>214705594.94016635</v>
      </c>
    </row>
    <row r="6359" spans="1:2" x14ac:dyDescent="0.25">
      <c r="A6359">
        <f ca="1">34985.8158592078*(RANDBETWEEN(2890,3282))</f>
        <v>109085773.8490099</v>
      </c>
      <c r="B6359">
        <v>211369498.7243154</v>
      </c>
    </row>
    <row r="6360" spans="1:2" x14ac:dyDescent="0.25">
      <c r="A6360">
        <f ca="1">39650.2289180501*(RANDBETWEEN(2890,3282))</f>
        <v>115302865.69368978</v>
      </c>
      <c r="B6360">
        <v>256456916.23637089</v>
      </c>
    </row>
    <row r="6361" spans="1:2" x14ac:dyDescent="0.25">
      <c r="A6361">
        <f ca="1">37351.4979490582*(RANDBETWEEN(2890,3282))</f>
        <v>112315954.33281793</v>
      </c>
      <c r="B6361">
        <v>214899728.70986235</v>
      </c>
    </row>
    <row r="6362" spans="1:2" x14ac:dyDescent="0.25">
      <c r="A6362">
        <f ca="1">33030.6106130863*(RANDBETWEEN(2890,3282))</f>
        <v>104574913.20103119</v>
      </c>
      <c r="B6362">
        <v>242786029.75061646</v>
      </c>
    </row>
    <row r="6363" spans="1:2" x14ac:dyDescent="0.25">
      <c r="A6363">
        <f ca="1">33163.4904435432*(RANDBETWEEN(2890,3282))</f>
        <v>104431831.4067176</v>
      </c>
      <c r="B6363">
        <v>265376093.53917301</v>
      </c>
    </row>
    <row r="6364" spans="1:2" x14ac:dyDescent="0.25">
      <c r="A6364">
        <f ca="1">29825.3882893415*(RANDBETWEEN(2890,3282))</f>
        <v>89774418.750918061</v>
      </c>
      <c r="B6364">
        <v>246367836.68263796</v>
      </c>
    </row>
    <row r="6365" spans="1:2" x14ac:dyDescent="0.25">
      <c r="A6365">
        <f ca="1">31174.6164246488*(RANDBETWEEN(2890,3282))</f>
        <v>99696423.326026946</v>
      </c>
      <c r="B6365">
        <v>250669500.88889891</v>
      </c>
    </row>
    <row r="6366" spans="1:2" x14ac:dyDescent="0.25">
      <c r="A6366">
        <f ca="1">31228.1049512303*(RANDBETWEEN(2890,3282))</f>
        <v>96650984.824057683</v>
      </c>
      <c r="B6366">
        <v>220036796.26596954</v>
      </c>
    </row>
    <row r="6367" spans="1:2" x14ac:dyDescent="0.25">
      <c r="A6367">
        <f ca="1">41672.7343637572*(RANDBETWEEN(2890,3282))</f>
        <v>130435658.55856007</v>
      </c>
      <c r="B6367">
        <v>219240120.79697841</v>
      </c>
    </row>
    <row r="6368" spans="1:2" x14ac:dyDescent="0.25">
      <c r="A6368">
        <f ca="1">38094.572593601*(RANDBETWEEN(2890,3282))</f>
        <v>110626638.81181736</v>
      </c>
      <c r="B6368">
        <v>234179854.3593002</v>
      </c>
    </row>
    <row r="6369" spans="1:2" x14ac:dyDescent="0.25">
      <c r="A6369">
        <f ca="1">32923.3086861499*(RANDBETWEEN(2890,3282))</f>
        <v>105091201.32619035</v>
      </c>
      <c r="B6369">
        <v>215039489.25289249</v>
      </c>
    </row>
    <row r="6370" spans="1:2" x14ac:dyDescent="0.25">
      <c r="A6370">
        <f ca="1">33146.2230712264*(RANDBETWEEN(2890,3282))</f>
        <v>96687532.698767498</v>
      </c>
      <c r="B6370">
        <v>216915867.95232856</v>
      </c>
    </row>
    <row r="6371" spans="1:2" x14ac:dyDescent="0.25">
      <c r="A6371">
        <f ca="1">33240.7140815678*(RANDBETWEEN(2890,3282))</f>
        <v>106403525.77509862</v>
      </c>
      <c r="B6371">
        <v>256688055.70172501</v>
      </c>
    </row>
    <row r="6372" spans="1:2" x14ac:dyDescent="0.25">
      <c r="A6372">
        <f ca="1">33081.9549025088*(RANDBETWEEN(2890,3282))</f>
        <v>96797800.044740617</v>
      </c>
      <c r="B6372">
        <v>220419378.94092155</v>
      </c>
    </row>
    <row r="6373" spans="1:2" x14ac:dyDescent="0.25">
      <c r="A6373">
        <f ca="1">40224.3684778852*(RANDBETWEEN(2890,3282))</f>
        <v>119868618.06409782</v>
      </c>
      <c r="B6373">
        <v>221607032.26243785</v>
      </c>
    </row>
    <row r="6374" spans="1:2" x14ac:dyDescent="0.25">
      <c r="A6374">
        <f ca="1">31889.9336941727*(RANDBETWEEN(2890,3282))</f>
        <v>94553653.403222114</v>
      </c>
      <c r="B6374">
        <v>252736533.89377633</v>
      </c>
    </row>
    <row r="6375" spans="1:2" x14ac:dyDescent="0.25">
      <c r="A6375">
        <f ca="1">31912.4184900993*(RANDBETWEEN(2890,3282))</f>
        <v>100938979.68418416</v>
      </c>
      <c r="B6375">
        <v>230950962.41980726</v>
      </c>
    </row>
    <row r="6376" spans="1:2" x14ac:dyDescent="0.25">
      <c r="A6376">
        <f ca="1">33992.6229875143*(RANDBETWEEN(2890,3282))</f>
        <v>104221382.07971878</v>
      </c>
      <c r="B6376">
        <v>252751008.76253885</v>
      </c>
    </row>
    <row r="6377" spans="1:2" x14ac:dyDescent="0.25">
      <c r="A6377">
        <f ca="1">30367.6889147174*(RANDBETWEEN(2890,3282))</f>
        <v>99120136.61763753</v>
      </c>
      <c r="B6377">
        <v>206428937.85366577</v>
      </c>
    </row>
    <row r="6378" spans="1:2" x14ac:dyDescent="0.25">
      <c r="A6378">
        <f ca="1">35066.2378484795*(RANDBETWEEN(2890,3282))</f>
        <v>109406662.08725616</v>
      </c>
      <c r="B6378">
        <v>218625832.99111956</v>
      </c>
    </row>
    <row r="6379" spans="1:2" x14ac:dyDescent="0.25">
      <c r="A6379">
        <f ca="1">31037.0944619306*(RANDBETWEEN(2890,3282))</f>
        <v>100591223.15111703</v>
      </c>
      <c r="B6379">
        <v>221903273.27442899</v>
      </c>
    </row>
    <row r="6380" spans="1:2" x14ac:dyDescent="0.25">
      <c r="A6380">
        <f ca="1">40953.1144887793*(RANDBETWEEN(2890,3282))</f>
        <v>122900296.58082679</v>
      </c>
      <c r="B6380">
        <v>243398521.67986244</v>
      </c>
    </row>
    <row r="6381" spans="1:2" x14ac:dyDescent="0.25">
      <c r="A6381">
        <f ca="1">32415.2407022848*(RANDBETWEEN(2890,3282))</f>
        <v>94036613.277328283</v>
      </c>
      <c r="B6381">
        <v>239321809.27073637</v>
      </c>
    </row>
    <row r="6382" spans="1:2" x14ac:dyDescent="0.25">
      <c r="A6382">
        <f ca="1">30944.5630113307*(RANDBETWEEN(2890,3282))</f>
        <v>96361369.217283711</v>
      </c>
      <c r="B6382">
        <v>224740497.36689162</v>
      </c>
    </row>
    <row r="6383" spans="1:2" x14ac:dyDescent="0.25">
      <c r="A6383">
        <f ca="1">35472.7385511725*(RANDBETWEEN(2890,3282))</f>
        <v>105531397.18973832</v>
      </c>
      <c r="B6383">
        <v>214882240.36472946</v>
      </c>
    </row>
    <row r="6384" spans="1:2" x14ac:dyDescent="0.25">
      <c r="A6384">
        <f ca="1">29545.5557461018*(RANDBETWEEN(2890,3282))</f>
        <v>92270770.595075876</v>
      </c>
      <c r="B6384">
        <v>208908320.56074259</v>
      </c>
    </row>
    <row r="6385" spans="1:2" x14ac:dyDescent="0.25">
      <c r="A6385">
        <f ca="1">30360.0541836275*(RANDBETWEEN(2890,3282))</f>
        <v>97698654.362913176</v>
      </c>
      <c r="B6385">
        <v>207958798.10767335</v>
      </c>
    </row>
    <row r="6386" spans="1:2" x14ac:dyDescent="0.25">
      <c r="A6386">
        <f ca="1">31860.4009540621*(RANDBETWEEN(2890,3282))</f>
        <v>96473294.088899925</v>
      </c>
      <c r="B6386">
        <v>254813459.08120683</v>
      </c>
    </row>
    <row r="6387" spans="1:2" x14ac:dyDescent="0.25">
      <c r="A6387">
        <f ca="1">38110.3379629293*(RANDBETWEEN(2890,3282))</f>
        <v>115359993.01378709</v>
      </c>
      <c r="B6387">
        <v>228265913.62090534</v>
      </c>
    </row>
    <row r="6388" spans="1:2" x14ac:dyDescent="0.25">
      <c r="A6388">
        <f ca="1">31290.4421504784*(RANDBETWEEN(2890,3282))</f>
        <v>100191995.76583184</v>
      </c>
      <c r="B6388">
        <v>241813171.67254499</v>
      </c>
    </row>
    <row r="6389" spans="1:2" x14ac:dyDescent="0.25">
      <c r="A6389">
        <f ca="1">41494.5251291667*(RANDBETWEEN(2890,3282))</f>
        <v>135313646.44621265</v>
      </c>
      <c r="B6389">
        <v>240579780.91943246</v>
      </c>
    </row>
    <row r="6390" spans="1:2" x14ac:dyDescent="0.25">
      <c r="A6390">
        <f ca="1">30530.5664327509*(RANDBETWEEN(2890,3282))</f>
        <v>96965078.990416929</v>
      </c>
      <c r="B6390">
        <v>235665583.93846849</v>
      </c>
    </row>
    <row r="6391" spans="1:2" x14ac:dyDescent="0.25">
      <c r="A6391">
        <f ca="1">33947.9587850602*(RANDBETWEEN(2890,3282))</f>
        <v>100418062.08620809</v>
      </c>
      <c r="B6391">
        <v>215841151.22598195</v>
      </c>
    </row>
    <row r="6392" spans="1:2" x14ac:dyDescent="0.25">
      <c r="A6392">
        <f ca="1">39469.3630637977*(RANDBETWEEN(2890,3282))</f>
        <v>120578904.15990183</v>
      </c>
      <c r="B6392">
        <v>252285726.28605294</v>
      </c>
    </row>
    <row r="6393" spans="1:2" x14ac:dyDescent="0.25">
      <c r="A6393">
        <f ca="1">31451.6614197707*(RANDBETWEEN(2890,3282))</f>
        <v>93254176.109620139</v>
      </c>
      <c r="B6393">
        <v>220900035.49136761</v>
      </c>
    </row>
    <row r="6394" spans="1:2" x14ac:dyDescent="0.25">
      <c r="A6394">
        <f ca="1">29148.825977412*(RANDBETWEEN(2890,3282))</f>
        <v>87184138.498439312</v>
      </c>
      <c r="B6394">
        <v>248239732.13083714</v>
      </c>
    </row>
    <row r="6395" spans="1:2" x14ac:dyDescent="0.25">
      <c r="A6395">
        <f ca="1">31549.9501088234*(RANDBETWEEN(2890,3282))</f>
        <v>96637497.183326155</v>
      </c>
      <c r="B6395">
        <v>217533473.17926848</v>
      </c>
    </row>
    <row r="6396" spans="1:2" x14ac:dyDescent="0.25">
      <c r="A6396">
        <f ca="1">30143.6843483007*(RANDBETWEEN(2890,3282))</f>
        <v>92119099.368407071</v>
      </c>
      <c r="B6396">
        <v>221900623.89574167</v>
      </c>
    </row>
    <row r="6397" spans="1:2" x14ac:dyDescent="0.25">
      <c r="A6397">
        <f ca="1">32424.4871820645*(RANDBETWEEN(2890,3282))</f>
        <v>100613183.72594625</v>
      </c>
      <c r="B6397">
        <v>233258230.18787915</v>
      </c>
    </row>
    <row r="6398" spans="1:2" x14ac:dyDescent="0.25">
      <c r="A6398">
        <f ca="1">40832.8826939365*(RANDBETWEEN(2890,3282))</f>
        <v>118823688.63935509</v>
      </c>
      <c r="B6398">
        <v>236603331.85801065</v>
      </c>
    </row>
    <row r="6399" spans="1:2" x14ac:dyDescent="0.25">
      <c r="A6399">
        <f ca="1">31919.7532750709*(RANDBETWEEN(2890,3282))</f>
        <v>93875994.381983399</v>
      </c>
      <c r="B6399">
        <v>261530773.42435351</v>
      </c>
    </row>
    <row r="6400" spans="1:2" x14ac:dyDescent="0.25">
      <c r="A6400">
        <f ca="1">38942.1784731349*(RANDBETWEEN(2890,3282))</f>
        <v>118384222.55833001</v>
      </c>
      <c r="B6400">
        <v>234820100.35149756</v>
      </c>
    </row>
    <row r="6401" spans="1:2" x14ac:dyDescent="0.25">
      <c r="A6401">
        <f ca="1">32118.834528052*(RANDBETWEEN(2890,3282))</f>
        <v>103936548.53277642</v>
      </c>
      <c r="B6401">
        <v>215316432.03789568</v>
      </c>
    </row>
    <row r="6402" spans="1:2" x14ac:dyDescent="0.25">
      <c r="A6402">
        <f ca="1">36527.8283252166*(RANDBETWEEN(2890,3282))</f>
        <v>114478213.97122882</v>
      </c>
      <c r="B6402">
        <v>209682702.79662117</v>
      </c>
    </row>
    <row r="6403" spans="1:2" x14ac:dyDescent="0.25">
      <c r="A6403">
        <f ca="1">30865.4942800327*(RANDBETWEEN(2890,3282))</f>
        <v>91701383.505977273</v>
      </c>
      <c r="B6403">
        <v>241022688.37257415</v>
      </c>
    </row>
    <row r="6404" spans="1:2" x14ac:dyDescent="0.25">
      <c r="A6404">
        <f ca="1">39242.6350467984*(RANDBETWEEN(2890,3282))</f>
        <v>113411215.28524749</v>
      </c>
      <c r="B6404">
        <v>226854521.66290221</v>
      </c>
    </row>
    <row r="6405" spans="1:2" x14ac:dyDescent="0.25">
      <c r="A6405">
        <f ca="1">42257.8111733052*(RANDBETWEEN(2890,3282))</f>
        <v>131802113.04953881</v>
      </c>
      <c r="B6405">
        <v>259485630.55061257</v>
      </c>
    </row>
    <row r="6406" spans="1:2" x14ac:dyDescent="0.25">
      <c r="A6406">
        <f ca="1">31053.4369378815*(RANDBETWEEN(2890,3282))</f>
        <v>94340341.417284116</v>
      </c>
      <c r="B6406">
        <v>245736131.01793528</v>
      </c>
    </row>
    <row r="6407" spans="1:2" x14ac:dyDescent="0.25">
      <c r="A6407">
        <f ca="1">30512.1505028875*(RANDBETWEEN(2890,3282))</f>
        <v>97364272.254714146</v>
      </c>
      <c r="B6407">
        <v>234392059.41902155</v>
      </c>
    </row>
    <row r="6408" spans="1:2" x14ac:dyDescent="0.25">
      <c r="A6408">
        <f ca="1">30373.8881048887*(RANDBETWEEN(2890,3282))</f>
        <v>91607646.524344295</v>
      </c>
      <c r="B6408">
        <v>208026364.52671179</v>
      </c>
    </row>
    <row r="6409" spans="1:2" x14ac:dyDescent="0.25">
      <c r="A6409">
        <f ca="1">41800.8895830683*(RANDBETWEEN(2890,3282))</f>
        <v>127450912.33877519</v>
      </c>
      <c r="B6409">
        <v>218782302.94864935</v>
      </c>
    </row>
    <row r="6410" spans="1:2" x14ac:dyDescent="0.25">
      <c r="A6410">
        <f ca="1">29208.3922493328*(RANDBETWEEN(2890,3282))</f>
        <v>92765853.783881113</v>
      </c>
      <c r="B6410">
        <v>260427308.90712476</v>
      </c>
    </row>
    <row r="6411" spans="1:2" x14ac:dyDescent="0.25">
      <c r="A6411">
        <f ca="1">31968.6300323923*(RANDBETWEEN(2890,3282))</f>
        <v>98335505.9796388</v>
      </c>
      <c r="B6411">
        <v>229737676.6820167</v>
      </c>
    </row>
    <row r="6412" spans="1:2" x14ac:dyDescent="0.25">
      <c r="A6412">
        <f ca="1">35130.7128321607*(RANDBETWEEN(2890,3282))</f>
        <v>113788378.86336839</v>
      </c>
      <c r="B6412">
        <v>243948676.12538666</v>
      </c>
    </row>
    <row r="6413" spans="1:2" x14ac:dyDescent="0.25">
      <c r="A6413">
        <f ca="1">31796.8453926713*(RANDBETWEEN(2890,3282))</f>
        <v>96598816.302935302</v>
      </c>
      <c r="B6413">
        <v>223606978.46018639</v>
      </c>
    </row>
    <row r="6414" spans="1:2" x14ac:dyDescent="0.25">
      <c r="A6414">
        <f ca="1">30995.8706817184*(RANDBETWEEN(2890,3282))</f>
        <v>94599397.320604518</v>
      </c>
      <c r="B6414">
        <v>222558237.84869125</v>
      </c>
    </row>
    <row r="6415" spans="1:2" x14ac:dyDescent="0.25">
      <c r="A6415">
        <f ca="1">42530.494257885*(RANDBETWEEN(2890,3282))</f>
        <v>131631879.72815415</v>
      </c>
      <c r="B6415">
        <v>267628256.35450381</v>
      </c>
    </row>
    <row r="6416" spans="1:2" x14ac:dyDescent="0.25">
      <c r="A6416">
        <f ca="1">29984.6251674583*(RANDBETWEEN(2890,3282))</f>
        <v>86835474.48495923</v>
      </c>
      <c r="B6416">
        <v>205276147.58260071</v>
      </c>
    </row>
    <row r="6417" spans="1:2" x14ac:dyDescent="0.25">
      <c r="A6417">
        <f ca="1">36238.1754117356*(RANDBETWEEN(2890,3282))</f>
        <v>113244298.16167371</v>
      </c>
      <c r="B6417">
        <v>249080124.91020864</v>
      </c>
    </row>
    <row r="6418" spans="1:2" x14ac:dyDescent="0.25">
      <c r="A6418">
        <f ca="1">32604.4231637217*(RANDBETWEEN(2890,3282))</f>
        <v>103942901.04594481</v>
      </c>
      <c r="B6418">
        <v>223516205.28873646</v>
      </c>
    </row>
    <row r="6419" spans="1:2" x14ac:dyDescent="0.25">
      <c r="A6419">
        <f ca="1">34981.5279528009*(RANDBETWEEN(2890,3282))</f>
        <v>112920372.23164141</v>
      </c>
      <c r="B6419">
        <v>211381656.8083809</v>
      </c>
    </row>
    <row r="6420" spans="1:2" x14ac:dyDescent="0.25">
      <c r="A6420">
        <f ca="1">32283.002448282*(RANDBETWEEN(2890,3282))</f>
        <v>97139554.366880402</v>
      </c>
      <c r="B6420">
        <v>249235629.12814468</v>
      </c>
    </row>
    <row r="6421" spans="1:2" x14ac:dyDescent="0.25">
      <c r="A6421">
        <f ca="1">39696.9227703614*(RANDBETWEEN(2890,3282))</f>
        <v>115597439.10729235</v>
      </c>
      <c r="B6421">
        <v>216511429.54988098</v>
      </c>
    </row>
    <row r="6422" spans="1:2" x14ac:dyDescent="0.25">
      <c r="A6422">
        <f ca="1">36109.532889081*(RANDBETWEEN(2890,3282))</f>
        <v>110928485.0352568</v>
      </c>
      <c r="B6422">
        <v>250419355.63232011</v>
      </c>
    </row>
    <row r="6423" spans="1:2" x14ac:dyDescent="0.25">
      <c r="A6423">
        <f ca="1">31955.0650986939*(RANDBETWEEN(2890,3282))</f>
        <v>96120835.816871345</v>
      </c>
      <c r="B6423">
        <v>243880733.43616775</v>
      </c>
    </row>
    <row r="6424" spans="1:2" x14ac:dyDescent="0.25">
      <c r="A6424">
        <f ca="1">36370.1061303789*(RANDBETWEEN(2890,3282))</f>
        <v>106528040.85587989</v>
      </c>
      <c r="B6424">
        <v>230443544.71421143</v>
      </c>
    </row>
    <row r="6425" spans="1:2" x14ac:dyDescent="0.25">
      <c r="A6425">
        <f ca="1">33593.1371950461*(RANDBETWEEN(2890,3282))</f>
        <v>107766784.12170778</v>
      </c>
      <c r="B6425">
        <v>266381111.76824874</v>
      </c>
    </row>
    <row r="6426" spans="1:2" x14ac:dyDescent="0.25">
      <c r="A6426">
        <f ca="1">31774.6704383612*(RANDBETWEEN(2890,3282))</f>
        <v>101138776.00530362</v>
      </c>
      <c r="B6426">
        <v>235400102.89004052</v>
      </c>
    </row>
    <row r="6427" spans="1:2" x14ac:dyDescent="0.25">
      <c r="A6427">
        <f ca="1">29946.5012057187*(RANDBETWEEN(2890,3282))</f>
        <v>94211692.793190882</v>
      </c>
      <c r="B6427">
        <v>255287890.8519429</v>
      </c>
    </row>
    <row r="6428" spans="1:2" x14ac:dyDescent="0.25">
      <c r="A6428">
        <f ca="1">33766.6113670224*(RANDBETWEEN(2890,3282))</f>
        <v>109133687.93821633</v>
      </c>
      <c r="B6428">
        <v>208929227.03285336</v>
      </c>
    </row>
    <row r="6429" spans="1:2" x14ac:dyDescent="0.25">
      <c r="A6429">
        <f ca="1">34849.2457791918*(RANDBETWEEN(2890,3282))</f>
        <v>114305526.15574896</v>
      </c>
      <c r="B6429">
        <v>207890161.62467909</v>
      </c>
    </row>
    <row r="6430" spans="1:2" x14ac:dyDescent="0.25">
      <c r="A6430">
        <f ca="1">39627.8816630415*(RANDBETWEEN(2890,3282))</f>
        <v>129305777.86650445</v>
      </c>
      <c r="B6430">
        <v>233978099.95655698</v>
      </c>
    </row>
    <row r="6431" spans="1:2" x14ac:dyDescent="0.25">
      <c r="A6431">
        <f ca="1">29395.4222879985*(RANDBETWEEN(2890,3282))</f>
        <v>93565629.142699182</v>
      </c>
      <c r="B6431">
        <v>244249374.059863</v>
      </c>
    </row>
    <row r="6432" spans="1:2" x14ac:dyDescent="0.25">
      <c r="A6432">
        <f ca="1">30139.0167843963*(RANDBETWEEN(2890,3282))</f>
        <v>93461091.048413038</v>
      </c>
      <c r="B6432">
        <v>249838791.43107751</v>
      </c>
    </row>
    <row r="6433" spans="1:2" x14ac:dyDescent="0.25">
      <c r="A6433">
        <f ca="1">30441.5543942715*(RANDBETWEEN(2890,3282))</f>
        <v>88737131.059301496</v>
      </c>
      <c r="B6433">
        <v>247591183.56254154</v>
      </c>
    </row>
    <row r="6434" spans="1:2" x14ac:dyDescent="0.25">
      <c r="A6434">
        <f ca="1">33374.8453564544*(RANDBETWEEN(2890,3282))</f>
        <v>106599256.0685153</v>
      </c>
      <c r="B6434">
        <v>231605837.9443059</v>
      </c>
    </row>
    <row r="6435" spans="1:2" x14ac:dyDescent="0.25">
      <c r="A6435">
        <f ca="1">40040.5923324454*(RANDBETWEEN(2890,3282))</f>
        <v>122003684.836961</v>
      </c>
      <c r="B6435">
        <v>256832311.29676282</v>
      </c>
    </row>
    <row r="6436" spans="1:2" x14ac:dyDescent="0.25">
      <c r="A6436">
        <f ca="1">39506.5126747264*(RANDBETWEEN(2890,3282))</f>
        <v>127013438.24924542</v>
      </c>
      <c r="B6436">
        <v>226254720.80313939</v>
      </c>
    </row>
    <row r="6437" spans="1:2" x14ac:dyDescent="0.25">
      <c r="A6437">
        <f ca="1">33343.2587083355*(RANDBETWEEN(2890,3282))</f>
        <v>97729091.274131417</v>
      </c>
      <c r="B6437">
        <v>218398806.20253775</v>
      </c>
    </row>
    <row r="6438" spans="1:2" x14ac:dyDescent="0.25">
      <c r="A6438">
        <f ca="1">32540.3804143553*(RANDBETWEEN(2890,3282))</f>
        <v>97133035.536850616</v>
      </c>
      <c r="B6438">
        <v>249228056.04879102</v>
      </c>
    </row>
    <row r="6439" spans="1:2" x14ac:dyDescent="0.25">
      <c r="A6439">
        <f ca="1">31191.223230929*(RANDBETWEEN(2890,3282))</f>
        <v>101246710.60759567</v>
      </c>
      <c r="B6439">
        <v>253817523.90458012</v>
      </c>
    </row>
    <row r="6440" spans="1:2" x14ac:dyDescent="0.25">
      <c r="A6440">
        <f ca="1">37114.363347073*(RANDBETWEEN(2890,3282))</f>
        <v>110860603.31770709</v>
      </c>
      <c r="B6440">
        <v>228637558.12142748</v>
      </c>
    </row>
    <row r="6441" spans="1:2" x14ac:dyDescent="0.25">
      <c r="A6441">
        <f ca="1">41702.4283616106*(RANDBETWEEN(2890,3282))</f>
        <v>121604281.10245638</v>
      </c>
      <c r="B6441">
        <v>261811476.40095168</v>
      </c>
    </row>
    <row r="6442" spans="1:2" x14ac:dyDescent="0.25">
      <c r="A6442">
        <f ca="1">39677.7217104273*(RANDBETWEEN(2890,3282))</f>
        <v>125818055.5437649</v>
      </c>
      <c r="B6442">
        <v>243622110.70665252</v>
      </c>
    </row>
    <row r="6443" spans="1:2" x14ac:dyDescent="0.25">
      <c r="A6443">
        <f ca="1">32122.1667872386*(RANDBETWEEN(2890,3282))</f>
        <v>93411261.017289788</v>
      </c>
      <c r="B6443">
        <v>213170149.91457146</v>
      </c>
    </row>
    <row r="6444" spans="1:2" x14ac:dyDescent="0.25">
      <c r="A6444">
        <f ca="1">37846.9363880496*(RANDBETWEEN(2890,3282))</f>
        <v>118120288.46710292</v>
      </c>
      <c r="B6444">
        <v>254573534.82230479</v>
      </c>
    </row>
    <row r="6445" spans="1:2" x14ac:dyDescent="0.25">
      <c r="A6445">
        <f ca="1">40819.8723372613*(RANDBETWEEN(2890,3282))</f>
        <v>133562622.2875189</v>
      </c>
      <c r="B6445">
        <v>210034395.80689049</v>
      </c>
    </row>
    <row r="6446" spans="1:2" x14ac:dyDescent="0.25">
      <c r="A6446">
        <f ca="1">38685.41343401*(RANDBETWEEN(2890,3282))</f>
        <v>113077463.46761136</v>
      </c>
      <c r="B6446">
        <v>222584661.05049962</v>
      </c>
    </row>
    <row r="6447" spans="1:2" x14ac:dyDescent="0.25">
      <c r="A6447">
        <f ca="1">36434.4566776719*(RANDBETWEEN(2890,3282))</f>
        <v>108319639.70271845</v>
      </c>
      <c r="B6447">
        <v>241171722.95378596</v>
      </c>
    </row>
    <row r="6448" spans="1:2" x14ac:dyDescent="0.25">
      <c r="A6448">
        <f ca="1">33031.9492514388*(RANDBETWEEN(2890,3282))</f>
        <v>100978668.86164853</v>
      </c>
      <c r="B6448">
        <v>228736607.28147873</v>
      </c>
    </row>
    <row r="6449" spans="1:2" x14ac:dyDescent="0.25">
      <c r="A6449">
        <f ca="1">30084.3378924142*(RANDBETWEEN(2890,3282))</f>
        <v>92178411.302357063</v>
      </c>
      <c r="B6449">
        <v>222297316.29685798</v>
      </c>
    </row>
    <row r="6450" spans="1:2" x14ac:dyDescent="0.25">
      <c r="A6450">
        <f ca="1">37693.7637688513*(RANDBETWEEN(2890,3282))</f>
        <v>109801933.85866372</v>
      </c>
      <c r="B6450">
        <v>229604378.5597508</v>
      </c>
    </row>
    <row r="6451" spans="1:2" x14ac:dyDescent="0.25">
      <c r="A6451">
        <f ca="1">32684.2106838835*(RANDBETWEEN(2890,3282))</f>
        <v>104654842.60979505</v>
      </c>
      <c r="B6451">
        <v>210937520.62361744</v>
      </c>
    </row>
    <row r="6452" spans="1:2" x14ac:dyDescent="0.25">
      <c r="A6452">
        <f ca="1">33448.612538926*(RANDBETWEEN(2890,3282))</f>
        <v>98138229.189209089</v>
      </c>
      <c r="B6452">
        <v>266482305.14164925</v>
      </c>
    </row>
    <row r="6453" spans="1:2" x14ac:dyDescent="0.25">
      <c r="A6453">
        <f ca="1">29585.8613083209*(RANDBETWEEN(2890,3282))</f>
        <v>95739847.193726361</v>
      </c>
      <c r="B6453">
        <v>243183884.25130057</v>
      </c>
    </row>
    <row r="6454" spans="1:2" x14ac:dyDescent="0.25">
      <c r="A6454">
        <f ca="1">30983.0837897732*(RANDBETWEEN(2890,3282))</f>
        <v>89696027.571393669</v>
      </c>
      <c r="B6454">
        <v>261681186.47615853</v>
      </c>
    </row>
    <row r="6455" spans="1:2" x14ac:dyDescent="0.25">
      <c r="A6455">
        <f ca="1">31324.6044689427*(RANDBETWEEN(2890,3282))</f>
        <v>101773639.91959472</v>
      </c>
      <c r="B6455">
        <v>219679306.71819863</v>
      </c>
    </row>
    <row r="6456" spans="1:2" x14ac:dyDescent="0.25">
      <c r="A6456">
        <f ca="1">32202.9226759723*(RANDBETWEEN(2890,3282))</f>
        <v>101245988.89325701</v>
      </c>
      <c r="B6456">
        <v>245407871.44055277</v>
      </c>
    </row>
    <row r="6457" spans="1:2" x14ac:dyDescent="0.25">
      <c r="A6457">
        <f ca="1">33475.0069385405*(RANDBETWEEN(2890,3282))</f>
        <v>109362847.66821177</v>
      </c>
      <c r="B6457">
        <v>224607159.08453643</v>
      </c>
    </row>
    <row r="6458" spans="1:2" x14ac:dyDescent="0.25">
      <c r="A6458">
        <f ca="1">29092.928131526*(RANDBETWEEN(2890,3282))</f>
        <v>94552016.427459344</v>
      </c>
      <c r="B6458">
        <v>238998571.68218106</v>
      </c>
    </row>
    <row r="6459" spans="1:2" x14ac:dyDescent="0.25">
      <c r="A6459">
        <f ca="1">31210.5446370177*(RANDBETWEEN(2890,3282))</f>
        <v>95379424.410726205</v>
      </c>
      <c r="B6459">
        <v>235850435.02450496</v>
      </c>
    </row>
    <row r="6460" spans="1:2" x14ac:dyDescent="0.25">
      <c r="A6460">
        <f ca="1">31591.2851496572*(RANDBETWEEN(2890,3282))</f>
        <v>93257473.76178804</v>
      </c>
      <c r="B6460">
        <v>231072791.84545219</v>
      </c>
    </row>
    <row r="6461" spans="1:2" x14ac:dyDescent="0.25">
      <c r="A6461">
        <f ca="1">39649.4944596023*(RANDBETWEEN(2890,3282))</f>
        <v>120296566.19043349</v>
      </c>
      <c r="B6461">
        <v>215281206.31874308</v>
      </c>
    </row>
    <row r="6462" spans="1:2" x14ac:dyDescent="0.25">
      <c r="A6462">
        <f ca="1">32277.5684653839*(RANDBETWEEN(2890,3282))</f>
        <v>99899074.400363207</v>
      </c>
      <c r="B6462">
        <v>231673905.80212554</v>
      </c>
    </row>
    <row r="6463" spans="1:2" x14ac:dyDescent="0.25">
      <c r="A6463">
        <f ca="1">33553.6025505688*(RANDBETWEEN(2890,3282))</f>
        <v>104586579.15012287</v>
      </c>
      <c r="B6463">
        <v>259793970.59100619</v>
      </c>
    </row>
    <row r="6464" spans="1:2" x14ac:dyDescent="0.25">
      <c r="A6464">
        <f ca="1">30676.53469138*(RANDBETWEEN(2890,3282))</f>
        <v>99668061.212293476</v>
      </c>
      <c r="B6464">
        <v>215904040.69818479</v>
      </c>
    </row>
    <row r="6465" spans="1:2" x14ac:dyDescent="0.25">
      <c r="A6465">
        <f ca="1">34587.9389179356*(RANDBETWEEN(2890,3282))</f>
        <v>101688540.41873077</v>
      </c>
      <c r="B6465">
        <v>248060612.15041044</v>
      </c>
    </row>
    <row r="6466" spans="1:2" x14ac:dyDescent="0.25">
      <c r="A6466">
        <f ca="1">29631.6604295968*(RANDBETWEEN(2890,3282))</f>
        <v>90109879.366403937</v>
      </c>
      <c r="B6466">
        <v>231000772.31805664</v>
      </c>
    </row>
    <row r="6467" spans="1:2" x14ac:dyDescent="0.25">
      <c r="A6467">
        <f ca="1">30654.4880728766*(RANDBETWEEN(2890,3282))</f>
        <v>96837527.822217256</v>
      </c>
      <c r="B6467">
        <v>244034121.02892452</v>
      </c>
    </row>
    <row r="6468" spans="1:2" x14ac:dyDescent="0.25">
      <c r="A6468">
        <f ca="1">37214.2837083286*(RANDBETWEEN(2890,3282))</f>
        <v>112275493.94802743</v>
      </c>
      <c r="B6468">
        <v>259753199.29756752</v>
      </c>
    </row>
    <row r="6469" spans="1:2" x14ac:dyDescent="0.25">
      <c r="A6469">
        <f ca="1">29614.4193273268*(RANDBETWEEN(2890,3282))</f>
        <v>94618069.750809252</v>
      </c>
      <c r="B6469">
        <v>236032356.68551305</v>
      </c>
    </row>
    <row r="6470" spans="1:2" x14ac:dyDescent="0.25">
      <c r="A6470">
        <f ca="1">32521.7098945283*(RANDBETWEEN(2890,3282))</f>
        <v>106573643.32436922</v>
      </c>
      <c r="B6470">
        <v>253923759.55000737</v>
      </c>
    </row>
    <row r="6471" spans="1:2" x14ac:dyDescent="0.25">
      <c r="A6471">
        <f ca="1">38675.9551259939*(RANDBETWEEN(2890,3282))</f>
        <v>116066541.33310762</v>
      </c>
      <c r="B6471">
        <v>254992131.86307579</v>
      </c>
    </row>
    <row r="6472" spans="1:2" x14ac:dyDescent="0.25">
      <c r="A6472">
        <f ca="1">33039.6350402794*(RANDBETWEEN(2890,3282))</f>
        <v>105066039.42808835</v>
      </c>
      <c r="B6472">
        <v>251821163.87512809</v>
      </c>
    </row>
    <row r="6473" spans="1:2" x14ac:dyDescent="0.25">
      <c r="A6473">
        <f ca="1">30421.4874589292*(RANDBETWEEN(2890,3282))</f>
        <v>97622553.255703807</v>
      </c>
      <c r="B6473">
        <v>248906487.23707485</v>
      </c>
    </row>
    <row r="6474" spans="1:2" x14ac:dyDescent="0.25">
      <c r="A6474">
        <f ca="1">35452.5745889039*(RANDBETWEEN(2890,3282))</f>
        <v>108094899.92156813</v>
      </c>
      <c r="B6474">
        <v>209449304.58285969</v>
      </c>
    </row>
    <row r="6475" spans="1:2" x14ac:dyDescent="0.25">
      <c r="A6475">
        <f ca="1">35009.365486805*(RANDBETWEEN(2890,3282))</f>
        <v>104047834.22678474</v>
      </c>
      <c r="B6475">
        <v>219143317.91132909</v>
      </c>
    </row>
    <row r="6476" spans="1:2" x14ac:dyDescent="0.25">
      <c r="A6476">
        <f ca="1">38021.781413927*(RANDBETWEEN(2890,3282))</f>
        <v>116346651.12661678</v>
      </c>
      <c r="B6476">
        <v>241732636.54138419</v>
      </c>
    </row>
    <row r="6477" spans="1:2" x14ac:dyDescent="0.25">
      <c r="A6477">
        <f ca="1">31826.0152381873*(RANDBETWEEN(2890,3282))</f>
        <v>104389329.98125423</v>
      </c>
      <c r="B6477">
        <v>224397110.67795604</v>
      </c>
    </row>
    <row r="6478" spans="1:2" x14ac:dyDescent="0.25">
      <c r="A6478">
        <f ca="1">30946.3077999052*(RANDBETWEEN(2890,3282))</f>
        <v>91879587.857918546</v>
      </c>
      <c r="B6478">
        <v>229721662.65481737</v>
      </c>
    </row>
    <row r="6479" spans="1:2" x14ac:dyDescent="0.25">
      <c r="A6479">
        <f ca="1">33456.5480981534*(RANDBETWEEN(2890,3282))</f>
        <v>104852821.73961264</v>
      </c>
      <c r="B6479">
        <v>260149698.70492864</v>
      </c>
    </row>
    <row r="6480" spans="1:2" x14ac:dyDescent="0.25">
      <c r="A6480">
        <f ca="1">33256.9023991047*(RANDBETWEEN(2890,3282))</f>
        <v>101167497.09807649</v>
      </c>
      <c r="B6480">
        <v>267807464.86546078</v>
      </c>
    </row>
    <row r="6481" spans="1:2" x14ac:dyDescent="0.25">
      <c r="A6481">
        <f ca="1">32819.0397244326*(RANDBETWEEN(2890,3282))</f>
        <v>96356700.630933985</v>
      </c>
      <c r="B6481">
        <v>215466575.42562953</v>
      </c>
    </row>
    <row r="6482" spans="1:2" x14ac:dyDescent="0.25">
      <c r="A6482">
        <f ca="1">30592.7044973604*(RANDBETWEEN(2890,3282))</f>
        <v>90584998.016684026</v>
      </c>
      <c r="B6482">
        <v>211575273.76192296</v>
      </c>
    </row>
    <row r="6483" spans="1:2" x14ac:dyDescent="0.25">
      <c r="A6483">
        <f ca="1">34241.8931774985*(RANDBETWEEN(2890,3282))</f>
        <v>100739649.7282007</v>
      </c>
      <c r="B6483">
        <v>210317939.3672376</v>
      </c>
    </row>
    <row r="6484" spans="1:2" x14ac:dyDescent="0.25">
      <c r="A6484">
        <f ca="1">32581.0618183578*(RANDBETWEEN(2890,3282))</f>
        <v>100838386.3278175</v>
      </c>
      <c r="B6484">
        <v>207327077.46186614</v>
      </c>
    </row>
    <row r="6485" spans="1:2" x14ac:dyDescent="0.25">
      <c r="A6485">
        <f ca="1">40092.4133077002*(RANDBETWEEN(2890,3282))</f>
        <v>127574059.14510219</v>
      </c>
      <c r="B6485">
        <v>237183769.37732172</v>
      </c>
    </row>
    <row r="6486" spans="1:2" x14ac:dyDescent="0.25">
      <c r="A6486">
        <f ca="1">32367.7250709061*(RANDBETWEEN(2890,3282))</f>
        <v>96876601.137221977</v>
      </c>
      <c r="B6486">
        <v>262138955.3098079</v>
      </c>
    </row>
    <row r="6487" spans="1:2" x14ac:dyDescent="0.25">
      <c r="A6487">
        <f ca="1">32529.3896838822*(RANDBETWEEN(2890,3282))</f>
        <v>106306045.48692699</v>
      </c>
      <c r="B6487">
        <v>210943184.54481709</v>
      </c>
    </row>
    <row r="6488" spans="1:2" x14ac:dyDescent="0.25">
      <c r="A6488">
        <f ca="1">32735.9522198109*(RANDBETWEEN(2890,3282))</f>
        <v>104231271.86787777</v>
      </c>
      <c r="B6488">
        <v>265379851.86100501</v>
      </c>
    </row>
    <row r="6489" spans="1:2" x14ac:dyDescent="0.25">
      <c r="A6489">
        <f ca="1">37131.3919093352*(RANDBETWEEN(2890,3282))</f>
        <v>111654095.47137085</v>
      </c>
      <c r="B6489">
        <v>232365838.79366446</v>
      </c>
    </row>
    <row r="6490" spans="1:2" x14ac:dyDescent="0.25">
      <c r="A6490">
        <f ca="1">29149.0827800334*(RANDBETWEEN(2890,3282))</f>
        <v>94326431.87618795</v>
      </c>
      <c r="B6490">
        <v>237190329.78961024</v>
      </c>
    </row>
    <row r="6491" spans="1:2" x14ac:dyDescent="0.25">
      <c r="A6491">
        <f ca="1">37144.8613775768*(RANDBETWEEN(2890,3282))</f>
        <v>117266327.36900981</v>
      </c>
      <c r="B6491">
        <v>265711957.31496614</v>
      </c>
    </row>
    <row r="6492" spans="1:2" x14ac:dyDescent="0.25">
      <c r="A6492">
        <f ca="1">40943.2950872938*(RANDBETWEEN(2890,3282))</f>
        <v>123689694.45871466</v>
      </c>
      <c r="B6492">
        <v>247636274.17974168</v>
      </c>
    </row>
    <row r="6493" spans="1:2" x14ac:dyDescent="0.25">
      <c r="A6493">
        <f ca="1">41033.9744444028*(RANDBETWEEN(2890,3282))</f>
        <v>131185616.29875565</v>
      </c>
      <c r="B6493">
        <v>259836433.25848341</v>
      </c>
    </row>
    <row r="6494" spans="1:2" x14ac:dyDescent="0.25">
      <c r="A6494">
        <f ca="1">30390.8651724586*(RANDBETWEEN(2890,3282))</f>
        <v>90230478.697029725</v>
      </c>
      <c r="B6494">
        <v>256668244.57763255</v>
      </c>
    </row>
    <row r="6495" spans="1:2" x14ac:dyDescent="0.25">
      <c r="A6495">
        <f ca="1">30162.8702564355*(RANDBETWEEN(2890,3282))</f>
        <v>93685875.016488552</v>
      </c>
      <c r="B6495">
        <v>237685670.65381879</v>
      </c>
    </row>
    <row r="6496" spans="1:2" x14ac:dyDescent="0.25">
      <c r="A6496">
        <f ca="1">32709.2456177095*(RANDBETWEEN(2890,3282))</f>
        <v>98160446.098746315</v>
      </c>
      <c r="B6496">
        <v>258593111.44822541</v>
      </c>
    </row>
    <row r="6497" spans="1:2" x14ac:dyDescent="0.25">
      <c r="A6497">
        <f ca="1">39681.9725176009*(RANDBETWEEN(2890,3282))</f>
        <v>117815776.40475714</v>
      </c>
      <c r="B6497">
        <v>250060818.80307537</v>
      </c>
    </row>
    <row r="6498" spans="1:2" x14ac:dyDescent="0.25">
      <c r="A6498">
        <f ca="1">29622.6476855013*(RANDBETWEEN(2890,3282))</f>
        <v>85727942.401840791</v>
      </c>
      <c r="B6498">
        <v>251912415.34087318</v>
      </c>
    </row>
    <row r="6499" spans="1:2" x14ac:dyDescent="0.25">
      <c r="A6499">
        <f ca="1">36570.6196432028*(RANDBETWEEN(2890,3282))</f>
        <v>114246615.76536551</v>
      </c>
      <c r="B6499">
        <v>229990781.38664994</v>
      </c>
    </row>
    <row r="6500" spans="1:2" x14ac:dyDescent="0.25">
      <c r="A6500">
        <f ca="1">39593.7354937208*(RANDBETWEEN(2890,3282))</f>
        <v>128204515.52866796</v>
      </c>
      <c r="B6500">
        <v>246464890.94640061</v>
      </c>
    </row>
    <row r="6501" spans="1:2" x14ac:dyDescent="0.25">
      <c r="A6501">
        <f ca="1">36511.4028860817*(RANDBETWEEN(2890,3282))</f>
        <v>108146775.34857398</v>
      </c>
      <c r="B6501">
        <v>214781348.1593914</v>
      </c>
    </row>
    <row r="6502" spans="1:2" x14ac:dyDescent="0.25">
      <c r="A6502">
        <f ca="1">40554.386953894*(RANDBETWEEN(2890,3282))</f>
        <v>117567167.77933879</v>
      </c>
      <c r="B6502">
        <v>252401806.7726123</v>
      </c>
    </row>
    <row r="6503" spans="1:2" x14ac:dyDescent="0.25">
      <c r="A6503">
        <f ca="1">34173.7540621219*(RANDBETWEEN(2890,3282))</f>
        <v>99069713.026091412</v>
      </c>
      <c r="B6503">
        <v>243648622.66146627</v>
      </c>
    </row>
    <row r="6504" spans="1:2" x14ac:dyDescent="0.25">
      <c r="A6504">
        <f ca="1">32183.7974653816*(RANDBETWEEN(2890,3282))</f>
        <v>96293922.016421661</v>
      </c>
      <c r="B6504">
        <v>245654197.51456666</v>
      </c>
    </row>
    <row r="6505" spans="1:2" x14ac:dyDescent="0.25">
      <c r="A6505">
        <f ca="1">28286.2301911206*(RANDBETWEEN(2890,3282))</f>
        <v>84802118.112979501</v>
      </c>
      <c r="B6505">
        <v>221727539.43533739</v>
      </c>
    </row>
    <row r="6506" spans="1:2" x14ac:dyDescent="0.25">
      <c r="A6506">
        <f ca="1">39333.4274262787*(RANDBETWEEN(2890,3282))</f>
        <v>128305640.26452114</v>
      </c>
      <c r="B6506">
        <v>205486078.87588233</v>
      </c>
    </row>
    <row r="6507" spans="1:2" x14ac:dyDescent="0.25">
      <c r="A6507">
        <f ca="1">39426.8162430025*(RANDBETWEEN(2890,3282))</f>
        <v>127466896.91362724</v>
      </c>
      <c r="B6507">
        <v>240661556.98960692</v>
      </c>
    </row>
    <row r="6508" spans="1:2" x14ac:dyDescent="0.25">
      <c r="A6508">
        <f ca="1">29036.0469895387*(RANDBETWEEN(2890,3282))</f>
        <v>91463548.017046884</v>
      </c>
      <c r="B6508">
        <v>251797626.87092793</v>
      </c>
    </row>
    <row r="6509" spans="1:2" x14ac:dyDescent="0.25">
      <c r="A6509">
        <f ca="1">42664.0908698489*(RANDBETWEEN(2890,3282))</f>
        <v>126840342.15606071</v>
      </c>
      <c r="B6509">
        <v>259460299.88404509</v>
      </c>
    </row>
    <row r="6510" spans="1:2" x14ac:dyDescent="0.25">
      <c r="A6510">
        <f ca="1">31496.187297692*(RANDBETWEEN(2890,3282))</f>
        <v>103024028.65075053</v>
      </c>
      <c r="B6510">
        <v>229981757.86780387</v>
      </c>
    </row>
    <row r="6511" spans="1:2" x14ac:dyDescent="0.25">
      <c r="A6511">
        <f ca="1">30872.9270700207*(RANDBETWEEN(2890,3282))</f>
        <v>91599974.616751343</v>
      </c>
      <c r="B6511">
        <v>223823975.97354636</v>
      </c>
    </row>
    <row r="6512" spans="1:2" x14ac:dyDescent="0.25">
      <c r="A6512">
        <f ca="1">31834.2861107668*(RANDBETWEEN(2890,3282))</f>
        <v>95311852.615635827</v>
      </c>
      <c r="B6512">
        <v>235759817.32732898</v>
      </c>
    </row>
    <row r="6513" spans="1:2" x14ac:dyDescent="0.25">
      <c r="A6513">
        <f ca="1">38378.5194861367*(RANDBETWEEN(2890,3282))</f>
        <v>113370146.56204782</v>
      </c>
      <c r="B6513">
        <v>219667236.44806612</v>
      </c>
    </row>
    <row r="6514" spans="1:2" x14ac:dyDescent="0.25">
      <c r="A6514">
        <f ca="1">30285.337354901*(RANDBETWEEN(2890,3282))</f>
        <v>90341161.32966958</v>
      </c>
      <c r="B6514">
        <v>228439985.30301496</v>
      </c>
    </row>
    <row r="6515" spans="1:2" x14ac:dyDescent="0.25">
      <c r="A6515">
        <f ca="1">40823.6430564366*(RANDBETWEEN(2890,3282))</f>
        <v>122103516.38180183</v>
      </c>
      <c r="B6515">
        <v>217311447.72556067</v>
      </c>
    </row>
    <row r="6516" spans="1:2" x14ac:dyDescent="0.25">
      <c r="A6516">
        <f ca="1">42194.6091084709*(RANDBETWEEN(2890,3282))</f>
        <v>131647180.41842932</v>
      </c>
      <c r="B6516">
        <v>248303718.99726638</v>
      </c>
    </row>
    <row r="6517" spans="1:2" x14ac:dyDescent="0.25">
      <c r="A6517">
        <f ca="1">31507.6847615259*(RANDBETWEEN(2890,3282))</f>
        <v>98524530.24929139</v>
      </c>
      <c r="B6517">
        <v>249221480.76948097</v>
      </c>
    </row>
    <row r="6518" spans="1:2" x14ac:dyDescent="0.25">
      <c r="A6518">
        <f ca="1">29484.3224000922*(RANDBETWEEN(2890,3282))</f>
        <v>88452967.200276479</v>
      </c>
      <c r="B6518">
        <v>244019158.99670908</v>
      </c>
    </row>
    <row r="6519" spans="1:2" x14ac:dyDescent="0.25">
      <c r="A6519">
        <f ca="1">31729.4123693728*(RANDBETWEEN(2890,3282))</f>
        <v>93062366.479370534</v>
      </c>
      <c r="B6519">
        <v>228989527.7394163</v>
      </c>
    </row>
    <row r="6520" spans="1:2" x14ac:dyDescent="0.25">
      <c r="A6520">
        <f ca="1">36858.356535128*(RANDBETWEEN(2890,3282))</f>
        <v>109174452.05704921</v>
      </c>
      <c r="B6520">
        <v>254667400.60707152</v>
      </c>
    </row>
    <row r="6521" spans="1:2" x14ac:dyDescent="0.25">
      <c r="A6521">
        <f ca="1">30140.7157132776*(RANDBETWEEN(2890,3282))</f>
        <v>87347794.13707839</v>
      </c>
      <c r="B6521">
        <v>243068337.10273269</v>
      </c>
    </row>
    <row r="6522" spans="1:2" x14ac:dyDescent="0.25">
      <c r="A6522">
        <f ca="1">30288.2803333472*(RANDBETWEEN(2890,3282))</f>
        <v>95347506.489376858</v>
      </c>
      <c r="B6522">
        <v>217385723.72233793</v>
      </c>
    </row>
    <row r="6523" spans="1:2" x14ac:dyDescent="0.25">
      <c r="A6523">
        <f ca="1">30526.3009209851*(RANDBETWEEN(2890,3282))</f>
        <v>90815745.23993066</v>
      </c>
      <c r="B6523">
        <v>267418188.18177047</v>
      </c>
    </row>
    <row r="6524" spans="1:2" x14ac:dyDescent="0.25">
      <c r="A6524">
        <f ca="1">30086.8722386203*(RANDBETWEEN(2890,3282))</f>
        <v>94984255.657324389</v>
      </c>
      <c r="B6524">
        <v>226036612.84937036</v>
      </c>
    </row>
    <row r="6525" spans="1:2" x14ac:dyDescent="0.25">
      <c r="A6525">
        <f ca="1">36560.4273315607*(RANDBETWEEN(2890,3282))</f>
        <v>109937204.98600312</v>
      </c>
      <c r="B6525">
        <v>243014953.70686522</v>
      </c>
    </row>
    <row r="6526" spans="1:2" x14ac:dyDescent="0.25">
      <c r="A6526">
        <f ca="1">38469.6469645503*(RANDBETWEEN(2890,3282))</f>
        <v>120333055.70511346</v>
      </c>
      <c r="B6526">
        <v>240406041.03220457</v>
      </c>
    </row>
    <row r="6527" spans="1:2" x14ac:dyDescent="0.25">
      <c r="A6527">
        <f ca="1">32260.5536308182*(RANDBETWEEN(2890,3282))</f>
        <v>103814461.58397295</v>
      </c>
      <c r="B6527">
        <v>259434902.78004313</v>
      </c>
    </row>
    <row r="6528" spans="1:2" x14ac:dyDescent="0.25">
      <c r="A6528">
        <f ca="1">32051.7364386132*(RANDBETWEEN(2890,3282))</f>
        <v>102373246.18493052</v>
      </c>
      <c r="B6528">
        <v>216688289.77903408</v>
      </c>
    </row>
    <row r="6529" spans="1:2" x14ac:dyDescent="0.25">
      <c r="A6529">
        <f ca="1">34993.8804964854*(RANDBETWEEN(2890,3282))</f>
        <v>104771678.20647722</v>
      </c>
      <c r="B6529">
        <v>255921638.55953312</v>
      </c>
    </row>
    <row r="6530" spans="1:2" x14ac:dyDescent="0.25">
      <c r="A6530">
        <f ca="1">38075.1358085117*(RANDBETWEEN(2890,3282))</f>
        <v>119327475.62387559</v>
      </c>
      <c r="B6530">
        <v>256195249.59342164</v>
      </c>
    </row>
    <row r="6531" spans="1:2" x14ac:dyDescent="0.25">
      <c r="A6531">
        <f ca="1">38022.4095945266*(RANDBETWEEN(2890,3282))</f>
        <v>115055811.43303749</v>
      </c>
      <c r="B6531">
        <v>231320563.2837446</v>
      </c>
    </row>
    <row r="6532" spans="1:2" x14ac:dyDescent="0.25">
      <c r="A6532">
        <f ca="1">32459.2892180081*(RANDBETWEEN(2890,3282))</f>
        <v>103252999.00248368</v>
      </c>
      <c r="B6532">
        <v>256546707.69717261</v>
      </c>
    </row>
    <row r="6533" spans="1:2" x14ac:dyDescent="0.25">
      <c r="A6533">
        <f ca="1">32295.2271455022*(RANDBETWEEN(2890,3282))</f>
        <v>100567337.33109383</v>
      </c>
      <c r="B6533">
        <v>241118720.84521547</v>
      </c>
    </row>
    <row r="6534" spans="1:2" x14ac:dyDescent="0.25">
      <c r="A6534">
        <f ca="1">30070.3848214303*(RANDBETWEEN(2890,3282))</f>
        <v>90211154.464290857</v>
      </c>
      <c r="B6534">
        <v>216473486.67507938</v>
      </c>
    </row>
    <row r="6535" spans="1:2" x14ac:dyDescent="0.25">
      <c r="A6535">
        <f ca="1">34227.4254425519*(RANDBETWEEN(2890,3282))</f>
        <v>103161460.28385155</v>
      </c>
      <c r="B6535">
        <v>252040572.23906821</v>
      </c>
    </row>
    <row r="6536" spans="1:2" x14ac:dyDescent="0.25">
      <c r="A6536">
        <f ca="1">38988.3287980193*(RANDBETWEEN(2890,3282))</f>
        <v>122774247.38496289</v>
      </c>
      <c r="B6536">
        <v>264138386.55021158</v>
      </c>
    </row>
    <row r="6537" spans="1:2" x14ac:dyDescent="0.25">
      <c r="A6537">
        <f ca="1">39889.6635675304*(RANDBETWEEN(2890,3282))</f>
        <v>119629101.03902358</v>
      </c>
      <c r="B6537">
        <v>234355579.04927039</v>
      </c>
    </row>
    <row r="6538" spans="1:2" x14ac:dyDescent="0.25">
      <c r="A6538">
        <f ca="1">30028.0670155748*(RANDBETWEEN(2890,3282))</f>
        <v>90564650.118973702</v>
      </c>
      <c r="B6538">
        <v>235109682.58227122</v>
      </c>
    </row>
    <row r="6539" spans="1:2" x14ac:dyDescent="0.25">
      <c r="A6539">
        <f ca="1">31292.3620842085*(RANDBETWEEN(2890,3282))</f>
        <v>100792698.27323544</v>
      </c>
      <c r="B6539">
        <v>219163840.12432501</v>
      </c>
    </row>
    <row r="6540" spans="1:2" x14ac:dyDescent="0.25">
      <c r="A6540">
        <f ca="1">39575.1247450923*(RANDBETWEEN(2890,3282))</f>
        <v>127946378.30088325</v>
      </c>
      <c r="B6540">
        <v>215200083.57390127</v>
      </c>
    </row>
    <row r="6541" spans="1:2" x14ac:dyDescent="0.25">
      <c r="A6541">
        <f ca="1">36467.2122643274*(RANDBETWEEN(2890,3282))</f>
        <v>118481972.64679959</v>
      </c>
      <c r="B6541">
        <v>260101901.70467395</v>
      </c>
    </row>
    <row r="6542" spans="1:2" x14ac:dyDescent="0.25">
      <c r="A6542">
        <f ca="1">33375.2261590406*(RANDBETWEEN(2890,3282))</f>
        <v>102895822.2483222</v>
      </c>
      <c r="B6542">
        <v>214092328.59590876</v>
      </c>
    </row>
    <row r="6543" spans="1:2" x14ac:dyDescent="0.25">
      <c r="A6543">
        <f ca="1">40176.667498086*(RANDBETWEEN(2890,3282))</f>
        <v>131859822.72871822</v>
      </c>
      <c r="B6543">
        <v>210346872.93789017</v>
      </c>
    </row>
    <row r="6544" spans="1:2" x14ac:dyDescent="0.25">
      <c r="A6544">
        <f ca="1">37861.0698571348*(RANDBETWEEN(2890,3282))</f>
        <v>123124199.17540251</v>
      </c>
      <c r="B6544">
        <v>227122226.67115027</v>
      </c>
    </row>
    <row r="6545" spans="1:2" x14ac:dyDescent="0.25">
      <c r="A6545">
        <f ca="1">40058.6683549067*(RANDBETWEEN(2890,3282))</f>
        <v>125864335.97111674</v>
      </c>
      <c r="B6545">
        <v>217890396.38757986</v>
      </c>
    </row>
    <row r="6546" spans="1:2" x14ac:dyDescent="0.25">
      <c r="A6546">
        <f ca="1">36071.6315531989*(RANDBETWEEN(2890,3282))</f>
        <v>111894201.0780229</v>
      </c>
      <c r="B6546">
        <v>215972705.39952964</v>
      </c>
    </row>
    <row r="6547" spans="1:2" x14ac:dyDescent="0.25">
      <c r="A6547">
        <f ca="1">37918.4426902815*(RANDBETWEEN(2890,3282))</f>
        <v>123121183.41534409</v>
      </c>
      <c r="B6547">
        <v>234093846.51840997</v>
      </c>
    </row>
    <row r="6548" spans="1:2" x14ac:dyDescent="0.25">
      <c r="A6548">
        <f ca="1">31317.737729668*(RANDBETWEEN(2890,3282))</f>
        <v>95957548.403702781</v>
      </c>
      <c r="B6548">
        <v>218310233.18703306</v>
      </c>
    </row>
    <row r="6549" spans="1:2" x14ac:dyDescent="0.25">
      <c r="A6549">
        <f ca="1">34581.0828334877*(RANDBETWEEN(2890,3282))</f>
        <v>102636653.84979156</v>
      </c>
      <c r="B6549">
        <v>208428052.81127834</v>
      </c>
    </row>
    <row r="6550" spans="1:2" x14ac:dyDescent="0.25">
      <c r="A6550">
        <f ca="1">38479.6897033495*(RANDBETWEEN(2890,3282))</f>
        <v>116131703.52470882</v>
      </c>
      <c r="B6550">
        <v>265490830.20206544</v>
      </c>
    </row>
    <row r="6551" spans="1:2" x14ac:dyDescent="0.25">
      <c r="A6551">
        <f ca="1">39106.8148653914*(RANDBETWEEN(2890,3282))</f>
        <v>122678078.23273276</v>
      </c>
      <c r="B6551">
        <v>209179517.42716467</v>
      </c>
    </row>
    <row r="6552" spans="1:2" x14ac:dyDescent="0.25">
      <c r="A6552">
        <f ca="1">30544.8549396096*(RANDBETWEEN(2890,3282))</f>
        <v>99728951.377825186</v>
      </c>
      <c r="B6552">
        <v>239622021.67061192</v>
      </c>
    </row>
    <row r="6553" spans="1:2" x14ac:dyDescent="0.25">
      <c r="A6553">
        <f ca="1">37535.3525210942*(RANDBETWEEN(2890,3282))</f>
        <v>119962986.65741719</v>
      </c>
      <c r="B6553">
        <v>210907908.26207876</v>
      </c>
    </row>
    <row r="6554" spans="1:2" x14ac:dyDescent="0.25">
      <c r="A6554">
        <f ca="1">38790.5448274551*(RANDBETWEEN(2890,3282))</f>
        <v>122306587.84096608</v>
      </c>
      <c r="B6554">
        <v>207013228.94977063</v>
      </c>
    </row>
    <row r="6555" spans="1:2" x14ac:dyDescent="0.25">
      <c r="A6555">
        <f ca="1">31885.0648839731*(RANDBETWEEN(2890,3282))</f>
        <v>95687079.716803148</v>
      </c>
      <c r="B6555">
        <v>257942848.06514037</v>
      </c>
    </row>
    <row r="6556" spans="1:2" x14ac:dyDescent="0.25">
      <c r="A6556">
        <f ca="1">31935.6484740923*(RANDBETWEEN(2890,3282))</f>
        <v>96765014.876499623</v>
      </c>
      <c r="B6556">
        <v>247269828.90957296</v>
      </c>
    </row>
    <row r="6557" spans="1:2" x14ac:dyDescent="0.25">
      <c r="A6557">
        <f ca="1">36015.0869039092*(RANDBETWEEN(2890,3282))</f>
        <v>114996172.48418216</v>
      </c>
      <c r="B6557">
        <v>243941497.57844466</v>
      </c>
    </row>
    <row r="6558" spans="1:2" x14ac:dyDescent="0.25">
      <c r="A6558">
        <f ca="1">31711.4517735837*(RANDBETWEEN(2890,3282))</f>
        <v>94658683.544147417</v>
      </c>
      <c r="B6558">
        <v>257837517.69021165</v>
      </c>
    </row>
    <row r="6559" spans="1:2" x14ac:dyDescent="0.25">
      <c r="A6559">
        <f ca="1">30671.7178625226*(RANDBETWEEN(2890,3282))</f>
        <v>94928966.784507364</v>
      </c>
      <c r="B6559">
        <v>221917286.4905661</v>
      </c>
    </row>
    <row r="6560" spans="1:2" x14ac:dyDescent="0.25">
      <c r="A6560">
        <f ca="1">38573.6968104342*(RANDBETWEEN(2890,3282))</f>
        <v>119732754.89958765</v>
      </c>
      <c r="B6560">
        <v>250761237.51023883</v>
      </c>
    </row>
    <row r="6561" spans="1:2" x14ac:dyDescent="0.25">
      <c r="A6561">
        <f ca="1">30793.4946574778*(RANDBETWEEN(2890,3282))</f>
        <v>100325205.59406272</v>
      </c>
      <c r="B6561">
        <v>265633726.99993518</v>
      </c>
    </row>
    <row r="6562" spans="1:2" x14ac:dyDescent="0.25">
      <c r="A6562">
        <f ca="1">29182.6865875497*(RANDBETWEEN(2890,3282))</f>
        <v>92421568.42276977</v>
      </c>
      <c r="B6562">
        <v>240223857.35389057</v>
      </c>
    </row>
    <row r="6563" spans="1:2" x14ac:dyDescent="0.25">
      <c r="A6563">
        <f ca="1">37190.787429937*(RANDBETWEEN(2890,3282))</f>
        <v>113915381.89789703</v>
      </c>
      <c r="B6563">
        <v>205452471.72272292</v>
      </c>
    </row>
    <row r="6564" spans="1:2" x14ac:dyDescent="0.25">
      <c r="A6564">
        <f ca="1">36557.3674521097*(RANDBETWEEN(2890,3282))</f>
        <v>115338494.31140608</v>
      </c>
      <c r="B6564">
        <v>208690545.01372373</v>
      </c>
    </row>
    <row r="6565" spans="1:2" x14ac:dyDescent="0.25">
      <c r="A6565">
        <f ca="1">35679.7503630371*(RANDBETWEEN(2890,3282))</f>
        <v>104791426.81624003</v>
      </c>
      <c r="B6565">
        <v>244419790.3422004</v>
      </c>
    </row>
    <row r="6566" spans="1:2" x14ac:dyDescent="0.25">
      <c r="A6566">
        <f ca="1">36901.9881976758*(RANDBETWEEN(2890,3282))</f>
        <v>109672708.92349245</v>
      </c>
      <c r="B6566">
        <v>227029941.26935524</v>
      </c>
    </row>
    <row r="6567" spans="1:2" x14ac:dyDescent="0.25">
      <c r="A6567">
        <f ca="1">42378.7904459764*(RANDBETWEEN(2890,3282))</f>
        <v>131670901.91564856</v>
      </c>
      <c r="B6567">
        <v>248143890.58108458</v>
      </c>
    </row>
    <row r="6568" spans="1:2" x14ac:dyDescent="0.25">
      <c r="A6568">
        <f ca="1">36383.4064841146*(RANDBETWEEN(2890,3282))</f>
        <v>108822768.79398674</v>
      </c>
      <c r="B6568">
        <v>231158534.76970866</v>
      </c>
    </row>
    <row r="6569" spans="1:2" x14ac:dyDescent="0.25">
      <c r="A6569">
        <f ca="1">40402.5397823049*(RANDBETWEEN(2890,3282))</f>
        <v>125288275.86492747</v>
      </c>
      <c r="B6569">
        <v>232815810.18845969</v>
      </c>
    </row>
    <row r="6570" spans="1:2" x14ac:dyDescent="0.25">
      <c r="A6570">
        <f ca="1">33425.7707194513*(RANDBETWEEN(2890,3282))</f>
        <v>97335844.335042328</v>
      </c>
      <c r="B6570">
        <v>226760963.48583063</v>
      </c>
    </row>
    <row r="6571" spans="1:2" x14ac:dyDescent="0.25">
      <c r="A6571">
        <f ca="1">29548.7167665391*(RANDBETWEEN(2890,3282))</f>
        <v>94555893.652925208</v>
      </c>
      <c r="B6571">
        <v>214290483.56283331</v>
      </c>
    </row>
    <row r="6572" spans="1:2" x14ac:dyDescent="0.25">
      <c r="A6572">
        <f ca="1">35642.0275793207*(RANDBETWEEN(2890,3282))</f>
        <v>116549430.18437865</v>
      </c>
      <c r="B6572">
        <v>265240587.61774266</v>
      </c>
    </row>
    <row r="6573" spans="1:2" x14ac:dyDescent="0.25">
      <c r="A6573">
        <f ca="1">33018.2381652581*(RANDBETWEEN(2890,3282))</f>
        <v>106417781.60662696</v>
      </c>
      <c r="B6573">
        <v>228362135.95903519</v>
      </c>
    </row>
    <row r="6574" spans="1:2" x14ac:dyDescent="0.25">
      <c r="A6574">
        <f ca="1">30186.7115529057*(RANDBETWEEN(2890,3282))</f>
        <v>88326318.003802136</v>
      </c>
      <c r="B6574">
        <v>266597258.04984146</v>
      </c>
    </row>
    <row r="6575" spans="1:2" x14ac:dyDescent="0.25">
      <c r="A6575">
        <f ca="1">31374.0934399006*(RANDBETWEEN(2890,3282))</f>
        <v>97134193.289932281</v>
      </c>
      <c r="B6575">
        <v>259999896.08222026</v>
      </c>
    </row>
    <row r="6576" spans="1:2" x14ac:dyDescent="0.25">
      <c r="A6576">
        <f ca="1">35348.6084770517*(RANDBETWEEN(2890,3282))</f>
        <v>110676493.14164893</v>
      </c>
      <c r="B6576">
        <v>263840994.25881037</v>
      </c>
    </row>
    <row r="6577" spans="1:2" x14ac:dyDescent="0.25">
      <c r="A6577">
        <f ca="1">35542.3218850691*(RANDBETWEEN(2890,3282))</f>
        <v>105382984.38923003</v>
      </c>
      <c r="B6577">
        <v>236296296.77438158</v>
      </c>
    </row>
    <row r="6578" spans="1:2" x14ac:dyDescent="0.25">
      <c r="A6578">
        <f ca="1">32102.8850738361*(RANDBETWEEN(2890,3282))</f>
        <v>102953952.43179241</v>
      </c>
      <c r="B6578">
        <v>262069602.16529405</v>
      </c>
    </row>
    <row r="6579" spans="1:2" x14ac:dyDescent="0.25">
      <c r="A6579">
        <f ca="1">36566.9826490595*(RANDBETWEEN(2890,3282))</f>
        <v>107287527.09234068</v>
      </c>
      <c r="B6579">
        <v>245976373.17387232</v>
      </c>
    </row>
    <row r="6580" spans="1:2" x14ac:dyDescent="0.25">
      <c r="A6580">
        <f ca="1">34199.4773473121*(RANDBETWEEN(2890,3282))</f>
        <v>111114101.901417</v>
      </c>
      <c r="B6580">
        <v>266444751.30231231</v>
      </c>
    </row>
    <row r="6581" spans="1:2" x14ac:dyDescent="0.25">
      <c r="A6581">
        <f ca="1">40351.3899863703*(RANDBETWEEN(2890,3282))</f>
        <v>123434901.96830674</v>
      </c>
      <c r="B6581">
        <v>210845701.38227671</v>
      </c>
    </row>
    <row r="6582" spans="1:2" x14ac:dyDescent="0.25">
      <c r="A6582">
        <f ca="1">31111.9391161348*(RANDBETWEEN(2890,3282))</f>
        <v>92246899.479339674</v>
      </c>
      <c r="B6582">
        <v>242613114.0068765</v>
      </c>
    </row>
    <row r="6583" spans="1:2" x14ac:dyDescent="0.25">
      <c r="A6583">
        <f ca="1">38616.9318846922*(RANDBETWEEN(2890,3282))</f>
        <v>121681952.3686652</v>
      </c>
      <c r="B6583">
        <v>229541939.55731723</v>
      </c>
    </row>
    <row r="6584" spans="1:2" x14ac:dyDescent="0.25">
      <c r="A6584">
        <f ca="1">31166.2045071847*(RANDBETWEEN(2890,3282))</f>
        <v>90319660.661821336</v>
      </c>
      <c r="B6584">
        <v>209620156.59443575</v>
      </c>
    </row>
    <row r="6585" spans="1:2" x14ac:dyDescent="0.25">
      <c r="A6585">
        <f ca="1">32769.7968769396*(RANDBETWEEN(2890,3282))</f>
        <v>103159320.5686058</v>
      </c>
      <c r="B6585">
        <v>231307356.01072955</v>
      </c>
    </row>
    <row r="6586" spans="1:2" x14ac:dyDescent="0.25">
      <c r="A6586">
        <f ca="1">40817.0188777691*(RANDBETWEEN(2890,3282))</f>
        <v>125349064.97362882</v>
      </c>
      <c r="B6586">
        <v>262061055.51114619</v>
      </c>
    </row>
    <row r="6587" spans="1:2" x14ac:dyDescent="0.25">
      <c r="A6587">
        <f ca="1">35216.5378327444*(RANDBETWEEN(2890,3282))</f>
        <v>113890283.35109553</v>
      </c>
      <c r="B6587">
        <v>229822056.19110501</v>
      </c>
    </row>
    <row r="6588" spans="1:2" x14ac:dyDescent="0.25">
      <c r="A6588">
        <f ca="1">29213.1486864296*(RANDBETWEEN(2890,3282))</f>
        <v>90677613.522677466</v>
      </c>
      <c r="B6588">
        <v>224390099.41849476</v>
      </c>
    </row>
    <row r="6589" spans="1:2" x14ac:dyDescent="0.25">
      <c r="A6589">
        <f ca="1">33360.6988085163*(RANDBETWEEN(2890,3282))</f>
        <v>108722517.41695487</v>
      </c>
      <c r="B6589">
        <v>240391659.61459985</v>
      </c>
    </row>
    <row r="6590" spans="1:2" x14ac:dyDescent="0.25">
      <c r="A6590">
        <f ca="1">30669.5094709187*(RANDBETWEEN(2890,3282))</f>
        <v>100319965.47937517</v>
      </c>
      <c r="B6590">
        <v>215257783.68480539</v>
      </c>
    </row>
    <row r="6591" spans="1:2" x14ac:dyDescent="0.25">
      <c r="A6591">
        <f ca="1">35982.5744128432*(RANDBETWEEN(2890,3282))</f>
        <v>117842931.20206143</v>
      </c>
      <c r="B6591">
        <v>213748917.96277311</v>
      </c>
    </row>
    <row r="6592" spans="1:2" x14ac:dyDescent="0.25">
      <c r="A6592">
        <f ca="1">29403.5459580253*(RANDBETWEEN(2890,3282))</f>
        <v>89092744.252816632</v>
      </c>
      <c r="B6592">
        <v>224675416.84074751</v>
      </c>
    </row>
    <row r="6593" spans="1:2" x14ac:dyDescent="0.25">
      <c r="A6593">
        <f ca="1">37031.879915605*(RANDBETWEEN(2890,3282))</f>
        <v>110614225.3079121</v>
      </c>
      <c r="B6593">
        <v>266106837.39693108</v>
      </c>
    </row>
    <row r="6594" spans="1:2" x14ac:dyDescent="0.25">
      <c r="A6594">
        <f ca="1">31944.6722344707*(RANDBETWEEN(2890,3282))</f>
        <v>99827100.732721016</v>
      </c>
      <c r="B6594">
        <v>264093404.68352282</v>
      </c>
    </row>
    <row r="6595" spans="1:2" x14ac:dyDescent="0.25">
      <c r="A6595">
        <f ca="1">32381.8033695763*(RANDBETWEEN(2890,3282))</f>
        <v>105046570.13090539</v>
      </c>
      <c r="B6595">
        <v>213104366.84957546</v>
      </c>
    </row>
    <row r="6596" spans="1:2" x14ac:dyDescent="0.25">
      <c r="A6596">
        <f ca="1">38309.7440865016*(RANDBETWEEN(2890,3282))</f>
        <v>120867242.59291255</v>
      </c>
      <c r="B6596">
        <v>228858043.64426079</v>
      </c>
    </row>
    <row r="6597" spans="1:2" x14ac:dyDescent="0.25">
      <c r="A6597">
        <f ca="1">31548.3397794998*(RANDBETWEEN(2890,3282))</f>
        <v>100702300.57616352</v>
      </c>
      <c r="B6597">
        <v>216104561.94932702</v>
      </c>
    </row>
    <row r="6598" spans="1:2" x14ac:dyDescent="0.25">
      <c r="A6598">
        <f ca="1">32648.3262579103*(RANDBETWEEN(2890,3282))</f>
        <v>102026019.55596967</v>
      </c>
      <c r="B6598">
        <v>243262510.75731859</v>
      </c>
    </row>
    <row r="6599" spans="1:2" x14ac:dyDescent="0.25">
      <c r="A6599">
        <f ca="1">36840.2617556664*(RANDBETWEEN(2890,3282))</f>
        <v>117962518.14164376</v>
      </c>
      <c r="B6599">
        <v>233955178.03292033</v>
      </c>
    </row>
    <row r="6600" spans="1:2" x14ac:dyDescent="0.25">
      <c r="A6600">
        <f ca="1">30431.9855156611*(RANDBETWEEN(2890,3282))</f>
        <v>98082289.316975594</v>
      </c>
      <c r="B6600">
        <v>239515532.89136377</v>
      </c>
    </row>
    <row r="6601" spans="1:2" x14ac:dyDescent="0.25">
      <c r="A6601">
        <f ca="1">30891.7780734123*(RANDBETWEEN(2890,3282))</f>
        <v>93972788.899320424</v>
      </c>
      <c r="B6601">
        <v>209879173.72344893</v>
      </c>
    </row>
    <row r="6602" spans="1:2" x14ac:dyDescent="0.25">
      <c r="A6602">
        <f ca="1">29349.0399870497*(RANDBETWEEN(2890,3282))</f>
        <v>90982023.959854126</v>
      </c>
      <c r="B6602">
        <v>213409791.64141273</v>
      </c>
    </row>
    <row r="6603" spans="1:2" x14ac:dyDescent="0.25">
      <c r="A6603">
        <f ca="1">34850.5750480605*(RANDBETWEEN(2890,3282))</f>
        <v>103471357.31769174</v>
      </c>
      <c r="B6603">
        <v>237352107.94039893</v>
      </c>
    </row>
    <row r="6604" spans="1:2" x14ac:dyDescent="0.25">
      <c r="A6604">
        <f ca="1">36298.3797268692*(RANDBETWEEN(2890,3282))</f>
        <v>114485089.65854548</v>
      </c>
      <c r="B6604">
        <v>242688280.59089378</v>
      </c>
    </row>
    <row r="6605" spans="1:2" x14ac:dyDescent="0.25">
      <c r="A6605">
        <f ca="1">41088.2742727522*(RANDBETWEEN(2890,3282))</f>
        <v>131482477.67280695</v>
      </c>
      <c r="B6605">
        <v>241657509.47915396</v>
      </c>
    </row>
    <row r="6606" spans="1:2" x14ac:dyDescent="0.25">
      <c r="A6606">
        <f ca="1">30514.8372493131*(RANDBETWEEN(2890,3282))</f>
        <v>91544511.747939155</v>
      </c>
      <c r="B6606">
        <v>209932098.18202913</v>
      </c>
    </row>
    <row r="6607" spans="1:2" x14ac:dyDescent="0.25">
      <c r="A6607">
        <f ca="1">30561.5175992865*(RANDBETWEEN(2890,3282))</f>
        <v>100027847.1024646</v>
      </c>
      <c r="B6607">
        <v>262042750.6990369</v>
      </c>
    </row>
    <row r="6608" spans="1:2" x14ac:dyDescent="0.25">
      <c r="A6608">
        <f ca="1">34912.1238938159*(RANDBETWEEN(2890,3282))</f>
        <v>108751265.92923649</v>
      </c>
      <c r="B6608">
        <v>244393813.34089386</v>
      </c>
    </row>
    <row r="6609" spans="1:2" x14ac:dyDescent="0.25">
      <c r="A6609">
        <f ca="1">35193.311295957*(RANDBETWEEN(2890,3282))</f>
        <v>107656339.25433254</v>
      </c>
      <c r="B6609">
        <v>234828538.61026689</v>
      </c>
    </row>
    <row r="6610" spans="1:2" x14ac:dyDescent="0.25">
      <c r="A6610">
        <f ca="1">37046.9326272697*(RANDBETWEEN(2890,3282))</f>
        <v>118476090.5420084</v>
      </c>
      <c r="B6610">
        <v>244058239.41790825</v>
      </c>
    </row>
    <row r="6611" spans="1:2" x14ac:dyDescent="0.25">
      <c r="A6611">
        <f ca="1">32108.4174811026*(RANDBETWEEN(2890,3282))</f>
        <v>101334165.57035992</v>
      </c>
      <c r="B6611">
        <v>216301279.43868721</v>
      </c>
    </row>
    <row r="6612" spans="1:2" x14ac:dyDescent="0.25">
      <c r="A6612">
        <f ca="1">31261.7893034051*(RANDBETWEEN(2890,3282))</f>
        <v>94566912.642800391</v>
      </c>
      <c r="B6612">
        <v>254276676.12315452</v>
      </c>
    </row>
    <row r="6613" spans="1:2" x14ac:dyDescent="0.25">
      <c r="A6613">
        <f ca="1">30819.9547556745*(RANDBETWEEN(2890,3282))</f>
        <v>89747708.24852407</v>
      </c>
      <c r="B6613">
        <v>252954976.39324108</v>
      </c>
    </row>
    <row r="6614" spans="1:2" x14ac:dyDescent="0.25">
      <c r="A6614">
        <f ca="1">31942.280827994*(RANDBETWEEN(2890,3282))</f>
        <v>95187996.867422149</v>
      </c>
      <c r="B6614">
        <v>251913089.45645627</v>
      </c>
    </row>
    <row r="6615" spans="1:2" x14ac:dyDescent="0.25">
      <c r="A6615">
        <f ca="1">41004.3610967086*(RANDBETWEEN(2890,3282))</f>
        <v>118502603.56948778</v>
      </c>
      <c r="B6615">
        <v>266671525.21268764</v>
      </c>
    </row>
    <row r="6616" spans="1:2" x14ac:dyDescent="0.25">
      <c r="A6616">
        <f ca="1">32623.2498209638*(RANDBETWEEN(2890,3282))</f>
        <v>100218623.45000067</v>
      </c>
      <c r="B6616">
        <v>256127016.57209069</v>
      </c>
    </row>
    <row r="6617" spans="1:2" x14ac:dyDescent="0.25">
      <c r="A6617">
        <f ca="1">30592.4219771911*(RANDBETWEEN(2890,3282))</f>
        <v>94132882.423817024</v>
      </c>
      <c r="B6617">
        <v>257078519.98133963</v>
      </c>
    </row>
    <row r="6618" spans="1:2" x14ac:dyDescent="0.25">
      <c r="A6618">
        <f ca="1">39796.7901405677*(RANDBETWEEN(2890,3282))</f>
        <v>123171065.48505691</v>
      </c>
      <c r="B6618">
        <v>248389256.31261402</v>
      </c>
    </row>
    <row r="6619" spans="1:2" x14ac:dyDescent="0.25">
      <c r="A6619">
        <f ca="1">32359.5494153186*(RANDBETWEEN(2890,3282))</f>
        <v>97402243.740109041</v>
      </c>
      <c r="B6619">
        <v>224506071.81173474</v>
      </c>
    </row>
    <row r="6620" spans="1:2" x14ac:dyDescent="0.25">
      <c r="A6620">
        <f ca="1">38504.785928508*(RANDBETWEEN(2890,3282))</f>
        <v>112010422.2660297</v>
      </c>
      <c r="B6620">
        <v>259808305.31656829</v>
      </c>
    </row>
    <row r="6621" spans="1:2" x14ac:dyDescent="0.25">
      <c r="A6621">
        <f ca="1">29735.28834*(RANDBETWEEN(2890,3282))</f>
        <v>97561481.043540001</v>
      </c>
      <c r="B6621">
        <v>262933419.95141032</v>
      </c>
    </row>
    <row r="6622" spans="1:2" x14ac:dyDescent="0.25">
      <c r="A6622">
        <f ca="1">33185.659881786*(RANDBETWEEN(2890,3282))</f>
        <v>102278203.75566436</v>
      </c>
      <c r="B6622">
        <v>256118460.69869709</v>
      </c>
    </row>
    <row r="6623" spans="1:2" x14ac:dyDescent="0.25">
      <c r="A6623">
        <f ca="1">31895.6881041978*(RANDBETWEEN(2890,3282))</f>
        <v>98876633.123013139</v>
      </c>
      <c r="B6623">
        <v>238208593.19253939</v>
      </c>
    </row>
    <row r="6624" spans="1:2" x14ac:dyDescent="0.25">
      <c r="A6624">
        <f ca="1">33392.1120276161*(RANDBETWEEN(2890,3282))</f>
        <v>108925069.43408366</v>
      </c>
      <c r="B6624">
        <v>235683663.27269354</v>
      </c>
    </row>
    <row r="6625" spans="1:2" x14ac:dyDescent="0.25">
      <c r="A6625">
        <f ca="1">27991.1482565513*(RANDBETWEEN(2890,3282))</f>
        <v>84281347.400475889</v>
      </c>
      <c r="B6625">
        <v>224736379.02724662</v>
      </c>
    </row>
    <row r="6626" spans="1:2" x14ac:dyDescent="0.25">
      <c r="A6626">
        <f ca="1">33628.2918326975*(RANDBETWEEN(2890,3282))</f>
        <v>102599918.38156</v>
      </c>
      <c r="B6626">
        <v>203892666.40755638</v>
      </c>
    </row>
    <row r="6627" spans="1:2" x14ac:dyDescent="0.25">
      <c r="A6627">
        <f ca="1">32234.2604826921*(RANDBETWEEN(2890,3282))</f>
        <v>97959917.606901392</v>
      </c>
      <c r="B6627">
        <v>216568424.14166582</v>
      </c>
    </row>
    <row r="6628" spans="1:2" x14ac:dyDescent="0.25">
      <c r="A6628">
        <f ca="1">35000.8465928114*(RANDBETWEEN(2890,3282))</f>
        <v>103147494.90901509</v>
      </c>
      <c r="B6628">
        <v>233812720.24465588</v>
      </c>
    </row>
    <row r="6629" spans="1:2" x14ac:dyDescent="0.25">
      <c r="A6629">
        <f ca="1">35146.607589379*(RANDBETWEEN(2890,3282))</f>
        <v>113839861.98199871</v>
      </c>
      <c r="B6629">
        <v>228752355.18600965</v>
      </c>
    </row>
    <row r="6630" spans="1:2" x14ac:dyDescent="0.25">
      <c r="A6630">
        <f ca="1">33092.2423721127*(RANDBETWEEN(2890,3282))</f>
        <v>105332607.47043467</v>
      </c>
      <c r="B6630">
        <v>232817417.95640978</v>
      </c>
    </row>
    <row r="6631" spans="1:2" x14ac:dyDescent="0.25">
      <c r="A6631">
        <f ca="1">31758.3820535089*(RANDBETWEEN(2890,3282))</f>
        <v>100801104.6378372</v>
      </c>
      <c r="B6631">
        <v>255078787.99114108</v>
      </c>
    </row>
    <row r="6632" spans="1:2" x14ac:dyDescent="0.25">
      <c r="A6632">
        <f ca="1">37700.0306790542*(RANDBETWEEN(2890,3282))</f>
        <v>123392200.41254447</v>
      </c>
      <c r="B6632">
        <v>232226153.64216322</v>
      </c>
    </row>
    <row r="6633" spans="1:2" x14ac:dyDescent="0.25">
      <c r="A6633">
        <f ca="1">33647.7276346493*(RANDBETWEEN(2890,3282))</f>
        <v>109287819.35734086</v>
      </c>
      <c r="B6633">
        <v>246275643.37590033</v>
      </c>
    </row>
    <row r="6634" spans="1:2" x14ac:dyDescent="0.25">
      <c r="A6634">
        <f ca="1">40761.9506972242*(RANDBETWEEN(2890,3282))</f>
        <v>129378431.51298955</v>
      </c>
      <c r="B6634">
        <v>266475916.20132312</v>
      </c>
    </row>
    <row r="6635" spans="1:2" x14ac:dyDescent="0.25">
      <c r="A6635">
        <f ca="1">30036.3589791693*(RANDBETWEEN(2890,3282))</f>
        <v>89478313.398945257</v>
      </c>
      <c r="B6635">
        <v>226749441.82738209</v>
      </c>
    </row>
    <row r="6636" spans="1:2" x14ac:dyDescent="0.25">
      <c r="A6636">
        <f ca="1">29864.3395608509*(RANDBETWEEN(2890,3282))</f>
        <v>90160441.134208933</v>
      </c>
      <c r="B6636">
        <v>263005977.5059914</v>
      </c>
    </row>
    <row r="6637" spans="1:2" x14ac:dyDescent="0.25">
      <c r="A6637">
        <f ca="1">39733.4410836752*(RANDBETWEEN(2890,3282))</f>
        <v>121504862.83387883</v>
      </c>
      <c r="B6637">
        <v>267782906.65250015</v>
      </c>
    </row>
    <row r="6638" spans="1:2" x14ac:dyDescent="0.25">
      <c r="A6638">
        <f ca="1">32030.4598017154*(RANDBETWEEN(2890,3282))</f>
        <v>98589755.269680053</v>
      </c>
      <c r="B6638">
        <v>242948710.72761151</v>
      </c>
    </row>
    <row r="6639" spans="1:2" x14ac:dyDescent="0.25">
      <c r="A6639">
        <f ca="1">32962.0317605696*(RANDBETWEEN(2890,3282))</f>
        <v>96974297.439595625</v>
      </c>
      <c r="B6639">
        <v>209366606.88552916</v>
      </c>
    </row>
    <row r="6640" spans="1:2" x14ac:dyDescent="0.25">
      <c r="A6640">
        <f ca="1">37415.8527368402*(RANDBETWEEN(2890,3282))</f>
        <v>117448361.74094135</v>
      </c>
      <c r="B6640">
        <v>240765314.93118483</v>
      </c>
    </row>
    <row r="6641" spans="1:2" x14ac:dyDescent="0.25">
      <c r="A6641">
        <f ca="1">33313.3444118561*(RANDBETWEEN(2890,3282))</f>
        <v>109034576.26000503</v>
      </c>
      <c r="B6641">
        <v>215710553.48077959</v>
      </c>
    </row>
    <row r="6642" spans="1:2" x14ac:dyDescent="0.25">
      <c r="A6642">
        <f ca="1">29545.3133149617*(RANDBETWEEN(2890,3282))</f>
        <v>94190458.848097935</v>
      </c>
      <c r="B6642">
        <v>232007025.93758923</v>
      </c>
    </row>
    <row r="6643" spans="1:2" x14ac:dyDescent="0.25">
      <c r="A6643">
        <f ca="1">30139.0554358398*(RANDBETWEEN(2890,3282))</f>
        <v>96324421.17294389</v>
      </c>
      <c r="B6643">
        <v>261874823.47482991</v>
      </c>
    </row>
    <row r="6644" spans="1:2" x14ac:dyDescent="0.25">
      <c r="A6644">
        <f ca="1">32151.6871684039*(RANDBETWEEN(2890,3282))</f>
        <v>103046157.37473445</v>
      </c>
      <c r="B6644">
        <v>241773652.84218127</v>
      </c>
    </row>
    <row r="6645" spans="1:2" x14ac:dyDescent="0.25">
      <c r="A6645">
        <f ca="1">33793.2337146562*(RANDBETWEEN(2890,3282))</f>
        <v>108712832.86004888</v>
      </c>
      <c r="B6645">
        <v>231742048.32172635</v>
      </c>
    </row>
    <row r="6646" spans="1:2" x14ac:dyDescent="0.25">
      <c r="A6646">
        <f ca="1">40458.9211730698*(RANDBETWEEN(2890,3282))</f>
        <v>128376156.88215034</v>
      </c>
      <c r="B6646">
        <v>240247358.59972948</v>
      </c>
    </row>
    <row r="6647" spans="1:2" x14ac:dyDescent="0.25">
      <c r="A6647">
        <f ca="1">38702.9107575681*(RANDBETWEEN(2890,3282))</f>
        <v>124275046.44255114</v>
      </c>
      <c r="B6647">
        <v>211750513.59957242</v>
      </c>
    </row>
    <row r="6648" spans="1:2" x14ac:dyDescent="0.25">
      <c r="A6648">
        <f ca="1">36349.2437006844*(RANDBETWEEN(2890,3282))</f>
        <v>108902334.12725039</v>
      </c>
      <c r="B6648">
        <v>256792993.40899068</v>
      </c>
    </row>
    <row r="6649" spans="1:2" x14ac:dyDescent="0.25">
      <c r="A6649">
        <f ca="1">32231.7187827895*(RANDBETWEEN(2890,3282))</f>
        <v>93536447.907654986</v>
      </c>
      <c r="B6649">
        <v>227551699.70010024</v>
      </c>
    </row>
    <row r="6650" spans="1:2" x14ac:dyDescent="0.25">
      <c r="A6650">
        <f ca="1">34888.0369138682*(RANDBETWEEN(2890,3282))</f>
        <v>108746011.06052704</v>
      </c>
      <c r="B6650">
        <v>221768068.4672786</v>
      </c>
    </row>
    <row r="6651" spans="1:2" x14ac:dyDescent="0.25">
      <c r="A6651">
        <f ca="1">36425.886415501*(RANDBETWEEN(2890,3282))</f>
        <v>115761467.02846202</v>
      </c>
      <c r="B6651">
        <v>244663822.98915905</v>
      </c>
    </row>
    <row r="6652" spans="1:2" x14ac:dyDescent="0.25">
      <c r="A6652">
        <f ca="1">31757.7985570918*(RANDBETWEEN(2890,3282))</f>
        <v>98576206.721213073</v>
      </c>
      <c r="B6652">
        <v>258584372.81897867</v>
      </c>
    </row>
    <row r="6653" spans="1:2" x14ac:dyDescent="0.25">
      <c r="A6653">
        <f ca="1">33137.8537060564*(RANDBETWEEN(2890,3282))</f>
        <v>95900948.62532711</v>
      </c>
      <c r="B6653">
        <v>212471922.74945337</v>
      </c>
    </row>
    <row r="6654" spans="1:2" x14ac:dyDescent="0.25">
      <c r="A6654">
        <f ca="1">33373.6662576521*(RANDBETWEEN(2890,3282))</f>
        <v>101489319.0895199</v>
      </c>
      <c r="B6654">
        <v>213679683.36346078</v>
      </c>
    </row>
    <row r="6655" spans="1:2" x14ac:dyDescent="0.25">
      <c r="A6655">
        <f ca="1">32023.2199455705*(RANDBETWEEN(2890,3282))</f>
        <v>93411732.581229076</v>
      </c>
      <c r="B6655">
        <v>265542453.57793489</v>
      </c>
    </row>
    <row r="6656" spans="1:2" x14ac:dyDescent="0.25">
      <c r="A6656">
        <f ca="1">40315.3144877999*(RANDBETWEEN(2890,3282))</f>
        <v>127839862.24081346</v>
      </c>
      <c r="B6656">
        <v>222492101.7678768</v>
      </c>
    </row>
    <row r="6657" spans="1:2" x14ac:dyDescent="0.25">
      <c r="A6657">
        <f ca="1">30749.0123724459*(RANDBETWEEN(2890,3282))</f>
        <v>89448876.991445065</v>
      </c>
      <c r="B6657">
        <v>236300166.9459784</v>
      </c>
    </row>
    <row r="6658" spans="1:2" x14ac:dyDescent="0.25">
      <c r="A6658">
        <f ca="1">28962.6553573477*(RANDBETWEEN(2890,3282))</f>
        <v>92072281.381008446</v>
      </c>
      <c r="B6658">
        <v>223632500.98703644</v>
      </c>
    </row>
    <row r="6659" spans="1:2" x14ac:dyDescent="0.25">
      <c r="A6659">
        <f ca="1">37946.1394300697*(RANDBETWEEN(2890,3282))</f>
        <v>114255825.82393982</v>
      </c>
      <c r="B6659">
        <v>259200710.43596649</v>
      </c>
    </row>
    <row r="6660" spans="1:2" x14ac:dyDescent="0.25">
      <c r="A6660">
        <f ca="1">29170.973920855*(RANDBETWEEN(2890,3282))</f>
        <v>87017015.205910474</v>
      </c>
      <c r="B6660">
        <v>229732484.28689674</v>
      </c>
    </row>
    <row r="6661" spans="1:2" x14ac:dyDescent="0.25">
      <c r="A6661">
        <f ca="1">31483.9771421053*(RANDBETWEEN(2890,3282))</f>
        <v>94074123.700610667</v>
      </c>
      <c r="B6661">
        <v>233104449.13300163</v>
      </c>
    </row>
    <row r="6662" spans="1:2" x14ac:dyDescent="0.25">
      <c r="A6662">
        <f ca="1">36781.5273521791*(RANDBETWEEN(2890,3282))</f>
        <v>108027345.83334994</v>
      </c>
      <c r="B6662">
        <v>252524199.25663009</v>
      </c>
    </row>
    <row r="6663" spans="1:2" x14ac:dyDescent="0.25">
      <c r="A6663">
        <f ca="1">30834.1457928792*(RANDBETWEEN(2890,3282))</f>
        <v>91762417.879608631</v>
      </c>
      <c r="B6663">
        <v>265829841.37820181</v>
      </c>
    </row>
    <row r="6664" spans="1:2" x14ac:dyDescent="0.25">
      <c r="A6664">
        <f ca="1">36779.7772158248*(RANDBETWEEN(2890,3282))</f>
        <v>117364269.09569688</v>
      </c>
      <c r="B6664">
        <v>212638733.43738335</v>
      </c>
    </row>
    <row r="6665" spans="1:2" x14ac:dyDescent="0.25">
      <c r="A6665">
        <f ca="1">32789.0770430055*(RANDBETWEEN(2890,3282))</f>
        <v>100367364.82863985</v>
      </c>
      <c r="B6665">
        <v>243473387.44317216</v>
      </c>
    </row>
    <row r="6666" spans="1:2" x14ac:dyDescent="0.25">
      <c r="A6666">
        <f ca="1">37723.324379538*(RANDBETWEEN(2890,3282))</f>
        <v>120940977.9607988</v>
      </c>
      <c r="B6666">
        <v>234060847.4201746</v>
      </c>
    </row>
    <row r="6667" spans="1:2" x14ac:dyDescent="0.25">
      <c r="A6667">
        <f ca="1">28830.1826979194*(RANDBETWEEN(2890,3282))</f>
        <v>92054773.354456753</v>
      </c>
      <c r="B6667">
        <v>231471695.84488577</v>
      </c>
    </row>
    <row r="6668" spans="1:2" x14ac:dyDescent="0.25">
      <c r="A6668">
        <f ca="1">31060.1198976397*(RANDBETWEEN(2890,3282))</f>
        <v>91254632.259265527</v>
      </c>
      <c r="B6668">
        <v>211827303.10363761</v>
      </c>
    </row>
    <row r="6669" spans="1:2" x14ac:dyDescent="0.25">
      <c r="A6669">
        <f ca="1">30902.1015701464*(RANDBETWEEN(2890,3282))</f>
        <v>100833557.42338775</v>
      </c>
      <c r="B6669">
        <v>243617484.78531915</v>
      </c>
    </row>
    <row r="6670" spans="1:2" x14ac:dyDescent="0.25">
      <c r="A6670">
        <f ca="1">32390.004843868*(RANDBETWEEN(2890,3282))</f>
        <v>99566874.890050232</v>
      </c>
      <c r="B6670">
        <v>267791595.92133588</v>
      </c>
    </row>
    <row r="6671" spans="1:2" x14ac:dyDescent="0.25">
      <c r="A6671">
        <f ca="1">39543.8093813229*(RANDBETWEEN(2890,3282))</f>
        <v>127686960.49229176</v>
      </c>
      <c r="B6671">
        <v>237547415.2355985</v>
      </c>
    </row>
    <row r="6672" spans="1:2" x14ac:dyDescent="0.25">
      <c r="A6672">
        <f ca="1">32845.0597132594*(RANDBETWEEN(2890,3282))</f>
        <v>100768643.20027997</v>
      </c>
      <c r="B6672">
        <v>267468303.51238546</v>
      </c>
    </row>
    <row r="6673" spans="1:2" x14ac:dyDescent="0.25">
      <c r="A6673">
        <f ca="1">32235.2310963082*(RANDBETWEEN(2890,3282))</f>
        <v>93868992.952449352</v>
      </c>
      <c r="B6673">
        <v>256014683.45913079</v>
      </c>
    </row>
    <row r="6674" spans="1:2" x14ac:dyDescent="0.25">
      <c r="A6674">
        <f ca="1">30082.6404974557*(RANDBETWEEN(2890,3282))</f>
        <v>96896185.042304739</v>
      </c>
      <c r="B6674">
        <v>229560065.36949965</v>
      </c>
    </row>
    <row r="6675" spans="1:2" x14ac:dyDescent="0.25">
      <c r="A6675">
        <f ca="1">31006.4357411518*(RANDBETWEEN(2890,3282))</f>
        <v>95499822.082747415</v>
      </c>
      <c r="B6675">
        <v>205238619.72706363</v>
      </c>
    </row>
    <row r="6676" spans="1:2" x14ac:dyDescent="0.25">
      <c r="A6676">
        <f ca="1">36508.6206199282*(RANDBETWEEN(2890,3282))</f>
        <v>118689525.63538642</v>
      </c>
      <c r="B6676">
        <v>235521970.22494936</v>
      </c>
    </row>
    <row r="6677" spans="1:2" x14ac:dyDescent="0.25">
      <c r="A6677">
        <f ca="1">40608.3785722091*(RANDBETWEEN(2890,3282))</f>
        <v>121946960.85234392</v>
      </c>
      <c r="B6677">
        <v>232365611.35200238</v>
      </c>
    </row>
    <row r="6678" spans="1:2" x14ac:dyDescent="0.25">
      <c r="A6678">
        <f ca="1">34121.1384246151*(RANDBETWEEN(2890,3282))</f>
        <v>100623237.21418983</v>
      </c>
      <c r="B6678">
        <v>225444768.68863451</v>
      </c>
    </row>
    <row r="6679" spans="1:2" x14ac:dyDescent="0.25">
      <c r="A6679">
        <f ca="1">36882.2049064028*(RANDBETWEEN(2890,3282))</f>
        <v>109872088.41617391</v>
      </c>
      <c r="B6679">
        <v>211884844.57568032</v>
      </c>
    </row>
    <row r="6680" spans="1:2" x14ac:dyDescent="0.25">
      <c r="A6680">
        <f ca="1">32054.8997081303*(RANDBETWEEN(2890,3282))</f>
        <v>102703898.66484979</v>
      </c>
      <c r="B6680">
        <v>243479229.23799527</v>
      </c>
    </row>
    <row r="6681" spans="1:2" x14ac:dyDescent="0.25">
      <c r="A6681">
        <f ca="1">39680.1960204715*(RANDBETWEEN(2890,3282))</f>
        <v>114755126.89120369</v>
      </c>
      <c r="B6681">
        <v>257588123.90329885</v>
      </c>
    </row>
    <row r="6682" spans="1:2" x14ac:dyDescent="0.25">
      <c r="A6682">
        <f ca="1">29470.4409352307*(RANDBETWEEN(2890,3282))</f>
        <v>86495744.144902036</v>
      </c>
      <c r="B6682">
        <v>204648930.00615948</v>
      </c>
    </row>
    <row r="6683" spans="1:2" x14ac:dyDescent="0.25">
      <c r="A6683">
        <f ca="1">34426.3856933813*(RANDBETWEEN(2890,3282))</f>
        <v>100456193.45328663</v>
      </c>
      <c r="B6683">
        <v>264809804.9053489</v>
      </c>
    </row>
    <row r="6684" spans="1:2" x14ac:dyDescent="0.25">
      <c r="A6684">
        <f ca="1">32647.7679698985*(RANDBETWEEN(2890,3282))</f>
        <v>99183919.092551619</v>
      </c>
      <c r="B6684">
        <v>216251969.02739611</v>
      </c>
    </row>
    <row r="6685" spans="1:2" x14ac:dyDescent="0.25">
      <c r="A6685">
        <f ca="1">32012.9617420318*(RANDBETWEEN(2890,3282))</f>
        <v>102729594.2301801</v>
      </c>
      <c r="B6685">
        <v>224007053.69464195</v>
      </c>
    </row>
    <row r="6686" spans="1:2" x14ac:dyDescent="0.25">
      <c r="A6686">
        <f ca="1">36504.63519614*(RANDBETWEEN(2890,3282))</f>
        <v>113675434.00077996</v>
      </c>
      <c r="B6686">
        <v>230362167.96335194</v>
      </c>
    </row>
    <row r="6687" spans="1:2" x14ac:dyDescent="0.25">
      <c r="A6687">
        <f ca="1">30768.629333216*(RANDBETWEEN(2890,3282))</f>
        <v>97198100.063629404</v>
      </c>
      <c r="B6687">
        <v>242157305.6834569</v>
      </c>
    </row>
    <row r="6688" spans="1:2" x14ac:dyDescent="0.25">
      <c r="A6688">
        <f ca="1">30019.4072298528*(RANDBETWEEN(2890,3282))</f>
        <v>97322918.239182755</v>
      </c>
      <c r="B6688">
        <v>253023231.47797906</v>
      </c>
    </row>
    <row r="6689" spans="1:2" x14ac:dyDescent="0.25">
      <c r="A6689">
        <f ca="1">32896.0401540965*(RANDBETWEEN(2890,3282))</f>
        <v>107767427.54482022</v>
      </c>
      <c r="B6689">
        <v>245527284.6479646</v>
      </c>
    </row>
    <row r="6690" spans="1:2" x14ac:dyDescent="0.25">
      <c r="A6690">
        <f ca="1">38741.3916597853*(RANDBETWEEN(2890,3282))</f>
        <v>114287105.39636658</v>
      </c>
      <c r="B6690">
        <v>241501118.33160242</v>
      </c>
    </row>
    <row r="6691" spans="1:2" x14ac:dyDescent="0.25">
      <c r="A6691">
        <f ca="1">43080.1507538087*(RANDBETWEEN(2890,3282))</f>
        <v>134022348.99509871</v>
      </c>
      <c r="B6691">
        <v>233708103.95363674</v>
      </c>
    </row>
    <row r="6692" spans="1:2" x14ac:dyDescent="0.25">
      <c r="A6692">
        <f ca="1">28604.2774355253*(RANDBETWEEN(2890,3282))</f>
        <v>84210992.770186454</v>
      </c>
      <c r="B6692">
        <v>227761937.7939716</v>
      </c>
    </row>
    <row r="6693" spans="1:2" x14ac:dyDescent="0.25">
      <c r="A6693">
        <f ca="1">30774.5875425688*(RANDBETWEEN(2890,3282))</f>
        <v>91154328.30108884</v>
      </c>
      <c r="B6693">
        <v>218807951.67989326</v>
      </c>
    </row>
    <row r="6694" spans="1:2" x14ac:dyDescent="0.25">
      <c r="A6694">
        <f ca="1">31335.4442843369*(RANDBETWEEN(2890,3282))</f>
        <v>102153548.36693843</v>
      </c>
      <c r="B6694">
        <v>238745502.75648761</v>
      </c>
    </row>
    <row r="6695" spans="1:2" x14ac:dyDescent="0.25">
      <c r="A6695">
        <f ca="1">28049.0215066012*(RANDBETWEEN(2890,3282))</f>
        <v>81173868.24010396</v>
      </c>
      <c r="B6695">
        <v>218509408.74274403</v>
      </c>
    </row>
    <row r="6696" spans="1:2" x14ac:dyDescent="0.25">
      <c r="A6696">
        <f ca="1">39456.5101207021*(RANDBETWEEN(2890,3282))</f>
        <v>125234963.12310854</v>
      </c>
      <c r="B6696">
        <v>207009013.0921661</v>
      </c>
    </row>
    <row r="6697" spans="1:2" x14ac:dyDescent="0.25">
      <c r="A6697">
        <f ca="1">37010.5682198528*(RANDBETWEEN(2890,3282))</f>
        <v>108070859.20197037</v>
      </c>
      <c r="B6697">
        <v>264048188.76711956</v>
      </c>
    </row>
    <row r="6698" spans="1:2" x14ac:dyDescent="0.25">
      <c r="A6698">
        <f ca="1">40505.6130954076*(RANDBETWEEN(2890,3282))</f>
        <v>129455939.45292282</v>
      </c>
      <c r="B6698">
        <v>266481561.79002461</v>
      </c>
    </row>
    <row r="6699" spans="1:2" x14ac:dyDescent="0.25">
      <c r="A6699">
        <f ca="1">36111.5310277508*(RANDBETWEEN(2890,3282))</f>
        <v>105192889.88383822</v>
      </c>
      <c r="B6699">
        <v>208843846.03408319</v>
      </c>
    </row>
    <row r="6700" spans="1:2" x14ac:dyDescent="0.25">
      <c r="A6700">
        <f ca="1">32947.309150393*(RANDBETWEEN(2890,3282))</f>
        <v>107078754.73877735</v>
      </c>
      <c r="B6700">
        <v>245431665.39177591</v>
      </c>
    </row>
    <row r="6701" spans="1:2" x14ac:dyDescent="0.25">
      <c r="A6701">
        <f ca="1">38972.7800537872*(RANDBETWEEN(2890,3282))</f>
        <v>115047646.71877985</v>
      </c>
      <c r="B6701">
        <v>207541612.16879508</v>
      </c>
    </row>
    <row r="6702" spans="1:2" x14ac:dyDescent="0.25">
      <c r="A6702">
        <f ca="1">31929.4918823231*(RANDBETWEEN(2890,3282))</f>
        <v>100833335.36437635</v>
      </c>
      <c r="B6702">
        <v>222237985.70106798</v>
      </c>
    </row>
    <row r="6703" spans="1:2" x14ac:dyDescent="0.25">
      <c r="A6703">
        <f ca="1">37267.9114114857*(RANDBETWEEN(2890,3282))</f>
        <v>121866070.31555824</v>
      </c>
      <c r="B6703">
        <v>241150982.71210527</v>
      </c>
    </row>
    <row r="6704" spans="1:2" x14ac:dyDescent="0.25">
      <c r="A6704">
        <f ca="1">31881.3797343783*(RANDBETWEEN(2890,3282))</f>
        <v>94464528.152962849</v>
      </c>
      <c r="B6704">
        <v>224990878.13118979</v>
      </c>
    </row>
    <row r="6705" spans="1:2" x14ac:dyDescent="0.25">
      <c r="A6705">
        <f ca="1">30619.427439252*(RANDBETWEEN(2890,3282))</f>
        <v>96236860.441569105</v>
      </c>
      <c r="B6705">
        <v>251579083.51765871</v>
      </c>
    </row>
    <row r="6706" spans="1:2" x14ac:dyDescent="0.25">
      <c r="A6706">
        <f ca="1">32862.1047977955*(RANDBETWEEN(2890,3282))</f>
        <v>100229419.6332763</v>
      </c>
      <c r="B6706">
        <v>209413371.17329308</v>
      </c>
    </row>
    <row r="6707" spans="1:2" x14ac:dyDescent="0.25">
      <c r="A6707">
        <f ca="1">31395.389031902*(RANDBETWEEN(2890,3282))</f>
        <v>101218734.23885217</v>
      </c>
      <c r="B6707">
        <v>252217015.24597502</v>
      </c>
    </row>
    <row r="6708" spans="1:2" x14ac:dyDescent="0.25">
      <c r="A6708">
        <f ca="1">31735.110591687*(RANDBETWEEN(2890,3282))</f>
        <v>101393678.34044009</v>
      </c>
      <c r="B6708">
        <v>241486227.15850618</v>
      </c>
    </row>
    <row r="6709" spans="1:2" x14ac:dyDescent="0.25">
      <c r="A6709">
        <f ca="1">26790.9619519679*(RANDBETWEEN(2890,3282))</f>
        <v>81337360.486174539</v>
      </c>
      <c r="B6709">
        <v>254426611.31727284</v>
      </c>
    </row>
    <row r="6710" spans="1:2" x14ac:dyDescent="0.25">
      <c r="A6710">
        <f ca="1">32825.524133588*(RANDBETWEEN(2890,3282))</f>
        <v>96244436.759680137</v>
      </c>
      <c r="B6710">
        <v>206161166.1027506</v>
      </c>
    </row>
    <row r="6711" spans="1:2" x14ac:dyDescent="0.25">
      <c r="A6711">
        <f ca="1">37314.0500138476*(RANDBETWEEN(2890,3282))</f>
        <v>121196034.44497713</v>
      </c>
      <c r="B6711">
        <v>243058580.11524943</v>
      </c>
    </row>
    <row r="6712" spans="1:2" x14ac:dyDescent="0.25">
      <c r="A6712">
        <f ca="1">30047.2228542878*(RANDBETWEEN(2890,3282))</f>
        <v>92425257.499789357</v>
      </c>
      <c r="B6712">
        <v>259581670.08724573</v>
      </c>
    </row>
    <row r="6713" spans="1:2" x14ac:dyDescent="0.25">
      <c r="A6713">
        <f ca="1">37977.2587872662*(RANDBETWEEN(2890,3282))</f>
        <v>116362320.92418361</v>
      </c>
      <c r="B6713">
        <v>249354997.32545891</v>
      </c>
    </row>
    <row r="6714" spans="1:2" x14ac:dyDescent="0.25">
      <c r="A6714">
        <f ca="1">30743.4798267484*(RANDBETWEEN(2890,3282))</f>
        <v>89678730.654625088</v>
      </c>
      <c r="B6714">
        <v>223410840.53939381</v>
      </c>
    </row>
    <row r="6715" spans="1:2" x14ac:dyDescent="0.25">
      <c r="A6715">
        <f ca="1">30812.3275879119*(RANDBETWEEN(2890,3282))</f>
        <v>89448186.987708151</v>
      </c>
      <c r="B6715">
        <v>251174788.86012268</v>
      </c>
    </row>
    <row r="6716" spans="1:2" x14ac:dyDescent="0.25">
      <c r="A6716">
        <f ca="1">36038.3053148807*(RANDBETWEEN(2890,3282))</f>
        <v>110241175.95822009</v>
      </c>
      <c r="B6716">
        <v>213086748.89031968</v>
      </c>
    </row>
    <row r="6717" spans="1:2" x14ac:dyDescent="0.25">
      <c r="A6717">
        <f ca="1">30253.9790679389*(RANDBETWEEN(2890,3282))</f>
        <v>92244382.178145811</v>
      </c>
      <c r="B6717">
        <v>261942319.6586051</v>
      </c>
    </row>
    <row r="6718" spans="1:2" x14ac:dyDescent="0.25">
      <c r="A6718">
        <f ca="1">31443.3395275428*(RANDBETWEEN(2890,3282))</f>
        <v>96719712.386721775</v>
      </c>
      <c r="B6718">
        <v>244654126.0378775</v>
      </c>
    </row>
    <row r="6719" spans="1:2" x14ac:dyDescent="0.25">
      <c r="A6719">
        <f ca="1">35827.9522834872*(RANDBETWEEN(2890,3282))</f>
        <v>115939253.58936445</v>
      </c>
      <c r="B6719">
        <v>236364012.15533847</v>
      </c>
    </row>
    <row r="6720" spans="1:2" x14ac:dyDescent="0.25">
      <c r="A6720">
        <f ca="1">36630.6116720752*(RANDBETWEEN(2890,3282))</f>
        <v>107327692.19918045</v>
      </c>
      <c r="B6720">
        <v>229687780.58372161</v>
      </c>
    </row>
    <row r="6721" spans="1:2" x14ac:dyDescent="0.25">
      <c r="A6721">
        <f ca="1">38972.1253252088*(RANDBETWEEN(2890,3282))</f>
        <v>123970330.6594893</v>
      </c>
      <c r="B6721">
        <v>225995333.09354094</v>
      </c>
    </row>
    <row r="6722" spans="1:2" x14ac:dyDescent="0.25">
      <c r="A6722">
        <f ca="1">37718.6636078025*(RANDBETWEEN(2890,3282))</f>
        <v>109799029.76231298</v>
      </c>
      <c r="B6722">
        <v>266935210.88904548</v>
      </c>
    </row>
    <row r="6723" spans="1:2" x14ac:dyDescent="0.25">
      <c r="A6723">
        <f ca="1">28972.5220743977*(RANDBETWEEN(2890,3282))</f>
        <v>84773599.589687735</v>
      </c>
      <c r="B6723">
        <v>232947372.9635818</v>
      </c>
    </row>
    <row r="6724" spans="1:2" x14ac:dyDescent="0.25">
      <c r="A6724">
        <f ca="1">34155.0847120056*(RANDBETWEEN(2890,3282))</f>
        <v>106495554.13203335</v>
      </c>
      <c r="B6724">
        <v>250618782.39329162</v>
      </c>
    </row>
    <row r="6725" spans="1:2" x14ac:dyDescent="0.25">
      <c r="A6725">
        <f ca="1">35176.9613165139*(RANDBETWEEN(2890,3282))</f>
        <v>110209419.80463803</v>
      </c>
      <c r="B6725">
        <v>210659040.49865729</v>
      </c>
    </row>
    <row r="6726" spans="1:2" x14ac:dyDescent="0.25">
      <c r="A6726">
        <f ca="1">30007.8274160561*(RANDBETWEEN(2890,3282))</f>
        <v>95304859.873394057</v>
      </c>
      <c r="B6726">
        <v>229230977.1661891</v>
      </c>
    </row>
    <row r="6727" spans="1:2" x14ac:dyDescent="0.25">
      <c r="A6727">
        <f ca="1">33340.839225182*(RANDBETWEEN(2890,3282))</f>
        <v>102689784.81356058</v>
      </c>
      <c r="B6727">
        <v>258520852.67609733</v>
      </c>
    </row>
    <row r="6728" spans="1:2" x14ac:dyDescent="0.25">
      <c r="A6728">
        <f ca="1">32637.6738404332*(RANDBETWEEN(2890,3282))</f>
        <v>101960093.07751334</v>
      </c>
      <c r="B6728">
        <v>210582715.54357389</v>
      </c>
    </row>
    <row r="6729" spans="1:2" x14ac:dyDescent="0.25">
      <c r="A6729">
        <f ca="1">37169.7560443722*(RANDBETWEEN(2890,3282))</f>
        <v>108089650.57703422</v>
      </c>
      <c r="B6729">
        <v>234815441.37524474</v>
      </c>
    </row>
    <row r="6730" spans="1:2" x14ac:dyDescent="0.25">
      <c r="A6730">
        <f ca="1">36473.7494510712*(RANDBETWEEN(2890,3282))</f>
        <v>109676564.59937109</v>
      </c>
      <c r="B6730">
        <v>231933007.55420002</v>
      </c>
    </row>
    <row r="6731" spans="1:2" x14ac:dyDescent="0.25">
      <c r="A6731">
        <f ca="1">30456.9102625799*(RANDBETWEEN(2890,3282))</f>
        <v>92893576.300868779</v>
      </c>
      <c r="B6731">
        <v>236848168.41854757</v>
      </c>
    </row>
    <row r="6732" spans="1:2" x14ac:dyDescent="0.25">
      <c r="A6732">
        <f ca="1">29078.1682324292*(RANDBETWEEN(2890,3282))</f>
        <v>94823906.605951726</v>
      </c>
      <c r="B6732">
        <v>246397710.65178466</v>
      </c>
    </row>
    <row r="6733" spans="1:2" x14ac:dyDescent="0.25">
      <c r="A6733">
        <f ca="1">30766.5959186996*(RANDBETWEEN(2890,3282))</f>
        <v>93776584.360196516</v>
      </c>
      <c r="B6733">
        <v>259226541.52672619</v>
      </c>
    </row>
    <row r="6734" spans="1:2" x14ac:dyDescent="0.25">
      <c r="A6734">
        <f ca="1">29716.9769608662*(RANDBETWEEN(2890,3282))</f>
        <v>92211779.509567827</v>
      </c>
      <c r="B6734">
        <v>258723433.75368002</v>
      </c>
    </row>
    <row r="6735" spans="1:2" x14ac:dyDescent="0.25">
      <c r="A6735">
        <f ca="1">40818.2871284055*(RANDBETWEEN(2890,3282))</f>
        <v>123352863.70204149</v>
      </c>
      <c r="B6735">
        <v>234528276.56088975</v>
      </c>
    </row>
    <row r="6736" spans="1:2" x14ac:dyDescent="0.25">
      <c r="A6736">
        <f ca="1">31479.9436903903*(RANDBETWEEN(2890,3282))</f>
        <v>90977037.265228078</v>
      </c>
      <c r="B6736">
        <v>213165549.73568463</v>
      </c>
    </row>
    <row r="6737" spans="1:2" x14ac:dyDescent="0.25">
      <c r="A6737">
        <f ca="1">40837.6613201498*(RANDBETWEEN(2890,3282))</f>
        <v>130149626.62731752</v>
      </c>
      <c r="B6737">
        <v>263500995.42184311</v>
      </c>
    </row>
    <row r="6738" spans="1:2" x14ac:dyDescent="0.25">
      <c r="A6738">
        <f ca="1">31324.7552006478*(RANDBETWEEN(2890,3282))</f>
        <v>90716491.061076075</v>
      </c>
      <c r="B6738">
        <v>212630836.01532611</v>
      </c>
    </row>
    <row r="6739" spans="1:2" x14ac:dyDescent="0.25">
      <c r="A6739">
        <f ca="1">41695.3495876509*(RANDBETWEEN(2890,3282))</f>
        <v>131215265.15233725</v>
      </c>
      <c r="B6739">
        <v>248528858.17028302</v>
      </c>
    </row>
    <row r="6740" spans="1:2" x14ac:dyDescent="0.25">
      <c r="A6740">
        <f ca="1">36801.6341504668*(RANDBETWEEN(2890,3282))</f>
        <v>112539397.23212773</v>
      </c>
      <c r="B6740">
        <v>242246333.84437552</v>
      </c>
    </row>
    <row r="6741" spans="1:2" x14ac:dyDescent="0.25">
      <c r="A6741">
        <f ca="1">30591.490176328*(RANDBETWEEN(2890,3282))</f>
        <v>90030755.588933289</v>
      </c>
      <c r="B6741">
        <v>245038928.13917622</v>
      </c>
    </row>
    <row r="6742" spans="1:2" x14ac:dyDescent="0.25">
      <c r="A6742">
        <f ca="1">34779.9741038975*(RANDBETWEEN(2890,3282))</f>
        <v>106739740.52486157</v>
      </c>
      <c r="B6742">
        <v>232716258.37140349</v>
      </c>
    </row>
    <row r="6743" spans="1:2" x14ac:dyDescent="0.25">
      <c r="A6743">
        <f ca="1">37723.0250768445*(RANDBETWEEN(2890,3282))</f>
        <v>119204759.24282868</v>
      </c>
      <c r="B6743">
        <v>254645070.06069148</v>
      </c>
    </row>
    <row r="6744" spans="1:2" x14ac:dyDescent="0.25">
      <c r="A6744">
        <f ca="1">32869.6225536227*(RANDBETWEEN(2890,3282))</f>
        <v>105182792.1715925</v>
      </c>
      <c r="B6744">
        <v>213264272.5159944</v>
      </c>
    </row>
    <row r="6745" spans="1:2" x14ac:dyDescent="0.25">
      <c r="A6745">
        <f ca="1">40354.4155437007*(RANDBETWEEN(2890,3282))</f>
        <v>124574080.78340417</v>
      </c>
      <c r="B6745">
        <v>239837560.68904641</v>
      </c>
    </row>
    <row r="6746" spans="1:2" x14ac:dyDescent="0.25">
      <c r="A6746">
        <f ca="1">36387.0049814943*(RANDBETWEEN(2890,3282))</f>
        <v>112217523.36292848</v>
      </c>
      <c r="B6746">
        <v>253953968.7878688</v>
      </c>
    </row>
    <row r="6747" spans="1:2" x14ac:dyDescent="0.25">
      <c r="A6747">
        <f ca="1">34083.4146148102*(RANDBETWEEN(2890,3282))</f>
        <v>106987838.47588913</v>
      </c>
      <c r="B6747">
        <v>255944162.21275795</v>
      </c>
    </row>
    <row r="6748" spans="1:2" x14ac:dyDescent="0.25">
      <c r="A6748">
        <f ca="1">32450.5167100377*(RANDBETWEEN(2890,3282))</f>
        <v>95501870.677641064</v>
      </c>
      <c r="B6748">
        <v>236717431.61091909</v>
      </c>
    </row>
    <row r="6749" spans="1:2" x14ac:dyDescent="0.25">
      <c r="A6749">
        <f ca="1">32985.1732563135*(RANDBETWEEN(2890,3282))</f>
        <v>99483282.541041583</v>
      </c>
      <c r="B6749">
        <v>247035261.46682957</v>
      </c>
    </row>
    <row r="6750" spans="1:2" x14ac:dyDescent="0.25">
      <c r="A6750">
        <f ca="1">33195.8554527201*(RANDBETWEEN(2890,3282))</f>
        <v>102176843.08347254</v>
      </c>
      <c r="B6750">
        <v>221986888.69419864</v>
      </c>
    </row>
    <row r="6751" spans="1:2" x14ac:dyDescent="0.25">
      <c r="A6751">
        <f ca="1">31889.5003390711*(RANDBETWEEN(2890,3282))</f>
        <v>102046401.08502738</v>
      </c>
      <c r="B6751">
        <v>208303324.70067674</v>
      </c>
    </row>
    <row r="6752" spans="1:2" x14ac:dyDescent="0.25">
      <c r="A6752">
        <f ca="1">38878.5628313474*(RANDBETWEEN(2890,3282))</f>
        <v>124139251.12049232</v>
      </c>
      <c r="B6752">
        <v>221735004.74809623</v>
      </c>
    </row>
    <row r="6753" spans="1:2" x14ac:dyDescent="0.25">
      <c r="A6753">
        <f ca="1">32114.7856525216*(RANDBETWEEN(2890,3282))</f>
        <v>93293452.320575237</v>
      </c>
      <c r="B6753">
        <v>231072764.63872647</v>
      </c>
    </row>
    <row r="6754" spans="1:2" x14ac:dyDescent="0.25">
      <c r="A6754">
        <f ca="1">32364.2698648187*(RANDBETWEEN(2890,3282))</f>
        <v>93791654.068244711</v>
      </c>
      <c r="B6754">
        <v>237355205.58553672</v>
      </c>
    </row>
    <row r="6755" spans="1:2" x14ac:dyDescent="0.25">
      <c r="A6755">
        <f ca="1">34128.9992554825*(RANDBETWEEN(2890,3282))</f>
        <v>104776027.71433134</v>
      </c>
      <c r="B6755">
        <v>242495581.98103637</v>
      </c>
    </row>
    <row r="6756" spans="1:2" x14ac:dyDescent="0.25">
      <c r="A6756">
        <f ca="1">37016.0313866772*(RANDBETWEEN(2890,3282))</f>
        <v>112935911.76075216</v>
      </c>
      <c r="B6756">
        <v>258026981.13209173</v>
      </c>
    </row>
    <row r="6757" spans="1:2" x14ac:dyDescent="0.25">
      <c r="A6757">
        <f ca="1">31836.8850581759*(RANDBETWEEN(2890,3282))</f>
        <v>99649450.232090697</v>
      </c>
      <c r="B6757">
        <v>220280251.6433869</v>
      </c>
    </row>
    <row r="6758" spans="1:2" x14ac:dyDescent="0.25">
      <c r="A6758">
        <f ca="1">39487.6002197123*(RANDBETWEEN(2890,3282))</f>
        <v>127584436.30989036</v>
      </c>
      <c r="B6758">
        <v>255417925.50207075</v>
      </c>
    </row>
    <row r="6759" spans="1:2" x14ac:dyDescent="0.25">
      <c r="A6759">
        <f ca="1">38557.2196785452*(RANDBETWEEN(2890,3282))</f>
        <v>125426635.61430737</v>
      </c>
      <c r="B6759">
        <v>244890204.44954935</v>
      </c>
    </row>
    <row r="6760" spans="1:2" x14ac:dyDescent="0.25">
      <c r="A6760">
        <f ca="1">30581.719783199*(RANDBETWEEN(2890,3282))</f>
        <v>94344605.531168997</v>
      </c>
      <c r="B6760">
        <v>235512412.52053601</v>
      </c>
    </row>
    <row r="6761" spans="1:2" x14ac:dyDescent="0.25">
      <c r="A6761">
        <f ca="1">36152.5646983155*(RANDBETWEEN(2890,3282))</f>
        <v>109397660.77710269</v>
      </c>
      <c r="B6761">
        <v>258177580.67040485</v>
      </c>
    </row>
    <row r="6762" spans="1:2" x14ac:dyDescent="0.25">
      <c r="A6762">
        <f ca="1">31985.5836700703*(RANDBETWEEN(2890,3282))</f>
        <v>93685774.569635972</v>
      </c>
      <c r="B6762">
        <v>235186310.63423702</v>
      </c>
    </row>
    <row r="6763" spans="1:2" x14ac:dyDescent="0.25">
      <c r="A6763">
        <f ca="1">30836.0255712688*(RANDBETWEEN(2890,3282))</f>
        <v>92230552.483664915</v>
      </c>
      <c r="B6763">
        <v>255417019.17962298</v>
      </c>
    </row>
    <row r="6764" spans="1:2" x14ac:dyDescent="0.25">
      <c r="A6764">
        <f ca="1">38605.6306058727*(RANDBETWEEN(2890,3282))</f>
        <v>120874229.42698748</v>
      </c>
      <c r="B6764">
        <v>233680131.92505097</v>
      </c>
    </row>
    <row r="6765" spans="1:2" x14ac:dyDescent="0.25">
      <c r="A6765">
        <f ca="1">37045.9802188685*(RANDBETWEEN(2890,3282))</f>
        <v>119251010.32453781</v>
      </c>
      <c r="B6765">
        <v>207990511.63732684</v>
      </c>
    </row>
    <row r="6766" spans="1:2" x14ac:dyDescent="0.25">
      <c r="A6766">
        <f ca="1">30933.0862920458*(RANDBETWEEN(2890,3282))</f>
        <v>100903727.48465355</v>
      </c>
      <c r="B6766">
        <v>251617225.06449005</v>
      </c>
    </row>
    <row r="6767" spans="1:2" x14ac:dyDescent="0.25">
      <c r="A6767">
        <f ca="1">33091.7505008898*(RANDBETWEEN(2890,3282))</f>
        <v>100003270.01368903</v>
      </c>
      <c r="B6767">
        <v>239687819.46231788</v>
      </c>
    </row>
    <row r="6768" spans="1:2" x14ac:dyDescent="0.25">
      <c r="A6768">
        <f ca="1">37033.8835402561*(RANDBETWEEN(2890,3282))</f>
        <v>117730715.77447422</v>
      </c>
      <c r="B6768">
        <v>257739369.27567899</v>
      </c>
    </row>
    <row r="6769" spans="1:2" x14ac:dyDescent="0.25">
      <c r="A6769">
        <f ca="1">29808.5557121331*(RANDBETWEEN(2890,3282))</f>
        <v>88054473.573641062</v>
      </c>
      <c r="B6769">
        <v>266206851.94211751</v>
      </c>
    </row>
    <row r="6770" spans="1:2" x14ac:dyDescent="0.25">
      <c r="A6770">
        <f ca="1">35338.3303098678*(RANDBETWEEN(2890,3282))</f>
        <v>107605215.79354744</v>
      </c>
      <c r="B6770">
        <v>214010481.3371903</v>
      </c>
    </row>
    <row r="6771" spans="1:2" x14ac:dyDescent="0.25">
      <c r="A6771">
        <f ca="1">42384.7266455795*(RANDBETWEEN(2890,3282))</f>
        <v>127069410.48344748</v>
      </c>
      <c r="B6771">
        <v>267010340.35996279</v>
      </c>
    </row>
    <row r="6772" spans="1:2" x14ac:dyDescent="0.25">
      <c r="A6772">
        <f ca="1">32287.2216341058*(RANDBETWEEN(2890,3282))</f>
        <v>101059003.71475123</v>
      </c>
      <c r="B6772">
        <v>255633872.0746969</v>
      </c>
    </row>
    <row r="6773" spans="1:2" x14ac:dyDescent="0.25">
      <c r="A6773">
        <f ca="1">39721.1651561449*(RANDBETWEEN(2890,3282))</f>
        <v>122658958.00217538</v>
      </c>
      <c r="B6773">
        <v>256901760.5882948</v>
      </c>
    </row>
    <row r="6774" spans="1:2" x14ac:dyDescent="0.25">
      <c r="A6774">
        <f ca="1">31408.7290668807*(RANDBETWEEN(2890,3282))</f>
        <v>102643726.59056622</v>
      </c>
      <c r="B6774">
        <v>251532116.08677313</v>
      </c>
    </row>
    <row r="6775" spans="1:2" x14ac:dyDescent="0.25">
      <c r="A6775">
        <f ca="1">29730.9473106834*(RANDBETWEEN(2890,3282))</f>
        <v>87825218.355758846</v>
      </c>
      <c r="B6775">
        <v>204449670.2685793</v>
      </c>
    </row>
    <row r="6776" spans="1:2" x14ac:dyDescent="0.25">
      <c r="A6776">
        <f ca="1">30805.021047681*(RANDBETWEEN(2890,3282))</f>
        <v>97405476.552767232</v>
      </c>
      <c r="B6776">
        <v>230930275.5794692</v>
      </c>
    </row>
    <row r="6777" spans="1:2" x14ac:dyDescent="0.25">
      <c r="A6777">
        <f ca="1">35580.1028900427*(RANDBETWEEN(2890,3282))</f>
        <v>109978098.03312197</v>
      </c>
      <c r="B6777">
        <v>251472026.64870107</v>
      </c>
    </row>
    <row r="6778" spans="1:2" x14ac:dyDescent="0.25">
      <c r="A6778">
        <f ca="1">39891.1565412806*(RANDBETWEEN(2890,3282))</f>
        <v>116721524.03978698</v>
      </c>
      <c r="B6778">
        <v>257242004.25699732</v>
      </c>
    </row>
    <row r="6779" spans="1:2" x14ac:dyDescent="0.25">
      <c r="A6779">
        <f ca="1">29535.1826094017*(RANDBETWEEN(2890,3282))</f>
        <v>89107645.932564959</v>
      </c>
      <c r="B6779">
        <v>261396898.71691877</v>
      </c>
    </row>
    <row r="6780" spans="1:2" x14ac:dyDescent="0.25">
      <c r="A6780">
        <f ca="1">30500.3519579049*(RANDBETWEEN(2890,3282))</f>
        <v>88664523.141629636</v>
      </c>
      <c r="B6780">
        <v>238605860.44300637</v>
      </c>
    </row>
    <row r="6781" spans="1:2" x14ac:dyDescent="0.25">
      <c r="A6781">
        <f ca="1">33820.703444444*(RANDBETWEEN(2890,3282))</f>
        <v>106163188.11210977</v>
      </c>
      <c r="B6781">
        <v>216444422.97692671</v>
      </c>
    </row>
    <row r="6782" spans="1:2" x14ac:dyDescent="0.25">
      <c r="A6782">
        <f ca="1">41238.5404233591*(RANDBETWEEN(2890,3282))</f>
        <v>135056219.88650113</v>
      </c>
      <c r="B6782">
        <v>259850926.73251921</v>
      </c>
    </row>
    <row r="6783" spans="1:2" x14ac:dyDescent="0.25">
      <c r="A6783">
        <f ca="1">30720.3394221749*(RANDBETWEEN(2890,3282))</f>
        <v>100332628.55282311</v>
      </c>
      <c r="B6783">
        <v>221571031.23756889</v>
      </c>
    </row>
    <row r="6784" spans="1:2" x14ac:dyDescent="0.25">
      <c r="A6784">
        <f ca="1">31776.5951091966*(RANDBETWEEN(2890,3282))</f>
        <v>94630700.23518756</v>
      </c>
      <c r="B6784">
        <v>216104874.34457994</v>
      </c>
    </row>
    <row r="6785" spans="1:2" x14ac:dyDescent="0.25">
      <c r="A6785">
        <f ca="1">34320.5950074247*(RANDBETWEEN(2890,3282))</f>
        <v>101623281.81698453</v>
      </c>
      <c r="B6785">
        <v>218960100.19233027</v>
      </c>
    </row>
    <row r="6786" spans="1:2" x14ac:dyDescent="0.25">
      <c r="A6786">
        <f ca="1">33099.0667244185*(RANDBETWEEN(2890,3282))</f>
        <v>98900011.372562394</v>
      </c>
      <c r="B6786">
        <v>261314767.4299106</v>
      </c>
    </row>
    <row r="6787" spans="1:2" x14ac:dyDescent="0.25">
      <c r="A6787">
        <f ca="1">29782.3909153485*(RANDBETWEEN(2890,3282))</f>
        <v>97328853.511358991</v>
      </c>
      <c r="B6787">
        <v>267324049.16884294</v>
      </c>
    </row>
    <row r="6788" spans="1:2" x14ac:dyDescent="0.25">
      <c r="A6788">
        <f ca="1">32629.8805959148*(RANDBETWEEN(2890,3282))</f>
        <v>94855062.892324463</v>
      </c>
      <c r="B6788">
        <v>239226211.75380746</v>
      </c>
    </row>
    <row r="6789" spans="1:2" x14ac:dyDescent="0.25">
      <c r="A6789">
        <f ca="1">30227.6114294773*(RANDBETWEEN(2890,3282))</f>
        <v>93886961.099956498</v>
      </c>
      <c r="B6789">
        <v>217680132.28659385</v>
      </c>
    </row>
    <row r="6790" spans="1:2" x14ac:dyDescent="0.25">
      <c r="A6790">
        <f ca="1">30498.2140090505*(RANDBETWEEN(2890,3282))</f>
        <v>97716277.684997723</v>
      </c>
      <c r="B6790">
        <v>266654914.37103665</v>
      </c>
    </row>
    <row r="6791" spans="1:2" x14ac:dyDescent="0.25">
      <c r="A6791">
        <f ca="1">37553.101315537*(RANDBETWEEN(2890,3282))</f>
        <v>118818012.56235918</v>
      </c>
      <c r="B6791">
        <v>240295733.28007931</v>
      </c>
    </row>
    <row r="6792" spans="1:2" x14ac:dyDescent="0.25">
      <c r="A6792">
        <f ca="1">32203.7580402907*(RANDBETWEEN(2890,3282))</f>
        <v>105048658.72742833</v>
      </c>
      <c r="B6792">
        <v>223006967.21381143</v>
      </c>
    </row>
    <row r="6793" spans="1:2" x14ac:dyDescent="0.25">
      <c r="A6793">
        <f ca="1">32349.876928544*(RANDBETWEEN(2890,3282))</f>
        <v>97955427.339631259</v>
      </c>
      <c r="B6793">
        <v>257812372.95924574</v>
      </c>
    </row>
    <row r="6794" spans="1:2" x14ac:dyDescent="0.25">
      <c r="A6794">
        <f ca="1">33106.4777533234*(RANDBETWEEN(2890,3282))</f>
        <v>102762506.94631585</v>
      </c>
      <c r="B6794">
        <v>252034295.66275275</v>
      </c>
    </row>
    <row r="6795" spans="1:2" x14ac:dyDescent="0.25">
      <c r="A6795">
        <f ca="1">36669.8902768025*(RANDBETWEEN(2890,3282))</f>
        <v>109789651.48874675</v>
      </c>
      <c r="B6795">
        <v>220227916.34677425</v>
      </c>
    </row>
    <row r="6796" spans="1:2" x14ac:dyDescent="0.25">
      <c r="A6796">
        <f ca="1">32009.4847315175*(RANDBETWEEN(2890,3282))</f>
        <v>102718436.5034398</v>
      </c>
      <c r="B6796">
        <v>257938399.08400142</v>
      </c>
    </row>
    <row r="6797" spans="1:2" x14ac:dyDescent="0.25">
      <c r="A6797">
        <f ca="1">41004.9802160105*(RANDBETWEEN(2890,3282))</f>
        <v>129452722.54194504</v>
      </c>
      <c r="B6797">
        <v>249233051.45665306</v>
      </c>
    </row>
    <row r="6798" spans="1:2" x14ac:dyDescent="0.25">
      <c r="A6798">
        <f ca="1">33975.7461213894*(RANDBETWEEN(2890,3282))</f>
        <v>100364354.04258429</v>
      </c>
      <c r="B6798">
        <v>204886524.36458713</v>
      </c>
    </row>
    <row r="6799" spans="1:2" x14ac:dyDescent="0.25">
      <c r="A6799">
        <f ca="1">39069.6268838217*(RANDBETWEEN(2890,3282))</f>
        <v>113497266.09750208</v>
      </c>
      <c r="B6799">
        <v>254877546.36529687</v>
      </c>
    </row>
    <row r="6800" spans="1:2" x14ac:dyDescent="0.25">
      <c r="A6800">
        <f ca="1">34314.7216453988*(RANDBETWEEN(2890,3282))</f>
        <v>99684266.379883468</v>
      </c>
      <c r="B6800">
        <v>236176254.43427479</v>
      </c>
    </row>
    <row r="6801" spans="1:2" x14ac:dyDescent="0.25">
      <c r="A6801">
        <f ca="1">31537.6024670322*(RANDBETWEEN(2890,3282))</f>
        <v>103254110.47706327</v>
      </c>
      <c r="B6801">
        <v>235532888.48483866</v>
      </c>
    </row>
    <row r="6802" spans="1:2" x14ac:dyDescent="0.25">
      <c r="A6802">
        <f ca="1">30910.6559906429*(RANDBETWEEN(2890,3282))</f>
        <v>100521453.28157079</v>
      </c>
      <c r="B6802">
        <v>231133113.75355619</v>
      </c>
    </row>
    <row r="6803" spans="1:2" x14ac:dyDescent="0.25">
      <c r="A6803">
        <f ca="1">32122.1826817476*(RANDBETWEEN(2890,3282))</f>
        <v>94246483.988247365</v>
      </c>
      <c r="B6803">
        <v>224547312.90346634</v>
      </c>
    </row>
    <row r="6804" spans="1:2" x14ac:dyDescent="0.25">
      <c r="A6804">
        <f ca="1">38091.9577502493*(RANDBETWEEN(2890,3282))</f>
        <v>114542516.95499957</v>
      </c>
      <c r="B6804">
        <v>211238984.65550646</v>
      </c>
    </row>
    <row r="6805" spans="1:2" x14ac:dyDescent="0.25">
      <c r="A6805">
        <f ca="1">32146.4731050024*(RANDBETWEEN(2890,3282))</f>
        <v>94510630.928707197</v>
      </c>
      <c r="B6805">
        <v>208499652.25280771</v>
      </c>
    </row>
    <row r="6806" spans="1:2" x14ac:dyDescent="0.25">
      <c r="A6806">
        <f ca="1">32554.0345675454*(RANDBETWEEN(2890,3282))</f>
        <v>95773969.697718531</v>
      </c>
      <c r="B6806">
        <v>252191268.88205504</v>
      </c>
    </row>
    <row r="6807" spans="1:2" x14ac:dyDescent="0.25">
      <c r="A6807">
        <f ca="1">36696.2430020209*(RANDBETWEEN(2890,3282))</f>
        <v>114749151.8673193</v>
      </c>
      <c r="B6807">
        <v>240268329.16596586</v>
      </c>
    </row>
    <row r="6808" spans="1:2" x14ac:dyDescent="0.25">
      <c r="A6808">
        <f ca="1">31618.5459117202*(RANDBETWEEN(2890,3282))</f>
        <v>97764543.959038749</v>
      </c>
      <c r="B6808">
        <v>210594564.17247084</v>
      </c>
    </row>
    <row r="6809" spans="1:2" x14ac:dyDescent="0.25">
      <c r="A6809">
        <f ca="1">30876.6289445299*(RANDBETWEEN(2890,3282))</f>
        <v>98311186.559383273</v>
      </c>
      <c r="B6809">
        <v>259101396.50139219</v>
      </c>
    </row>
    <row r="6810" spans="1:2" x14ac:dyDescent="0.25">
      <c r="A6810">
        <f ca="1">34278.1190826755*(RANDBETWEEN(2890,3282))</f>
        <v>102868635.36710921</v>
      </c>
      <c r="B6810">
        <v>244609370.26252314</v>
      </c>
    </row>
    <row r="6811" spans="1:2" x14ac:dyDescent="0.25">
      <c r="A6811">
        <f ca="1">35770.6979096368*(RANDBETWEEN(2890,3282))</f>
        <v>111282641.19687992</v>
      </c>
      <c r="B6811">
        <v>210727251.18670729</v>
      </c>
    </row>
    <row r="6812" spans="1:2" x14ac:dyDescent="0.25">
      <c r="A6812">
        <f ca="1">31329.0603572692*(RANDBETWEEN(2890,3282))</f>
        <v>101631471.79898123</v>
      </c>
      <c r="B6812">
        <v>234767511.46557063</v>
      </c>
    </row>
    <row r="6813" spans="1:2" x14ac:dyDescent="0.25">
      <c r="A6813">
        <f ca="1">32009.581153328*(RANDBETWEEN(2890,3282))</f>
        <v>94332235.658857673</v>
      </c>
      <c r="B6813">
        <v>227406075.82908878</v>
      </c>
    </row>
    <row r="6814" spans="1:2" x14ac:dyDescent="0.25">
      <c r="A6814">
        <f ca="1">31636.9806234868*(RANDBETWEEN(2890,3282))</f>
        <v>99561578.022112951</v>
      </c>
      <c r="B6814">
        <v>266537911.06302887</v>
      </c>
    </row>
    <row r="6815" spans="1:2" x14ac:dyDescent="0.25">
      <c r="A6815">
        <f ca="1">32984.9249480794*(RANDBETWEEN(2890,3282))</f>
        <v>105056985.95963304</v>
      </c>
      <c r="B6815">
        <v>209802288.51690668</v>
      </c>
    </row>
    <row r="6816" spans="1:2" x14ac:dyDescent="0.25">
      <c r="A6816">
        <f ca="1">39923.6395356281*(RANDBETWEEN(2890,3282))</f>
        <v>120968627.79295327</v>
      </c>
      <c r="B6816">
        <v>239422782.37884891</v>
      </c>
    </row>
    <row r="6817" spans="1:2" x14ac:dyDescent="0.25">
      <c r="A6817">
        <f ca="1">30585.0046445101*(RANDBETWEEN(2890,3282))</f>
        <v>95272289.467648908</v>
      </c>
      <c r="B6817">
        <v>262955705.34577113</v>
      </c>
    </row>
    <row r="6818" spans="1:2" x14ac:dyDescent="0.25">
      <c r="A6818">
        <f ca="1">33083.6771731522*(RANDBETWEEN(2890,3282))</f>
        <v>104577503.54433398</v>
      </c>
      <c r="B6818">
        <v>260356582.01272568</v>
      </c>
    </row>
    <row r="6819" spans="1:2" x14ac:dyDescent="0.25">
      <c r="A6819">
        <f ca="1">37260.0551583586*(RANDBETWEEN(2890,3282))</f>
        <v>119418476.78253928</v>
      </c>
      <c r="B6819">
        <v>250297838.80491579</v>
      </c>
    </row>
    <row r="6820" spans="1:2" x14ac:dyDescent="0.25">
      <c r="A6820">
        <f ca="1">33011.1413520383*(RANDBETWEEN(2890,3282))</f>
        <v>96425543.889303908</v>
      </c>
      <c r="B6820">
        <v>204101215.10666394</v>
      </c>
    </row>
    <row r="6821" spans="1:2" x14ac:dyDescent="0.25">
      <c r="A6821">
        <f ca="1">31767.4295941008*(RANDBETWEEN(2890,3282))</f>
        <v>95016381.915955633</v>
      </c>
      <c r="B6821">
        <v>206606616.07795954</v>
      </c>
    </row>
    <row r="6822" spans="1:2" x14ac:dyDescent="0.25">
      <c r="A6822">
        <f ca="1">34923.4972723036*(RANDBETWEEN(2890,3282))</f>
        <v>107494524.60415053</v>
      </c>
      <c r="B6822">
        <v>246403172.31372017</v>
      </c>
    </row>
    <row r="6823" spans="1:2" x14ac:dyDescent="0.25">
      <c r="A6823">
        <f ca="1">34455.9435468831*(RANDBETWEEN(2890,3282))</f>
        <v>103436742.52774298</v>
      </c>
      <c r="B6823">
        <v>261933597.23721433</v>
      </c>
    </row>
    <row r="6824" spans="1:2" x14ac:dyDescent="0.25">
      <c r="A6824">
        <f ca="1">30162.3476001117*(RANDBETWEEN(2890,3282))</f>
        <v>94800258.507151082</v>
      </c>
      <c r="B6824">
        <v>229339792.04511026</v>
      </c>
    </row>
    <row r="6825" spans="1:2" x14ac:dyDescent="0.25">
      <c r="A6825">
        <f ca="1">30620.8255298239*(RANDBETWEEN(2890,3282))</f>
        <v>96118771.338117257</v>
      </c>
      <c r="B6825">
        <v>209324198.34430552</v>
      </c>
    </row>
    <row r="6826" spans="1:2" x14ac:dyDescent="0.25">
      <c r="A6826">
        <f ca="1">28700.2862884571*(RANDBETWEEN(2890,3282))</f>
        <v>90262400.377197653</v>
      </c>
      <c r="B6826">
        <v>219584084.55343279</v>
      </c>
    </row>
    <row r="6827" spans="1:2" x14ac:dyDescent="0.25">
      <c r="A6827">
        <f ca="1">32928.920507546*(RANDBETWEEN(2890,3282))</f>
        <v>107875143.5827208</v>
      </c>
      <c r="B6827">
        <v>230295246.63601667</v>
      </c>
    </row>
    <row r="6828" spans="1:2" x14ac:dyDescent="0.25">
      <c r="A6828">
        <f ca="1">34440.362009428*(RANDBETWEEN(2890,3282))</f>
        <v>111173488.56643371</v>
      </c>
      <c r="B6828">
        <v>259459710.19026735</v>
      </c>
    </row>
    <row r="6829" spans="1:2" x14ac:dyDescent="0.25">
      <c r="A6829">
        <f ca="1">30443.9806793933*(RANDBETWEEN(2890,3282))</f>
        <v>94559003.990195677</v>
      </c>
      <c r="B6829">
        <v>214672250.76030385</v>
      </c>
    </row>
    <row r="6830" spans="1:2" x14ac:dyDescent="0.25">
      <c r="A6830">
        <f ca="1">30644.2429530006*(RANDBETWEEN(2890,3282))</f>
        <v>95150374.36906676</v>
      </c>
      <c r="B6830">
        <v>255490101.36586782</v>
      </c>
    </row>
    <row r="6831" spans="1:2" x14ac:dyDescent="0.25">
      <c r="A6831">
        <f ca="1">35876.5079325415*(RANDBETWEEN(2890,3282))</f>
        <v>112293469.82885478</v>
      </c>
      <c r="B6831">
        <v>236554060.26471311</v>
      </c>
    </row>
    <row r="6832" spans="1:2" x14ac:dyDescent="0.25">
      <c r="A6832">
        <f ca="1">39181.5835283822*(RANDBETWEEN(2890,3282))</f>
        <v>127340146.4672423</v>
      </c>
      <c r="B6832">
        <v>223018339.90488458</v>
      </c>
    </row>
    <row r="6833" spans="1:2" x14ac:dyDescent="0.25">
      <c r="A6833">
        <f ca="1">30795.5628761859*(RANDBETWEEN(2890,3282))</f>
        <v>92540666.44293873</v>
      </c>
      <c r="B6833">
        <v>234827685.46360752</v>
      </c>
    </row>
    <row r="6834" spans="1:2" x14ac:dyDescent="0.25">
      <c r="A6834">
        <f ca="1">29599.6949764525*(RANDBETWEEN(2890,3282))</f>
        <v>95163019.349294931</v>
      </c>
      <c r="B6834">
        <v>236034557.57739884</v>
      </c>
    </row>
    <row r="6835" spans="1:2" x14ac:dyDescent="0.25">
      <c r="A6835">
        <f ca="1">34336.5502395769*(RANDBETWEEN(2890,3282))</f>
        <v>103112660.3694493</v>
      </c>
      <c r="B6835">
        <v>205423597.57370925</v>
      </c>
    </row>
    <row r="6836" spans="1:2" x14ac:dyDescent="0.25">
      <c r="A6836">
        <f ca="1">29678.8931132474*(RANDBETWEEN(2890,3282))</f>
        <v>89036679.339742199</v>
      </c>
      <c r="B6836">
        <v>205099650.31213546</v>
      </c>
    </row>
    <row r="6837" spans="1:2" x14ac:dyDescent="0.25">
      <c r="A6837">
        <f ca="1">32316.5654006187*(RANDBETWEEN(2890,3282))</f>
        <v>104608722.20180275</v>
      </c>
      <c r="B6837">
        <v>209308737.15640578</v>
      </c>
    </row>
    <row r="6838" spans="1:2" x14ac:dyDescent="0.25">
      <c r="A6838">
        <f ca="1">31563.6847854622*(RANDBETWEEN(2890,3282))</f>
        <v>102234775.02011198</v>
      </c>
      <c r="B6838">
        <v>220668988.74957305</v>
      </c>
    </row>
    <row r="6839" spans="1:2" x14ac:dyDescent="0.25">
      <c r="A6839">
        <f ca="1">32410.7961596893*(RANDBETWEEN(2890,3282))</f>
        <v>97232388.479068011</v>
      </c>
      <c r="B6839">
        <v>265207674.80242142</v>
      </c>
    </row>
    <row r="6840" spans="1:2" x14ac:dyDescent="0.25">
      <c r="A6840">
        <f ca="1">32845.8010790373*(RANDBETWEEN(2890,3282))</f>
        <v>98176099.425242424</v>
      </c>
      <c r="B6840">
        <v>225495673.16924667</v>
      </c>
    </row>
    <row r="6841" spans="1:2" x14ac:dyDescent="0.25">
      <c r="A6841">
        <f ca="1">38070.9513981959*(RANDBETWEEN(2890,3282))</f>
        <v>118895581.2165658</v>
      </c>
      <c r="B6841">
        <v>217117610.04706544</v>
      </c>
    </row>
    <row r="6842" spans="1:2" x14ac:dyDescent="0.25">
      <c r="A6842">
        <f ca="1">31467.9356416048*(RANDBETWEEN(2890,3282))</f>
        <v>92673070.464526057</v>
      </c>
      <c r="B6842">
        <v>266421780.95751089</v>
      </c>
    </row>
    <row r="6843" spans="1:2" x14ac:dyDescent="0.25">
      <c r="A6843">
        <f ca="1">29436.6034247516*(RANDBETWEEN(2890,3282))</f>
        <v>89369527.997545853</v>
      </c>
      <c r="B6843">
        <v>217727115.70451811</v>
      </c>
    </row>
    <row r="6844" spans="1:2" x14ac:dyDescent="0.25">
      <c r="A6844">
        <f ca="1">29543.7238686175*(RANDBETWEEN(2890,3282))</f>
        <v>86415392.315706104</v>
      </c>
      <c r="B6844">
        <v>206359875.49414665</v>
      </c>
    </row>
    <row r="6845" spans="1:2" x14ac:dyDescent="0.25">
      <c r="A6845">
        <f ca="1">38794.5483701524*(RANDBETWEEN(2890,3282))</f>
        <v>118168194.3354841</v>
      </c>
      <c r="B6845">
        <v>253693530.68132702</v>
      </c>
    </row>
    <row r="6846" spans="1:2" x14ac:dyDescent="0.25">
      <c r="A6846">
        <f ca="1">31313.8306829245*(RANDBETWEEN(2890,3282))</f>
        <v>96446598.503407493</v>
      </c>
      <c r="B6846">
        <v>257056505.18336028</v>
      </c>
    </row>
    <row r="6847" spans="1:2" x14ac:dyDescent="0.25">
      <c r="A6847">
        <f ca="1">38771.0956268646*(RANDBETWEEN(2890,3282))</f>
        <v>116933624.41062377</v>
      </c>
      <c r="B6847">
        <v>223038802.78550458</v>
      </c>
    </row>
    <row r="6848" spans="1:2" x14ac:dyDescent="0.25">
      <c r="A6848">
        <f ca="1">32230.6201049936*(RANDBETWEEN(2890,3282))</f>
        <v>97465395.197500616</v>
      </c>
      <c r="B6848">
        <v>205141344.4566938</v>
      </c>
    </row>
    <row r="6849" spans="1:2" x14ac:dyDescent="0.25">
      <c r="A6849">
        <f ca="1">33562.4706368805*(RANDBETWEEN(2890,3282))</f>
        <v>100049724.9685408</v>
      </c>
      <c r="B6849">
        <v>264157290.74254072</v>
      </c>
    </row>
    <row r="6850" spans="1:2" x14ac:dyDescent="0.25">
      <c r="A6850">
        <f ca="1">39453.1164980708*(RANDBETWEEN(2890,3282))</f>
        <v>114966381.47537839</v>
      </c>
      <c r="B6850">
        <v>252506844.03276414</v>
      </c>
    </row>
    <row r="6851" spans="1:2" x14ac:dyDescent="0.25">
      <c r="A6851">
        <f ca="1">32833.0998164548*(RANDBETWEEN(2890,3282))</f>
        <v>104179425.71761119</v>
      </c>
      <c r="B6851">
        <v>229289947.10156059</v>
      </c>
    </row>
    <row r="6852" spans="1:2" x14ac:dyDescent="0.25">
      <c r="A6852">
        <f ca="1">34349.7088205387*(RANDBETWEEN(2890,3282))</f>
        <v>103667421.22038592</v>
      </c>
      <c r="B6852">
        <v>229417387.80808225</v>
      </c>
    </row>
    <row r="6853" spans="1:2" x14ac:dyDescent="0.25">
      <c r="A6853">
        <f ca="1">35970.5131777297*(RANDBETWEEN(2890,3282))</f>
        <v>111328738.28507337</v>
      </c>
      <c r="B6853">
        <v>246386198.53759533</v>
      </c>
    </row>
    <row r="6854" spans="1:2" x14ac:dyDescent="0.25">
      <c r="A6854">
        <f ca="1">39248.6693495779*(RANDBETWEEN(2890,3282))</f>
        <v>125791985.26539721</v>
      </c>
      <c r="B6854">
        <v>235942297.41757753</v>
      </c>
    </row>
    <row r="6855" spans="1:2" x14ac:dyDescent="0.25">
      <c r="A6855">
        <f ca="1">31401.3618547567*(RANDBETWEEN(2890,3282))</f>
        <v>91377962.99734205</v>
      </c>
      <c r="B6855">
        <v>224721640.59071541</v>
      </c>
    </row>
    <row r="6856" spans="1:2" x14ac:dyDescent="0.25">
      <c r="A6856">
        <f ca="1">28774.1511838901*(RANDBETWEEN(2890,3282))</f>
        <v>93631087.952378541</v>
      </c>
      <c r="B6856">
        <v>229979324.6210025</v>
      </c>
    </row>
    <row r="6857" spans="1:2" x14ac:dyDescent="0.25">
      <c r="A6857">
        <f ca="1">33275.3874379546*(RANDBETWEEN(2890,3282))</f>
        <v>106747442.9009583</v>
      </c>
      <c r="B6857">
        <v>254230796.20367879</v>
      </c>
    </row>
    <row r="6858" spans="1:2" x14ac:dyDescent="0.25">
      <c r="A6858">
        <f ca="1">35697.2068998218*(RANDBETWEEN(2890,3282))</f>
        <v>114266759.28632964</v>
      </c>
      <c r="B6858">
        <v>229412279.89607874</v>
      </c>
    </row>
    <row r="6859" spans="1:2" x14ac:dyDescent="0.25">
      <c r="A6859">
        <f ca="1">32980.2192579494*(RANDBETWEEN(2890,3282))</f>
        <v>106691009.29946639</v>
      </c>
      <c r="B6859">
        <v>252494640.70072249</v>
      </c>
    </row>
    <row r="6860" spans="1:2" x14ac:dyDescent="0.25">
      <c r="A6860">
        <f ca="1">32835.7951786652*(RANDBETWEEN(2890,3282))</f>
        <v>96438730.4397396</v>
      </c>
      <c r="B6860">
        <v>221356088.87629145</v>
      </c>
    </row>
    <row r="6861" spans="1:2" x14ac:dyDescent="0.25">
      <c r="A6861">
        <f ca="1">32572.1239786479*(RANDBETWEEN(2890,3282))</f>
        <v>94263726.794207036</v>
      </c>
      <c r="B6861">
        <v>246954997.37790087</v>
      </c>
    </row>
    <row r="6862" spans="1:2" x14ac:dyDescent="0.25">
      <c r="A6862">
        <f ca="1">42195.7736565279*(RANDBETWEEN(2890,3282))</f>
        <v>135153063.02185893</v>
      </c>
      <c r="B6862">
        <v>254513407.99328011</v>
      </c>
    </row>
    <row r="6863" spans="1:2" x14ac:dyDescent="0.25">
      <c r="A6863">
        <f ca="1">31602.8210172208*(RANDBETWEEN(2890,3282))</f>
        <v>95345711.0089553</v>
      </c>
      <c r="B6863">
        <v>257753640.50321162</v>
      </c>
    </row>
    <row r="6864" spans="1:2" x14ac:dyDescent="0.25">
      <c r="A6864">
        <f ca="1">31108.4744059765*(RANDBETWEEN(2890,3282))</f>
        <v>98116128.276449904</v>
      </c>
      <c r="B6864">
        <v>205902145.41821593</v>
      </c>
    </row>
    <row r="6865" spans="1:2" x14ac:dyDescent="0.25">
      <c r="A6865">
        <f ca="1">39227.2857940488*(RANDBETWEEN(2890,3282))</f>
        <v>119564767.10026075</v>
      </c>
      <c r="B6865">
        <v>211708798.66801918</v>
      </c>
    </row>
    <row r="6866" spans="1:2" x14ac:dyDescent="0.25">
      <c r="A6866">
        <f ca="1">35050.3410710762*(RANDBETWEEN(2890,3282))</f>
        <v>110969379.83102719</v>
      </c>
      <c r="B6866">
        <v>251577987.52832565</v>
      </c>
    </row>
    <row r="6867" spans="1:2" x14ac:dyDescent="0.25">
      <c r="A6867">
        <f ca="1">34856.1980801044*(RANDBETWEEN(2890,3282))</f>
        <v>114328329.70274238</v>
      </c>
      <c r="B6867">
        <v>253879704.17836326</v>
      </c>
    </row>
    <row r="6868" spans="1:2" x14ac:dyDescent="0.25">
      <c r="A6868">
        <f ca="1">30914.1088069022*(RANDBETWEEN(2890,3282))</f>
        <v>97874068.482652277</v>
      </c>
      <c r="B6868">
        <v>264349700.83538526</v>
      </c>
    </row>
    <row r="6869" spans="1:2" x14ac:dyDescent="0.25">
      <c r="A6869">
        <f ca="1">40073.2967985122*(RANDBETWEEN(2890,3282))</f>
        <v>120981283.03470838</v>
      </c>
      <c r="B6869">
        <v>248513106.12353536</v>
      </c>
    </row>
    <row r="6870" spans="1:2" x14ac:dyDescent="0.25">
      <c r="A6870">
        <f ca="1">42321.2097181137*(RANDBETWEEN(2890,3282))</f>
        <v>125016853.50730796</v>
      </c>
      <c r="B6870">
        <v>239487815.91499355</v>
      </c>
    </row>
    <row r="6871" spans="1:2" x14ac:dyDescent="0.25">
      <c r="A6871">
        <f ca="1">30072.6747539372*(RANDBETWEEN(2890,3282))</f>
        <v>92894492.314912096</v>
      </c>
      <c r="B6871">
        <v>218058440.90051761</v>
      </c>
    </row>
    <row r="6872" spans="1:2" x14ac:dyDescent="0.25">
      <c r="A6872">
        <f ca="1">33582.3892422881*(RANDBETWEEN(2890,3282))</f>
        <v>98530730.036873236</v>
      </c>
      <c r="B6872">
        <v>258830677.2379806</v>
      </c>
    </row>
    <row r="6873" spans="1:2" x14ac:dyDescent="0.25">
      <c r="A6873">
        <f ca="1">35255.495279851*(RANDBETWEEN(2890,3282))</f>
        <v>103474878.64636256</v>
      </c>
      <c r="B6873">
        <v>267266775.8979362</v>
      </c>
    </row>
    <row r="6874" spans="1:2" x14ac:dyDescent="0.25">
      <c r="A6874">
        <f ca="1">35979.00371136*(RANDBETWEEN(2890,3282))</f>
        <v>105778270.91139854</v>
      </c>
      <c r="B6874">
        <v>234581213.19679499</v>
      </c>
    </row>
    <row r="6875" spans="1:2" x14ac:dyDescent="0.25">
      <c r="A6875">
        <f ca="1">37500.9151053426*(RANDBETWEEN(2890,3282))</f>
        <v>114865302.96766438</v>
      </c>
      <c r="B6875">
        <v>209222605.9598217</v>
      </c>
    </row>
    <row r="6876" spans="1:2" x14ac:dyDescent="0.25">
      <c r="A6876">
        <f ca="1">38648.4763959062*(RANDBETWEEN(2890,3282))</f>
        <v>123791069.89608754</v>
      </c>
      <c r="B6876">
        <v>218591325.41727528</v>
      </c>
    </row>
    <row r="6877" spans="1:2" x14ac:dyDescent="0.25">
      <c r="A6877">
        <f ca="1">32628.3830298924*(RANDBETWEEN(2890,3282))</f>
        <v>106792697.65683788</v>
      </c>
      <c r="B6877">
        <v>238457749.13936305</v>
      </c>
    </row>
    <row r="6878" spans="1:2" x14ac:dyDescent="0.25">
      <c r="A6878">
        <f ca="1">30580.4254759168*(RANDBETWEEN(2890,3282))</f>
        <v>91863598.129654169</v>
      </c>
      <c r="B6878">
        <v>219372978.77875558</v>
      </c>
    </row>
    <row r="6879" spans="1:2" x14ac:dyDescent="0.25">
      <c r="A6879">
        <f ca="1">32726.201303007*(RANDBETWEEN(2890,3282))</f>
        <v>97654984.688172847</v>
      </c>
      <c r="B6879">
        <v>209784580.20707887</v>
      </c>
    </row>
    <row r="6880" spans="1:2" x14ac:dyDescent="0.25">
      <c r="A6880">
        <f ca="1">34231.3599247135*(RANDBETWEEN(2890,3282))</f>
        <v>112244629.19313554</v>
      </c>
      <c r="B6880">
        <v>250556398.60986847</v>
      </c>
    </row>
    <row r="6881" spans="1:2" x14ac:dyDescent="0.25">
      <c r="A6881">
        <f ca="1">31148.1507142987*(RANDBETWEEN(2890,3282))</f>
        <v>100639674.95789897</v>
      </c>
      <c r="B6881">
        <v>220871488.90695831</v>
      </c>
    </row>
    <row r="6882" spans="1:2" x14ac:dyDescent="0.25">
      <c r="A6882">
        <f ca="1">33859.9165322372*(RANDBETWEEN(2890,3282))</f>
        <v>107335935.40719186</v>
      </c>
      <c r="B6882">
        <v>254035957.27167434</v>
      </c>
    </row>
    <row r="6883" spans="1:2" x14ac:dyDescent="0.25">
      <c r="A6883">
        <f ca="1">28054.1064853*(RANDBETWEEN(2890,3282))</f>
        <v>88202110.78978309</v>
      </c>
      <c r="B6883">
        <v>258886083.26975316</v>
      </c>
    </row>
    <row r="6884" spans="1:2" x14ac:dyDescent="0.25">
      <c r="A6884">
        <f ca="1">38091.6797927172*(RANDBETWEEN(2890,3282))</f>
        <v>121398183.49938963</v>
      </c>
      <c r="B6884">
        <v>255180286.33391303</v>
      </c>
    </row>
    <row r="6885" spans="1:2" x14ac:dyDescent="0.25">
      <c r="A6885">
        <f ca="1">36036.6648310471*(RANDBETWEEN(2890,3282))</f>
        <v>104326144.68588142</v>
      </c>
      <c r="B6885">
        <v>205770887.58762443</v>
      </c>
    </row>
    <row r="6886" spans="1:2" x14ac:dyDescent="0.25">
      <c r="A6886">
        <f ca="1">31921.9593640598*(RANDBETWEEN(2890,3282))</f>
        <v>94712453.433165401</v>
      </c>
      <c r="B6886">
        <v>208406453.32374841</v>
      </c>
    </row>
    <row r="6887" spans="1:2" x14ac:dyDescent="0.25">
      <c r="A6887">
        <f ca="1">38590.0288968105*(RANDBETWEEN(2890,3282))</f>
        <v>111640953.59847291</v>
      </c>
      <c r="B6887">
        <v>257187872.73912793</v>
      </c>
    </row>
    <row r="6888" spans="1:2" x14ac:dyDescent="0.25">
      <c r="A6888">
        <f ca="1">29486.4227493375*(RANDBETWEEN(2890,3282))</f>
        <v>89992562.230978116</v>
      </c>
      <c r="B6888">
        <v>262491544.99654484</v>
      </c>
    </row>
    <row r="6889" spans="1:2" x14ac:dyDescent="0.25">
      <c r="A6889">
        <f ca="1">33009.8280422503*(RANDBETWEEN(2890,3282))</f>
        <v>108074177.01032756</v>
      </c>
      <c r="B6889">
        <v>223686324.20693713</v>
      </c>
    </row>
    <row r="6890" spans="1:2" x14ac:dyDescent="0.25">
      <c r="A6890">
        <f ca="1">31488.5058361343*(RANDBETWEEN(2890,3282))</f>
        <v>91788994.512331352</v>
      </c>
      <c r="B6890">
        <v>231735024.37409338</v>
      </c>
    </row>
    <row r="6891" spans="1:2" x14ac:dyDescent="0.25">
      <c r="A6891">
        <f ca="1">30981.0877988906*(RANDBETWEEN(2890,3282))</f>
        <v>90402814.197162688</v>
      </c>
      <c r="B6891">
        <v>216337112.51254481</v>
      </c>
    </row>
    <row r="6892" spans="1:2" x14ac:dyDescent="0.25">
      <c r="A6892">
        <f ca="1">35461.954517388*(RANDBETWEEN(2890,3282))</f>
        <v>115925129.3173414</v>
      </c>
      <c r="B6892">
        <v>237746914.23454291</v>
      </c>
    </row>
    <row r="6893" spans="1:2" x14ac:dyDescent="0.25">
      <c r="A6893">
        <f ca="1">39991.1037110681*(RANDBETWEEN(2890,3282))</f>
        <v>116734031.73260768</v>
      </c>
      <c r="B6893">
        <v>229532119.31906632</v>
      </c>
    </row>
    <row r="6894" spans="1:2" x14ac:dyDescent="0.25">
      <c r="A6894">
        <f ca="1">37014.738920947*(RANDBETWEEN(2890,3282))</f>
        <v>107527816.56535111</v>
      </c>
      <c r="B6894">
        <v>246572038.25951439</v>
      </c>
    </row>
    <row r="6895" spans="1:2" x14ac:dyDescent="0.25">
      <c r="A6895">
        <f ca="1">41537.4278131258*(RANDBETWEEN(2890,3282))</f>
        <v>132296707.58480555</v>
      </c>
      <c r="B6895">
        <v>222585018.03591737</v>
      </c>
    </row>
    <row r="6896" spans="1:2" x14ac:dyDescent="0.25">
      <c r="A6896">
        <f ca="1">38763.0680482189*(RANDBETWEEN(2890,3282))</f>
        <v>120863246.17434651</v>
      </c>
      <c r="B6896">
        <v>264526525.90004611</v>
      </c>
    </row>
    <row r="6897" spans="1:2" x14ac:dyDescent="0.25">
      <c r="A6897">
        <f ca="1">31747.9554428073*(RANDBETWEEN(2890,3282))</f>
        <v>104069797.94152242</v>
      </c>
      <c r="B6897">
        <v>249684725.42888692</v>
      </c>
    </row>
    <row r="6898" spans="1:2" x14ac:dyDescent="0.25">
      <c r="A6898">
        <f ca="1">30879.0465917838*(RANDBETWEEN(2890,3282))</f>
        <v>95076584.456102267</v>
      </c>
      <c r="B6898">
        <v>223294955.17519721</v>
      </c>
    </row>
    <row r="6899" spans="1:2" x14ac:dyDescent="0.25">
      <c r="A6899">
        <f ca="1">36471.3543036*(RANDBETWEEN(2890,3282))</f>
        <v>106569297.27511919</v>
      </c>
      <c r="B6899">
        <v>235794105.95325512</v>
      </c>
    </row>
    <row r="6900" spans="1:2" x14ac:dyDescent="0.25">
      <c r="A6900">
        <f ca="1">41882.0062205635*(RANDBETWEEN(2890,3282))</f>
        <v>125855428.6927934</v>
      </c>
      <c r="B6900">
        <v>227767674.65585521</v>
      </c>
    </row>
    <row r="6901" spans="1:2" x14ac:dyDescent="0.25">
      <c r="A6901">
        <f ca="1">40496.5198280496*(RANDBETWEEN(2890,3282))</f>
        <v>119464733.49274641</v>
      </c>
      <c r="B6901">
        <v>256761683.72925335</v>
      </c>
    </row>
    <row r="6902" spans="1:2" x14ac:dyDescent="0.25">
      <c r="A6902">
        <f ca="1">32097.4891265467*(RANDBETWEEN(2890,3282))</f>
        <v>92986425.999605849</v>
      </c>
      <c r="B6902">
        <v>267259764.55209613</v>
      </c>
    </row>
    <row r="6903" spans="1:2" x14ac:dyDescent="0.25">
      <c r="A6903">
        <f ca="1">39404.1746177395*(RANDBETWEEN(2890,3282))</f>
        <v>125068850.23670526</v>
      </c>
      <c r="B6903">
        <v>232902178.74766469</v>
      </c>
    </row>
    <row r="6904" spans="1:2" x14ac:dyDescent="0.25">
      <c r="A6904">
        <f ca="1">33048.6041673218*(RANDBETWEEN(2890,3282))</f>
        <v>99674590.16864261</v>
      </c>
      <c r="B6904">
        <v>257333670.6790306</v>
      </c>
    </row>
    <row r="6905" spans="1:2" x14ac:dyDescent="0.25">
      <c r="A6905">
        <f ca="1">40079.0809007299*(RANDBETWEEN(2890,3282))</f>
        <v>123924518.14505699</v>
      </c>
      <c r="B6905">
        <v>219906717.44163328</v>
      </c>
    </row>
    <row r="6906" spans="1:2" x14ac:dyDescent="0.25">
      <c r="A6906">
        <f ca="1">36242.1170819762*(RANDBETWEEN(2890,3282))</f>
        <v>111263299.4416669</v>
      </c>
      <c r="B6906">
        <v>240588843.17495301</v>
      </c>
    </row>
    <row r="6907" spans="1:2" x14ac:dyDescent="0.25">
      <c r="A6907">
        <f ca="1">33650.411288526*(RANDBETWEEN(2890,3282))</f>
        <v>104854681.57504709</v>
      </c>
      <c r="B6907">
        <v>224784340.82538667</v>
      </c>
    </row>
    <row r="6908" spans="1:2" x14ac:dyDescent="0.25">
      <c r="A6908">
        <f ca="1">31825.4979920668*(RANDBETWEEN(2890,3282))</f>
        <v>94330776.048486114</v>
      </c>
      <c r="B6908">
        <v>255006259.50137851</v>
      </c>
    </row>
    <row r="6909" spans="1:2" x14ac:dyDescent="0.25">
      <c r="A6909">
        <f ca="1">39093.9396073334*(RANDBETWEEN(2890,3282))</f>
        <v>123106815.82349283</v>
      </c>
      <c r="B6909">
        <v>257910253.76625177</v>
      </c>
    </row>
    <row r="6910" spans="1:2" x14ac:dyDescent="0.25">
      <c r="A6910">
        <f ca="1">31333.6854232774*(RANDBETWEEN(2890,3282))</f>
        <v>99797788.073138416</v>
      </c>
      <c r="B6910">
        <v>218803217.73040506</v>
      </c>
    </row>
    <row r="6911" spans="1:2" x14ac:dyDescent="0.25">
      <c r="A6911">
        <f ca="1">35968.0785746129*(RANDBETWEEN(2890,3282))</f>
        <v>104451300.18067575</v>
      </c>
      <c r="B6911">
        <v>230559278.29302827</v>
      </c>
    </row>
    <row r="6912" spans="1:2" x14ac:dyDescent="0.25">
      <c r="A6912">
        <f ca="1">27662.2722383656*(RANDBETWEEN(2890,3282))</f>
        <v>88878880.701868594</v>
      </c>
      <c r="B6912">
        <v>243950123.98834077</v>
      </c>
    </row>
    <row r="6913" spans="1:2" x14ac:dyDescent="0.25">
      <c r="A6913">
        <f ca="1">31186.0672136936*(RANDBETWEEN(2890,3282))</f>
        <v>97456460.04279241</v>
      </c>
      <c r="B6913">
        <v>258661463.19830662</v>
      </c>
    </row>
    <row r="6914" spans="1:2" x14ac:dyDescent="0.25">
      <c r="A6914">
        <f ca="1">31266.7773262191*(RANDBETWEEN(2890,3282))</f>
        <v>99615952.561334074</v>
      </c>
      <c r="B6914">
        <v>239744761.73655194</v>
      </c>
    </row>
    <row r="6915" spans="1:2" x14ac:dyDescent="0.25">
      <c r="A6915">
        <f ca="1">34715.9876419638*(RANDBETWEEN(2890,3282))</f>
        <v>109876100.88681528</v>
      </c>
      <c r="B6915">
        <v>215425409.44783622</v>
      </c>
    </row>
    <row r="6916" spans="1:2" x14ac:dyDescent="0.25">
      <c r="A6916">
        <f ca="1">36091.7528199954*(RANDBETWEEN(2890,3282))</f>
        <v>115096599.74296518</v>
      </c>
      <c r="B6916">
        <v>215528913.61298722</v>
      </c>
    </row>
    <row r="6917" spans="1:2" x14ac:dyDescent="0.25">
      <c r="A6917">
        <f ca="1">39282.0265414891*(RANDBETWEEN(2890,3282))</f>
        <v>124406178.05689622</v>
      </c>
      <c r="B6917">
        <v>210361812.62905204</v>
      </c>
    </row>
    <row r="6918" spans="1:2" x14ac:dyDescent="0.25">
      <c r="A6918">
        <f ca="1">41310.4583158291*(RANDBETWEEN(2890,3282))</f>
        <v>129301734.5285451</v>
      </c>
      <c r="B6918">
        <v>267594410.53540608</v>
      </c>
    </row>
    <row r="6919" spans="1:2" x14ac:dyDescent="0.25">
      <c r="A6919">
        <f ca="1">37989.325067508*(RANDBETWEEN(2890,3282))</f>
        <v>112220466.24941875</v>
      </c>
      <c r="B6919">
        <v>264787944.27093631</v>
      </c>
    </row>
    <row r="6920" spans="1:2" x14ac:dyDescent="0.25">
      <c r="A6920">
        <f ca="1">39574.5190417418*(RANDBETWEEN(2890,3282))</f>
        <v>118604833.56810017</v>
      </c>
      <c r="B6920">
        <v>208249018.22971117</v>
      </c>
    </row>
    <row r="6921" spans="1:2" x14ac:dyDescent="0.25">
      <c r="A6921">
        <f ca="1">35025.3847406648*(RANDBETWEEN(2890,3282))</f>
        <v>106757372.68954633</v>
      </c>
      <c r="B6921">
        <v>231580441.51278013</v>
      </c>
    </row>
    <row r="6922" spans="1:2" x14ac:dyDescent="0.25">
      <c r="A6922">
        <f ca="1">43527.2300535809*(RANDBETWEEN(2890,3282))</f>
        <v>130059363.40009968</v>
      </c>
      <c r="B6922">
        <v>210981882.84751353</v>
      </c>
    </row>
    <row r="6923" spans="1:2" x14ac:dyDescent="0.25">
      <c r="A6923">
        <f ca="1">29883.87914363*(RANDBETWEEN(2890,3282))</f>
        <v>97003071.700223058</v>
      </c>
      <c r="B6923">
        <v>238221031.6033406</v>
      </c>
    </row>
    <row r="6924" spans="1:2" x14ac:dyDescent="0.25">
      <c r="A6924">
        <f ca="1">31469.6769365923*(RANDBETWEEN(2890,3282))</f>
        <v>101930283.59762253</v>
      </c>
      <c r="B6924">
        <v>258996655.47751352</v>
      </c>
    </row>
    <row r="6925" spans="1:2" x14ac:dyDescent="0.25">
      <c r="A6925">
        <f ca="1">30262.8149550533*(RANDBETWEEN(2890,3282))</f>
        <v>94208142.955080986</v>
      </c>
      <c r="B6925">
        <v>220826704.35058722</v>
      </c>
    </row>
    <row r="6926" spans="1:2" x14ac:dyDescent="0.25">
      <c r="A6926">
        <f ca="1">36549.0623891648*(RANDBETWEEN(2890,3282))</f>
        <v>110451266.54005614</v>
      </c>
      <c r="B6926">
        <v>219328303.84565401</v>
      </c>
    </row>
    <row r="6927" spans="1:2" x14ac:dyDescent="0.25">
      <c r="A6927">
        <f ca="1">31844.160703643*(RANDBETWEEN(2890,3282))</f>
        <v>102156067.53728683</v>
      </c>
      <c r="B6927">
        <v>257875189.74721211</v>
      </c>
    </row>
    <row r="6928" spans="1:2" x14ac:dyDescent="0.25">
      <c r="A6928">
        <f ca="1">36865.2050708031*(RANDBETWEEN(2890,3282))</f>
        <v>109821445.90592249</v>
      </c>
      <c r="B6928">
        <v>243695477.12695801</v>
      </c>
    </row>
    <row r="6929" spans="1:2" x14ac:dyDescent="0.25">
      <c r="A6929">
        <f ca="1">37156.6387045173*(RANDBETWEEN(2890,3282))</f>
        <v>111692855.94577913</v>
      </c>
      <c r="B6929">
        <v>208928436.10543308</v>
      </c>
    </row>
    <row r="6930" spans="1:2" x14ac:dyDescent="0.25">
      <c r="A6930">
        <f ca="1">34705.6714073253*(RANDBETWEEN(2890,3282))</f>
        <v>111995201.63143885</v>
      </c>
      <c r="B6930">
        <v>233244784.67578757</v>
      </c>
    </row>
    <row r="6931" spans="1:2" x14ac:dyDescent="0.25">
      <c r="A6931">
        <f ca="1">32848.8474815184*(RANDBETWEEN(2890,3282))</f>
        <v>102357008.75241128</v>
      </c>
      <c r="B6931">
        <v>231374641.88545185</v>
      </c>
    </row>
    <row r="6932" spans="1:2" x14ac:dyDescent="0.25">
      <c r="A6932">
        <f ca="1">36633.4785112248*(RANDBETWEEN(2890,3282))</f>
        <v>110852905.97496618</v>
      </c>
      <c r="B6932">
        <v>224902055.88020724</v>
      </c>
    </row>
    <row r="6933" spans="1:2" x14ac:dyDescent="0.25">
      <c r="A6933">
        <f ca="1">37351.7565153187*(RANDBETWEEN(2890,3282))</f>
        <v>117172460.18855467</v>
      </c>
      <c r="B6933">
        <v>235305319.16837317</v>
      </c>
    </row>
    <row r="6934" spans="1:2" x14ac:dyDescent="0.25">
      <c r="A6934">
        <f ca="1">29023.9681628037*(RANDBETWEEN(2890,3282))</f>
        <v>90380636.858970746</v>
      </c>
      <c r="B6934">
        <v>213001075.87815768</v>
      </c>
    </row>
    <row r="6935" spans="1:2" x14ac:dyDescent="0.25">
      <c r="A6935">
        <f ca="1">39274.709627303*(RANDBETWEEN(2890,3282))</f>
        <v>124540104.22817773</v>
      </c>
      <c r="B6935">
        <v>247583021.44451934</v>
      </c>
    </row>
    <row r="6936" spans="1:2" x14ac:dyDescent="0.25">
      <c r="A6936">
        <f ca="1">40469.4440115566*(RANDBETWEEN(2890,3282))</f>
        <v>123148518.12716658</v>
      </c>
      <c r="B6936">
        <v>260178378.74799997</v>
      </c>
    </row>
    <row r="6937" spans="1:2" x14ac:dyDescent="0.25">
      <c r="A6937">
        <f ca="1">42809.4883302039*(RANDBETWEEN(2890,3282))</f>
        <v>128257227.03729087</v>
      </c>
      <c r="B6937">
        <v>233398511.75008413</v>
      </c>
    </row>
    <row r="6938" spans="1:2" x14ac:dyDescent="0.25">
      <c r="A6938">
        <f ca="1">29840.3929219754*(RANDBETWEEN(2890,3282))</f>
        <v>94056918.490066454</v>
      </c>
      <c r="B6938">
        <v>262985465.09030616</v>
      </c>
    </row>
    <row r="6939" spans="1:2" x14ac:dyDescent="0.25">
      <c r="A6939">
        <f ca="1">39237.9431421911*(RANDBETWEEN(2890,3282))</f>
        <v>121833813.45650344</v>
      </c>
      <c r="B6939">
        <v>235472223.33915997</v>
      </c>
    </row>
    <row r="6940" spans="1:2" x14ac:dyDescent="0.25">
      <c r="A6940">
        <f ca="1">35181.199599738*(RANDBETWEEN(2890,3282))</f>
        <v>103960444.81722586</v>
      </c>
      <c r="B6940">
        <v>247051859.06423837</v>
      </c>
    </row>
    <row r="6941" spans="1:2" x14ac:dyDescent="0.25">
      <c r="A6941">
        <f ca="1">34591.2048633892*(RANDBETWEEN(2890,3282))</f>
        <v>113320787.13246301</v>
      </c>
      <c r="B6941">
        <v>255521429.72248495</v>
      </c>
    </row>
    <row r="6942" spans="1:2" x14ac:dyDescent="0.25">
      <c r="A6942">
        <f ca="1">30088.5457463058*(RANDBETWEEN(2890,3282))</f>
        <v>90566522.696380556</v>
      </c>
      <c r="B6942">
        <v>261312723.07157421</v>
      </c>
    </row>
    <row r="6943" spans="1:2" x14ac:dyDescent="0.25">
      <c r="A6943">
        <f ca="1">38313.4404850782*(RANDBETWEEN(2890,3282))</f>
        <v>122909517.07613075</v>
      </c>
      <c r="B6943">
        <v>235102076.90149051</v>
      </c>
    </row>
    <row r="6944" spans="1:2" x14ac:dyDescent="0.25">
      <c r="A6944">
        <f ca="1">32678.4805621301*(RANDBETWEEN(2890,3282))</f>
        <v>95551877.163668409</v>
      </c>
      <c r="B6944">
        <v>250303461.37652886</v>
      </c>
    </row>
    <row r="6945" spans="1:2" x14ac:dyDescent="0.25">
      <c r="A6945">
        <f ca="1">33475.1583316091*(RANDBETWEEN(2890,3282))</f>
        <v>99588596.036537215</v>
      </c>
      <c r="B6945">
        <v>210828472.34564251</v>
      </c>
    </row>
    <row r="6946" spans="1:2" x14ac:dyDescent="0.25">
      <c r="A6946">
        <f ca="1">33056.0966938402*(RANDBETWEEN(2890,3282))</f>
        <v>95829624.315442607</v>
      </c>
      <c r="B6946">
        <v>243986502.3222762</v>
      </c>
    </row>
    <row r="6947" spans="1:2" x14ac:dyDescent="0.25">
      <c r="A6947">
        <f ca="1">40715.0471784874*(RANDBETWEEN(2890,3282))</f>
        <v>129188844.69734062</v>
      </c>
      <c r="B6947">
        <v>207898873.79252666</v>
      </c>
    </row>
    <row r="6948" spans="1:2" x14ac:dyDescent="0.25">
      <c r="A6948">
        <f ca="1">39936.7459678822*(RANDBETWEEN(2890,3282))</f>
        <v>124083469.72220992</v>
      </c>
      <c r="B6948">
        <v>209457752.23396453</v>
      </c>
    </row>
    <row r="6949" spans="1:2" x14ac:dyDescent="0.25">
      <c r="A6949">
        <f ca="1">31535.0447326626*(RANDBETWEEN(2890,3282))</f>
        <v>95803465.897828922</v>
      </c>
      <c r="B6949">
        <v>252529858.10066658</v>
      </c>
    </row>
    <row r="6950" spans="1:2" x14ac:dyDescent="0.25">
      <c r="A6950">
        <f ca="1">37574.7420379847*(RANDBETWEEN(2890,3282))</f>
        <v>120276749.26358905</v>
      </c>
      <c r="B6950">
        <v>210792426.32716075</v>
      </c>
    </row>
    <row r="6951" spans="1:2" x14ac:dyDescent="0.25">
      <c r="A6951">
        <f ca="1">34647.7977877103*(RANDBETWEEN(2890,3282))</f>
        <v>105329305.2746394</v>
      </c>
      <c r="B6951">
        <v>254045373.10902372</v>
      </c>
    </row>
    <row r="6952" spans="1:2" x14ac:dyDescent="0.25">
      <c r="A6952">
        <f ca="1">38428.8978572241*(RANDBETWEEN(2890,3282))</f>
        <v>125777782.68669441</v>
      </c>
      <c r="B6952">
        <v>212359048.93915284</v>
      </c>
    </row>
    <row r="6953" spans="1:2" x14ac:dyDescent="0.25">
      <c r="A6953">
        <f ca="1">33604.3388449434*(RANDBETWEEN(2890,3282))</f>
        <v>104274263.43585923</v>
      </c>
      <c r="B6953">
        <v>248731969.32443732</v>
      </c>
    </row>
    <row r="6954" spans="1:2" x14ac:dyDescent="0.25">
      <c r="A6954">
        <f ca="1">34355.1361943347*(RANDBETWEEN(2890,3282))</f>
        <v>106638342.74721493</v>
      </c>
      <c r="B6954">
        <v>209687136.73672315</v>
      </c>
    </row>
    <row r="6955" spans="1:2" x14ac:dyDescent="0.25">
      <c r="A6955">
        <f ca="1">31315.7084229453*(RANDBETWEEN(2890,3282))</f>
        <v>101932630.91668688</v>
      </c>
      <c r="B6955">
        <v>232991698.42945552</v>
      </c>
    </row>
    <row r="6956" spans="1:2" x14ac:dyDescent="0.25">
      <c r="A6956">
        <f ca="1">35712.3896268822*(RANDBETWEEN(2890,3282))</f>
        <v>105958660.0229594</v>
      </c>
      <c r="B6956">
        <v>259957637.66449583</v>
      </c>
    </row>
    <row r="6957" spans="1:2" x14ac:dyDescent="0.25">
      <c r="A6957">
        <f ca="1">37090.6883567579*(RANDBETWEEN(2890,3282))</f>
        <v>109899709.60107376</v>
      </c>
      <c r="B6957">
        <v>208688873.50250036</v>
      </c>
    </row>
    <row r="6958" spans="1:2" x14ac:dyDescent="0.25">
      <c r="A6958">
        <f ca="1">39038.2549659223*(RANDBETWEEN(2890,3282))</f>
        <v>122072623.27843894</v>
      </c>
      <c r="B6958">
        <v>255008622.69941053</v>
      </c>
    </row>
    <row r="6959" spans="1:2" x14ac:dyDescent="0.25">
      <c r="A6959">
        <f ca="1">30432.6972726767*(RANDBETWEEN(2890,3282))</f>
        <v>98662804.558017939</v>
      </c>
      <c r="B6959">
        <v>247827088.34616411</v>
      </c>
    </row>
    <row r="6960" spans="1:2" x14ac:dyDescent="0.25">
      <c r="A6960">
        <f ca="1">36617.0363813286*(RANDBETWEEN(2890,3282))</f>
        <v>112121365.39962807</v>
      </c>
      <c r="B6960">
        <v>210116114.49792147</v>
      </c>
    </row>
    <row r="6961" spans="1:2" x14ac:dyDescent="0.25">
      <c r="A6961">
        <f ca="1">33094.7142234164*(RANDBETWEEN(2890,3282))</f>
        <v>99118669.099132001</v>
      </c>
      <c r="B6961">
        <v>206293751.0970386</v>
      </c>
    </row>
    <row r="6962" spans="1:2" x14ac:dyDescent="0.25">
      <c r="A6962">
        <f ca="1">38071.3084228647*(RANDBETWEEN(2890,3282))</f>
        <v>124074394.15011618</v>
      </c>
      <c r="B6962">
        <v>213978153.23167345</v>
      </c>
    </row>
    <row r="6963" spans="1:2" x14ac:dyDescent="0.25">
      <c r="A6963">
        <f ca="1">32912.7503678621*(RANDBETWEEN(2890,3282))</f>
        <v>104860022.67200874</v>
      </c>
      <c r="B6963">
        <v>241721508.98745531</v>
      </c>
    </row>
    <row r="6964" spans="1:2" x14ac:dyDescent="0.25">
      <c r="A6964">
        <f ca="1">32806.1562856413*(RANDBETWEEN(2890,3282))</f>
        <v>105242149.36433718</v>
      </c>
      <c r="B6964">
        <v>255550767.20781049</v>
      </c>
    </row>
    <row r="6965" spans="1:2" x14ac:dyDescent="0.25">
      <c r="A6965">
        <f ca="1">35579.4496265435*(RANDBETWEEN(2890,3282))</f>
        <v>105350750.3441952</v>
      </c>
      <c r="B6965">
        <v>222152532.0170525</v>
      </c>
    </row>
    <row r="6966" spans="1:2" x14ac:dyDescent="0.25">
      <c r="A6966">
        <f ca="1">31738.5559891076*(RANDBETWEEN(2890,3282))</f>
        <v>102261627.39690457</v>
      </c>
      <c r="B6966">
        <v>240852841.46143115</v>
      </c>
    </row>
    <row r="6967" spans="1:2" x14ac:dyDescent="0.25">
      <c r="A6967">
        <f ca="1">36949.5949537876*(RANDBETWEEN(2890,3282))</f>
        <v>111218280.81090072</v>
      </c>
      <c r="B6967">
        <v>206112743.53714171</v>
      </c>
    </row>
    <row r="6968" spans="1:2" x14ac:dyDescent="0.25">
      <c r="A6968">
        <f ca="1">32905.7320218443*(RANDBETWEEN(2890,3282))</f>
        <v>96512512.020069405</v>
      </c>
      <c r="B6968">
        <v>204462596.26680717</v>
      </c>
    </row>
    <row r="6969" spans="1:2" x14ac:dyDescent="0.25">
      <c r="A6969">
        <f ca="1">30410.1185667697*(RANDBETWEEN(2890,3282))</f>
        <v>92629221.154380649</v>
      </c>
      <c r="B6969">
        <v>234314390.52089876</v>
      </c>
    </row>
    <row r="6970" spans="1:2" x14ac:dyDescent="0.25">
      <c r="A6970">
        <f ca="1">31969.2829355975*(RANDBETWEEN(2890,3282))</f>
        <v>95364370.996887252</v>
      </c>
      <c r="B6970">
        <v>205966350.51939401</v>
      </c>
    </row>
    <row r="6971" spans="1:2" x14ac:dyDescent="0.25">
      <c r="A6971">
        <f ca="1">30806.3249200472*(RANDBETWEEN(2890,3282))</f>
        <v>89430761.242896959</v>
      </c>
      <c r="B6971">
        <v>210514802.05243757</v>
      </c>
    </row>
    <row r="6972" spans="1:2" x14ac:dyDescent="0.25">
      <c r="A6972">
        <f ca="1">31663.9516907064*(RANDBETWEEN(2890,3282))</f>
        <v>98063258.386117786</v>
      </c>
      <c r="B6972">
        <v>219267867.77508751</v>
      </c>
    </row>
    <row r="6973" spans="1:2" x14ac:dyDescent="0.25">
      <c r="A6973">
        <f ca="1">32198.244399543*(RANDBETWEEN(2890,3282))</f>
        <v>93085124.559078768</v>
      </c>
      <c r="B6973">
        <v>240682239.70997149</v>
      </c>
    </row>
    <row r="6974" spans="1:2" x14ac:dyDescent="0.25">
      <c r="A6974">
        <f ca="1">39201.5737141929*(RANDBETWEEN(2890,3282))</f>
        <v>123720166.64199297</v>
      </c>
      <c r="B6974">
        <v>254650106.36090812</v>
      </c>
    </row>
    <row r="6975" spans="1:2" x14ac:dyDescent="0.25">
      <c r="A6975">
        <f ca="1">39207.3792841493*(RANDBETWEEN(2890,3282))</f>
        <v>117386893.57674304</v>
      </c>
      <c r="B6975">
        <v>261418006.36549187</v>
      </c>
    </row>
    <row r="6976" spans="1:2" x14ac:dyDescent="0.25">
      <c r="A6976">
        <f ca="1">28636.8980299292*(RANDBETWEEN(2890,3282))</f>
        <v>82961093.592704788</v>
      </c>
      <c r="B6976">
        <v>203747470.68984273</v>
      </c>
    </row>
    <row r="6977" spans="1:2" x14ac:dyDescent="0.25">
      <c r="A6977">
        <f ca="1">30632.6303617167*(RANDBETWEEN(2890,3282))</f>
        <v>98177580.309302047</v>
      </c>
      <c r="B6977">
        <v>245695915.17473817</v>
      </c>
    </row>
    <row r="6978" spans="1:2" x14ac:dyDescent="0.25">
      <c r="A6978">
        <f ca="1">34346.1458997579*(RANDBETWEEN(2890,3282))</f>
        <v>100015976.8600949</v>
      </c>
      <c r="B6978">
        <v>207964805.94808513</v>
      </c>
    </row>
    <row r="6979" spans="1:2" x14ac:dyDescent="0.25">
      <c r="A6979">
        <f ca="1">31670.9199891882*(RANDBETWEEN(2890,3282))</f>
        <v>101663653.16529422</v>
      </c>
      <c r="B6979">
        <v>225669911.5695734</v>
      </c>
    </row>
    <row r="6980" spans="1:2" x14ac:dyDescent="0.25">
      <c r="A6980">
        <f ca="1">35597.8778087279*(RANDBETWEEN(2890,3282))</f>
        <v>105868088.60315673</v>
      </c>
      <c r="B6980">
        <v>220180838.4981308</v>
      </c>
    </row>
    <row r="6981" spans="1:2" x14ac:dyDescent="0.25">
      <c r="A6981">
        <f ca="1">36032.5402789505*(RANDBETWEEN(2890,3282))</f>
        <v>105431212.85620902</v>
      </c>
      <c r="B6981">
        <v>266128268.15208772</v>
      </c>
    </row>
    <row r="6982" spans="1:2" x14ac:dyDescent="0.25">
      <c r="A6982">
        <f ca="1">43479.5719675085*(RANDBETWEEN(2890,3282))</f>
        <v>142439077.7655578</v>
      </c>
      <c r="B6982">
        <v>233934625.12124422</v>
      </c>
    </row>
    <row r="6983" spans="1:2" x14ac:dyDescent="0.25">
      <c r="A6983">
        <f ca="1">35399.2267163773*(RANDBETWEEN(2890,3282))</f>
        <v>115755471.36255386</v>
      </c>
      <c r="B6983">
        <v>223785448.05209732</v>
      </c>
    </row>
    <row r="6984" spans="1:2" x14ac:dyDescent="0.25">
      <c r="A6984">
        <f ca="1">29970.1532513539*(RANDBETWEEN(2890,3282))</f>
        <v>90989385.271110579</v>
      </c>
      <c r="B6984">
        <v>215072260.48608574</v>
      </c>
    </row>
    <row r="6985" spans="1:2" x14ac:dyDescent="0.25">
      <c r="A6985">
        <f ca="1">38841.7692400507*(RANDBETWEEN(2890,3282))</f>
        <v>120642535.25959754</v>
      </c>
      <c r="B6985">
        <v>220853862.12640935</v>
      </c>
    </row>
    <row r="6986" spans="1:2" x14ac:dyDescent="0.25">
      <c r="A6986">
        <f ca="1">31718.8838527299*(RANDBETWEEN(2890,3282))</f>
        <v>101976211.58652654</v>
      </c>
      <c r="B6986">
        <v>250660138.45209822</v>
      </c>
    </row>
    <row r="6987" spans="1:2" x14ac:dyDescent="0.25">
      <c r="A6987">
        <f ca="1">31040.9900532948*(RANDBETWEEN(2890,3282))</f>
        <v>92719437.289191544</v>
      </c>
      <c r="B6987">
        <v>216949149.69337431</v>
      </c>
    </row>
    <row r="6988" spans="1:2" x14ac:dyDescent="0.25">
      <c r="A6988">
        <f ca="1">33061.9887609597*(RANDBETWEEN(2890,3282))</f>
        <v>104740380.39472046</v>
      </c>
      <c r="B6988">
        <v>260944088.24586368</v>
      </c>
    </row>
    <row r="6989" spans="1:2" x14ac:dyDescent="0.25">
      <c r="A6989">
        <f ca="1">33557.3580645699*(RANDBETWEEN(2890,3282))</f>
        <v>105202317.53242676</v>
      </c>
      <c r="B6989">
        <v>258932288.98908716</v>
      </c>
    </row>
    <row r="6990" spans="1:2" x14ac:dyDescent="0.25">
      <c r="A6990">
        <f ca="1">40201.7847726374*(RANDBETWEEN(2890,3282))</f>
        <v>119921923.97677723</v>
      </c>
      <c r="B6990">
        <v>250147039.64822394</v>
      </c>
    </row>
    <row r="6991" spans="1:2" x14ac:dyDescent="0.25">
      <c r="A6991">
        <f ca="1">29633.0712023085*(RANDBETWEEN(2890,3282))</f>
        <v>96870509.760346472</v>
      </c>
      <c r="B6991">
        <v>204053725.95065966</v>
      </c>
    </row>
    <row r="6992" spans="1:2" x14ac:dyDescent="0.25">
      <c r="A6992">
        <f ca="1">32694.5063773905*(RANDBETWEEN(2890,3282))</f>
        <v>95435264.11560297</v>
      </c>
      <c r="B6992">
        <v>257936797.53205681</v>
      </c>
    </row>
    <row r="6993" spans="1:2" x14ac:dyDescent="0.25">
      <c r="A6993">
        <f ca="1">31009.1280348672*(RANDBETWEEN(2890,3282))</f>
        <v>96748479.468785644</v>
      </c>
      <c r="B6993">
        <v>226978608.69148016</v>
      </c>
    </row>
    <row r="6994" spans="1:2" x14ac:dyDescent="0.25">
      <c r="A6994">
        <f ca="1">40139.0167861005*(RANDBETWEEN(2890,3282))</f>
        <v>120015660.19044037</v>
      </c>
      <c r="B6994">
        <v>224921644.19450012</v>
      </c>
    </row>
    <row r="6995" spans="1:2" x14ac:dyDescent="0.25">
      <c r="A6995">
        <f ca="1">44046.1371024526*(RANDBETWEEN(2890,3282))</f>
        <v>140507177.35682383</v>
      </c>
      <c r="B6995">
        <v>204502753.69170755</v>
      </c>
    </row>
    <row r="6996" spans="1:2" x14ac:dyDescent="0.25">
      <c r="A6996">
        <f ca="1">38375.4242190103*(RANDBETWEEN(2890,3282))</f>
        <v>119040565.92736985</v>
      </c>
      <c r="B6996">
        <v>254775817.62527204</v>
      </c>
    </row>
    <row r="6997" spans="1:2" x14ac:dyDescent="0.25">
      <c r="A6997">
        <f ca="1">32409.0895106397*(RANDBETWEEN(2890,3282))</f>
        <v>102898859.19628097</v>
      </c>
      <c r="B6997">
        <v>234818435.59801441</v>
      </c>
    </row>
    <row r="6998" spans="1:2" x14ac:dyDescent="0.25">
      <c r="A6998">
        <f ca="1">31443.2519451923*(RANDBETWEEN(2890,3282))</f>
        <v>91248317.14494817</v>
      </c>
      <c r="B6998">
        <v>215840181.00615615</v>
      </c>
    </row>
    <row r="6999" spans="1:2" x14ac:dyDescent="0.25">
      <c r="A6999">
        <f ca="1">31290.9779987937*(RANDBETWEEN(2890,3282))</f>
        <v>95781683.654307365</v>
      </c>
      <c r="B6999">
        <v>230019599.62822449</v>
      </c>
    </row>
    <row r="7000" spans="1:2" x14ac:dyDescent="0.25">
      <c r="A7000">
        <f ca="1">31111.771866711*(RANDBETWEEN(2890,3282))</f>
        <v>96290933.92747049</v>
      </c>
      <c r="B7000">
        <v>254820940.91146201</v>
      </c>
    </row>
    <row r="7001" spans="1:2" x14ac:dyDescent="0.25">
      <c r="A7001">
        <f ca="1">38002.2767560266*(RANDBETWEEN(2890,3282))</f>
        <v>113132777.90269127</v>
      </c>
      <c r="B7001">
        <v>256243603.43422079</v>
      </c>
    </row>
    <row r="7002" spans="1:2" x14ac:dyDescent="0.25">
      <c r="A7002">
        <f ca="1">31958.8230393115*(RANDBETWEEN(2890,3282))</f>
        <v>101884727.84932515</v>
      </c>
      <c r="B7002">
        <v>241104534.18537825</v>
      </c>
    </row>
    <row r="7003" spans="1:2" x14ac:dyDescent="0.25">
      <c r="A7003">
        <f ca="1">30918.4363791564*(RANDBETWEEN(2890,3282))</f>
        <v>93404596.301431358</v>
      </c>
      <c r="B7003">
        <v>235902329.30076432</v>
      </c>
    </row>
    <row r="7004" spans="1:2" x14ac:dyDescent="0.25">
      <c r="A7004">
        <f ca="1">38636.3587673216*(RANDBETWEEN(2890,3282))</f>
        <v>111852258.63139598</v>
      </c>
      <c r="B7004">
        <v>230616952.88367051</v>
      </c>
    </row>
    <row r="7005" spans="1:2" x14ac:dyDescent="0.25">
      <c r="A7005">
        <f ca="1">30673.0557915429*(RANDBETWEEN(2890,3282))</f>
        <v>89718688.190263033</v>
      </c>
      <c r="B7005">
        <v>220074080.89707497</v>
      </c>
    </row>
    <row r="7006" spans="1:2" x14ac:dyDescent="0.25">
      <c r="A7006">
        <f ca="1">31142.0369836975*(RANDBETWEEN(2890,3282))</f>
        <v>94266945.949652225</v>
      </c>
      <c r="B7006">
        <v>263112778.81346655</v>
      </c>
    </row>
    <row r="7007" spans="1:2" x14ac:dyDescent="0.25">
      <c r="A7007">
        <f ca="1">42523.0936942388*(RANDBETWEEN(2890,3282))</f>
        <v>136499130.7585066</v>
      </c>
      <c r="B7007">
        <v>229842458.90090197</v>
      </c>
    </row>
    <row r="7008" spans="1:2" x14ac:dyDescent="0.25">
      <c r="A7008">
        <f ca="1">32593.8843850773*(RANDBETWEEN(2890,3282))</f>
        <v>106190875.32658169</v>
      </c>
      <c r="B7008">
        <v>225895144.60224038</v>
      </c>
    </row>
    <row r="7009" spans="1:2" x14ac:dyDescent="0.25">
      <c r="A7009">
        <f ca="1">35169.9695979806*(RANDBETWEEN(2890,3282))</f>
        <v>112930772.37911567</v>
      </c>
      <c r="B7009">
        <v>233314293.48715261</v>
      </c>
    </row>
    <row r="7010" spans="1:2" x14ac:dyDescent="0.25">
      <c r="A7010">
        <f ca="1">39989.0506100412*(RANDBETWEEN(2890,3282))</f>
        <v>116808016.83193035</v>
      </c>
      <c r="B7010">
        <v>265800272.922562</v>
      </c>
    </row>
    <row r="7011" spans="1:2" x14ac:dyDescent="0.25">
      <c r="A7011">
        <f ca="1">33544.3729163452*(RANDBETWEEN(2890,3282))</f>
        <v>104524266.00733159</v>
      </c>
      <c r="B7011">
        <v>247247374.5496355</v>
      </c>
    </row>
    <row r="7012" spans="1:2" x14ac:dyDescent="0.25">
      <c r="A7012">
        <f ca="1">30070.0843984102*(RANDBETWEEN(2890,3282))</f>
        <v>96194199.990514085</v>
      </c>
      <c r="B7012">
        <v>250510706.44297993</v>
      </c>
    </row>
    <row r="7013" spans="1:2" x14ac:dyDescent="0.25">
      <c r="A7013">
        <f ca="1">36437.4290384817*(RANDBETWEEN(2890,3282))</f>
        <v>107818352.52486728</v>
      </c>
      <c r="B7013">
        <v>226675865.57711923</v>
      </c>
    </row>
    <row r="7014" spans="1:2" x14ac:dyDescent="0.25">
      <c r="A7014">
        <f ca="1">31895.5477835607*(RANDBETWEEN(2890,3282))</f>
        <v>103947590.22662422</v>
      </c>
      <c r="B7014">
        <v>260731046.55327687</v>
      </c>
    </row>
    <row r="7015" spans="1:2" x14ac:dyDescent="0.25">
      <c r="A7015">
        <f ca="1">31877.0303151463*(RANDBETWEEN(2890,3282))</f>
        <v>100253260.34113516</v>
      </c>
      <c r="B7015">
        <v>235838656.48925036</v>
      </c>
    </row>
    <row r="7016" spans="1:2" x14ac:dyDescent="0.25">
      <c r="A7016">
        <f ca="1">33175.3104038936*(RANDBETWEEN(2890,3282))</f>
        <v>107819758.81265427</v>
      </c>
      <c r="B7016">
        <v>250368679.75307536</v>
      </c>
    </row>
    <row r="7017" spans="1:2" x14ac:dyDescent="0.25">
      <c r="A7017">
        <f ca="1">32800.4939948893*(RANDBETWEEN(2890,3282))</f>
        <v>95875843.947061449</v>
      </c>
      <c r="B7017">
        <v>266925043.09061307</v>
      </c>
    </row>
    <row r="7018" spans="1:2" x14ac:dyDescent="0.25">
      <c r="A7018">
        <f ca="1">43030.1374441971*(RANDBETWEEN(2890,3282))</f>
        <v>126508604.08593962</v>
      </c>
      <c r="B7018">
        <v>241580351.73663899</v>
      </c>
    </row>
    <row r="7019" spans="1:2" x14ac:dyDescent="0.25">
      <c r="A7019">
        <f ca="1">38009.8994880318*(RANDBETWEEN(2890,3282))</f>
        <v>121593668.46221372</v>
      </c>
      <c r="B7019">
        <v>259513236.82158875</v>
      </c>
    </row>
    <row r="7020" spans="1:2" x14ac:dyDescent="0.25">
      <c r="A7020">
        <f ca="1">32764.7237584884*(RANDBETWEEN(2890,3282))</f>
        <v>97671641.524053931</v>
      </c>
      <c r="B7020">
        <v>217260614.69216466</v>
      </c>
    </row>
    <row r="7021" spans="1:2" x14ac:dyDescent="0.25">
      <c r="A7021">
        <f ca="1">33532.8835323324*(RANDBETWEEN(2890,3282))</f>
        <v>102610623.6089371</v>
      </c>
      <c r="B7021">
        <v>208815506.61043409</v>
      </c>
    </row>
    <row r="7022" spans="1:2" x14ac:dyDescent="0.25">
      <c r="A7022">
        <f ca="1">36233.4043047334*(RANDBETWEEN(2890,3282))</f>
        <v>112903287.81354921</v>
      </c>
      <c r="B7022">
        <v>256390134.5731152</v>
      </c>
    </row>
    <row r="7023" spans="1:2" x14ac:dyDescent="0.25">
      <c r="A7023">
        <f ca="1">30717.162519263*(RANDBETWEEN(2890,3282))</f>
        <v>96605476.123081982</v>
      </c>
      <c r="B7023">
        <v>243633114.75866193</v>
      </c>
    </row>
    <row r="7024" spans="1:2" x14ac:dyDescent="0.25">
      <c r="A7024">
        <f ca="1">30046.1710305479*(RANDBETWEEN(2890,3282))</f>
        <v>94224792.351798162</v>
      </c>
      <c r="B7024">
        <v>241382464.6937325</v>
      </c>
    </row>
    <row r="7025" spans="1:2" x14ac:dyDescent="0.25">
      <c r="A7025">
        <f ca="1">35722.5801173148*(RANDBETWEEN(2890,3282))</f>
        <v>115312488.61869209</v>
      </c>
      <c r="B7025">
        <v>210505739.19193357</v>
      </c>
    </row>
    <row r="7026" spans="1:2" x14ac:dyDescent="0.25">
      <c r="A7026">
        <f ca="1">32544.0690210692*(RANDBETWEEN(2890,3282))</f>
        <v>105507871.7663065</v>
      </c>
      <c r="B7026">
        <v>264606476.74084529</v>
      </c>
    </row>
    <row r="7027" spans="1:2" x14ac:dyDescent="0.25">
      <c r="A7027">
        <f ca="1">29645.4126130158*(RANDBETWEEN(2890,3282))</f>
        <v>91930424.512961924</v>
      </c>
      <c r="B7027">
        <v>228378876.93472886</v>
      </c>
    </row>
    <row r="7028" spans="1:2" x14ac:dyDescent="0.25">
      <c r="A7028">
        <f ca="1">32733.1258309239*(RANDBETWEEN(2890,3282))</f>
        <v>105433398.30140577</v>
      </c>
      <c r="B7028">
        <v>253568591.07423693</v>
      </c>
    </row>
    <row r="7029" spans="1:2" x14ac:dyDescent="0.25">
      <c r="A7029">
        <f ca="1">31882.617012631*(RANDBETWEEN(2890,3282))</f>
        <v>104638749.035455</v>
      </c>
      <c r="B7029">
        <v>211601008.63471037</v>
      </c>
    </row>
    <row r="7030" spans="1:2" x14ac:dyDescent="0.25">
      <c r="A7030">
        <f ca="1">33114.6989387205*(RANDBETWEEN(2890,3282))</f>
        <v>105304742.62513131</v>
      </c>
      <c r="B7030">
        <v>228932762.48742139</v>
      </c>
    </row>
    <row r="7031" spans="1:2" x14ac:dyDescent="0.25">
      <c r="A7031">
        <f ca="1">32286.2765380032*(RANDBETWEEN(2890,3282))</f>
        <v>100668610.2454941</v>
      </c>
      <c r="B7031">
        <v>267414881.72197467</v>
      </c>
    </row>
    <row r="7032" spans="1:2" x14ac:dyDescent="0.25">
      <c r="A7032">
        <f ca="1">31210.1896151914*(RANDBETWEEN(2890,3282))</f>
        <v>101994899.66244546</v>
      </c>
      <c r="B7032">
        <v>231682426.25580671</v>
      </c>
    </row>
    <row r="7033" spans="1:2" x14ac:dyDescent="0.25">
      <c r="A7033">
        <f ca="1">30899.0581483947*(RANDBETWEEN(2890,3282))</f>
        <v>99680361.58672139</v>
      </c>
      <c r="B7033">
        <v>219584443.07498321</v>
      </c>
    </row>
    <row r="7034" spans="1:2" x14ac:dyDescent="0.25">
      <c r="A7034">
        <f ca="1">33344.9229673498*(RANDBETWEEN(2890,3282))</f>
        <v>107970860.56827852</v>
      </c>
      <c r="B7034">
        <v>228689947.13332987</v>
      </c>
    </row>
    <row r="7035" spans="1:2" x14ac:dyDescent="0.25">
      <c r="A7035">
        <f ca="1">31503.551293074*(RANDBETWEEN(2890,3282))</f>
        <v>102166016.84343898</v>
      </c>
      <c r="B7035">
        <v>234479819.33851165</v>
      </c>
    </row>
    <row r="7036" spans="1:2" x14ac:dyDescent="0.25">
      <c r="A7036">
        <f ca="1">36279.9343424474*(RANDBETWEEN(2890,3282))</f>
        <v>117728386.94124195</v>
      </c>
      <c r="B7036">
        <v>221642003.09335351</v>
      </c>
    </row>
    <row r="7037" spans="1:2" x14ac:dyDescent="0.25">
      <c r="A7037">
        <f ca="1">36558.3275196156*(RANDBETWEEN(2890,3282))</f>
        <v>116072689.87477946</v>
      </c>
      <c r="B7037">
        <v>249066130.30545551</v>
      </c>
    </row>
    <row r="7038" spans="1:2" x14ac:dyDescent="0.25">
      <c r="A7038">
        <f ca="1">31690.9121539229*(RANDBETWEEN(2890,3282))</f>
        <v>103058846.32455738</v>
      </c>
      <c r="B7038">
        <v>216322130.51366842</v>
      </c>
    </row>
    <row r="7039" spans="1:2" x14ac:dyDescent="0.25">
      <c r="A7039">
        <f ca="1">35235.1771635179*(RANDBETWEEN(2890,3282))</f>
        <v>104190418.87252244</v>
      </c>
      <c r="B7039">
        <v>239288636.07597107</v>
      </c>
    </row>
    <row r="7040" spans="1:2" x14ac:dyDescent="0.25">
      <c r="A7040">
        <f ca="1">30843.226414947*(RANDBETWEEN(2890,3282))</f>
        <v>94596175.414642543</v>
      </c>
      <c r="B7040">
        <v>205931970.28268483</v>
      </c>
    </row>
    <row r="7041" spans="1:2" x14ac:dyDescent="0.25">
      <c r="A7041">
        <f ca="1">42820.3472529427*(RANDBETWEEN(2890,3282))</f>
        <v>134627171.76325199</v>
      </c>
      <c r="B7041">
        <v>211147320.98654547</v>
      </c>
    </row>
    <row r="7042" spans="1:2" x14ac:dyDescent="0.25">
      <c r="A7042">
        <f ca="1">32557.9124028463*(RANDBETWEEN(2890,3282))</f>
        <v>97641179.296135947</v>
      </c>
      <c r="B7042">
        <v>230459703.28726599</v>
      </c>
    </row>
    <row r="7043" spans="1:2" x14ac:dyDescent="0.25">
      <c r="A7043">
        <f ca="1">37227.9589586217*(RANDBETWEEN(2890,3282))</f>
        <v>118310453.57049969</v>
      </c>
      <c r="B7043">
        <v>217539023.66320315</v>
      </c>
    </row>
    <row r="7044" spans="1:2" x14ac:dyDescent="0.25">
      <c r="A7044">
        <f ca="1">34115.131888405*(RANDBETWEEN(2890,3282))</f>
        <v>98626846.289378867</v>
      </c>
      <c r="B7044">
        <v>260083053.2045595</v>
      </c>
    </row>
    <row r="7045" spans="1:2" x14ac:dyDescent="0.25">
      <c r="A7045">
        <f ca="1">41055.9044893957*(RANDBETWEEN(2890,3282))</f>
        <v>127191192.10814784</v>
      </c>
      <c r="B7045">
        <v>210078852.25529182</v>
      </c>
    </row>
    <row r="7046" spans="1:2" x14ac:dyDescent="0.25">
      <c r="A7046">
        <f ca="1">40312.7263813655*(RANDBETWEEN(2890,3282))</f>
        <v>119648171.89989279</v>
      </c>
      <c r="B7046">
        <v>260547251.03164855</v>
      </c>
    </row>
    <row r="7047" spans="1:2" x14ac:dyDescent="0.25">
      <c r="A7047">
        <f ca="1">40654.7506675894*(RANDBETWEEN(2890,3282))</f>
        <v>131762046.91365735</v>
      </c>
      <c r="B7047">
        <v>246594117.97300056</v>
      </c>
    </row>
    <row r="7048" spans="1:2" x14ac:dyDescent="0.25">
      <c r="A7048">
        <f ca="1">31006.8308436948*(RANDBETWEEN(2890,3282))</f>
        <v>99779981.65500994</v>
      </c>
      <c r="B7048">
        <v>233023122.93804932</v>
      </c>
    </row>
    <row r="7049" spans="1:2" x14ac:dyDescent="0.25">
      <c r="A7049">
        <f ca="1">33875.1306701744*(RANDBETWEEN(2890,3282))</f>
        <v>110839427.55281071</v>
      </c>
      <c r="B7049">
        <v>229707738.04643652</v>
      </c>
    </row>
    <row r="7050" spans="1:2" x14ac:dyDescent="0.25">
      <c r="A7050">
        <f ca="1">38908.6919436731*(RANDBETWEEN(2890,3282))</f>
        <v>127659418.26719145</v>
      </c>
      <c r="B7050">
        <v>254489766.90373236</v>
      </c>
    </row>
    <row r="7051" spans="1:2" x14ac:dyDescent="0.25">
      <c r="A7051">
        <f ca="1">30855.640053247*(RANDBETWEEN(2890,3282))</f>
        <v>91579539.678037137</v>
      </c>
      <c r="B7051">
        <v>215770136.38186598</v>
      </c>
    </row>
    <row r="7052" spans="1:2" x14ac:dyDescent="0.25">
      <c r="A7052">
        <f ca="1">33451.5904338157*(RANDBETWEEN(2890,3282))</f>
        <v>98381127.465852082</v>
      </c>
      <c r="B7052">
        <v>217161852.48813617</v>
      </c>
    </row>
    <row r="7053" spans="1:2" x14ac:dyDescent="0.25">
      <c r="A7053">
        <f ca="1">35338.0559955379*(RANDBETWEEN(2890,3282))</f>
        <v>104565307.69079655</v>
      </c>
      <c r="B7053">
        <v>207306043.65858528</v>
      </c>
    </row>
    <row r="7054" spans="1:2" x14ac:dyDescent="0.25">
      <c r="A7054">
        <f ca="1">35426.1012416501*(RANDBETWEEN(2890,3282))</f>
        <v>103621346.13182659</v>
      </c>
      <c r="B7054">
        <v>267034409.59427637</v>
      </c>
    </row>
    <row r="7055" spans="1:2" x14ac:dyDescent="0.25">
      <c r="A7055">
        <f ca="1">31676.8783936894*(RANDBETWEEN(2890,3282))</f>
        <v>98166646.142043591</v>
      </c>
      <c r="B7055">
        <v>258493539.82717901</v>
      </c>
    </row>
    <row r="7056" spans="1:2" x14ac:dyDescent="0.25">
      <c r="A7056">
        <f ca="1">31201.5323420883*(RANDBETWEEN(2890,3282))</f>
        <v>99938508.091708824</v>
      </c>
      <c r="B7056">
        <v>206132783.86618385</v>
      </c>
    </row>
    <row r="7057" spans="1:2" x14ac:dyDescent="0.25">
      <c r="A7057">
        <f ca="1">34059.8346332969*(RANDBETWEEN(2890,3282))</f>
        <v>98773520.436561093</v>
      </c>
      <c r="B7057">
        <v>219688216.53990418</v>
      </c>
    </row>
    <row r="7058" spans="1:2" x14ac:dyDescent="0.25">
      <c r="A7058">
        <f ca="1">36382.3318015055*(RANDBETWEEN(2890,3282))</f>
        <v>116277932.43761151</v>
      </c>
      <c r="B7058">
        <v>220929338.97351879</v>
      </c>
    </row>
    <row r="7059" spans="1:2" x14ac:dyDescent="0.25">
      <c r="A7059">
        <f ca="1">38754.792638993*(RANDBETWEEN(2890,3282))</f>
        <v>120759933.86310218</v>
      </c>
      <c r="B7059">
        <v>204949078.24702513</v>
      </c>
    </row>
    <row r="7060" spans="1:2" x14ac:dyDescent="0.25">
      <c r="A7060">
        <f ca="1">35991.1320139733*(RANDBETWEEN(2890,3282))</f>
        <v>111572509.24331723</v>
      </c>
      <c r="B7060">
        <v>224667940.66564432</v>
      </c>
    </row>
    <row r="7061" spans="1:2" x14ac:dyDescent="0.25">
      <c r="A7061">
        <f ca="1">33700.1663852583*(RANDBETWEEN(2890,3282))</f>
        <v>97561981.685322732</v>
      </c>
      <c r="B7061">
        <v>256289122.67035511</v>
      </c>
    </row>
    <row r="7062" spans="1:2" x14ac:dyDescent="0.25">
      <c r="A7062">
        <f ca="1">29129.269544853*(RANDBETWEEN(2890,3282))</f>
        <v>93184533.273984775</v>
      </c>
      <c r="B7062">
        <v>257282305.48219827</v>
      </c>
    </row>
    <row r="7063" spans="1:2" x14ac:dyDescent="0.25">
      <c r="A7063">
        <f ca="1">31413.0526038025*(RANDBETWEEN(2890,3282))</f>
        <v>101244268.54205529</v>
      </c>
      <c r="B7063">
        <v>257661047.82582474</v>
      </c>
    </row>
    <row r="7064" spans="1:2" x14ac:dyDescent="0.25">
      <c r="A7064">
        <f ca="1">32596.4828215382*(RANDBETWEEN(2890,3282))</f>
        <v>96909343.42843321</v>
      </c>
      <c r="B7064">
        <v>221400249.14773822</v>
      </c>
    </row>
    <row r="7065" spans="1:2" x14ac:dyDescent="0.25">
      <c r="A7065">
        <f ca="1">33092.7533606009*(RANDBETWEEN(2890,3282))</f>
        <v>96564654.306233436</v>
      </c>
      <c r="B7065">
        <v>224648541.79396963</v>
      </c>
    </row>
    <row r="7066" spans="1:2" x14ac:dyDescent="0.25">
      <c r="A7066">
        <f ca="1">34844.1845618151*(RANDBETWEEN(2890,3282))</f>
        <v>113382976.56414643</v>
      </c>
      <c r="B7066">
        <v>210130709.68494821</v>
      </c>
    </row>
    <row r="7067" spans="1:2" x14ac:dyDescent="0.25">
      <c r="A7067">
        <f ca="1">38822.6047793792*(RANDBETWEEN(2890,3282))</f>
        <v>115497249.21865322</v>
      </c>
      <c r="B7067">
        <v>238102286.18369827</v>
      </c>
    </row>
    <row r="7068" spans="1:2" x14ac:dyDescent="0.25">
      <c r="A7068">
        <f ca="1">33250.1193651472*(RANDBETWEEN(2890,3282))</f>
        <v>106433632.08783634</v>
      </c>
      <c r="B7068">
        <v>210473934.39075339</v>
      </c>
    </row>
    <row r="7069" spans="1:2" x14ac:dyDescent="0.25">
      <c r="A7069">
        <f ca="1">30454.9732354284*(RANDBETWEEN(2890,3282))</f>
        <v>95750435.852186963</v>
      </c>
      <c r="B7069">
        <v>245154896.20567265</v>
      </c>
    </row>
    <row r="7070" spans="1:2" x14ac:dyDescent="0.25">
      <c r="A7070">
        <f ca="1">40593.4882977831*(RANDBETWEEN(2890,3282))</f>
        <v>122795302.10079384</v>
      </c>
      <c r="B7070">
        <v>266185772.03014004</v>
      </c>
    </row>
    <row r="7071" spans="1:2" x14ac:dyDescent="0.25">
      <c r="A7071">
        <f ca="1">37818.9037335781*(RANDBETWEEN(2890,3282))</f>
        <v>112624695.31859548</v>
      </c>
      <c r="B7071">
        <v>264141554.81886551</v>
      </c>
    </row>
    <row r="7072" spans="1:2" x14ac:dyDescent="0.25">
      <c r="A7072">
        <f ca="1">41451.6458392351*(RANDBETWEEN(2890,3282))</f>
        <v>123733162.83011691</v>
      </c>
      <c r="B7072">
        <v>267581163.88434064</v>
      </c>
    </row>
    <row r="7073" spans="1:2" x14ac:dyDescent="0.25">
      <c r="A7073">
        <f ca="1">41001.1188280262*(RANDBETWEEN(2890,3282))</f>
        <v>122675347.53345452</v>
      </c>
      <c r="B7073">
        <v>254764971.71893942</v>
      </c>
    </row>
    <row r="7074" spans="1:2" x14ac:dyDescent="0.25">
      <c r="A7074">
        <f ca="1">32018.1090168187*(RANDBETWEEN(2890,3282))</f>
        <v>104058854.30466078</v>
      </c>
      <c r="B7074">
        <v>237249528.29752341</v>
      </c>
    </row>
    <row r="7075" spans="1:2" x14ac:dyDescent="0.25">
      <c r="A7075">
        <f ca="1">33503.3036938987*(RANDBETWEEN(2890,3282))</f>
        <v>103223678.68090202</v>
      </c>
      <c r="B7075">
        <v>260243578.90668494</v>
      </c>
    </row>
    <row r="7076" spans="1:2" x14ac:dyDescent="0.25">
      <c r="A7076">
        <f ca="1">35165.5114037057*(RANDBETWEEN(2890,3282))</f>
        <v>108098782.05499141</v>
      </c>
      <c r="B7076">
        <v>241153154.48742777</v>
      </c>
    </row>
    <row r="7077" spans="1:2" x14ac:dyDescent="0.25">
      <c r="A7077">
        <f ca="1">27845.6641957151*(RANDBETWEEN(2890,3282))</f>
        <v>86015256.700564027</v>
      </c>
      <c r="B7077">
        <v>235595800.6765894</v>
      </c>
    </row>
    <row r="7078" spans="1:2" x14ac:dyDescent="0.25">
      <c r="A7078">
        <f ca="1">34242.8695609041*(RANDBETWEEN(2890,3282))</f>
        <v>105844709.81275459</v>
      </c>
      <c r="B7078">
        <v>266877162.79107153</v>
      </c>
    </row>
    <row r="7079" spans="1:2" x14ac:dyDescent="0.25">
      <c r="A7079">
        <f ca="1">36783.3872294773*(RANDBETWEEN(2890,3282))</f>
        <v>111380096.53085728</v>
      </c>
      <c r="B7079">
        <v>211994971.05950055</v>
      </c>
    </row>
    <row r="7080" spans="1:2" x14ac:dyDescent="0.25">
      <c r="A7080">
        <f ca="1">28377.4213339687*(RANDBETWEEN(2890,3282))</f>
        <v>91006390.218037739</v>
      </c>
      <c r="B7080">
        <v>249532730.13399065</v>
      </c>
    </row>
    <row r="7081" spans="1:2" x14ac:dyDescent="0.25">
      <c r="A7081">
        <f ca="1">29772.6561089839*(RANDBETWEEN(2890,3282))</f>
        <v>87174337.087104797</v>
      </c>
      <c r="B7081">
        <v>231418047.79866245</v>
      </c>
    </row>
    <row r="7082" spans="1:2" x14ac:dyDescent="0.25">
      <c r="A7082">
        <f ca="1">38503.0346653683*(RANDBETWEEN(2890,3282))</f>
        <v>123787256.44915916</v>
      </c>
      <c r="B7082">
        <v>258537172.09436196</v>
      </c>
    </row>
    <row r="7083" spans="1:2" x14ac:dyDescent="0.25">
      <c r="A7083">
        <f ca="1">35360.3023457194*(RANDBETWEEN(2890,3282))</f>
        <v>111314231.78432463</v>
      </c>
      <c r="B7083">
        <v>254031520.04910192</v>
      </c>
    </row>
    <row r="7084" spans="1:2" x14ac:dyDescent="0.25">
      <c r="A7084">
        <f ca="1">32332.3887760591*(RANDBETWEEN(2890,3282))</f>
        <v>97676146.492474496</v>
      </c>
      <c r="B7084">
        <v>232066031.75265613</v>
      </c>
    </row>
    <row r="7085" spans="1:2" x14ac:dyDescent="0.25">
      <c r="A7085">
        <f ca="1">30581.9201491507*(RANDBETWEEN(2890,3282))</f>
        <v>97219924.154149994</v>
      </c>
      <c r="B7085">
        <v>204030127.41983944</v>
      </c>
    </row>
    <row r="7086" spans="1:2" x14ac:dyDescent="0.25">
      <c r="A7086">
        <f ca="1">36113.9005139103*(RANDBETWEEN(2890,3282))</f>
        <v>115745051.1470824</v>
      </c>
      <c r="B7086">
        <v>245186774.20649353</v>
      </c>
    </row>
    <row r="7087" spans="1:2" x14ac:dyDescent="0.25">
      <c r="A7087">
        <f ca="1">29474.7464107822*(RANDBETWEEN(2890,3282))</f>
        <v>87333673.615147695</v>
      </c>
      <c r="B7087">
        <v>206405659.35395557</v>
      </c>
    </row>
    <row r="7088" spans="1:2" x14ac:dyDescent="0.25">
      <c r="A7088">
        <f ca="1">38786.790454746*(RANDBETWEEN(2890,3282))</f>
        <v>116593092.10696647</v>
      </c>
      <c r="B7088">
        <v>228686189.16955149</v>
      </c>
    </row>
    <row r="7089" spans="1:2" x14ac:dyDescent="0.25">
      <c r="A7089">
        <f ca="1">37824.8829667363*(RANDBETWEEN(2890,3282))</f>
        <v>109767810.36946869</v>
      </c>
      <c r="B7089">
        <v>260040753.08790603</v>
      </c>
    </row>
    <row r="7090" spans="1:2" x14ac:dyDescent="0.25">
      <c r="A7090">
        <f ca="1">29836.0742102751*(RANDBETWEEN(2890,3282))</f>
        <v>97802651.261281729</v>
      </c>
      <c r="B7090">
        <v>245634352.93279311</v>
      </c>
    </row>
    <row r="7091" spans="1:2" x14ac:dyDescent="0.25">
      <c r="A7091">
        <f ca="1">35419.6796305395*(RANDBETWEEN(2890,3282))</f>
        <v>102362874.1322592</v>
      </c>
      <c r="B7091">
        <v>209162185.98171943</v>
      </c>
    </row>
    <row r="7092" spans="1:2" x14ac:dyDescent="0.25">
      <c r="A7092">
        <f ca="1">39221.5245779246*(RANDBETWEEN(2890,3282))</f>
        <v>117115472.38968295</v>
      </c>
      <c r="B7092">
        <v>260286693.87205416</v>
      </c>
    </row>
    <row r="7093" spans="1:2" x14ac:dyDescent="0.25">
      <c r="A7093">
        <f ca="1">30649.5583918455*(RANDBETWEEN(2890,3282))</f>
        <v>94921682.339545473</v>
      </c>
      <c r="B7093">
        <v>222957200.98900941</v>
      </c>
    </row>
    <row r="7094" spans="1:2" x14ac:dyDescent="0.25">
      <c r="A7094">
        <f ca="1">36383.2060288374*(RANDBETWEEN(2890,3282))</f>
        <v>106821092.90066653</v>
      </c>
      <c r="B7094">
        <v>237660359.37209526</v>
      </c>
    </row>
    <row r="7095" spans="1:2" x14ac:dyDescent="0.25">
      <c r="A7095">
        <f ca="1">39988.5626672953*(RANDBETWEEN(2890,3282))</f>
        <v>116046808.86049086</v>
      </c>
      <c r="B7095">
        <v>235349944.52734175</v>
      </c>
    </row>
    <row r="7096" spans="1:2" x14ac:dyDescent="0.25">
      <c r="A7096">
        <f ca="1">39348.5228463396*(RANDBETWEEN(2890,3282))</f>
        <v>116589673.19370429</v>
      </c>
      <c r="B7096">
        <v>210683473.95546797</v>
      </c>
    </row>
    <row r="7097" spans="1:2" x14ac:dyDescent="0.25">
      <c r="A7097">
        <f ca="1">30765.8465402039*(RANDBETWEEN(2890,3282))</f>
        <v>91466861.764026225</v>
      </c>
      <c r="B7097">
        <v>210790927.05817252</v>
      </c>
    </row>
    <row r="7098" spans="1:2" x14ac:dyDescent="0.25">
      <c r="A7098">
        <f ca="1">38471.241852052*(RANDBETWEEN(2890,3282))</f>
        <v>121953836.67100486</v>
      </c>
      <c r="B7098">
        <v>212314405.59663561</v>
      </c>
    </row>
    <row r="7099" spans="1:2" x14ac:dyDescent="0.25">
      <c r="A7099">
        <f ca="1">41531.9077650666*(RANDBETWEEN(2890,3282))</f>
        <v>128998105.51829679</v>
      </c>
      <c r="B7099">
        <v>210621152.56015825</v>
      </c>
    </row>
    <row r="7100" spans="1:2" x14ac:dyDescent="0.25">
      <c r="A7100">
        <f ca="1">40628.0418667776*(RANDBETWEEN(2890,3282))</f>
        <v>130456642.43422319</v>
      </c>
      <c r="B7100">
        <v>258543335.21608162</v>
      </c>
    </row>
    <row r="7101" spans="1:2" x14ac:dyDescent="0.25">
      <c r="A7101">
        <f ca="1">40185.7290335698*(RANDBETWEEN(2890,3282))</f>
        <v>130362504.98490033</v>
      </c>
      <c r="B7101">
        <v>253281474.66846877</v>
      </c>
    </row>
    <row r="7102" spans="1:2" x14ac:dyDescent="0.25">
      <c r="A7102">
        <f ca="1">37469.5611150961*(RANDBETWEEN(2890,3282))</f>
        <v>110984840.02291468</v>
      </c>
      <c r="B7102">
        <v>226790717.29080993</v>
      </c>
    </row>
    <row r="7103" spans="1:2" x14ac:dyDescent="0.25">
      <c r="A7103">
        <f ca="1">39760.2551247184*(RANDBETWEEN(2890,3282))</f>
        <v>122898948.5905045</v>
      </c>
      <c r="B7103">
        <v>212916780.53548151</v>
      </c>
    </row>
    <row r="7104" spans="1:2" x14ac:dyDescent="0.25">
      <c r="A7104">
        <f ca="1">33396.3481415437*(RANDBETWEEN(2890,3282))</f>
        <v>104831136.81630567</v>
      </c>
      <c r="B7104">
        <v>237160340.70388442</v>
      </c>
    </row>
    <row r="7105" spans="1:2" x14ac:dyDescent="0.25">
      <c r="A7105">
        <f ca="1">28377.2962808145*(RANDBETWEEN(2890,3282))</f>
        <v>86834526.619292408</v>
      </c>
      <c r="B7105">
        <v>249049977.52377546</v>
      </c>
    </row>
    <row r="7106" spans="1:2" x14ac:dyDescent="0.25">
      <c r="A7106">
        <f ca="1">31883.8153965877*(RANDBETWEEN(2890,3282))</f>
        <v>102952839.91558163</v>
      </c>
      <c r="B7106">
        <v>204840315.57890087</v>
      </c>
    </row>
    <row r="7107" spans="1:2" x14ac:dyDescent="0.25">
      <c r="A7107">
        <f ca="1">28365.4741633418*(RANDBETWEEN(2890,3282))</f>
        <v>85351711.757495463</v>
      </c>
      <c r="B7107">
        <v>209155840.4610444</v>
      </c>
    </row>
    <row r="7108" spans="1:2" x14ac:dyDescent="0.25">
      <c r="A7108">
        <f ca="1">40184.024064583*(RANDBETWEEN(2890,3282))</f>
        <v>116292565.64290315</v>
      </c>
      <c r="B7108">
        <v>266691574.38546497</v>
      </c>
    </row>
    <row r="7109" spans="1:2" x14ac:dyDescent="0.25">
      <c r="A7109">
        <f ca="1">29340.0273783243*(RANDBETWEEN(2890,3282))</f>
        <v>85086079.397140503</v>
      </c>
      <c r="B7109">
        <v>209345817.2817899</v>
      </c>
    </row>
    <row r="7110" spans="1:2" x14ac:dyDescent="0.25">
      <c r="A7110">
        <f ca="1">30163.0334634972*(RANDBETWEEN(2890,3282))</f>
        <v>95556490.012359247</v>
      </c>
      <c r="B7110">
        <v>250314445.51077676</v>
      </c>
    </row>
    <row r="7111" spans="1:2" x14ac:dyDescent="0.25">
      <c r="A7111">
        <f ca="1">34544.6212446987*(RANDBETWEEN(2890,3282))</f>
        <v>104532023.88645822</v>
      </c>
      <c r="B7111">
        <v>204582902.10762793</v>
      </c>
    </row>
    <row r="7112" spans="1:2" x14ac:dyDescent="0.25">
      <c r="A7112">
        <f ca="1">35061.1496529367*(RANDBETWEEN(2890,3282))</f>
        <v>114825265.11336778</v>
      </c>
      <c r="B7112">
        <v>218863510.16860321</v>
      </c>
    </row>
    <row r="7113" spans="1:2" x14ac:dyDescent="0.25">
      <c r="A7113">
        <f ca="1">31011.897211077*(RANDBETWEEN(2890,3282))</f>
        <v>93966048.549563348</v>
      </c>
      <c r="B7113">
        <v>226472367.77758196</v>
      </c>
    </row>
    <row r="7114" spans="1:2" x14ac:dyDescent="0.25">
      <c r="A7114">
        <f ca="1">32109.899144646*(RANDBETWEEN(2890,3282))</f>
        <v>102462688.17056528</v>
      </c>
      <c r="B7114">
        <v>267634588.19133455</v>
      </c>
    </row>
    <row r="7115" spans="1:2" x14ac:dyDescent="0.25">
      <c r="A7115">
        <f ca="1">31105.5571367116*(RANDBETWEEN(2890,3282))</f>
        <v>94623104.809876561</v>
      </c>
      <c r="B7115">
        <v>241589063.64989567</v>
      </c>
    </row>
    <row r="7116" spans="1:2" x14ac:dyDescent="0.25">
      <c r="A7116">
        <f ca="1">30602.7114018375*(RANDBETWEEN(2890,3282))</f>
        <v>95449856.862331167</v>
      </c>
      <c r="B7116">
        <v>222709790.9010908</v>
      </c>
    </row>
    <row r="7117" spans="1:2" x14ac:dyDescent="0.25">
      <c r="A7117">
        <f ca="1">35137.6973931097*(RANDBETWEEN(2890,3282))</f>
        <v>107099701.6541985</v>
      </c>
      <c r="B7117">
        <v>213120537.72393838</v>
      </c>
    </row>
    <row r="7118" spans="1:2" x14ac:dyDescent="0.25">
      <c r="A7118">
        <f ca="1">39128.2131267276*(RANDBETWEEN(2890,3282))</f>
        <v>114450023.39567822</v>
      </c>
      <c r="B7118">
        <v>215076383.84145319</v>
      </c>
    </row>
    <row r="7119" spans="1:2" x14ac:dyDescent="0.25">
      <c r="A7119">
        <f ca="1">39454.7621715187*(RANDBETWEEN(2890,3282))</f>
        <v>122428127.01822241</v>
      </c>
      <c r="B7119">
        <v>204667403.03310609</v>
      </c>
    </row>
    <row r="7120" spans="1:2" x14ac:dyDescent="0.25">
      <c r="A7120">
        <f ca="1">32183.2389315741*(RANDBETWEEN(2890,3282))</f>
        <v>105110458.35052085</v>
      </c>
      <c r="B7120">
        <v>219292182.38098511</v>
      </c>
    </row>
    <row r="7121" spans="1:2" x14ac:dyDescent="0.25">
      <c r="A7121">
        <f ca="1">32138.9467674574*(RANDBETWEEN(2890,3282))</f>
        <v>97766676.066605508</v>
      </c>
      <c r="B7121">
        <v>221272296.69378507</v>
      </c>
    </row>
    <row r="7122" spans="1:2" x14ac:dyDescent="0.25">
      <c r="A7122">
        <f ca="1">32080.7888099489*(RANDBETWEEN(2890,3282))</f>
        <v>102594362.61421645</v>
      </c>
      <c r="B7122">
        <v>214304054.77317595</v>
      </c>
    </row>
    <row r="7123" spans="1:2" x14ac:dyDescent="0.25">
      <c r="A7123">
        <f ca="1">31327.4146395233*(RANDBETWEEN(2890,3282))</f>
        <v>101594805.6759741</v>
      </c>
      <c r="B7123">
        <v>261656094.78989181</v>
      </c>
    </row>
    <row r="7124" spans="1:2" x14ac:dyDescent="0.25">
      <c r="A7124">
        <f ca="1">39257.0714568354*(RANDBETWEEN(2890,3282))</f>
        <v>127506968.09180151</v>
      </c>
      <c r="B7124">
        <v>259710445.32888806</v>
      </c>
    </row>
    <row r="7125" spans="1:2" x14ac:dyDescent="0.25">
      <c r="A7125">
        <f ca="1">37284.051571512*(RANDBETWEEN(2890,3282))</f>
        <v>109615111.62024528</v>
      </c>
      <c r="B7125">
        <v>255276489.42778772</v>
      </c>
    </row>
    <row r="7126" spans="1:2" x14ac:dyDescent="0.25">
      <c r="A7126">
        <f ca="1">43114.6248714762*(RANDBETWEEN(2890,3282))</f>
        <v>133396649.35234745</v>
      </c>
      <c r="B7126">
        <v>219620998.03750625</v>
      </c>
    </row>
    <row r="7127" spans="1:2" x14ac:dyDescent="0.25">
      <c r="A7127">
        <f ca="1">40325.8620902497*(RANDBETWEEN(2890,3282))</f>
        <v>118517708.68324399</v>
      </c>
      <c r="B7127">
        <v>218832481.40313476</v>
      </c>
    </row>
    <row r="7128" spans="1:2" x14ac:dyDescent="0.25">
      <c r="A7128">
        <f ca="1">30717.0460443947*(RANDBETWEEN(2890,3282))</f>
        <v>94393482.494424894</v>
      </c>
      <c r="B7128">
        <v>267203541.49917102</v>
      </c>
    </row>
    <row r="7129" spans="1:2" x14ac:dyDescent="0.25">
      <c r="A7129">
        <f ca="1">40706.8189097127*(RANDBETWEEN(2890,3282))</f>
        <v>127045981.81721319</v>
      </c>
      <c r="B7129">
        <v>261896238.29649645</v>
      </c>
    </row>
    <row r="7130" spans="1:2" x14ac:dyDescent="0.25">
      <c r="A7130">
        <f ca="1">31006.5553030307*(RANDBETWEEN(2890,3282))</f>
        <v>90570148.040152773</v>
      </c>
      <c r="B7130">
        <v>212371760.00686091</v>
      </c>
    </row>
    <row r="7131" spans="1:2" x14ac:dyDescent="0.25">
      <c r="A7131">
        <f ca="1">36057.8675422935*(RANDBETWEEN(2890,3282))</f>
        <v>108245718.36196516</v>
      </c>
      <c r="B7131">
        <v>216135732.95239997</v>
      </c>
    </row>
    <row r="7132" spans="1:2" x14ac:dyDescent="0.25">
      <c r="A7132">
        <f ca="1">28830.3528133049*(RANDBETWEEN(2890,3282))</f>
        <v>91161575.595670104</v>
      </c>
      <c r="B7132">
        <v>244027570.19017264</v>
      </c>
    </row>
    <row r="7133" spans="1:2" x14ac:dyDescent="0.25">
      <c r="A7133">
        <f ca="1">30403.4560096881*(RANDBETWEEN(2890,3282))</f>
        <v>88656477.724250525</v>
      </c>
      <c r="B7133">
        <v>214527048.34699655</v>
      </c>
    </row>
    <row r="7134" spans="1:2" x14ac:dyDescent="0.25">
      <c r="A7134">
        <f ca="1">35047.5292165453*(RANDBETWEEN(2890,3282))</f>
        <v>101883167.43249725</v>
      </c>
      <c r="B7134">
        <v>259617560.15268749</v>
      </c>
    </row>
    <row r="7135" spans="1:2" x14ac:dyDescent="0.25">
      <c r="A7135">
        <f ca="1">30826.0523047288*(RANDBETWEEN(2890,3282))</f>
        <v>92663113.228014812</v>
      </c>
      <c r="B7135">
        <v>243431174.6963082</v>
      </c>
    </row>
    <row r="7136" spans="1:2" x14ac:dyDescent="0.25">
      <c r="A7136">
        <f ca="1">32998.0300349854*(RANDBETWEEN(2890,3282))</f>
        <v>101864918.71799989</v>
      </c>
      <c r="B7136">
        <v>243094289.13816538</v>
      </c>
    </row>
    <row r="7137" spans="1:2" x14ac:dyDescent="0.25">
      <c r="A7137">
        <f ca="1">34867.2934015086*(RANDBETWEEN(2890,3282))</f>
        <v>104288074.56391218</v>
      </c>
      <c r="B7137">
        <v>208797229.41037786</v>
      </c>
    </row>
    <row r="7138" spans="1:2" x14ac:dyDescent="0.25">
      <c r="A7138">
        <f ca="1">30373.767632273*(RANDBETWEEN(2890,3282))</f>
        <v>95312882.83007279</v>
      </c>
      <c r="B7138">
        <v>240004206.68548575</v>
      </c>
    </row>
    <row r="7139" spans="1:2" x14ac:dyDescent="0.25">
      <c r="A7139">
        <f ca="1">32462.9009327692*(RANDBETWEEN(2890,3282))</f>
        <v>95960335.157265633</v>
      </c>
      <c r="B7139">
        <v>221814690.48648706</v>
      </c>
    </row>
    <row r="7140" spans="1:2" x14ac:dyDescent="0.25">
      <c r="A7140">
        <f ca="1">35240.8143944841*(RANDBETWEEN(2890,3282))</f>
        <v>102797455.58871019</v>
      </c>
      <c r="B7140">
        <v>227957128.81151181</v>
      </c>
    </row>
    <row r="7141" spans="1:2" x14ac:dyDescent="0.25">
      <c r="A7141">
        <f ca="1">34239.4294654848*(RANDBETWEEN(2890,3282))</f>
        <v>107648766.23948407</v>
      </c>
      <c r="B7141">
        <v>210312534.01102811</v>
      </c>
    </row>
    <row r="7142" spans="1:2" x14ac:dyDescent="0.25">
      <c r="A7142">
        <f ca="1">32849.4178128022*(RANDBETWEEN(2890,3282))</f>
        <v>107286198.57661192</v>
      </c>
      <c r="B7142">
        <v>266490829.68428019</v>
      </c>
    </row>
    <row r="7143" spans="1:2" x14ac:dyDescent="0.25">
      <c r="A7143">
        <f ca="1">30550.3185229223*(RANDBETWEEN(2890,3282))</f>
        <v>88809775.946135223</v>
      </c>
      <c r="B7143">
        <v>217089100.38991976</v>
      </c>
    </row>
    <row r="7144" spans="1:2" x14ac:dyDescent="0.25">
      <c r="A7144">
        <f ca="1">39883.3955600874*(RANDBETWEEN(2890,3282))</f>
        <v>129940102.73476478</v>
      </c>
      <c r="B7144">
        <v>258095571.61857426</v>
      </c>
    </row>
    <row r="7145" spans="1:2" x14ac:dyDescent="0.25">
      <c r="A7145">
        <f ca="1">33758.5012289487*(RANDBETWEEN(2890,3282))</f>
        <v>97764619.55903548</v>
      </c>
      <c r="B7145">
        <v>255493602.87627953</v>
      </c>
    </row>
    <row r="7146" spans="1:2" x14ac:dyDescent="0.25">
      <c r="A7146">
        <f ca="1">38080.2661239221*(RANDBETWEEN(2890,3282))</f>
        <v>119724356.69361094</v>
      </c>
      <c r="B7146">
        <v>232264818.74375185</v>
      </c>
    </row>
    <row r="7147" spans="1:2" x14ac:dyDescent="0.25">
      <c r="A7147">
        <f ca="1">32440.2601915625*(RANDBETWEEN(2890,3282))</f>
        <v>96801736.411622629</v>
      </c>
      <c r="B7147">
        <v>223677941.3574886</v>
      </c>
    </row>
    <row r="7148" spans="1:2" x14ac:dyDescent="0.25">
      <c r="A7148">
        <f ca="1">32387.177535369*(RANDBETWEEN(2890,3282))</f>
        <v>98521794.062592387</v>
      </c>
      <c r="B7148">
        <v>232827422.34930718</v>
      </c>
    </row>
    <row r="7149" spans="1:2" x14ac:dyDescent="0.25">
      <c r="A7149">
        <f ca="1">37039.6062965018*(RANDBETWEEN(2890,3282))</f>
        <v>110526185.18876138</v>
      </c>
      <c r="B7149">
        <v>250369940.70214918</v>
      </c>
    </row>
    <row r="7150" spans="1:2" x14ac:dyDescent="0.25">
      <c r="A7150">
        <f ca="1">31276.1404668876*(RANDBETWEEN(2890,3282))</f>
        <v>93109070.169924453</v>
      </c>
      <c r="B7150">
        <v>208837268.44950867</v>
      </c>
    </row>
    <row r="7151" spans="1:2" x14ac:dyDescent="0.25">
      <c r="A7151">
        <f ca="1">33027.2953612609*(RANDBETWEEN(2890,3282))</f>
        <v>103870843.91116552</v>
      </c>
      <c r="B7151">
        <v>267020565.36326537</v>
      </c>
    </row>
    <row r="7152" spans="1:2" x14ac:dyDescent="0.25">
      <c r="A7152">
        <f ca="1">27732.8497144939*(RANDBETWEEN(2890,3282))</f>
        <v>80175668.524601892</v>
      </c>
      <c r="B7152">
        <v>232272216.4167555</v>
      </c>
    </row>
    <row r="7153" spans="1:2" x14ac:dyDescent="0.25">
      <c r="A7153">
        <f ca="1">32606.3383743957*(RANDBETWEEN(2890,3282))</f>
        <v>95438752.421856076</v>
      </c>
      <c r="B7153">
        <v>265423078.175264</v>
      </c>
    </row>
    <row r="7154" spans="1:2" x14ac:dyDescent="0.25">
      <c r="A7154">
        <f ca="1">32662.3330125479*(RANDBETWEEN(2890,3282))</f>
        <v>103539595.64977673</v>
      </c>
      <c r="B7154">
        <v>206453828.88375717</v>
      </c>
    </row>
    <row r="7155" spans="1:2" x14ac:dyDescent="0.25">
      <c r="A7155">
        <f ca="1">38680.0462993391*(RANDBETWEEN(2890,3282))</f>
        <v>112520254.68477736</v>
      </c>
      <c r="B7155">
        <v>242068918.90952626</v>
      </c>
    </row>
    <row r="7156" spans="1:2" x14ac:dyDescent="0.25">
      <c r="A7156">
        <f ca="1">32633.790015054*(RANDBETWEEN(2890,3282))</f>
        <v>98195074.155297399</v>
      </c>
      <c r="B7156">
        <v>223096214.26112679</v>
      </c>
    </row>
    <row r="7157" spans="1:2" x14ac:dyDescent="0.25">
      <c r="A7157">
        <f ca="1">32528.839931176*(RANDBETWEEN(2890,3282))</f>
        <v>101294807.54568197</v>
      </c>
      <c r="B7157">
        <v>253505828.07649389</v>
      </c>
    </row>
    <row r="7158" spans="1:2" x14ac:dyDescent="0.25">
      <c r="A7158">
        <f ca="1">38524.5788732302*(RANDBETWEEN(2890,3282))</f>
        <v>115997506.98729599</v>
      </c>
      <c r="B7158">
        <v>243474629.33315787</v>
      </c>
    </row>
    <row r="7159" spans="1:2" x14ac:dyDescent="0.25">
      <c r="A7159">
        <f ca="1">34853.8199969638*(RANDBETWEEN(2890,3282))</f>
        <v>107210350.31066054</v>
      </c>
      <c r="B7159">
        <v>267068034.78495547</v>
      </c>
    </row>
    <row r="7160" spans="1:2" x14ac:dyDescent="0.25">
      <c r="A7160">
        <f ca="1">33571.0358355815*(RANDBETWEEN(2890,3282))</f>
        <v>98497419.141596243</v>
      </c>
      <c r="B7160">
        <v>243104305.01215148</v>
      </c>
    </row>
    <row r="7161" spans="1:2" x14ac:dyDescent="0.25">
      <c r="A7161">
        <f ca="1">32845.7681128437*(RANDBETWEEN(2890,3282))</f>
        <v>94989961.382343844</v>
      </c>
      <c r="B7161">
        <v>213927373.35293272</v>
      </c>
    </row>
    <row r="7162" spans="1:2" x14ac:dyDescent="0.25">
      <c r="A7162">
        <f ca="1">31600.9196556722*(RANDBETWEEN(2890,3282))</f>
        <v>95023965.404606372</v>
      </c>
      <c r="B7162">
        <v>226624271.65754288</v>
      </c>
    </row>
    <row r="7163" spans="1:2" x14ac:dyDescent="0.25">
      <c r="A7163">
        <f ca="1">39520.9242636344*(RANDBETWEEN(2890,3282))</f>
        <v>125755581.00688463</v>
      </c>
      <c r="B7163">
        <v>232929036.67720574</v>
      </c>
    </row>
    <row r="7164" spans="1:2" x14ac:dyDescent="0.25">
      <c r="A7164">
        <f ca="1">28255.5422926991*(RANDBETWEEN(2890,3282))</f>
        <v>83353849.763462365</v>
      </c>
      <c r="B7164">
        <v>203978133.48792392</v>
      </c>
    </row>
    <row r="7165" spans="1:2" x14ac:dyDescent="0.25">
      <c r="A7165">
        <f ca="1">29783.9380670623*(RANDBETWEEN(2890,3282))</f>
        <v>88696567.563711524</v>
      </c>
      <c r="B7165">
        <v>267319053.76936597</v>
      </c>
    </row>
    <row r="7166" spans="1:2" x14ac:dyDescent="0.25">
      <c r="A7166">
        <f ca="1">39739.5294634685*(RANDBETWEEN(2890,3282))</f>
        <v>130146958.99285962</v>
      </c>
      <c r="B7166">
        <v>250693372.72919387</v>
      </c>
    </row>
    <row r="7167" spans="1:2" x14ac:dyDescent="0.25">
      <c r="A7167">
        <f ca="1">36215.0376217004*(RANDBETWEEN(2890,3282))</f>
        <v>114149798.58359969</v>
      </c>
      <c r="B7167">
        <v>247813114.09998301</v>
      </c>
    </row>
    <row r="7168" spans="1:2" x14ac:dyDescent="0.25">
      <c r="A7168">
        <f ca="1">33109.7190145482*(RANDBETWEEN(2890,3282))</f>
        <v>103070555.29228862</v>
      </c>
      <c r="B7168">
        <v>205011728.32401234</v>
      </c>
    </row>
    <row r="7169" spans="1:2" x14ac:dyDescent="0.25">
      <c r="A7169">
        <f ca="1">34714.9045327749*(RANDBETWEEN(2890,3282))</f>
        <v>112059711.83179747</v>
      </c>
      <c r="B7169">
        <v>221700216.41122127</v>
      </c>
    </row>
    <row r="7170" spans="1:2" x14ac:dyDescent="0.25">
      <c r="A7170">
        <f ca="1">37801.143121466*(RANDBETWEEN(2890,3282))</f>
        <v>111777980.21017487</v>
      </c>
      <c r="B7170">
        <v>211563061.88614416</v>
      </c>
    </row>
    <row r="7171" spans="1:2" x14ac:dyDescent="0.25">
      <c r="A7171">
        <f ca="1">31648.3914610055*(RANDBETWEEN(2890,3282))</f>
        <v>93679238.724576309</v>
      </c>
      <c r="B7171">
        <v>259819455.95252115</v>
      </c>
    </row>
    <row r="7172" spans="1:2" x14ac:dyDescent="0.25">
      <c r="A7172">
        <f ca="1">30054.6803181037*(RANDBETWEEN(2890,3282))</f>
        <v>96986453.386520535</v>
      </c>
      <c r="B7172">
        <v>257905828.13310626</v>
      </c>
    </row>
    <row r="7173" spans="1:2" x14ac:dyDescent="0.25">
      <c r="A7173">
        <f ca="1">38323.6776587091*(RANDBETWEEN(2890,3282))</f>
        <v>113169820.12616785</v>
      </c>
      <c r="B7173">
        <v>233784628.83691111</v>
      </c>
    </row>
    <row r="7174" spans="1:2" x14ac:dyDescent="0.25">
      <c r="A7174">
        <f ca="1">30667.9538953811*(RANDBETWEEN(2890,3282))</f>
        <v>94119950.504924551</v>
      </c>
      <c r="B7174">
        <v>234538703.4397704</v>
      </c>
    </row>
    <row r="7175" spans="1:2" x14ac:dyDescent="0.25">
      <c r="A7175">
        <f ca="1">31186.3169238198*(RANDBETWEEN(2890,3282))</f>
        <v>99640282.571604356</v>
      </c>
      <c r="B7175">
        <v>207505185.95623395</v>
      </c>
    </row>
    <row r="7176" spans="1:2" x14ac:dyDescent="0.25">
      <c r="A7176">
        <f ca="1">33157.3231300729*(RANDBETWEEN(2890,3282))</f>
        <v>96918855.509202972</v>
      </c>
      <c r="B7176">
        <v>218929533.20841432</v>
      </c>
    </row>
    <row r="7177" spans="1:2" x14ac:dyDescent="0.25">
      <c r="A7177">
        <f ca="1">29627.4938862912*(RANDBETWEEN(2890,3282))</f>
        <v>90719386.279823527</v>
      </c>
      <c r="B7177">
        <v>225447970.32435933</v>
      </c>
    </row>
    <row r="7178" spans="1:2" x14ac:dyDescent="0.25">
      <c r="A7178">
        <f ca="1">29140.391542389*(RANDBETWEEN(2890,3282))</f>
        <v>91180285.136135295</v>
      </c>
      <c r="B7178">
        <v>260730395.10427979</v>
      </c>
    </row>
    <row r="7179" spans="1:2" x14ac:dyDescent="0.25">
      <c r="A7179">
        <f ca="1">30827.8419873684*(RANDBETWEEN(2890,3282))</f>
        <v>97261841.470147341</v>
      </c>
      <c r="B7179">
        <v>260324627.2828446</v>
      </c>
    </row>
    <row r="7180" spans="1:2" x14ac:dyDescent="0.25">
      <c r="A7180">
        <f ca="1">36518.2378814928*(RANDBETWEEN(2890,3282))</f>
        <v>113681274.52508712</v>
      </c>
      <c r="B7180">
        <v>227157106.98445582</v>
      </c>
    </row>
    <row r="7181" spans="1:2" x14ac:dyDescent="0.25">
      <c r="A7181">
        <f ca="1">40291.6836207958*(RANDBETWEEN(2890,3282))</f>
        <v>119787175.40462582</v>
      </c>
      <c r="B7181">
        <v>219330252.93090311</v>
      </c>
    </row>
    <row r="7182" spans="1:2" x14ac:dyDescent="0.25">
      <c r="A7182">
        <f ca="1">39025.3765666854*(RANDBETWEEN(2890,3282))</f>
        <v>115593165.3905222</v>
      </c>
      <c r="B7182">
        <v>250998065.71128634</v>
      </c>
    </row>
    <row r="7183" spans="1:2" x14ac:dyDescent="0.25">
      <c r="A7183">
        <f ca="1">31620.9275143917*(RANDBETWEEN(2890,3282))</f>
        <v>98910261.265017122</v>
      </c>
      <c r="B7183">
        <v>249411619.50119257</v>
      </c>
    </row>
    <row r="7184" spans="1:2" x14ac:dyDescent="0.25">
      <c r="A7184">
        <f ca="1">38658.5886059089*(RANDBETWEEN(2890,3282))</f>
        <v>120576137.86182995</v>
      </c>
      <c r="B7184">
        <v>215645778.64368725</v>
      </c>
    </row>
    <row r="7185" spans="1:2" x14ac:dyDescent="0.25">
      <c r="A7185">
        <f ca="1">34268.3149859969*(RANDBETWEEN(2890,3282))</f>
        <v>110446779.1998681</v>
      </c>
      <c r="B7185">
        <v>219805498.24678814</v>
      </c>
    </row>
    <row r="7186" spans="1:2" x14ac:dyDescent="0.25">
      <c r="A7186">
        <f ca="1">30663.3980566155*(RANDBETWEEN(2890,3282))</f>
        <v>100238648.24707623</v>
      </c>
      <c r="B7186">
        <v>252866258.05621755</v>
      </c>
    </row>
    <row r="7187" spans="1:2" x14ac:dyDescent="0.25">
      <c r="A7187">
        <f ca="1">32194.2250302303*(RANDBETWEEN(2890,3282))</f>
        <v>93298864.137607455</v>
      </c>
      <c r="B7187">
        <v>263330621.58322844</v>
      </c>
    </row>
    <row r="7188" spans="1:2" x14ac:dyDescent="0.25">
      <c r="A7188">
        <f ca="1">36418.8775887827*(RANDBETWEEN(2890,3282))</f>
        <v>113808992.46494596</v>
      </c>
      <c r="B7188">
        <v>249785907.9022997</v>
      </c>
    </row>
    <row r="7189" spans="1:2" x14ac:dyDescent="0.25">
      <c r="A7189">
        <f ca="1">31828.2521146217*(RANDBETWEEN(2890,3282))</f>
        <v>103059880.34714492</v>
      </c>
      <c r="B7189">
        <v>243780097.66956666</v>
      </c>
    </row>
    <row r="7190" spans="1:2" x14ac:dyDescent="0.25">
      <c r="A7190">
        <f ca="1">41384.7395779883*(RANDBETWEEN(2890,3282))</f>
        <v>122581598.6300014</v>
      </c>
      <c r="B7190">
        <v>208976479.96312457</v>
      </c>
    </row>
    <row r="7191" spans="1:2" x14ac:dyDescent="0.25">
      <c r="A7191">
        <f ca="1">35558.2577377574*(RANDBETWEEN(2890,3282))</f>
        <v>102763364.86211888</v>
      </c>
      <c r="B7191">
        <v>242034506.92994526</v>
      </c>
    </row>
    <row r="7192" spans="1:2" x14ac:dyDescent="0.25">
      <c r="A7192">
        <f ca="1">31458.7516725699*(RANDBETWEEN(2890,3282))</f>
        <v>101171345.37898491</v>
      </c>
      <c r="B7192">
        <v>219149888.1373539</v>
      </c>
    </row>
    <row r="7193" spans="1:2" x14ac:dyDescent="0.25">
      <c r="A7193">
        <f ca="1">35742.6525797452*(RANDBETWEEN(2890,3282))</f>
        <v>110587767.0817316</v>
      </c>
      <c r="B7193">
        <v>224700774.34696928</v>
      </c>
    </row>
    <row r="7194" spans="1:2" x14ac:dyDescent="0.25">
      <c r="A7194">
        <f ca="1">29458.1535394536*(RANDBETWEEN(2890,3282))</f>
        <v>86047266.488743961</v>
      </c>
      <c r="B7194">
        <v>224387539.56151322</v>
      </c>
    </row>
    <row r="7195" spans="1:2" x14ac:dyDescent="0.25">
      <c r="A7195">
        <f ca="1">38516.3939232484*(RANDBETWEEN(2890,3282))</f>
        <v>122597681.85769951</v>
      </c>
      <c r="B7195">
        <v>255846828.50604847</v>
      </c>
    </row>
    <row r="7196" spans="1:2" x14ac:dyDescent="0.25">
      <c r="A7196">
        <f ca="1">30783.2728177406*(RANDBETWEEN(2890,3282))</f>
        <v>90687521.721063942</v>
      </c>
      <c r="B7196">
        <v>210501407.51371288</v>
      </c>
    </row>
    <row r="7197" spans="1:2" x14ac:dyDescent="0.25">
      <c r="A7197">
        <f ca="1">30380.9972876115*(RANDBETWEEN(2890,3282))</f>
        <v>93451947.656693041</v>
      </c>
      <c r="B7197">
        <v>238622883.61885399</v>
      </c>
    </row>
    <row r="7198" spans="1:2" x14ac:dyDescent="0.25">
      <c r="A7198">
        <f ca="1">32088.9238858244*(RANDBETWEEN(2890,3282))</f>
        <v>100662954.2298312</v>
      </c>
      <c r="B7198">
        <v>251092938.19927961</v>
      </c>
    </row>
    <row r="7199" spans="1:2" x14ac:dyDescent="0.25">
      <c r="A7199">
        <f ca="1">30836.7705190408*(RANDBETWEEN(2890,3282))</f>
        <v>98276787.64418295</v>
      </c>
      <c r="B7199">
        <v>213261450.93081111</v>
      </c>
    </row>
    <row r="7200" spans="1:2" x14ac:dyDescent="0.25">
      <c r="A7200">
        <f ca="1">33201.8166216819*(RANDBETWEEN(2890,3282))</f>
        <v>98576193.549773544</v>
      </c>
      <c r="B7200">
        <v>220109733.19078058</v>
      </c>
    </row>
    <row r="7201" spans="1:2" x14ac:dyDescent="0.25">
      <c r="A7201">
        <f ca="1">32904.3085585006*(RANDBETWEEN(2890,3282))</f>
        <v>105589926.16422835</v>
      </c>
      <c r="B7201">
        <v>233730388.5042415</v>
      </c>
    </row>
    <row r="7202" spans="1:2" x14ac:dyDescent="0.25">
      <c r="A7202">
        <f ca="1">28814.6407537518*(RANDBETWEEN(2890,3282))</f>
        <v>87106658.998591736</v>
      </c>
      <c r="B7202">
        <v>207784016.21204859</v>
      </c>
    </row>
    <row r="7203" spans="1:2" x14ac:dyDescent="0.25">
      <c r="A7203">
        <f ca="1">31922.3043581402*(RANDBETWEEN(2890,3282))</f>
        <v>102885586.94628592</v>
      </c>
      <c r="B7203">
        <v>245864275.38739827</v>
      </c>
    </row>
    <row r="7204" spans="1:2" x14ac:dyDescent="0.25">
      <c r="A7204">
        <f ca="1">40474.8507615846*(RANDBETWEEN(2890,3282))</f>
        <v>122476898.4045549</v>
      </c>
      <c r="B7204">
        <v>218363842.95448741</v>
      </c>
    </row>
    <row r="7205" spans="1:2" x14ac:dyDescent="0.25">
      <c r="A7205">
        <f ca="1">39247.9176272655*(RANDBETWEEN(2890,3282))</f>
        <v>124141163.45504092</v>
      </c>
      <c r="B7205">
        <v>240175023.81410521</v>
      </c>
    </row>
    <row r="7206" spans="1:2" x14ac:dyDescent="0.25">
      <c r="A7206">
        <f ca="1">40428.3887822428*(RANDBETWEEN(2890,3282))</f>
        <v>129370844.10317692</v>
      </c>
      <c r="B7206">
        <v>264470503.15341121</v>
      </c>
    </row>
    <row r="7207" spans="1:2" x14ac:dyDescent="0.25">
      <c r="A7207">
        <f ca="1">32286.4687884776*(RANDBETWEEN(2890,3282))</f>
        <v>100636923.21368469</v>
      </c>
      <c r="B7207">
        <v>236978413.35915056</v>
      </c>
    </row>
    <row r="7208" spans="1:2" x14ac:dyDescent="0.25">
      <c r="A7208">
        <f ca="1">32554.8043398975*(RANDBETWEEN(2890,3282))</f>
        <v>106291436.16976541</v>
      </c>
      <c r="B7208">
        <v>236300526.28404593</v>
      </c>
    </row>
    <row r="7209" spans="1:2" x14ac:dyDescent="0.25">
      <c r="A7209">
        <f ca="1">36975.9632261879*(RANDBETWEEN(2890,3282))</f>
        <v>118692841.95606321</v>
      </c>
      <c r="B7209">
        <v>233016688.06167805</v>
      </c>
    </row>
    <row r="7210" spans="1:2" x14ac:dyDescent="0.25">
      <c r="A7210">
        <f ca="1">39542.1129649172*(RANDBETWEEN(2890,3282))</f>
        <v>117044654.37615493</v>
      </c>
      <c r="B7210">
        <v>263865541.35066038</v>
      </c>
    </row>
    <row r="7211" spans="1:2" x14ac:dyDescent="0.25">
      <c r="A7211">
        <f ca="1">33180.2709267074*(RANDBETWEEN(2890,3282))</f>
        <v>96985931.918765694</v>
      </c>
      <c r="B7211">
        <v>217318181.46326721</v>
      </c>
    </row>
    <row r="7212" spans="1:2" x14ac:dyDescent="0.25">
      <c r="A7212">
        <f ca="1">36100.4050334982*(RANDBETWEEN(2890,3282))</f>
        <v>109925733.32700191</v>
      </c>
      <c r="B7212">
        <v>265046032.83471656</v>
      </c>
    </row>
    <row r="7213" spans="1:2" x14ac:dyDescent="0.25">
      <c r="A7213">
        <f ca="1">29893.5600753676*(RANDBETWEEN(2890,3282))</f>
        <v>90876422.629117489</v>
      </c>
      <c r="B7213">
        <v>226031081.69979343</v>
      </c>
    </row>
    <row r="7214" spans="1:2" x14ac:dyDescent="0.25">
      <c r="A7214">
        <f ca="1">37305.6176827009*(RANDBETWEEN(2890,3282))</f>
        <v>109305459.81031387</v>
      </c>
      <c r="B7214">
        <v>207219208.86486781</v>
      </c>
    </row>
    <row r="7215" spans="1:2" x14ac:dyDescent="0.25">
      <c r="A7215">
        <f ca="1">38092.4376358797*(RANDBETWEEN(2890,3282))</f>
        <v>117096153.29269427</v>
      </c>
      <c r="B7215">
        <v>210017162.4436276</v>
      </c>
    </row>
    <row r="7216" spans="1:2" x14ac:dyDescent="0.25">
      <c r="A7216">
        <f ca="1">35200.3989654406*(RANDBETWEEN(2890,3282))</f>
        <v>114647699.43043999</v>
      </c>
      <c r="B7216">
        <v>226818665.43981564</v>
      </c>
    </row>
    <row r="7217" spans="1:2" x14ac:dyDescent="0.25">
      <c r="A7217">
        <f ca="1">36812.46490925*(RANDBETWEEN(2890,3282))</f>
        <v>107308335.21046363</v>
      </c>
      <c r="B7217">
        <v>241665045.23618951</v>
      </c>
    </row>
    <row r="7218" spans="1:2" x14ac:dyDescent="0.25">
      <c r="A7218">
        <f ca="1">38025.1631357477*(RANDBETWEEN(2890,3282))</f>
        <v>112098180.92418422</v>
      </c>
      <c r="B7218">
        <v>219743308.89677083</v>
      </c>
    </row>
    <row r="7219" spans="1:2" x14ac:dyDescent="0.25">
      <c r="A7219">
        <f ca="1">31634.1484476898*(RANDBETWEEN(2890,3282))</f>
        <v>93478908.662923321</v>
      </c>
      <c r="B7219">
        <v>247333307.07874918</v>
      </c>
    </row>
    <row r="7220" spans="1:2" x14ac:dyDescent="0.25">
      <c r="A7220">
        <f ca="1">37575.9905271408*(RANDBETWEEN(2890,3282))</f>
        <v>117725578.3215321</v>
      </c>
      <c r="B7220">
        <v>211580571.37511519</v>
      </c>
    </row>
    <row r="7221" spans="1:2" x14ac:dyDescent="0.25">
      <c r="A7221">
        <f ca="1">32504.8249510076*(RANDBETWEEN(2890,3282))</f>
        <v>102162664.82101692</v>
      </c>
      <c r="B7221">
        <v>238331931.68967962</v>
      </c>
    </row>
    <row r="7222" spans="1:2" x14ac:dyDescent="0.25">
      <c r="A7222">
        <f ca="1">32401.7116803286*(RANDBETWEEN(2890,3282))</f>
        <v>102486614.04487926</v>
      </c>
      <c r="B7222">
        <v>259729486.41284537</v>
      </c>
    </row>
    <row r="7223" spans="1:2" x14ac:dyDescent="0.25">
      <c r="A7223">
        <f ca="1">37662.9594027664*(RANDBETWEEN(2890,3282))</f>
        <v>111896652.38561906</v>
      </c>
      <c r="B7223">
        <v>244465453.22206822</v>
      </c>
    </row>
    <row r="7224" spans="1:2" x14ac:dyDescent="0.25">
      <c r="A7224">
        <f ca="1">35956.3556996545*(RANDBETWEEN(2890,3282))</f>
        <v>104812776.86449291</v>
      </c>
      <c r="B7224">
        <v>245766336.55517828</v>
      </c>
    </row>
    <row r="7225" spans="1:2" x14ac:dyDescent="0.25">
      <c r="A7225">
        <f ca="1">29751.3278832492*(RANDBETWEEN(2890,3282))</f>
        <v>87439152.6488695</v>
      </c>
      <c r="B7225">
        <v>223924926.67637271</v>
      </c>
    </row>
    <row r="7226" spans="1:2" x14ac:dyDescent="0.25">
      <c r="A7226">
        <f ca="1">40063.9601203753*(RANDBETWEEN(2890,3282))</f>
        <v>125480323.09701543</v>
      </c>
      <c r="B7226">
        <v>221882839.68972567</v>
      </c>
    </row>
    <row r="7227" spans="1:2" x14ac:dyDescent="0.25">
      <c r="A7227">
        <f ca="1">30842.6997526101*(RANDBETWEEN(2890,3282))</f>
        <v>92312200.359562024</v>
      </c>
      <c r="B7227">
        <v>215825542.7539202</v>
      </c>
    </row>
    <row r="7228" spans="1:2" x14ac:dyDescent="0.25">
      <c r="A7228">
        <f ca="1">32116.2482237082*(RANDBETWEEN(2890,3282))</f>
        <v>99560369.493495315</v>
      </c>
      <c r="B7228">
        <v>234986858.50922611</v>
      </c>
    </row>
    <row r="7229" spans="1:2" x14ac:dyDescent="0.25">
      <c r="A7229">
        <f ca="1">37626.3862420308*(RANDBETWEEN(2890,3282))</f>
        <v>110471070.00660236</v>
      </c>
      <c r="B7229">
        <v>209534642.0531393</v>
      </c>
    </row>
    <row r="7230" spans="1:2" x14ac:dyDescent="0.25">
      <c r="A7230">
        <f ca="1">32120.7720787538*(RANDBETWEEN(2890,3282))</f>
        <v>92893272.851755932</v>
      </c>
      <c r="B7230">
        <v>231408509.90517411</v>
      </c>
    </row>
    <row r="7231" spans="1:2" x14ac:dyDescent="0.25">
      <c r="A7231">
        <f ca="1">33326.9127178784*(RANDBETWEEN(2890,3282))</f>
        <v>99347526.811995521</v>
      </c>
      <c r="B7231">
        <v>228816688.01595724</v>
      </c>
    </row>
    <row r="7232" spans="1:2" x14ac:dyDescent="0.25">
      <c r="A7232">
        <f ca="1">30858.0424202687*(RANDBETWEEN(2890,3282))</f>
        <v>97696562.302570552</v>
      </c>
      <c r="B7232">
        <v>225307984.17411429</v>
      </c>
    </row>
    <row r="7233" spans="1:2" x14ac:dyDescent="0.25">
      <c r="A7233">
        <f ca="1">31450.9341609985*(RANDBETWEEN(2890,3282))</f>
        <v>91459316.540183499</v>
      </c>
      <c r="B7233">
        <v>243287532.7720758</v>
      </c>
    </row>
    <row r="7234" spans="1:2" x14ac:dyDescent="0.25">
      <c r="A7234">
        <f ca="1">38844.7280650138*(RANDBETWEEN(2890,3282))</f>
        <v>123098943.238029</v>
      </c>
      <c r="B7234">
        <v>233483007.1844939</v>
      </c>
    </row>
    <row r="7235" spans="1:2" x14ac:dyDescent="0.25">
      <c r="A7235">
        <f ca="1">30682.3932341368*(RANDBETWEEN(2890,3282))</f>
        <v>97079092.192808837</v>
      </c>
      <c r="B7235">
        <v>231234340.04463136</v>
      </c>
    </row>
    <row r="7236" spans="1:2" x14ac:dyDescent="0.25">
      <c r="A7236">
        <f ca="1">34724.0009899192*(RANDBETWEEN(2890,3282))</f>
        <v>107540231.06577976</v>
      </c>
      <c r="B7236">
        <v>267631432.96508238</v>
      </c>
    </row>
    <row r="7237" spans="1:2" x14ac:dyDescent="0.25">
      <c r="A7237">
        <f ca="1">36131.8982324577*(RANDBETWEEN(2890,3282))</f>
        <v>115224623.46330765</v>
      </c>
      <c r="B7237">
        <v>228832513.03949419</v>
      </c>
    </row>
    <row r="7238" spans="1:2" x14ac:dyDescent="0.25">
      <c r="A7238">
        <f ca="1">37675.0151207943*(RANDBETWEEN(2890,3282))</f>
        <v>117546047.1768783</v>
      </c>
      <c r="B7238">
        <v>241781503.78969702</v>
      </c>
    </row>
    <row r="7239" spans="1:2" x14ac:dyDescent="0.25">
      <c r="A7239">
        <f ca="1">31914.1376645226*(RANDBETWEEN(2890,3282))</f>
        <v>94976473.689619139</v>
      </c>
      <c r="B7239">
        <v>217151693.36519367</v>
      </c>
    </row>
    <row r="7240" spans="1:2" x14ac:dyDescent="0.25">
      <c r="A7240">
        <f ca="1">32209.224002555*(RANDBETWEEN(2890,3282))</f>
        <v>100138477.42394361</v>
      </c>
      <c r="B7240">
        <v>245765330.27975518</v>
      </c>
    </row>
    <row r="7241" spans="1:2" x14ac:dyDescent="0.25">
      <c r="A7241">
        <f ca="1">32696.8617126661*(RANDBETWEEN(2890,3282))</f>
        <v>102929720.6714728</v>
      </c>
      <c r="B7241">
        <v>243008425.91014212</v>
      </c>
    </row>
    <row r="7242" spans="1:2" x14ac:dyDescent="0.25">
      <c r="A7242">
        <f ca="1">32023.0561163539*(RANDBETWEEN(2890,3282))</f>
        <v>100008004.25137335</v>
      </c>
      <c r="B7242">
        <v>231140489.45904255</v>
      </c>
    </row>
    <row r="7243" spans="1:2" x14ac:dyDescent="0.25">
      <c r="A7243">
        <f ca="1">30993.5709971236*(RANDBETWEEN(2890,3282))</f>
        <v>91524015.154506102</v>
      </c>
      <c r="B7243">
        <v>253207587.60430393</v>
      </c>
    </row>
    <row r="7244" spans="1:2" x14ac:dyDescent="0.25">
      <c r="A7244">
        <f ca="1">32789.5663557424*(RANDBETWEEN(2890,3282))</f>
        <v>106041457.59447093</v>
      </c>
      <c r="B7244">
        <v>241948255.73491931</v>
      </c>
    </row>
    <row r="7245" spans="1:2" x14ac:dyDescent="0.25">
      <c r="A7245">
        <f ca="1">29506.0284199898*(RANDBETWEEN(2890,3282))</f>
        <v>91557206.187228248</v>
      </c>
      <c r="B7245">
        <v>205391216.76170006</v>
      </c>
    </row>
    <row r="7246" spans="1:2" x14ac:dyDescent="0.25">
      <c r="A7246">
        <f ca="1">36862.3893770158*(RANDBETWEEN(2890,3282))</f>
        <v>108117388.04278728</v>
      </c>
      <c r="B7246">
        <v>217046471.14486104</v>
      </c>
    </row>
    <row r="7247" spans="1:2" x14ac:dyDescent="0.25">
      <c r="A7247">
        <f ca="1">36869.8710659046*(RANDBETWEEN(2890,3282))</f>
        <v>120822567.48296939</v>
      </c>
      <c r="B7247">
        <v>258265513.7737866</v>
      </c>
    </row>
    <row r="7248" spans="1:2" x14ac:dyDescent="0.25">
      <c r="A7248">
        <f ca="1">34680.2473662614*(RANDBETWEEN(2890,3282))</f>
        <v>102237369.23573871</v>
      </c>
      <c r="B7248">
        <v>240218160.61437577</v>
      </c>
    </row>
    <row r="7249" spans="1:2" x14ac:dyDescent="0.25">
      <c r="A7249">
        <f ca="1">38567.3981129945*(RANDBETWEEN(2890,3282))</f>
        <v>112038291.51824906</v>
      </c>
      <c r="B7249">
        <v>234916985.20225221</v>
      </c>
    </row>
    <row r="7250" spans="1:2" x14ac:dyDescent="0.25">
      <c r="A7250">
        <f ca="1">32220.4813159292*(RANDBETWEEN(2890,3282))</f>
        <v>98949098.121218547</v>
      </c>
      <c r="B7250">
        <v>226601110.58692682</v>
      </c>
    </row>
    <row r="7251" spans="1:2" x14ac:dyDescent="0.25">
      <c r="A7251">
        <f ca="1">36813.3418389786*(RANDBETWEEN(2890,3282))</f>
        <v>107310891.46062276</v>
      </c>
      <c r="B7251">
        <v>247768180.67216381</v>
      </c>
    </row>
    <row r="7252" spans="1:2" x14ac:dyDescent="0.25">
      <c r="A7252">
        <f ca="1">37802.8236276504*(RANDBETWEEN(2890,3282))</f>
        <v>115487626.18247192</v>
      </c>
      <c r="B7252">
        <v>224778899.46004099</v>
      </c>
    </row>
    <row r="7253" spans="1:2" x14ac:dyDescent="0.25">
      <c r="A7253">
        <f ca="1">32028.1632165556*(RANDBETWEEN(2890,3282))</f>
        <v>93586292.918775439</v>
      </c>
      <c r="B7253">
        <v>249789564.86384493</v>
      </c>
    </row>
    <row r="7254" spans="1:2" x14ac:dyDescent="0.25">
      <c r="A7254">
        <f ca="1">31546.2039780378*(RANDBETWEEN(2890,3282))</f>
        <v>95301082.217652157</v>
      </c>
      <c r="B7254">
        <v>248134069.79633403</v>
      </c>
    </row>
    <row r="7255" spans="1:2" x14ac:dyDescent="0.25">
      <c r="A7255">
        <f ca="1">30420.4019239386*(RANDBETWEEN(2890,3282))</f>
        <v>92903907.47570844</v>
      </c>
      <c r="B7255">
        <v>238236260.84069806</v>
      </c>
    </row>
    <row r="7256" spans="1:2" x14ac:dyDescent="0.25">
      <c r="A7256">
        <f ca="1">32552.4503338106*(RANDBETWEEN(2890,3282))</f>
        <v>103451687.16085</v>
      </c>
      <c r="B7256">
        <v>209763671.75183582</v>
      </c>
    </row>
    <row r="7257" spans="1:2" x14ac:dyDescent="0.25">
      <c r="A7257">
        <f ca="1">33623.9541130773*(RANDBETWEEN(2890,3282))</f>
        <v>103561778.66827822</v>
      </c>
      <c r="B7257">
        <v>260190682.55716273</v>
      </c>
    </row>
    <row r="7258" spans="1:2" x14ac:dyDescent="0.25">
      <c r="A7258">
        <f ca="1">27902.1322274822*(RANDBETWEEN(2890,3282))</f>
        <v>80832477.063015833</v>
      </c>
      <c r="B7258">
        <v>228781617.75951108</v>
      </c>
    </row>
    <row r="7259" spans="1:2" x14ac:dyDescent="0.25">
      <c r="A7259">
        <f ca="1">35871.9369193398*(RANDBETWEEN(2890,3282))</f>
        <v>113893399.71890399</v>
      </c>
      <c r="B7259">
        <v>214207963.32892942</v>
      </c>
    </row>
    <row r="7260" spans="1:2" x14ac:dyDescent="0.25">
      <c r="A7260">
        <f ca="1">37555.3287658108*(RANDBETWEEN(2890,3282))</f>
        <v>110262445.2564206</v>
      </c>
      <c r="B7260">
        <v>215108847.68688712</v>
      </c>
    </row>
    <row r="7261" spans="1:2" x14ac:dyDescent="0.25">
      <c r="A7261">
        <f ca="1">39993.8269090516*(RANDBETWEEN(2890,3282))</f>
        <v>121221289.36133546</v>
      </c>
      <c r="B7261">
        <v>236590933.51471853</v>
      </c>
    </row>
    <row r="7262" spans="1:2" x14ac:dyDescent="0.25">
      <c r="A7262">
        <f ca="1">37053.4354401505*(RANDBETWEEN(2890,3282))</f>
        <v>111864321.59381424</v>
      </c>
      <c r="B7262">
        <v>235222608.89394349</v>
      </c>
    </row>
    <row r="7263" spans="1:2" x14ac:dyDescent="0.25">
      <c r="A7263">
        <f ca="1">30972.9378647083*(RANDBETWEEN(2890,3282))</f>
        <v>92454219.526154295</v>
      </c>
      <c r="B7263">
        <v>258002791.46923351</v>
      </c>
    </row>
    <row r="7264" spans="1:2" x14ac:dyDescent="0.25">
      <c r="A7264">
        <f ca="1">32094.4974618964*(RANDBETWEEN(2890,3282))</f>
        <v>103697321.29938717</v>
      </c>
      <c r="B7264">
        <v>219180482.44450158</v>
      </c>
    </row>
    <row r="7265" spans="1:2" x14ac:dyDescent="0.25">
      <c r="A7265">
        <f ca="1">29451.1266770568*(RANDBETWEEN(2890,3282))</f>
        <v>85997289.897005916</v>
      </c>
      <c r="B7265">
        <v>239901003.79455423</v>
      </c>
    </row>
    <row r="7266" spans="1:2" x14ac:dyDescent="0.25">
      <c r="A7266">
        <f ca="1">32384.1188465114*(RANDBETWEEN(2890,3282))</f>
        <v>101783285.53458531</v>
      </c>
      <c r="B7266">
        <v>235989857.37372303</v>
      </c>
    </row>
    <row r="7267" spans="1:2" x14ac:dyDescent="0.25">
      <c r="A7267">
        <f ca="1">39554.2578940049*(RANDBETWEEN(2890,3282))</f>
        <v>123646610.17665936</v>
      </c>
      <c r="B7267">
        <v>242132773.47251201</v>
      </c>
    </row>
    <row r="7268" spans="1:2" x14ac:dyDescent="0.25">
      <c r="A7268">
        <f ca="1">33645.2428906244*(RANDBETWEEN(2890,3282))</f>
        <v>98513271.183748096</v>
      </c>
      <c r="B7268">
        <v>222827949.42713535</v>
      </c>
    </row>
    <row r="7269" spans="1:2" x14ac:dyDescent="0.25">
      <c r="A7269">
        <f ca="1">37384.6641953191*(RANDBETWEEN(2890,3282))</f>
        <v>108079064.18866742</v>
      </c>
      <c r="B7269">
        <v>233976003.87768376</v>
      </c>
    </row>
    <row r="7270" spans="1:2" x14ac:dyDescent="0.25">
      <c r="A7270">
        <f ca="1">31298.4126394985*(RANDBETWEEN(2890,3282))</f>
        <v>96180022.041178897</v>
      </c>
      <c r="B7270">
        <v>230913505.80309302</v>
      </c>
    </row>
    <row r="7271" spans="1:2" x14ac:dyDescent="0.25">
      <c r="A7271">
        <f ca="1">39674.5834990312*(RANDBETWEEN(2890,3282))</f>
        <v>126680945.11240655</v>
      </c>
      <c r="B7271">
        <v>255455556.73685899</v>
      </c>
    </row>
    <row r="7272" spans="1:2" x14ac:dyDescent="0.25">
      <c r="A7272">
        <f ca="1">36675.1330898054*(RANDBETWEEN(2890,3282))</f>
        <v>109035170.67599142</v>
      </c>
      <c r="B7272">
        <v>231539856.59255603</v>
      </c>
    </row>
    <row r="7273" spans="1:2" x14ac:dyDescent="0.25">
      <c r="A7273">
        <f ca="1">29595.9938129385*(RANDBETWEEN(2890,3282))</f>
        <v>89616669.265577838</v>
      </c>
      <c r="B7273">
        <v>230224000.41684714</v>
      </c>
    </row>
    <row r="7274" spans="1:2" x14ac:dyDescent="0.25">
      <c r="A7274">
        <f ca="1">34480.8377115535*(RANDBETWEEN(2890,3282))</f>
        <v>101615028.73594804</v>
      </c>
      <c r="B7274">
        <v>214525042.54888582</v>
      </c>
    </row>
    <row r="7275" spans="1:2" x14ac:dyDescent="0.25">
      <c r="A7275">
        <f ca="1">40986.2186912759*(RANDBETWEEN(2890,3282))</f>
        <v>129926313.25134462</v>
      </c>
      <c r="B7275">
        <v>246230396.69414467</v>
      </c>
    </row>
    <row r="7276" spans="1:2" x14ac:dyDescent="0.25">
      <c r="A7276">
        <f ca="1">32890.2475534129*(RANDBETWEEN(2890,3282))</f>
        <v>97355132.758102328</v>
      </c>
      <c r="B7276">
        <v>204873130.33696365</v>
      </c>
    </row>
    <row r="7277" spans="1:2" x14ac:dyDescent="0.25">
      <c r="A7277">
        <f ca="1">33969.1508055663*(RANDBETWEEN(2890,3282))</f>
        <v>101737606.66267107</v>
      </c>
      <c r="B7277">
        <v>237842420.44585067</v>
      </c>
    </row>
    <row r="7278" spans="1:2" x14ac:dyDescent="0.25">
      <c r="A7278">
        <f ca="1">29990.3194967486*(RANDBETWEEN(2890,3282))</f>
        <v>97198625.488962263</v>
      </c>
      <c r="B7278">
        <v>217771373.77444136</v>
      </c>
    </row>
    <row r="7279" spans="1:2" x14ac:dyDescent="0.25">
      <c r="A7279">
        <f ca="1">31222.6693615375*(RANDBETWEEN(2890,3282))</f>
        <v>97758177.770973951</v>
      </c>
      <c r="B7279">
        <v>240403458.25166965</v>
      </c>
    </row>
    <row r="7280" spans="1:2" x14ac:dyDescent="0.25">
      <c r="A7280">
        <f ca="1">31730.3880832817*(RANDBETWEEN(2890,3282))</f>
        <v>92557542.038932696</v>
      </c>
      <c r="B7280">
        <v>230237840.22543347</v>
      </c>
    </row>
    <row r="7281" spans="1:2" x14ac:dyDescent="0.25">
      <c r="A7281">
        <f ca="1">31987.3571835571*(RANDBETWEEN(2890,3282))</f>
        <v>103223201.63133866</v>
      </c>
      <c r="B7281">
        <v>207825937.98818547</v>
      </c>
    </row>
    <row r="7282" spans="1:2" x14ac:dyDescent="0.25">
      <c r="A7282">
        <f ca="1">33232.5684436541*(RANDBETWEEN(2890,3282))</f>
        <v>106743009.84101705</v>
      </c>
      <c r="B7282">
        <v>247523850.67067856</v>
      </c>
    </row>
    <row r="7283" spans="1:2" x14ac:dyDescent="0.25">
      <c r="A7283">
        <f ca="1">39290.3609651082*(RANDBETWEEN(2890,3282))</f>
        <v>116849533.51023167</v>
      </c>
      <c r="B7283">
        <v>212119445.91823077</v>
      </c>
    </row>
    <row r="7284" spans="1:2" x14ac:dyDescent="0.25">
      <c r="A7284">
        <f ca="1">31378.9142078956*(RANDBETWEEN(2890,3282))</f>
        <v>99753568.266900241</v>
      </c>
      <c r="B7284">
        <v>224523336.84953588</v>
      </c>
    </row>
    <row r="7285" spans="1:2" x14ac:dyDescent="0.25">
      <c r="A7285">
        <f ca="1">29297.6575860378*(RANDBETWEEN(2890,3282))</f>
        <v>95774042.648757696</v>
      </c>
      <c r="B7285">
        <v>231453822.41483533</v>
      </c>
    </row>
    <row r="7286" spans="1:2" x14ac:dyDescent="0.25">
      <c r="A7286">
        <f ca="1">32543.183734465*(RANDBETWEEN(2890,3282))</f>
        <v>98898735.369039029</v>
      </c>
      <c r="B7286">
        <v>237335480.52856427</v>
      </c>
    </row>
    <row r="7287" spans="1:2" x14ac:dyDescent="0.25">
      <c r="A7287">
        <f ca="1">31453.6998064786*(RANDBETWEEN(2890,3282))</f>
        <v>92253701.532401666</v>
      </c>
      <c r="B7287">
        <v>236553854.16364354</v>
      </c>
    </row>
    <row r="7288" spans="1:2" x14ac:dyDescent="0.25">
      <c r="A7288">
        <f ca="1">40465.5006337678*(RANDBETWEEN(2890,3282))</f>
        <v>120951381.39433208</v>
      </c>
      <c r="B7288">
        <v>243425302.31561658</v>
      </c>
    </row>
    <row r="7289" spans="1:2" x14ac:dyDescent="0.25">
      <c r="A7289">
        <f ca="1">35034.4055474524*(RANDBETWEEN(2890,3282))</f>
        <v>110393411.88002239</v>
      </c>
      <c r="B7289">
        <v>249933242.88156021</v>
      </c>
    </row>
    <row r="7290" spans="1:2" x14ac:dyDescent="0.25">
      <c r="A7290">
        <f ca="1">35982.2913689481*(RANDBETWEEN(2890,3282))</f>
        <v>105751954.33333842</v>
      </c>
      <c r="B7290">
        <v>260417899.52320924</v>
      </c>
    </row>
    <row r="7291" spans="1:2" x14ac:dyDescent="0.25">
      <c r="A7291">
        <f ca="1">31548.6436642065*(RANDBETWEEN(2890,3282))</f>
        <v>101902119.03538688</v>
      </c>
      <c r="B7291">
        <v>222788539.42064109</v>
      </c>
    </row>
    <row r="7292" spans="1:2" x14ac:dyDescent="0.25">
      <c r="A7292">
        <f ca="1">37718.9376811295*(RANDBETWEEN(2890,3282))</f>
        <v>117532209.81439957</v>
      </c>
      <c r="B7292">
        <v>227181929.35819623</v>
      </c>
    </row>
    <row r="7293" spans="1:2" x14ac:dyDescent="0.25">
      <c r="A7293">
        <f ca="1">30599.2791501466*(RANDBETWEEN(2890,3282))</f>
        <v>97336306.976616234</v>
      </c>
      <c r="B7293">
        <v>232947588.26588318</v>
      </c>
    </row>
    <row r="7294" spans="1:2" x14ac:dyDescent="0.25">
      <c r="A7294">
        <f ca="1">30894.128794494*(RANDBETWEEN(2890,3282))</f>
        <v>94443351.724768132</v>
      </c>
      <c r="B7294">
        <v>242983374.45470285</v>
      </c>
    </row>
    <row r="7295" spans="1:2" x14ac:dyDescent="0.25">
      <c r="A7295">
        <f ca="1">30403.3069702324*(RANDBETWEEN(2890,3282))</f>
        <v>89233705.957632065</v>
      </c>
      <c r="B7295">
        <v>256889346.4779</v>
      </c>
    </row>
    <row r="7296" spans="1:2" x14ac:dyDescent="0.25">
      <c r="A7296">
        <f ca="1">38742.9105477504*(RANDBETWEEN(2890,3282))</f>
        <v>112509412.23066728</v>
      </c>
      <c r="B7296">
        <v>224785044.4765335</v>
      </c>
    </row>
    <row r="7297" spans="1:2" x14ac:dyDescent="0.25">
      <c r="A7297">
        <f ca="1">34785.6830029891*(RANDBETWEEN(2890,3282))</f>
        <v>101817694.14974913</v>
      </c>
      <c r="B7297">
        <v>218425215.86321634</v>
      </c>
    </row>
    <row r="7298" spans="1:2" x14ac:dyDescent="0.25">
      <c r="A7298">
        <f ca="1">33775.2800458147*(RANDBETWEEN(2890,3282))</f>
        <v>98826469.414053708</v>
      </c>
      <c r="B7298">
        <v>213476909.77470094</v>
      </c>
    </row>
    <row r="7299" spans="1:2" x14ac:dyDescent="0.25">
      <c r="A7299">
        <f ca="1">41418.3538530521*(RANDBETWEEN(2890,3282))</f>
        <v>125042010.28236428</v>
      </c>
      <c r="B7299">
        <v>210065966.23239157</v>
      </c>
    </row>
    <row r="7300" spans="1:2" x14ac:dyDescent="0.25">
      <c r="A7300">
        <f ca="1">31826.5473246383*(RANDBETWEEN(2890,3282))</f>
        <v>97421061.360717744</v>
      </c>
      <c r="B7300">
        <v>232594751.72284627</v>
      </c>
    </row>
    <row r="7301" spans="1:2" x14ac:dyDescent="0.25">
      <c r="A7301">
        <f ca="1">28829.3534681175*(RANDBETWEEN(2890,3282))</f>
        <v>87727722.603481501</v>
      </c>
      <c r="B7301">
        <v>243171556.4980405</v>
      </c>
    </row>
    <row r="7302" spans="1:2" x14ac:dyDescent="0.25">
      <c r="A7302">
        <f ca="1">40612.7579598352*(RANDBETWEEN(2890,3282))</f>
        <v>117898836.35740153</v>
      </c>
      <c r="B7302">
        <v>262594472.17966965</v>
      </c>
    </row>
    <row r="7303" spans="1:2" x14ac:dyDescent="0.25">
      <c r="A7303">
        <f ca="1">31321.0045713414*(RANDBETWEEN(2890,3282))</f>
        <v>94746038.828307688</v>
      </c>
      <c r="B7303">
        <v>229693820.00800493</v>
      </c>
    </row>
    <row r="7304" spans="1:2" x14ac:dyDescent="0.25">
      <c r="A7304">
        <f ca="1">33481.8138278908*(RANDBETWEEN(2890,3282))</f>
        <v>100981150.50491869</v>
      </c>
      <c r="B7304">
        <v>262889738.32782489</v>
      </c>
    </row>
    <row r="7305" spans="1:2" x14ac:dyDescent="0.25">
      <c r="A7305">
        <f ca="1">32864.3936704784*(RANDBETWEEN(2890,3282))</f>
        <v>101715298.41013075</v>
      </c>
      <c r="B7305">
        <v>239216403.66035572</v>
      </c>
    </row>
    <row r="7306" spans="1:2" x14ac:dyDescent="0.25">
      <c r="A7306">
        <f ca="1">29163.2551197766*(RANDBETWEEN(2890,3282))</f>
        <v>92651661.515530273</v>
      </c>
      <c r="B7306">
        <v>264467109.16830373</v>
      </c>
    </row>
    <row r="7307" spans="1:2" x14ac:dyDescent="0.25">
      <c r="A7307">
        <f ca="1">40391.6168890357*(RANDBETWEEN(2890,3282))</f>
        <v>123759914.14800529</v>
      </c>
      <c r="B7307">
        <v>250577405.32976916</v>
      </c>
    </row>
    <row r="7308" spans="1:2" x14ac:dyDescent="0.25">
      <c r="A7308">
        <f ca="1">29345.8561164889*(RANDBETWEEN(2890,3282))</f>
        <v>84985599.31335181</v>
      </c>
      <c r="B7308">
        <v>220232387.79991442</v>
      </c>
    </row>
    <row r="7309" spans="1:2" x14ac:dyDescent="0.25">
      <c r="A7309">
        <f ca="1">30592.636452117*(RANDBETWEEN(2890,3282))</f>
        <v>93215763.26960057</v>
      </c>
      <c r="B7309">
        <v>207687381.72318926</v>
      </c>
    </row>
    <row r="7310" spans="1:2" x14ac:dyDescent="0.25">
      <c r="A7310">
        <f ca="1">31425.2059746605*(RANDBETWEEN(2890,3282))</f>
        <v>95626901.780892044</v>
      </c>
      <c r="B7310">
        <v>253713826.51077586</v>
      </c>
    </row>
    <row r="7311" spans="1:2" x14ac:dyDescent="0.25">
      <c r="A7311">
        <f ca="1">30002.1658954616*(RANDBETWEEN(2890,3282))</f>
        <v>93666761.92563121</v>
      </c>
      <c r="B7311">
        <v>225569562.4192822</v>
      </c>
    </row>
    <row r="7312" spans="1:2" x14ac:dyDescent="0.25">
      <c r="A7312">
        <f ca="1">32771.3062543089*(RANDBETWEEN(2890,3282))</f>
        <v>97232465.656534359</v>
      </c>
      <c r="B7312">
        <v>230832723.70260683</v>
      </c>
    </row>
    <row r="7313" spans="1:2" x14ac:dyDescent="0.25">
      <c r="A7313">
        <f ca="1">37548.7162472975*(RANDBETWEEN(2890,3282))</f>
        <v>109341861.71213035</v>
      </c>
      <c r="B7313">
        <v>249420075.38531816</v>
      </c>
    </row>
    <row r="7314" spans="1:2" x14ac:dyDescent="0.25">
      <c r="A7314">
        <f ca="1">37271.7185768509*(RANDBETWEEN(2890,3282))</f>
        <v>112486046.66493589</v>
      </c>
      <c r="B7314">
        <v>216436842.02285007</v>
      </c>
    </row>
    <row r="7315" spans="1:2" x14ac:dyDescent="0.25">
      <c r="A7315">
        <f ca="1">33857.5033328302*(RANDBETWEEN(2890,3282))</f>
        <v>106481847.98175098</v>
      </c>
      <c r="B7315">
        <v>255278508.53964669</v>
      </c>
    </row>
    <row r="7316" spans="1:2" x14ac:dyDescent="0.25">
      <c r="A7316">
        <f ca="1">32613.0644812884*(RANDBETWEEN(2890,3282))</f>
        <v>97154319.089758113</v>
      </c>
      <c r="B7316">
        <v>210878810.76313788</v>
      </c>
    </row>
    <row r="7317" spans="1:2" x14ac:dyDescent="0.25">
      <c r="A7317">
        <f ca="1">32259.0855894937*(RANDBETWEEN(2890,3282))</f>
        <v>94938488.889879972</v>
      </c>
      <c r="B7317">
        <v>258180627.53685963</v>
      </c>
    </row>
    <row r="7318" spans="1:2" x14ac:dyDescent="0.25">
      <c r="A7318">
        <f ca="1">33405.0726715021*(RANDBETWEEN(2890,3282))</f>
        <v>102921028.90089794</v>
      </c>
      <c r="B7318">
        <v>221661426.90608636</v>
      </c>
    </row>
    <row r="7319" spans="1:2" x14ac:dyDescent="0.25">
      <c r="A7319">
        <f ca="1">30605.6645726156*(RANDBETWEEN(2890,3282))</f>
        <v>100386579.79817912</v>
      </c>
      <c r="B7319">
        <v>206072952.12707296</v>
      </c>
    </row>
    <row r="7320" spans="1:2" x14ac:dyDescent="0.25">
      <c r="A7320">
        <f ca="1">33324.5177845104*(RANDBETWEEN(2890,3282))</f>
        <v>104605661.3255782</v>
      </c>
      <c r="B7320">
        <v>253166214.69743964</v>
      </c>
    </row>
    <row r="7321" spans="1:2" x14ac:dyDescent="0.25">
      <c r="A7321">
        <f ca="1">31169.8666798086*(RANDBETWEEN(2890,3282))</f>
        <v>101800784.57625481</v>
      </c>
      <c r="B7321">
        <v>225859719.25276262</v>
      </c>
    </row>
    <row r="7322" spans="1:2" x14ac:dyDescent="0.25">
      <c r="A7322">
        <f ca="1">28305.50992019*(RANDBETWEEN(2890,3282))</f>
        <v>90237965.625565842</v>
      </c>
      <c r="B7322">
        <v>204586609.65191609</v>
      </c>
    </row>
    <row r="7323" spans="1:2" x14ac:dyDescent="0.25">
      <c r="A7323">
        <f ca="1">40164.9081992644*(RANDBETWEEN(2890,3282))</f>
        <v>116839717.95166029</v>
      </c>
      <c r="B7323">
        <v>204297476.44241199</v>
      </c>
    </row>
    <row r="7324" spans="1:2" x14ac:dyDescent="0.25">
      <c r="A7324">
        <f ca="1">33905.3255315829*(RANDBETWEEN(2890,3282))</f>
        <v>99512130.435195863</v>
      </c>
      <c r="B7324">
        <v>240826576.64349592</v>
      </c>
    </row>
    <row r="7325" spans="1:2" x14ac:dyDescent="0.25">
      <c r="A7325">
        <f ca="1">31181.0416669229*(RANDBETWEEN(2890,3282))</f>
        <v>101338385.41749951</v>
      </c>
      <c r="B7325">
        <v>220821574.73777497</v>
      </c>
    </row>
    <row r="7326" spans="1:2" x14ac:dyDescent="0.25">
      <c r="A7326">
        <f ca="1">37940.1017727224*(RANDBETWEEN(2890,3282))</f>
        <v>122167127.70816609</v>
      </c>
      <c r="B7326">
        <v>225550047.5924713</v>
      </c>
    </row>
    <row r="7327" spans="1:2" x14ac:dyDescent="0.25">
      <c r="A7327">
        <f ca="1">33339.3415009744*(RANDBETWEEN(2890,3282))</f>
        <v>100018024.50292307</v>
      </c>
      <c r="B7327">
        <v>228655477.48763213</v>
      </c>
    </row>
    <row r="7328" spans="1:2" x14ac:dyDescent="0.25">
      <c r="A7328">
        <f ca="1">34750.3428218219*(RANDBETWEEN(2890,3282))</f>
        <v>104737533.26497132</v>
      </c>
      <c r="B7328">
        <v>228029566.53151199</v>
      </c>
    </row>
    <row r="7329" spans="1:2" x14ac:dyDescent="0.25">
      <c r="A7329">
        <f ca="1">35608.2396556679*(RANDBETWEEN(2890,3282))</f>
        <v>111881088.99810864</v>
      </c>
      <c r="B7329">
        <v>241420168.62231404</v>
      </c>
    </row>
    <row r="7330" spans="1:2" x14ac:dyDescent="0.25">
      <c r="A7330">
        <f ca="1">30136.6660200512*(RANDBETWEEN(2890,3282))</f>
        <v>94237354.64470017</v>
      </c>
      <c r="B7330">
        <v>209788332.84109941</v>
      </c>
    </row>
    <row r="7331" spans="1:2" x14ac:dyDescent="0.25">
      <c r="A7331">
        <f ca="1">30723.6448260608*(RANDBETWEEN(2890,3282))</f>
        <v>96257179.240048483</v>
      </c>
      <c r="B7331">
        <v>237331708.66789711</v>
      </c>
    </row>
    <row r="7332" spans="1:2" x14ac:dyDescent="0.25">
      <c r="A7332">
        <f ca="1">33061.6305893118*(RANDBETWEEN(2890,3282))</f>
        <v>106855190.06465568</v>
      </c>
      <c r="B7332">
        <v>220550590.66895637</v>
      </c>
    </row>
    <row r="7333" spans="1:2" x14ac:dyDescent="0.25">
      <c r="A7333">
        <f ca="1">29896.8122538276*(RANDBETWEEN(2890,3282))</f>
        <v>95699696.024502143</v>
      </c>
      <c r="B7333">
        <v>253223500.44892886</v>
      </c>
    </row>
    <row r="7334" spans="1:2" x14ac:dyDescent="0.25">
      <c r="A7334">
        <f ca="1">32331.987938089*(RANDBETWEEN(2890,3282))</f>
        <v>96672643.934886217</v>
      </c>
      <c r="B7334">
        <v>223487254.39238805</v>
      </c>
    </row>
    <row r="7335" spans="1:2" x14ac:dyDescent="0.25">
      <c r="A7335">
        <f ca="1">39070.9328043496*(RANDBETWEEN(2890,3282))</f>
        <v>119830550.9109403</v>
      </c>
      <c r="B7335">
        <v>217313948.47025517</v>
      </c>
    </row>
    <row r="7336" spans="1:2" x14ac:dyDescent="0.25">
      <c r="A7336">
        <f ca="1">29940.6664822718*(RANDBETWEEN(2890,3282))</f>
        <v>97786216.731099829</v>
      </c>
      <c r="B7336">
        <v>238864103.22583407</v>
      </c>
    </row>
    <row r="7337" spans="1:2" x14ac:dyDescent="0.25">
      <c r="A7337">
        <f ca="1">37315.6200266199*(RANDBETWEEN(2890,3282))</f>
        <v>110827391.47906107</v>
      </c>
      <c r="B7337">
        <v>239879569.28016469</v>
      </c>
    </row>
    <row r="7338" spans="1:2" x14ac:dyDescent="0.25">
      <c r="A7338">
        <f ca="1">29262.8369836943*(RANDBETWEEN(2890,3282))</f>
        <v>95045694.523039088</v>
      </c>
      <c r="B7338">
        <v>215663395.36511412</v>
      </c>
    </row>
    <row r="7339" spans="1:2" x14ac:dyDescent="0.25">
      <c r="A7339">
        <f ca="1">34043.0760147131*(RANDBETWEEN(2890,3282))</f>
        <v>99269609.658903554</v>
      </c>
      <c r="B7339">
        <v>264710166.25322732</v>
      </c>
    </row>
    <row r="7340" spans="1:2" x14ac:dyDescent="0.25">
      <c r="A7340">
        <f ca="1">33451.3888303225*(RANDBETWEEN(2890,3282))</f>
        <v>106375416.48042563</v>
      </c>
      <c r="B7340">
        <v>265339019.50792271</v>
      </c>
    </row>
    <row r="7341" spans="1:2" x14ac:dyDescent="0.25">
      <c r="A7341">
        <f ca="1">31323.2366105578*(RANDBETWEEN(2890,3282))</f>
        <v>98292316.483930528</v>
      </c>
      <c r="B7341">
        <v>207839869.54027978</v>
      </c>
    </row>
    <row r="7342" spans="1:2" x14ac:dyDescent="0.25">
      <c r="A7342">
        <f ca="1">36723.3157322343*(RANDBETWEEN(2890,3282))</f>
        <v>112446792.77210133</v>
      </c>
      <c r="B7342">
        <v>215680378.58833039</v>
      </c>
    </row>
    <row r="7343" spans="1:2" x14ac:dyDescent="0.25">
      <c r="A7343">
        <f ca="1">32770.2795784506*(RANDBETWEEN(2890,3282))</f>
        <v>101129082.77909856</v>
      </c>
      <c r="B7343">
        <v>265468392.22569305</v>
      </c>
    </row>
    <row r="7344" spans="1:2" x14ac:dyDescent="0.25">
      <c r="A7344">
        <f ca="1">33145.63989088*(RANDBETWEEN(2890,3282))</f>
        <v>98111094.077004686</v>
      </c>
      <c r="B7344">
        <v>218835512.85840416</v>
      </c>
    </row>
    <row r="7345" spans="1:2" x14ac:dyDescent="0.25">
      <c r="A7345">
        <f ca="1">31546.7576834662*(RANDBETWEEN(2890,3282))</f>
        <v>92495093.527922988</v>
      </c>
      <c r="B7345">
        <v>251743022.9084006</v>
      </c>
    </row>
    <row r="7346" spans="1:2" x14ac:dyDescent="0.25">
      <c r="A7346">
        <f ca="1">27343.7773576274*(RANDBETWEEN(2890,3282))</f>
        <v>81347737.638941556</v>
      </c>
      <c r="B7346">
        <v>205720136.91808665</v>
      </c>
    </row>
    <row r="7347" spans="1:2" x14ac:dyDescent="0.25">
      <c r="A7347">
        <f ca="1">40651.6179627742*(RANDBETWEEN(2890,3282))</f>
        <v>132768184.26642042</v>
      </c>
      <c r="B7347">
        <v>229446801.5841921</v>
      </c>
    </row>
    <row r="7348" spans="1:2" x14ac:dyDescent="0.25">
      <c r="A7348">
        <f ca="1">32208.0994914624*(RANDBETWEEN(2890,3282))</f>
        <v>103903328.95945773</v>
      </c>
      <c r="B7348">
        <v>254343101.86855108</v>
      </c>
    </row>
    <row r="7349" spans="1:2" x14ac:dyDescent="0.25">
      <c r="A7349">
        <f ca="1">32833.8926291897*(RANDBETWEEN(2890,3282))</f>
        <v>99125521.8475236</v>
      </c>
      <c r="B7349">
        <v>222275830.83067724</v>
      </c>
    </row>
    <row r="7350" spans="1:2" x14ac:dyDescent="0.25">
      <c r="A7350">
        <f ca="1">32826.9131996745*(RANDBETWEEN(2890,3282))</f>
        <v>95427836.671453729</v>
      </c>
      <c r="B7350">
        <v>211429790.29472104</v>
      </c>
    </row>
    <row r="7351" spans="1:2" x14ac:dyDescent="0.25">
      <c r="A7351">
        <f ca="1">34985.9042782352*(RANDBETWEEN(2890,3282))</f>
        <v>109225993.1566502</v>
      </c>
      <c r="B7351">
        <v>212137154.92309412</v>
      </c>
    </row>
    <row r="7352" spans="1:2" x14ac:dyDescent="0.25">
      <c r="A7352">
        <f ca="1">36031.3200659308*(RANDBETWEEN(2890,3282))</f>
        <v>106508582.11489139</v>
      </c>
      <c r="B7352">
        <v>259701997.80932701</v>
      </c>
    </row>
    <row r="7353" spans="1:2" x14ac:dyDescent="0.25">
      <c r="A7353">
        <f ca="1">39266.5816263492*(RANDBETWEEN(2890,3282))</f>
        <v>117328545.89953139</v>
      </c>
      <c r="B7353">
        <v>246990525.02180001</v>
      </c>
    </row>
    <row r="7354" spans="1:2" x14ac:dyDescent="0.25">
      <c r="A7354">
        <f ca="1">39154.5094789928*(RANDBETWEEN(2890,3282))</f>
        <v>113548077.48907909</v>
      </c>
      <c r="B7354">
        <v>219952744.05908632</v>
      </c>
    </row>
    <row r="7355" spans="1:2" x14ac:dyDescent="0.25">
      <c r="A7355">
        <f ca="1">38998.4251981349*(RANDBETWEEN(2890,3282))</f>
        <v>116605291.34242326</v>
      </c>
      <c r="B7355">
        <v>237192694.93521965</v>
      </c>
    </row>
    <row r="7356" spans="1:2" x14ac:dyDescent="0.25">
      <c r="A7356">
        <f ca="1">33801.5354915449*(RANDBETWEEN(2890,3282))</f>
        <v>107894501.28901146</v>
      </c>
      <c r="B7356">
        <v>236772868.72817907</v>
      </c>
    </row>
    <row r="7357" spans="1:2" x14ac:dyDescent="0.25">
      <c r="A7357">
        <f ca="1">40285.7775248331*(RANDBETWEEN(2890,3282))</f>
        <v>127947629.41887005</v>
      </c>
      <c r="B7357">
        <v>227162418.77017805</v>
      </c>
    </row>
    <row r="7358" spans="1:2" x14ac:dyDescent="0.25">
      <c r="A7358">
        <f ca="1">30718.5530498023*(RANDBETWEEN(2890,3282))</f>
        <v>89974641.882870793</v>
      </c>
      <c r="B7358">
        <v>243802026.20044038</v>
      </c>
    </row>
    <row r="7359" spans="1:2" x14ac:dyDescent="0.25">
      <c r="A7359">
        <f ca="1">38006.4258712469*(RANDBETWEEN(2890,3282))</f>
        <v>117705900.92325149</v>
      </c>
      <c r="B7359">
        <v>232210381.61802432</v>
      </c>
    </row>
    <row r="7360" spans="1:2" x14ac:dyDescent="0.25">
      <c r="A7360">
        <f ca="1">33837.4590226085*(RANDBETWEEN(2890,3282))</f>
        <v>108516731.08550574</v>
      </c>
      <c r="B7360">
        <v>253930085.15330338</v>
      </c>
    </row>
    <row r="7361" spans="1:2" x14ac:dyDescent="0.25">
      <c r="A7361">
        <f ca="1">36864.5211311599*(RANDBETWEEN(2890,3282))</f>
        <v>118998674.21138427</v>
      </c>
      <c r="B7361">
        <v>242317299.32233417</v>
      </c>
    </row>
    <row r="7362" spans="1:2" x14ac:dyDescent="0.25">
      <c r="A7362">
        <f ca="1">32829.9780867002*(RANDBETWEEN(2890,3282))</f>
        <v>100426902.967216</v>
      </c>
      <c r="B7362">
        <v>211195973.17145145</v>
      </c>
    </row>
    <row r="7363" spans="1:2" x14ac:dyDescent="0.25">
      <c r="A7363">
        <f ca="1">35273.2196888843*(RANDBETWEEN(2890,3282))</f>
        <v>114637963.98887412</v>
      </c>
      <c r="B7363">
        <v>230869641.7098605</v>
      </c>
    </row>
    <row r="7364" spans="1:2" x14ac:dyDescent="0.25">
      <c r="A7364">
        <f ca="1">41593.4024928784*(RANDBETWEEN(2890,3282))</f>
        <v>122742130.75648426</v>
      </c>
      <c r="B7364">
        <v>243296778.8215664</v>
      </c>
    </row>
    <row r="7365" spans="1:2" x14ac:dyDescent="0.25">
      <c r="A7365">
        <f ca="1">32534.6050861498*(RANDBETWEEN(2890,3282))</f>
        <v>95391462.112591252</v>
      </c>
      <c r="B7365">
        <v>246650965.12481368</v>
      </c>
    </row>
    <row r="7366" spans="1:2" x14ac:dyDescent="0.25">
      <c r="A7366">
        <f ca="1">36152.6238088731*(RANDBETWEEN(2890,3282))</f>
        <v>118652911.34072158</v>
      </c>
      <c r="B7366">
        <v>237249557.26711553</v>
      </c>
    </row>
    <row r="7367" spans="1:2" x14ac:dyDescent="0.25">
      <c r="A7367">
        <f ca="1">32052.6958357784*(RANDBETWEEN(2890,3282))</f>
        <v>99363357.090912968</v>
      </c>
      <c r="B7367">
        <v>208106718.90341401</v>
      </c>
    </row>
    <row r="7368" spans="1:2" x14ac:dyDescent="0.25">
      <c r="A7368">
        <f ca="1">40847.8689684942*(RANDBETWEEN(2890,3282))</f>
        <v>121073083.62261672</v>
      </c>
      <c r="B7368">
        <v>234592183.02426544</v>
      </c>
    </row>
    <row r="7369" spans="1:2" x14ac:dyDescent="0.25">
      <c r="A7369">
        <f ca="1">32513.1921923979*(RANDBETWEEN(2890,3282))</f>
        <v>99717960.454084516</v>
      </c>
      <c r="B7369">
        <v>261441110.84098369</v>
      </c>
    </row>
    <row r="7370" spans="1:2" x14ac:dyDescent="0.25">
      <c r="A7370">
        <f ca="1">30220.2301568163*(RANDBETWEEN(2890,3282))</f>
        <v>92896987.502053261</v>
      </c>
      <c r="B7370">
        <v>217895279.28927243</v>
      </c>
    </row>
    <row r="7371" spans="1:2" x14ac:dyDescent="0.25">
      <c r="A7371">
        <f ca="1">30139.6614122371*(RANDBETWEEN(2890,3282))</f>
        <v>97351106.361525953</v>
      </c>
      <c r="B7371">
        <v>227693458.30170852</v>
      </c>
    </row>
    <row r="7372" spans="1:2" x14ac:dyDescent="0.25">
      <c r="A7372">
        <f ca="1">30214.6724799195*(RANDBETWEEN(2890,3282))</f>
        <v>98590476.301977202</v>
      </c>
      <c r="B7372">
        <v>231950108.22282392</v>
      </c>
    </row>
    <row r="7373" spans="1:2" x14ac:dyDescent="0.25">
      <c r="A7373">
        <f ca="1">41338.4750905247*(RANDBETWEEN(2890,3282))</f>
        <v>131290996.88750637</v>
      </c>
      <c r="B7373">
        <v>267120244.85758853</v>
      </c>
    </row>
    <row r="7374" spans="1:2" x14ac:dyDescent="0.25">
      <c r="A7374">
        <f ca="1">37890.7883600016*(RANDBETWEEN(2890,3282))</f>
        <v>113407129.56148465</v>
      </c>
      <c r="B7374">
        <v>256577581.61289859</v>
      </c>
    </row>
    <row r="7375" spans="1:2" x14ac:dyDescent="0.25">
      <c r="A7375">
        <f ca="1">33238.3475260838*(RANDBETWEEN(2890,3282))</f>
        <v>105797660.17552486</v>
      </c>
      <c r="B7375">
        <v>251978936.03439763</v>
      </c>
    </row>
    <row r="7376" spans="1:2" x14ac:dyDescent="0.25">
      <c r="A7376">
        <f ca="1">32202.8786624631*(RANDBETWEEN(2890,3282))</f>
        <v>102598371.41860743</v>
      </c>
      <c r="B7376">
        <v>219710251.88801497</v>
      </c>
    </row>
    <row r="7377" spans="1:2" x14ac:dyDescent="0.25">
      <c r="A7377">
        <f ca="1">32647.042942496*(RANDBETWEEN(2890,3282))</f>
        <v>95492600.606800914</v>
      </c>
      <c r="B7377">
        <v>222634195.34818396</v>
      </c>
    </row>
    <row r="7378" spans="1:2" x14ac:dyDescent="0.25">
      <c r="A7378">
        <f ca="1">31654.775917221*(RANDBETWEEN(2890,3282))</f>
        <v>97781602.808295965</v>
      </c>
      <c r="B7378">
        <v>243830565.35394114</v>
      </c>
    </row>
    <row r="7379" spans="1:2" x14ac:dyDescent="0.25">
      <c r="A7379">
        <f ca="1">32910.7065237598*(RANDBETWEEN(2890,3282))</f>
        <v>100970047.61489496</v>
      </c>
      <c r="B7379">
        <v>261322703.39827234</v>
      </c>
    </row>
    <row r="7380" spans="1:2" x14ac:dyDescent="0.25">
      <c r="A7380">
        <f ca="1">31107.867808623*(RANDBETWEEN(2890,3282))</f>
        <v>100540628.75746964</v>
      </c>
      <c r="B7380">
        <v>265214114.07719982</v>
      </c>
    </row>
    <row r="7381" spans="1:2" x14ac:dyDescent="0.25">
      <c r="A7381">
        <f ca="1">31673.6091440065*(RANDBETWEEN(2890,3282))</f>
        <v>92296897.045635</v>
      </c>
      <c r="B7381">
        <v>219155837.05548313</v>
      </c>
    </row>
    <row r="7382" spans="1:2" x14ac:dyDescent="0.25">
      <c r="A7382">
        <f ca="1">31188.6654649665*(RANDBETWEEN(2890,3282))</f>
        <v>95718014.311982065</v>
      </c>
      <c r="B7382">
        <v>250147729.51240724</v>
      </c>
    </row>
    <row r="7383" spans="1:2" x14ac:dyDescent="0.25">
      <c r="A7383">
        <f ca="1">32145.096394572*(RANDBETWEEN(2890,3282))</f>
        <v>103603645.67970547</v>
      </c>
      <c r="B7383">
        <v>242753236.03638962</v>
      </c>
    </row>
    <row r="7384" spans="1:2" x14ac:dyDescent="0.25">
      <c r="A7384">
        <f ca="1">30965.4188515259*(RANDBETWEEN(2890,3282))</f>
        <v>101349815.90104418</v>
      </c>
      <c r="B7384">
        <v>212774015.9624249</v>
      </c>
    </row>
    <row r="7385" spans="1:2" x14ac:dyDescent="0.25">
      <c r="A7385">
        <f ca="1">39466.1677027692*(RANDBETWEEN(2890,3282))</f>
        <v>126962661.49980851</v>
      </c>
      <c r="B7385">
        <v>246920093.82690021</v>
      </c>
    </row>
    <row r="7386" spans="1:2" x14ac:dyDescent="0.25">
      <c r="A7386">
        <f ca="1">29416.701720499*(RANDBETWEEN(2890,3282))</f>
        <v>88661938.985583842</v>
      </c>
      <c r="B7386">
        <v>205183043.57390022</v>
      </c>
    </row>
    <row r="7387" spans="1:2" x14ac:dyDescent="0.25">
      <c r="A7387">
        <f ca="1">39020.4274547755*(RANDBETWEEN(2890,3282))</f>
        <v>123655734.60418347</v>
      </c>
      <c r="B7387">
        <v>222273088.26251003</v>
      </c>
    </row>
    <row r="7388" spans="1:2" x14ac:dyDescent="0.25">
      <c r="A7388">
        <f ca="1">30782.9007468973*(RANDBETWEEN(2890,3282))</f>
        <v>98074321.779614687</v>
      </c>
      <c r="B7388">
        <v>227271595.48965642</v>
      </c>
    </row>
    <row r="7389" spans="1:2" x14ac:dyDescent="0.25">
      <c r="A7389">
        <f ca="1">31943.8131771443*(RANDBETWEEN(2890,3282))</f>
        <v>95767551.905078739</v>
      </c>
      <c r="B7389">
        <v>244215846.63693225</v>
      </c>
    </row>
    <row r="7390" spans="1:2" x14ac:dyDescent="0.25">
      <c r="A7390">
        <f ca="1">33022.2599949359*(RANDBETWEEN(2890,3282))</f>
        <v>104713586.44394167</v>
      </c>
      <c r="B7390">
        <v>206483369.00163782</v>
      </c>
    </row>
    <row r="7391" spans="1:2" x14ac:dyDescent="0.25">
      <c r="A7391">
        <f ca="1">31716.6907194687*(RANDBETWEEN(2890,3282))</f>
        <v>92295569.993653893</v>
      </c>
      <c r="B7391">
        <v>208048625.77332348</v>
      </c>
    </row>
    <row r="7392" spans="1:2" x14ac:dyDescent="0.25">
      <c r="A7392">
        <f ca="1">36590.4830074622*(RANDBETWEEN(2890,3282))</f>
        <v>113101182.97606562</v>
      </c>
      <c r="B7392">
        <v>219723660.13892877</v>
      </c>
    </row>
    <row r="7393" spans="1:2" x14ac:dyDescent="0.25">
      <c r="A7393">
        <f ca="1">36373.9703160793*(RANDBETWEEN(2890,3282))</f>
        <v>106066497.4416873</v>
      </c>
      <c r="B7393">
        <v>261252674.75456741</v>
      </c>
    </row>
    <row r="7394" spans="1:2" x14ac:dyDescent="0.25">
      <c r="A7394">
        <f ca="1">32675.572909097*(RANDBETWEEN(2890,3282))</f>
        <v>98451501.175109163</v>
      </c>
      <c r="B7394">
        <v>217474928.04677239</v>
      </c>
    </row>
    <row r="7395" spans="1:2" x14ac:dyDescent="0.25">
      <c r="A7395">
        <f ca="1">37920.9515518676*(RANDBETWEEN(2890,3282))</f>
        <v>123394776.34977707</v>
      </c>
      <c r="B7395">
        <v>233440807.9318043</v>
      </c>
    </row>
    <row r="7396" spans="1:2" x14ac:dyDescent="0.25">
      <c r="A7396">
        <f ca="1">42356.6810907402*(RANDBETWEEN(2890,3282))</f>
        <v>133762398.8845576</v>
      </c>
      <c r="B7396">
        <v>223932115.52274901</v>
      </c>
    </row>
    <row r="7397" spans="1:2" x14ac:dyDescent="0.25">
      <c r="A7397">
        <f ca="1">30908.4670944925*(RANDBETWEEN(2890,3282))</f>
        <v>94301733.105296582</v>
      </c>
      <c r="B7397">
        <v>225538284.45546573</v>
      </c>
    </row>
    <row r="7398" spans="1:2" x14ac:dyDescent="0.25">
      <c r="A7398">
        <f ca="1">41120.8526285373*(RANDBETWEEN(2890,3282))</f>
        <v>129571806.63252117</v>
      </c>
      <c r="B7398">
        <v>258851625.55260408</v>
      </c>
    </row>
    <row r="7399" spans="1:2" x14ac:dyDescent="0.25">
      <c r="A7399">
        <f ca="1">32160.300209125*(RANDBETWEEN(2890,3282))</f>
        <v>96320099.126329467</v>
      </c>
      <c r="B7399">
        <v>218998108.27041256</v>
      </c>
    </row>
    <row r="7400" spans="1:2" x14ac:dyDescent="0.25">
      <c r="A7400">
        <f ca="1">34573.1247784871*(RANDBETWEEN(2890,3282))</f>
        <v>113365276.14865918</v>
      </c>
      <c r="B7400">
        <v>250401602.55046144</v>
      </c>
    </row>
    <row r="7401" spans="1:2" x14ac:dyDescent="0.25">
      <c r="A7401">
        <f ca="1">31370.578769877*(RANDBETWEEN(2890,3282))</f>
        <v>91445237.114191324</v>
      </c>
      <c r="B7401">
        <v>218511521.19780111</v>
      </c>
    </row>
    <row r="7402" spans="1:2" x14ac:dyDescent="0.25">
      <c r="A7402">
        <f ca="1">28632.6566207771*(RANDBETWEEN(2890,3282))</f>
        <v>91166378.680554345</v>
      </c>
      <c r="B7402">
        <v>253439202.27041572</v>
      </c>
    </row>
    <row r="7403" spans="1:2" x14ac:dyDescent="0.25">
      <c r="A7403">
        <f ca="1">31930.6777518665*(RANDBETWEEN(2890,3282))</f>
        <v>100613565.59613128</v>
      </c>
      <c r="B7403">
        <v>263489358.65826768</v>
      </c>
    </row>
    <row r="7404" spans="1:2" x14ac:dyDescent="0.25">
      <c r="A7404">
        <f ca="1">31622.1024253558*(RANDBETWEEN(2890,3282))</f>
        <v>100716396.22475827</v>
      </c>
      <c r="B7404">
        <v>266369398.36374262</v>
      </c>
    </row>
    <row r="7405" spans="1:2" x14ac:dyDescent="0.25">
      <c r="A7405">
        <f ca="1">38660.4031780064*(RANDBETWEEN(2890,3282))</f>
        <v>114086849.77829696</v>
      </c>
      <c r="B7405">
        <v>263382336.14184454</v>
      </c>
    </row>
    <row r="7406" spans="1:2" x14ac:dyDescent="0.25">
      <c r="A7406">
        <f ca="1">35519.4427981928*(RANDBETWEEN(2890,3282))</f>
        <v>103397097.98553917</v>
      </c>
      <c r="B7406">
        <v>253282610.24449658</v>
      </c>
    </row>
    <row r="7407" spans="1:2" x14ac:dyDescent="0.25">
      <c r="A7407">
        <f ca="1">42168.3982827776*(RANDBETWEEN(2890,3282))</f>
        <v>138396683.16407612</v>
      </c>
      <c r="B7407">
        <v>241852920.56428248</v>
      </c>
    </row>
    <row r="7408" spans="1:2" x14ac:dyDescent="0.25">
      <c r="A7408">
        <f ca="1">31852.280553729*(RANDBETWEEN(2890,3282))</f>
        <v>101322104.44141188</v>
      </c>
      <c r="B7408">
        <v>215536140.16516882</v>
      </c>
    </row>
    <row r="7409" spans="1:2" x14ac:dyDescent="0.25">
      <c r="A7409">
        <f ca="1">32504.2156353382*(RANDBETWEEN(2890,3282))</f>
        <v>106321289.34319131</v>
      </c>
      <c r="B7409">
        <v>263856542.86274341</v>
      </c>
    </row>
    <row r="7410" spans="1:2" x14ac:dyDescent="0.25">
      <c r="A7410">
        <f ca="1">39853.1577528589*(RANDBETWEEN(2890,3282))</f>
        <v>130399532.1673544</v>
      </c>
      <c r="B7410">
        <v>267654293.41670936</v>
      </c>
    </row>
    <row r="7411" spans="1:2" x14ac:dyDescent="0.25">
      <c r="A7411">
        <f ca="1">35267.9943887208*(RANDBETWEEN(2890,3282))</f>
        <v>108131670.7958179</v>
      </c>
      <c r="B7411">
        <v>220086028.14184445</v>
      </c>
    </row>
    <row r="7412" spans="1:2" x14ac:dyDescent="0.25">
      <c r="A7412">
        <f ca="1">38809.0514729705*(RANDBETWEEN(2890,3282))</f>
        <v>114797174.25704663</v>
      </c>
      <c r="B7412">
        <v>253348323.32620418</v>
      </c>
    </row>
    <row r="7413" spans="1:2" x14ac:dyDescent="0.25">
      <c r="A7413">
        <f ca="1">37299.3996074118*(RANDBETWEEN(2890,3282))</f>
        <v>118313695.55471019</v>
      </c>
      <c r="B7413">
        <v>252170565.75947198</v>
      </c>
    </row>
    <row r="7414" spans="1:2" x14ac:dyDescent="0.25">
      <c r="A7414">
        <f ca="1">30799.7695181064*(RANDBETWEEN(2890,3282))</f>
        <v>93415700.948416829</v>
      </c>
      <c r="B7414">
        <v>210429565.24066815</v>
      </c>
    </row>
    <row r="7415" spans="1:2" x14ac:dyDescent="0.25">
      <c r="A7415">
        <f ca="1">30601.4470010468*(RANDBETWEEN(2890,3282))</f>
        <v>93762833.611207366</v>
      </c>
      <c r="B7415">
        <v>213878817.3169747</v>
      </c>
    </row>
    <row r="7416" spans="1:2" x14ac:dyDescent="0.25">
      <c r="A7416">
        <f ca="1">29723.1763938432*(RANDBETWEEN(2890,3282))</f>
        <v>97165063.631473407</v>
      </c>
      <c r="B7416">
        <v>233157113.06730419</v>
      </c>
    </row>
    <row r="7417" spans="1:2" x14ac:dyDescent="0.25">
      <c r="A7417">
        <f ca="1">38090.1156892818*(RANDBETWEEN(2890,3282))</f>
        <v>116708114.47195944</v>
      </c>
      <c r="B7417">
        <v>261375827.96404496</v>
      </c>
    </row>
    <row r="7418" spans="1:2" x14ac:dyDescent="0.25">
      <c r="A7418">
        <f ca="1">29371.2243634314*(RANDBETWEEN(2890,3282))</f>
        <v>94487228.777158871</v>
      </c>
      <c r="B7418">
        <v>233547262.23526272</v>
      </c>
    </row>
    <row r="7419" spans="1:2" x14ac:dyDescent="0.25">
      <c r="A7419">
        <f ca="1">31742.437942634*(RANDBETWEEN(2890,3282))</f>
        <v>96497011.345607266</v>
      </c>
      <c r="B7419">
        <v>217174061.85627681</v>
      </c>
    </row>
    <row r="7420" spans="1:2" x14ac:dyDescent="0.25">
      <c r="A7420">
        <f ca="1">30951.6393175991*(RANDBETWEEN(2890,3282))</f>
        <v>92173981.8878102</v>
      </c>
      <c r="B7420">
        <v>223882970.87212965</v>
      </c>
    </row>
    <row r="7421" spans="1:2" x14ac:dyDescent="0.25">
      <c r="A7421">
        <f ca="1">30244.5469509876*(RANDBETWEEN(2890,3282))</f>
        <v>92366846.388316125</v>
      </c>
      <c r="B7421">
        <v>235821937.38908148</v>
      </c>
    </row>
    <row r="7422" spans="1:2" x14ac:dyDescent="0.25">
      <c r="A7422">
        <f ca="1">41962.8107790924*(RANDBETWEEN(2890,3282))</f>
        <v>122279630.61027524</v>
      </c>
      <c r="B7422">
        <v>244725488.30461821</v>
      </c>
    </row>
    <row r="7423" spans="1:2" x14ac:dyDescent="0.25">
      <c r="A7423">
        <f ca="1">31119.0769305839*(RANDBETWEEN(2890,3282))</f>
        <v>101914976.94766229</v>
      </c>
      <c r="B7423">
        <v>220297811.50799966</v>
      </c>
    </row>
    <row r="7424" spans="1:2" x14ac:dyDescent="0.25">
      <c r="A7424">
        <f ca="1">29437.3457500349*(RANDBETWEEN(2890,3282))</f>
        <v>95053189.426862836</v>
      </c>
      <c r="B7424">
        <v>206325306.35116053</v>
      </c>
    </row>
    <row r="7425" spans="1:2" x14ac:dyDescent="0.25">
      <c r="A7425">
        <f ca="1">29433.8469642049*(RANDBETWEEN(2890,3282))</f>
        <v>87653996.25940232</v>
      </c>
      <c r="B7425">
        <v>207573007.59691867</v>
      </c>
    </row>
    <row r="7426" spans="1:2" x14ac:dyDescent="0.25">
      <c r="A7426">
        <f ca="1">31595.4356322*(RANDBETWEEN(2890,3282))</f>
        <v>98261804.816142127</v>
      </c>
      <c r="B7426">
        <v>217174444.93282211</v>
      </c>
    </row>
    <row r="7427" spans="1:2" x14ac:dyDescent="0.25">
      <c r="A7427">
        <f ca="1">36338.4503892876*(RANDBETWEEN(2890,3282))</f>
        <v>118972086.57452765</v>
      </c>
      <c r="B7427">
        <v>252723831.74155095</v>
      </c>
    </row>
    <row r="7428" spans="1:2" x14ac:dyDescent="0.25">
      <c r="A7428">
        <f ca="1">31519.0118131802*(RANDBETWEEN(2890,3282))</f>
        <v>99032735.117012128</v>
      </c>
      <c r="B7428">
        <v>239960401.66373694</v>
      </c>
    </row>
    <row r="7429" spans="1:2" x14ac:dyDescent="0.25">
      <c r="A7429">
        <f ca="1">37908.7692469453*(RANDBETWEEN(2890,3282))</f>
        <v>111375964.04752515</v>
      </c>
      <c r="B7429">
        <v>243637849.39372265</v>
      </c>
    </row>
    <row r="7430" spans="1:2" x14ac:dyDescent="0.25">
      <c r="A7430">
        <f ca="1">31131.313293585*(RANDBETWEEN(2890,3282))</f>
        <v>95448606.55813165</v>
      </c>
      <c r="B7430">
        <v>214713670.28593451</v>
      </c>
    </row>
    <row r="7431" spans="1:2" x14ac:dyDescent="0.25">
      <c r="A7431">
        <f ca="1">43038.3293669829*(RANDBETWEEN(2890,3282))</f>
        <v>128641566.4779119</v>
      </c>
      <c r="B7431">
        <v>251716374.15077925</v>
      </c>
    </row>
    <row r="7432" spans="1:2" x14ac:dyDescent="0.25">
      <c r="A7432">
        <f ca="1">36350.9879171307*(RANDBETWEEN(2890,3282))</f>
        <v>116977479.11732653</v>
      </c>
      <c r="B7432">
        <v>251553540.64157617</v>
      </c>
    </row>
    <row r="7433" spans="1:2" x14ac:dyDescent="0.25">
      <c r="A7433">
        <f ca="1">37719.8452261825*(RANDBETWEEN(2890,3282))</f>
        <v>109462990.84638157</v>
      </c>
      <c r="B7433">
        <v>210016613.08384204</v>
      </c>
    </row>
    <row r="7434" spans="1:2" x14ac:dyDescent="0.25">
      <c r="A7434">
        <f ca="1">34452.5891179246*(RANDBETWEEN(2890,3282))</f>
        <v>104977039.0423163</v>
      </c>
      <c r="B7434">
        <v>211155599.19196972</v>
      </c>
    </row>
    <row r="7435" spans="1:2" x14ac:dyDescent="0.25">
      <c r="A7435">
        <f ca="1">35123.8899600654*(RANDBETWEEN(2890,3282))</f>
        <v>109727032.23524445</v>
      </c>
      <c r="B7435">
        <v>224267038.49692526</v>
      </c>
    </row>
    <row r="7436" spans="1:2" x14ac:dyDescent="0.25">
      <c r="A7436">
        <f ca="1">39373.9865260554*(RANDBETWEEN(2890,3282))</f>
        <v>124697415.3280174</v>
      </c>
      <c r="B7436">
        <v>266411631.66819921</v>
      </c>
    </row>
    <row r="7437" spans="1:2" x14ac:dyDescent="0.25">
      <c r="A7437">
        <f ca="1">29660.7685244666*(RANDBETWEEN(2890,3282))</f>
        <v>91206863.212734744</v>
      </c>
      <c r="B7437">
        <v>216643147.8320877</v>
      </c>
    </row>
    <row r="7438" spans="1:2" x14ac:dyDescent="0.25">
      <c r="A7438">
        <f ca="1">31728.6927839451*(RANDBETWEEN(2890,3282))</f>
        <v>100326126.58283445</v>
      </c>
      <c r="B7438">
        <v>238308924.29664841</v>
      </c>
    </row>
    <row r="7439" spans="1:2" x14ac:dyDescent="0.25">
      <c r="A7439">
        <f ca="1">35263.498338538*(RANDBETWEEN(2890,3282))</f>
        <v>114747423.59360249</v>
      </c>
      <c r="B7439">
        <v>266156480.99896279</v>
      </c>
    </row>
    <row r="7440" spans="1:2" x14ac:dyDescent="0.25">
      <c r="A7440">
        <f ca="1">39460.3579543869*(RANDBETWEEN(2890,3282))</f>
        <v>114592879.49953952</v>
      </c>
      <c r="B7440">
        <v>205205315.38626495</v>
      </c>
    </row>
    <row r="7441" spans="1:2" x14ac:dyDescent="0.25">
      <c r="A7441">
        <f ca="1">32553.3372505928*(RANDBETWEEN(2890,3282))</f>
        <v>106612179.49569143</v>
      </c>
      <c r="B7441">
        <v>245644370.51537389</v>
      </c>
    </row>
    <row r="7442" spans="1:2" x14ac:dyDescent="0.25">
      <c r="A7442">
        <f ca="1">30246.7331628687*(RANDBETWEEN(2890,3282))</f>
        <v>87564292.506504819</v>
      </c>
      <c r="B7442">
        <v>243286281.49796197</v>
      </c>
    </row>
    <row r="7443" spans="1:2" x14ac:dyDescent="0.25">
      <c r="A7443">
        <f ca="1">38135.5004448671*(RANDBETWEEN(2890,3282))</f>
        <v>113796333.32748348</v>
      </c>
      <c r="B7443">
        <v>209917318.69365826</v>
      </c>
    </row>
    <row r="7444" spans="1:2" x14ac:dyDescent="0.25">
      <c r="A7444">
        <f ca="1">31122.3530662422*(RANDBETWEEN(2890,3282))</f>
        <v>100213976.87329978</v>
      </c>
      <c r="B7444">
        <v>205101606.8920427</v>
      </c>
    </row>
    <row r="7445" spans="1:2" x14ac:dyDescent="0.25">
      <c r="A7445">
        <f ca="1">33501.7837833802*(RANDBETWEEN(2890,3282))</f>
        <v>104793579.6744132</v>
      </c>
      <c r="B7445">
        <v>209838855.32346755</v>
      </c>
    </row>
    <row r="7446" spans="1:2" x14ac:dyDescent="0.25">
      <c r="A7446">
        <f ca="1">40003.6747658716*(RANDBETWEEN(2890,3282))</f>
        <v>121611171.28824976</v>
      </c>
      <c r="B7446">
        <v>246338536.56596041</v>
      </c>
    </row>
    <row r="7447" spans="1:2" x14ac:dyDescent="0.25">
      <c r="A7447">
        <f ca="1">28204.3610022855*(RANDBETWEEN(2890,3282))</f>
        <v>90366772.651322618</v>
      </c>
      <c r="B7447">
        <v>205284966.40526554</v>
      </c>
    </row>
    <row r="7448" spans="1:2" x14ac:dyDescent="0.25">
      <c r="A7448">
        <f ca="1">33369.5216724076*(RANDBETWEEN(2890,3282))</f>
        <v>97205416.631723389</v>
      </c>
      <c r="B7448">
        <v>254525907.62480646</v>
      </c>
    </row>
    <row r="7449" spans="1:2" x14ac:dyDescent="0.25">
      <c r="A7449">
        <f ca="1">32125.2896995102*(RANDBETWEEN(2890,3282))</f>
        <v>103122179.9354278</v>
      </c>
      <c r="B7449">
        <v>216597858.35302386</v>
      </c>
    </row>
    <row r="7450" spans="1:2" x14ac:dyDescent="0.25">
      <c r="A7450">
        <f ca="1">31384.5666185063*(RANDBETWEEN(2890,3282))</f>
        <v>91737088.225893885</v>
      </c>
      <c r="B7450">
        <v>223731066.83225411</v>
      </c>
    </row>
    <row r="7451" spans="1:2" x14ac:dyDescent="0.25">
      <c r="A7451">
        <f ca="1">35230.9530375831*(RANDBETWEEN(2890,3282))</f>
        <v>110589961.5849735</v>
      </c>
      <c r="B7451">
        <v>208329341.87302935</v>
      </c>
    </row>
    <row r="7452" spans="1:2" x14ac:dyDescent="0.25">
      <c r="A7452">
        <f ca="1">38720.9855495856*(RANDBETWEEN(2890,3282))</f>
        <v>124952620.36851273</v>
      </c>
      <c r="B7452">
        <v>258113607.74706593</v>
      </c>
    </row>
    <row r="7453" spans="1:2" x14ac:dyDescent="0.25">
      <c r="A7453">
        <f ca="1">37035.6050576677*(RANDBETWEEN(2890,3282))</f>
        <v>112625274.98036739</v>
      </c>
      <c r="B7453">
        <v>216912695.54603207</v>
      </c>
    </row>
    <row r="7454" spans="1:2" x14ac:dyDescent="0.25">
      <c r="A7454">
        <f ca="1">31617.6548811669*(RANDBETWEEN(2890,3282))</f>
        <v>103041937.25772309</v>
      </c>
      <c r="B7454">
        <v>245110491.49237317</v>
      </c>
    </row>
    <row r="7455" spans="1:2" x14ac:dyDescent="0.25">
      <c r="A7455">
        <f ca="1">34551.9483410301*(RANDBETWEEN(2890,3282))</f>
        <v>104035916.45484149</v>
      </c>
      <c r="B7455">
        <v>238368445.00659603</v>
      </c>
    </row>
    <row r="7456" spans="1:2" x14ac:dyDescent="0.25">
      <c r="A7456">
        <f ca="1">32779.2177616887*(RANDBETWEEN(2890,3282))</f>
        <v>106499678.50772662</v>
      </c>
      <c r="B7456">
        <v>236339663.87719175</v>
      </c>
    </row>
    <row r="7457" spans="1:2" x14ac:dyDescent="0.25">
      <c r="A7457">
        <f ca="1">37431.3376837402*(RANDBETWEEN(2890,3282))</f>
        <v>115213657.39055248</v>
      </c>
      <c r="B7457">
        <v>207551404.12277931</v>
      </c>
    </row>
    <row r="7458" spans="1:2" x14ac:dyDescent="0.25">
      <c r="A7458">
        <f ca="1">31464.9554938896*(RANDBETWEEN(2890,3282))</f>
        <v>101033972.09087951</v>
      </c>
      <c r="B7458">
        <v>218694652.98059052</v>
      </c>
    </row>
    <row r="7459" spans="1:2" x14ac:dyDescent="0.25">
      <c r="A7459">
        <f ca="1">33877.1247830318*(RANDBETWEEN(2890,3282))</f>
        <v>100140780.85864207</v>
      </c>
      <c r="B7459">
        <v>263082693.81035286</v>
      </c>
    </row>
    <row r="7460" spans="1:2" x14ac:dyDescent="0.25">
      <c r="A7460">
        <f ca="1">32237.7451288886*(RANDBETWEEN(2890,3282))</f>
        <v>93682887.344550177</v>
      </c>
      <c r="B7460">
        <v>207453992.24073505</v>
      </c>
    </row>
    <row r="7461" spans="1:2" x14ac:dyDescent="0.25">
      <c r="A7461">
        <f ca="1">29077.0430961302*(RANDBETWEEN(2890,3282))</f>
        <v>95343624.312211007</v>
      </c>
      <c r="B7461">
        <v>250380410.22777581</v>
      </c>
    </row>
    <row r="7462" spans="1:2" x14ac:dyDescent="0.25">
      <c r="A7462">
        <f ca="1">33746.6896305318*(RANDBETWEEN(2890,3282))</f>
        <v>110419168.47110017</v>
      </c>
      <c r="B7462">
        <v>247461584.36859387</v>
      </c>
    </row>
    <row r="7463" spans="1:2" x14ac:dyDescent="0.25">
      <c r="A7463">
        <f ca="1">38605.210391745*(RANDBETWEEN(2890,3282))</f>
        <v>126432064.03296499</v>
      </c>
      <c r="B7463">
        <v>225759028.91995555</v>
      </c>
    </row>
    <row r="7464" spans="1:2" x14ac:dyDescent="0.25">
      <c r="A7464">
        <f ca="1">37167.9657339552*(RANDBETWEEN(2890,3282))</f>
        <v>109273819.25782822</v>
      </c>
      <c r="B7464">
        <v>259807163.42699307</v>
      </c>
    </row>
    <row r="7465" spans="1:2" x14ac:dyDescent="0.25">
      <c r="A7465">
        <f ca="1">40572.9531274968*(RANDBETWEEN(2890,3282))</f>
        <v>121029119.17932291</v>
      </c>
      <c r="B7465">
        <v>256716931.87558824</v>
      </c>
    </row>
    <row r="7466" spans="1:2" x14ac:dyDescent="0.25">
      <c r="A7466">
        <f ca="1">31171.5249827563*(RANDBETWEEN(2890,3282))</f>
        <v>96943442.696372077</v>
      </c>
      <c r="B7466">
        <v>206224157.11302692</v>
      </c>
    </row>
    <row r="7467" spans="1:2" x14ac:dyDescent="0.25">
      <c r="A7467">
        <f ca="1">31937.0023619298*(RANDBETWEEN(2890,3282))</f>
        <v>96130377.109408602</v>
      </c>
      <c r="B7467">
        <v>244536115.56619093</v>
      </c>
    </row>
    <row r="7468" spans="1:2" x14ac:dyDescent="0.25">
      <c r="A7468">
        <f ca="1">29181.2992667446*(RANDBETWEEN(2890,3282))</f>
        <v>93555245.449183196</v>
      </c>
      <c r="B7468">
        <v>221207914.95408118</v>
      </c>
    </row>
    <row r="7469" spans="1:2" x14ac:dyDescent="0.25">
      <c r="A7469">
        <f ca="1">35432.9001924922*(RANDBETWEEN(2890,3282))</f>
        <v>108743570.69075857</v>
      </c>
      <c r="B7469">
        <v>217530515.22700435</v>
      </c>
    </row>
    <row r="7470" spans="1:2" x14ac:dyDescent="0.25">
      <c r="A7470">
        <f ca="1">32064.6791061979*(RANDBETWEEN(2890,3282))</f>
        <v>98406500.176921308</v>
      </c>
      <c r="B7470">
        <v>248019035.34900132</v>
      </c>
    </row>
    <row r="7471" spans="1:2" x14ac:dyDescent="0.25">
      <c r="A7471">
        <f ca="1">31712.2488795402*(RANDBETWEEN(2890,3282))</f>
        <v>99703310.477274492</v>
      </c>
      <c r="B7471">
        <v>227504509.58921182</v>
      </c>
    </row>
    <row r="7472" spans="1:2" x14ac:dyDescent="0.25">
      <c r="A7472">
        <f ca="1">31205.9199139552*(RANDBETWEEN(2890,3282))</f>
        <v>92868817.663930714</v>
      </c>
      <c r="B7472">
        <v>264332183.4053089</v>
      </c>
    </row>
    <row r="7473" spans="1:2" x14ac:dyDescent="0.25">
      <c r="A7473">
        <f ca="1">32265.3908829796*(RANDBETWEEN(2890,3282))</f>
        <v>99183811.574279144</v>
      </c>
      <c r="B7473">
        <v>246286199.50260013</v>
      </c>
    </row>
    <row r="7474" spans="1:2" x14ac:dyDescent="0.25">
      <c r="A7474">
        <f ca="1">32210.118172616*(RANDBETWEEN(2890,3282))</f>
        <v>99464844.917038307</v>
      </c>
      <c r="B7474">
        <v>255009133.91210493</v>
      </c>
    </row>
    <row r="7475" spans="1:2" x14ac:dyDescent="0.25">
      <c r="A7475">
        <f ca="1">33885.0364059259*(RANDBETWEEN(2890,3282))</f>
        <v>110397448.61050645</v>
      </c>
      <c r="B7475">
        <v>210847154.93441695</v>
      </c>
    </row>
    <row r="7476" spans="1:2" x14ac:dyDescent="0.25">
      <c r="A7476">
        <f ca="1">37431.7323045915*(RANDBETWEEN(2890,3282))</f>
        <v>111321971.87385513</v>
      </c>
      <c r="B7476">
        <v>209414391.49352664</v>
      </c>
    </row>
    <row r="7477" spans="1:2" x14ac:dyDescent="0.25">
      <c r="A7477">
        <f ca="1">38487.0269566794*(RANDBETWEEN(2890,3282))</f>
        <v>115153184.65438469</v>
      </c>
      <c r="B7477">
        <v>240354029.40054697</v>
      </c>
    </row>
    <row r="7478" spans="1:2" x14ac:dyDescent="0.25">
      <c r="A7478">
        <f ca="1">32521.7920739839*(RANDBETWEEN(2890,3282))</f>
        <v>105012866.60689391</v>
      </c>
      <c r="B7478">
        <v>239409373.6885595</v>
      </c>
    </row>
    <row r="7479" spans="1:2" x14ac:dyDescent="0.25">
      <c r="A7479">
        <f ca="1">30932.0159206883*(RANDBETWEEN(2890,3282))</f>
        <v>92239271.475492612</v>
      </c>
      <c r="B7479">
        <v>237405250.76855382</v>
      </c>
    </row>
    <row r="7480" spans="1:2" x14ac:dyDescent="0.25">
      <c r="A7480">
        <f ca="1">39990.9296095778*(RANDBETWEEN(2890,3282))</f>
        <v>118253178.85552141</v>
      </c>
      <c r="B7480">
        <v>217418919.21476379</v>
      </c>
    </row>
    <row r="7481" spans="1:2" x14ac:dyDescent="0.25">
      <c r="A7481">
        <f ca="1">32028.525654836*(RANDBETWEEN(2890,3282))</f>
        <v>92818667.347714737</v>
      </c>
      <c r="B7481">
        <v>204442834.17025393</v>
      </c>
    </row>
    <row r="7482" spans="1:2" x14ac:dyDescent="0.25">
      <c r="A7482">
        <f ca="1">39032.6451050861*(RANDBETWEEN(2890,3282))</f>
        <v>125450921.36774668</v>
      </c>
      <c r="B7482">
        <v>219067996.19228593</v>
      </c>
    </row>
    <row r="7483" spans="1:2" x14ac:dyDescent="0.25">
      <c r="A7483">
        <f ca="1">35899.2738674898*(RANDBETWEEN(2890,3282))</f>
        <v>105651562.99202245</v>
      </c>
      <c r="B7483">
        <v>208876608.83235672</v>
      </c>
    </row>
    <row r="7484" spans="1:2" x14ac:dyDescent="0.25">
      <c r="A7484">
        <f ca="1">39346.4406749808*(RANDBETWEEN(2890,3282))</f>
        <v>124610177.61766429</v>
      </c>
      <c r="B7484">
        <v>230652058.35867256</v>
      </c>
    </row>
    <row r="7485" spans="1:2" x14ac:dyDescent="0.25">
      <c r="A7485">
        <f ca="1">39163.0377454427*(RANDBETWEEN(2890,3282))</f>
        <v>126300796.72905274</v>
      </c>
      <c r="B7485">
        <v>237416854.00549453</v>
      </c>
    </row>
    <row r="7486" spans="1:2" x14ac:dyDescent="0.25">
      <c r="A7486">
        <f ca="1">33455.0842032782*(RANDBETWEEN(2890,3282))</f>
        <v>99863426.346785307</v>
      </c>
      <c r="B7486">
        <v>223242026.57410568</v>
      </c>
    </row>
    <row r="7487" spans="1:2" x14ac:dyDescent="0.25">
      <c r="A7487">
        <f ca="1">32626.6737818267*(RANDBETWEEN(2890,3282))</f>
        <v>107080743.35195535</v>
      </c>
      <c r="B7487">
        <v>250262620.47681099</v>
      </c>
    </row>
    <row r="7488" spans="1:2" x14ac:dyDescent="0.25">
      <c r="A7488">
        <f ca="1">34477.1007895719*(RANDBETWEEN(2890,3282))</f>
        <v>110361199.62741975</v>
      </c>
      <c r="B7488">
        <v>226384456.20727754</v>
      </c>
    </row>
    <row r="7489" spans="1:2" x14ac:dyDescent="0.25">
      <c r="A7489">
        <f ca="1">35463.4262296802*(RANDBETWEEN(2890,3282))</f>
        <v>103588668.01689601</v>
      </c>
      <c r="B7489">
        <v>233807063.59160089</v>
      </c>
    </row>
    <row r="7490" spans="1:2" x14ac:dyDescent="0.25">
      <c r="A7490">
        <f ca="1">41264.5748527881*(RANDBETWEEN(2890,3282))</f>
        <v>129900881.63657703</v>
      </c>
      <c r="B7490">
        <v>220533807.94652641</v>
      </c>
    </row>
    <row r="7491" spans="1:2" x14ac:dyDescent="0.25">
      <c r="A7491">
        <f ca="1">34414.3635865256*(RANDBETWEEN(2890,3282))</f>
        <v>99904897.491683736</v>
      </c>
      <c r="B7491">
        <v>241353275.70394075</v>
      </c>
    </row>
    <row r="7492" spans="1:2" x14ac:dyDescent="0.25">
      <c r="A7492">
        <f ca="1">31433.1831112173*(RANDBETWEEN(2890,3282))</f>
        <v>102786508.77368042</v>
      </c>
      <c r="B7492">
        <v>217468565.73676986</v>
      </c>
    </row>
    <row r="7493" spans="1:2" x14ac:dyDescent="0.25">
      <c r="A7493">
        <f ca="1">31831.4316078502*(RANDBETWEEN(2890,3282))</f>
        <v>103674972.74676798</v>
      </c>
      <c r="B7493">
        <v>247809533.56300715</v>
      </c>
    </row>
    <row r="7494" spans="1:2" x14ac:dyDescent="0.25">
      <c r="A7494">
        <f ca="1">29272.6008838767*(RANDBETWEEN(2890,3282))</f>
        <v>88373982.068423837</v>
      </c>
      <c r="B7494">
        <v>229308791.26630175</v>
      </c>
    </row>
    <row r="7495" spans="1:2" x14ac:dyDescent="0.25">
      <c r="A7495">
        <f ca="1">34172.7152324252*(RANDBETWEEN(2890,3282))</f>
        <v>103509154.43901598</v>
      </c>
      <c r="B7495">
        <v>224547169.77064943</v>
      </c>
    </row>
    <row r="7496" spans="1:2" x14ac:dyDescent="0.25">
      <c r="A7496">
        <f ca="1">30712.4614746215*(RANDBETWEEN(2890,3282))</f>
        <v>89158275.66082634</v>
      </c>
      <c r="B7496">
        <v>236928004.51491165</v>
      </c>
    </row>
    <row r="7497" spans="1:2" x14ac:dyDescent="0.25">
      <c r="A7497">
        <f ca="1">30844.1011560582*(RANDBETWEEN(2890,3282))</f>
        <v>91946265.54620944</v>
      </c>
      <c r="B7497">
        <v>212440888.80883634</v>
      </c>
    </row>
    <row r="7498" spans="1:2" x14ac:dyDescent="0.25">
      <c r="A7498">
        <f ca="1">37170.1497944497*(RANDBETWEEN(2890,3282))</f>
        <v>112030831.48047131</v>
      </c>
      <c r="B7498">
        <v>208050024.49445361</v>
      </c>
    </row>
    <row r="7499" spans="1:2" x14ac:dyDescent="0.25">
      <c r="A7499">
        <f ca="1">38852.0939773163*(RANDBETWEEN(2890,3282))</f>
        <v>119625597.3561569</v>
      </c>
      <c r="B7499">
        <v>251542105.11773562</v>
      </c>
    </row>
    <row r="7500" spans="1:2" x14ac:dyDescent="0.25">
      <c r="A7500">
        <f ca="1">40712.0286310995*(RANDBETWEEN(2890,3282))</f>
        <v>130400627.70541163</v>
      </c>
      <c r="B7500">
        <v>257100981.31868061</v>
      </c>
    </row>
    <row r="7501" spans="1:2" x14ac:dyDescent="0.25">
      <c r="A7501">
        <f ca="1">31332.7234168575*(RANDBETWEEN(2890,3282))</f>
        <v>91585550.547474489</v>
      </c>
      <c r="B7501">
        <v>206333762.23480791</v>
      </c>
    </row>
    <row r="7502" spans="1:2" x14ac:dyDescent="0.25">
      <c r="A7502">
        <f ca="1">36870.9415058783*(RANDBETWEEN(2890,3282))</f>
        <v>110280986.04408199</v>
      </c>
      <c r="B7502">
        <v>223760974.69356108</v>
      </c>
    </row>
    <row r="7503" spans="1:2" x14ac:dyDescent="0.25">
      <c r="A7503">
        <f ca="1">31545.3583519656*(RANDBETWEEN(2890,3282))</f>
        <v>95109255.431176156</v>
      </c>
      <c r="B7503">
        <v>211505996.83800778</v>
      </c>
    </row>
    <row r="7504" spans="1:2" x14ac:dyDescent="0.25">
      <c r="A7504">
        <f ca="1">37522.7673011989*(RANDBETWEEN(2890,3282))</f>
        <v>117221125.0489454</v>
      </c>
      <c r="B7504">
        <v>262969578.11886925</v>
      </c>
    </row>
    <row r="7505" spans="1:2" x14ac:dyDescent="0.25">
      <c r="A7505">
        <f ca="1">33728.5167430669*(RANDBETWEEN(2890,3282))</f>
        <v>99229296.258102894</v>
      </c>
      <c r="B7505">
        <v>239265647.85230604</v>
      </c>
    </row>
    <row r="7506" spans="1:2" x14ac:dyDescent="0.25">
      <c r="A7506">
        <f ca="1">36413.0140313198*(RANDBETWEEN(2890,3282))</f>
        <v>112953169.52515388</v>
      </c>
      <c r="B7506">
        <v>264720774.42342472</v>
      </c>
    </row>
    <row r="7507" spans="1:2" x14ac:dyDescent="0.25">
      <c r="A7507">
        <f ca="1">34138.4460308052*(RANDBETWEEN(2890,3282))</f>
        <v>101459461.60355307</v>
      </c>
      <c r="B7507">
        <v>238559650.96474138</v>
      </c>
    </row>
    <row r="7508" spans="1:2" x14ac:dyDescent="0.25">
      <c r="A7508">
        <f ca="1">32951.8297610382*(RANDBETWEEN(2890,3282))</f>
        <v>102743805.19491717</v>
      </c>
      <c r="B7508">
        <v>245925485.84500429</v>
      </c>
    </row>
    <row r="7509" spans="1:2" x14ac:dyDescent="0.25">
      <c r="A7509">
        <f ca="1">31304.2012897662*(RANDBETWEEN(2890,3282))</f>
        <v>91408267.766117334</v>
      </c>
      <c r="B7509">
        <v>215436148.43022063</v>
      </c>
    </row>
    <row r="7510" spans="1:2" x14ac:dyDescent="0.25">
      <c r="A7510">
        <f ca="1">32884.7054170358*(RANDBETWEEN(2890,3282))</f>
        <v>107204139.65953656</v>
      </c>
      <c r="B7510">
        <v>256516522.46155614</v>
      </c>
    </row>
    <row r="7511" spans="1:2" x14ac:dyDescent="0.25">
      <c r="A7511">
        <f ca="1">38502.4033120513*(RANDBETWEEN(2890,3282))</f>
        <v>123169188.19525199</v>
      </c>
      <c r="B7511">
        <v>231975979.89884487</v>
      </c>
    </row>
    <row r="7512" spans="1:2" x14ac:dyDescent="0.25">
      <c r="A7512">
        <f ca="1">34309.1307095154*(RANDBETWEEN(2890,3282))</f>
        <v>107113106.07510723</v>
      </c>
      <c r="B7512">
        <v>233550581.21549213</v>
      </c>
    </row>
    <row r="7513" spans="1:2" x14ac:dyDescent="0.25">
      <c r="A7513">
        <f ca="1">29486.6128454513*(RANDBETWEEN(2890,3282))</f>
        <v>86956021.281235874</v>
      </c>
      <c r="B7513">
        <v>223759108.35845214</v>
      </c>
    </row>
    <row r="7514" spans="1:2" x14ac:dyDescent="0.25">
      <c r="A7514">
        <f ca="1">30609.8130770062*(RANDBETWEEN(2890,3282))</f>
        <v>97951401.84641993</v>
      </c>
      <c r="B7514">
        <v>236943274.25713253</v>
      </c>
    </row>
    <row r="7515" spans="1:2" x14ac:dyDescent="0.25">
      <c r="A7515">
        <f ca="1">33283.7525775471*(RANDBETWEEN(2890,3282))</f>
        <v>105176658.14504875</v>
      </c>
      <c r="B7515">
        <v>233194933.34444046</v>
      </c>
    </row>
    <row r="7516" spans="1:2" x14ac:dyDescent="0.25">
      <c r="A7516">
        <f ca="1">38268.8133264843*(RANDBETWEEN(2890,3282))</f>
        <v>113887988.45961721</v>
      </c>
      <c r="B7516">
        <v>213037781.53250006</v>
      </c>
    </row>
    <row r="7517" spans="1:2" x14ac:dyDescent="0.25">
      <c r="A7517">
        <f ca="1">30552.9125105709*(RANDBETWEEN(2890,3282))</f>
        <v>93736335.582431555</v>
      </c>
      <c r="B7517">
        <v>248891964.7562108</v>
      </c>
    </row>
    <row r="7518" spans="1:2" x14ac:dyDescent="0.25">
      <c r="A7518">
        <f ca="1">31525.6679057627*(RANDBETWEEN(2890,3282))</f>
        <v>96153287.112576365</v>
      </c>
      <c r="B7518">
        <v>216409365.65594384</v>
      </c>
    </row>
    <row r="7519" spans="1:2" x14ac:dyDescent="0.25">
      <c r="A7519">
        <f ca="1">33653.2072508787*(RANDBETWEEN(2890,3282))</f>
        <v>108666206.21308738</v>
      </c>
      <c r="B7519">
        <v>206167531.47496271</v>
      </c>
    </row>
    <row r="7520" spans="1:2" x14ac:dyDescent="0.25">
      <c r="A7520">
        <f ca="1">32293.5408043717*(RANDBETWEEN(2890,3282))</f>
        <v>96073283.893005878</v>
      </c>
      <c r="B7520">
        <v>260662588.2262519</v>
      </c>
    </row>
    <row r="7521" spans="1:2" x14ac:dyDescent="0.25">
      <c r="A7521">
        <f ca="1">37977.1975439024*(RANDBETWEEN(2890,3282))</f>
        <v>123843641.19066569</v>
      </c>
      <c r="B7521">
        <v>256622107.9320603</v>
      </c>
    </row>
    <row r="7522" spans="1:2" x14ac:dyDescent="0.25">
      <c r="A7522">
        <f ca="1">33063.0036641359*(RANDBETWEEN(2890,3282))</f>
        <v>108380526.01103732</v>
      </c>
      <c r="B7522">
        <v>260866540.34615755</v>
      </c>
    </row>
    <row r="7523" spans="1:2" x14ac:dyDescent="0.25">
      <c r="A7523">
        <f ca="1">38607.4477282142*(RANDBETWEEN(2890,3282))</f>
        <v>125821672.14625008</v>
      </c>
      <c r="B7523">
        <v>267422096.8902151</v>
      </c>
    </row>
    <row r="7524" spans="1:2" x14ac:dyDescent="0.25">
      <c r="A7524">
        <f ca="1">40185.0798084075*(RANDBETWEEN(2890,3282))</f>
        <v>118144134.63671796</v>
      </c>
      <c r="B7524">
        <v>263917516.64318556</v>
      </c>
    </row>
    <row r="7525" spans="1:2" x14ac:dyDescent="0.25">
      <c r="A7525">
        <f ca="1">29401.0376924046*(RANDBETWEEN(2890,3282))</f>
        <v>86380248.740284696</v>
      </c>
      <c r="B7525">
        <v>235240135.18160105</v>
      </c>
    </row>
    <row r="7526" spans="1:2" x14ac:dyDescent="0.25">
      <c r="A7526">
        <f ca="1">37179.4698642339*(RANDBETWEEN(2890,3282))</f>
        <v>108564052.00356294</v>
      </c>
      <c r="B7526">
        <v>209253754.2452279</v>
      </c>
    </row>
    <row r="7527" spans="1:2" x14ac:dyDescent="0.25">
      <c r="A7527">
        <f ca="1">32222.7625237368*(RANDBETWEEN(2890,3282))</f>
        <v>98601653.322634637</v>
      </c>
      <c r="B7527">
        <v>216113589.36766529</v>
      </c>
    </row>
    <row r="7528" spans="1:2" x14ac:dyDescent="0.25">
      <c r="A7528">
        <f ca="1">36697.6004937756*(RANDBETWEEN(2890,3282))</f>
        <v>107193691.04231866</v>
      </c>
      <c r="B7528">
        <v>259289839.2133733</v>
      </c>
    </row>
    <row r="7529" spans="1:2" x14ac:dyDescent="0.25">
      <c r="A7529">
        <f ca="1">33514.2226344387*(RANDBETWEEN(2890,3282))</f>
        <v>104229232.39310427</v>
      </c>
      <c r="B7529">
        <v>236231921.25182465</v>
      </c>
    </row>
    <row r="7530" spans="1:2" x14ac:dyDescent="0.25">
      <c r="A7530">
        <f ca="1">40552.7522118941*(RANDBETWEEN(2890,3282))</f>
        <v>122307100.67107253</v>
      </c>
      <c r="B7530">
        <v>221488486.34136808</v>
      </c>
    </row>
    <row r="7531" spans="1:2" x14ac:dyDescent="0.25">
      <c r="A7531">
        <f ca="1">29101.4275895122*(RANDBETWEEN(2890,3282))</f>
        <v>90650946.941330567</v>
      </c>
      <c r="B7531">
        <v>225521265.87637407</v>
      </c>
    </row>
    <row r="7532" spans="1:2" x14ac:dyDescent="0.25">
      <c r="A7532">
        <f ca="1">31884.0342002719*(RANDBETWEEN(2890,3282))</f>
        <v>99095578.294445217</v>
      </c>
      <c r="B7532">
        <v>240763287.74982077</v>
      </c>
    </row>
    <row r="7533" spans="1:2" x14ac:dyDescent="0.25">
      <c r="A7533">
        <f ca="1">30533.2081885363*(RANDBETWEEN(2890,3282))</f>
        <v>90134030.572559148</v>
      </c>
      <c r="B7533">
        <v>204676424.54725379</v>
      </c>
    </row>
    <row r="7534" spans="1:2" x14ac:dyDescent="0.25">
      <c r="A7534">
        <f ca="1">29694.287501431*(RANDBETWEEN(2890,3282))</f>
        <v>87954479.579238623</v>
      </c>
      <c r="B7534">
        <v>210687754.91217583</v>
      </c>
    </row>
    <row r="7535" spans="1:2" x14ac:dyDescent="0.25">
      <c r="A7535">
        <f ca="1">37615.4070149887*(RANDBETWEEN(2890,3282))</f>
        <v>123152842.56707285</v>
      </c>
      <c r="B7535">
        <v>265522201.85114542</v>
      </c>
    </row>
    <row r="7536" spans="1:2" x14ac:dyDescent="0.25">
      <c r="A7536">
        <f ca="1">32059.5200442864*(RANDBETWEEN(2890,3282))</f>
        <v>101692797.58047649</v>
      </c>
      <c r="B7536">
        <v>212024866.18177658</v>
      </c>
    </row>
    <row r="7537" spans="1:2" x14ac:dyDescent="0.25">
      <c r="A7537">
        <f ca="1">32596.9013991218*(RANDBETWEEN(2890,3282))</f>
        <v>105646557.43455373</v>
      </c>
      <c r="B7537">
        <v>256237637.58991918</v>
      </c>
    </row>
    <row r="7538" spans="1:2" x14ac:dyDescent="0.25">
      <c r="A7538">
        <f ca="1">40074.9747597468*(RANDBETWEEN(2890,3282))</f>
        <v>123751522.05809803</v>
      </c>
      <c r="B7538">
        <v>235908832.74470511</v>
      </c>
    </row>
    <row r="7539" spans="1:2" x14ac:dyDescent="0.25">
      <c r="A7539">
        <f ca="1">35304.8928366261*(RANDBETWEEN(2890,3282))</f>
        <v>107044435.0806504</v>
      </c>
      <c r="B7539">
        <v>205868230.09979141</v>
      </c>
    </row>
    <row r="7540" spans="1:2" x14ac:dyDescent="0.25">
      <c r="A7540">
        <f ca="1">39568.9305867191*(RANDBETWEEN(2890,3282))</f>
        <v>126699715.73867466</v>
      </c>
      <c r="B7540">
        <v>226117604.12812036</v>
      </c>
    </row>
    <row r="7541" spans="1:2" x14ac:dyDescent="0.25">
      <c r="A7541">
        <f ca="1">39661.07873086*(RANDBETWEEN(2890,3282))</f>
        <v>127034435.17494443</v>
      </c>
      <c r="B7541">
        <v>205915926.41526857</v>
      </c>
    </row>
    <row r="7542" spans="1:2" x14ac:dyDescent="0.25">
      <c r="A7542">
        <f ca="1">36181.1788564664*(RANDBETWEEN(2890,3282))</f>
        <v>110533501.40650493</v>
      </c>
      <c r="B7542">
        <v>265728767.9807277</v>
      </c>
    </row>
    <row r="7543" spans="1:2" x14ac:dyDescent="0.25">
      <c r="A7543">
        <f ca="1">37411.8605324656*(RANDBETWEEN(2890,3282))</f>
        <v>119269011.3775003</v>
      </c>
      <c r="B7543">
        <v>233641301.90498823</v>
      </c>
    </row>
    <row r="7544" spans="1:2" x14ac:dyDescent="0.25">
      <c r="A7544">
        <f ca="1">34510.5915488136*(RANDBETWEEN(2890,3282))</f>
        <v>109398575.20973921</v>
      </c>
      <c r="B7544">
        <v>239364342.42352104</v>
      </c>
    </row>
    <row r="7545" spans="1:2" x14ac:dyDescent="0.25">
      <c r="A7545">
        <f ca="1">30194.1006274461*(RANDBETWEEN(2890,3282))</f>
        <v>87260950.813319221</v>
      </c>
      <c r="B7545">
        <v>217010395.14282745</v>
      </c>
    </row>
    <row r="7546" spans="1:2" x14ac:dyDescent="0.25">
      <c r="A7546">
        <f ca="1">29936.6660305031*(RANDBETWEEN(2890,3282))</f>
        <v>93043158.022803754</v>
      </c>
      <c r="B7546">
        <v>263373185.41368183</v>
      </c>
    </row>
    <row r="7547" spans="1:2" x14ac:dyDescent="0.25">
      <c r="A7547">
        <f ca="1">31232.5219969157*(RANDBETWEEN(2890,3282))</f>
        <v>95977540.096521854</v>
      </c>
      <c r="B7547">
        <v>226056936.77793813</v>
      </c>
    </row>
    <row r="7548" spans="1:2" x14ac:dyDescent="0.25">
      <c r="A7548">
        <f ca="1">34595.1538502946*(RANDBETWEEN(2890,3282))</f>
        <v>111534776.01334967</v>
      </c>
      <c r="B7548">
        <v>242863137.66902906</v>
      </c>
    </row>
    <row r="7549" spans="1:2" x14ac:dyDescent="0.25">
      <c r="A7549">
        <f ca="1">36739.2813035144*(RANDBETWEEN(2890,3282))</f>
        <v>111356761.63095206</v>
      </c>
      <c r="B7549">
        <v>209369343.75721648</v>
      </c>
    </row>
    <row r="7550" spans="1:2" x14ac:dyDescent="0.25">
      <c r="A7550">
        <f ca="1">41447.7600969059*(RANDBETWEEN(2890,3282))</f>
        <v>128405160.78021455</v>
      </c>
      <c r="B7550">
        <v>232675097.55106047</v>
      </c>
    </row>
    <row r="7551" spans="1:2" x14ac:dyDescent="0.25">
      <c r="A7551">
        <f ca="1">39688.2086217729*(RANDBETWEEN(2890,3282))</f>
        <v>129978883.23630634</v>
      </c>
      <c r="B7551">
        <v>237865456.4993844</v>
      </c>
    </row>
    <row r="7552" spans="1:2" x14ac:dyDescent="0.25">
      <c r="A7552">
        <f ca="1">31005.121115193*(RANDBETWEEN(2890,3282))</f>
        <v>94162552.826841265</v>
      </c>
      <c r="B7552">
        <v>244025426.95872018</v>
      </c>
    </row>
    <row r="7553" spans="1:2" x14ac:dyDescent="0.25">
      <c r="A7553">
        <f ca="1">30616.7082653587*(RANDBETWEEN(2890,3282))</f>
        <v>95891530.287103415</v>
      </c>
      <c r="B7553">
        <v>256604258.01954067</v>
      </c>
    </row>
    <row r="7554" spans="1:2" x14ac:dyDescent="0.25">
      <c r="A7554">
        <f ca="1">32859.3369251692*(RANDBETWEEN(2890,3282))</f>
        <v>101141039.05567072</v>
      </c>
      <c r="B7554">
        <v>218230423.81959096</v>
      </c>
    </row>
    <row r="7555" spans="1:2" x14ac:dyDescent="0.25">
      <c r="A7555">
        <f ca="1">30481.0381811116*(RANDBETWEEN(2890,3282))</f>
        <v>93089090.605114847</v>
      </c>
      <c r="B7555">
        <v>264834423.00264013</v>
      </c>
    </row>
    <row r="7556" spans="1:2" x14ac:dyDescent="0.25">
      <c r="A7556">
        <f ca="1">35602.0840700226*(RANDBETWEEN(2890,3282))</f>
        <v>115101537.79838303</v>
      </c>
      <c r="B7556">
        <v>257997362.335504</v>
      </c>
    </row>
    <row r="7557" spans="1:2" x14ac:dyDescent="0.25">
      <c r="A7557">
        <f ca="1">32003.1287921068*(RANDBETWEEN(2890,3282))</f>
        <v>103242093.48333646</v>
      </c>
      <c r="B7557">
        <v>220450744.72423381</v>
      </c>
    </row>
    <row r="7558" spans="1:2" x14ac:dyDescent="0.25">
      <c r="A7558">
        <f ca="1">40436.8603956282*(RANDBETWEEN(2890,3282))</f>
        <v>125111646.06407355</v>
      </c>
      <c r="B7558">
        <v>222833851.39871654</v>
      </c>
    </row>
    <row r="7559" spans="1:2" x14ac:dyDescent="0.25">
      <c r="A7559">
        <f ca="1">36878.2502732475*(RANDBETWEEN(2890,3282))</f>
        <v>120407487.14215297</v>
      </c>
      <c r="B7559">
        <v>259700713.70102835</v>
      </c>
    </row>
    <row r="7560" spans="1:2" x14ac:dyDescent="0.25">
      <c r="A7560">
        <f ca="1">31306.7213366691*(RANDBETWEEN(2890,3282))</f>
        <v>100212814.99867788</v>
      </c>
      <c r="B7560">
        <v>250721765.41826373</v>
      </c>
    </row>
    <row r="7561" spans="1:2" x14ac:dyDescent="0.25">
      <c r="A7561">
        <f ca="1">29959.7944058367*(RANDBETWEEN(2890,3282))</f>
        <v>92905322.452499539</v>
      </c>
      <c r="B7561">
        <v>237913701.82087001</v>
      </c>
    </row>
    <row r="7562" spans="1:2" x14ac:dyDescent="0.25">
      <c r="A7562">
        <f ca="1">30212.9038348684*(RANDBETWEEN(2890,3282))</f>
        <v>90910627.639119104</v>
      </c>
      <c r="B7562">
        <v>224407604.0296928</v>
      </c>
    </row>
    <row r="7563" spans="1:2" x14ac:dyDescent="0.25">
      <c r="A7563">
        <f ca="1">36425.9709128097*(RANDBETWEEN(2890,3282))</f>
        <v>114341122.69530964</v>
      </c>
      <c r="B7563">
        <v>256288602.32615677</v>
      </c>
    </row>
    <row r="7564" spans="1:2" x14ac:dyDescent="0.25">
      <c r="A7564">
        <f ca="1">37295.0636592393*(RANDBETWEEN(2890,3282))</f>
        <v>121581907.52912016</v>
      </c>
      <c r="B7564">
        <v>265714403.43476364</v>
      </c>
    </row>
    <row r="7565" spans="1:2" x14ac:dyDescent="0.25">
      <c r="A7565">
        <f ca="1">30641.0716505133*(RANDBETWEEN(2890,3282))</f>
        <v>89655775.649401918</v>
      </c>
      <c r="B7565">
        <v>265700827.07138672</v>
      </c>
    </row>
    <row r="7566" spans="1:2" x14ac:dyDescent="0.25">
      <c r="A7566">
        <f ca="1">31596.4872978165*(RANDBETWEEN(2890,3282))</f>
        <v>96021724.89806436</v>
      </c>
      <c r="B7566">
        <v>219034738.48248491</v>
      </c>
    </row>
    <row r="7567" spans="1:2" x14ac:dyDescent="0.25">
      <c r="A7567">
        <f ca="1">30390.5809338363*(RANDBETWEEN(2890,3282))</f>
        <v>97948842.349754259</v>
      </c>
      <c r="B7567">
        <v>204822318.77648562</v>
      </c>
    </row>
    <row r="7568" spans="1:2" x14ac:dyDescent="0.25">
      <c r="A7568">
        <f ca="1">30950.4424533246*(RANDBETWEEN(2890,3282))</f>
        <v>99289019.390265271</v>
      </c>
      <c r="B7568">
        <v>264715038.9018414</v>
      </c>
    </row>
    <row r="7569" spans="1:2" x14ac:dyDescent="0.25">
      <c r="A7569">
        <f ca="1">37999.9772662088*(RANDBETWEEN(2890,3282))</f>
        <v>114911931.25301537</v>
      </c>
      <c r="B7569">
        <v>216742124.7247183</v>
      </c>
    </row>
    <row r="7570" spans="1:2" x14ac:dyDescent="0.25">
      <c r="A7570">
        <f ca="1">42871.8548423736*(RANDBETWEEN(2890,3282))</f>
        <v>131230747.67250565</v>
      </c>
      <c r="B7570">
        <v>208500607.28943315</v>
      </c>
    </row>
    <row r="7571" spans="1:2" x14ac:dyDescent="0.25">
      <c r="A7571">
        <f ca="1">40950.7021647867*(RANDBETWEEN(2890,3282))</f>
        <v>132229817.29009618</v>
      </c>
      <c r="B7571">
        <v>204855397.25023234</v>
      </c>
    </row>
    <row r="7572" spans="1:2" x14ac:dyDescent="0.25">
      <c r="A7572">
        <f ca="1">28308.3406361533*(RANDBETWEEN(2890,3282))</f>
        <v>88322022.78479816</v>
      </c>
      <c r="B7572">
        <v>246706595.70834363</v>
      </c>
    </row>
    <row r="7573" spans="1:2" x14ac:dyDescent="0.25">
      <c r="A7573">
        <f ca="1">37404.5236114223*(RANDBETWEEN(2890,3282))</f>
        <v>109931894.89397027</v>
      </c>
      <c r="B7573">
        <v>233196398.94210464</v>
      </c>
    </row>
    <row r="7574" spans="1:2" x14ac:dyDescent="0.25">
      <c r="A7574">
        <f ca="1">31517.1204995875*(RANDBETWEEN(2890,3282))</f>
        <v>95622943.595748439</v>
      </c>
      <c r="B7574">
        <v>212205040.2071006</v>
      </c>
    </row>
    <row r="7575" spans="1:2" x14ac:dyDescent="0.25">
      <c r="A7575">
        <f ca="1">37351.8490624059*(RANDBETWEEN(2890,3282))</f>
        <v>108133603.03566508</v>
      </c>
      <c r="B7575">
        <v>219142963.25891286</v>
      </c>
    </row>
    <row r="7576" spans="1:2" x14ac:dyDescent="0.25">
      <c r="A7576">
        <f ca="1">33174.2016500644*(RANDBETWEEN(2890,3282))</f>
        <v>96570101.003337532</v>
      </c>
      <c r="B7576">
        <v>222416244.34161049</v>
      </c>
    </row>
    <row r="7577" spans="1:2" x14ac:dyDescent="0.25">
      <c r="A7577">
        <f ca="1">33113.2371138856*(RANDBETWEEN(2890,3282))</f>
        <v>106856416.16650899</v>
      </c>
      <c r="B7577">
        <v>220647725.77397257</v>
      </c>
    </row>
    <row r="7578" spans="1:2" x14ac:dyDescent="0.25">
      <c r="A7578">
        <f ca="1">29933.4543254881*(RANDBETWEEN(2890,3282))</f>
        <v>96894591.651604906</v>
      </c>
      <c r="B7578">
        <v>244228354.66888696</v>
      </c>
    </row>
    <row r="7579" spans="1:2" x14ac:dyDescent="0.25">
      <c r="A7579">
        <f ca="1">31979.4073543743*(RANDBETWEEN(2890,3282))</f>
        <v>94691025.176302403</v>
      </c>
      <c r="B7579">
        <v>253599252.41835117</v>
      </c>
    </row>
    <row r="7580" spans="1:2" x14ac:dyDescent="0.25">
      <c r="A7580">
        <f ca="1">38229.5627703979*(RANDBETWEEN(2890,3282))</f>
        <v>120117286.22459012</v>
      </c>
      <c r="B7580">
        <v>208548732.71112749</v>
      </c>
    </row>
    <row r="7581" spans="1:2" x14ac:dyDescent="0.25">
      <c r="A7581">
        <f ca="1">35229.2843194914*(RANDBETWEEN(2890,3282))</f>
        <v>105934457.94871071</v>
      </c>
      <c r="B7581">
        <v>230637652.0511007</v>
      </c>
    </row>
    <row r="7582" spans="1:2" x14ac:dyDescent="0.25">
      <c r="A7582">
        <f ca="1">30441.9698983478*(RANDBETWEEN(2890,3282))</f>
        <v>94461432.594573379</v>
      </c>
      <c r="B7582">
        <v>243938654.66236705</v>
      </c>
    </row>
    <row r="7583" spans="1:2" x14ac:dyDescent="0.25">
      <c r="A7583">
        <f ca="1">39471.3904299647*(RANDBETWEEN(2890,3282))</f>
        <v>125361136.00556789</v>
      </c>
      <c r="B7583">
        <v>265029451.22137156</v>
      </c>
    </row>
    <row r="7584" spans="1:2" x14ac:dyDescent="0.25">
      <c r="A7584">
        <f ca="1">31869.4189874585*(RANDBETWEEN(2890,3282))</f>
        <v>92548792.739579365</v>
      </c>
      <c r="B7584">
        <v>247296495.32069251</v>
      </c>
    </row>
    <row r="7585" spans="1:2" x14ac:dyDescent="0.25">
      <c r="A7585">
        <f ca="1">31601.7890152689*(RANDBETWEEN(2890,3282))</f>
        <v>91898002.45640184</v>
      </c>
      <c r="B7585">
        <v>204371530.11375716</v>
      </c>
    </row>
    <row r="7586" spans="1:2" x14ac:dyDescent="0.25">
      <c r="A7586">
        <f ca="1">41141.0548635271*(RANDBETWEEN(2890,3282))</f>
        <v>120666713.91472492</v>
      </c>
      <c r="B7586">
        <v>214567405.15454811</v>
      </c>
    </row>
    <row r="7587" spans="1:2" x14ac:dyDescent="0.25">
      <c r="A7587">
        <f ca="1">31887.2106974301*(RANDBETWEEN(2890,3282))</f>
        <v>95055775.089039057</v>
      </c>
      <c r="B7587">
        <v>221297415.84096408</v>
      </c>
    </row>
    <row r="7588" spans="1:2" x14ac:dyDescent="0.25">
      <c r="A7588">
        <f ca="1">32493.1885602998*(RANDBETWEEN(2890,3282))</f>
        <v>101053816.42253247</v>
      </c>
      <c r="B7588">
        <v>232518760.63581768</v>
      </c>
    </row>
    <row r="7589" spans="1:2" x14ac:dyDescent="0.25">
      <c r="A7589">
        <f ca="1">29364.5890160356*(RANDBETWEEN(2890,3282))</f>
        <v>93438122.249025419</v>
      </c>
      <c r="B7589">
        <v>218206257.28102869</v>
      </c>
    </row>
    <row r="7590" spans="1:2" x14ac:dyDescent="0.25">
      <c r="A7590">
        <f ca="1">31902.5846739299*(RANDBETWEEN(2890,3282))</f>
        <v>92198469.707657412</v>
      </c>
      <c r="B7590">
        <v>234387586.32051289</v>
      </c>
    </row>
    <row r="7591" spans="1:2" x14ac:dyDescent="0.25">
      <c r="A7591">
        <f ca="1">39649.0625375341*(RANDBETWEEN(2890,3282))</f>
        <v>117718066.67393887</v>
      </c>
      <c r="B7591">
        <v>206590767.42107525</v>
      </c>
    </row>
    <row r="7592" spans="1:2" x14ac:dyDescent="0.25">
      <c r="A7592">
        <f ca="1">33396.1284775602*(RANDBETWEEN(2890,3282))</f>
        <v>104329505.36389802</v>
      </c>
      <c r="B7592">
        <v>241515438.72176984</v>
      </c>
    </row>
    <row r="7593" spans="1:2" x14ac:dyDescent="0.25">
      <c r="A7593">
        <f ca="1">33158.3829396952*(RANDBETWEEN(2890,3282))</f>
        <v>104448906.26003984</v>
      </c>
      <c r="B7593">
        <v>239150994.56012774</v>
      </c>
    </row>
    <row r="7594" spans="1:2" x14ac:dyDescent="0.25">
      <c r="A7594">
        <f ca="1">33233.5945168859*(RANDBETWEEN(2890,3282))</f>
        <v>106679838.39920382</v>
      </c>
      <c r="B7594">
        <v>257233111.63092256</v>
      </c>
    </row>
    <row r="7595" spans="1:2" x14ac:dyDescent="0.25">
      <c r="A7595">
        <f ca="1">38405.404839885*(RANDBETWEEN(2890,3282))</f>
        <v>120055295.52948046</v>
      </c>
      <c r="B7595">
        <v>263746498.79804784</v>
      </c>
    </row>
    <row r="7596" spans="1:2" x14ac:dyDescent="0.25">
      <c r="A7596">
        <f ca="1">40260.2479436313*(RANDBETWEEN(2890,3282))</f>
        <v>121867770.52537195</v>
      </c>
      <c r="B7596">
        <v>261754688.82336357</v>
      </c>
    </row>
    <row r="7597" spans="1:2" x14ac:dyDescent="0.25">
      <c r="A7597">
        <f ca="1">32415.1825253451*(RANDBETWEEN(2890,3282))</f>
        <v>98153172.686745033</v>
      </c>
      <c r="B7597">
        <v>218932033.97042152</v>
      </c>
    </row>
    <row r="7598" spans="1:2" x14ac:dyDescent="0.25">
      <c r="A7598">
        <f ca="1">30473.2789773135*(RANDBETWEEN(2890,3282))</f>
        <v>94771897.6194451</v>
      </c>
      <c r="B7598">
        <v>257190582.03191531</v>
      </c>
    </row>
    <row r="7599" spans="1:2" x14ac:dyDescent="0.25">
      <c r="A7599">
        <f ca="1">34562.4420911296*(RANDBETWEEN(2890,3282))</f>
        <v>111394750.85971074</v>
      </c>
      <c r="B7599">
        <v>230609743.82866889</v>
      </c>
    </row>
    <row r="7600" spans="1:2" x14ac:dyDescent="0.25">
      <c r="A7600">
        <f ca="1">29686.4116672096*(RANDBETWEEN(2890,3282))</f>
        <v>85971848.188238978</v>
      </c>
      <c r="B7600">
        <v>267037327.43038863</v>
      </c>
    </row>
    <row r="7601" spans="1:2" x14ac:dyDescent="0.25">
      <c r="A7601">
        <f ca="1">31626.2348261984*(RANDBETWEEN(2890,3282))</f>
        <v>97819944.317431524</v>
      </c>
      <c r="B7601">
        <v>267771893.77307478</v>
      </c>
    </row>
    <row r="7602" spans="1:2" x14ac:dyDescent="0.25">
      <c r="A7602">
        <f ca="1">31225.3026399658*(RANDBETWEEN(2890,3282))</f>
        <v>92239543.998459086</v>
      </c>
      <c r="B7602">
        <v>223878766.96588898</v>
      </c>
    </row>
    <row r="7603" spans="1:2" x14ac:dyDescent="0.25">
      <c r="A7603">
        <f ca="1">33632.4655123726*(RANDBETWEEN(2890,3282))</f>
        <v>104496070.34694168</v>
      </c>
      <c r="B7603">
        <v>245774296.18073994</v>
      </c>
    </row>
    <row r="7604" spans="1:2" x14ac:dyDescent="0.25">
      <c r="A7604">
        <f ca="1">39812.1972719788*(RANDBETWEEN(2890,3282))</f>
        <v>117605230.74142545</v>
      </c>
      <c r="B7604">
        <v>235047218.75000769</v>
      </c>
    </row>
    <row r="7605" spans="1:2" x14ac:dyDescent="0.25">
      <c r="A7605">
        <f ca="1">32613.2797739196*(RANDBETWEEN(2890,3282))</f>
        <v>97676772.922889248</v>
      </c>
      <c r="B7605">
        <v>258754250.91432807</v>
      </c>
    </row>
    <row r="7606" spans="1:2" x14ac:dyDescent="0.25">
      <c r="A7606">
        <f ca="1">33462.2604552991*(RANDBETWEEN(2890,3282))</f>
        <v>108317337.09380341</v>
      </c>
      <c r="B7606">
        <v>213018043.75351959</v>
      </c>
    </row>
    <row r="7607" spans="1:2" x14ac:dyDescent="0.25">
      <c r="A7607">
        <f ca="1">31396.1249106787*(RANDBETWEEN(2890,3282))</f>
        <v>96009349.976855472</v>
      </c>
      <c r="B7607">
        <v>214385238.07374266</v>
      </c>
    </row>
    <row r="7608" spans="1:2" x14ac:dyDescent="0.25">
      <c r="A7608">
        <f ca="1">35253.6593501476*(RANDBETWEEN(2890,3282))</f>
        <v>103857280.44553481</v>
      </c>
      <c r="B7608">
        <v>219973820.63604054</v>
      </c>
    </row>
    <row r="7609" spans="1:2" x14ac:dyDescent="0.25">
      <c r="A7609">
        <f ca="1">30320.8454826928*(RANDBETWEEN(2890,3282))</f>
        <v>88718793.882359028</v>
      </c>
      <c r="B7609">
        <v>237565556.83966741</v>
      </c>
    </row>
    <row r="7610" spans="1:2" x14ac:dyDescent="0.25">
      <c r="A7610">
        <f ca="1">38988.7114340137*(RANDBETWEEN(2890,3282))</f>
        <v>125543650.81752422</v>
      </c>
      <c r="B7610">
        <v>208150331.3641654</v>
      </c>
    </row>
    <row r="7611" spans="1:2" x14ac:dyDescent="0.25">
      <c r="A7611">
        <f ca="1">38097.2676481644*(RANDBETWEEN(2890,3282))</f>
        <v>116577639.00338303</v>
      </c>
      <c r="B7611">
        <v>234239402.65354368</v>
      </c>
    </row>
    <row r="7612" spans="1:2" x14ac:dyDescent="0.25">
      <c r="A7612">
        <f ca="1">29889.8834884904*(RANDBETWEEN(2890,3282))</f>
        <v>93017317.416182101</v>
      </c>
      <c r="B7612">
        <v>218790593.71904477</v>
      </c>
    </row>
    <row r="7613" spans="1:2" x14ac:dyDescent="0.25">
      <c r="A7613">
        <f ca="1">31246.5397530467*(RANDBETWEEN(2890,3282))</f>
        <v>99332749.874935612</v>
      </c>
      <c r="B7613">
        <v>242749970.82295501</v>
      </c>
    </row>
    <row r="7614" spans="1:2" x14ac:dyDescent="0.25">
      <c r="A7614">
        <f ca="1">31384.9305238378*(RANDBETWEEN(2890,3282))</f>
        <v>102785647.46556889</v>
      </c>
      <c r="B7614">
        <v>231011557.04208624</v>
      </c>
    </row>
    <row r="7615" spans="1:2" x14ac:dyDescent="0.25">
      <c r="A7615">
        <f ca="1">40360.7926332561*(RANDBETWEEN(2890,3282))</f>
        <v>131616544.77704839</v>
      </c>
      <c r="B7615">
        <v>263314149.0993768</v>
      </c>
    </row>
    <row r="7616" spans="1:2" x14ac:dyDescent="0.25">
      <c r="A7616">
        <f ca="1">39865.6911841834*(RANDBETWEEN(2890,3282))</f>
        <v>119796402.0084711</v>
      </c>
      <c r="B7616">
        <v>219911349.37392932</v>
      </c>
    </row>
    <row r="7617" spans="1:2" x14ac:dyDescent="0.25">
      <c r="A7617">
        <f ca="1">33087.8011868648*(RANDBETWEEN(2890,3282))</f>
        <v>97708276.904811889</v>
      </c>
      <c r="B7617">
        <v>223369150.8729136</v>
      </c>
    </row>
    <row r="7618" spans="1:2" x14ac:dyDescent="0.25">
      <c r="A7618">
        <f ca="1">34382.2284680532*(RANDBETWEEN(2890,3282))</f>
        <v>107719521.79041062</v>
      </c>
      <c r="B7618">
        <v>204232749.74744228</v>
      </c>
    </row>
    <row r="7619" spans="1:2" x14ac:dyDescent="0.25">
      <c r="A7619">
        <f ca="1">39277.8145667799*(RANDBETWEEN(2890,3282))</f>
        <v>114298440.38932949</v>
      </c>
      <c r="B7619">
        <v>233453250.96489954</v>
      </c>
    </row>
    <row r="7620" spans="1:2" x14ac:dyDescent="0.25">
      <c r="A7620">
        <f ca="1">38687.420939504*(RANDBETWEEN(2890,3282))</f>
        <v>121401126.90816349</v>
      </c>
      <c r="B7620">
        <v>263389787.13393518</v>
      </c>
    </row>
    <row r="7621" spans="1:2" x14ac:dyDescent="0.25">
      <c r="A7621">
        <f ca="1">31255.1559632681*(RANDBETWEEN(2890,3282))</f>
        <v>102235615.15584987</v>
      </c>
      <c r="B7621">
        <v>262134060.41172719</v>
      </c>
    </row>
    <row r="7622" spans="1:2" x14ac:dyDescent="0.25">
      <c r="A7622">
        <f ca="1">31397.8741451137*(RANDBETWEEN(2890,3282))</f>
        <v>103016425.07011798</v>
      </c>
      <c r="B7622">
        <v>253932640.8158828</v>
      </c>
    </row>
    <row r="7623" spans="1:2" x14ac:dyDescent="0.25">
      <c r="A7623">
        <f ca="1">40661.9547329826*(RANDBETWEEN(2890,3282))</f>
        <v>125238820.57758632</v>
      </c>
      <c r="B7623">
        <v>209614400.41708437</v>
      </c>
    </row>
    <row r="7624" spans="1:2" x14ac:dyDescent="0.25">
      <c r="A7624">
        <f ca="1">33101.1739519944*(RANDBETWEEN(2890,3282))</f>
        <v>102481234.55537456</v>
      </c>
      <c r="B7624">
        <v>227153192.48469865</v>
      </c>
    </row>
    <row r="7625" spans="1:2" x14ac:dyDescent="0.25">
      <c r="A7625">
        <f ca="1">30710.7895469694*(RANDBETWEEN(2890,3282))</f>
        <v>89798348.635338396</v>
      </c>
      <c r="B7625">
        <v>214744461.03431714</v>
      </c>
    </row>
    <row r="7626" spans="1:2" x14ac:dyDescent="0.25">
      <c r="A7626">
        <f ca="1">30125.893724119*(RANDBETWEEN(2890,3282))</f>
        <v>98240539.434351981</v>
      </c>
      <c r="B7626">
        <v>207047932.71392384</v>
      </c>
    </row>
    <row r="7627" spans="1:2" x14ac:dyDescent="0.25">
      <c r="A7627">
        <f ca="1">38491.3191459998*(RANDBETWEEN(2890,3282))</f>
        <v>119130632.75686938</v>
      </c>
      <c r="B7627">
        <v>223842860.67844805</v>
      </c>
    </row>
    <row r="7628" spans="1:2" x14ac:dyDescent="0.25">
      <c r="A7628">
        <f ca="1">34375.6259789876*(RANDBETWEEN(2890,3282))</f>
        <v>108661353.71957977</v>
      </c>
      <c r="B7628">
        <v>223941279.27475259</v>
      </c>
    </row>
    <row r="7629" spans="1:2" x14ac:dyDescent="0.25">
      <c r="A7629">
        <f ca="1">29085.2992671159*(RANDBETWEEN(2890,3282))</f>
        <v>91705948.589216292</v>
      </c>
      <c r="B7629">
        <v>225615098.05150416</v>
      </c>
    </row>
    <row r="7630" spans="1:2" x14ac:dyDescent="0.25">
      <c r="A7630">
        <f ca="1">42763.8891344087*(RANDBETWEEN(2890,3282))</f>
        <v>130216042.41427454</v>
      </c>
      <c r="B7630">
        <v>215894752.95178095</v>
      </c>
    </row>
    <row r="7631" spans="1:2" x14ac:dyDescent="0.25">
      <c r="A7631">
        <f ca="1">33681.1402380798*(RANDBETWEEN(2890,3282))</f>
        <v>100841333.87281087</v>
      </c>
      <c r="B7631">
        <v>236175188.32994092</v>
      </c>
    </row>
    <row r="7632" spans="1:2" x14ac:dyDescent="0.25">
      <c r="A7632">
        <f ca="1">28883.2453097947*(RANDBETWEEN(2890,3282))</f>
        <v>94361562.427099228</v>
      </c>
      <c r="B7632">
        <v>234765844.00343752</v>
      </c>
    </row>
    <row r="7633" spans="1:2" x14ac:dyDescent="0.25">
      <c r="A7633">
        <f ca="1">37258.4981908473*(RANDBETWEEN(2890,3282))</f>
        <v>110024345.15757222</v>
      </c>
      <c r="B7633">
        <v>207220752.44553816</v>
      </c>
    </row>
    <row r="7634" spans="1:2" x14ac:dyDescent="0.25">
      <c r="A7634">
        <f ca="1">30199.3897400004*(RANDBETWEEN(2890,3282))</f>
        <v>94433491.716981128</v>
      </c>
      <c r="B7634">
        <v>235334563.73578829</v>
      </c>
    </row>
    <row r="7635" spans="1:2" x14ac:dyDescent="0.25">
      <c r="A7635">
        <f ca="1">31723.8582350628*(RANDBETWEEN(2890,3282))</f>
        <v>103927359.57806563</v>
      </c>
      <c r="B7635">
        <v>238864804.83754376</v>
      </c>
    </row>
    <row r="7636" spans="1:2" x14ac:dyDescent="0.25">
      <c r="A7636">
        <f ca="1">32840.7096394807*(RANDBETWEEN(2890,3282))</f>
        <v>95697827.889446676</v>
      </c>
      <c r="B7636">
        <v>229925238.54866824</v>
      </c>
    </row>
    <row r="7637" spans="1:2" x14ac:dyDescent="0.25">
      <c r="A7637">
        <f ca="1">30391.823812764*(RANDBETWEEN(2890,3282))</f>
        <v>89078435.595211312</v>
      </c>
      <c r="B7637">
        <v>210025290.91968915</v>
      </c>
    </row>
    <row r="7638" spans="1:2" x14ac:dyDescent="0.25">
      <c r="A7638">
        <f ca="1">39266.5235764822*(RANDBETWEEN(2890,3282))</f>
        <v>115443579.31485775</v>
      </c>
      <c r="B7638">
        <v>207749607.85817373</v>
      </c>
    </row>
    <row r="7639" spans="1:2" x14ac:dyDescent="0.25">
      <c r="A7639">
        <f ca="1">29230.7924813453*(RANDBETWEEN(2890,3282))</f>
        <v>91141610.956834614</v>
      </c>
      <c r="B7639">
        <v>233153177.26187956</v>
      </c>
    </row>
    <row r="7640" spans="1:2" x14ac:dyDescent="0.25">
      <c r="A7640">
        <f ca="1">30204.6579959699*(RANDBETWEEN(2890,3282))</f>
        <v>96866338.193075746</v>
      </c>
      <c r="B7640">
        <v>260076620.05838501</v>
      </c>
    </row>
    <row r="7641" spans="1:2" x14ac:dyDescent="0.25">
      <c r="A7641">
        <f ca="1">32648.7108284595*(RANDBETWEEN(2890,3282))</f>
        <v>96640184.052239999</v>
      </c>
      <c r="B7641">
        <v>254372992.19749525</v>
      </c>
    </row>
    <row r="7642" spans="1:2" x14ac:dyDescent="0.25">
      <c r="A7642">
        <f ca="1">31199.2994833551*(RANDBETWEEN(2890,3282))</f>
        <v>98402590.570502147</v>
      </c>
      <c r="B7642">
        <v>231086752.51731044</v>
      </c>
    </row>
    <row r="7643" spans="1:2" x14ac:dyDescent="0.25">
      <c r="A7643">
        <f ca="1">30975.8316571683*(RANDBETWEEN(2890,3282))</f>
        <v>94228479.90110606</v>
      </c>
      <c r="B7643">
        <v>255499291.71874413</v>
      </c>
    </row>
    <row r="7644" spans="1:2" x14ac:dyDescent="0.25">
      <c r="A7644">
        <f ca="1">33708.3893331548*(RANDBETWEEN(2890,3282))</f>
        <v>101967877.73279327</v>
      </c>
      <c r="B7644">
        <v>247354145.486974</v>
      </c>
    </row>
    <row r="7645" spans="1:2" x14ac:dyDescent="0.25">
      <c r="A7645">
        <f ca="1">32256.6113479425*(RANDBETWEEN(2890,3282))</f>
        <v>101350272.85523523</v>
      </c>
      <c r="B7645">
        <v>207022624.17286122</v>
      </c>
    </row>
    <row r="7646" spans="1:2" x14ac:dyDescent="0.25">
      <c r="A7646">
        <f ca="1">34615.4051929231*(RANDBETWEEN(2890,3282))</f>
        <v>111703912.55756296</v>
      </c>
      <c r="B7646">
        <v>263141372.54276693</v>
      </c>
    </row>
    <row r="7647" spans="1:2" x14ac:dyDescent="0.25">
      <c r="A7647">
        <f ca="1">30824.2963368203*(RANDBETWEEN(2890,3282))</f>
        <v>94815535.532059401</v>
      </c>
      <c r="B7647">
        <v>239999061.493774</v>
      </c>
    </row>
    <row r="7648" spans="1:2" x14ac:dyDescent="0.25">
      <c r="A7648">
        <f ca="1">30775.6376486874*(RANDBETWEEN(2890,3282))</f>
        <v>92942425.699035957</v>
      </c>
      <c r="B7648">
        <v>255417653.89705211</v>
      </c>
    </row>
    <row r="7649" spans="1:2" x14ac:dyDescent="0.25">
      <c r="A7649">
        <f ca="1">31791.4239480509*(RANDBETWEEN(2890,3282))</f>
        <v>100333733.98004863</v>
      </c>
      <c r="B7649">
        <v>220365478.71126455</v>
      </c>
    </row>
    <row r="7650" spans="1:2" x14ac:dyDescent="0.25">
      <c r="A7650">
        <f ca="1">31352.3733905478*(RANDBETWEEN(2890,3282))</f>
        <v>101926565.89267097</v>
      </c>
      <c r="B7650">
        <v>219479963.35474664</v>
      </c>
    </row>
    <row r="7651" spans="1:2" x14ac:dyDescent="0.25">
      <c r="A7651">
        <f ca="1">40036.1093650158*(RANDBETWEEN(2890,3282))</f>
        <v>123871722.37535901</v>
      </c>
      <c r="B7651">
        <v>267394239.09018889</v>
      </c>
    </row>
    <row r="7652" spans="1:2" x14ac:dyDescent="0.25">
      <c r="A7652">
        <f ca="1">34153.8538745317*(RANDBETWEEN(2890,3282))</f>
        <v>101436946.00735915</v>
      </c>
      <c r="B7652">
        <v>224479386.60680872</v>
      </c>
    </row>
    <row r="7653" spans="1:2" x14ac:dyDescent="0.25">
      <c r="A7653">
        <f ca="1">28888.4178841863*(RANDBETWEEN(2890,3282))</f>
        <v>93482920.273226961</v>
      </c>
      <c r="B7653">
        <v>231357638.89178258</v>
      </c>
    </row>
    <row r="7654" spans="1:2" x14ac:dyDescent="0.25">
      <c r="A7654">
        <f ca="1">36730.4786937469*(RANDBETWEEN(2890,3282))</f>
        <v>115737738.36399652</v>
      </c>
      <c r="B7654">
        <v>263165079.54167742</v>
      </c>
    </row>
    <row r="7655" spans="1:2" x14ac:dyDescent="0.25">
      <c r="A7655">
        <f ca="1">31451.4241162351*(RANDBETWEEN(2890,3282))</f>
        <v>94731689.438100159</v>
      </c>
      <c r="B7655">
        <v>223087530.86127651</v>
      </c>
    </row>
    <row r="7656" spans="1:2" x14ac:dyDescent="0.25">
      <c r="A7656">
        <f ca="1">39175.8631537152*(RANDBETWEEN(2890,3282))</f>
        <v>116430665.29284164</v>
      </c>
      <c r="B7656">
        <v>211297239.94273669</v>
      </c>
    </row>
    <row r="7657" spans="1:2" x14ac:dyDescent="0.25">
      <c r="A7657">
        <f ca="1">31252.5963797927*(RANDBETWEEN(2890,3282))</f>
        <v>101727201.21622536</v>
      </c>
      <c r="B7657">
        <v>228449678.43034643</v>
      </c>
    </row>
    <row r="7658" spans="1:2" x14ac:dyDescent="0.25">
      <c r="A7658">
        <f ca="1">37899.4838603919*(RANDBETWEEN(2890,3282))</f>
        <v>110780191.32392558</v>
      </c>
      <c r="B7658">
        <v>262625822.15899122</v>
      </c>
    </row>
    <row r="7659" spans="1:2" x14ac:dyDescent="0.25">
      <c r="A7659">
        <f ca="1">40961.6758413535*(RANDBETWEEN(2890,3282))</f>
        <v>122516372.44148834</v>
      </c>
      <c r="B7659">
        <v>236105432.02832666</v>
      </c>
    </row>
    <row r="7660" spans="1:2" x14ac:dyDescent="0.25">
      <c r="A7660">
        <f ca="1">31921.5417362574*(RANDBETWEEN(2890,3282))</f>
        <v>92412863.32646513</v>
      </c>
      <c r="B7660">
        <v>258263329.03567466</v>
      </c>
    </row>
    <row r="7661" spans="1:2" x14ac:dyDescent="0.25">
      <c r="A7661">
        <f ca="1">33409.4049389342*(RANDBETWEEN(2890,3282))</f>
        <v>103602564.7156349</v>
      </c>
      <c r="B7661">
        <v>206937633.73090947</v>
      </c>
    </row>
    <row r="7662" spans="1:2" x14ac:dyDescent="0.25">
      <c r="A7662">
        <f ca="1">35286.3409579546*(RANDBETWEEN(2890,3282))</f>
        <v>109952238.42498657</v>
      </c>
      <c r="B7662">
        <v>258100569.66075623</v>
      </c>
    </row>
    <row r="7663" spans="1:2" x14ac:dyDescent="0.25">
      <c r="A7663">
        <f ca="1">32451.7859194998*(RANDBETWEEN(2890,3282))</f>
        <v>101736348.85763194</v>
      </c>
      <c r="B7663">
        <v>205042884.48270774</v>
      </c>
    </row>
    <row r="7664" spans="1:2" x14ac:dyDescent="0.25">
      <c r="A7664">
        <f ca="1">30753.8129435757*(RANDBETWEEN(2890,3282))</f>
        <v>98535216.671216547</v>
      </c>
      <c r="B7664">
        <v>236170704.60293779</v>
      </c>
    </row>
    <row r="7665" spans="1:2" x14ac:dyDescent="0.25">
      <c r="A7665">
        <f ca="1">39384.6962237124*(RANDBETWEEN(2890,3282))</f>
        <v>124928256.42161559</v>
      </c>
      <c r="B7665">
        <v>215079858.79962492</v>
      </c>
    </row>
    <row r="7666" spans="1:2" x14ac:dyDescent="0.25">
      <c r="A7666">
        <f ca="1">39563.3181834171*(RANDBETWEEN(2890,3282))</f>
        <v>114852312.68645975</v>
      </c>
      <c r="B7666">
        <v>244282314.01099211</v>
      </c>
    </row>
    <row r="7667" spans="1:2" x14ac:dyDescent="0.25">
      <c r="A7667">
        <f ca="1">39214.2089581822*(RANDBETWEEN(2890,3282))</f>
        <v>124465899.23327026</v>
      </c>
      <c r="B7667">
        <v>249682042.20035309</v>
      </c>
    </row>
    <row r="7668" spans="1:2" x14ac:dyDescent="0.25">
      <c r="A7668">
        <f ca="1">34262.5237855875*(RANDBETWEEN(2890,3282))</f>
        <v>109263188.3522386</v>
      </c>
      <c r="B7668">
        <v>218870384.25510299</v>
      </c>
    </row>
    <row r="7669" spans="1:2" x14ac:dyDescent="0.25">
      <c r="A7669">
        <f ca="1">36666.7350310158*(RANDBETWEEN(2890,3282))</f>
        <v>117480219.03937453</v>
      </c>
      <c r="B7669">
        <v>233905122.6821391</v>
      </c>
    </row>
    <row r="7670" spans="1:2" x14ac:dyDescent="0.25">
      <c r="A7670">
        <f ca="1">31135.8936210399*(RANDBETWEEN(2890,3282))</f>
        <v>97486482.927476004</v>
      </c>
      <c r="B7670">
        <v>259484488.81581473</v>
      </c>
    </row>
    <row r="7671" spans="1:2" x14ac:dyDescent="0.25">
      <c r="A7671">
        <f ca="1">35070.9272361147*(RANDBETWEEN(2890,3282))</f>
        <v>109351151.1222056</v>
      </c>
      <c r="B7671">
        <v>257235210.68299201</v>
      </c>
    </row>
    <row r="7672" spans="1:2" x14ac:dyDescent="0.25">
      <c r="A7672">
        <f ca="1">36054.463277294*(RANDBETWEEN(2890,3282))</f>
        <v>107983117.51549564</v>
      </c>
      <c r="B7672">
        <v>251387460.17120829</v>
      </c>
    </row>
    <row r="7673" spans="1:2" x14ac:dyDescent="0.25">
      <c r="A7673">
        <f ca="1">38821.9910104847*(RANDBETWEEN(2890,3282))</f>
        <v>118018852.67187354</v>
      </c>
      <c r="B7673">
        <v>238949897.68434808</v>
      </c>
    </row>
    <row r="7674" spans="1:2" x14ac:dyDescent="0.25">
      <c r="A7674">
        <f ca="1">34364.0525565106*(RANDBETWEEN(2890,3282))</f>
        <v>112198631.59700699</v>
      </c>
      <c r="B7674">
        <v>234710651.67139721</v>
      </c>
    </row>
    <row r="7675" spans="1:2" x14ac:dyDescent="0.25">
      <c r="A7675">
        <f ca="1">35236.7237971283*(RANDBETWEEN(2890,3282))</f>
        <v>112968936.49359348</v>
      </c>
      <c r="B7675">
        <v>227229631.06872723</v>
      </c>
    </row>
    <row r="7676" spans="1:2" x14ac:dyDescent="0.25">
      <c r="A7676">
        <f ca="1">35577.4316989097*(RANDBETWEEN(2890,3282))</f>
        <v>108866940.99866377</v>
      </c>
      <c r="B7676">
        <v>261495507.78837383</v>
      </c>
    </row>
    <row r="7677" spans="1:2" x14ac:dyDescent="0.25">
      <c r="A7677">
        <f ca="1">29132.7121579067*(RANDBETWEEN(2890,3282))</f>
        <v>85446244.759140238</v>
      </c>
      <c r="B7677">
        <v>249751181.01393357</v>
      </c>
    </row>
    <row r="7678" spans="1:2" x14ac:dyDescent="0.25">
      <c r="A7678">
        <f ca="1">37020.3661607637*(RANDBETWEEN(2890,3282))</f>
        <v>110727915.18684429</v>
      </c>
      <c r="B7678">
        <v>215402188.23245203</v>
      </c>
    </row>
    <row r="7679" spans="1:2" x14ac:dyDescent="0.25">
      <c r="A7679">
        <f ca="1">31553.3083926985*(RANDBETWEEN(2890,3282))</f>
        <v>96269143.906122968</v>
      </c>
      <c r="B7679">
        <v>249044803.54790235</v>
      </c>
    </row>
    <row r="7680" spans="1:2" x14ac:dyDescent="0.25">
      <c r="A7680">
        <f ca="1">39294.4085704683*(RANDBETWEEN(2890,3282))</f>
        <v>116311449.36858621</v>
      </c>
      <c r="B7680">
        <v>225786349.98268306</v>
      </c>
    </row>
    <row r="7681" spans="1:2" x14ac:dyDescent="0.25">
      <c r="A7681">
        <f ca="1">31169.9889226586*(RANDBETWEEN(2890,3282))</f>
        <v>91546257.465848297</v>
      </c>
      <c r="B7681">
        <v>264343978.64211059</v>
      </c>
    </row>
    <row r="7682" spans="1:2" x14ac:dyDescent="0.25">
      <c r="A7682">
        <f ca="1">35887.3681062183*(RANDBETWEEN(2890,3282))</f>
        <v>112650448.48541909</v>
      </c>
      <c r="B7682">
        <v>247481980.95875454</v>
      </c>
    </row>
    <row r="7683" spans="1:2" x14ac:dyDescent="0.25">
      <c r="A7683">
        <f ca="1">29264.4255312985*(RANDBETWEEN(2890,3282))</f>
        <v>94524094.466094211</v>
      </c>
      <c r="B7683">
        <v>238344383.07859898</v>
      </c>
    </row>
    <row r="7684" spans="1:2" x14ac:dyDescent="0.25">
      <c r="A7684">
        <f ca="1">32021.8111255723*(RANDBETWEEN(2890,3282))</f>
        <v>101605206.70144093</v>
      </c>
      <c r="B7684">
        <v>243322926.1284855</v>
      </c>
    </row>
    <row r="7685" spans="1:2" x14ac:dyDescent="0.25">
      <c r="A7685">
        <f ca="1">30502.3021145595*(RANDBETWEEN(2890,3282))</f>
        <v>92208459.292313352</v>
      </c>
      <c r="B7685">
        <v>245530105.61608282</v>
      </c>
    </row>
    <row r="7686" spans="1:2" x14ac:dyDescent="0.25">
      <c r="A7686">
        <f ca="1">30289.0514964554*(RANDBETWEEN(2890,3282))</f>
        <v>93714325.33003293</v>
      </c>
      <c r="B7686">
        <v>207058417.70116532</v>
      </c>
    </row>
    <row r="7687" spans="1:2" x14ac:dyDescent="0.25">
      <c r="A7687">
        <f ca="1">40004.8255212855*(RANDBETWEEN(2890,3282))</f>
        <v>124054963.94150645</v>
      </c>
      <c r="B7687">
        <v>246094855.72519347</v>
      </c>
    </row>
    <row r="7688" spans="1:2" x14ac:dyDescent="0.25">
      <c r="A7688">
        <f ca="1">28537.9798917718*(RANDBETWEEN(2890,3282))</f>
        <v>89380953.021029174</v>
      </c>
      <c r="B7688">
        <v>234742245.45678222</v>
      </c>
    </row>
    <row r="7689" spans="1:2" x14ac:dyDescent="0.25">
      <c r="A7689">
        <f ca="1">32444.3020864967*(RANDBETWEEN(2890,3282))</f>
        <v>95029360.811348885</v>
      </c>
      <c r="B7689">
        <v>211951745.32086927</v>
      </c>
    </row>
    <row r="7690" spans="1:2" x14ac:dyDescent="0.25">
      <c r="A7690">
        <f ca="1">37200.4785603623*(RANDBETWEEN(2890,3282))</f>
        <v>109592609.83882733</v>
      </c>
      <c r="B7690">
        <v>231321960.5847621</v>
      </c>
    </row>
    <row r="7691" spans="1:2" x14ac:dyDescent="0.25">
      <c r="A7691">
        <f ca="1">29940.3783994747*(RANDBETWEEN(2890,3282))</f>
        <v>98054739.2582798</v>
      </c>
      <c r="B7691">
        <v>220991975.69576147</v>
      </c>
    </row>
    <row r="7692" spans="1:2" x14ac:dyDescent="0.25">
      <c r="A7692">
        <f ca="1">37251.5908992357*(RANDBETWEEN(2890,3282))</f>
        <v>115628938.1512275</v>
      </c>
      <c r="B7692">
        <v>247865689.04165024</v>
      </c>
    </row>
    <row r="7693" spans="1:2" x14ac:dyDescent="0.25">
      <c r="A7693">
        <f ca="1">30263.8438583189*(RANDBETWEEN(2890,3282))</f>
        <v>91094170.013539776</v>
      </c>
      <c r="B7693">
        <v>215354454.37631121</v>
      </c>
    </row>
    <row r="7694" spans="1:2" x14ac:dyDescent="0.25">
      <c r="A7694">
        <f ca="1">38007.161550192*(RANDBETWEEN(2890,3282))</f>
        <v>110828883.08035986</v>
      </c>
      <c r="B7694">
        <v>216831830.99223211</v>
      </c>
    </row>
    <row r="7695" spans="1:2" x14ac:dyDescent="0.25">
      <c r="A7695">
        <f ca="1">39294.6380195842*(RANDBETWEEN(2890,3282))</f>
        <v>122206324.24090683</v>
      </c>
      <c r="B7695">
        <v>224952368.44107649</v>
      </c>
    </row>
    <row r="7696" spans="1:2" x14ac:dyDescent="0.25">
      <c r="A7696">
        <f ca="1">31853.1958354461*(RANDBETWEEN(2890,3282))</f>
        <v>97916723.99816142</v>
      </c>
      <c r="B7696">
        <v>218058190.8563354</v>
      </c>
    </row>
    <row r="7697" spans="1:2" x14ac:dyDescent="0.25">
      <c r="A7697">
        <f ca="1">39368.6905391767*(RANDBETWEEN(2890,3282))</f>
        <v>115507738.0419445</v>
      </c>
      <c r="B7697">
        <v>259631219.32487208</v>
      </c>
    </row>
    <row r="7698" spans="1:2" x14ac:dyDescent="0.25">
      <c r="A7698">
        <f ca="1">31277.698928771*(RANDBETWEEN(2890,3282))</f>
        <v>101589966.12064806</v>
      </c>
      <c r="B7698">
        <v>215084163.71251452</v>
      </c>
    </row>
    <row r="7699" spans="1:2" x14ac:dyDescent="0.25">
      <c r="A7699">
        <f ca="1">36861.847828435*(RANDBETWEEN(2890,3282))</f>
        <v>117036366.85528098</v>
      </c>
      <c r="B7699">
        <v>248142238.56431413</v>
      </c>
    </row>
    <row r="7700" spans="1:2" x14ac:dyDescent="0.25">
      <c r="A7700">
        <f ca="1">31406.7160221778*(RANDBETWEEN(2890,3282))</f>
        <v>101443692.75163437</v>
      </c>
      <c r="B7700">
        <v>225050313.25327748</v>
      </c>
    </row>
    <row r="7701" spans="1:2" x14ac:dyDescent="0.25">
      <c r="A7701">
        <f ca="1">32978.6053589858*(RANDBETWEEN(2890,3282))</f>
        <v>102563462.66644597</v>
      </c>
      <c r="B7701">
        <v>230851087.76603043</v>
      </c>
    </row>
    <row r="7702" spans="1:2" x14ac:dyDescent="0.25">
      <c r="A7702">
        <f ca="1">41430.758778715*(RANDBETWEEN(2890,3282))</f>
        <v>135271427.41250452</v>
      </c>
      <c r="B7702">
        <v>218362137.59113052</v>
      </c>
    </row>
    <row r="7703" spans="1:2" x14ac:dyDescent="0.25">
      <c r="A7703">
        <f ca="1">30314.9790310644*(RANDBETWEEN(2890,3282))</f>
        <v>98038642.186462149</v>
      </c>
      <c r="B7703">
        <v>238771820.28548023</v>
      </c>
    </row>
    <row r="7704" spans="1:2" x14ac:dyDescent="0.25">
      <c r="A7704">
        <f ca="1">30860.8448775474*(RANDBETWEEN(2890,3282))</f>
        <v>93940411.807254389</v>
      </c>
      <c r="B7704">
        <v>254528556.27811295</v>
      </c>
    </row>
    <row r="7705" spans="1:2" x14ac:dyDescent="0.25">
      <c r="A7705">
        <f ca="1">29988.6420077877*(RANDBETWEEN(2890,3282))</f>
        <v>87446880.09470889</v>
      </c>
      <c r="B7705">
        <v>257025489.63798946</v>
      </c>
    </row>
    <row r="7706" spans="1:2" x14ac:dyDescent="0.25">
      <c r="A7706">
        <f ca="1">30846.9695361665*(RANDBETWEEN(2890,3282))</f>
        <v>100190957.05346872</v>
      </c>
      <c r="B7706">
        <v>266910794.16228706</v>
      </c>
    </row>
    <row r="7707" spans="1:2" x14ac:dyDescent="0.25">
      <c r="A7707">
        <f ca="1">33270.5936748283*(RANDBETWEEN(2890,3282))</f>
        <v>104203499.38956232</v>
      </c>
      <c r="B7707">
        <v>263255266.96183521</v>
      </c>
    </row>
    <row r="7708" spans="1:2" x14ac:dyDescent="0.25">
      <c r="A7708">
        <f ca="1">32170.7373988417*(RANDBETWEEN(2890,3282))</f>
        <v>103589774.42427012</v>
      </c>
      <c r="B7708">
        <v>220807734.16278082</v>
      </c>
    </row>
    <row r="7709" spans="1:2" x14ac:dyDescent="0.25">
      <c r="A7709">
        <f ca="1">32920.6893098216*(RANDBETWEEN(2890,3282))</f>
        <v>100671467.90943438</v>
      </c>
      <c r="B7709">
        <v>243220132.40021467</v>
      </c>
    </row>
    <row r="7710" spans="1:2" x14ac:dyDescent="0.25">
      <c r="A7710">
        <f ca="1">31494.1188591542*(RANDBETWEEN(2890,3282))</f>
        <v>99678886.1892232</v>
      </c>
      <c r="B7710">
        <v>262467511.45181733</v>
      </c>
    </row>
    <row r="7711" spans="1:2" x14ac:dyDescent="0.25">
      <c r="A7711">
        <f ca="1">35610.2487479493*(RANDBETWEEN(2890,3282))</f>
        <v>107507340.97005887</v>
      </c>
      <c r="B7711">
        <v>265626292.5547592</v>
      </c>
    </row>
    <row r="7712" spans="1:2" x14ac:dyDescent="0.25">
      <c r="A7712">
        <f ca="1">32397.4610473396*(RANDBETWEEN(2890,3282))</f>
        <v>105226953.48175889</v>
      </c>
      <c r="B7712">
        <v>215962597.84171808</v>
      </c>
    </row>
    <row r="7713" spans="1:2" x14ac:dyDescent="0.25">
      <c r="A7713">
        <f ca="1">35739.4504822321*(RANDBETWEEN(2890,3282))</f>
        <v>107861661.55537662</v>
      </c>
      <c r="B7713">
        <v>210940647.49449104</v>
      </c>
    </row>
    <row r="7714" spans="1:2" x14ac:dyDescent="0.25">
      <c r="A7714">
        <f ca="1">38384.6844343778*(RANDBETWEEN(2890,3282))</f>
        <v>117418749.68476158</v>
      </c>
      <c r="B7714">
        <v>205070430.22274846</v>
      </c>
    </row>
    <row r="7715" spans="1:2" x14ac:dyDescent="0.25">
      <c r="A7715">
        <f ca="1">39091.8441010878*(RANDBETWEEN(2890,3282))</f>
        <v>120051053.23444077</v>
      </c>
      <c r="B7715">
        <v>244248428.50279146</v>
      </c>
    </row>
    <row r="7716" spans="1:2" x14ac:dyDescent="0.25">
      <c r="A7716">
        <f ca="1">30858.2355599058*(RANDBETWEEN(2890,3282))</f>
        <v>95999970.826866969</v>
      </c>
      <c r="B7716">
        <v>215572256.9548786</v>
      </c>
    </row>
    <row r="7717" spans="1:2" x14ac:dyDescent="0.25">
      <c r="A7717">
        <f ca="1">29118.5197216426*(RANDBETWEEN(2890,3282))</f>
        <v>92043640.840112105</v>
      </c>
      <c r="B7717">
        <v>227174010.76639009</v>
      </c>
    </row>
    <row r="7718" spans="1:2" x14ac:dyDescent="0.25">
      <c r="A7718">
        <f ca="1">32489.7987214701*(RANDBETWEEN(2890,3282))</f>
        <v>102212906.77774492</v>
      </c>
      <c r="B7718">
        <v>250471985.78809011</v>
      </c>
    </row>
    <row r="7719" spans="1:2" x14ac:dyDescent="0.25">
      <c r="A7719">
        <f ca="1">32752.6037219001*(RANDBETWEEN(2890,3282))</f>
        <v>100714256.44484283</v>
      </c>
      <c r="B7719">
        <v>233760833.53351218</v>
      </c>
    </row>
    <row r="7720" spans="1:2" x14ac:dyDescent="0.25">
      <c r="A7720">
        <f ca="1">31505.3918953713*(RANDBETWEEN(2890,3282))</f>
        <v>95744885.970033273</v>
      </c>
      <c r="B7720">
        <v>217305657.07186598</v>
      </c>
    </row>
    <row r="7721" spans="1:2" x14ac:dyDescent="0.25">
      <c r="A7721">
        <f ca="1">31161.6764178394*(RANDBETWEEN(2890,3282))</f>
        <v>100153628.00693575</v>
      </c>
      <c r="B7721">
        <v>241058109.09498608</v>
      </c>
    </row>
    <row r="7722" spans="1:2" x14ac:dyDescent="0.25">
      <c r="A7722">
        <f ca="1">33945.4179922582*(RANDBETWEEN(2890,3282))</f>
        <v>104280324.07221723</v>
      </c>
      <c r="B7722">
        <v>239862977.58998978</v>
      </c>
    </row>
    <row r="7723" spans="1:2" x14ac:dyDescent="0.25">
      <c r="A7723">
        <f ca="1">38397.5635630185*(RANDBETWEEN(2890,3282))</f>
        <v>122680215.58384401</v>
      </c>
      <c r="B7723">
        <v>231315427.7449002</v>
      </c>
    </row>
    <row r="7724" spans="1:2" x14ac:dyDescent="0.25">
      <c r="A7724">
        <f ca="1">30787.7055327166*(RANDBETWEEN(2890,3282))</f>
        <v>100337132.33112338</v>
      </c>
      <c r="B7724">
        <v>247067393.58700511</v>
      </c>
    </row>
    <row r="7725" spans="1:2" x14ac:dyDescent="0.25">
      <c r="A7725">
        <f ca="1">40751.3055979879*(RANDBETWEEN(2890,3282))</f>
        <v>130730188.35834509</v>
      </c>
      <c r="B7725">
        <v>246768434.98229617</v>
      </c>
    </row>
    <row r="7726" spans="1:2" x14ac:dyDescent="0.25">
      <c r="A7726">
        <f ca="1">39220.2856049101*(RANDBETWEEN(2890,3282))</f>
        <v>127426707.93035293</v>
      </c>
      <c r="B7726">
        <v>253669827.83954191</v>
      </c>
    </row>
    <row r="7727" spans="1:2" x14ac:dyDescent="0.25">
      <c r="A7727">
        <f ca="1">31561.322373873*(RANDBETWEEN(2890,3282))</f>
        <v>101059354.24114133</v>
      </c>
      <c r="B7727">
        <v>246835683.47301286</v>
      </c>
    </row>
    <row r="7728" spans="1:2" x14ac:dyDescent="0.25">
      <c r="A7728">
        <f ca="1">32284.7370220266*(RANDBETWEEN(2890,3282))</f>
        <v>104634832.68838809</v>
      </c>
      <c r="B7728">
        <v>209726520.67631</v>
      </c>
    </row>
    <row r="7729" spans="1:2" x14ac:dyDescent="0.25">
      <c r="A7729">
        <f ca="1">37016.4553042422*(RANDBETWEEN(2890,3282))</f>
        <v>108495230.49673401</v>
      </c>
      <c r="B7729">
        <v>258821005.74540031</v>
      </c>
    </row>
    <row r="7730" spans="1:2" x14ac:dyDescent="0.25">
      <c r="A7730">
        <f ca="1">36426.5892348205*(RANDBETWEEN(2890,3282))</f>
        <v>108988354.99058287</v>
      </c>
      <c r="B7730">
        <v>264233176.50884348</v>
      </c>
    </row>
    <row r="7731" spans="1:2" x14ac:dyDescent="0.25">
      <c r="A7731">
        <f ca="1">31041.6108588251*(RANDBETWEEN(2890,3282))</f>
        <v>100605860.79345219</v>
      </c>
      <c r="B7731">
        <v>251575308.6105966</v>
      </c>
    </row>
    <row r="7732" spans="1:2" x14ac:dyDescent="0.25">
      <c r="A7732">
        <f ca="1">30128.671856726*(RANDBETWEEN(2890,3282))</f>
        <v>88367394.55577749</v>
      </c>
      <c r="B7732">
        <v>224349404.85678899</v>
      </c>
    </row>
    <row r="7733" spans="1:2" x14ac:dyDescent="0.25">
      <c r="A7733">
        <f ca="1">34081.0143104351*(RANDBETWEEN(2890,3282))</f>
        <v>99891452.943885282</v>
      </c>
      <c r="B7733">
        <v>234197515.50451276</v>
      </c>
    </row>
    <row r="7734" spans="1:2" x14ac:dyDescent="0.25">
      <c r="A7734">
        <f ca="1">36948.6095283603*(RANDBETWEEN(2890,3282))</f>
        <v>114762381.19508697</v>
      </c>
      <c r="B7734">
        <v>229312107.09702724</v>
      </c>
    </row>
    <row r="7735" spans="1:2" x14ac:dyDescent="0.25">
      <c r="A7735">
        <f ca="1">31354.4352654931*(RANDBETWEEN(2890,3282))</f>
        <v>91021925.575726524</v>
      </c>
      <c r="B7735">
        <v>218084362.33886534</v>
      </c>
    </row>
    <row r="7736" spans="1:2" x14ac:dyDescent="0.25">
      <c r="A7736">
        <f ca="1">31262.8063049724*(RANDBETWEEN(2890,3282))</f>
        <v>101260229.62180568</v>
      </c>
      <c r="B7736">
        <v>249691035.68806326</v>
      </c>
    </row>
    <row r="7737" spans="1:2" x14ac:dyDescent="0.25">
      <c r="A7737">
        <f ca="1">31870.7200635163*(RANDBETWEEN(2890,3282))</f>
        <v>101093924.04147372</v>
      </c>
      <c r="B7737">
        <v>250186944.14192387</v>
      </c>
    </row>
    <row r="7738" spans="1:2" x14ac:dyDescent="0.25">
      <c r="A7738">
        <f ca="1">29410.1850120994*(RANDBETWEEN(2890,3282))</f>
        <v>89406962.4367823</v>
      </c>
      <c r="B7738">
        <v>251047755.13053438</v>
      </c>
    </row>
    <row r="7739" spans="1:2" x14ac:dyDescent="0.25">
      <c r="A7739">
        <f ca="1">28065.4525816858*(RANDBETWEEN(2890,3282))</f>
        <v>86581921.214500561</v>
      </c>
      <c r="B7739">
        <v>250114770.7148183</v>
      </c>
    </row>
    <row r="7740" spans="1:2" x14ac:dyDescent="0.25">
      <c r="A7740">
        <f ca="1">36613.8153479269*(RANDBETWEEN(2890,3282))</f>
        <v>112660709.82557108</v>
      </c>
      <c r="B7740">
        <v>227535137.18130457</v>
      </c>
    </row>
    <row r="7741" spans="1:2" x14ac:dyDescent="0.25">
      <c r="A7741">
        <f ca="1">31217.314891199*(RANDBETWEEN(2890,3282))</f>
        <v>93183684.9502289</v>
      </c>
      <c r="B7741">
        <v>214524816.2467823</v>
      </c>
    </row>
    <row r="7742" spans="1:2" x14ac:dyDescent="0.25">
      <c r="A7742">
        <f ca="1">37516.6679250765*(RANDBETWEEN(2890,3282))</f>
        <v>110073903.69217458</v>
      </c>
      <c r="B7742">
        <v>231884654.76436111</v>
      </c>
    </row>
    <row r="7743" spans="1:2" x14ac:dyDescent="0.25">
      <c r="A7743">
        <f ca="1">38012.2364139682*(RANDBETWEEN(2890,3282))</f>
        <v>123881878.47312257</v>
      </c>
      <c r="B7743">
        <v>235900027.53107417</v>
      </c>
    </row>
    <row r="7744" spans="1:2" x14ac:dyDescent="0.25">
      <c r="A7744">
        <f ca="1">32430.8112196552*(RANDBETWEEN(2890,3282))</f>
        <v>97746465.016040727</v>
      </c>
      <c r="B7744">
        <v>215242178.2795682</v>
      </c>
    </row>
    <row r="7745" spans="1:2" x14ac:dyDescent="0.25">
      <c r="A7745">
        <f ca="1">32453.9784398596*(RANDBETWEEN(2890,3282))</f>
        <v>105021074.23138563</v>
      </c>
      <c r="B7745">
        <v>241229399.03915441</v>
      </c>
    </row>
    <row r="7746" spans="1:2" x14ac:dyDescent="0.25">
      <c r="A7746">
        <f ca="1">29754.4769468681*(RANDBETWEEN(2890,3282))</f>
        <v>88579077.870826229</v>
      </c>
      <c r="B7746">
        <v>266172062.25613612</v>
      </c>
    </row>
    <row r="7747" spans="1:2" x14ac:dyDescent="0.25">
      <c r="A7747">
        <f ca="1">31558.6136417361*(RANDBETWEEN(2890,3282))</f>
        <v>91362186.49282594</v>
      </c>
      <c r="B7747">
        <v>230804007.17037475</v>
      </c>
    </row>
    <row r="7748" spans="1:2" x14ac:dyDescent="0.25">
      <c r="A7748">
        <f ca="1">27862.6759608992*(RANDBETWEEN(2890,3282))</f>
        <v>86179256.747061372</v>
      </c>
      <c r="B7748">
        <v>243697722.09888187</v>
      </c>
    </row>
    <row r="7749" spans="1:2" x14ac:dyDescent="0.25">
      <c r="A7749">
        <f ca="1">38645.8939018074*(RANDBETWEEN(2890,3282))</f>
        <v>118526956.59684357</v>
      </c>
      <c r="B7749">
        <v>204668857.54912737</v>
      </c>
    </row>
    <row r="7750" spans="1:2" x14ac:dyDescent="0.25">
      <c r="A7750">
        <f ca="1">39165.8479865795*(RANDBETWEEN(2890,3282))</f>
        <v>125996532.97282639</v>
      </c>
      <c r="B7750">
        <v>215488700.74415228</v>
      </c>
    </row>
    <row r="7751" spans="1:2" x14ac:dyDescent="0.25">
      <c r="A7751">
        <f ca="1">35888.0377779563*(RANDBETWEEN(2890,3282))</f>
        <v>109925059.71388017</v>
      </c>
      <c r="B7751">
        <v>222267401.91891679</v>
      </c>
    </row>
    <row r="7752" spans="1:2" x14ac:dyDescent="0.25">
      <c r="A7752">
        <f ca="1">30745.8406170082*(RANDBETWEEN(2890,3282))</f>
        <v>89132191.948706761</v>
      </c>
      <c r="B7752">
        <v>216656591.5850338</v>
      </c>
    </row>
    <row r="7753" spans="1:2" x14ac:dyDescent="0.25">
      <c r="A7753">
        <f ca="1">34469.0693494003*(RANDBETWEEN(2890,3282))</f>
        <v>109783985.87784004</v>
      </c>
      <c r="B7753">
        <v>238046699.77522737</v>
      </c>
    </row>
    <row r="7754" spans="1:2" x14ac:dyDescent="0.25">
      <c r="A7754">
        <f ca="1">30495.7426879913*(RANDBETWEEN(2890,3282))</f>
        <v>88437653.795174658</v>
      </c>
      <c r="B7754">
        <v>236551791.52884972</v>
      </c>
    </row>
    <row r="7755" spans="1:2" x14ac:dyDescent="0.25">
      <c r="A7755">
        <f ca="1">27940.7490460461*(RANDBETWEEN(2890,3282))</f>
        <v>81279638.974948198</v>
      </c>
      <c r="B7755">
        <v>207018009.37363756</v>
      </c>
    </row>
    <row r="7756" spans="1:2" x14ac:dyDescent="0.25">
      <c r="A7756">
        <f ca="1">33098.8545660665*(RANDBETWEEN(2890,3282))</f>
        <v>106081828.88424312</v>
      </c>
      <c r="B7756">
        <v>226458898.12823853</v>
      </c>
    </row>
    <row r="7757" spans="1:2" x14ac:dyDescent="0.25">
      <c r="A7757">
        <f ca="1">31881.1969562316*(RANDBETWEEN(2890,3282))</f>
        <v>104379038.83470212</v>
      </c>
      <c r="B7757">
        <v>245734490.44596893</v>
      </c>
    </row>
    <row r="7758" spans="1:2" x14ac:dyDescent="0.25">
      <c r="A7758">
        <f ca="1">31463.9389234612*(RANDBETWEEN(2890,3282))</f>
        <v>102698296.64617725</v>
      </c>
      <c r="B7758">
        <v>230753669.81883475</v>
      </c>
    </row>
    <row r="7759" spans="1:2" x14ac:dyDescent="0.25">
      <c r="A7759">
        <f ca="1">30804.4878503077*(RANDBETWEEN(2890,3282))</f>
        <v>96448851.459313288</v>
      </c>
      <c r="B7759">
        <v>253342622.47658002</v>
      </c>
    </row>
    <row r="7760" spans="1:2" x14ac:dyDescent="0.25">
      <c r="A7760">
        <f ca="1">40507.1848144066*(RANDBETWEEN(2890,3282))</f>
        <v>125005172.33725868</v>
      </c>
      <c r="B7760">
        <v>225313777.04983369</v>
      </c>
    </row>
    <row r="7761" spans="1:2" x14ac:dyDescent="0.25">
      <c r="A7761">
        <f ca="1">29585.7806086709*(RANDBETWEEN(2890,3282))</f>
        <v>96863845.712788463</v>
      </c>
      <c r="B7761">
        <v>225736934.81220171</v>
      </c>
    </row>
    <row r="7762" spans="1:2" x14ac:dyDescent="0.25">
      <c r="A7762">
        <f ca="1">32845.6278734711*(RANDBETWEEN(2890,3282))</f>
        <v>107208129.37900972</v>
      </c>
      <c r="B7762">
        <v>225850013.53927594</v>
      </c>
    </row>
    <row r="7763" spans="1:2" x14ac:dyDescent="0.25">
      <c r="A7763">
        <f ca="1">33257.3782559467*(RANDBETWEEN(2890,3282))</f>
        <v>106523382.55379738</v>
      </c>
      <c r="B7763">
        <v>247065534.65997884</v>
      </c>
    </row>
    <row r="7764" spans="1:2" x14ac:dyDescent="0.25">
      <c r="A7764">
        <f ca="1">37501.5387448642*(RANDBETWEEN(2890,3282))</f>
        <v>117717330.1201286</v>
      </c>
      <c r="B7764">
        <v>237428924.88980386</v>
      </c>
    </row>
    <row r="7765" spans="1:2" x14ac:dyDescent="0.25">
      <c r="A7765">
        <f ca="1">29398.1570067614*(RANDBETWEEN(2890,3282))</f>
        <v>91663453.547082081</v>
      </c>
      <c r="B7765">
        <v>258380444.05660793</v>
      </c>
    </row>
    <row r="7766" spans="1:2" x14ac:dyDescent="0.25">
      <c r="A7766">
        <f ca="1">32470.0724429139*(RANDBETWEEN(2890,3282))</f>
        <v>102345668.34006464</v>
      </c>
      <c r="B7766">
        <v>242699438.20138562</v>
      </c>
    </row>
    <row r="7767" spans="1:2" x14ac:dyDescent="0.25">
      <c r="A7767">
        <f ca="1">34045.8696294908*(RANDBETWEEN(2890,3282))</f>
        <v>107823269.1165975</v>
      </c>
      <c r="B7767">
        <v>255561503.88463241</v>
      </c>
    </row>
    <row r="7768" spans="1:2" x14ac:dyDescent="0.25">
      <c r="A7768">
        <f ca="1">29802.1071365899*(RANDBETWEEN(2890,3282))</f>
        <v>95307138.622814551</v>
      </c>
      <c r="B7768">
        <v>219418449.25009269</v>
      </c>
    </row>
    <row r="7769" spans="1:2" x14ac:dyDescent="0.25">
      <c r="A7769">
        <f ca="1">33735.0750978202*(RANDBETWEEN(2890,3282))</f>
        <v>97494367.032700315</v>
      </c>
      <c r="B7769">
        <v>229601220.59765995</v>
      </c>
    </row>
    <row r="7770" spans="1:2" x14ac:dyDescent="0.25">
      <c r="A7770">
        <f ca="1">32483.9591472502*(RANDBETWEEN(2890,3282))</f>
        <v>106027642.65662451</v>
      </c>
      <c r="B7770">
        <v>264313573.51411539</v>
      </c>
    </row>
    <row r="7771" spans="1:2" x14ac:dyDescent="0.25">
      <c r="A7771">
        <f ca="1">36163.640106868*(RANDBETWEEN(2890,3282))</f>
        <v>109648156.80402376</v>
      </c>
      <c r="B7771">
        <v>238706219.52977973</v>
      </c>
    </row>
    <row r="7772" spans="1:2" x14ac:dyDescent="0.25">
      <c r="A7772">
        <f ca="1">30890.029668224*(RANDBETWEEN(2890,3282))</f>
        <v>90446006.868559793</v>
      </c>
      <c r="B7772">
        <v>232326253.14024109</v>
      </c>
    </row>
    <row r="7773" spans="1:2" x14ac:dyDescent="0.25">
      <c r="A7773">
        <f ca="1">29127.0128970792*(RANDBETWEEN(2890,3282))</f>
        <v>89070405.439268246</v>
      </c>
      <c r="B7773">
        <v>219200069.09901243</v>
      </c>
    </row>
    <row r="7774" spans="1:2" x14ac:dyDescent="0.25">
      <c r="A7774">
        <f ca="1">35533.1612529984*(RANDBETWEEN(2890,3282))</f>
        <v>110472598.33557194</v>
      </c>
      <c r="B7774">
        <v>240336343.66976592</v>
      </c>
    </row>
    <row r="7775" spans="1:2" x14ac:dyDescent="0.25">
      <c r="A7775">
        <f ca="1">36577.9043763487*(RANDBETWEEN(2890,3282))</f>
        <v>118512410.17936996</v>
      </c>
      <c r="B7775">
        <v>239647355.70473483</v>
      </c>
    </row>
    <row r="7776" spans="1:2" x14ac:dyDescent="0.25">
      <c r="A7776">
        <f ca="1">32319.5768695544*(RANDBETWEEN(2890,3282))</f>
        <v>94728679.804664031</v>
      </c>
      <c r="B7776">
        <v>204298141.32869416</v>
      </c>
    </row>
    <row r="7777" spans="1:2" x14ac:dyDescent="0.25">
      <c r="A7777">
        <f ca="1">35436.3068094869*(RANDBETWEEN(2890,3282))</f>
        <v>113148127.64269179</v>
      </c>
      <c r="B7777">
        <v>246449866.98264</v>
      </c>
    </row>
    <row r="7778" spans="1:2" x14ac:dyDescent="0.25">
      <c r="A7778">
        <f ca="1">29348.4019210075*(RANDBETWEEN(2890,3282))</f>
        <v>85227759.178605825</v>
      </c>
      <c r="B7778">
        <v>215859224.22814006</v>
      </c>
    </row>
    <row r="7779" spans="1:2" x14ac:dyDescent="0.25">
      <c r="A7779">
        <f ca="1">31371.8831551337*(RANDBETWEEN(2890,3282))</f>
        <v>96123449.987329736</v>
      </c>
      <c r="B7779">
        <v>221829128.22308373</v>
      </c>
    </row>
    <row r="7780" spans="1:2" x14ac:dyDescent="0.25">
      <c r="A7780">
        <f ca="1">40084.3426954033*(RANDBETWEEN(2890,3282))</f>
        <v>116565268.55823292</v>
      </c>
      <c r="B7780">
        <v>217730941.47418493</v>
      </c>
    </row>
    <row r="7781" spans="1:2" x14ac:dyDescent="0.25">
      <c r="A7781">
        <f ca="1">34691.7012496409*(RANDBETWEEN(2890,3282))</f>
        <v>113754088.3975724</v>
      </c>
      <c r="B7781">
        <v>226964319.96149349</v>
      </c>
    </row>
    <row r="7782" spans="1:2" x14ac:dyDescent="0.25">
      <c r="A7782">
        <f ca="1">37117.2317272318*(RANDBETWEEN(2890,3282))</f>
        <v>108567902.80215298</v>
      </c>
      <c r="B7782">
        <v>229135366.23426354</v>
      </c>
    </row>
    <row r="7783" spans="1:2" x14ac:dyDescent="0.25">
      <c r="A7783">
        <f ca="1">35290.2771051412*(RANDBETWEEN(2890,3282))</f>
        <v>108447021.54409885</v>
      </c>
      <c r="B7783">
        <v>223139438.72125208</v>
      </c>
    </row>
    <row r="7784" spans="1:2" x14ac:dyDescent="0.25">
      <c r="A7784">
        <f ca="1">37197.7408328215*(RANDBETWEEN(2890,3282))</f>
        <v>117619256.51338145</v>
      </c>
      <c r="B7784">
        <v>220045749.31201556</v>
      </c>
    </row>
    <row r="7785" spans="1:2" x14ac:dyDescent="0.25">
      <c r="A7785">
        <f ca="1">29421.7053265571*(RANDBETWEEN(2890,3282))</f>
        <v>96356084.944474399</v>
      </c>
      <c r="B7785">
        <v>255734754.38794363</v>
      </c>
    </row>
    <row r="7786" spans="1:2" x14ac:dyDescent="0.25">
      <c r="A7786">
        <f ca="1">31574.0749081467*(RANDBETWEEN(2890,3282))</f>
        <v>101889539.72858949</v>
      </c>
      <c r="B7786">
        <v>252617235.44178206</v>
      </c>
    </row>
    <row r="7787" spans="1:2" x14ac:dyDescent="0.25">
      <c r="A7787">
        <f ca="1">33000.3196224139*(RANDBETWEEN(2890,3282))</f>
        <v>107779043.88680385</v>
      </c>
      <c r="B7787">
        <v>226427881.90523553</v>
      </c>
    </row>
    <row r="7788" spans="1:2" x14ac:dyDescent="0.25">
      <c r="A7788">
        <f ca="1">27876.7674416735*(RANDBETWEEN(2890,3282))</f>
        <v>84355098.278504133</v>
      </c>
      <c r="B7788">
        <v>231112715.59106654</v>
      </c>
    </row>
    <row r="7789" spans="1:2" x14ac:dyDescent="0.25">
      <c r="A7789">
        <f ca="1">31466.2683688168*(RANDBETWEEN(2890,3282))</f>
        <v>102454169.80886765</v>
      </c>
      <c r="B7789">
        <v>218865178.19207516</v>
      </c>
    </row>
    <row r="7790" spans="1:2" x14ac:dyDescent="0.25">
      <c r="A7790">
        <f ca="1">41018.553056759*(RANDBETWEEN(2890,3282))</f>
        <v>122481399.42748225</v>
      </c>
      <c r="B7790">
        <v>248105674.84227595</v>
      </c>
    </row>
    <row r="7791" spans="1:2" x14ac:dyDescent="0.25">
      <c r="A7791">
        <f ca="1">34757.7904076121*(RANDBETWEEN(2890,3282))</f>
        <v>111016382.56191295</v>
      </c>
      <c r="B7791">
        <v>253413532.41296721</v>
      </c>
    </row>
    <row r="7792" spans="1:2" x14ac:dyDescent="0.25">
      <c r="A7792">
        <f ca="1">29402.7974932353*(RANDBETWEEN(2890,3282))</f>
        <v>94324174.358298928</v>
      </c>
      <c r="B7792">
        <v>223432969.61865306</v>
      </c>
    </row>
    <row r="7793" spans="1:2" x14ac:dyDescent="0.25">
      <c r="A7793">
        <f ca="1">39599.4760303489*(RANDBETWEEN(2890,3282))</f>
        <v>122085184.6015657</v>
      </c>
      <c r="B7793">
        <v>238498292.32319984</v>
      </c>
    </row>
    <row r="7794" spans="1:2" x14ac:dyDescent="0.25">
      <c r="A7794">
        <f ca="1">31029.9775956994*(RANDBETWEEN(2890,3282))</f>
        <v>92841692.96633257</v>
      </c>
      <c r="B7794">
        <v>255847453.34663102</v>
      </c>
    </row>
    <row r="7795" spans="1:2" x14ac:dyDescent="0.25">
      <c r="A7795">
        <f ca="1">34073.3600235074*(RANDBETWEEN(2890,3282))</f>
        <v>99255697.748477116</v>
      </c>
      <c r="B7795">
        <v>231221627.18357438</v>
      </c>
    </row>
    <row r="7796" spans="1:2" x14ac:dyDescent="0.25">
      <c r="A7796">
        <f ca="1">32547.5045534244*(RANDBETWEEN(2890,3282))</f>
        <v>101483119.1975774</v>
      </c>
      <c r="B7796">
        <v>205893999.81540889</v>
      </c>
    </row>
    <row r="7797" spans="1:2" x14ac:dyDescent="0.25">
      <c r="A7797">
        <f ca="1">30229.3091320629*(RANDBETWEEN(2890,3282))</f>
        <v>97942961.587883636</v>
      </c>
      <c r="B7797">
        <v>259634272.22467592</v>
      </c>
    </row>
    <row r="7798" spans="1:2" x14ac:dyDescent="0.25">
      <c r="A7798">
        <f ca="1">33679.7158541302*(RANDBETWEEN(2890,3282))</f>
        <v>106091104.94051003</v>
      </c>
      <c r="B7798">
        <v>231063633.74328461</v>
      </c>
    </row>
    <row r="7799" spans="1:2" x14ac:dyDescent="0.25">
      <c r="A7799">
        <f ca="1">32092.0983866321*(RANDBETWEEN(2890,3282))</f>
        <v>102245425.4598098</v>
      </c>
      <c r="B7799">
        <v>211690681.99083143</v>
      </c>
    </row>
    <row r="7800" spans="1:2" x14ac:dyDescent="0.25">
      <c r="A7800">
        <f ca="1">37129.9245051342*(RANDBETWEEN(2890,3282))</f>
        <v>119446967.1330166</v>
      </c>
      <c r="B7800">
        <v>266883278.9898347</v>
      </c>
    </row>
    <row r="7801" spans="1:2" x14ac:dyDescent="0.25">
      <c r="A7801">
        <f ca="1">32207.2786132065*(RANDBETWEEN(2890,3282))</f>
        <v>97781297.869694784</v>
      </c>
      <c r="B7801">
        <v>206051360.29482645</v>
      </c>
    </row>
    <row r="7802" spans="1:2" x14ac:dyDescent="0.25">
      <c r="A7802">
        <f ca="1">30611.9868603699*(RANDBETWEEN(2890,3282))</f>
        <v>94744099.332844898</v>
      </c>
      <c r="B7802">
        <v>208781843.5436303</v>
      </c>
    </row>
    <row r="7803" spans="1:2" x14ac:dyDescent="0.25">
      <c r="A7803">
        <f ca="1">30498.0615346824*(RANDBETWEEN(2890,3282))</f>
        <v>98051267.834003851</v>
      </c>
      <c r="B7803">
        <v>238871251.88857862</v>
      </c>
    </row>
    <row r="7804" spans="1:2" x14ac:dyDescent="0.25">
      <c r="A7804">
        <f ca="1">38409.0074642319*(RANDBETWEEN(2890,3282))</f>
        <v>121718144.65415089</v>
      </c>
      <c r="B7804">
        <v>240839751.39487591</v>
      </c>
    </row>
    <row r="7805" spans="1:2" x14ac:dyDescent="0.25">
      <c r="A7805">
        <f ca="1">39871.6136742214*(RANDBETWEEN(2890,3282))</f>
        <v>116704213.22444595</v>
      </c>
      <c r="B7805">
        <v>212151290.24764103</v>
      </c>
    </row>
    <row r="7806" spans="1:2" x14ac:dyDescent="0.25">
      <c r="A7806">
        <f ca="1">39195.6754084982*(RANDBETWEEN(2890,3282))</f>
        <v>126014096.43832158</v>
      </c>
      <c r="B7806">
        <v>230608692.30784333</v>
      </c>
    </row>
    <row r="7807" spans="1:2" x14ac:dyDescent="0.25">
      <c r="A7807">
        <f ca="1">31383.3859254249*(RANDBETWEEN(2890,3282))</f>
        <v>99422566.611746088</v>
      </c>
      <c r="B7807">
        <v>258400172.64274865</v>
      </c>
    </row>
    <row r="7808" spans="1:2" x14ac:dyDescent="0.25">
      <c r="A7808">
        <f ca="1">31008.0444494653*(RANDBETWEEN(2890,3282))</f>
        <v>94388487.304172426</v>
      </c>
      <c r="B7808">
        <v>226090620.80523366</v>
      </c>
    </row>
    <row r="7809" spans="1:2" x14ac:dyDescent="0.25">
      <c r="A7809">
        <f ca="1">31702.8926880776*(RANDBETWEEN(2890,3282))</f>
        <v>96915742.947453231</v>
      </c>
      <c r="B7809">
        <v>263785827.74765328</v>
      </c>
    </row>
    <row r="7810" spans="1:2" x14ac:dyDescent="0.25">
      <c r="A7810">
        <f ca="1">32307.0020395876*(RANDBETWEEN(2890,3282))</f>
        <v>103188564.51444288</v>
      </c>
      <c r="B7810">
        <v>244741838.1660997</v>
      </c>
    </row>
    <row r="7811" spans="1:2" x14ac:dyDescent="0.25">
      <c r="A7811">
        <f ca="1">32653.0674269684*(RANDBETWEEN(2890,3282))</f>
        <v>105959203.80051255</v>
      </c>
      <c r="B7811">
        <v>253162150.89543927</v>
      </c>
    </row>
    <row r="7812" spans="1:2" x14ac:dyDescent="0.25">
      <c r="A7812">
        <f ca="1">38788.9662724576*(RANDBETWEEN(2890,3282))</f>
        <v>120788840.97243282</v>
      </c>
      <c r="B7812">
        <v>250577430.98449513</v>
      </c>
    </row>
    <row r="7813" spans="1:2" x14ac:dyDescent="0.25">
      <c r="A7813">
        <f ca="1">32502.8565349456*(RANDBETWEEN(2890,3282))</f>
        <v>97866101.026721209</v>
      </c>
      <c r="B7813">
        <v>250080529.33814931</v>
      </c>
    </row>
    <row r="7814" spans="1:2" x14ac:dyDescent="0.25">
      <c r="A7814">
        <f ca="1">29520.3256929277*(RANDBETWEEN(2890,3282))</f>
        <v>94376481.240289927</v>
      </c>
      <c r="B7814">
        <v>251884347.63171363</v>
      </c>
    </row>
    <row r="7815" spans="1:2" x14ac:dyDescent="0.25">
      <c r="A7815">
        <f ca="1">32942.8920510346*(RANDBETWEEN(2890,3282))</f>
        <v>101332335.94898249</v>
      </c>
      <c r="B7815">
        <v>216894971.05479747</v>
      </c>
    </row>
    <row r="7816" spans="1:2" x14ac:dyDescent="0.25">
      <c r="A7816">
        <f ca="1">31876.2557248223*(RANDBETWEEN(2890,3282))</f>
        <v>104362861.24306829</v>
      </c>
      <c r="B7816">
        <v>265872538.47386822</v>
      </c>
    </row>
    <row r="7817" spans="1:2" x14ac:dyDescent="0.25">
      <c r="A7817">
        <f ca="1">37504.3833339725*(RANDBETWEEN(2890,3282))</f>
        <v>121476697.61873707</v>
      </c>
      <c r="B7817">
        <v>265441419.13434029</v>
      </c>
    </row>
    <row r="7818" spans="1:2" x14ac:dyDescent="0.25">
      <c r="A7818">
        <f ca="1">37899.9639122424*(RANDBETWEEN(2890,3282))</f>
        <v>118588987.08140633</v>
      </c>
      <c r="B7818">
        <v>235952154.37662977</v>
      </c>
    </row>
    <row r="7819" spans="1:2" x14ac:dyDescent="0.25">
      <c r="A7819">
        <f ca="1">33713.4403398878*(RANDBETWEEN(2890,3282))</f>
        <v>100027777.48844707</v>
      </c>
      <c r="B7819">
        <v>207146779.91054839</v>
      </c>
    </row>
    <row r="7820" spans="1:2" x14ac:dyDescent="0.25">
      <c r="A7820">
        <f ca="1">37845.9528569208*(RANDBETWEEN(2890,3282))</f>
        <v>120577205.80214967</v>
      </c>
      <c r="B7820">
        <v>229260301.375337</v>
      </c>
    </row>
    <row r="7821" spans="1:2" x14ac:dyDescent="0.25">
      <c r="A7821">
        <f ca="1">34862.026806894*(RANDBETWEEN(2890,3282))</f>
        <v>107165870.40439229</v>
      </c>
      <c r="B7821">
        <v>240115835.04373825</v>
      </c>
    </row>
    <row r="7822" spans="1:2" x14ac:dyDescent="0.25">
      <c r="A7822">
        <f ca="1">31638.0791866576*(RANDBETWEEN(2890,3282))</f>
        <v>91528963.08700037</v>
      </c>
      <c r="B7822">
        <v>254616726.94024324</v>
      </c>
    </row>
    <row r="7823" spans="1:2" x14ac:dyDescent="0.25">
      <c r="A7823">
        <f ca="1">29922.4037391329*(RANDBETWEEN(2890,3282))</f>
        <v>95811536.772703424</v>
      </c>
      <c r="B7823">
        <v>221622284.96427849</v>
      </c>
    </row>
    <row r="7824" spans="1:2" x14ac:dyDescent="0.25">
      <c r="A7824">
        <f ca="1">31772.1291612137*(RANDBETWEEN(2890,3282))</f>
        <v>95920057.937704027</v>
      </c>
      <c r="B7824">
        <v>253508693.57012248</v>
      </c>
    </row>
    <row r="7825" spans="1:2" x14ac:dyDescent="0.25">
      <c r="A7825">
        <f ca="1">31272.5432705273*(RANDBETWEEN(2890,3282))</f>
        <v>100165956.09549886</v>
      </c>
      <c r="B7825">
        <v>215829402.79889148</v>
      </c>
    </row>
    <row r="7826" spans="1:2" x14ac:dyDescent="0.25">
      <c r="A7826">
        <f ca="1">36759.9253148572*(RANDBETWEEN(2890,3282))</f>
        <v>115720244.89117046</v>
      </c>
      <c r="B7826">
        <v>238793615.86219391</v>
      </c>
    </row>
    <row r="7827" spans="1:2" x14ac:dyDescent="0.25">
      <c r="A7827">
        <f ca="1">29420.3256067846*(RANDBETWEEN(2890,3282))</f>
        <v>88378658.122781068</v>
      </c>
      <c r="B7827">
        <v>228252464.38715693</v>
      </c>
    </row>
    <row r="7828" spans="1:2" x14ac:dyDescent="0.25">
      <c r="A7828">
        <f ca="1">34110.551618146*(RANDBETWEEN(2890,3282))</f>
        <v>104855835.67418075</v>
      </c>
      <c r="B7828">
        <v>252619240.33053723</v>
      </c>
    </row>
    <row r="7829" spans="1:2" x14ac:dyDescent="0.25">
      <c r="A7829">
        <f ca="1">27405.8035323442*(RANDBETWEEN(2890,3282))</f>
        <v>84081005.23723194</v>
      </c>
      <c r="B7829">
        <v>248205995.29967809</v>
      </c>
    </row>
    <row r="7830" spans="1:2" x14ac:dyDescent="0.25">
      <c r="A7830">
        <f ca="1">32266.4426789444*(RANDBETWEEN(2890,3282))</f>
        <v>102994485.03119047</v>
      </c>
      <c r="B7830">
        <v>264136113.23400345</v>
      </c>
    </row>
    <row r="7831" spans="1:2" x14ac:dyDescent="0.25">
      <c r="A7831">
        <f ca="1">40867.5811009184*(RANDBETWEEN(2890,3282))</f>
        <v>119047263.74697529</v>
      </c>
      <c r="B7831">
        <v>262816095.68584043</v>
      </c>
    </row>
    <row r="7832" spans="1:2" x14ac:dyDescent="0.25">
      <c r="A7832">
        <f ca="1">39900.8179464261*(RANDBETWEEN(2890,3282))</f>
        <v>129557955.87204564</v>
      </c>
      <c r="B7832">
        <v>209332397.26808015</v>
      </c>
    </row>
    <row r="7833" spans="1:2" x14ac:dyDescent="0.25">
      <c r="A7833">
        <f ca="1">35003.2400844201*(RANDBETWEEN(2890,3282))</f>
        <v>106654872.53722797</v>
      </c>
      <c r="B7833">
        <v>207073293.209959</v>
      </c>
    </row>
    <row r="7834" spans="1:2" x14ac:dyDescent="0.25">
      <c r="A7834">
        <f ca="1">30484.487685426*(RANDBETWEEN(2890,3282))</f>
        <v>88100169.410881236</v>
      </c>
      <c r="B7834">
        <v>245358715.53737068</v>
      </c>
    </row>
    <row r="7835" spans="1:2" x14ac:dyDescent="0.25">
      <c r="A7835">
        <f ca="1">37310.8915264574*(RANDBETWEEN(2890,3282))</f>
        <v>110589482.48441976</v>
      </c>
      <c r="B7835">
        <v>266103468.47465634</v>
      </c>
    </row>
    <row r="7836" spans="1:2" x14ac:dyDescent="0.25">
      <c r="A7836">
        <f ca="1">37795.6336217552*(RANDBETWEEN(2890,3282))</f>
        <v>123251561.24054366</v>
      </c>
      <c r="B7836">
        <v>239672953.75788546</v>
      </c>
    </row>
    <row r="7837" spans="1:2" x14ac:dyDescent="0.25">
      <c r="A7837">
        <f ca="1">31514.8253392441*(RANDBETWEEN(2890,3282))</f>
        <v>101572282.06838389</v>
      </c>
      <c r="B7837">
        <v>234489685.42079425</v>
      </c>
    </row>
    <row r="7838" spans="1:2" x14ac:dyDescent="0.25">
      <c r="A7838">
        <f ca="1">30201.6279205413*(RANDBETWEEN(2890,3282))</f>
        <v>91510932.599240139</v>
      </c>
      <c r="B7838">
        <v>258092683.89852682</v>
      </c>
    </row>
    <row r="7839" spans="1:2" x14ac:dyDescent="0.25">
      <c r="A7839">
        <f ca="1">32122.8528163713*(RANDBETWEEN(2890,3282))</f>
        <v>95051521.483642578</v>
      </c>
      <c r="B7839">
        <v>206137916.77727076</v>
      </c>
    </row>
    <row r="7840" spans="1:2" x14ac:dyDescent="0.25">
      <c r="A7840">
        <f ca="1">37087.2521737405*(RANDBETWEEN(2890,3282))</f>
        <v>112708159.35599741</v>
      </c>
      <c r="B7840">
        <v>263694008.58939099</v>
      </c>
    </row>
    <row r="7841" spans="1:2" x14ac:dyDescent="0.25">
      <c r="A7841">
        <f ca="1">39942.488048708*(RANDBETWEEN(2890,3282))</f>
        <v>116711950.07832474</v>
      </c>
      <c r="B7841">
        <v>238509008.35558602</v>
      </c>
    </row>
    <row r="7842" spans="1:2" x14ac:dyDescent="0.25">
      <c r="A7842">
        <f ca="1">33036.6908309698*(RANDBETWEEN(2890,3282))</f>
        <v>98185045.14964211</v>
      </c>
      <c r="B7842">
        <v>220751249.25939503</v>
      </c>
    </row>
    <row r="7843" spans="1:2" x14ac:dyDescent="0.25">
      <c r="A7843">
        <f ca="1">39293.8900607714*(RANDBETWEEN(2890,3282))</f>
        <v>122754112.54984991</v>
      </c>
      <c r="B7843">
        <v>216708893.08803988</v>
      </c>
    </row>
    <row r="7844" spans="1:2" x14ac:dyDescent="0.25">
      <c r="A7844">
        <f ca="1">30460.1822276038*(RANDBETWEEN(2890,3282))</f>
        <v>94365644.541116625</v>
      </c>
      <c r="B7844">
        <v>245989140.16019571</v>
      </c>
    </row>
    <row r="7845" spans="1:2" x14ac:dyDescent="0.25">
      <c r="A7845">
        <f ca="1">38961.8992129079*(RANDBETWEEN(2890,3282))</f>
        <v>126236553.44982192</v>
      </c>
      <c r="B7845">
        <v>261485676.86790758</v>
      </c>
    </row>
    <row r="7846" spans="1:2" x14ac:dyDescent="0.25">
      <c r="A7846">
        <f ca="1">33153.3409528968*(RANDBETWEEN(2890,3282))</f>
        <v>106786911.20928051</v>
      </c>
      <c r="B7846">
        <v>213376772.33994353</v>
      </c>
    </row>
    <row r="7847" spans="1:2" x14ac:dyDescent="0.25">
      <c r="A7847">
        <f ca="1">37424.5844953043*(RANDBETWEEN(2890,3282))</f>
        <v>109953429.2472041</v>
      </c>
      <c r="B7847">
        <v>220952740.66374126</v>
      </c>
    </row>
    <row r="7848" spans="1:2" x14ac:dyDescent="0.25">
      <c r="A7848">
        <f ca="1">29526.8361309335*(RANDBETWEEN(2890,3282))</f>
        <v>96848022.509461761</v>
      </c>
      <c r="B7848">
        <v>238232214.3386488</v>
      </c>
    </row>
    <row r="7849" spans="1:2" x14ac:dyDescent="0.25">
      <c r="A7849">
        <f ca="1">30197.3156905289*(RANDBETWEEN(2890,3282))</f>
        <v>95876477.317429245</v>
      </c>
      <c r="B7849">
        <v>262636704.95370144</v>
      </c>
    </row>
    <row r="7850" spans="1:2" x14ac:dyDescent="0.25">
      <c r="A7850">
        <f ca="1">36198.2338158163*(RANDBETWEEN(2890,3282))</f>
        <v>117716656.3690346</v>
      </c>
      <c r="B7850">
        <v>221690739.65711445</v>
      </c>
    </row>
    <row r="7851" spans="1:2" x14ac:dyDescent="0.25">
      <c r="A7851">
        <f ca="1">30199.2783080117*(RANDBETWEEN(2890,3282))</f>
        <v>97181277.595181614</v>
      </c>
      <c r="B7851">
        <v>252496457.31253329</v>
      </c>
    </row>
    <row r="7852" spans="1:2" x14ac:dyDescent="0.25">
      <c r="A7852">
        <f ca="1">32585.2603493743*(RANDBETWEEN(2890,3282))</f>
        <v>106684142.3838516</v>
      </c>
      <c r="B7852">
        <v>218850122.14024365</v>
      </c>
    </row>
    <row r="7853" spans="1:2" x14ac:dyDescent="0.25">
      <c r="A7853">
        <f ca="1">39483.5728866947*(RANDBETWEEN(2890,3282))</f>
        <v>124926024.61350212</v>
      </c>
      <c r="B7853">
        <v>221865021.25995445</v>
      </c>
    </row>
    <row r="7854" spans="1:2" x14ac:dyDescent="0.25">
      <c r="A7854">
        <f ca="1">29097.7759571112*(RANDBETWEEN(2890,3282))</f>
        <v>91716189.816814363</v>
      </c>
      <c r="B7854">
        <v>248710073.81296805</v>
      </c>
    </row>
    <row r="7855" spans="1:2" x14ac:dyDescent="0.25">
      <c r="A7855">
        <f ca="1">30765.0364090434*(RANDBETWEEN(2890,3282))</f>
        <v>93587240.756310031</v>
      </c>
      <c r="B7855">
        <v>260133444.78228781</v>
      </c>
    </row>
    <row r="7856" spans="1:2" x14ac:dyDescent="0.25">
      <c r="A7856">
        <f ca="1">31274.5246749365*(RANDBETWEEN(2890,3282))</f>
        <v>93823574.024809405</v>
      </c>
      <c r="B7856">
        <v>265164804.63300315</v>
      </c>
    </row>
    <row r="7857" spans="1:2" x14ac:dyDescent="0.25">
      <c r="A7857">
        <f ca="1">37446.7570872882*(RANDBETWEEN(2890,3282))</f>
        <v>108707935.82439779</v>
      </c>
      <c r="B7857">
        <v>251580648.76767287</v>
      </c>
    </row>
    <row r="7858" spans="1:2" x14ac:dyDescent="0.25">
      <c r="A7858">
        <f ca="1">31478.102157341*(RANDBETWEEN(2890,3282))</f>
        <v>101768704.27468373</v>
      </c>
      <c r="B7858">
        <v>240666311.71717361</v>
      </c>
    </row>
    <row r="7859" spans="1:2" x14ac:dyDescent="0.25">
      <c r="A7859">
        <f ca="1">37494.165173485*(RANDBETWEEN(2890,3282))</f>
        <v>111732612.21698518</v>
      </c>
      <c r="B7859">
        <v>238789597.88291937</v>
      </c>
    </row>
    <row r="7860" spans="1:2" x14ac:dyDescent="0.25">
      <c r="A7860">
        <f ca="1">39166.7432222443*(RANDBETWEEN(2890,3282))</f>
        <v>126782747.81040472</v>
      </c>
      <c r="B7860">
        <v>219273511.47742721</v>
      </c>
    </row>
    <row r="7861" spans="1:2" x14ac:dyDescent="0.25">
      <c r="A7861">
        <f ca="1">30867.7690939453*(RANDBETWEEN(2890,3282))</f>
        <v>99548555.327973604</v>
      </c>
      <c r="B7861">
        <v>258594352.20730335</v>
      </c>
    </row>
    <row r="7862" spans="1:2" x14ac:dyDescent="0.25">
      <c r="A7862">
        <f ca="1">29964.2626279799*(RANDBETWEEN(2890,3282))</f>
        <v>91121322.651686981</v>
      </c>
      <c r="B7862">
        <v>219721407.26207393</v>
      </c>
    </row>
    <row r="7863" spans="1:2" x14ac:dyDescent="0.25">
      <c r="A7863">
        <f ca="1">32706.7698637075*(RANDBETWEEN(2890,3282))</f>
        <v>101652640.73640291</v>
      </c>
      <c r="B7863">
        <v>263141436.85229346</v>
      </c>
    </row>
    <row r="7864" spans="1:2" x14ac:dyDescent="0.25">
      <c r="A7864">
        <f ca="1">30835.4912866258*(RANDBETWEEN(2890,3282))</f>
        <v>90718015.365253061</v>
      </c>
      <c r="B7864">
        <v>242592920.14333463</v>
      </c>
    </row>
    <row r="7865" spans="1:2" x14ac:dyDescent="0.25">
      <c r="A7865">
        <f ca="1">40567.7341716428*(RANDBETWEEN(2890,3282))</f>
        <v>118579486.9837119</v>
      </c>
      <c r="B7865">
        <v>210473404.13759062</v>
      </c>
    </row>
    <row r="7866" spans="1:2" x14ac:dyDescent="0.25">
      <c r="A7866">
        <f ca="1">37768.1194337265*(RANDBETWEEN(2890,3282))</f>
        <v>115721517.94493794</v>
      </c>
      <c r="B7866">
        <v>254826075.90413597</v>
      </c>
    </row>
    <row r="7867" spans="1:2" x14ac:dyDescent="0.25">
      <c r="A7867">
        <f ca="1">32661.1768264592*(RANDBETWEEN(2890,3282))</f>
        <v>102980690.53382586</v>
      </c>
      <c r="B7867">
        <v>257497449.79972407</v>
      </c>
    </row>
    <row r="7868" spans="1:2" x14ac:dyDescent="0.25">
      <c r="A7868">
        <f ca="1">31119.7641052833*(RANDBETWEEN(2890,3282))</f>
        <v>98867490.562485158</v>
      </c>
      <c r="B7868">
        <v>265412153.91039139</v>
      </c>
    </row>
    <row r="7869" spans="1:2" x14ac:dyDescent="0.25">
      <c r="A7869">
        <f ca="1">35696.3903389817*(RANDBETWEEN(2890,3282))</f>
        <v>109445132.77931787</v>
      </c>
      <c r="B7869">
        <v>265668441.13441676</v>
      </c>
    </row>
    <row r="7870" spans="1:2" x14ac:dyDescent="0.25">
      <c r="A7870">
        <f ca="1">32193.7588536001*(RANDBETWEEN(2890,3282))</f>
        <v>94810619.823852196</v>
      </c>
      <c r="B7870">
        <v>245066333.67932731</v>
      </c>
    </row>
    <row r="7871" spans="1:2" x14ac:dyDescent="0.25">
      <c r="A7871">
        <f ca="1">38280.3808116808*(RANDBETWEEN(2890,3282))</f>
        <v>125176845.25419624</v>
      </c>
      <c r="B7871">
        <v>247967967.62315348</v>
      </c>
    </row>
    <row r="7872" spans="1:2" x14ac:dyDescent="0.25">
      <c r="A7872">
        <f ca="1">34884.7441355501*(RANDBETWEEN(2890,3282))</f>
        <v>107131049.24027449</v>
      </c>
      <c r="B7872">
        <v>265281172.63480356</v>
      </c>
    </row>
    <row r="7873" spans="1:2" x14ac:dyDescent="0.25">
      <c r="A7873">
        <f ca="1">28576.3864061177*(RANDBETWEEN(2890,3282))</f>
        <v>85129055.103824571</v>
      </c>
      <c r="B7873">
        <v>243004793.632402</v>
      </c>
    </row>
    <row r="7874" spans="1:2" x14ac:dyDescent="0.25">
      <c r="A7874">
        <f ca="1">37826.1699904354*(RANDBETWEEN(2890,3282))</f>
        <v>109885023.82221495</v>
      </c>
      <c r="B7874">
        <v>248693673.12032139</v>
      </c>
    </row>
    <row r="7875" spans="1:2" x14ac:dyDescent="0.25">
      <c r="A7875">
        <f ca="1">30419.1140195255*(RANDBETWEEN(2890,3282))</f>
        <v>94177577.004451036</v>
      </c>
      <c r="B7875">
        <v>256480384.40046439</v>
      </c>
    </row>
    <row r="7876" spans="1:2" x14ac:dyDescent="0.25">
      <c r="A7876">
        <f ca="1">38345.1753280517*(RANDBETWEEN(2890,3282))</f>
        <v>111354389.15266222</v>
      </c>
      <c r="B7876">
        <v>235683791.19473037</v>
      </c>
    </row>
    <row r="7877" spans="1:2" x14ac:dyDescent="0.25">
      <c r="A7877">
        <f ca="1">40600.0241779935*(RANDBETWEEN(2890,3282))</f>
        <v>123342873.45274423</v>
      </c>
      <c r="B7877">
        <v>260954695.58977199</v>
      </c>
    </row>
    <row r="7878" spans="1:2" x14ac:dyDescent="0.25">
      <c r="A7878">
        <f ca="1">30784.3734352636*(RANDBETWEEN(2890,3282))</f>
        <v>97955876.2710087</v>
      </c>
      <c r="B7878">
        <v>229001044.19464731</v>
      </c>
    </row>
    <row r="7879" spans="1:2" x14ac:dyDescent="0.25">
      <c r="A7879">
        <f ca="1">33464.5256225411*(RANDBETWEEN(2890,3282))</f>
        <v>109328605.20884192</v>
      </c>
      <c r="B7879">
        <v>260513398.67818409</v>
      </c>
    </row>
    <row r="7880" spans="1:2" x14ac:dyDescent="0.25">
      <c r="A7880">
        <f ca="1">33337.2635216664*(RANDBETWEEN(2890,3282))</f>
        <v>108912839.925284</v>
      </c>
      <c r="B7880">
        <v>213885278.78020906</v>
      </c>
    </row>
    <row r="7881" spans="1:2" x14ac:dyDescent="0.25">
      <c r="A7881">
        <f ca="1">33521.4139518742*(RANDBETWEEN(2890,3282))</f>
        <v>100262549.13005583</v>
      </c>
      <c r="B7881">
        <v>224552796.71807492</v>
      </c>
    </row>
    <row r="7882" spans="1:2" x14ac:dyDescent="0.25">
      <c r="A7882">
        <f ca="1">32366.7454707284*(RANDBETWEEN(2890,3282))</f>
        <v>100336910.95925793</v>
      </c>
      <c r="B7882">
        <v>203739127.45258349</v>
      </c>
    </row>
    <row r="7883" spans="1:2" x14ac:dyDescent="0.25">
      <c r="A7883">
        <f ca="1">31334.4161876861*(RANDBETWEEN(2890,3282))</f>
        <v>102369537.6851704</v>
      </c>
      <c r="B7883">
        <v>240287433.90326804</v>
      </c>
    </row>
    <row r="7884" spans="1:2" x14ac:dyDescent="0.25">
      <c r="A7884">
        <f ca="1">32309.5761695948*(RANDBETWEEN(2890,3282))</f>
        <v>98156492.403229073</v>
      </c>
      <c r="B7884">
        <v>260680121.65550277</v>
      </c>
    </row>
    <row r="7885" spans="1:2" x14ac:dyDescent="0.25">
      <c r="A7885">
        <f ca="1">39006.2992999873*(RANDBETWEEN(2890,3282))</f>
        <v>120451452.23836084</v>
      </c>
      <c r="B7885">
        <v>215170333.35671607</v>
      </c>
    </row>
    <row r="7886" spans="1:2" x14ac:dyDescent="0.25">
      <c r="A7886">
        <f ca="1">40900.9774405875*(RANDBETWEEN(2890,3282))</f>
        <v>123480050.89313355</v>
      </c>
      <c r="B7886">
        <v>222583608.71511954</v>
      </c>
    </row>
    <row r="7887" spans="1:2" x14ac:dyDescent="0.25">
      <c r="A7887">
        <f ca="1">29812.3048391929*(RANDBETWEEN(2890,3282))</f>
        <v>96114870.801557943</v>
      </c>
      <c r="B7887">
        <v>220013756.9315179</v>
      </c>
    </row>
    <row r="7888" spans="1:2" x14ac:dyDescent="0.25">
      <c r="A7888">
        <f ca="1">39658.6405806327*(RANDBETWEEN(2890,3282))</f>
        <v>124964376.46957356</v>
      </c>
      <c r="B7888">
        <v>230147462.9295969</v>
      </c>
    </row>
    <row r="7889" spans="1:2" x14ac:dyDescent="0.25">
      <c r="A7889">
        <f ca="1">38280.3668044557*(RANDBETWEEN(2890,3282))</f>
        <v>117252763.52204786</v>
      </c>
      <c r="B7889">
        <v>263986083.57681122</v>
      </c>
    </row>
    <row r="7890" spans="1:2" x14ac:dyDescent="0.25">
      <c r="A7890">
        <f ca="1">29982.8770359422*(RANDBETWEEN(2890,3282))</f>
        <v>95615394.867619663</v>
      </c>
      <c r="B7890">
        <v>253087523.3823919</v>
      </c>
    </row>
    <row r="7891" spans="1:2" x14ac:dyDescent="0.25">
      <c r="A7891">
        <f ca="1">41585.1239753227*(RANDBETWEEN(2890,3282))</f>
        <v>131866428.12574825</v>
      </c>
      <c r="B7891">
        <v>226711372.75846165</v>
      </c>
    </row>
    <row r="7892" spans="1:2" x14ac:dyDescent="0.25">
      <c r="A7892">
        <f ca="1">34554.7325263766*(RANDBETWEEN(2890,3282))</f>
        <v>101245366.30228341</v>
      </c>
      <c r="B7892">
        <v>260221429.96126801</v>
      </c>
    </row>
    <row r="7893" spans="1:2" x14ac:dyDescent="0.25">
      <c r="A7893">
        <f ca="1">36982.9019814848*(RANDBETWEEN(2890,3282))</f>
        <v>108507834.41367638</v>
      </c>
      <c r="B7893">
        <v>237035477.95837072</v>
      </c>
    </row>
    <row r="7894" spans="1:2" x14ac:dyDescent="0.25">
      <c r="A7894">
        <f ca="1">34309.3115422359*(RANDBETWEEN(2890,3282))</f>
        <v>102996553.2497921</v>
      </c>
      <c r="B7894">
        <v>231044819.0290783</v>
      </c>
    </row>
    <row r="7895" spans="1:2" x14ac:dyDescent="0.25">
      <c r="A7895">
        <f ca="1">34756.6357832443*(RANDBETWEEN(2890,3282))</f>
        <v>113549929.10385904</v>
      </c>
      <c r="B7895">
        <v>207281021.71727771</v>
      </c>
    </row>
    <row r="7896" spans="1:2" x14ac:dyDescent="0.25">
      <c r="A7896">
        <f ca="1">37282.5872940795*(RANDBETWEEN(2890,3282))</f>
        <v>115725150.96082269</v>
      </c>
      <c r="B7896">
        <v>242440672.03941977</v>
      </c>
    </row>
    <row r="7897" spans="1:2" x14ac:dyDescent="0.25">
      <c r="A7897">
        <f ca="1">33661.3266022944*(RANDBETWEEN(2890,3282))</f>
        <v>97516863.166846842</v>
      </c>
      <c r="B7897">
        <v>226611699.64872256</v>
      </c>
    </row>
    <row r="7898" spans="1:2" x14ac:dyDescent="0.25">
      <c r="A7898">
        <f ca="1">39220.444284249*(RANDBETWEEN(2890,3282))</f>
        <v>123152195.05254179</v>
      </c>
      <c r="B7898">
        <v>228240032.65895534</v>
      </c>
    </row>
    <row r="7899" spans="1:2" x14ac:dyDescent="0.25">
      <c r="A7899">
        <f ca="1">33970.4304213889*(RANDBETWEEN(2890,3282))</f>
        <v>108603466.05718033</v>
      </c>
      <c r="B7899">
        <v>248631459.99139753</v>
      </c>
    </row>
    <row r="7900" spans="1:2" x14ac:dyDescent="0.25">
      <c r="A7900">
        <f ca="1">31193.5363836654*(RANDBETWEEN(2890,3282))</f>
        <v>102065251.04735316</v>
      </c>
      <c r="B7900">
        <v>235626633.0422191</v>
      </c>
    </row>
    <row r="7901" spans="1:2" x14ac:dyDescent="0.25">
      <c r="A7901">
        <f ca="1">36714.9416410391*(RANDBETWEEN(2890,3282))</f>
        <v>107941928.42465487</v>
      </c>
      <c r="B7901">
        <v>257806208.561391</v>
      </c>
    </row>
    <row r="7902" spans="1:2" x14ac:dyDescent="0.25">
      <c r="A7902">
        <f ca="1">33955.0909053152*(RANDBETWEEN(2890,3282))</f>
        <v>100133563.07977445</v>
      </c>
      <c r="B7902">
        <v>215083290.18738422</v>
      </c>
    </row>
    <row r="7903" spans="1:2" x14ac:dyDescent="0.25">
      <c r="A7903">
        <f ca="1">31475.4815876489*(RANDBETWEEN(2890,3282))</f>
        <v>94804150.54199855</v>
      </c>
      <c r="B7903">
        <v>266884106.6857163</v>
      </c>
    </row>
    <row r="7904" spans="1:2" x14ac:dyDescent="0.25">
      <c r="A7904">
        <f ca="1">31199.9118243078*(RANDBETWEEN(2890,3282))</f>
        <v>96095728.41886802</v>
      </c>
      <c r="B7904">
        <v>248753951.38444805</v>
      </c>
    </row>
    <row r="7905" spans="1:2" x14ac:dyDescent="0.25">
      <c r="A7905">
        <f ca="1">31984.8162979761*(RANDBETWEEN(2890,3282))</f>
        <v>101551791.74607421</v>
      </c>
      <c r="B7905">
        <v>238038322.15364182</v>
      </c>
    </row>
    <row r="7906" spans="1:2" x14ac:dyDescent="0.25">
      <c r="A7906">
        <f ca="1">30083.0166396694*(RANDBETWEEN(2890,3282))</f>
        <v>91362121.53467603</v>
      </c>
      <c r="B7906">
        <v>242814414.56016102</v>
      </c>
    </row>
    <row r="7907" spans="1:2" x14ac:dyDescent="0.25">
      <c r="A7907">
        <f ca="1">40683.3291212467*(RANDBETWEEN(2890,3282))</f>
        <v>123026387.26265012</v>
      </c>
      <c r="B7907">
        <v>254050462.04362121</v>
      </c>
    </row>
    <row r="7908" spans="1:2" x14ac:dyDescent="0.25">
      <c r="A7908">
        <f ca="1">27593.4333804292*(RANDBETWEEN(2890,3282))</f>
        <v>88685294.884699315</v>
      </c>
      <c r="B7908">
        <v>210409532.86256278</v>
      </c>
    </row>
    <row r="7909" spans="1:2" x14ac:dyDescent="0.25">
      <c r="A7909">
        <f ca="1">39421.5396275469*(RANDBETWEEN(2890,3282))</f>
        <v>120590489.72066589</v>
      </c>
      <c r="B7909">
        <v>224226922.78700167</v>
      </c>
    </row>
    <row r="7910" spans="1:2" x14ac:dyDescent="0.25">
      <c r="A7910">
        <f ca="1">32296.8826675445*(RANDBETWEEN(2890,3282))</f>
        <v>102574899.35212122</v>
      </c>
      <c r="B7910">
        <v>241062028.01779231</v>
      </c>
    </row>
    <row r="7911" spans="1:2" x14ac:dyDescent="0.25">
      <c r="A7911">
        <f ca="1">41570.6709243838*(RANDBETWEEN(2890,3282))</f>
        <v>130822901.39903584</v>
      </c>
      <c r="B7911">
        <v>250534435.98358485</v>
      </c>
    </row>
    <row r="7912" spans="1:2" x14ac:dyDescent="0.25">
      <c r="A7912">
        <f ca="1">39299.3681461211*(RANDBETWEEN(2890,3282))</f>
        <v>124225302.70988883</v>
      </c>
      <c r="B7912">
        <v>203993222.63833699</v>
      </c>
    </row>
    <row r="7913" spans="1:2" x14ac:dyDescent="0.25">
      <c r="A7913">
        <f ca="1">37815.6783784485*(RANDBETWEEN(2890,3282))</f>
        <v>110421780.86506988</v>
      </c>
      <c r="B7913">
        <v>244909289.32491362</v>
      </c>
    </row>
    <row r="7914" spans="1:2" x14ac:dyDescent="0.25">
      <c r="A7914">
        <f ca="1">33394.5216844171*(RANDBETWEEN(2890,3282))</f>
        <v>98012921.143764272</v>
      </c>
      <c r="B7914">
        <v>210504276.93636358</v>
      </c>
    </row>
    <row r="7915" spans="1:2" x14ac:dyDescent="0.25">
      <c r="A7915">
        <f ca="1">30661.2918795817*(RANDBETWEEN(2890,3282))</f>
        <v>94712730.616027892</v>
      </c>
      <c r="B7915">
        <v>240559238.15484905</v>
      </c>
    </row>
    <row r="7916" spans="1:2" x14ac:dyDescent="0.25">
      <c r="A7916">
        <f ca="1">28306.624786653*(RANDBETWEEN(2890,3282))</f>
        <v>90552892.692502916</v>
      </c>
      <c r="B7916">
        <v>241932481.11377606</v>
      </c>
    </row>
    <row r="7917" spans="1:2" x14ac:dyDescent="0.25">
      <c r="A7917">
        <f ca="1">29313.170908718*(RANDBETWEEN(2890,3282))</f>
        <v>86444541.009809345</v>
      </c>
      <c r="B7917">
        <v>254551651.31616306</v>
      </c>
    </row>
    <row r="7918" spans="1:2" x14ac:dyDescent="0.25">
      <c r="A7918">
        <f ca="1">39662.5819338608*(RANDBETWEEN(2890,3282))</f>
        <v>119662009.69445816</v>
      </c>
      <c r="B7918">
        <v>235606849.59782657</v>
      </c>
    </row>
    <row r="7919" spans="1:2" x14ac:dyDescent="0.25">
      <c r="A7919">
        <f ca="1">31476.7253734015*(RANDBETWEEN(2890,3282))</f>
        <v>91943514.815705776</v>
      </c>
      <c r="B7919">
        <v>215297487.87756312</v>
      </c>
    </row>
    <row r="7920" spans="1:2" x14ac:dyDescent="0.25">
      <c r="A7920">
        <f ca="1">31097.5043329713*(RANDBETWEEN(2890,3282))</f>
        <v>100724816.53449415</v>
      </c>
      <c r="B7920">
        <v>237509618.67073172</v>
      </c>
    </row>
    <row r="7921" spans="1:2" x14ac:dyDescent="0.25">
      <c r="A7921">
        <f ca="1">37884.8936790675*(RANDBETWEEN(2890,3282))</f>
        <v>111192162.94806311</v>
      </c>
      <c r="B7921">
        <v>231018956.61752021</v>
      </c>
    </row>
    <row r="7922" spans="1:2" x14ac:dyDescent="0.25">
      <c r="A7922">
        <f ca="1">30351.0343315265*(RANDBETWEEN(2890,3282))</f>
        <v>98398053.302809075</v>
      </c>
      <c r="B7922">
        <v>264012605.99574006</v>
      </c>
    </row>
    <row r="7923" spans="1:2" x14ac:dyDescent="0.25">
      <c r="A7923">
        <f ca="1">32556.8012341707*(RANDBETWEEN(2890,3282))</f>
        <v>106786308.04807998</v>
      </c>
      <c r="B7923">
        <v>230075229.90755498</v>
      </c>
    </row>
    <row r="7924" spans="1:2" x14ac:dyDescent="0.25">
      <c r="A7924">
        <f ca="1">32433.5404421447*(RANDBETWEEN(2890,3282))</f>
        <v>98824997.727214769</v>
      </c>
      <c r="B7924">
        <v>241525477.56760025</v>
      </c>
    </row>
    <row r="7925" spans="1:2" x14ac:dyDescent="0.25">
      <c r="A7925">
        <f ca="1">37194.7557427133*(RANDBETWEEN(2890,3282))</f>
        <v>115340937.55815403</v>
      </c>
      <c r="B7925">
        <v>239503862.74390674</v>
      </c>
    </row>
    <row r="7926" spans="1:2" x14ac:dyDescent="0.25">
      <c r="A7926">
        <f ca="1">40643.1710911023*(RANDBETWEEN(2890,3282))</f>
        <v>132415451.41481113</v>
      </c>
      <c r="B7926">
        <v>230962079.39450255</v>
      </c>
    </row>
    <row r="7927" spans="1:2" x14ac:dyDescent="0.25">
      <c r="A7927">
        <f ca="1">40888.7243633986*(RANDBETWEEN(2890,3282))</f>
        <v>121357733.9105671</v>
      </c>
      <c r="B7927">
        <v>226575526.9362061</v>
      </c>
    </row>
    <row r="7928" spans="1:2" x14ac:dyDescent="0.25">
      <c r="A7928">
        <f ca="1">31115.1839213307*(RANDBETWEEN(2890,3282))</f>
        <v>90265148.555780351</v>
      </c>
      <c r="B7928">
        <v>266023983.80104649</v>
      </c>
    </row>
    <row r="7929" spans="1:2" x14ac:dyDescent="0.25">
      <c r="A7929">
        <f ca="1">37196.6794282463*(RANDBETWEEN(2890,3282))</f>
        <v>121186781.57722652</v>
      </c>
      <c r="B7929">
        <v>240722578.93177241</v>
      </c>
    </row>
    <row r="7930" spans="1:2" x14ac:dyDescent="0.25">
      <c r="A7930">
        <f ca="1">28158.2425288104*(RANDBETWEEN(2890,3282))</f>
        <v>86136063.895630926</v>
      </c>
      <c r="B7930">
        <v>245504107.90070599</v>
      </c>
    </row>
    <row r="7931" spans="1:2" x14ac:dyDescent="0.25">
      <c r="A7931">
        <f ca="1">31409.514908938*(RANDBETWEEN(2890,3282))</f>
        <v>99222657.597335204</v>
      </c>
      <c r="B7931">
        <v>242528021.76155931</v>
      </c>
    </row>
    <row r="7932" spans="1:2" x14ac:dyDescent="0.25">
      <c r="A7932">
        <f ca="1">38272.8756739396*(RANDBETWEEN(2890,3282))</f>
        <v>115239628.65423223</v>
      </c>
      <c r="B7932">
        <v>256828182.49527532</v>
      </c>
    </row>
    <row r="7933" spans="1:2" x14ac:dyDescent="0.25">
      <c r="A7933">
        <f ca="1">30999.4007541799*(RANDBETWEEN(2890,3282))</f>
        <v>100717053.0503304</v>
      </c>
      <c r="B7933">
        <v>245772229.25721803</v>
      </c>
    </row>
    <row r="7934" spans="1:2" x14ac:dyDescent="0.25">
      <c r="A7934">
        <f ca="1">31378.7777790745*(RANDBETWEEN(2890,3282))</f>
        <v>95140454.226153731</v>
      </c>
      <c r="B7934">
        <v>228823209.34572211</v>
      </c>
    </row>
    <row r="7935" spans="1:2" x14ac:dyDescent="0.25">
      <c r="A7935">
        <f ca="1">34666.1746131586*(RANDBETWEEN(2890,3282))</f>
        <v>113427723.33425482</v>
      </c>
      <c r="B7935">
        <v>243811373.29357463</v>
      </c>
    </row>
    <row r="7936" spans="1:2" x14ac:dyDescent="0.25">
      <c r="A7936">
        <f ca="1">31427.4455328424*(RANDBETWEEN(2890,3282))</f>
        <v>98776461.309723765</v>
      </c>
      <c r="B7936">
        <v>234094565.6619921</v>
      </c>
    </row>
    <row r="7937" spans="1:2" x14ac:dyDescent="0.25">
      <c r="A7937">
        <f ca="1">30855.0396133955*(RANDBETWEEN(2890,3282))</f>
        <v>95835753.03920652</v>
      </c>
      <c r="B7937">
        <v>261314879.27543795</v>
      </c>
    </row>
    <row r="7938" spans="1:2" x14ac:dyDescent="0.25">
      <c r="A7938">
        <f ca="1">36849.6245388096*(RANDBETWEEN(2890,3282))</f>
        <v>110290926.24465702</v>
      </c>
      <c r="B7938">
        <v>261486415.95817673</v>
      </c>
    </row>
    <row r="7939" spans="1:2" x14ac:dyDescent="0.25">
      <c r="A7939">
        <f ca="1">31166.6870296358*(RANDBETWEEN(2890,3282))</f>
        <v>99234731.502360538</v>
      </c>
      <c r="B7939">
        <v>206569108.18815893</v>
      </c>
    </row>
    <row r="7940" spans="1:2" x14ac:dyDescent="0.25">
      <c r="A7940">
        <f ca="1">40272.0780909896*(RANDBETWEEN(2890,3282))</f>
        <v>118641542.05605534</v>
      </c>
      <c r="B7940">
        <v>240676161.56756374</v>
      </c>
    </row>
    <row r="7941" spans="1:2" x14ac:dyDescent="0.25">
      <c r="A7941">
        <f ca="1">32935.1539712291*(RANDBETWEEN(2890,3282))</f>
        <v>107170991.02237965</v>
      </c>
      <c r="B7941">
        <v>208301022.17157218</v>
      </c>
    </row>
    <row r="7942" spans="1:2" x14ac:dyDescent="0.25">
      <c r="A7942">
        <f ca="1">35453.3261209951*(RANDBETWEEN(2890,3282))</f>
        <v>103169179.01209579</v>
      </c>
      <c r="B7942">
        <v>233880494.30409425</v>
      </c>
    </row>
    <row r="7943" spans="1:2" x14ac:dyDescent="0.25">
      <c r="A7943">
        <f ca="1">36693.2216801927*(RANDBETWEEN(2890,3282))</f>
        <v>115803807.62268808</v>
      </c>
      <c r="B7943">
        <v>259932510.68520969</v>
      </c>
    </row>
    <row r="7944" spans="1:2" x14ac:dyDescent="0.25">
      <c r="A7944">
        <f ca="1">34848.4473003805*(RANDBETWEEN(2890,3282))</f>
        <v>102558980.40501978</v>
      </c>
      <c r="B7944">
        <v>246183469.56021881</v>
      </c>
    </row>
    <row r="7945" spans="1:2" x14ac:dyDescent="0.25">
      <c r="A7945">
        <f ca="1">30024.6662981811*(RANDBETWEEN(2890,3282))</f>
        <v>98030535.463561296</v>
      </c>
      <c r="B7945">
        <v>205155399.72531325</v>
      </c>
    </row>
    <row r="7946" spans="1:2" x14ac:dyDescent="0.25">
      <c r="A7946">
        <f ca="1">32168.2340220946*(RANDBETWEEN(2890,3282))</f>
        <v>95893505.619863927</v>
      </c>
      <c r="B7946">
        <v>204677956.52355087</v>
      </c>
    </row>
    <row r="7947" spans="1:2" x14ac:dyDescent="0.25">
      <c r="A7947">
        <f ca="1">36217.4657686507*(RANDBETWEEN(2890,3282))</f>
        <v>116113195.25429414</v>
      </c>
      <c r="B7947">
        <v>236527621.02289999</v>
      </c>
    </row>
    <row r="7948" spans="1:2" x14ac:dyDescent="0.25">
      <c r="A7948">
        <f ca="1">31360.2438361902*(RANDBETWEEN(2890,3282))</f>
        <v>102140314.1744716</v>
      </c>
      <c r="B7948">
        <v>238238169.22702843</v>
      </c>
    </row>
    <row r="7949" spans="1:2" x14ac:dyDescent="0.25">
      <c r="A7949">
        <f ca="1">38651.728185256*(RANDBETWEEN(2890,3282))</f>
        <v>118699457.25692128</v>
      </c>
      <c r="B7949">
        <v>207871601.53806078</v>
      </c>
    </row>
    <row r="7950" spans="1:2" x14ac:dyDescent="0.25">
      <c r="A7950">
        <f ca="1">37982.9550766759*(RANDBETWEEN(2890,3282))</f>
        <v>117291365.27677529</v>
      </c>
      <c r="B7950">
        <v>205509277.23194098</v>
      </c>
    </row>
    <row r="7951" spans="1:2" x14ac:dyDescent="0.25">
      <c r="A7951">
        <f ca="1">32865.6846358221*(RANDBETWEEN(2890,3282))</f>
        <v>99057173.492367923</v>
      </c>
      <c r="B7951">
        <v>232304446.9999634</v>
      </c>
    </row>
    <row r="7952" spans="1:2" x14ac:dyDescent="0.25">
      <c r="A7952">
        <f ca="1">32435.9961386583*(RANDBETWEEN(2890,3282))</f>
        <v>97048500.446865499</v>
      </c>
      <c r="B7952">
        <v>255841737.77007699</v>
      </c>
    </row>
    <row r="7953" spans="1:2" x14ac:dyDescent="0.25">
      <c r="A7953">
        <f ca="1">31580.1748569249*(RANDBETWEEN(2890,3282))</f>
        <v>98024862.755894765</v>
      </c>
      <c r="B7953">
        <v>229837516.75718957</v>
      </c>
    </row>
    <row r="7954" spans="1:2" x14ac:dyDescent="0.25">
      <c r="A7954">
        <f ca="1">39383.5181391435*(RANDBETWEEN(2890,3282))</f>
        <v>123664246.9569106</v>
      </c>
      <c r="B7954">
        <v>234776897.88264018</v>
      </c>
    </row>
    <row r="7955" spans="1:2" x14ac:dyDescent="0.25">
      <c r="A7955">
        <f ca="1">34158.1624120131*(RANDBETWEEN(2890,3282))</f>
        <v>111355609.46316282</v>
      </c>
      <c r="B7955">
        <v>245431705.24398068</v>
      </c>
    </row>
    <row r="7956" spans="1:2" x14ac:dyDescent="0.25">
      <c r="A7956">
        <f ca="1">31749.7843219981*(RANDBETWEEN(2890,3282))</f>
        <v>94709606.632520273</v>
      </c>
      <c r="B7956">
        <v>248002999.14574942</v>
      </c>
    </row>
    <row r="7957" spans="1:2" x14ac:dyDescent="0.25">
      <c r="A7957">
        <f ca="1">33505.8586597763*(RANDBETWEEN(2890,3282))</f>
        <v>102494421.64025585</v>
      </c>
      <c r="B7957">
        <v>260951571.34905851</v>
      </c>
    </row>
    <row r="7958" spans="1:2" x14ac:dyDescent="0.25">
      <c r="A7958">
        <f ca="1">31627.1145865556*(RANDBETWEEN(2890,3282))</f>
        <v>100321207.46855421</v>
      </c>
      <c r="B7958">
        <v>204822580.81985366</v>
      </c>
    </row>
    <row r="7959" spans="1:2" x14ac:dyDescent="0.25">
      <c r="A7959">
        <f ca="1">37005.1722997106*(RANDBETWEEN(2890,3282))</f>
        <v>110090387.59163913</v>
      </c>
      <c r="B7959">
        <v>240766678.34727764</v>
      </c>
    </row>
    <row r="7960" spans="1:2" x14ac:dyDescent="0.25">
      <c r="A7960">
        <f ca="1">29309.3857095762*(RANDBETWEEN(2890,3282))</f>
        <v>87693682.043051928</v>
      </c>
      <c r="B7960">
        <v>259504731.92746508</v>
      </c>
    </row>
    <row r="7961" spans="1:2" x14ac:dyDescent="0.25">
      <c r="A7961">
        <f ca="1">38514.6046726481*(RANDBETWEEN(2890,3282))</f>
        <v>124710289.93003468</v>
      </c>
      <c r="B7961">
        <v>266244425.86933669</v>
      </c>
    </row>
    <row r="7962" spans="1:2" x14ac:dyDescent="0.25">
      <c r="A7962">
        <f ca="1">29783.9396171583*(RANDBETWEEN(2890,3282))</f>
        <v>91674966.141613364</v>
      </c>
      <c r="B7962">
        <v>222737979.83757222</v>
      </c>
    </row>
    <row r="7963" spans="1:2" x14ac:dyDescent="0.25">
      <c r="A7963">
        <f ca="1">33768.6518868731*(RANDBETWEEN(2890,3282))</f>
        <v>97895321.820044994</v>
      </c>
      <c r="B7963">
        <v>242877694.94901851</v>
      </c>
    </row>
    <row r="7964" spans="1:2" x14ac:dyDescent="0.25">
      <c r="A7964">
        <f ca="1">31387.446639923*(RANDBETWEEN(2890,3282))</f>
        <v>99780692.868315145</v>
      </c>
      <c r="B7964">
        <v>205118733.98337454</v>
      </c>
    </row>
    <row r="7965" spans="1:2" x14ac:dyDescent="0.25">
      <c r="A7965">
        <f ca="1">30572.7548990142*(RANDBETWEEN(2890,3282))</f>
        <v>92390865.304820865</v>
      </c>
      <c r="B7965">
        <v>217592549.07006463</v>
      </c>
    </row>
    <row r="7966" spans="1:2" x14ac:dyDescent="0.25">
      <c r="A7966">
        <f ca="1">32156.7047295722*(RANDBETWEEN(2890,3282))</f>
        <v>102869298.42990132</v>
      </c>
      <c r="B7966">
        <v>234422512.62788641</v>
      </c>
    </row>
    <row r="7967" spans="1:2" x14ac:dyDescent="0.25">
      <c r="A7967">
        <f ca="1">32025.7641510639*(RANDBETWEEN(2890,3282))</f>
        <v>95981215.160738423</v>
      </c>
      <c r="B7967">
        <v>235425335.46296057</v>
      </c>
    </row>
    <row r="7968" spans="1:2" x14ac:dyDescent="0.25">
      <c r="A7968">
        <f ca="1">33121.7781192233*(RANDBETWEEN(2890,3282))</f>
        <v>106519638.43142228</v>
      </c>
      <c r="B7968">
        <v>210168531.71783912</v>
      </c>
    </row>
    <row r="7969" spans="1:2" x14ac:dyDescent="0.25">
      <c r="A7969">
        <f ca="1">38785.5672757934*(RANDBETWEEN(2890,3282))</f>
        <v>126634877.15546553</v>
      </c>
      <c r="B7969">
        <v>244489558.72427326</v>
      </c>
    </row>
    <row r="7970" spans="1:2" x14ac:dyDescent="0.25">
      <c r="A7970">
        <f ca="1">38273.7627100026*(RANDBETWEEN(2890,3282))</f>
        <v>118610390.6382982</v>
      </c>
      <c r="B7970">
        <v>236664773.65560514</v>
      </c>
    </row>
    <row r="7971" spans="1:2" x14ac:dyDescent="0.25">
      <c r="A7971">
        <f ca="1">31239.5464112234*(RANDBETWEEN(2890,3282))</f>
        <v>90563445.046136588</v>
      </c>
      <c r="B7971">
        <v>261907493.94785562</v>
      </c>
    </row>
    <row r="7972" spans="1:2" x14ac:dyDescent="0.25">
      <c r="A7972">
        <f ca="1">39880.2433882654*(RANDBETWEEN(2890,3282))</f>
        <v>116410430.45034668</v>
      </c>
      <c r="B7972">
        <v>265731825.80452436</v>
      </c>
    </row>
    <row r="7973" spans="1:2" x14ac:dyDescent="0.25">
      <c r="A7973">
        <f ca="1">37147.4425895048*(RANDBETWEEN(2890,3282))</f>
        <v>110513641.70377666</v>
      </c>
      <c r="B7973">
        <v>259086042.36375445</v>
      </c>
    </row>
    <row r="7974" spans="1:2" x14ac:dyDescent="0.25">
      <c r="A7974">
        <f ca="1">31309.4438612111*(RANDBETWEEN(2890,3282))</f>
        <v>91173100.523846686</v>
      </c>
      <c r="B7974">
        <v>253639509.01368517</v>
      </c>
    </row>
    <row r="7975" spans="1:2" x14ac:dyDescent="0.25">
      <c r="A7975">
        <f ca="1">33712.563553259*(RANDBETWEEN(2890,3282))</f>
        <v>104980922.90484843</v>
      </c>
      <c r="B7975">
        <v>243927486.95663846</v>
      </c>
    </row>
    <row r="7976" spans="1:2" x14ac:dyDescent="0.25">
      <c r="A7976">
        <f ca="1">29510.446931837*(RANDBETWEEN(2890,3282))</f>
        <v>86406588.616418749</v>
      </c>
      <c r="B7976">
        <v>227680417.29033053</v>
      </c>
    </row>
    <row r="7977" spans="1:2" x14ac:dyDescent="0.25">
      <c r="A7977">
        <f ca="1">36550.805292642*(RANDBETWEEN(2890,3282))</f>
        <v>116597068.88352786</v>
      </c>
      <c r="B7977">
        <v>228107775.57821578</v>
      </c>
    </row>
    <row r="7978" spans="1:2" x14ac:dyDescent="0.25">
      <c r="A7978">
        <f ca="1">28996.8244264168*(RANDBETWEEN(2890,3282))</f>
        <v>90992035.050095931</v>
      </c>
      <c r="B7978">
        <v>220466733.67236301</v>
      </c>
    </row>
    <row r="7979" spans="1:2" x14ac:dyDescent="0.25">
      <c r="A7979">
        <f ca="1">34847.9938899856*(RANDBETWEEN(2890,3282))</f>
        <v>110363596.64958446</v>
      </c>
      <c r="B7979">
        <v>242250059.9608497</v>
      </c>
    </row>
    <row r="7980" spans="1:2" x14ac:dyDescent="0.25">
      <c r="A7980">
        <f ca="1">34951.2438955857*(RANDBETWEEN(2890,3282))</f>
        <v>108768271.0030627</v>
      </c>
      <c r="B7980">
        <v>205276452.54095852</v>
      </c>
    </row>
    <row r="7981" spans="1:2" x14ac:dyDescent="0.25">
      <c r="A7981">
        <f ca="1">30504.7824173425*(RANDBETWEEN(2890,3282))</f>
        <v>92063433.335539579</v>
      </c>
      <c r="B7981">
        <v>216328086.17711073</v>
      </c>
    </row>
    <row r="7982" spans="1:2" x14ac:dyDescent="0.25">
      <c r="A7982">
        <f ca="1">31141.3452599922*(RANDBETWEEN(2890,3282))</f>
        <v>93860014.613616481</v>
      </c>
      <c r="B7982">
        <v>253994569.94401509</v>
      </c>
    </row>
    <row r="7983" spans="1:2" x14ac:dyDescent="0.25">
      <c r="A7983">
        <f ca="1">36304.4971792136*(RANDBETWEEN(2890,3282))</f>
        <v>113451553.68504235</v>
      </c>
      <c r="B7983">
        <v>265791706.5904977</v>
      </c>
    </row>
    <row r="7984" spans="1:2" x14ac:dyDescent="0.25">
      <c r="A7984">
        <f ca="1">30296.2957771753*(RANDBETWEEN(2890,3282))</f>
        <v>94433553.937455356</v>
      </c>
      <c r="B7984">
        <v>224963865.97648332</v>
      </c>
    </row>
    <row r="7985" spans="1:2" x14ac:dyDescent="0.25">
      <c r="A7985">
        <f ca="1">38309.2757705568*(RANDBETWEEN(2890,3282))</f>
        <v>113663621.21124201</v>
      </c>
      <c r="B7985">
        <v>251154696.08611301</v>
      </c>
    </row>
    <row r="7986" spans="1:2" x14ac:dyDescent="0.25">
      <c r="A7986">
        <f ca="1">31368.753630925*(RANDBETWEEN(2890,3282))</f>
        <v>99564424.024555936</v>
      </c>
      <c r="B7986">
        <v>209291618.29543918</v>
      </c>
    </row>
    <row r="7987" spans="1:2" x14ac:dyDescent="0.25">
      <c r="A7987">
        <f ca="1">33495.3401676315*(RANDBETWEEN(2890,3282))</f>
        <v>103500601.11798146</v>
      </c>
      <c r="B7987">
        <v>215887384.44483304</v>
      </c>
    </row>
    <row r="7988" spans="1:2" x14ac:dyDescent="0.25">
      <c r="A7988">
        <f ca="1">31162.5857873814*(RANDBETWEEN(2890,3282))</f>
        <v>100094225.54906911</v>
      </c>
      <c r="B7988">
        <v>231216604.00459003</v>
      </c>
    </row>
    <row r="7989" spans="1:2" x14ac:dyDescent="0.25">
      <c r="A7989">
        <f ca="1">30962.7276088745*(RANDBETWEEN(2890,3282))</f>
        <v>91154270.080526605</v>
      </c>
      <c r="B7989">
        <v>213708575.95940965</v>
      </c>
    </row>
    <row r="7990" spans="1:2" x14ac:dyDescent="0.25">
      <c r="A7990">
        <f ca="1">40140.7839020399*(RANDBETWEEN(2890,3282))</f>
        <v>123874459.12169512</v>
      </c>
      <c r="B7990">
        <v>226911486.4220981</v>
      </c>
    </row>
    <row r="7991" spans="1:2" x14ac:dyDescent="0.25">
      <c r="A7991">
        <f ca="1">38550.2636682381*(RANDBETWEEN(2890,3282))</f>
        <v>114995436.5223542</v>
      </c>
      <c r="B7991">
        <v>232404933.45797014</v>
      </c>
    </row>
    <row r="7992" spans="1:2" x14ac:dyDescent="0.25">
      <c r="A7992">
        <f ca="1">31404.4705011268*(RANDBETWEEN(2890,3282))</f>
        <v>100400092.19210249</v>
      </c>
      <c r="B7992">
        <v>247438113.29817364</v>
      </c>
    </row>
    <row r="7993" spans="1:2" x14ac:dyDescent="0.25">
      <c r="A7993">
        <f ca="1">30743.9301204921*(RANDBETWEEN(2890,3282))</f>
        <v>95552134.814489365</v>
      </c>
      <c r="B7993">
        <v>239684581.35086575</v>
      </c>
    </row>
    <row r="7994" spans="1:2" x14ac:dyDescent="0.25">
      <c r="A7994">
        <f ca="1">33185.330433824*(RANDBETWEEN(2890,3282))</f>
        <v>105695277.43172935</v>
      </c>
      <c r="B7994">
        <v>245020537.87340885</v>
      </c>
    </row>
    <row r="7995" spans="1:2" x14ac:dyDescent="0.25">
      <c r="A7995">
        <f ca="1">33028.1677772747*(RANDBETWEEN(2890,3282))</f>
        <v>101198306.06956971</v>
      </c>
      <c r="B7995">
        <v>247771936.5895817</v>
      </c>
    </row>
    <row r="7996" spans="1:2" x14ac:dyDescent="0.25">
      <c r="A7996">
        <f ca="1">32173.87852404*(RANDBETWEEN(2890,3282))</f>
        <v>93432943.233812228</v>
      </c>
      <c r="B7996">
        <v>227952904.49137127</v>
      </c>
    </row>
    <row r="7997" spans="1:2" x14ac:dyDescent="0.25">
      <c r="A7997">
        <f ca="1">33170.2022059732*(RANDBETWEEN(2890,3282))</f>
        <v>102396414.20983937</v>
      </c>
      <c r="B7997">
        <v>216484951.90827709</v>
      </c>
    </row>
    <row r="7998" spans="1:2" x14ac:dyDescent="0.25">
      <c r="A7998">
        <f ca="1">33340.1987782359*(RANDBETWEEN(2890,3282))</f>
        <v>104988285.95266494</v>
      </c>
      <c r="B7998">
        <v>220021948.60627967</v>
      </c>
    </row>
    <row r="7999" spans="1:2" x14ac:dyDescent="0.25">
      <c r="A7999">
        <f ca="1">34350.6305378097*(RANDBETWEEN(2890,3282))</f>
        <v>103670202.96310961</v>
      </c>
      <c r="B7999">
        <v>246870424.42305952</v>
      </c>
    </row>
    <row r="8000" spans="1:2" x14ac:dyDescent="0.25">
      <c r="A8000">
        <f ca="1">30818.3903050751*(RANDBETWEEN(2890,3282))</f>
        <v>92824991.598886132</v>
      </c>
      <c r="B8000">
        <v>254714012.18548921</v>
      </c>
    </row>
    <row r="8001" spans="1:2" x14ac:dyDescent="0.25">
      <c r="A8001">
        <f ca="1">32753.6644883406*(RANDBETWEEN(2890,3282))</f>
        <v>102158679.53913443</v>
      </c>
      <c r="B8001">
        <v>240972887.37113678</v>
      </c>
    </row>
    <row r="8002" spans="1:2" x14ac:dyDescent="0.25">
      <c r="A8002">
        <f ca="1">33335.4629159104*(RANDBETWEEN(2890,3282))</f>
        <v>99239673.100665197</v>
      </c>
      <c r="B8002">
        <v>244175784.73768693</v>
      </c>
    </row>
    <row r="8003" spans="1:2" x14ac:dyDescent="0.25">
      <c r="A8003">
        <f ca="1">35122.3580515738*(RANDBETWEEN(2890,3282))</f>
        <v>104172913.98096789</v>
      </c>
      <c r="B8003">
        <v>265289126.63977319</v>
      </c>
    </row>
    <row r="8004" spans="1:2" x14ac:dyDescent="0.25">
      <c r="A8004">
        <f ca="1">37857.9947439177*(RANDBETWEEN(2890,3282))</f>
        <v>114217570.14239976</v>
      </c>
      <c r="B8004">
        <v>230556986.94945204</v>
      </c>
    </row>
    <row r="8005" spans="1:2" x14ac:dyDescent="0.25">
      <c r="A8005">
        <f ca="1">36650.5398668123*(RANDBETWEEN(2890,3282))</f>
        <v>115705754.35952653</v>
      </c>
      <c r="B8005">
        <v>260862355.17459148</v>
      </c>
    </row>
    <row r="8006" spans="1:2" x14ac:dyDescent="0.25">
      <c r="A8006">
        <f ca="1">35759.8311209045*(RANDBETWEEN(2890,3282))</f>
        <v>111892511.57731029</v>
      </c>
      <c r="B8006">
        <v>245205699.47531858</v>
      </c>
    </row>
    <row r="8007" spans="1:2" x14ac:dyDescent="0.25">
      <c r="A8007">
        <f ca="1">30131.8535895307*(RANDBETWEEN(2890,3282))</f>
        <v>90244901.500644505</v>
      </c>
      <c r="B8007">
        <v>226843423.36093831</v>
      </c>
    </row>
    <row r="8008" spans="1:2" x14ac:dyDescent="0.25">
      <c r="A8008">
        <f ca="1">27973.3166689019*(RANDBETWEEN(2890,3282))</f>
        <v>89430693.390479475</v>
      </c>
      <c r="B8008">
        <v>233098091.98317221</v>
      </c>
    </row>
    <row r="8009" spans="1:2" x14ac:dyDescent="0.25">
      <c r="A8009">
        <f ca="1">30951.4951603879*(RANDBETWEEN(2890,3282))</f>
        <v>92606873.519880578</v>
      </c>
      <c r="B8009">
        <v>215848271.1607542</v>
      </c>
    </row>
    <row r="8010" spans="1:2" x14ac:dyDescent="0.25">
      <c r="A8010">
        <f ca="1">41933.1935241185*(RANDBETWEEN(2890,3282))</f>
        <v>134312018.85775161</v>
      </c>
      <c r="B8010">
        <v>232544159.82928455</v>
      </c>
    </row>
    <row r="8011" spans="1:2" x14ac:dyDescent="0.25">
      <c r="A8011">
        <f ca="1">32818.92928955*(RANDBETWEEN(2890,3282))</f>
        <v>107022528.41322249</v>
      </c>
      <c r="B8011">
        <v>238165892.91393572</v>
      </c>
    </row>
    <row r="8012" spans="1:2" x14ac:dyDescent="0.25">
      <c r="A8012">
        <f ca="1">29059.5155213121*(RANDBETWEEN(2890,3282))</f>
        <v>85493094.663700134</v>
      </c>
      <c r="B8012">
        <v>253532425.47012612</v>
      </c>
    </row>
    <row r="8013" spans="1:2" x14ac:dyDescent="0.25">
      <c r="A8013">
        <f ca="1">32030.0632776653*(RANDBETWEEN(2890,3282))</f>
        <v>98044023.69293341</v>
      </c>
      <c r="B8013">
        <v>221287732.9558942</v>
      </c>
    </row>
    <row r="8014" spans="1:2" x14ac:dyDescent="0.25">
      <c r="A8014">
        <f ca="1">38337.3296517889*(RANDBETWEEN(2890,3282))</f>
        <v>115395362.25188471</v>
      </c>
      <c r="B8014">
        <v>237711647.57016841</v>
      </c>
    </row>
    <row r="8015" spans="1:2" x14ac:dyDescent="0.25">
      <c r="A8015">
        <f ca="1">36953.6077473251*(RANDBETWEEN(2890,3282))</f>
        <v>117660287.06748302</v>
      </c>
      <c r="B8015">
        <v>245982983.31318772</v>
      </c>
    </row>
    <row r="8016" spans="1:2" x14ac:dyDescent="0.25">
      <c r="A8016">
        <f ca="1">38735.4060973906*(RANDBETWEEN(2890,3282))</f>
        <v>119266315.37386571</v>
      </c>
      <c r="B8016">
        <v>228552037.7504262</v>
      </c>
    </row>
    <row r="8017" spans="1:2" x14ac:dyDescent="0.25">
      <c r="A8017">
        <f ca="1">31277.80739096*(RANDBETWEEN(2890,3282))</f>
        <v>90893308.278129846</v>
      </c>
      <c r="B8017">
        <v>228188015.99313542</v>
      </c>
    </row>
    <row r="8018" spans="1:2" x14ac:dyDescent="0.25">
      <c r="A8018">
        <f ca="1">31316.3058289249*(RANDBETWEEN(2890,3282))</f>
        <v>101182984.13325624</v>
      </c>
      <c r="B8018">
        <v>249119922.82327998</v>
      </c>
    </row>
    <row r="8019" spans="1:2" x14ac:dyDescent="0.25">
      <c r="A8019">
        <f ca="1">37654.0768518356*(RANDBETWEEN(2890,3282))</f>
        <v>120342429.61846666</v>
      </c>
      <c r="B8019">
        <v>263326014.73884204</v>
      </c>
    </row>
    <row r="8020" spans="1:2" x14ac:dyDescent="0.25">
      <c r="A8020">
        <f ca="1">41192.0210517162*(RANDBETWEEN(2890,3282))</f>
        <v>130455130.67078517</v>
      </c>
      <c r="B8020">
        <v>251100776.99698395</v>
      </c>
    </row>
    <row r="8021" spans="1:2" x14ac:dyDescent="0.25">
      <c r="A8021">
        <f ca="1">39446.726704102*(RANDBETWEEN(2890,3282))</f>
        <v>119681368.82024534</v>
      </c>
      <c r="B8021">
        <v>228880397.28139129</v>
      </c>
    </row>
    <row r="8022" spans="1:2" x14ac:dyDescent="0.25">
      <c r="A8022">
        <f ca="1">30827.1090802098*(RANDBETWEEN(2890,3282))</f>
        <v>90354256.714094862</v>
      </c>
      <c r="B8022">
        <v>226958671.84738487</v>
      </c>
    </row>
    <row r="8023" spans="1:2" x14ac:dyDescent="0.25">
      <c r="A8023">
        <f ca="1">30743.5137632281*(RANDBETWEEN(2890,3282))</f>
        <v>100838725.14338817</v>
      </c>
      <c r="B8023">
        <v>248789828.20286176</v>
      </c>
    </row>
    <row r="8024" spans="1:2" x14ac:dyDescent="0.25">
      <c r="A8024">
        <f ca="1">33940.0233843567*(RANDBETWEEN(2890,3282))</f>
        <v>103788591.50936271</v>
      </c>
      <c r="B8024">
        <v>259899877.8962754</v>
      </c>
    </row>
    <row r="8025" spans="1:2" x14ac:dyDescent="0.25">
      <c r="A8025">
        <f ca="1">38903.9212892006*(RANDBETWEEN(2890,3282))</f>
        <v>123753373.62094721</v>
      </c>
      <c r="B8025">
        <v>234520560.54648137</v>
      </c>
    </row>
    <row r="8026" spans="1:2" x14ac:dyDescent="0.25">
      <c r="A8026">
        <f ca="1">32245.2648343794*(RANDBETWEEN(2890,3282))</f>
        <v>95510474.439431742</v>
      </c>
      <c r="B8026">
        <v>234582881.22218132</v>
      </c>
    </row>
    <row r="8027" spans="1:2" x14ac:dyDescent="0.25">
      <c r="A8027">
        <f ca="1">29073.0488132055*(RANDBETWEEN(2890,3282))</f>
        <v>94807212.179863259</v>
      </c>
      <c r="B8027">
        <v>242446231.62678692</v>
      </c>
    </row>
    <row r="8028" spans="1:2" x14ac:dyDescent="0.25">
      <c r="A8028">
        <f ca="1">32357.4042403737*(RANDBETWEEN(2890,3282))</f>
        <v>98851869.954341665</v>
      </c>
      <c r="B8028">
        <v>252753424.7649309</v>
      </c>
    </row>
    <row r="8029" spans="1:2" x14ac:dyDescent="0.25">
      <c r="A8029">
        <f ca="1">35757.2444293548*(RANDBETWEEN(2890,3282))</f>
        <v>116818917.55070229</v>
      </c>
      <c r="B8029">
        <v>252083852.27855778</v>
      </c>
    </row>
    <row r="8030" spans="1:2" x14ac:dyDescent="0.25">
      <c r="A8030">
        <f ca="1">34870.0375237657*(RANDBETWEEN(2890,3282))</f>
        <v>104156802.08348814</v>
      </c>
      <c r="B8030">
        <v>224337045.65568632</v>
      </c>
    </row>
    <row r="8031" spans="1:2" x14ac:dyDescent="0.25">
      <c r="A8031">
        <f ca="1">37324.0295750425*(RANDBETWEEN(2890,3282))</f>
        <v>110628423.6604259</v>
      </c>
      <c r="B8031">
        <v>205486500.29480347</v>
      </c>
    </row>
    <row r="8032" spans="1:2" x14ac:dyDescent="0.25">
      <c r="A8032">
        <f ca="1">38912.1582037857*(RANDBETWEEN(2890,3282))</f>
        <v>114596305.91014878</v>
      </c>
      <c r="B8032">
        <v>211527974.09186113</v>
      </c>
    </row>
    <row r="8033" spans="1:2" x14ac:dyDescent="0.25">
      <c r="A8033">
        <f ca="1">40609.5403859906*(RANDBETWEEN(2890,3282))</f>
        <v>126336280.14081672</v>
      </c>
      <c r="B8033">
        <v>215557852.9617534</v>
      </c>
    </row>
    <row r="8034" spans="1:2" x14ac:dyDescent="0.25">
      <c r="A8034">
        <f ca="1">29267.2274178948*(RANDBETWEEN(2890,3282))</f>
        <v>94738015.15172562</v>
      </c>
      <c r="B8034">
        <v>228261322.39113486</v>
      </c>
    </row>
    <row r="8035" spans="1:2" x14ac:dyDescent="0.25">
      <c r="A8035">
        <f ca="1">29468.9495624941*(RANDBETWEEN(2890,3282))</f>
        <v>90263392.509919405</v>
      </c>
      <c r="B8035">
        <v>265275711.57126445</v>
      </c>
    </row>
    <row r="8036" spans="1:2" x14ac:dyDescent="0.25">
      <c r="A8036">
        <f ca="1">40164.5984309364*(RANDBETWEEN(2890,3282))</f>
        <v>125875851.48255479</v>
      </c>
      <c r="B8036">
        <v>226887232.59128222</v>
      </c>
    </row>
    <row r="8037" spans="1:2" x14ac:dyDescent="0.25">
      <c r="A8037">
        <f ca="1">32178.4516231788*(RANDBETWEEN(2890,3282))</f>
        <v>99881913.838346988</v>
      </c>
      <c r="B8037">
        <v>226221100.95214209</v>
      </c>
    </row>
    <row r="8038" spans="1:2" x14ac:dyDescent="0.25">
      <c r="A8038">
        <f ca="1">35605.3765978205*(RANDBETWEEN(2890,3282))</f>
        <v>116678819.11105765</v>
      </c>
      <c r="B8038">
        <v>214311181.76008892</v>
      </c>
    </row>
    <row r="8039" spans="1:2" x14ac:dyDescent="0.25">
      <c r="A8039">
        <f ca="1">37509.0692037055*(RANDBETWEEN(2890,3282))</f>
        <v>112489698.54191275</v>
      </c>
      <c r="B8039">
        <v>208721420.99727795</v>
      </c>
    </row>
    <row r="8040" spans="1:2" x14ac:dyDescent="0.25">
      <c r="A8040">
        <f ca="1">32018.4005374396*(RANDBETWEEN(2890,3282))</f>
        <v>93013453.561261922</v>
      </c>
      <c r="B8040">
        <v>210535741.59024733</v>
      </c>
    </row>
    <row r="8041" spans="1:2" x14ac:dyDescent="0.25">
      <c r="A8041">
        <f ca="1">33410.9381859856*(RANDBETWEEN(2890,3282))</f>
        <v>98194747.328611717</v>
      </c>
      <c r="B8041">
        <v>222430158.18244231</v>
      </c>
    </row>
    <row r="8042" spans="1:2" x14ac:dyDescent="0.25">
      <c r="A8042">
        <f ca="1">31322.639887634*(RANDBETWEEN(2890,3282))</f>
        <v>93028240.466273069</v>
      </c>
      <c r="B8042">
        <v>263657302.54627222</v>
      </c>
    </row>
    <row r="8043" spans="1:2" x14ac:dyDescent="0.25">
      <c r="A8043">
        <f ca="1">36932.5173115898*(RANDBETWEEN(2890,3282))</f>
        <v>106771907.54780605</v>
      </c>
      <c r="B8043">
        <v>223082041.04867053</v>
      </c>
    </row>
    <row r="8044" spans="1:2" x14ac:dyDescent="0.25">
      <c r="A8044">
        <f ca="1">37910.7879086233*(RANDBETWEEN(2890,3282))</f>
        <v>121352432.09550317</v>
      </c>
      <c r="B8044">
        <v>266407753.70112586</v>
      </c>
    </row>
    <row r="8045" spans="1:2" x14ac:dyDescent="0.25">
      <c r="A8045">
        <f ca="1">36138.7015549475*(RANDBETWEEN(2890,3282))</f>
        <v>112355223.1343319</v>
      </c>
      <c r="B8045">
        <v>214170563.56216094</v>
      </c>
    </row>
    <row r="8046" spans="1:2" x14ac:dyDescent="0.25">
      <c r="A8046">
        <f ca="1">33795.9088811399*(RANDBETWEEN(2890,3282))</f>
        <v>103483072.99405025</v>
      </c>
      <c r="B8046">
        <v>225353406.36065459</v>
      </c>
    </row>
    <row r="8047" spans="1:2" x14ac:dyDescent="0.25">
      <c r="A8047">
        <f ca="1">30701.3006619973*(RANDBETWEEN(2890,3282))</f>
        <v>95481045.058811724</v>
      </c>
      <c r="B8047">
        <v>211967740.77623436</v>
      </c>
    </row>
    <row r="8048" spans="1:2" x14ac:dyDescent="0.25">
      <c r="A8048">
        <f ca="1">36323.0734794381*(RANDBETWEEN(2890,3282))</f>
        <v>107371005.20521913</v>
      </c>
      <c r="B8048">
        <v>233590190.08806902</v>
      </c>
    </row>
    <row r="8049" spans="1:2" x14ac:dyDescent="0.25">
      <c r="A8049">
        <f ca="1">30368.8694045957*(RANDBETWEEN(2890,3282))</f>
        <v>94356077.240078777</v>
      </c>
      <c r="B8049">
        <v>212660660.02661976</v>
      </c>
    </row>
    <row r="8050" spans="1:2" x14ac:dyDescent="0.25">
      <c r="A8050">
        <f ca="1">32269.7628741429*(RANDBETWEEN(2890,3282))</f>
        <v>99197251.075115249</v>
      </c>
      <c r="B8050">
        <v>213513674.63793415</v>
      </c>
    </row>
    <row r="8051" spans="1:2" x14ac:dyDescent="0.25">
      <c r="A8051">
        <f ca="1">33866.9724226633*(RANDBETWEEN(2890,3282))</f>
        <v>100381706.26077394</v>
      </c>
      <c r="B8051">
        <v>240175986.23156232</v>
      </c>
    </row>
    <row r="8052" spans="1:2" x14ac:dyDescent="0.25">
      <c r="A8052">
        <f ca="1">31049.5992242543*(RANDBETWEEN(2890,3282))</f>
        <v>96346906.392861098</v>
      </c>
      <c r="B8052">
        <v>242746565.96644324</v>
      </c>
    </row>
    <row r="8053" spans="1:2" x14ac:dyDescent="0.25">
      <c r="A8053">
        <f ca="1">32566.9382472295*(RANDBETWEEN(2890,3282))</f>
        <v>94769790.299437732</v>
      </c>
      <c r="B8053">
        <v>231002099.6835548</v>
      </c>
    </row>
    <row r="8054" spans="1:2" x14ac:dyDescent="0.25">
      <c r="A8054">
        <f ca="1">36832.918011907*(RANDBETWEEN(2890,3282))</f>
        <v>119375487.27659059</v>
      </c>
      <c r="B8054">
        <v>252664951.38735601</v>
      </c>
    </row>
    <row r="8055" spans="1:2" x14ac:dyDescent="0.25">
      <c r="A8055">
        <f ca="1">30434.4061190513*(RANDBETWEEN(2890,3282))</f>
        <v>91820603.261177629</v>
      </c>
      <c r="B8055">
        <v>259623005.6494717</v>
      </c>
    </row>
    <row r="8056" spans="1:2" x14ac:dyDescent="0.25">
      <c r="A8056">
        <f ca="1">36104.098645383*(RANDBETWEEN(2890,3282))</f>
        <v>114630513.1990909</v>
      </c>
      <c r="B8056">
        <v>207570186.8236962</v>
      </c>
    </row>
    <row r="8057" spans="1:2" x14ac:dyDescent="0.25">
      <c r="A8057">
        <f ca="1">38811.8510451565*(RANDBETWEEN(2890,3282))</f>
        <v>117949215.32623062</v>
      </c>
      <c r="B8057">
        <v>255028823.61189488</v>
      </c>
    </row>
    <row r="8058" spans="1:2" x14ac:dyDescent="0.25">
      <c r="A8058">
        <f ca="1">38263.5383527866*(RANDBETWEEN(2890,3282))</f>
        <v>121601524.8851559</v>
      </c>
      <c r="B8058">
        <v>204290452.99385542</v>
      </c>
    </row>
    <row r="8059" spans="1:2" x14ac:dyDescent="0.25">
      <c r="A8059">
        <f ca="1">35124.6283188855*(RANDBETWEEN(2890,3282))</f>
        <v>109623964.98324168</v>
      </c>
      <c r="B8059">
        <v>253315436.51698729</v>
      </c>
    </row>
    <row r="8060" spans="1:2" x14ac:dyDescent="0.25">
      <c r="A8060">
        <f ca="1">31153.3035852511*(RANDBETWEEN(2890,3282))</f>
        <v>99659418.169218317</v>
      </c>
      <c r="B8060">
        <v>226236154.38758898</v>
      </c>
    </row>
    <row r="8061" spans="1:2" x14ac:dyDescent="0.25">
      <c r="A8061">
        <f ca="1">32965.547542268*(RANDBETWEEN(2890,3282))</f>
        <v>100083402.33832568</v>
      </c>
      <c r="B8061">
        <v>225463958.11520052</v>
      </c>
    </row>
    <row r="8062" spans="1:2" x14ac:dyDescent="0.25">
      <c r="A8062">
        <f ca="1">32088.9447461223*(RANDBETWEEN(2890,3282))</f>
        <v>104289070.42489739</v>
      </c>
      <c r="B8062">
        <v>215654636.30169195</v>
      </c>
    </row>
    <row r="8063" spans="1:2" x14ac:dyDescent="0.25">
      <c r="A8063">
        <f ca="1">39440.4537959103*(RANDBETWEEN(2890,3282))</f>
        <v>128812522.09744307</v>
      </c>
      <c r="B8063">
        <v>208321758.72644895</v>
      </c>
    </row>
    <row r="8064" spans="1:2" x14ac:dyDescent="0.25">
      <c r="A8064">
        <f ca="1">37766.8127245915*(RANDBETWEEN(2890,3282))</f>
        <v>118210123.82797143</v>
      </c>
      <c r="B8064">
        <v>239917334.57681367</v>
      </c>
    </row>
    <row r="8065" spans="1:2" x14ac:dyDescent="0.25">
      <c r="A8065">
        <f ca="1">36134.4736329177*(RANDBETWEEN(2890,3282))</f>
        <v>111510985.6311841</v>
      </c>
      <c r="B8065">
        <v>205968828.19383562</v>
      </c>
    </row>
    <row r="8066" spans="1:2" x14ac:dyDescent="0.25">
      <c r="A8066">
        <f ca="1">38380.5950830968*(RANDBETWEEN(2890,3282))</f>
        <v>111956195.85739328</v>
      </c>
      <c r="B8066">
        <v>258265793.19884747</v>
      </c>
    </row>
    <row r="8067" spans="1:2" x14ac:dyDescent="0.25">
      <c r="A8067">
        <f ca="1">34896.3848782348*(RANDBETWEEN(2890,3282))</f>
        <v>105770942.56592955</v>
      </c>
      <c r="B8067">
        <v>260330675.68054342</v>
      </c>
    </row>
    <row r="8068" spans="1:2" x14ac:dyDescent="0.25">
      <c r="A8068">
        <f ca="1">31423.0951123869*(RANDBETWEEN(2890,3282))</f>
        <v>92541015.105979413</v>
      </c>
      <c r="B8068">
        <v>261557778.91290155</v>
      </c>
    </row>
    <row r="8069" spans="1:2" x14ac:dyDescent="0.25">
      <c r="A8069">
        <f ca="1">32166.8230882681*(RANDBETWEEN(2890,3282))</f>
        <v>94602626.702596471</v>
      </c>
      <c r="B8069">
        <v>241507160.99520129</v>
      </c>
    </row>
    <row r="8070" spans="1:2" x14ac:dyDescent="0.25">
      <c r="A8070">
        <f ca="1">32268.8975540849*(RANDBETWEEN(2890,3282))</f>
        <v>104615765.87034327</v>
      </c>
      <c r="B8070">
        <v>253154966.44959828</v>
      </c>
    </row>
    <row r="8071" spans="1:2" x14ac:dyDescent="0.25">
      <c r="A8071">
        <f ca="1">31215.1381426365*(RANDBETWEEN(2890,3282))</f>
        <v>91928581.830064595</v>
      </c>
      <c r="B8071">
        <v>234961758.79347828</v>
      </c>
    </row>
    <row r="8072" spans="1:2" x14ac:dyDescent="0.25">
      <c r="A8072">
        <f ca="1">34068.8991854129*(RANDBETWEEN(2890,3282))</f>
        <v>103399109.02772826</v>
      </c>
      <c r="B8072">
        <v>266475580.09051916</v>
      </c>
    </row>
    <row r="8073" spans="1:2" x14ac:dyDescent="0.25">
      <c r="A8073">
        <f ca="1">32502.2941323325*(RANDBETWEEN(2890,3282))</f>
        <v>94516671.336822867</v>
      </c>
      <c r="B8073">
        <v>204927045.83495975</v>
      </c>
    </row>
    <row r="8074" spans="1:2" x14ac:dyDescent="0.25">
      <c r="A8074">
        <f ca="1">39869.494606625*(RANDBETWEEN(2890,3282))</f>
        <v>127821599.70883991</v>
      </c>
      <c r="B8074">
        <v>244644930.67800868</v>
      </c>
    </row>
    <row r="8075" spans="1:2" x14ac:dyDescent="0.25">
      <c r="A8075">
        <f ca="1">30994.8931588391*(RANDBETWEEN(2890,3282))</f>
        <v>99524601.933032364</v>
      </c>
      <c r="B8075">
        <v>253104342.91703692</v>
      </c>
    </row>
    <row r="8076" spans="1:2" x14ac:dyDescent="0.25">
      <c r="A8076">
        <f ca="1">31733.8382075014*(RANDBETWEEN(2890,3282))</f>
        <v>95899659.063069254</v>
      </c>
      <c r="B8076">
        <v>238007521.22756845</v>
      </c>
    </row>
    <row r="8077" spans="1:2" x14ac:dyDescent="0.25">
      <c r="A8077">
        <f ca="1">31096.9583316415*(RANDBETWEEN(2890,3282))</f>
        <v>94223783.744873673</v>
      </c>
      <c r="B8077">
        <v>258698620.13345116</v>
      </c>
    </row>
    <row r="8078" spans="1:2" x14ac:dyDescent="0.25">
      <c r="A8078">
        <f ca="1">40047.7857100363*(RANDBETWEEN(2890,3282))</f>
        <v>120984360.63001971</v>
      </c>
      <c r="B8078">
        <v>261380766.60370272</v>
      </c>
    </row>
    <row r="8079" spans="1:2" x14ac:dyDescent="0.25">
      <c r="A8079">
        <f ca="1">41386.423182557*(RANDBETWEEN(2890,3282))</f>
        <v>126518295.66907661</v>
      </c>
      <c r="B8079">
        <v>258449629.92781696</v>
      </c>
    </row>
    <row r="8080" spans="1:2" x14ac:dyDescent="0.25">
      <c r="A8080">
        <f ca="1">32909.7345768676*(RANDBETWEEN(2890,3282))</f>
        <v>105969345.33751377</v>
      </c>
      <c r="B8080">
        <v>233673860.06950057</v>
      </c>
    </row>
    <row r="8081" spans="1:2" x14ac:dyDescent="0.25">
      <c r="A8081">
        <f ca="1">34868.9956304521*(RANDBETWEEN(2890,3282))</f>
        <v>101747729.24965918</v>
      </c>
      <c r="B8081">
        <v>260454142.47174489</v>
      </c>
    </row>
    <row r="8082" spans="1:2" x14ac:dyDescent="0.25">
      <c r="A8082">
        <f ca="1">33291.3355000505*(RANDBETWEEN(2890,3282))</f>
        <v>100872746.56515314</v>
      </c>
      <c r="B8082">
        <v>216254228.83259749</v>
      </c>
    </row>
    <row r="8083" spans="1:2" x14ac:dyDescent="0.25">
      <c r="A8083">
        <f ca="1">32784.5367217949*(RANDBETWEEN(2890,3282))</f>
        <v>98976516.363098726</v>
      </c>
      <c r="B8083">
        <v>210705457.25637043</v>
      </c>
    </row>
    <row r="8084" spans="1:2" x14ac:dyDescent="0.25">
      <c r="A8084">
        <f ca="1">27762.8461672583*(RANDBETWEEN(2890,3282))</f>
        <v>85370751.964319244</v>
      </c>
      <c r="B8084">
        <v>210050654.79546922</v>
      </c>
    </row>
    <row r="8085" spans="1:2" x14ac:dyDescent="0.25">
      <c r="A8085">
        <f ca="1">37678.7490571865*(RANDBETWEEN(2890,3282))</f>
        <v>114543397.13384698</v>
      </c>
      <c r="B8085">
        <v>210307404.27742714</v>
      </c>
    </row>
    <row r="8086" spans="1:2" x14ac:dyDescent="0.25">
      <c r="A8086">
        <f ca="1">29618.6905487054*(RANDBETWEEN(2890,3282))</f>
        <v>94839047.136954769</v>
      </c>
      <c r="B8086">
        <v>254545073.04161689</v>
      </c>
    </row>
    <row r="8087" spans="1:2" x14ac:dyDescent="0.25">
      <c r="A8087">
        <f ca="1">30964.4140406991*(RANDBETWEEN(2890,3282))</f>
        <v>94255676.339887992</v>
      </c>
      <c r="B8087">
        <v>222818623.63620308</v>
      </c>
    </row>
    <row r="8088" spans="1:2" x14ac:dyDescent="0.25">
      <c r="A8088">
        <f ca="1">36642.2103171974*(RANDBETWEEN(2890,3282))</f>
        <v>111648814.83650044</v>
      </c>
      <c r="B8088">
        <v>252782794.0879091</v>
      </c>
    </row>
    <row r="8089" spans="1:2" x14ac:dyDescent="0.25">
      <c r="A8089">
        <f ca="1">38582.8419452821*(RANDBETWEEN(2890,3282))</f>
        <v>120648546.762897</v>
      </c>
      <c r="B8089">
        <v>262937374.86821765</v>
      </c>
    </row>
    <row r="8090" spans="1:2" x14ac:dyDescent="0.25">
      <c r="A8090">
        <f ca="1">30604.8587472731*(RANDBETWEEN(2890,3282))</f>
        <v>94569013.529073834</v>
      </c>
      <c r="B8090">
        <v>234957747.83610815</v>
      </c>
    </row>
    <row r="8091" spans="1:2" x14ac:dyDescent="0.25">
      <c r="A8091">
        <f ca="1">36858.8050953426*(RANDBETWEEN(2890,3282))</f>
        <v>106779958.36120777</v>
      </c>
      <c r="B8091">
        <v>230158845.26312807</v>
      </c>
    </row>
    <row r="8092" spans="1:2" x14ac:dyDescent="0.25">
      <c r="A8092">
        <f ca="1">31255.0838715111*(RANDBETWEEN(2890,3282))</f>
        <v>93327680.440332025</v>
      </c>
      <c r="B8092">
        <v>205509187.12194091</v>
      </c>
    </row>
    <row r="8093" spans="1:2" x14ac:dyDescent="0.25">
      <c r="A8093">
        <f ca="1">32476.0728834774*(RANDBETWEEN(2890,3282))</f>
        <v>95706986.787607834</v>
      </c>
      <c r="B8093">
        <v>215738068.71651503</v>
      </c>
    </row>
    <row r="8094" spans="1:2" x14ac:dyDescent="0.25">
      <c r="A8094">
        <f ca="1">39285.1708809998*(RANDBETWEEN(2890,3282))</f>
        <v>128580364.29351245</v>
      </c>
      <c r="B8094">
        <v>222036160.8167896</v>
      </c>
    </row>
    <row r="8095" spans="1:2" x14ac:dyDescent="0.25">
      <c r="A8095">
        <f ca="1">39477.9068706897*(RANDBETWEEN(2890,3282))</f>
        <v>127395205.47171572</v>
      </c>
      <c r="B8095">
        <v>265889597.94301757</v>
      </c>
    </row>
    <row r="8096" spans="1:2" x14ac:dyDescent="0.25">
      <c r="A8096">
        <f ca="1">34277.4322758804*(RANDBETWEEN(2890,3282))</f>
        <v>103997729.52502112</v>
      </c>
      <c r="B8096">
        <v>265422643.0929144</v>
      </c>
    </row>
    <row r="8097" spans="1:2" x14ac:dyDescent="0.25">
      <c r="A8097">
        <f ca="1">38480.0869987324*(RANDBETWEEN(2890,3282))</f>
        <v>125445083.61586778</v>
      </c>
      <c r="B8097">
        <v>241033340.69153047</v>
      </c>
    </row>
    <row r="8098" spans="1:2" x14ac:dyDescent="0.25">
      <c r="A8098">
        <f ca="1">32269.9846969839*(RANDBETWEEN(2890,3282))</f>
        <v>98778423.157467768</v>
      </c>
      <c r="B8098">
        <v>228705064.90595165</v>
      </c>
    </row>
    <row r="8099" spans="1:2" x14ac:dyDescent="0.25">
      <c r="A8099">
        <f ca="1">35704.8622026681*(RANDBETWEEN(2890,3282))</f>
        <v>109256878.34016442</v>
      </c>
      <c r="B8099">
        <v>208352396.78036451</v>
      </c>
    </row>
    <row r="8100" spans="1:2" x14ac:dyDescent="0.25">
      <c r="A8100">
        <f ca="1">39326.5542935824*(RANDBETWEEN(2890,3282))</f>
        <v>128755138.75718881</v>
      </c>
      <c r="B8100">
        <v>218750299.46430361</v>
      </c>
    </row>
    <row r="8101" spans="1:2" x14ac:dyDescent="0.25">
      <c r="A8101">
        <f ca="1">32353.1718015408*(RANDBETWEEN(2890,3282))</f>
        <v>96671277.343003973</v>
      </c>
      <c r="B8101">
        <v>242594215.54217556</v>
      </c>
    </row>
    <row r="8102" spans="1:2" x14ac:dyDescent="0.25">
      <c r="A8102">
        <f ca="1">31957.9325892526*(RANDBETWEEN(2890,3282))</f>
        <v>95458344.644097582</v>
      </c>
      <c r="B8102">
        <v>236637576.85891503</v>
      </c>
    </row>
    <row r="8103" spans="1:2" x14ac:dyDescent="0.25">
      <c r="A8103">
        <f ca="1">29933.1617454363*(RANDBETWEEN(2890,3282))</f>
        <v>88632091.928236753</v>
      </c>
      <c r="B8103">
        <v>232233049.34468544</v>
      </c>
    </row>
    <row r="8104" spans="1:2" x14ac:dyDescent="0.25">
      <c r="A8104">
        <f ca="1">33140.6234040353*(RANDBETWEEN(2890,3282))</f>
        <v>99852698.316358387</v>
      </c>
      <c r="B8104">
        <v>234362703.93074641</v>
      </c>
    </row>
    <row r="8105" spans="1:2" x14ac:dyDescent="0.25">
      <c r="A8105">
        <f ca="1">33134.6206097173*(RANDBETWEEN(2890,3282))</f>
        <v>97515188.454398051</v>
      </c>
      <c r="B8105">
        <v>224804861.13375649</v>
      </c>
    </row>
    <row r="8106" spans="1:2" x14ac:dyDescent="0.25">
      <c r="A8106">
        <f ca="1">39081.2884094766*(RANDBETWEEN(2890,3282))</f>
        <v>121660050.8187007</v>
      </c>
      <c r="B8106">
        <v>225167368.1339097</v>
      </c>
    </row>
    <row r="8107" spans="1:2" x14ac:dyDescent="0.25">
      <c r="A8107">
        <f ca="1">30838.2550233743*(RANDBETWEEN(2890,3282))</f>
        <v>97047988.558558971</v>
      </c>
      <c r="B8107">
        <v>230020995.72862092</v>
      </c>
    </row>
    <row r="8108" spans="1:2" x14ac:dyDescent="0.25">
      <c r="A8108">
        <f ca="1">39646.5601453131*(RANDBETWEEN(2890,3282))</f>
        <v>125917475.02151451</v>
      </c>
      <c r="B8108">
        <v>254349720.38119471</v>
      </c>
    </row>
    <row r="8109" spans="1:2" x14ac:dyDescent="0.25">
      <c r="A8109">
        <f ca="1">30473.1772529413*(RANDBETWEEN(2890,3282))</f>
        <v>90688175.504753411</v>
      </c>
      <c r="B8109">
        <v>208343614.6403448</v>
      </c>
    </row>
    <row r="8110" spans="1:2" x14ac:dyDescent="0.25">
      <c r="A8110">
        <f ca="1">33378.0454194256*(RANDBETWEEN(2890,3282))</f>
        <v>107110147.75093682</v>
      </c>
      <c r="B8110">
        <v>266186921.68197539</v>
      </c>
    </row>
    <row r="8111" spans="1:2" x14ac:dyDescent="0.25">
      <c r="A8111">
        <f ca="1">29261.5928836862*(RANDBETWEEN(2890,3282))</f>
        <v>90476845.196357846</v>
      </c>
      <c r="B8111">
        <v>259771970.50689942</v>
      </c>
    </row>
    <row r="8112" spans="1:2" x14ac:dyDescent="0.25">
      <c r="A8112">
        <f ca="1">31737.1298720063*(RANDBETWEEN(2890,3282))</f>
        <v>96639560.460259169</v>
      </c>
      <c r="B8112">
        <v>243799708.06830102</v>
      </c>
    </row>
    <row r="8113" spans="1:2" x14ac:dyDescent="0.25">
      <c r="A8113">
        <f ca="1">32628.4760042332*(RANDBETWEEN(2890,3282))</f>
        <v>96645545.924538866</v>
      </c>
      <c r="B8113">
        <v>243909285.59299451</v>
      </c>
    </row>
    <row r="8114" spans="1:2" x14ac:dyDescent="0.25">
      <c r="A8114">
        <f ca="1">37089.1038910626*(RANDBETWEEN(2890,3282))</f>
        <v>113492657.9066515</v>
      </c>
      <c r="B8114">
        <v>260391316.64445841</v>
      </c>
    </row>
    <row r="8115" spans="1:2" x14ac:dyDescent="0.25">
      <c r="A8115">
        <f ca="1">31317.6171076729*(RANDBETWEEN(2890,3282))</f>
        <v>91791935.742589191</v>
      </c>
      <c r="B8115">
        <v>253661706.05710053</v>
      </c>
    </row>
    <row r="8116" spans="1:2" x14ac:dyDescent="0.25">
      <c r="A8116">
        <f ca="1">38482.9316054847*(RANDBETWEEN(2890,3282))</f>
        <v>121952410.25778113</v>
      </c>
      <c r="B8116">
        <v>234945703.2026636</v>
      </c>
    </row>
    <row r="8117" spans="1:2" x14ac:dyDescent="0.25">
      <c r="A8117">
        <f ca="1">33284.5795569563*(RANDBETWEEN(2890,3282))</f>
        <v>98588924.647704616</v>
      </c>
      <c r="B8117">
        <v>221034088.53621197</v>
      </c>
    </row>
    <row r="8118" spans="1:2" x14ac:dyDescent="0.25">
      <c r="A8118">
        <f ca="1">37796.9296302959*(RANDBETWEEN(2890,3282))</f>
        <v>111727723.98715456</v>
      </c>
      <c r="B8118">
        <v>257813108.04913142</v>
      </c>
    </row>
    <row r="8119" spans="1:2" x14ac:dyDescent="0.25">
      <c r="A8119">
        <f ca="1">31992.8279018573*(RANDBETWEEN(2890,3282))</f>
        <v>99017802.356248409</v>
      </c>
      <c r="B8119">
        <v>221779584.78544831</v>
      </c>
    </row>
    <row r="8120" spans="1:2" x14ac:dyDescent="0.25">
      <c r="A8120">
        <f ca="1">36464.4812591623*(RANDBETWEEN(2890,3282))</f>
        <v>108080722.45215704</v>
      </c>
      <c r="B8120">
        <v>264721995.89666522</v>
      </c>
    </row>
    <row r="8121" spans="1:2" x14ac:dyDescent="0.25">
      <c r="A8121">
        <f ca="1">33525.7061020682*(RANDBETWEEN(2890,3282))</f>
        <v>101415260.95875615</v>
      </c>
      <c r="B8121">
        <v>239831965.76107651</v>
      </c>
    </row>
    <row r="8122" spans="1:2" x14ac:dyDescent="0.25">
      <c r="A8122">
        <f ca="1">29721.69319085*(RANDBETWEEN(2890,3282))</f>
        <v>94990531.437956601</v>
      </c>
      <c r="B8122">
        <v>203801520.48992461</v>
      </c>
    </row>
    <row r="8123" spans="1:2" x14ac:dyDescent="0.25">
      <c r="A8123">
        <f ca="1">29972.7128959393*(RANDBETWEEN(2890,3282))</f>
        <v>93574809.661122516</v>
      </c>
      <c r="B8123">
        <v>207766166.43365407</v>
      </c>
    </row>
    <row r="8124" spans="1:2" x14ac:dyDescent="0.25">
      <c r="A8124">
        <f ca="1">30621.9139993892*(RANDBETWEEN(2890,3282))</f>
        <v>97255198.86206013</v>
      </c>
      <c r="B8124">
        <v>248354769.64331549</v>
      </c>
    </row>
    <row r="8125" spans="1:2" x14ac:dyDescent="0.25">
      <c r="A8125">
        <f ca="1">37520.1250400793*(RANDBETWEEN(2890,3282))</f>
        <v>113648458.74640024</v>
      </c>
      <c r="B8125">
        <v>253607380.91967508</v>
      </c>
    </row>
    <row r="8126" spans="1:2" x14ac:dyDescent="0.25">
      <c r="A8126">
        <f ca="1">33872.2031161251*(RANDBETWEEN(2890,3282))</f>
        <v>98500366.661692068</v>
      </c>
      <c r="B8126">
        <v>266929927.67105842</v>
      </c>
    </row>
    <row r="8127" spans="1:2" x14ac:dyDescent="0.25">
      <c r="A8127">
        <f ca="1">35773.5765559245*(RANDBETWEEN(2890,3282))</f>
        <v>114081935.63684329</v>
      </c>
      <c r="B8127">
        <v>213446406.46814653</v>
      </c>
    </row>
    <row r="8128" spans="1:2" x14ac:dyDescent="0.25">
      <c r="A8128">
        <f ca="1">30913.9149113628*(RANDBETWEEN(2890,3282))</f>
        <v>91319704.648165837</v>
      </c>
      <c r="B8128">
        <v>251491605.33442998</v>
      </c>
    </row>
    <row r="8129" spans="1:2" x14ac:dyDescent="0.25">
      <c r="A8129">
        <f ca="1">32011.2700986327*(RANDBETWEEN(2890,3282))</f>
        <v>93280841.06741558</v>
      </c>
      <c r="B8129">
        <v>226463280.94802225</v>
      </c>
    </row>
    <row r="8130" spans="1:2" x14ac:dyDescent="0.25">
      <c r="A8130">
        <f ca="1">31749.4745685919*(RANDBETWEEN(2890,3282))</f>
        <v>96931145.857911155</v>
      </c>
      <c r="B8130">
        <v>262801454.206884</v>
      </c>
    </row>
    <row r="8131" spans="1:2" x14ac:dyDescent="0.25">
      <c r="A8131">
        <f ca="1">30908.7677036708*(RANDBETWEEN(2890,3282))</f>
        <v>93313569.697382137</v>
      </c>
      <c r="B8131">
        <v>212612449.34517032</v>
      </c>
    </row>
    <row r="8132" spans="1:2" x14ac:dyDescent="0.25">
      <c r="A8132">
        <f ca="1">30179.2544966537*(RANDBETWEEN(2890,3282))</f>
        <v>97297916.497211382</v>
      </c>
      <c r="B8132">
        <v>238472456.65883583</v>
      </c>
    </row>
    <row r="8133" spans="1:2" x14ac:dyDescent="0.25">
      <c r="A8133">
        <f ca="1">34333.2891317734*(RANDBETWEEN(2890,3282))</f>
        <v>112201188.88263555</v>
      </c>
      <c r="B8133">
        <v>217712687.36590472</v>
      </c>
    </row>
    <row r="8134" spans="1:2" x14ac:dyDescent="0.25">
      <c r="A8134">
        <f ca="1">36619.8211290773*(RANDBETWEEN(2890,3282))</f>
        <v>112276371.58175093</v>
      </c>
      <c r="B8134">
        <v>243610946.42155999</v>
      </c>
    </row>
    <row r="8135" spans="1:2" x14ac:dyDescent="0.25">
      <c r="A8135">
        <f ca="1">36079.1887071135*(RANDBETWEEN(2890,3282))</f>
        <v>115669878.99500601</v>
      </c>
      <c r="B8135">
        <v>230035857.0970124</v>
      </c>
    </row>
    <row r="8136" spans="1:2" x14ac:dyDescent="0.25">
      <c r="A8136">
        <f ca="1">32571.0692051299*(RANDBETWEEN(2890,3282))</f>
        <v>94195532.141235575</v>
      </c>
      <c r="B8136">
        <v>248724779.93561402</v>
      </c>
    </row>
    <row r="8137" spans="1:2" x14ac:dyDescent="0.25">
      <c r="A8137">
        <f ca="1">40702.4754529606*(RANDBETWEEN(2890,3282))</f>
        <v>120113005.06168671</v>
      </c>
      <c r="B8137">
        <v>264870664.38847384</v>
      </c>
    </row>
    <row r="8138" spans="1:2" x14ac:dyDescent="0.25">
      <c r="A8138">
        <f ca="1">31386.1254651013*(RANDBETWEEN(2890,3282))</f>
        <v>91176694.476119295</v>
      </c>
      <c r="B8138">
        <v>231710804.00127587</v>
      </c>
    </row>
    <row r="8139" spans="1:2" x14ac:dyDescent="0.25">
      <c r="A8139">
        <f ca="1">35957.0875311438*(RANDBETWEEN(2890,3282))</f>
        <v>116105435.63806328</v>
      </c>
      <c r="B8139">
        <v>223514091.12584507</v>
      </c>
    </row>
    <row r="8140" spans="1:2" x14ac:dyDescent="0.25">
      <c r="A8140">
        <f ca="1">30086.0151182391*(RANDBETWEEN(2890,3282))</f>
        <v>93296732.881659299</v>
      </c>
      <c r="B8140">
        <v>228013149.99940163</v>
      </c>
    </row>
    <row r="8141" spans="1:2" x14ac:dyDescent="0.25">
      <c r="A8141">
        <f ca="1">29766.1565788717*(RANDBETWEEN(2890,3282))</f>
        <v>97394864.326068178</v>
      </c>
      <c r="B8141">
        <v>243877297.24069351</v>
      </c>
    </row>
    <row r="8142" spans="1:2" x14ac:dyDescent="0.25">
      <c r="A8142">
        <f ca="1">33377.6178487029*(RANDBETWEEN(2890,3282))</f>
        <v>107776328.03346153</v>
      </c>
      <c r="B8142">
        <v>255014432.1496053</v>
      </c>
    </row>
    <row r="8143" spans="1:2" x14ac:dyDescent="0.25">
      <c r="A8143">
        <f ca="1">34794.47979697*(RANDBETWEEN(2890,3282))</f>
        <v>103026454.67882821</v>
      </c>
      <c r="B8143">
        <v>223161268.66283786</v>
      </c>
    </row>
    <row r="8144" spans="1:2" x14ac:dyDescent="0.25">
      <c r="A8144">
        <f ca="1">32366.5411021946*(RANDBETWEEN(2890,3282))</f>
        <v>99656580.053657308</v>
      </c>
      <c r="B8144">
        <v>234462416.69406974</v>
      </c>
    </row>
    <row r="8145" spans="1:2" x14ac:dyDescent="0.25">
      <c r="A8145">
        <f ca="1">36905.2519749284*(RANDBETWEEN(2890,3282))</f>
        <v>114590807.38215281</v>
      </c>
      <c r="B8145">
        <v>239606243.7716887</v>
      </c>
    </row>
    <row r="8146" spans="1:2" x14ac:dyDescent="0.25">
      <c r="A8146">
        <f ca="1">33423.945055127*(RANDBETWEEN(2890,3282))</f>
        <v>104316132.51705122</v>
      </c>
      <c r="B8146">
        <v>214032412.44682768</v>
      </c>
    </row>
    <row r="8147" spans="1:2" x14ac:dyDescent="0.25">
      <c r="A8147">
        <f ca="1">36618.0088418354*(RANDBETWEEN(2890,3282))</f>
        <v>107327383.91541964</v>
      </c>
      <c r="B8147">
        <v>263432415.20742691</v>
      </c>
    </row>
    <row r="8148" spans="1:2" x14ac:dyDescent="0.25">
      <c r="A8148">
        <f ca="1">36560.7998277504*(RANDBETWEEN(2890,3282))</f>
        <v>118054822.64380619</v>
      </c>
      <c r="B8148">
        <v>262959602.78893653</v>
      </c>
    </row>
    <row r="8149" spans="1:2" x14ac:dyDescent="0.25">
      <c r="A8149">
        <f ca="1">36108.3344088485*(RANDBETWEEN(2890,3282))</f>
        <v>105075253.129749</v>
      </c>
      <c r="B8149">
        <v>216821794.71837717</v>
      </c>
    </row>
    <row r="8150" spans="1:2" x14ac:dyDescent="0.25">
      <c r="A8150">
        <f ca="1">33397.837943767*(RANDBETWEEN(2890,3282))</f>
        <v>97755471.661406144</v>
      </c>
      <c r="B8150">
        <v>234463693.19323516</v>
      </c>
    </row>
    <row r="8151" spans="1:2" x14ac:dyDescent="0.25">
      <c r="A8151">
        <f ca="1">38672.5953237897*(RANDBETWEEN(2890,3282))</f>
        <v>123790977.63145068</v>
      </c>
      <c r="B8151">
        <v>203800010.50487304</v>
      </c>
    </row>
    <row r="8152" spans="1:2" x14ac:dyDescent="0.25">
      <c r="A8152">
        <f ca="1">38194.4872800009*(RANDBETWEEN(2890,3282))</f>
        <v>116989714.53864267</v>
      </c>
      <c r="B8152">
        <v>207721027.02823088</v>
      </c>
    </row>
    <row r="8153" spans="1:2" x14ac:dyDescent="0.25">
      <c r="A8153">
        <f ca="1">32644.6716405344*(RANDBETWEEN(2890,3282))</f>
        <v>103712121.80197775</v>
      </c>
      <c r="B8153">
        <v>215813967.78247449</v>
      </c>
    </row>
    <row r="8154" spans="1:2" x14ac:dyDescent="0.25">
      <c r="A8154">
        <f ca="1">34228.1421631355*(RANDBETWEEN(2890,3282))</f>
        <v>108777035.79444461</v>
      </c>
      <c r="B8154">
        <v>265834013.53393498</v>
      </c>
    </row>
    <row r="8155" spans="1:2" x14ac:dyDescent="0.25">
      <c r="A8155">
        <f ca="1">36489.2490359359*(RANDBETWEEN(2890,3282))</f>
        <v>118663037.86486359</v>
      </c>
      <c r="B8155">
        <v>213340961.97334409</v>
      </c>
    </row>
    <row r="8156" spans="1:2" x14ac:dyDescent="0.25">
      <c r="A8156">
        <f ca="1">31038.7705308249*(RANDBETWEEN(2890,3282))</f>
        <v>92805923.887166545</v>
      </c>
      <c r="B8156">
        <v>213687939.07450619</v>
      </c>
    </row>
    <row r="8157" spans="1:2" x14ac:dyDescent="0.25">
      <c r="A8157">
        <f ca="1">38546.5704197323*(RANDBETWEEN(2890,3282))</f>
        <v>117065934.36472689</v>
      </c>
      <c r="B8157">
        <v>261469678.76993063</v>
      </c>
    </row>
    <row r="8158" spans="1:2" x14ac:dyDescent="0.25">
      <c r="A8158">
        <f ca="1">30721.1067859942*(RANDBETWEEN(2890,3282))</f>
        <v>95819132.065515846</v>
      </c>
      <c r="B8158">
        <v>207789520.19900289</v>
      </c>
    </row>
    <row r="8159" spans="1:2" x14ac:dyDescent="0.25">
      <c r="A8159">
        <f ca="1">30833.6665285568*(RANDBETWEEN(2890,3282))</f>
        <v>98575231.891795993</v>
      </c>
      <c r="B8159">
        <v>207030411.44246116</v>
      </c>
    </row>
    <row r="8160" spans="1:2" x14ac:dyDescent="0.25">
      <c r="A8160">
        <f ca="1">35631.436404502*(RANDBETWEEN(2890,3282))</f>
        <v>114270016.54923804</v>
      </c>
      <c r="B8160">
        <v>208041495.63808855</v>
      </c>
    </row>
    <row r="8161" spans="1:2" x14ac:dyDescent="0.25">
      <c r="A8161">
        <f ca="1">39011.7379557112*(RANDBETWEEN(2890,3282))</f>
        <v>124213373.65098448</v>
      </c>
      <c r="B8161">
        <v>204645123.13829288</v>
      </c>
    </row>
    <row r="8162" spans="1:2" x14ac:dyDescent="0.25">
      <c r="A8162">
        <f ca="1">35588.7585949554*(RANDBETWEEN(2890,3282))</f>
        <v>104844482.82073864</v>
      </c>
      <c r="B8162">
        <v>248633747.99707684</v>
      </c>
    </row>
    <row r="8163" spans="1:2" x14ac:dyDescent="0.25">
      <c r="A8163">
        <f ca="1">31336.8089979209*(RANDBETWEEN(2890,3282))</f>
        <v>92850965.060839579</v>
      </c>
      <c r="B8163">
        <v>228714706.45520529</v>
      </c>
    </row>
    <row r="8164" spans="1:2" x14ac:dyDescent="0.25">
      <c r="A8164">
        <f ca="1">32371.174426933*(RANDBETWEEN(2890,3282))</f>
        <v>99606103.711672947</v>
      </c>
      <c r="B8164">
        <v>235642153.83720756</v>
      </c>
    </row>
    <row r="8165" spans="1:2" x14ac:dyDescent="0.25">
      <c r="A8165">
        <f ca="1">31991.5387609941*(RANDBETWEEN(2890,3282))</f>
        <v>96582455.519441262</v>
      </c>
      <c r="B8165">
        <v>231127906.65822929</v>
      </c>
    </row>
    <row r="8166" spans="1:2" x14ac:dyDescent="0.25">
      <c r="A8166">
        <f ca="1">37285.2171040818*(RANDBETWEEN(2890,3282))</f>
        <v>116963726.05550453</v>
      </c>
      <c r="B8166">
        <v>235555309.81483802</v>
      </c>
    </row>
    <row r="8167" spans="1:2" x14ac:dyDescent="0.25">
      <c r="A8167">
        <f ca="1">39727.8484953046*(RANDBETWEEN(2890,3282))</f>
        <v>123037146.78995827</v>
      </c>
      <c r="B8167">
        <v>207959799.28343856</v>
      </c>
    </row>
    <row r="8168" spans="1:2" x14ac:dyDescent="0.25">
      <c r="A8168">
        <f ca="1">33864.3626551071*(RANDBETWEEN(2890,3282))</f>
        <v>98409837.875741258</v>
      </c>
      <c r="B8168">
        <v>204158906.86646613</v>
      </c>
    </row>
    <row r="8169" spans="1:2" x14ac:dyDescent="0.25">
      <c r="A8169">
        <f ca="1">39055.1890983416*(RANDBETWEEN(2890,3282))</f>
        <v>125718653.70756166</v>
      </c>
      <c r="B8169">
        <v>256028385.73060519</v>
      </c>
    </row>
    <row r="8170" spans="1:2" x14ac:dyDescent="0.25">
      <c r="A8170">
        <f ca="1">36328.1790669208*(RANDBETWEEN(2890,3282))</f>
        <v>113053293.25625741</v>
      </c>
      <c r="B8170">
        <v>238139017.74634904</v>
      </c>
    </row>
    <row r="8171" spans="1:2" x14ac:dyDescent="0.25">
      <c r="A8171">
        <f ca="1">30147.9205414957*(RANDBETWEEN(2890,3282))</f>
        <v>90112134.498530895</v>
      </c>
      <c r="B8171">
        <v>207558113.31846136</v>
      </c>
    </row>
    <row r="8172" spans="1:2" x14ac:dyDescent="0.25">
      <c r="A8172">
        <f ca="1">35410.4501161672*(RANDBETWEEN(2890,3282))</f>
        <v>109418290.85895659</v>
      </c>
      <c r="B8172">
        <v>210394222.03951007</v>
      </c>
    </row>
    <row r="8173" spans="1:2" x14ac:dyDescent="0.25">
      <c r="A8173">
        <f ca="1">29525.2608400061*(RANDBETWEEN(2890,3282))</f>
        <v>91557833.864858955</v>
      </c>
      <c r="B8173">
        <v>257347566.50763512</v>
      </c>
    </row>
    <row r="8174" spans="1:2" x14ac:dyDescent="0.25">
      <c r="A8174">
        <f ca="1">35597.1672773351*(RANDBETWEEN(2890,3282))</f>
        <v>113270186.2764802</v>
      </c>
      <c r="B8174">
        <v>229795656.16445068</v>
      </c>
    </row>
    <row r="8175" spans="1:2" x14ac:dyDescent="0.25">
      <c r="A8175">
        <f ca="1">33858.8070985353*(RANDBETWEEN(2890,3282))</f>
        <v>109431664.54246598</v>
      </c>
      <c r="B8175">
        <v>210897022.21098959</v>
      </c>
    </row>
    <row r="8176" spans="1:2" x14ac:dyDescent="0.25">
      <c r="A8176">
        <f ca="1">31985.2989702813*(RANDBETWEEN(2890,3282))</f>
        <v>102768765.59151368</v>
      </c>
      <c r="B8176">
        <v>234720165.18831569</v>
      </c>
    </row>
    <row r="8177" spans="1:2" x14ac:dyDescent="0.25">
      <c r="A8177">
        <f ca="1">39107.8444847231*(RANDBETWEEN(2890,3282))</f>
        <v>121625396.34748884</v>
      </c>
      <c r="B8177">
        <v>228499282.32034272</v>
      </c>
    </row>
    <row r="8178" spans="1:2" x14ac:dyDescent="0.25">
      <c r="A8178">
        <f ca="1">31519.9395492736*(RANDBETWEEN(2890,3282))</f>
        <v>94087019.554581583</v>
      </c>
      <c r="B8178">
        <v>207137140.42374474</v>
      </c>
    </row>
    <row r="8179" spans="1:2" x14ac:dyDescent="0.25">
      <c r="A8179">
        <f ca="1">33421.8965330877*(RANDBETWEEN(2890,3282))</f>
        <v>105446083.56189166</v>
      </c>
      <c r="B8179">
        <v>217733130.4154402</v>
      </c>
    </row>
    <row r="8180" spans="1:2" x14ac:dyDescent="0.25">
      <c r="A8180">
        <f ca="1">31227.6505936497*(RANDBETWEEN(2890,3282))</f>
        <v>96430985.033190295</v>
      </c>
      <c r="B8180">
        <v>227837540.4662621</v>
      </c>
    </row>
    <row r="8181" spans="1:2" x14ac:dyDescent="0.25">
      <c r="A8181">
        <f ca="1">28356.405458301*(RANDBETWEEN(2890,3282))</f>
        <v>84700583.103945211</v>
      </c>
      <c r="B8181">
        <v>263244970.95333692</v>
      </c>
    </row>
    <row r="8182" spans="1:2" x14ac:dyDescent="0.25">
      <c r="A8182">
        <f ca="1">34476.2801196276*(RANDBETWEEN(2890,3282))</f>
        <v>101705026.35290152</v>
      </c>
      <c r="B8182">
        <v>225299861.32358283</v>
      </c>
    </row>
    <row r="8183" spans="1:2" x14ac:dyDescent="0.25">
      <c r="A8183">
        <f ca="1">28412.8884098895*(RANDBETWEEN(2890,3282))</f>
        <v>92569190.43941994</v>
      </c>
      <c r="B8183">
        <v>204042553.59744006</v>
      </c>
    </row>
    <row r="8184" spans="1:2" x14ac:dyDescent="0.25">
      <c r="A8184">
        <f ca="1">40666.3908208966*(RANDBETWEEN(2890,3282))</f>
        <v>128180463.86746602</v>
      </c>
      <c r="B8184">
        <v>264857672.25907832</v>
      </c>
    </row>
    <row r="8185" spans="1:2" x14ac:dyDescent="0.25">
      <c r="A8185">
        <f ca="1">33949.2012493339*(RANDBETWEEN(2890,3282))</f>
        <v>100489635.69802828</v>
      </c>
      <c r="B8185">
        <v>254720632.03862929</v>
      </c>
    </row>
    <row r="8186" spans="1:2" x14ac:dyDescent="0.25">
      <c r="A8186">
        <f ca="1">30371.1692555655*(RANDBETWEEN(2890,3282))</f>
        <v>95729925.493542388</v>
      </c>
      <c r="B8186">
        <v>218280638.2833693</v>
      </c>
    </row>
    <row r="8187" spans="1:2" x14ac:dyDescent="0.25">
      <c r="A8187">
        <f ca="1">31808.1997525899*(RANDBETWEEN(2890,3282))</f>
        <v>92084738.283747897</v>
      </c>
      <c r="B8187">
        <v>219588886.30850333</v>
      </c>
    </row>
    <row r="8188" spans="1:2" x14ac:dyDescent="0.25">
      <c r="A8188">
        <f ca="1">30125.8661511432*(RANDBETWEEN(2890,3282))</f>
        <v>87365011.838315159</v>
      </c>
      <c r="B8188">
        <v>239750780.4332546</v>
      </c>
    </row>
    <row r="8189" spans="1:2" x14ac:dyDescent="0.25">
      <c r="A8189">
        <f ca="1">31401.9744080407*(RANDBETWEEN(2890,3282))</f>
        <v>96937894.997621626</v>
      </c>
      <c r="B8189">
        <v>246835245.66791752</v>
      </c>
    </row>
    <row r="8190" spans="1:2" x14ac:dyDescent="0.25">
      <c r="A8190">
        <f ca="1">32260.3774908542*(RANDBETWEEN(2890,3282))</f>
        <v>95361675.862965107</v>
      </c>
      <c r="B8190">
        <v>235626167.38891274</v>
      </c>
    </row>
    <row r="8191" spans="1:2" x14ac:dyDescent="0.25">
      <c r="A8191">
        <f ca="1">40131.4830536235*(RANDBETWEEN(2890,3282))</f>
        <v>126815486.44945031</v>
      </c>
      <c r="B8191">
        <v>242296705.23470396</v>
      </c>
    </row>
    <row r="8192" spans="1:2" x14ac:dyDescent="0.25">
      <c r="A8192">
        <f ca="1">40795.0198352897*(RANDBETWEEN(2890,3282))</f>
        <v>119733383.21657526</v>
      </c>
      <c r="B8192">
        <v>220293618.83161721</v>
      </c>
    </row>
    <row r="8193" spans="1:2" x14ac:dyDescent="0.25">
      <c r="A8193">
        <f ca="1">37210.0176669675*(RANDBETWEEN(2890,3282))</f>
        <v>118699956.35762645</v>
      </c>
      <c r="B8193">
        <v>256590319.7604273</v>
      </c>
    </row>
    <row r="8194" spans="1:2" x14ac:dyDescent="0.25">
      <c r="A8194">
        <f ca="1">33910.5811269412*(RANDBETWEEN(2890,3282))</f>
        <v>99561466.188699424</v>
      </c>
      <c r="B8194">
        <v>243532257.05510747</v>
      </c>
    </row>
    <row r="8195" spans="1:2" x14ac:dyDescent="0.25">
      <c r="A8195">
        <f ca="1">32363.9462801478*(RANDBETWEEN(2890,3282))</f>
        <v>95020546.278513819</v>
      </c>
      <c r="B8195">
        <v>204331453.05002761</v>
      </c>
    </row>
    <row r="8196" spans="1:2" x14ac:dyDescent="0.25">
      <c r="A8196">
        <f ca="1">31545.6270775252*(RANDBETWEEN(2890,3282))</f>
        <v>95520158.790746301</v>
      </c>
      <c r="B8196">
        <v>265579702.50193092</v>
      </c>
    </row>
    <row r="8197" spans="1:2" x14ac:dyDescent="0.25">
      <c r="A8197">
        <f ca="1">37316.4448295116*(RANDBETWEEN(2890,3282))</f>
        <v>115083915.85421382</v>
      </c>
      <c r="B8197">
        <v>237237014.52751231</v>
      </c>
    </row>
    <row r="8198" spans="1:2" x14ac:dyDescent="0.25">
      <c r="A8198">
        <f ca="1">38562.7794377128*(RANDBETWEEN(2890,3282))</f>
        <v>112179125.38430646</v>
      </c>
      <c r="B8198">
        <v>209512032.24806377</v>
      </c>
    </row>
    <row r="8199" spans="1:2" x14ac:dyDescent="0.25">
      <c r="A8199">
        <f ca="1">32230.3457151261*(RANDBETWEEN(2890,3282))</f>
        <v>103652791.81984538</v>
      </c>
      <c r="B8199">
        <v>221260241.22803593</v>
      </c>
    </row>
    <row r="8200" spans="1:2" x14ac:dyDescent="0.25">
      <c r="A8200">
        <f ca="1">37747.5424094596*(RANDBETWEEN(2890,3282))</f>
        <v>122453027.57628694</v>
      </c>
      <c r="B8200">
        <v>211360789.64481059</v>
      </c>
    </row>
    <row r="8201" spans="1:2" x14ac:dyDescent="0.25">
      <c r="A8201">
        <f ca="1">39017.6173221284*(RANDBETWEEN(2890,3282))</f>
        <v>114867865.39634609</v>
      </c>
      <c r="B8201">
        <v>228228610.54368603</v>
      </c>
    </row>
    <row r="8202" spans="1:2" x14ac:dyDescent="0.25">
      <c r="A8202">
        <f ca="1">39539.0686935413*(RANDBETWEEN(2890,3282))</f>
        <v>121780331.57610713</v>
      </c>
      <c r="B8202">
        <v>227248933.80937085</v>
      </c>
    </row>
    <row r="8203" spans="1:2" x14ac:dyDescent="0.25">
      <c r="A8203">
        <f ca="1">34909.1598487658*(RANDBETWEEN(2890,3282))</f>
        <v>109230761.16678804</v>
      </c>
      <c r="B8203">
        <v>206787753.96869162</v>
      </c>
    </row>
    <row r="8204" spans="1:2" x14ac:dyDescent="0.25">
      <c r="A8204">
        <f ca="1">30041.4405787569*(RANDBETWEEN(2890,3282))</f>
        <v>88502083.945017874</v>
      </c>
      <c r="B8204">
        <v>215108758.81790063</v>
      </c>
    </row>
    <row r="8205" spans="1:2" x14ac:dyDescent="0.25">
      <c r="A8205">
        <f ca="1">28954.7476373512*(RANDBETWEEN(2890,3282))</f>
        <v>92220871.224963814</v>
      </c>
      <c r="B8205">
        <v>217402641.35664234</v>
      </c>
    </row>
    <row r="8206" spans="1:2" x14ac:dyDescent="0.25">
      <c r="A8206">
        <f ca="1">40131.7577981096*(RANDBETWEEN(2890,3282))</f>
        <v>126254510.03285289</v>
      </c>
      <c r="B8206">
        <v>232027264.72315389</v>
      </c>
    </row>
    <row r="8207" spans="1:2" x14ac:dyDescent="0.25">
      <c r="A8207">
        <f ca="1">32963.8769075304*(RANDBETWEEN(2890,3282))</f>
        <v>96716014.846694276</v>
      </c>
      <c r="B8207">
        <v>264972831.57939467</v>
      </c>
    </row>
    <row r="8208" spans="1:2" x14ac:dyDescent="0.25">
      <c r="A8208">
        <f ca="1">34393.0788106068*(RANDBETWEEN(2890,3282))</f>
        <v>108063053.62292656</v>
      </c>
      <c r="B8208">
        <v>241478888.79114825</v>
      </c>
    </row>
    <row r="8209" spans="1:2" x14ac:dyDescent="0.25">
      <c r="A8209">
        <f ca="1">33377.3887588124*(RANDBETWEEN(2890,3282))</f>
        <v>98062768.173390716</v>
      </c>
      <c r="B8209">
        <v>214306256.37726298</v>
      </c>
    </row>
    <row r="8210" spans="1:2" x14ac:dyDescent="0.25">
      <c r="A8210">
        <f ca="1">28731.2557839027*(RANDBETWEEN(2890,3282))</f>
        <v>87831448.931390598</v>
      </c>
      <c r="B8210">
        <v>242551182.31871903</v>
      </c>
    </row>
    <row r="8211" spans="1:2" x14ac:dyDescent="0.25">
      <c r="A8211">
        <f ca="1">40791.1305196827*(RANDBETWEEN(2890,3282))</f>
        <v>130776364.44610272</v>
      </c>
      <c r="B8211">
        <v>215853432.96491009</v>
      </c>
    </row>
    <row r="8212" spans="1:2" x14ac:dyDescent="0.25">
      <c r="A8212">
        <f ca="1">41239.4419405339*(RANDBETWEEN(2890,3282))</f>
        <v>121450156.51487236</v>
      </c>
      <c r="B8212">
        <v>259559282.13219005</v>
      </c>
    </row>
    <row r="8213" spans="1:2" x14ac:dyDescent="0.25">
      <c r="A8213">
        <f ca="1">41742.8230402349*(RANDBETWEEN(2890,3282))</f>
        <v>125353697.58982545</v>
      </c>
      <c r="B8213">
        <v>204968209.97279483</v>
      </c>
    </row>
    <row r="8214" spans="1:2" x14ac:dyDescent="0.25">
      <c r="A8214">
        <f ca="1">32797.5839724728*(RANDBETWEEN(2890,3282))</f>
        <v>103082806.4254819</v>
      </c>
      <c r="B8214">
        <v>206775328.23752975</v>
      </c>
    </row>
    <row r="8215" spans="1:2" x14ac:dyDescent="0.25">
      <c r="A8215">
        <f ca="1">39651.9296042487*(RANDBETWEEN(2890,3282))</f>
        <v>116537021.10688703</v>
      </c>
      <c r="B8215">
        <v>257946544.69239604</v>
      </c>
    </row>
    <row r="8216" spans="1:2" x14ac:dyDescent="0.25">
      <c r="A8216">
        <f ca="1">29388.539553138*(RANDBETWEEN(2890,3282))</f>
        <v>93837606.793169618</v>
      </c>
      <c r="B8216">
        <v>252680415.92752799</v>
      </c>
    </row>
    <row r="8217" spans="1:2" x14ac:dyDescent="0.25">
      <c r="A8217">
        <f ca="1">39309.916691583*(RANDBETWEEN(2890,3282))</f>
        <v>117811820.32467416</v>
      </c>
      <c r="B8217">
        <v>238559142.52098924</v>
      </c>
    </row>
    <row r="8218" spans="1:2" x14ac:dyDescent="0.25">
      <c r="A8218">
        <f ca="1">29975.1120296524*(RANDBETWEEN(2890,3282))</f>
        <v>88426580.487474531</v>
      </c>
      <c r="B8218">
        <v>236217733.23146224</v>
      </c>
    </row>
    <row r="8219" spans="1:2" x14ac:dyDescent="0.25">
      <c r="A8219">
        <f ca="1">31717.4209858573*(RANDBETWEEN(2890,3282))</f>
        <v>95501154.588416442</v>
      </c>
      <c r="B8219">
        <v>242875548.35946459</v>
      </c>
    </row>
    <row r="8220" spans="1:2" x14ac:dyDescent="0.25">
      <c r="A8220">
        <f ca="1">30898.0449985373*(RANDBETWEEN(2890,3282))</f>
        <v>93281197.850583985</v>
      </c>
      <c r="B8220">
        <v>204045760.95391142</v>
      </c>
    </row>
    <row r="8221" spans="1:2" x14ac:dyDescent="0.25">
      <c r="A8221">
        <f ca="1">40207.6298337689*(RANDBETWEEN(2890,3282))</f>
        <v>129227322.28573315</v>
      </c>
      <c r="B8221">
        <v>260191708.11264819</v>
      </c>
    </row>
    <row r="8222" spans="1:2" x14ac:dyDescent="0.25">
      <c r="A8222">
        <f ca="1">32515.6023483384*(RANDBETWEEN(2890,3282))</f>
        <v>98944977.945993677</v>
      </c>
      <c r="B8222">
        <v>216738514.40271029</v>
      </c>
    </row>
    <row r="8223" spans="1:2" x14ac:dyDescent="0.25">
      <c r="A8223">
        <f ca="1">36189.1369065273*(RANDBETWEEN(2890,3282))</f>
        <v>115877616.3747004</v>
      </c>
      <c r="B8223">
        <v>254746711.88299584</v>
      </c>
    </row>
    <row r="8224" spans="1:2" x14ac:dyDescent="0.25">
      <c r="A8224">
        <f ca="1">37063.2526969408*(RANDBETWEEN(2890,3282))</f>
        <v>115637348.41445522</v>
      </c>
      <c r="B8224">
        <v>245791816.0882169</v>
      </c>
    </row>
    <row r="8225" spans="1:2" x14ac:dyDescent="0.25">
      <c r="A8225">
        <f ca="1">36706.9549861824*(RANDBETWEEN(2890,3282))</f>
        <v>107734912.88444538</v>
      </c>
      <c r="B8225">
        <v>233543480.55388483</v>
      </c>
    </row>
    <row r="8226" spans="1:2" x14ac:dyDescent="0.25">
      <c r="A8226">
        <f ca="1">30585.5506530764*(RANDBETWEEN(2890,3282))</f>
        <v>98516058.653559089</v>
      </c>
      <c r="B8226">
        <v>217072114.71166646</v>
      </c>
    </row>
    <row r="8227" spans="1:2" x14ac:dyDescent="0.25">
      <c r="A8227">
        <f ca="1">31346.1079847101*(RANDBETWEEN(2890,3282))</f>
        <v>92345634.122955918</v>
      </c>
      <c r="B8227">
        <v>265224714.60383257</v>
      </c>
    </row>
    <row r="8228" spans="1:2" x14ac:dyDescent="0.25">
      <c r="A8228">
        <f ca="1">32462.4886458744*(RANDBETWEEN(2890,3282))</f>
        <v>95212479.198349625</v>
      </c>
      <c r="B8228">
        <v>253609753.11360505</v>
      </c>
    </row>
    <row r="8229" spans="1:2" x14ac:dyDescent="0.25">
      <c r="A8229">
        <f ca="1">31880.5122211629*(RANDBETWEEN(2890,3282))</f>
        <v>92899812.612468705</v>
      </c>
      <c r="B8229">
        <v>204077054.29325789</v>
      </c>
    </row>
    <row r="8230" spans="1:2" x14ac:dyDescent="0.25">
      <c r="A8230">
        <f ca="1">33589.9983909104*(RANDBETWEEN(2890,3282))</f>
        <v>109201084.76884975</v>
      </c>
      <c r="B8230">
        <v>246531205.82501343</v>
      </c>
    </row>
    <row r="8231" spans="1:2" x14ac:dyDescent="0.25">
      <c r="A8231">
        <f ca="1">31796.7497759776*(RANDBETWEEN(2890,3282))</f>
        <v>95263062.328828767</v>
      </c>
      <c r="B8231">
        <v>226225164.00776243</v>
      </c>
    </row>
    <row r="8232" spans="1:2" x14ac:dyDescent="0.25">
      <c r="A8232">
        <f ca="1">33112.2693920032*(RANDBETWEEN(2890,3282))</f>
        <v>97250735.204313323</v>
      </c>
      <c r="B8232">
        <v>239590966.12041923</v>
      </c>
    </row>
    <row r="8233" spans="1:2" x14ac:dyDescent="0.25">
      <c r="A8233">
        <f ca="1">31002.6996487204*(RANDBETWEEN(2890,3282))</f>
        <v>90248858.677425191</v>
      </c>
      <c r="B8233">
        <v>239844928.16392803</v>
      </c>
    </row>
    <row r="8234" spans="1:2" x14ac:dyDescent="0.25">
      <c r="A8234">
        <f ca="1">36701.3472535928*(RANDBETWEEN(2890,3282))</f>
        <v>110691263.31683597</v>
      </c>
      <c r="B8234">
        <v>266157199.62737817</v>
      </c>
    </row>
    <row r="8235" spans="1:2" x14ac:dyDescent="0.25">
      <c r="A8235">
        <f ca="1">42639.0621361056*(RANDBETWEEN(2890,3282))</f>
        <v>124506061.43742834</v>
      </c>
      <c r="B8235">
        <v>232663497.30590224</v>
      </c>
    </row>
    <row r="8236" spans="1:2" x14ac:dyDescent="0.25">
      <c r="A8236">
        <f ca="1">31642.3737816166*(RANDBETWEEN(2890,3282))</f>
        <v>99388696.04805766</v>
      </c>
      <c r="B8236">
        <v>242148198.24926269</v>
      </c>
    </row>
    <row r="8237" spans="1:2" x14ac:dyDescent="0.25">
      <c r="A8237">
        <f ca="1">31666.7137019683*(RANDBETWEEN(2890,3282))</f>
        <v>101808484.55182813</v>
      </c>
      <c r="B8237">
        <v>262722787.86141539</v>
      </c>
    </row>
    <row r="8238" spans="1:2" x14ac:dyDescent="0.25">
      <c r="A8238">
        <f ca="1">30697.80972741*(RANDBETWEEN(2890,3282))</f>
        <v>90957610.222315863</v>
      </c>
      <c r="B8238">
        <v>228521335.04360935</v>
      </c>
    </row>
    <row r="8239" spans="1:2" x14ac:dyDescent="0.25">
      <c r="A8239">
        <f ca="1">31273.5293852801*(RANDBETWEEN(2890,3282))</f>
        <v>97448317.564532787</v>
      </c>
      <c r="B8239">
        <v>209224249.05117279</v>
      </c>
    </row>
    <row r="8240" spans="1:2" x14ac:dyDescent="0.25">
      <c r="A8240">
        <f ca="1">36798.7733306946*(RANDBETWEEN(2890,3282))</f>
        <v>116799306.55162472</v>
      </c>
      <c r="B8240">
        <v>215527380.46168453</v>
      </c>
    </row>
    <row r="8241" spans="1:2" x14ac:dyDescent="0.25">
      <c r="A8241">
        <f ca="1">33485.6354959665*(RANDBETWEEN(2890,3282))</f>
        <v>108526944.6424275</v>
      </c>
      <c r="B8241">
        <v>248482560.54708415</v>
      </c>
    </row>
    <row r="8242" spans="1:2" x14ac:dyDescent="0.25">
      <c r="A8242">
        <f ca="1">34958.4267788289*(RANDBETWEEN(2890,3282))</f>
        <v>103721652.25278546</v>
      </c>
      <c r="B8242">
        <v>208447890.35682926</v>
      </c>
    </row>
    <row r="8243" spans="1:2" x14ac:dyDescent="0.25">
      <c r="A8243">
        <f ca="1">30610.2912762255*(RANDBETWEEN(2890,3282))</f>
        <v>98075373.249026507</v>
      </c>
      <c r="B8243">
        <v>231012687.94596484</v>
      </c>
    </row>
    <row r="8244" spans="1:2" x14ac:dyDescent="0.25">
      <c r="A8244">
        <f ca="1">27733.8115249213*(RANDBETWEEN(2890,3282))</f>
        <v>82119815.925291985</v>
      </c>
      <c r="B8244">
        <v>233549257.285835</v>
      </c>
    </row>
    <row r="8245" spans="1:2" x14ac:dyDescent="0.25">
      <c r="A8245">
        <f ca="1">31540.9575837807*(RANDBETWEEN(2890,3282))</f>
        <v>98817820.109984994</v>
      </c>
      <c r="B8245">
        <v>229157740.39462227</v>
      </c>
    </row>
    <row r="8246" spans="1:2" x14ac:dyDescent="0.25">
      <c r="A8246">
        <f ca="1">31317.7489974212*(RANDBETWEEN(2890,3282))</f>
        <v>100999740.51668344</v>
      </c>
      <c r="B8246">
        <v>227719629.87819523</v>
      </c>
    </row>
    <row r="8247" spans="1:2" x14ac:dyDescent="0.25">
      <c r="A8247">
        <f ca="1">32825.9890999669*(RANDBETWEEN(2890,3282))</f>
        <v>101891870.16629717</v>
      </c>
      <c r="B8247">
        <v>248928709.08985114</v>
      </c>
    </row>
    <row r="8248" spans="1:2" x14ac:dyDescent="0.25">
      <c r="A8248">
        <f ca="1">28809.9495217306*(RANDBETWEEN(2890,3282))</f>
        <v>88561784.829799891</v>
      </c>
      <c r="B8248">
        <v>219730311.44752437</v>
      </c>
    </row>
    <row r="8249" spans="1:2" x14ac:dyDescent="0.25">
      <c r="A8249">
        <f ca="1">30051.9163480796*(RANDBETWEEN(2890,3282))</f>
        <v>94002394.336792842</v>
      </c>
      <c r="B8249">
        <v>246651436.51772892</v>
      </c>
    </row>
    <row r="8250" spans="1:2" x14ac:dyDescent="0.25">
      <c r="A8250">
        <f ca="1">32246.3017302582*(RANDBETWEEN(2890,3282))</f>
        <v>101479111.54512243</v>
      </c>
      <c r="B8250">
        <v>213853609.90989482</v>
      </c>
    </row>
    <row r="8251" spans="1:2" x14ac:dyDescent="0.25">
      <c r="A8251">
        <f ca="1">34251.0679666269*(RANDBETWEEN(2890,3282))</f>
        <v>105048025.45364472</v>
      </c>
      <c r="B8251">
        <v>208563859.11992443</v>
      </c>
    </row>
    <row r="8252" spans="1:2" x14ac:dyDescent="0.25">
      <c r="A8252">
        <f ca="1">39227.2261208467*(RANDBETWEEN(2890,3282))</f>
        <v>117485542.23193578</v>
      </c>
      <c r="B8252">
        <v>220882502.95194808</v>
      </c>
    </row>
    <row r="8253" spans="1:2" x14ac:dyDescent="0.25">
      <c r="A8253">
        <f ca="1">37916.1373561668*(RANDBETWEEN(2890,3282))</f>
        <v>123189530.27018593</v>
      </c>
      <c r="B8253">
        <v>259485997.73689178</v>
      </c>
    </row>
    <row r="8254" spans="1:2" x14ac:dyDescent="0.25">
      <c r="A8254">
        <f ca="1">38467.6797968668*(RANDBETWEEN(2890,3282))</f>
        <v>112748769.48461653</v>
      </c>
      <c r="B8254">
        <v>263898372.22369152</v>
      </c>
    </row>
    <row r="8255" spans="1:2" x14ac:dyDescent="0.25">
      <c r="A8255">
        <f ca="1">36706.9359834741*(RANDBETWEEN(2890,3282))</f>
        <v>106450114.35207485</v>
      </c>
      <c r="B8255">
        <v>266134373.21891877</v>
      </c>
    </row>
    <row r="8256" spans="1:2" x14ac:dyDescent="0.25">
      <c r="A8256">
        <f ca="1">40311.1899032474*(RANDBETWEEN(2890,3282))</f>
        <v>132261014.07255475</v>
      </c>
      <c r="B8256">
        <v>216091292.38038266</v>
      </c>
    </row>
    <row r="8257" spans="1:2" x14ac:dyDescent="0.25">
      <c r="A8257">
        <f ca="1">31320.4648319519*(RANDBETWEEN(2890,3282))</f>
        <v>92332730.324594274</v>
      </c>
      <c r="B8257">
        <v>254173784.18557799</v>
      </c>
    </row>
    <row r="8258" spans="1:2" x14ac:dyDescent="0.25">
      <c r="A8258">
        <f ca="1">29846.7239066574*(RANDBETWEEN(2890,3282))</f>
        <v>96315378.046783283</v>
      </c>
      <c r="B8258">
        <v>204384124.28229254</v>
      </c>
    </row>
    <row r="8259" spans="1:2" x14ac:dyDescent="0.25">
      <c r="A8259">
        <f ca="1">32903.9790823002*(RANDBETWEEN(2890,3282))</f>
        <v>105950812.64500679</v>
      </c>
      <c r="B8259">
        <v>208995493.47607473</v>
      </c>
    </row>
    <row r="8260" spans="1:2" x14ac:dyDescent="0.25">
      <c r="A8260">
        <f ca="1">31764.6180906867*(RANDBETWEEN(2890,3282))</f>
        <v>99518548.478121579</v>
      </c>
      <c r="B8260">
        <v>206977703.17796513</v>
      </c>
    </row>
    <row r="8261" spans="1:2" x14ac:dyDescent="0.25">
      <c r="A8261">
        <f ca="1">31683.4549187839*(RANDBETWEEN(2890,3282))</f>
        <v>98313760.612986341</v>
      </c>
      <c r="B8261">
        <v>254933658.61728203</v>
      </c>
    </row>
    <row r="8262" spans="1:2" x14ac:dyDescent="0.25">
      <c r="A8262">
        <f ca="1">32869.7202340983*(RANDBETWEEN(2890,3282))</f>
        <v>97688808.535740033</v>
      </c>
      <c r="B8262">
        <v>231662259.25287634</v>
      </c>
    </row>
    <row r="8263" spans="1:2" x14ac:dyDescent="0.25">
      <c r="A8263">
        <f ca="1">31403.6882446332*(RANDBETWEEN(2890,3282))</f>
        <v>101873564.66558996</v>
      </c>
      <c r="B8263">
        <v>254164677.96753645</v>
      </c>
    </row>
    <row r="8264" spans="1:2" x14ac:dyDescent="0.25">
      <c r="A8264">
        <f ca="1">33921.7119519068*(RANDBETWEEN(2890,3282))</f>
        <v>102816708.92622945</v>
      </c>
      <c r="B8264">
        <v>231422496.4673565</v>
      </c>
    </row>
    <row r="8265" spans="1:2" x14ac:dyDescent="0.25">
      <c r="A8265">
        <f ca="1">35609.4807083945*(RANDBETWEEN(2890,3282))</f>
        <v>104905530.16693023</v>
      </c>
      <c r="B8265">
        <v>242207200.02618045</v>
      </c>
    </row>
    <row r="8266" spans="1:2" x14ac:dyDescent="0.25">
      <c r="A8266">
        <f ca="1">32062.2272777381*(RANDBETWEEN(2890,3282))</f>
        <v>96635553.015102521</v>
      </c>
      <c r="B8266">
        <v>217999868.39426604</v>
      </c>
    </row>
    <row r="8267" spans="1:2" x14ac:dyDescent="0.25">
      <c r="A8267">
        <f ca="1">32575.4810812221*(RANDBETWEEN(2890,3282))</f>
        <v>104502143.30856042</v>
      </c>
      <c r="B8267">
        <v>221169668.13010973</v>
      </c>
    </row>
    <row r="8268" spans="1:2" x14ac:dyDescent="0.25">
      <c r="A8268">
        <f ca="1">31093.6373970383*(RANDBETWEEN(2890,3282))</f>
        <v>97012148.678759575</v>
      </c>
      <c r="B8268">
        <v>206348425.97460783</v>
      </c>
    </row>
    <row r="8269" spans="1:2" x14ac:dyDescent="0.25">
      <c r="A8269">
        <f ca="1">34174.7206498098*(RANDBETWEEN(2890,3282))</f>
        <v>106351730.66220808</v>
      </c>
      <c r="B8269">
        <v>246354144.91070753</v>
      </c>
    </row>
    <row r="8270" spans="1:2" x14ac:dyDescent="0.25">
      <c r="A8270">
        <f ca="1">30860.9916781603*(RANDBETWEEN(2890,3282))</f>
        <v>92243504.126021281</v>
      </c>
      <c r="B8270">
        <v>212691324.93398979</v>
      </c>
    </row>
    <row r="8271" spans="1:2" x14ac:dyDescent="0.25">
      <c r="A8271">
        <f ca="1">32714.1136780681*(RANDBETWEEN(2890,3282))</f>
        <v>104129023.83729085</v>
      </c>
      <c r="B8271">
        <v>250340304.29491463</v>
      </c>
    </row>
    <row r="8272" spans="1:2" x14ac:dyDescent="0.25">
      <c r="A8272">
        <f ca="1">32293.9606018371*(RANDBETWEEN(2890,3282))</f>
        <v>94815068.326993629</v>
      </c>
      <c r="B8272">
        <v>248633333.5140608</v>
      </c>
    </row>
    <row r="8273" spans="1:2" x14ac:dyDescent="0.25">
      <c r="A8273">
        <f ca="1">32397.6063543095*(RANDBETWEEN(2890,3282))</f>
        <v>103510352.30201887</v>
      </c>
      <c r="B8273">
        <v>250391219.97085673</v>
      </c>
    </row>
    <row r="8274" spans="1:2" x14ac:dyDescent="0.25">
      <c r="A8274">
        <f ca="1">28014.1095264404*(RANDBETWEEN(2890,3282))</f>
        <v>86087358.574751228</v>
      </c>
      <c r="B8274">
        <v>250655130.84946594</v>
      </c>
    </row>
    <row r="8275" spans="1:2" x14ac:dyDescent="0.25">
      <c r="A8275">
        <f ca="1">34801.2514882378*(RANDBETWEEN(2890,3282))</f>
        <v>111364004.76236111</v>
      </c>
      <c r="B8275">
        <v>206597902.84282997</v>
      </c>
    </row>
    <row r="8276" spans="1:2" x14ac:dyDescent="0.25">
      <c r="A8276">
        <f ca="1">31606.334536644*(RANDBETWEEN(2890,3282))</f>
        <v>102625768.24048322</v>
      </c>
      <c r="B8276">
        <v>204239444.96876743</v>
      </c>
    </row>
    <row r="8277" spans="1:2" x14ac:dyDescent="0.25">
      <c r="A8277">
        <f ca="1">36822.19062601*(RANDBETWEEN(2890,3282))</f>
        <v>115069345.70628129</v>
      </c>
      <c r="B8277">
        <v>219105013.03103071</v>
      </c>
    </row>
    <row r="8278" spans="1:2" x14ac:dyDescent="0.25">
      <c r="A8278">
        <f ca="1">33506.2003423826*(RANDBETWEEN(2890,3282))</f>
        <v>106281667.48603761</v>
      </c>
      <c r="B8278">
        <v>205639769.28699535</v>
      </c>
    </row>
    <row r="8279" spans="1:2" x14ac:dyDescent="0.25">
      <c r="A8279">
        <f ca="1">31249.7982703486*(RANDBETWEEN(2890,3282))</f>
        <v>96624376.251917869</v>
      </c>
      <c r="B8279">
        <v>248033574.01371875</v>
      </c>
    </row>
    <row r="8280" spans="1:2" x14ac:dyDescent="0.25">
      <c r="A8280">
        <f ca="1">36425.9789115976*(RANDBETWEEN(2890,3282))</f>
        <v>106108876.56948367</v>
      </c>
      <c r="B8280">
        <v>247983451.58759359</v>
      </c>
    </row>
    <row r="8281" spans="1:2" x14ac:dyDescent="0.25">
      <c r="A8281">
        <f ca="1">32942.0381798037*(RANDBETWEEN(2890,3282))</f>
        <v>107687522.80977838</v>
      </c>
      <c r="B8281">
        <v>260158080.08714679</v>
      </c>
    </row>
    <row r="8282" spans="1:2" x14ac:dyDescent="0.25">
      <c r="A8282">
        <f ca="1">30192.1432099097*(RANDBETWEEN(2890,3282))</f>
        <v>92176613.219854385</v>
      </c>
      <c r="B8282">
        <v>235239965.2281214</v>
      </c>
    </row>
    <row r="8283" spans="1:2" x14ac:dyDescent="0.25">
      <c r="A8283">
        <f ca="1">31385.507563169*(RANDBETWEEN(2890,3282))</f>
        <v>97577543.013892308</v>
      </c>
      <c r="B8283">
        <v>212046902.94631511</v>
      </c>
    </row>
    <row r="8284" spans="1:2" x14ac:dyDescent="0.25">
      <c r="A8284">
        <f ca="1">33414.7612401032*(RANDBETWEEN(2890,3282))</f>
        <v>103318441.75439915</v>
      </c>
      <c r="B8284">
        <v>263308527.55369389</v>
      </c>
    </row>
    <row r="8285" spans="1:2" x14ac:dyDescent="0.25">
      <c r="A8285">
        <f ca="1">34122.907868159*(RANDBETWEEN(2890,3282))</f>
        <v>109602780.07252657</v>
      </c>
      <c r="B8285">
        <v>230435345.17636704</v>
      </c>
    </row>
    <row r="8286" spans="1:2" x14ac:dyDescent="0.25">
      <c r="A8286">
        <f ca="1">31340.4146412787*(RANDBETWEEN(2890,3282))</f>
        <v>94428669.314172715</v>
      </c>
      <c r="B8286">
        <v>206422637.91198918</v>
      </c>
    </row>
    <row r="8287" spans="1:2" x14ac:dyDescent="0.25">
      <c r="A8287">
        <f ca="1">38717.9219388019*(RANDBETWEEN(2890,3282))</f>
        <v>126297861.36437184</v>
      </c>
      <c r="B8287">
        <v>266496191.74071038</v>
      </c>
    </row>
    <row r="8288" spans="1:2" x14ac:dyDescent="0.25">
      <c r="A8288">
        <f ca="1">35499.7998497322*(RANDBETWEEN(2890,3282))</f>
        <v>108309889.34153302</v>
      </c>
      <c r="B8288">
        <v>250993412.56142226</v>
      </c>
    </row>
    <row r="8289" spans="1:2" x14ac:dyDescent="0.25">
      <c r="A8289">
        <f ca="1">39442.9169677025*(RANDBETWEEN(2890,3282))</f>
        <v>115567746.71536842</v>
      </c>
      <c r="B8289">
        <v>212279024.10305136</v>
      </c>
    </row>
    <row r="8290" spans="1:2" x14ac:dyDescent="0.25">
      <c r="A8290">
        <f ca="1">42052.0876907689*(RANDBETWEEN(2890,3282))</f>
        <v>123675189.89855139</v>
      </c>
      <c r="B8290">
        <v>253961291.72872418</v>
      </c>
    </row>
    <row r="8291" spans="1:2" x14ac:dyDescent="0.25">
      <c r="A8291">
        <f ca="1">33866.2338984505*(RANDBETWEEN(2890,3282))</f>
        <v>97873415.966522068</v>
      </c>
      <c r="B8291">
        <v>230832387.38539913</v>
      </c>
    </row>
    <row r="8292" spans="1:2" x14ac:dyDescent="0.25">
      <c r="A8292">
        <f ca="1">36477.2421383151*(RANDBETWEEN(2890,3282))</f>
        <v>106440592.55960333</v>
      </c>
      <c r="B8292">
        <v>223646599.75343356</v>
      </c>
    </row>
    <row r="8293" spans="1:2" x14ac:dyDescent="0.25">
      <c r="A8293">
        <f ca="1">32645.9273319158*(RANDBETWEEN(2890,3282))</f>
        <v>105936034.19206676</v>
      </c>
      <c r="B8293">
        <v>208968159.32171673</v>
      </c>
    </row>
    <row r="8294" spans="1:2" x14ac:dyDescent="0.25">
      <c r="A8294">
        <f ca="1">40317.3082864036*(RANDBETWEEN(2890,3282))</f>
        <v>128491261.50876829</v>
      </c>
      <c r="B8294">
        <v>235520117.09916645</v>
      </c>
    </row>
    <row r="8295" spans="1:2" x14ac:dyDescent="0.25">
      <c r="A8295">
        <f ca="1">34699.4805513273*(RANDBETWEEN(2890,3282))</f>
        <v>101912374.37924826</v>
      </c>
      <c r="B8295">
        <v>212531876.08831823</v>
      </c>
    </row>
    <row r="8296" spans="1:2" x14ac:dyDescent="0.25">
      <c r="A8296">
        <f ca="1">36625.3107785459*(RANDBETWEEN(2890,3282))</f>
        <v>107348785.89191812</v>
      </c>
      <c r="B8296">
        <v>256016661.08883473</v>
      </c>
    </row>
    <row r="8297" spans="1:2" x14ac:dyDescent="0.25">
      <c r="A8297">
        <f ca="1">30813.4359220549*(RANDBETWEEN(2890,3282))</f>
        <v>92779255.5613074</v>
      </c>
      <c r="B8297">
        <v>254958801.2017107</v>
      </c>
    </row>
    <row r="8298" spans="1:2" x14ac:dyDescent="0.25">
      <c r="A8298">
        <f ca="1">38731.7104251233*(RANDBETWEEN(2890,3282))</f>
        <v>122353473.23296449</v>
      </c>
      <c r="B8298">
        <v>212571283.79474139</v>
      </c>
    </row>
    <row r="8299" spans="1:2" x14ac:dyDescent="0.25">
      <c r="A8299">
        <f ca="1">31726.4446138167*(RANDBETWEEN(2890,3282))</f>
        <v>97051194.073665336</v>
      </c>
      <c r="B8299">
        <v>248982009.12785378</v>
      </c>
    </row>
    <row r="8300" spans="1:2" x14ac:dyDescent="0.25">
      <c r="A8300">
        <f ca="1">37316.2799001267*(RANDBETWEEN(2890,3282))</f>
        <v>108142579.15056723</v>
      </c>
      <c r="B8300">
        <v>216155332.26730597</v>
      </c>
    </row>
    <row r="8301" spans="1:2" x14ac:dyDescent="0.25">
      <c r="A8301">
        <f ca="1">31885.1224728902*(RANDBETWEEN(2890,3282))</f>
        <v>102574438.99528761</v>
      </c>
      <c r="B8301">
        <v>257282120.23879084</v>
      </c>
    </row>
    <row r="8302" spans="1:2" x14ac:dyDescent="0.25">
      <c r="A8302">
        <f ca="1">34128.5128815739*(RANDBETWEEN(2890,3282))</f>
        <v>106890502.34508944</v>
      </c>
      <c r="B8302">
        <v>208173683.9821662</v>
      </c>
    </row>
    <row r="8303" spans="1:2" x14ac:dyDescent="0.25">
      <c r="A8303">
        <f ca="1">34876.4778766604*(RANDBETWEEN(2890,3282))</f>
        <v>111953493.98408002</v>
      </c>
      <c r="B8303">
        <v>228476918.31755692</v>
      </c>
    </row>
    <row r="8304" spans="1:2" x14ac:dyDescent="0.25">
      <c r="A8304">
        <f ca="1">28072.6400103449*(RANDBETWEEN(2890,3282))</f>
        <v>88513033.952617332</v>
      </c>
      <c r="B8304">
        <v>262829442.37030834</v>
      </c>
    </row>
    <row r="8305" spans="1:2" x14ac:dyDescent="0.25">
      <c r="A8305">
        <f ca="1">38663.3244379397*(RANDBETWEEN(2890,3282))</f>
        <v>124650557.98791771</v>
      </c>
      <c r="B8305">
        <v>258398832.73527107</v>
      </c>
    </row>
    <row r="8306" spans="1:2" x14ac:dyDescent="0.25">
      <c r="A8306">
        <f ca="1">32436.2244089393*(RANDBETWEEN(2890,3282))</f>
        <v>106163762.49045818</v>
      </c>
      <c r="B8306">
        <v>234513458.13065797</v>
      </c>
    </row>
    <row r="8307" spans="1:2" x14ac:dyDescent="0.25">
      <c r="A8307">
        <f ca="1">28987.3488091486*(RANDBETWEEN(2890,3282))</f>
        <v>91600022.236909479</v>
      </c>
      <c r="B8307">
        <v>210951378.60245645</v>
      </c>
    </row>
    <row r="8308" spans="1:2" x14ac:dyDescent="0.25">
      <c r="A8308">
        <f ca="1">36971.4542261319*(RANDBETWEEN(2890,3282))</f>
        <v>118197739.16094361</v>
      </c>
      <c r="B8308">
        <v>221899743.81451255</v>
      </c>
    </row>
    <row r="8309" spans="1:2" x14ac:dyDescent="0.25">
      <c r="A8309">
        <f ca="1">33277.3421681997*(RANDBETWEEN(2890,3282))</f>
        <v>101163120.19132721</v>
      </c>
      <c r="B8309">
        <v>227834692.2542302</v>
      </c>
    </row>
    <row r="8310" spans="1:2" x14ac:dyDescent="0.25">
      <c r="A8310">
        <f ca="1">32787.1239280912*(RANDBETWEEN(2890,3282))</f>
        <v>100131876.4763906</v>
      </c>
      <c r="B8310">
        <v>210152484.19542021</v>
      </c>
    </row>
    <row r="8311" spans="1:2" x14ac:dyDescent="0.25">
      <c r="A8311">
        <f ca="1">31571.3151765448*(RANDBETWEEN(2890,3282))</f>
        <v>97965790.992818505</v>
      </c>
      <c r="B8311">
        <v>245460248.20464349</v>
      </c>
    </row>
    <row r="8312" spans="1:2" x14ac:dyDescent="0.25">
      <c r="A8312">
        <f ca="1">33518.1854537416*(RANDBETWEEN(2890,3282))</f>
        <v>102532129.30299544</v>
      </c>
      <c r="B8312">
        <v>263735629.51090044</v>
      </c>
    </row>
    <row r="8313" spans="1:2" x14ac:dyDescent="0.25">
      <c r="A8313">
        <f ca="1">31859.170612164*(RANDBETWEEN(2890,3282))</f>
        <v>102809543.56545328</v>
      </c>
      <c r="B8313">
        <v>266879649.49988878</v>
      </c>
    </row>
    <row r="8314" spans="1:2" x14ac:dyDescent="0.25">
      <c r="A8314">
        <f ca="1">40327.0149192183*(RANDBETWEEN(2890,3282))</f>
        <v>119327637.14596702</v>
      </c>
      <c r="B8314">
        <v>226404231.05152479</v>
      </c>
    </row>
    <row r="8315" spans="1:2" x14ac:dyDescent="0.25">
      <c r="A8315">
        <f ca="1">32920.2900891317*(RANDBETWEEN(2890,3282))</f>
        <v>101723696.37541704</v>
      </c>
      <c r="B8315">
        <v>228504757.77530354</v>
      </c>
    </row>
    <row r="8316" spans="1:2" x14ac:dyDescent="0.25">
      <c r="A8316">
        <f ca="1">34074.4983566263*(RANDBETWEEN(2890,3282))</f>
        <v>102734612.54522839</v>
      </c>
      <c r="B8316">
        <v>216941209.48316589</v>
      </c>
    </row>
    <row r="8317" spans="1:2" x14ac:dyDescent="0.25">
      <c r="A8317">
        <f ca="1">36382.3929841871*(RANDBETWEEN(2890,3282))</f>
        <v>107255294.51738349</v>
      </c>
      <c r="B8317">
        <v>219149146.50445563</v>
      </c>
    </row>
    <row r="8318" spans="1:2" x14ac:dyDescent="0.25">
      <c r="A8318">
        <f ca="1">30565.446624244*(RANDBETWEEN(2890,3282))</f>
        <v>98512434.469938442</v>
      </c>
      <c r="B8318">
        <v>213123008.31414044</v>
      </c>
    </row>
    <row r="8319" spans="1:2" x14ac:dyDescent="0.25">
      <c r="A8319">
        <f ca="1">40126.6345001337*(RANDBETWEEN(2890,3282))</f>
        <v>118293318.50639404</v>
      </c>
      <c r="B8319">
        <v>224239262.84155953</v>
      </c>
    </row>
    <row r="8320" spans="1:2" x14ac:dyDescent="0.25">
      <c r="A8320">
        <f ca="1">27662.7692189121*(RANDBETWEEN(2890,3282))</f>
        <v>84094818.425492868</v>
      </c>
      <c r="B8320">
        <v>253108360.62576103</v>
      </c>
    </row>
    <row r="8321" spans="1:2" x14ac:dyDescent="0.25">
      <c r="A8321">
        <f ca="1">32024.8407127219*(RANDBETWEEN(2890,3282))</f>
        <v>101614819.58146644</v>
      </c>
      <c r="B8321">
        <v>267748602.91442123</v>
      </c>
    </row>
    <row r="8322" spans="1:2" x14ac:dyDescent="0.25">
      <c r="A8322">
        <f ca="1">37016.4923881601*(RANDBETWEEN(2890,3282))</f>
        <v>116824049.97703335</v>
      </c>
      <c r="B8322">
        <v>256984902.50344694</v>
      </c>
    </row>
    <row r="8323" spans="1:2" x14ac:dyDescent="0.25">
      <c r="A8323">
        <f ca="1">32119.4952281367*(RANDBETWEEN(2890,3282))</f>
        <v>95619737.294163018</v>
      </c>
      <c r="B8323">
        <v>249827865.55813783</v>
      </c>
    </row>
    <row r="8324" spans="1:2" x14ac:dyDescent="0.25">
      <c r="A8324">
        <f ca="1">33708.6258013128*(RANDBETWEEN(2890,3282))</f>
        <v>105541707.38391036</v>
      </c>
      <c r="B8324">
        <v>233075523.08476937</v>
      </c>
    </row>
    <row r="8325" spans="1:2" x14ac:dyDescent="0.25">
      <c r="A8325">
        <f ca="1">31600.4841223841*(RANDBETWEEN(2890,3282))</f>
        <v>100615941.44567095</v>
      </c>
      <c r="B8325">
        <v>220957181.00891554</v>
      </c>
    </row>
    <row r="8326" spans="1:2" x14ac:dyDescent="0.25">
      <c r="A8326">
        <f ca="1">36094.1157677082*(RANDBETWEEN(2890,3282))</f>
        <v>116186958.65625274</v>
      </c>
      <c r="B8326">
        <v>222333625.39263937</v>
      </c>
    </row>
    <row r="8327" spans="1:2" x14ac:dyDescent="0.25">
      <c r="A8327">
        <f ca="1">41543.7930546034*(RANDBETWEEN(2890,3282))</f>
        <v>130073616.05396335</v>
      </c>
      <c r="B8327">
        <v>204963759.9081735</v>
      </c>
    </row>
    <row r="8328" spans="1:2" x14ac:dyDescent="0.25">
      <c r="A8328">
        <f ca="1">35800.4842744755*(RANDBETWEEN(2890,3282))</f>
        <v>110372893.01820786</v>
      </c>
      <c r="B8328">
        <v>261688484.88544327</v>
      </c>
    </row>
    <row r="8329" spans="1:2" x14ac:dyDescent="0.25">
      <c r="A8329">
        <f ca="1">30564.7260694984*(RANDBETWEEN(2890,3282))</f>
        <v>99885524.79512091</v>
      </c>
      <c r="B8329">
        <v>205040303.25819728</v>
      </c>
    </row>
    <row r="8330" spans="1:2" x14ac:dyDescent="0.25">
      <c r="A8330">
        <f ca="1">31121.0411671802*(RANDBETWEEN(2890,3282))</f>
        <v>93394244.542707846</v>
      </c>
      <c r="B8330">
        <v>204572068.83068621</v>
      </c>
    </row>
    <row r="8331" spans="1:2" x14ac:dyDescent="0.25">
      <c r="A8331">
        <f ca="1">40924.2827839682*(RANDBETWEEN(2890,3282))</f>
        <v>126333260.9541097</v>
      </c>
      <c r="B8331">
        <v>210114663.49874064</v>
      </c>
    </row>
    <row r="8332" spans="1:2" x14ac:dyDescent="0.25">
      <c r="A8332">
        <f ca="1">32495.9591564138*(RANDBETWEEN(2890,3282))</f>
        <v>100997441.05813417</v>
      </c>
      <c r="B8332">
        <v>231982284.82035649</v>
      </c>
    </row>
    <row r="8333" spans="1:2" x14ac:dyDescent="0.25">
      <c r="A8333">
        <f ca="1">32554.4319090092*(RANDBETWEEN(2890,3282))</f>
        <v>99616561.641568154</v>
      </c>
      <c r="B8333">
        <v>207129136.75843263</v>
      </c>
    </row>
    <row r="8334" spans="1:2" x14ac:dyDescent="0.25">
      <c r="A8334">
        <f ca="1">31688.1302625118*(RANDBETWEEN(2890,3282))</f>
        <v>100102803.49927481</v>
      </c>
      <c r="B8334">
        <v>233585727.95372918</v>
      </c>
    </row>
    <row r="8335" spans="1:2" x14ac:dyDescent="0.25">
      <c r="A8335">
        <f ca="1">34582.0376559963*(RANDBETWEEN(2890,3282))</f>
        <v>100668311.61660516</v>
      </c>
      <c r="B8335">
        <v>216386028.00113145</v>
      </c>
    </row>
    <row r="8336" spans="1:2" x14ac:dyDescent="0.25">
      <c r="A8336">
        <f ca="1">39275.475358799*(RANDBETWEEN(2890,3282))</f>
        <v>127095438.26107365</v>
      </c>
      <c r="B8336">
        <v>227749887.55866501</v>
      </c>
    </row>
    <row r="8337" spans="1:2" x14ac:dyDescent="0.25">
      <c r="A8337">
        <f ca="1">38550.3669464747*(RANDBETWEEN(2890,3282))</f>
        <v>113376629.1895822</v>
      </c>
      <c r="B8337">
        <v>230745190.99107894</v>
      </c>
    </row>
    <row r="8338" spans="1:2" x14ac:dyDescent="0.25">
      <c r="A8338">
        <f ca="1">40205.3245567478*(RANDBETWEEN(2890,3282))</f>
        <v>128817859.87981993</v>
      </c>
      <c r="B8338">
        <v>247388010.50260186</v>
      </c>
    </row>
    <row r="8339" spans="1:2" x14ac:dyDescent="0.25">
      <c r="A8339">
        <f ca="1">34019.5722413647*(RANDBETWEEN(2890,3282))</f>
        <v>101378325.27926669</v>
      </c>
      <c r="B8339">
        <v>245632598.39323372</v>
      </c>
    </row>
    <row r="8340" spans="1:2" x14ac:dyDescent="0.25">
      <c r="A8340">
        <f ca="1">34053.3177999617*(RANDBETWEEN(2890,3282))</f>
        <v>103249659.5694838</v>
      </c>
      <c r="B8340">
        <v>214177524.19802663</v>
      </c>
    </row>
    <row r="8341" spans="1:2" x14ac:dyDescent="0.25">
      <c r="A8341">
        <f ca="1">30740.710612666*(RANDBETWEEN(2890,3282))</f>
        <v>90869540.571040675</v>
      </c>
      <c r="B8341">
        <v>228574220.47671539</v>
      </c>
    </row>
    <row r="8342" spans="1:2" x14ac:dyDescent="0.25">
      <c r="A8342">
        <f ca="1">32137.041230142*(RANDBETWEEN(2890,3282))</f>
        <v>96828905.226417884</v>
      </c>
      <c r="B8342">
        <v>210463594.38829947</v>
      </c>
    </row>
    <row r="8343" spans="1:2" x14ac:dyDescent="0.25">
      <c r="A8343">
        <f ca="1">28833.9770981318*(RANDBETWEEN(2890,3282))</f>
        <v>89327661.05001241</v>
      </c>
      <c r="B8343">
        <v>267082457.18237364</v>
      </c>
    </row>
    <row r="8344" spans="1:2" x14ac:dyDescent="0.25">
      <c r="A8344">
        <f ca="1">38583.9518894524*(RANDBETWEEN(2890,3282))</f>
        <v>116793622.36937241</v>
      </c>
      <c r="B8344">
        <v>238434061.09570673</v>
      </c>
    </row>
    <row r="8345" spans="1:2" x14ac:dyDescent="0.25">
      <c r="A8345">
        <f ca="1">36302.8168956738*(RANDBETWEEN(2890,3282))</f>
        <v>117076584.48854792</v>
      </c>
      <c r="B8345">
        <v>261075517.68218285</v>
      </c>
    </row>
    <row r="8346" spans="1:2" x14ac:dyDescent="0.25">
      <c r="A8346">
        <f ca="1">30051.6098105744*(RANDBETWEEN(2890,3282))</f>
        <v>89764158.504185855</v>
      </c>
      <c r="B8346">
        <v>213661935.08330828</v>
      </c>
    </row>
    <row r="8347" spans="1:2" x14ac:dyDescent="0.25">
      <c r="A8347">
        <f ca="1">31310.3508717138*(RANDBETWEEN(2890,3282))</f>
        <v>101570778.22783951</v>
      </c>
      <c r="B8347">
        <v>222588682.05661741</v>
      </c>
    </row>
    <row r="8348" spans="1:2" x14ac:dyDescent="0.25">
      <c r="A8348">
        <f ca="1">33885.2363637298*(RANDBETWEEN(2890,3282))</f>
        <v>99080431.127546072</v>
      </c>
      <c r="B8348">
        <v>224565328.0954259</v>
      </c>
    </row>
    <row r="8349" spans="1:2" x14ac:dyDescent="0.25">
      <c r="A8349">
        <f ca="1">36353.3446686667*(RANDBETWEEN(2890,3282))</f>
        <v>113386082.02157132</v>
      </c>
      <c r="B8349">
        <v>248951474.98689681</v>
      </c>
    </row>
    <row r="8350" spans="1:2" x14ac:dyDescent="0.25">
      <c r="A8350">
        <f ca="1">35711.0617922098*(RANDBETWEEN(2890,3282))</f>
        <v>112739822.0780063</v>
      </c>
      <c r="B8350">
        <v>209987109.90008342</v>
      </c>
    </row>
    <row r="8351" spans="1:2" x14ac:dyDescent="0.25">
      <c r="A8351">
        <f ca="1">27824.1623846361*(RANDBETWEEN(2890,3282))</f>
        <v>89092967.955604717</v>
      </c>
      <c r="B8351">
        <v>213544632.50024951</v>
      </c>
    </row>
    <row r="8352" spans="1:2" x14ac:dyDescent="0.25">
      <c r="A8352">
        <f ca="1">32534.6290814664*(RANDBETWEEN(2890,3282))</f>
        <v>98937807.036739379</v>
      </c>
      <c r="B8352">
        <v>266980181.38465434</v>
      </c>
    </row>
    <row r="8353" spans="1:2" x14ac:dyDescent="0.25">
      <c r="A8353">
        <f ca="1">40058.4699655819*(RANDBETWEEN(2890,3282))</f>
        <v>124942367.82264994</v>
      </c>
      <c r="B8353">
        <v>216334022.31263527</v>
      </c>
    </row>
    <row r="8354" spans="1:2" x14ac:dyDescent="0.25">
      <c r="A8354">
        <f ca="1">35228.030202078*(RANDBETWEEN(2890,3282))</f>
        <v>107692088.32775247</v>
      </c>
      <c r="B8354">
        <v>249744806.21617842</v>
      </c>
    </row>
    <row r="8355" spans="1:2" x14ac:dyDescent="0.25">
      <c r="A8355">
        <f ca="1">32419.1941225552*(RANDBETWEEN(2890,3282))</f>
        <v>104940931.37471105</v>
      </c>
      <c r="B8355">
        <v>247148119.41989264</v>
      </c>
    </row>
    <row r="8356" spans="1:2" x14ac:dyDescent="0.25">
      <c r="A8356">
        <f ca="1">41481.0634313705*(RANDBETWEEN(2890,3282))</f>
        <v>134647531.89822873</v>
      </c>
      <c r="B8356">
        <v>215320171.0446173</v>
      </c>
    </row>
    <row r="8357" spans="1:2" x14ac:dyDescent="0.25">
      <c r="A8357">
        <f ca="1">34402.9340086376*(RANDBETWEEN(2890,3282))</f>
        <v>99630896.889014587</v>
      </c>
      <c r="B8357">
        <v>209072884.77380085</v>
      </c>
    </row>
    <row r="8358" spans="1:2" x14ac:dyDescent="0.25">
      <c r="A8358">
        <f ca="1">36630.2230449697*(RANDBETWEEN(2890,3282))</f>
        <v>114286295.90030536</v>
      </c>
      <c r="B8358">
        <v>225022722.96350887</v>
      </c>
    </row>
    <row r="8359" spans="1:2" x14ac:dyDescent="0.25">
      <c r="A8359">
        <f ca="1">29108.8405855667*(RANDBETWEEN(2890,3282))</f>
        <v>91634630.163364112</v>
      </c>
      <c r="B8359">
        <v>254051246.28463584</v>
      </c>
    </row>
    <row r="8360" spans="1:2" x14ac:dyDescent="0.25">
      <c r="A8360">
        <f ca="1">33210.1936184224*(RANDBETWEEN(2890,3282))</f>
        <v>104678530.28526737</v>
      </c>
      <c r="B8360">
        <v>256243138.2083264</v>
      </c>
    </row>
    <row r="8361" spans="1:2" x14ac:dyDescent="0.25">
      <c r="A8361">
        <f ca="1">40062.1121744683*(RANDBETWEEN(2890,3282))</f>
        <v>124753417.31129421</v>
      </c>
      <c r="B8361">
        <v>222227527.00234157</v>
      </c>
    </row>
    <row r="8362" spans="1:2" x14ac:dyDescent="0.25">
      <c r="A8362">
        <f ca="1">34330.7570972884*(RANDBETWEEN(2890,3282))</f>
        <v>100520456.78086042</v>
      </c>
      <c r="B8362">
        <v>215506689.52557227</v>
      </c>
    </row>
    <row r="8363" spans="1:2" x14ac:dyDescent="0.25">
      <c r="A8363">
        <f ca="1">31555.9186582091*(RANDBETWEEN(2890,3282))</f>
        <v>96434887.419486985</v>
      </c>
      <c r="B8363">
        <v>265036492.86656523</v>
      </c>
    </row>
    <row r="8364" spans="1:2" x14ac:dyDescent="0.25">
      <c r="A8364">
        <f ca="1">42897.891641234*(RANDBETWEEN(2890,3282))</f>
        <v>130967263.18068741</v>
      </c>
      <c r="B8364">
        <v>258111007.23918974</v>
      </c>
    </row>
    <row r="8365" spans="1:2" x14ac:dyDescent="0.25">
      <c r="A8365">
        <f ca="1">31829.9685246397*(RANDBETWEEN(2890,3282))</f>
        <v>97336043.748348072</v>
      </c>
      <c r="B8365">
        <v>248196758.42222533</v>
      </c>
    </row>
    <row r="8366" spans="1:2" x14ac:dyDescent="0.25">
      <c r="A8366">
        <f ca="1">30814.5648914811*(RANDBETWEEN(2890,3282))</f>
        <v>96726919.194359273</v>
      </c>
      <c r="B8366">
        <v>209559152.94977626</v>
      </c>
    </row>
    <row r="8367" spans="1:2" x14ac:dyDescent="0.25">
      <c r="A8367">
        <f ca="1">28957.5944049874*(RANDBETWEEN(2890,3282))</f>
        <v>90637270.487610668</v>
      </c>
      <c r="B8367">
        <v>243949708.7790443</v>
      </c>
    </row>
    <row r="8368" spans="1:2" x14ac:dyDescent="0.25">
      <c r="A8368">
        <f ca="1">35869.2883588135*(RANDBETWEEN(2890,3282))</f>
        <v>104917668.44952945</v>
      </c>
      <c r="B8368">
        <v>258125532.72760317</v>
      </c>
    </row>
    <row r="8369" spans="1:2" x14ac:dyDescent="0.25">
      <c r="A8369">
        <f ca="1">36751.8259975885*(RANDBETWEEN(2890,3282))</f>
        <v>116907558.49832892</v>
      </c>
      <c r="B8369">
        <v>211392577.42849445</v>
      </c>
    </row>
    <row r="8370" spans="1:2" x14ac:dyDescent="0.25">
      <c r="A8370">
        <f ca="1">31647.2404393705*(RANDBETWEEN(2890,3282))</f>
        <v>97726678.476776078</v>
      </c>
      <c r="B8370">
        <v>223598794.72065762</v>
      </c>
    </row>
    <row r="8371" spans="1:2" x14ac:dyDescent="0.25">
      <c r="A8371">
        <f ca="1">41692.0941022923*(RANDBETWEEN(2890,3282))</f>
        <v>128453341.92916264</v>
      </c>
      <c r="B8371">
        <v>219579774.94588307</v>
      </c>
    </row>
    <row r="8372" spans="1:2" x14ac:dyDescent="0.25">
      <c r="A8372">
        <f ca="1">39687.167776601*(RANDBETWEEN(2890,3282))</f>
        <v>128427674.92508075</v>
      </c>
      <c r="B8372">
        <v>203746810.56413722</v>
      </c>
    </row>
    <row r="8373" spans="1:2" x14ac:dyDescent="0.25">
      <c r="A8373">
        <f ca="1">32370.4698903917*(RANDBETWEEN(2890,3282))</f>
        <v>100380827.13010457</v>
      </c>
      <c r="B8373">
        <v>226262983.58198613</v>
      </c>
    </row>
    <row r="8374" spans="1:2" x14ac:dyDescent="0.25">
      <c r="A8374">
        <f ca="1">31156.6270782184*(RANDBETWEEN(2890,3282))</f>
        <v>99296170.49828209</v>
      </c>
      <c r="B8374">
        <v>262255921.64424118</v>
      </c>
    </row>
    <row r="8375" spans="1:2" x14ac:dyDescent="0.25">
      <c r="A8375">
        <f ca="1">34611.938924379*(RANDBETWEEN(2890,3282))</f>
        <v>101793712.37659866</v>
      </c>
      <c r="B8375">
        <v>255409274.32734299</v>
      </c>
    </row>
    <row r="8376" spans="1:2" x14ac:dyDescent="0.25">
      <c r="A8376">
        <f ca="1">31236.0137881764*(RANDBETWEEN(2890,3282))</f>
        <v>92427364.799213961</v>
      </c>
      <c r="B8376">
        <v>211921098.92516577</v>
      </c>
    </row>
    <row r="8377" spans="1:2" x14ac:dyDescent="0.25">
      <c r="A8377">
        <f ca="1">30660.6004397947*(RANDBETWEEN(2890,3282))</f>
        <v>89743577.487279207</v>
      </c>
      <c r="B8377">
        <v>259877803.0703823</v>
      </c>
    </row>
    <row r="8378" spans="1:2" x14ac:dyDescent="0.25">
      <c r="A8378">
        <f ca="1">36036.9310383297*(RANDBETWEEN(2890,3282))</f>
        <v>109011716.3909474</v>
      </c>
      <c r="B8378">
        <v>222103688.26711297</v>
      </c>
    </row>
    <row r="8379" spans="1:2" x14ac:dyDescent="0.25">
      <c r="A8379">
        <f ca="1">31934.9229592773*(RANDBETWEEN(2890,3282))</f>
        <v>96028313.338546798</v>
      </c>
      <c r="B8379">
        <v>243058331.78420115</v>
      </c>
    </row>
    <row r="8380" spans="1:2" x14ac:dyDescent="0.25">
      <c r="A8380">
        <f ca="1">28100.2272486736*(RANDBETWEEN(2890,3282))</f>
        <v>81406358.339407429</v>
      </c>
      <c r="B8380">
        <v>224599107.11271921</v>
      </c>
    </row>
    <row r="8381" spans="1:2" x14ac:dyDescent="0.25">
      <c r="A8381">
        <f ca="1">28387.2503146823*(RANDBETWEEN(2890,3282))</f>
        <v>89022416.98684375</v>
      </c>
      <c r="B8381">
        <v>237564125.23404908</v>
      </c>
    </row>
    <row r="8382" spans="1:2" x14ac:dyDescent="0.25">
      <c r="A8382">
        <f ca="1">36437.7560003116*(RANDBETWEEN(2890,3282))</f>
        <v>111317344.58095196</v>
      </c>
      <c r="B8382">
        <v>247424295.48152572</v>
      </c>
    </row>
    <row r="8383" spans="1:2" x14ac:dyDescent="0.25">
      <c r="A8383">
        <f ca="1">33597.8708629031*(RANDBETWEEN(2890,3282))</f>
        <v>109865037.7216931</v>
      </c>
      <c r="B8383">
        <v>226436021.85329875</v>
      </c>
    </row>
    <row r="8384" spans="1:2" x14ac:dyDescent="0.25">
      <c r="A8384">
        <f ca="1">31324.0121205757*(RANDBETWEEN(2890,3282))</f>
        <v>102774083.76760894</v>
      </c>
      <c r="B8384">
        <v>253321929.78018144</v>
      </c>
    </row>
    <row r="8385" spans="1:2" x14ac:dyDescent="0.25">
      <c r="A8385">
        <f ca="1">31533.2556960337*(RANDBETWEEN(2890,3282))</f>
        <v>94442100.809620991</v>
      </c>
      <c r="B8385">
        <v>222743249.33717525</v>
      </c>
    </row>
    <row r="8386" spans="1:2" x14ac:dyDescent="0.25">
      <c r="A8386">
        <f ca="1">43489.9769769514*(RANDBETWEEN(2890,3282))</f>
        <v>141516385.08299983</v>
      </c>
      <c r="B8386">
        <v>246641921.96124598</v>
      </c>
    </row>
    <row r="8387" spans="1:2" x14ac:dyDescent="0.25">
      <c r="A8387">
        <f ca="1">30321.2383118243*(RANDBETWEEN(2890,3282))</f>
        <v>97998242.223816052</v>
      </c>
      <c r="B8387">
        <v>216550360.55271906</v>
      </c>
    </row>
    <row r="8388" spans="1:2" x14ac:dyDescent="0.25">
      <c r="A8388">
        <f ca="1">31705.9239097605*(RANDBETWEEN(2890,3282))</f>
        <v>98003010.805069804</v>
      </c>
      <c r="B8388">
        <v>205895568.40189934</v>
      </c>
    </row>
    <row r="8389" spans="1:2" x14ac:dyDescent="0.25">
      <c r="A8389">
        <f ca="1">34189.7730514348*(RANDBETWEEN(2890,3282))</f>
        <v>101201728.23224711</v>
      </c>
      <c r="B8389">
        <v>257123991.09378767</v>
      </c>
    </row>
    <row r="8390" spans="1:2" x14ac:dyDescent="0.25">
      <c r="A8390">
        <f ca="1">32488.4282364717*(RANDBETWEEN(2890,3282))</f>
        <v>104287854.6390743</v>
      </c>
      <c r="B8390">
        <v>228954984.14252079</v>
      </c>
    </row>
    <row r="8391" spans="1:2" x14ac:dyDescent="0.25">
      <c r="A8391">
        <f ca="1">33800.6200212643*(RANDBETWEEN(2890,3282))</f>
        <v>104477716.48572786</v>
      </c>
      <c r="B8391">
        <v>229544155.51697248</v>
      </c>
    </row>
    <row r="8392" spans="1:2" x14ac:dyDescent="0.25">
      <c r="A8392">
        <f ca="1">33944.7569615875*(RANDBETWEEN(2890,3282))</f>
        <v>111135134.29223733</v>
      </c>
      <c r="B8392">
        <v>224798066.00290513</v>
      </c>
    </row>
    <row r="8393" spans="1:2" x14ac:dyDescent="0.25">
      <c r="A8393">
        <f ca="1">30880.0144269593*(RANDBETWEEN(2890,3282))</f>
        <v>89922602.011305496</v>
      </c>
      <c r="B8393">
        <v>244358873.36559701</v>
      </c>
    </row>
    <row r="8394" spans="1:2" x14ac:dyDescent="0.25">
      <c r="A8394">
        <f ca="1">30918.7189503972*(RANDBETWEEN(2890,3282))</f>
        <v>97455802.131652072</v>
      </c>
      <c r="B8394">
        <v>235793890.23880279</v>
      </c>
    </row>
    <row r="8395" spans="1:2" x14ac:dyDescent="0.25">
      <c r="A8395">
        <f ca="1">31659.8892998705*(RANDBETWEEN(2890,3282))</f>
        <v>93776592.10621655</v>
      </c>
      <c r="B8395">
        <v>265529384.94176686</v>
      </c>
    </row>
    <row r="8396" spans="1:2" x14ac:dyDescent="0.25">
      <c r="A8396">
        <f ca="1">33368.0803991954*(RANDBETWEEN(2890,3282))</f>
        <v>98335732.936428696</v>
      </c>
      <c r="B8396">
        <v>232868164.33857232</v>
      </c>
    </row>
    <row r="8397" spans="1:2" x14ac:dyDescent="0.25">
      <c r="A8397">
        <f ca="1">31025.0915849969*(RANDBETWEEN(2890,3282))</f>
        <v>91865296.183175683</v>
      </c>
      <c r="B8397">
        <v>259953724.53079778</v>
      </c>
    </row>
    <row r="8398" spans="1:2" x14ac:dyDescent="0.25">
      <c r="A8398">
        <f ca="1">34251.7979235953*(RANDBETWEEN(2890,3282))</f>
        <v>109948271.33474088</v>
      </c>
      <c r="B8398">
        <v>214329642.90688977</v>
      </c>
    </row>
    <row r="8399" spans="1:2" x14ac:dyDescent="0.25">
      <c r="A8399">
        <f ca="1">32780.9427122245*(RANDBETWEEN(2890,3282))</f>
        <v>101522579.57975928</v>
      </c>
      <c r="B8399">
        <v>254696127.56418055</v>
      </c>
    </row>
    <row r="8400" spans="1:2" x14ac:dyDescent="0.25">
      <c r="A8400">
        <f ca="1">39541.1257166949*(RANDBETWEEN(2890,3282))</f>
        <v>118109342.51576765</v>
      </c>
      <c r="B8400">
        <v>233028729.46426603</v>
      </c>
    </row>
    <row r="8401" spans="1:2" x14ac:dyDescent="0.25">
      <c r="A8401">
        <f ca="1">38915.1868751432*(RANDBETWEEN(2890,3282))</f>
        <v>126707848.46546625</v>
      </c>
      <c r="B8401">
        <v>233561703.85251403</v>
      </c>
    </row>
    <row r="8402" spans="1:2" x14ac:dyDescent="0.25">
      <c r="A8402">
        <f ca="1">31729.8786756692*(RANDBETWEEN(2890,3282))</f>
        <v>99885658.071006671</v>
      </c>
      <c r="B8402">
        <v>251579481.86148483</v>
      </c>
    </row>
    <row r="8403" spans="1:2" x14ac:dyDescent="0.25">
      <c r="A8403">
        <f ca="1">32227.5603422641*(RANDBETWEEN(2890,3282))</f>
        <v>93427697.432223484</v>
      </c>
      <c r="B8403">
        <v>229166855.48766473</v>
      </c>
    </row>
    <row r="8404" spans="1:2" x14ac:dyDescent="0.25">
      <c r="A8404">
        <f ca="1">30762.5455704245*(RANDBETWEEN(2890,3282))</f>
        <v>97117356.365830168</v>
      </c>
      <c r="B8404">
        <v>205807950.93964422</v>
      </c>
    </row>
    <row r="8405" spans="1:2" x14ac:dyDescent="0.25">
      <c r="A8405">
        <f ca="1">35617.2927511582*(RANDBETWEEN(2890,3282))</f>
        <v>113441077.41243871</v>
      </c>
      <c r="B8405">
        <v>220807470.94117564</v>
      </c>
    </row>
    <row r="8406" spans="1:2" x14ac:dyDescent="0.25">
      <c r="A8406">
        <f ca="1">31924.9962622288*(RANDBETWEEN(2890,3282))</f>
        <v>104298962.78870164</v>
      </c>
      <c r="B8406">
        <v>214003900.79189038</v>
      </c>
    </row>
    <row r="8407" spans="1:2" x14ac:dyDescent="0.25">
      <c r="A8407">
        <f ca="1">36125.6186847769*(RANDBETWEEN(2890,3282))</f>
        <v>114554336.84942751</v>
      </c>
      <c r="B8407">
        <v>204734891.67746836</v>
      </c>
    </row>
    <row r="8408" spans="1:2" x14ac:dyDescent="0.25">
      <c r="A8408">
        <f ca="1">39591.7928840545*(RANDBETWEEN(2890,3282))</f>
        <v>125743534.19975708</v>
      </c>
      <c r="B8408">
        <v>215975330.91685209</v>
      </c>
    </row>
    <row r="8409" spans="1:2" x14ac:dyDescent="0.25">
      <c r="A8409">
        <f ca="1">33678.0165324056*(RANDBETWEEN(2890,3282))</f>
        <v>106119430.09360996</v>
      </c>
      <c r="B8409">
        <v>238540962.75151148</v>
      </c>
    </row>
    <row r="8410" spans="1:2" x14ac:dyDescent="0.25">
      <c r="A8410">
        <f ca="1">30876.244143731*(RANDBETWEEN(2890,3282))</f>
        <v>94975326.986116648</v>
      </c>
      <c r="B8410">
        <v>208873972.48645765</v>
      </c>
    </row>
    <row r="8411" spans="1:2" x14ac:dyDescent="0.25">
      <c r="A8411">
        <f ca="1">29954.3654871262*(RANDBETWEEN(2890,3282))</f>
        <v>88814693.669329286</v>
      </c>
      <c r="B8411">
        <v>248788501.56208417</v>
      </c>
    </row>
    <row r="8412" spans="1:2" x14ac:dyDescent="0.25">
      <c r="A8412">
        <f ca="1">29460.3012098149*(RANDBETWEEN(2890,3282))</f>
        <v>87025729.773793072</v>
      </c>
      <c r="B8412">
        <v>204904432.58847773</v>
      </c>
    </row>
    <row r="8413" spans="1:2" x14ac:dyDescent="0.25">
      <c r="A8413">
        <f ca="1">35883.9942754195*(RANDBETWEEN(2890,3282))</f>
        <v>111060962.28242321</v>
      </c>
      <c r="B8413">
        <v>249673360.59692457</v>
      </c>
    </row>
    <row r="8414" spans="1:2" x14ac:dyDescent="0.25">
      <c r="A8414">
        <f ca="1">30169.1160399734*(RANDBETWEEN(2890,3282))</f>
        <v>94942208.17779626</v>
      </c>
      <c r="B8414">
        <v>212210267.2596257</v>
      </c>
    </row>
    <row r="8415" spans="1:2" x14ac:dyDescent="0.25">
      <c r="A8415">
        <f ca="1">33683.9325125287*(RANDBETWEEN(2890,3282))</f>
        <v>98289715.071558625</v>
      </c>
      <c r="B8415">
        <v>236233656.02738184</v>
      </c>
    </row>
    <row r="8416" spans="1:2" x14ac:dyDescent="0.25">
      <c r="A8416">
        <f ca="1">38190.7633408122*(RANDBETWEEN(2890,3282))</f>
        <v>113388376.35887131</v>
      </c>
      <c r="B8416">
        <v>248258355.04376686</v>
      </c>
    </row>
    <row r="8417" spans="1:2" x14ac:dyDescent="0.25">
      <c r="A8417">
        <f ca="1">36844.1742753515*(RANDBETWEEN(2890,3282))</f>
        <v>116832876.62713975</v>
      </c>
      <c r="B8417">
        <v>224469299.20054811</v>
      </c>
    </row>
    <row r="8418" spans="1:2" x14ac:dyDescent="0.25">
      <c r="A8418">
        <f ca="1">38123.2132433999*(RANDBETWEEN(2890,3282))</f>
        <v>110900427.32505037</v>
      </c>
      <c r="B8418">
        <v>228339626.67040735</v>
      </c>
    </row>
    <row r="8419" spans="1:2" x14ac:dyDescent="0.25">
      <c r="A8419">
        <f ca="1">39885.2777716715*(RANDBETWEEN(2890,3282))</f>
        <v>118180078.03746264</v>
      </c>
      <c r="B8419">
        <v>210647270.96877608</v>
      </c>
    </row>
    <row r="8420" spans="1:2" x14ac:dyDescent="0.25">
      <c r="A8420">
        <f ca="1">33309.2477486875*(RANDBETWEEN(2890,3282))</f>
        <v>101326731.65150742</v>
      </c>
      <c r="B8420">
        <v>214230118.44645238</v>
      </c>
    </row>
    <row r="8421" spans="1:2" x14ac:dyDescent="0.25">
      <c r="A8421">
        <f ca="1">32241.6553081811*(RANDBETWEEN(2890,3282))</f>
        <v>102141564.01631765</v>
      </c>
      <c r="B8421">
        <v>264725613.78560632</v>
      </c>
    </row>
    <row r="8422" spans="1:2" x14ac:dyDescent="0.25">
      <c r="A8422">
        <f ca="1">32592.2087429099*(RANDBETWEEN(2890,3282))</f>
        <v>106609114.79805812</v>
      </c>
      <c r="B8422">
        <v>266579520.02265641</v>
      </c>
    </row>
    <row r="8423" spans="1:2" x14ac:dyDescent="0.25">
      <c r="A8423">
        <f ca="1">37173.7750118304*(RANDBETWEEN(2890,3282))</f>
        <v>111372629.93544382</v>
      </c>
      <c r="B8423">
        <v>228902875.25164497</v>
      </c>
    </row>
    <row r="8424" spans="1:2" x14ac:dyDescent="0.25">
      <c r="A8424">
        <f ca="1">42469.7581977141*(RANDBETWEEN(2890,3282))</f>
        <v>130721915.73256394</v>
      </c>
      <c r="B8424">
        <v>244627833.73291245</v>
      </c>
    </row>
    <row r="8425" spans="1:2" x14ac:dyDescent="0.25">
      <c r="A8425">
        <f ca="1">31297.4753204391*(RANDBETWEEN(2890,3282))</f>
        <v>91451222.886322975</v>
      </c>
      <c r="B8425">
        <v>216623426.51654929</v>
      </c>
    </row>
    <row r="8426" spans="1:2" x14ac:dyDescent="0.25">
      <c r="A8426">
        <f ca="1">30456.905037541*(RANDBETWEEN(2890,3282))</f>
        <v>99594079.472759157</v>
      </c>
      <c r="B8426">
        <v>217748820.06087226</v>
      </c>
    </row>
    <row r="8427" spans="1:2" x14ac:dyDescent="0.25">
      <c r="A8427">
        <f ca="1">35645.5966896853*(RANDBETWEEN(2890,3282))</f>
        <v>111820236.8155428</v>
      </c>
      <c r="B8427">
        <v>252179940.86836609</v>
      </c>
    </row>
    <row r="8428" spans="1:2" x14ac:dyDescent="0.25">
      <c r="A8428">
        <f ca="1">33662.88589826*(RANDBETWEEN(2890,3282))</f>
        <v>98564929.910105154</v>
      </c>
      <c r="B8428">
        <v>222332726.29330736</v>
      </c>
    </row>
    <row r="8429" spans="1:2" x14ac:dyDescent="0.25">
      <c r="A8429">
        <f ca="1">36640.2453261735*(RANDBETWEEN(2890,3282))</f>
        <v>108162004.20286411</v>
      </c>
      <c r="B8429">
        <v>253213388.69187063</v>
      </c>
    </row>
    <row r="8430" spans="1:2" x14ac:dyDescent="0.25">
      <c r="A8430">
        <f ca="1">38192.2643800888*(RANDBETWEEN(2890,3282))</f>
        <v>125041473.58041057</v>
      </c>
      <c r="B8430">
        <v>233549477.22483724</v>
      </c>
    </row>
    <row r="8431" spans="1:2" x14ac:dyDescent="0.25">
      <c r="A8431">
        <f ca="1">42448.2544228222*(RANDBETWEEN(2890,3282))</f>
        <v>129552072.49845339</v>
      </c>
      <c r="B8431">
        <v>256531487.7860015</v>
      </c>
    </row>
    <row r="8432" spans="1:2" x14ac:dyDescent="0.25">
      <c r="A8432">
        <f ca="1">34544.2152576748*(RANDBETWEEN(2890,3282))</f>
        <v>99936414.740453184</v>
      </c>
      <c r="B8432">
        <v>258824995.90912607</v>
      </c>
    </row>
    <row r="8433" spans="1:2" x14ac:dyDescent="0.25">
      <c r="A8433">
        <f ca="1">33614.2776246339*(RANDBETWEEN(2890,3282))</f>
        <v>103162218.03000148</v>
      </c>
      <c r="B8433">
        <v>255045294.57870013</v>
      </c>
    </row>
    <row r="8434" spans="1:2" x14ac:dyDescent="0.25">
      <c r="A8434">
        <f ca="1">33313.8611813536*(RANDBETWEEN(2890,3282))</f>
        <v>99708386.515791431</v>
      </c>
      <c r="B8434">
        <v>209547805.37023762</v>
      </c>
    </row>
    <row r="8435" spans="1:2" x14ac:dyDescent="0.25">
      <c r="A8435">
        <f ca="1">30680.2083990819*(RANDBETWEEN(2890,3282))</f>
        <v>91887224.155250311</v>
      </c>
      <c r="B8435">
        <v>231213438.7711404</v>
      </c>
    </row>
    <row r="8436" spans="1:2" x14ac:dyDescent="0.25">
      <c r="A8436">
        <f ca="1">37292.0372546814*(RANDBETWEEN(2890,3282))</f>
        <v>115791775.67578587</v>
      </c>
      <c r="B8436">
        <v>259697839.9490135</v>
      </c>
    </row>
    <row r="8437" spans="1:2" x14ac:dyDescent="0.25">
      <c r="A8437">
        <f ca="1">35573.5024205379*(RANDBETWEEN(2890,3282))</f>
        <v>108321314.87053803</v>
      </c>
      <c r="B8437">
        <v>205736984.68809903</v>
      </c>
    </row>
    <row r="8438" spans="1:2" x14ac:dyDescent="0.25">
      <c r="A8438">
        <f ca="1">32424.3375144226*(RANDBETWEEN(2890,3282))</f>
        <v>99802110.869392678</v>
      </c>
      <c r="B8438">
        <v>209771432.07533932</v>
      </c>
    </row>
    <row r="8439" spans="1:2" x14ac:dyDescent="0.25">
      <c r="A8439">
        <f ca="1">39471.5625972447*(RANDBETWEEN(2890,3282))</f>
        <v>119717249.35744318</v>
      </c>
      <c r="B8439">
        <v>227933705.48833638</v>
      </c>
    </row>
    <row r="8440" spans="1:2" x14ac:dyDescent="0.25">
      <c r="A8440">
        <f ca="1">37429.5910541774*(RANDBETWEEN(2890,3282))</f>
        <v>119362965.8717718</v>
      </c>
      <c r="B8440">
        <v>219914401.54896939</v>
      </c>
    </row>
    <row r="8441" spans="1:2" x14ac:dyDescent="0.25">
      <c r="A8441">
        <f ca="1">33325.4087249862*(RANDBETWEEN(2890,3282))</f>
        <v>98843162.278309047</v>
      </c>
      <c r="B8441">
        <v>210427888.05012074</v>
      </c>
    </row>
    <row r="8442" spans="1:2" x14ac:dyDescent="0.25">
      <c r="A8442">
        <f ca="1">37455.0179392469*(RANDBETWEEN(2890,3282))</f>
        <v>109069012.23908706</v>
      </c>
      <c r="B8442">
        <v>213552563.677939</v>
      </c>
    </row>
    <row r="8443" spans="1:2" x14ac:dyDescent="0.25">
      <c r="A8443">
        <f ca="1">32109.5077395714*(RANDBETWEEN(2890,3282))</f>
        <v>93278119.983454794</v>
      </c>
      <c r="B8443">
        <v>222434068.81911582</v>
      </c>
    </row>
    <row r="8444" spans="1:2" x14ac:dyDescent="0.25">
      <c r="A8444">
        <f ca="1">31875.739910851*(RANDBETWEEN(2890,3282))</f>
        <v>101269225.69677377</v>
      </c>
      <c r="B8444">
        <v>254564437.36106038</v>
      </c>
    </row>
    <row r="8445" spans="1:2" x14ac:dyDescent="0.25">
      <c r="A8445">
        <f ca="1">33774.2767944428*(RANDBETWEEN(2890,3282))</f>
        <v>98249371.195034251</v>
      </c>
      <c r="B8445">
        <v>205737744.85944226</v>
      </c>
    </row>
    <row r="8446" spans="1:2" x14ac:dyDescent="0.25">
      <c r="A8446">
        <f ca="1">41032.4044712054*(RANDBETWEEN(2890,3282))</f>
        <v>128800717.63511369</v>
      </c>
      <c r="B8446">
        <v>232797153.19256961</v>
      </c>
    </row>
    <row r="8447" spans="1:2" x14ac:dyDescent="0.25">
      <c r="A8447">
        <f ca="1">40110.7131447471*(RANDBETWEEN(2890,3282))</f>
        <v>127191071.381993</v>
      </c>
      <c r="B8447">
        <v>221355079.32974327</v>
      </c>
    </row>
    <row r="8448" spans="1:2" x14ac:dyDescent="0.25">
      <c r="A8448">
        <f ca="1">34038.5779222094*(RANDBETWEEN(2890,3282))</f>
        <v>111135956.91601373</v>
      </c>
      <c r="B8448">
        <v>235441854.0628143</v>
      </c>
    </row>
    <row r="8449" spans="1:2" x14ac:dyDescent="0.25">
      <c r="A8449">
        <f ca="1">30813.7446654106*(RANDBETWEEN(2890,3282))</f>
        <v>99066189.099295154</v>
      </c>
      <c r="B8449">
        <v>235596714.02717167</v>
      </c>
    </row>
    <row r="8450" spans="1:2" x14ac:dyDescent="0.25">
      <c r="A8450">
        <f ca="1">29723.4511750435*(RANDBETWEEN(2890,3282))</f>
        <v>96452599.063016176</v>
      </c>
      <c r="B8450">
        <v>215354348.32107058</v>
      </c>
    </row>
    <row r="8451" spans="1:2" x14ac:dyDescent="0.25">
      <c r="A8451">
        <f ca="1">35747.516211252*(RANDBETWEEN(2890,3282))</f>
        <v>104346999.8206446</v>
      </c>
      <c r="B8451">
        <v>255375445.12487662</v>
      </c>
    </row>
    <row r="8452" spans="1:2" x14ac:dyDescent="0.25">
      <c r="A8452">
        <f ca="1">39346.9000663847*(RANDBETWEEN(2890,3282))</f>
        <v>126933099.61415693</v>
      </c>
      <c r="B8452">
        <v>235962696.54105431</v>
      </c>
    </row>
    <row r="8453" spans="1:2" x14ac:dyDescent="0.25">
      <c r="A8453">
        <f ca="1">31361.1496622209*(RANDBETWEEN(2890,3282))</f>
        <v>93801198.639702648</v>
      </c>
      <c r="B8453">
        <v>216895010.34939161</v>
      </c>
    </row>
    <row r="8454" spans="1:2" x14ac:dyDescent="0.25">
      <c r="A8454">
        <f ca="1">36496.4961018044*(RANDBETWEEN(2890,3282))</f>
        <v>119234052.76459511</v>
      </c>
      <c r="B8454">
        <v>242683245.56757578</v>
      </c>
    </row>
    <row r="8455" spans="1:2" x14ac:dyDescent="0.25">
      <c r="A8455">
        <f ca="1">38496.5295607982*(RANDBETWEEN(2890,3282))</f>
        <v>124998231.4839118</v>
      </c>
      <c r="B8455">
        <v>214430223.6134176</v>
      </c>
    </row>
    <row r="8456" spans="1:2" x14ac:dyDescent="0.25">
      <c r="A8456">
        <f ca="1">32777.9734104873*(RANDBETWEEN(2890,3282))</f>
        <v>104561735.17945459</v>
      </c>
      <c r="B8456">
        <v>229091262.21631303</v>
      </c>
    </row>
    <row r="8457" spans="1:2" x14ac:dyDescent="0.25">
      <c r="A8457">
        <f ca="1">30240.2408293449*(RANDBETWEEN(2890,3282))</f>
        <v>96315167.041463375</v>
      </c>
      <c r="B8457">
        <v>218363217.71302342</v>
      </c>
    </row>
    <row r="8458" spans="1:2" x14ac:dyDescent="0.25">
      <c r="A8458">
        <f ca="1">31669.6581123181*(RANDBETWEEN(2890,3282))</f>
        <v>100709512.79717159</v>
      </c>
      <c r="B8458">
        <v>227219671.13491908</v>
      </c>
    </row>
    <row r="8459" spans="1:2" x14ac:dyDescent="0.25">
      <c r="A8459">
        <f ca="1">30526.4220198396*(RANDBETWEEN(2890,3282))</f>
        <v>89259257.986010984</v>
      </c>
      <c r="B8459">
        <v>214289697.83730155</v>
      </c>
    </row>
    <row r="8460" spans="1:2" x14ac:dyDescent="0.25">
      <c r="A8460">
        <f ca="1">36291.7682743753*(RANDBETWEEN(2890,3282))</f>
        <v>110544726.16374718</v>
      </c>
      <c r="B8460">
        <v>228375648.00413632</v>
      </c>
    </row>
    <row r="8461" spans="1:2" x14ac:dyDescent="0.25">
      <c r="A8461">
        <f ca="1">32836.7184124693*(RANDBETWEEN(2890,3282))</f>
        <v>102910275.50467891</v>
      </c>
      <c r="B8461">
        <v>205203341.0436177</v>
      </c>
    </row>
    <row r="8462" spans="1:2" x14ac:dyDescent="0.25">
      <c r="A8462">
        <f ca="1">38739.7083040444*(RANDBETWEEN(2890,3282))</f>
        <v>119473260.40967287</v>
      </c>
      <c r="B8462">
        <v>238154618.55077845</v>
      </c>
    </row>
    <row r="8463" spans="1:2" x14ac:dyDescent="0.25">
      <c r="A8463">
        <f ca="1">30780.177077308*(RANDBETWEEN(2890,3282))</f>
        <v>99512312.490936801</v>
      </c>
      <c r="B8463">
        <v>208626748.90393618</v>
      </c>
    </row>
    <row r="8464" spans="1:2" x14ac:dyDescent="0.25">
      <c r="A8464">
        <f ca="1">32353.7462455386*(RANDBETWEEN(2890,3282))</f>
        <v>95378843.931847677</v>
      </c>
      <c r="B8464">
        <v>260696377.80035603</v>
      </c>
    </row>
    <row r="8465" spans="1:2" x14ac:dyDescent="0.25">
      <c r="A8465">
        <f ca="1">37178.1084716892*(RANDBETWEEN(2890,3282))</f>
        <v>117743069.52983958</v>
      </c>
      <c r="B8465">
        <v>230760204.4806549</v>
      </c>
    </row>
    <row r="8466" spans="1:2" x14ac:dyDescent="0.25">
      <c r="A8466">
        <f ca="1">30058.6706611535*(RANDBETWEEN(2890,3282))</f>
        <v>90807244.067344621</v>
      </c>
      <c r="B8466">
        <v>254467901.52927822</v>
      </c>
    </row>
    <row r="8467" spans="1:2" x14ac:dyDescent="0.25">
      <c r="A8467">
        <f ca="1">40525.8049835387*(RANDBETWEEN(2890,3282))</f>
        <v>121334260.1207149</v>
      </c>
      <c r="B8467">
        <v>242281214.57821566</v>
      </c>
    </row>
    <row r="8468" spans="1:2" x14ac:dyDescent="0.25">
      <c r="A8468">
        <f ca="1">31512.1812640504*(RANDBETWEEN(2890,3282))</f>
        <v>100965028.77001737</v>
      </c>
      <c r="B8468">
        <v>236321303.33689004</v>
      </c>
    </row>
    <row r="8469" spans="1:2" x14ac:dyDescent="0.25">
      <c r="A8469">
        <f ca="1">28551.3529552889*(RANDBETWEEN(2890,3282))</f>
        <v>85882469.689508915</v>
      </c>
      <c r="B8469">
        <v>258046021.25537515</v>
      </c>
    </row>
    <row r="8470" spans="1:2" x14ac:dyDescent="0.25">
      <c r="A8470">
        <f ca="1">32618.3886142918*(RANDBETWEEN(2890,3282))</f>
        <v>106629512.38011974</v>
      </c>
      <c r="B8470">
        <v>257297273.11801895</v>
      </c>
    </row>
    <row r="8471" spans="1:2" x14ac:dyDescent="0.25">
      <c r="A8471">
        <f ca="1">42479.7789458663*(RANDBETWEEN(2890,3282))</f>
        <v>138569038.92141578</v>
      </c>
      <c r="B8471">
        <v>258147133.6584672</v>
      </c>
    </row>
    <row r="8472" spans="1:2" x14ac:dyDescent="0.25">
      <c r="A8472">
        <f ca="1">31771.5207992192*(RANDBETWEEN(2890,3282))</f>
        <v>103988187.57584435</v>
      </c>
      <c r="B8472">
        <v>221286017.17492977</v>
      </c>
    </row>
    <row r="8473" spans="1:2" x14ac:dyDescent="0.25">
      <c r="A8473">
        <f ca="1">29885.712372508*(RANDBETWEEN(2890,3282))</f>
        <v>90493937.063954175</v>
      </c>
      <c r="B8473">
        <v>238621493.42277887</v>
      </c>
    </row>
    <row r="8474" spans="1:2" x14ac:dyDescent="0.25">
      <c r="A8474">
        <f ca="1">31253.0819296373*(RANDBETWEEN(2890,3282))</f>
        <v>97259590.965031281</v>
      </c>
      <c r="B8474">
        <v>263311026.01682949</v>
      </c>
    </row>
    <row r="8475" spans="1:2" x14ac:dyDescent="0.25">
      <c r="A8475">
        <f ca="1">32080.637357068*(RANDBETWEEN(2890,3282))</f>
        <v>102144749.34490456</v>
      </c>
      <c r="B8475">
        <v>235214993.4470976</v>
      </c>
    </row>
    <row r="8476" spans="1:2" x14ac:dyDescent="0.25">
      <c r="A8476">
        <f ca="1">33061.6808568848*(RANDBETWEEN(2890,3282))</f>
        <v>102292840.57120159</v>
      </c>
      <c r="B8476">
        <v>263733647.01118392</v>
      </c>
    </row>
    <row r="8477" spans="1:2" x14ac:dyDescent="0.25">
      <c r="A8477">
        <f ca="1">34156.7207103865*(RANDBETWEEN(2890,3282))</f>
        <v>103836430.95957488</v>
      </c>
      <c r="B8477">
        <v>245137654.04638624</v>
      </c>
    </row>
    <row r="8478" spans="1:2" x14ac:dyDescent="0.25">
      <c r="A8478">
        <f ca="1">39353.6198949052*(RANDBETWEEN(2890,3282))</f>
        <v>120894320.3171488</v>
      </c>
      <c r="B8478">
        <v>215955768.9303658</v>
      </c>
    </row>
    <row r="8479" spans="1:2" x14ac:dyDescent="0.25">
      <c r="A8479">
        <f ca="1">41426.294635778*(RANDBETWEEN(2890,3282))</f>
        <v>122953242.47898924</v>
      </c>
      <c r="B8479">
        <v>262061916.60870633</v>
      </c>
    </row>
    <row r="8480" spans="1:2" x14ac:dyDescent="0.25">
      <c r="A8480">
        <f ca="1">33678.7811877695*(RANDBETWEEN(2890,3282))</f>
        <v>104134791.43258342</v>
      </c>
      <c r="B8480">
        <v>217005865.16467911</v>
      </c>
    </row>
    <row r="8481" spans="1:2" x14ac:dyDescent="0.25">
      <c r="A8481">
        <f ca="1">37416.0309644347*(RANDBETWEEN(2890,3282))</f>
        <v>121789180.789235</v>
      </c>
      <c r="B8481">
        <v>207932272.299137</v>
      </c>
    </row>
    <row r="8482" spans="1:2" x14ac:dyDescent="0.25">
      <c r="A8482">
        <f ca="1">30471.2850353304*(RANDBETWEEN(2890,3282))</f>
        <v>95618892.440866739</v>
      </c>
      <c r="B8482">
        <v>243614255.45627996</v>
      </c>
    </row>
    <row r="8483" spans="1:2" x14ac:dyDescent="0.25">
      <c r="A8483">
        <f ca="1">35997.9223191549*(RANDBETWEEN(2890,3282))</f>
        <v>114365399.20795515</v>
      </c>
      <c r="B8483">
        <v>238713435.7844474</v>
      </c>
    </row>
    <row r="8484" spans="1:2" x14ac:dyDescent="0.25">
      <c r="A8484">
        <f ca="1">29801.5875986909*(RANDBETWEEN(2890,3282))</f>
        <v>89047143.744888693</v>
      </c>
      <c r="B8484">
        <v>214191623.14269191</v>
      </c>
    </row>
    <row r="8485" spans="1:2" x14ac:dyDescent="0.25">
      <c r="A8485">
        <f ca="1">33585.5928338952*(RANDBETWEEN(2890,3282))</f>
        <v>100924706.46585514</v>
      </c>
      <c r="B8485">
        <v>253300554.87053648</v>
      </c>
    </row>
    <row r="8486" spans="1:2" x14ac:dyDescent="0.25">
      <c r="A8486">
        <f ca="1">33829.205958666*(RANDBETWEEN(2890,3282))</f>
        <v>109268335.24649104</v>
      </c>
      <c r="B8486">
        <v>228101964.48978931</v>
      </c>
    </row>
    <row r="8487" spans="1:2" x14ac:dyDescent="0.25">
      <c r="A8487">
        <f ca="1">29223.8006484652*(RANDBETWEEN(2890,3282))</f>
        <v>94743561.702324301</v>
      </c>
      <c r="B8487">
        <v>203769692.01933178</v>
      </c>
    </row>
    <row r="8488" spans="1:2" x14ac:dyDescent="0.25">
      <c r="A8488">
        <f ca="1">33999.6649286614*(RANDBETWEEN(2890,3282))</f>
        <v>105500960.2736363</v>
      </c>
      <c r="B8488">
        <v>239194453.02789953</v>
      </c>
    </row>
    <row r="8489" spans="1:2" x14ac:dyDescent="0.25">
      <c r="A8489">
        <f ca="1">33403.0666663879*(RANDBETWEEN(2890,3282))</f>
        <v>101411710.39915374</v>
      </c>
      <c r="B8489">
        <v>243825177.5926618</v>
      </c>
    </row>
    <row r="8490" spans="1:2" x14ac:dyDescent="0.25">
      <c r="A8490">
        <f ca="1">36953.5976762307*(RANDBETWEEN(2890,3282))</f>
        <v>109899999.48910996</v>
      </c>
      <c r="B8490">
        <v>229566482.00528377</v>
      </c>
    </row>
    <row r="8491" spans="1:2" x14ac:dyDescent="0.25">
      <c r="A8491">
        <f ca="1">32742.7829219234*(RANDBETWEEN(2890,3282))</f>
        <v>105300789.87690561</v>
      </c>
      <c r="B8491">
        <v>264724635.90070152</v>
      </c>
    </row>
    <row r="8492" spans="1:2" x14ac:dyDescent="0.25">
      <c r="A8492">
        <f ca="1">29861.4760667353*(RANDBETWEEN(2890,3282))</f>
        <v>96512290.647688478</v>
      </c>
      <c r="B8492">
        <v>220384564.69716901</v>
      </c>
    </row>
    <row r="8493" spans="1:2" x14ac:dyDescent="0.25">
      <c r="A8493">
        <f ca="1">30226.8341065485*(RANDBETWEEN(2890,3282))</f>
        <v>90317780.310366869</v>
      </c>
      <c r="B8493">
        <v>259536178.71026838</v>
      </c>
    </row>
    <row r="8494" spans="1:2" x14ac:dyDescent="0.25">
      <c r="A8494">
        <f ca="1">29710.5973648281*(RANDBETWEEN(2890,3282))</f>
        <v>93915198.270221472</v>
      </c>
      <c r="B8494">
        <v>248562464.61696839</v>
      </c>
    </row>
    <row r="8495" spans="1:2" x14ac:dyDescent="0.25">
      <c r="A8495">
        <f ca="1">33050.4042041762*(RANDBETWEEN(2890,3282))</f>
        <v>100043573.52604145</v>
      </c>
      <c r="B8495">
        <v>213140124.86837798</v>
      </c>
    </row>
    <row r="8496" spans="1:2" x14ac:dyDescent="0.25">
      <c r="A8496">
        <f ca="1">35925.0617562407*(RANDBETWEEN(2890,3282))</f>
        <v>112696918.72932716</v>
      </c>
      <c r="B8496">
        <v>227593552.99200895</v>
      </c>
    </row>
    <row r="8497" spans="1:2" x14ac:dyDescent="0.25">
      <c r="A8497">
        <f ca="1">32157.5085599743*(RANDBETWEEN(2890,3282))</f>
        <v>101424781.99815884</v>
      </c>
      <c r="B8497">
        <v>267357123.32077268</v>
      </c>
    </row>
    <row r="8498" spans="1:2" x14ac:dyDescent="0.25">
      <c r="A8498">
        <f ca="1">30899.4126840086*(RANDBETWEEN(2890,3282))</f>
        <v>97394948.779995099</v>
      </c>
      <c r="B8498">
        <v>240346284.03005177</v>
      </c>
    </row>
    <row r="8499" spans="1:2" x14ac:dyDescent="0.25">
      <c r="A8499">
        <f ca="1">32267.7363448687*(RANDBETWEEN(2890,3282))</f>
        <v>103934378.76682195</v>
      </c>
      <c r="B8499">
        <v>239200840.16051707</v>
      </c>
    </row>
    <row r="8500" spans="1:2" x14ac:dyDescent="0.25">
      <c r="A8500">
        <f ca="1">31111.8110143053*(RANDBETWEEN(2890,3282))</f>
        <v>92744308.633644134</v>
      </c>
      <c r="B8500">
        <v>211625006.75074917</v>
      </c>
    </row>
    <row r="8501" spans="1:2" x14ac:dyDescent="0.25">
      <c r="A8501">
        <f ca="1">35432.651538262*(RANDBETWEEN(2890,3282))</f>
        <v>108565644.31323466</v>
      </c>
      <c r="B8501">
        <v>244435074.82082969</v>
      </c>
    </row>
    <row r="8502" spans="1:2" x14ac:dyDescent="0.25">
      <c r="A8502">
        <f ca="1">29141.1961374485*(RANDBETWEEN(2890,3282))</f>
        <v>93951216.34713383</v>
      </c>
      <c r="B8502">
        <v>213319041.91639745</v>
      </c>
    </row>
    <row r="8503" spans="1:2" x14ac:dyDescent="0.25">
      <c r="A8503">
        <f ca="1">30490.1704112202*(RANDBETWEEN(2890,3282))</f>
        <v>88665415.555828437</v>
      </c>
      <c r="B8503">
        <v>237032334.81766397</v>
      </c>
    </row>
    <row r="8504" spans="1:2" x14ac:dyDescent="0.25">
      <c r="A8504">
        <f ca="1">32475.8255783965*(RANDBETWEEN(2890,3282))</f>
        <v>96323298.665523961</v>
      </c>
      <c r="B8504">
        <v>221412654.61111972</v>
      </c>
    </row>
    <row r="8505" spans="1:2" x14ac:dyDescent="0.25">
      <c r="A8505">
        <f ca="1">34164.9579619435*(RANDBETWEEN(2890,3282))</f>
        <v>99044213.131674081</v>
      </c>
      <c r="B8505">
        <v>247387961.78416449</v>
      </c>
    </row>
    <row r="8506" spans="1:2" x14ac:dyDescent="0.25">
      <c r="A8506">
        <f ca="1">32432.207792196*(RANDBETWEEN(2890,3282))</f>
        <v>95415555.324640751</v>
      </c>
      <c r="B8506">
        <v>233806202.01133186</v>
      </c>
    </row>
    <row r="8507" spans="1:2" x14ac:dyDescent="0.25">
      <c r="A8507">
        <f ca="1">38391.432364202*(RANDBETWEEN(2890,3282))</f>
        <v>117554565.89918651</v>
      </c>
      <c r="B8507">
        <v>237573141.9113071</v>
      </c>
    </row>
    <row r="8508" spans="1:2" x14ac:dyDescent="0.25">
      <c r="A8508">
        <f ca="1">29737.9424876578*(RANDBETWEEN(2890,3282))</f>
        <v>88410903.01580663</v>
      </c>
      <c r="B8508">
        <v>264660042.82612053</v>
      </c>
    </row>
    <row r="8509" spans="1:2" x14ac:dyDescent="0.25">
      <c r="A8509">
        <f ca="1">32077.2776044947*(RANDBETWEEN(2890,3282))</f>
        <v>94435505.267632306</v>
      </c>
      <c r="B8509">
        <v>250567782.69947204</v>
      </c>
    </row>
    <row r="8510" spans="1:2" x14ac:dyDescent="0.25">
      <c r="A8510">
        <f ca="1">30337.9006904143*(RANDBETWEEN(2890,3282))</f>
        <v>94805939.657544568</v>
      </c>
      <c r="B8510">
        <v>257365510.03189564</v>
      </c>
    </row>
    <row r="8511" spans="1:2" x14ac:dyDescent="0.25">
      <c r="A8511">
        <f ca="1">39456.2532982465*(RANDBETWEEN(2890,3282))</f>
        <v>122551122.74435356</v>
      </c>
      <c r="B8511">
        <v>233981436.9188945</v>
      </c>
    </row>
    <row r="8512" spans="1:2" x14ac:dyDescent="0.25">
      <c r="A8512">
        <f ca="1">32267.8706298397*(RANDBETWEEN(2890,3282))</f>
        <v>105870883.53650403</v>
      </c>
      <c r="B8512">
        <v>248983391.15833899</v>
      </c>
    </row>
    <row r="8513" spans="1:2" x14ac:dyDescent="0.25">
      <c r="A8513">
        <f ca="1">30727.7358461858*(RANDBETWEEN(2890,3282))</f>
        <v>99988052.443488717</v>
      </c>
      <c r="B8513">
        <v>232925974.11015815</v>
      </c>
    </row>
    <row r="8514" spans="1:2" x14ac:dyDescent="0.25">
      <c r="A8514">
        <f ca="1">36603.6329349703*(RANDBETWEEN(2890,3282))</f>
        <v>105784499.18206418</v>
      </c>
      <c r="B8514">
        <v>211698756.96342289</v>
      </c>
    </row>
    <row r="8515" spans="1:2" x14ac:dyDescent="0.25">
      <c r="A8515">
        <f ca="1">30283.8569171617*(RANDBETWEEN(2890,3282))</f>
        <v>95303297.718307734</v>
      </c>
      <c r="B8515">
        <v>254877754.00541735</v>
      </c>
    </row>
    <row r="8516" spans="1:2" x14ac:dyDescent="0.25">
      <c r="A8516">
        <f ca="1">40718.9735584435*(RANDBETWEEN(2890,3282))</f>
        <v>117759271.53101847</v>
      </c>
      <c r="B8516">
        <v>267902307.93505713</v>
      </c>
    </row>
    <row r="8517" spans="1:2" x14ac:dyDescent="0.25">
      <c r="A8517">
        <f ca="1">39367.137194716*(RANDBETWEEN(2890,3282))</f>
        <v>125581167.65114412</v>
      </c>
      <c r="B8517">
        <v>262324180.88395804</v>
      </c>
    </row>
    <row r="8518" spans="1:2" x14ac:dyDescent="0.25">
      <c r="A8518">
        <f ca="1">29929.4594077437*(RANDBETWEEN(2890,3282))</f>
        <v>98198556.316806957</v>
      </c>
      <c r="B8518">
        <v>241360670.81674412</v>
      </c>
    </row>
    <row r="8519" spans="1:2" x14ac:dyDescent="0.25">
      <c r="A8519">
        <f ca="1">33917.858229298*(RANDBETWEEN(2890,3282))</f>
        <v>99514996.044760451</v>
      </c>
      <c r="B8519">
        <v>222617404.26679108</v>
      </c>
    </row>
    <row r="8520" spans="1:2" x14ac:dyDescent="0.25">
      <c r="A8520">
        <f ca="1">36952.4810981741*(RANDBETWEEN(2890,3282))</f>
        <v>108455532.02314089</v>
      </c>
      <c r="B8520">
        <v>243708664.03267765</v>
      </c>
    </row>
    <row r="8521" spans="1:2" x14ac:dyDescent="0.25">
      <c r="A8521">
        <f ca="1">39214.1861351222*(RANDBETWEEN(2890,3282))</f>
        <v>123485472.13949975</v>
      </c>
      <c r="B8521">
        <v>215834538.41278341</v>
      </c>
    </row>
    <row r="8522" spans="1:2" x14ac:dyDescent="0.25">
      <c r="A8522">
        <f ca="1">37146.1631643649*(RANDBETWEEN(2890,3282))</f>
        <v>119127745.26811826</v>
      </c>
      <c r="B8522">
        <v>256153345.61909649</v>
      </c>
    </row>
    <row r="8523" spans="1:2" x14ac:dyDescent="0.25">
      <c r="A8523">
        <f ca="1">31721.7312035115*(RANDBETWEEN(2890,3282))</f>
        <v>103825226.22909324</v>
      </c>
      <c r="B8523">
        <v>206129409.75162894</v>
      </c>
    </row>
    <row r="8524" spans="1:2" x14ac:dyDescent="0.25">
      <c r="A8524">
        <f ca="1">31721.0731861847*(RANDBETWEEN(2890,3282))</f>
        <v>96210014.973698318</v>
      </c>
      <c r="B8524">
        <v>255395497.20295706</v>
      </c>
    </row>
    <row r="8525" spans="1:2" x14ac:dyDescent="0.25">
      <c r="A8525">
        <f ca="1">30491.1452110324*(RANDBETWEEN(2890,3282))</f>
        <v>91686873.649574488</v>
      </c>
      <c r="B8525">
        <v>234405418.89658558</v>
      </c>
    </row>
    <row r="8526" spans="1:2" x14ac:dyDescent="0.25">
      <c r="A8526">
        <f ca="1">31808.7182405486*(RANDBETWEEN(2890,3282))</f>
        <v>93390396.754250601</v>
      </c>
      <c r="B8526">
        <v>264941112.42992321</v>
      </c>
    </row>
    <row r="8527" spans="1:2" x14ac:dyDescent="0.25">
      <c r="A8527">
        <f ca="1">37115.5662066487*(RANDBETWEEN(2890,3282))</f>
        <v>116208837.79301716</v>
      </c>
      <c r="B8527">
        <v>240703374.18426353</v>
      </c>
    </row>
    <row r="8528" spans="1:2" x14ac:dyDescent="0.25">
      <c r="A8528">
        <f ca="1">36960.4618977252*(RANDBETWEEN(2890,3282))</f>
        <v>114023024.95448212</v>
      </c>
      <c r="B8528">
        <v>210096577.91826892</v>
      </c>
    </row>
    <row r="8529" spans="1:2" x14ac:dyDescent="0.25">
      <c r="A8529">
        <f ca="1">38386.6708198263*(RANDBETWEEN(2890,3282))</f>
        <v>112242625.477172</v>
      </c>
      <c r="B8529">
        <v>245477784.67138934</v>
      </c>
    </row>
    <row r="8530" spans="1:2" x14ac:dyDescent="0.25">
      <c r="A8530">
        <f ca="1">32365.8667698773*(RANDBETWEEN(2890,3282))</f>
        <v>97583088.31118004</v>
      </c>
      <c r="B8530">
        <v>210688290.66410461</v>
      </c>
    </row>
    <row r="8531" spans="1:2" x14ac:dyDescent="0.25">
      <c r="A8531">
        <f ca="1">31263.1282596373*(RANDBETWEEN(2890,3282))</f>
        <v>92601385.905045778</v>
      </c>
      <c r="B8531">
        <v>218248266.11947724</v>
      </c>
    </row>
    <row r="8532" spans="1:2" x14ac:dyDescent="0.25">
      <c r="A8532">
        <f ca="1">30953.9926951903*(RANDBETWEEN(2890,3282))</f>
        <v>100290936.33241659</v>
      </c>
      <c r="B8532">
        <v>258173453.11170989</v>
      </c>
    </row>
    <row r="8533" spans="1:2" x14ac:dyDescent="0.25">
      <c r="A8533">
        <f ca="1">34049.6792494895*(RANDBETWEEN(2890,3282))</f>
        <v>107222439.9566424</v>
      </c>
      <c r="B8533">
        <v>255449970.72105575</v>
      </c>
    </row>
    <row r="8534" spans="1:2" x14ac:dyDescent="0.25">
      <c r="A8534">
        <f ca="1">36789.9141753163*(RANDBETWEEN(2890,3282))</f>
        <v>110075423.2125465</v>
      </c>
      <c r="B8534">
        <v>237368798.72543997</v>
      </c>
    </row>
    <row r="8535" spans="1:2" x14ac:dyDescent="0.25">
      <c r="A8535">
        <f ca="1">36634.8087290497*(RANDBETWEEN(2890,3282))</f>
        <v>106314214.93170235</v>
      </c>
      <c r="B8535">
        <v>251846443.51499802</v>
      </c>
    </row>
    <row r="8536" spans="1:2" x14ac:dyDescent="0.25">
      <c r="A8536">
        <f ca="1">30316.8395283676*(RANDBETWEEN(2890,3282))</f>
        <v>93466816.265957206</v>
      </c>
      <c r="B8536">
        <v>252670445.55568498</v>
      </c>
    </row>
    <row r="8537" spans="1:2" x14ac:dyDescent="0.25">
      <c r="A8537">
        <f ca="1">39398.1331503702*(RANDBETWEEN(2890,3282))</f>
        <v>118470186.3831632</v>
      </c>
      <c r="B8537">
        <v>263300839.29295945</v>
      </c>
    </row>
    <row r="8538" spans="1:2" x14ac:dyDescent="0.25">
      <c r="A8538">
        <f ca="1">34037.485145051*(RANDBETWEEN(2890,3282))</f>
        <v>105107754.12791736</v>
      </c>
      <c r="B8538">
        <v>208790463.78830612</v>
      </c>
    </row>
    <row r="8539" spans="1:2" x14ac:dyDescent="0.25">
      <c r="A8539">
        <f ca="1">32197.9053815068*(RANDBETWEEN(2890,3282))</f>
        <v>104836379.9221863</v>
      </c>
      <c r="B8539">
        <v>255096960.16334295</v>
      </c>
    </row>
    <row r="8540" spans="1:2" x14ac:dyDescent="0.25">
      <c r="A8540">
        <f ca="1">33848.9918601496*(RANDBETWEEN(2890,3282))</f>
        <v>101242334.65370741</v>
      </c>
      <c r="B8540">
        <v>244366432.59781983</v>
      </c>
    </row>
    <row r="8541" spans="1:2" x14ac:dyDescent="0.25">
      <c r="A8541">
        <f ca="1">30744.4829734155*(RANDBETWEEN(2890,3282))</f>
        <v>99120213.106291682</v>
      </c>
      <c r="B8541">
        <v>229186904.43238601</v>
      </c>
    </row>
    <row r="8542" spans="1:2" x14ac:dyDescent="0.25">
      <c r="A8542">
        <f ca="1">37444.9797893607*(RANDBETWEEN(2890,3282))</f>
        <v>110649915.27756098</v>
      </c>
      <c r="B8542">
        <v>209374785.07481796</v>
      </c>
    </row>
    <row r="8543" spans="1:2" x14ac:dyDescent="0.25">
      <c r="A8543">
        <f ca="1">32968.4925551669*(RANDBETWEEN(2890,3282))</f>
        <v>104477152.90732405</v>
      </c>
      <c r="B8543">
        <v>248483686.12377608</v>
      </c>
    </row>
    <row r="8544" spans="1:2" x14ac:dyDescent="0.25">
      <c r="A8544">
        <f ca="1">33223.312279751*(RANDBETWEEN(2890,3282))</f>
        <v>107876094.97235136</v>
      </c>
      <c r="B8544">
        <v>263997630.6556749</v>
      </c>
    </row>
    <row r="8545" spans="1:2" x14ac:dyDescent="0.25">
      <c r="A8545">
        <f ca="1">29351.2538764872*(RANDBETWEEN(2890,3282))</f>
        <v>93571797.35824132</v>
      </c>
      <c r="B8545">
        <v>263631331.73707396</v>
      </c>
    </row>
    <row r="8546" spans="1:2" x14ac:dyDescent="0.25">
      <c r="A8546">
        <f ca="1">37219.6799731369*(RANDBETWEEN(2890,3282))</f>
        <v>111324062.79965252</v>
      </c>
      <c r="B8546">
        <v>228716637.40344879</v>
      </c>
    </row>
    <row r="8547" spans="1:2" x14ac:dyDescent="0.25">
      <c r="A8547">
        <f ca="1">37866.5984356265*(RANDBETWEEN(2890,3282))</f>
        <v>116591256.58329412</v>
      </c>
      <c r="B8547">
        <v>210735578.59964389</v>
      </c>
    </row>
    <row r="8548" spans="1:2" x14ac:dyDescent="0.25">
      <c r="A8548">
        <f ca="1">31338.7228253315*(RANDBETWEEN(2890,3282))</f>
        <v>91446393.204317227</v>
      </c>
      <c r="B8548">
        <v>211298307.40002587</v>
      </c>
    </row>
    <row r="8549" spans="1:2" x14ac:dyDescent="0.25">
      <c r="A8549">
        <f ca="1">31629.6118304423*(RANDBETWEEN(2890,3282))</f>
        <v>94098095.195565879</v>
      </c>
      <c r="B8549">
        <v>238767143.21745807</v>
      </c>
    </row>
    <row r="8550" spans="1:2" x14ac:dyDescent="0.25">
      <c r="A8550">
        <f ca="1">35921.0084643169*(RANDBETWEEN(2890,3282))</f>
        <v>108768813.62995152</v>
      </c>
      <c r="B8550">
        <v>257946550.42812672</v>
      </c>
    </row>
    <row r="8551" spans="1:2" x14ac:dyDescent="0.25">
      <c r="A8551">
        <f ca="1">39005.1938912772*(RANDBETWEEN(2890,3282))</f>
        <v>116586524.54102756</v>
      </c>
      <c r="B8551">
        <v>265483958.6993309</v>
      </c>
    </row>
    <row r="8552" spans="1:2" x14ac:dyDescent="0.25">
      <c r="A8552">
        <f ca="1">33288.661454446*(RANDBETWEEN(2890,3282))</f>
        <v>100565046.25388144</v>
      </c>
      <c r="B8552">
        <v>249724423.56923816</v>
      </c>
    </row>
    <row r="8553" spans="1:2" x14ac:dyDescent="0.25">
      <c r="A8553">
        <f ca="1">32778.1646239904*(RANDBETWEEN(2890,3282))</f>
        <v>107414045.4728165</v>
      </c>
      <c r="B8553">
        <v>218473342.94705606</v>
      </c>
    </row>
    <row r="8554" spans="1:2" x14ac:dyDescent="0.25">
      <c r="A8554">
        <f ca="1">41920.1982812191*(RANDBETWEEN(2890,3282))</f>
        <v>127856604.75771827</v>
      </c>
      <c r="B8554">
        <v>204887967.05514541</v>
      </c>
    </row>
    <row r="8555" spans="1:2" x14ac:dyDescent="0.25">
      <c r="A8555">
        <f ca="1">36008.3879850918*(RANDBETWEEN(2890,3282))</f>
        <v>106044702.61609523</v>
      </c>
      <c r="B8555">
        <v>232240037.91362083</v>
      </c>
    </row>
    <row r="8556" spans="1:2" x14ac:dyDescent="0.25">
      <c r="A8556">
        <f ca="1">31968.852733421*(RANDBETWEEN(2890,3282))</f>
        <v>99167381.179071918</v>
      </c>
      <c r="B8556">
        <v>267202438.61428767</v>
      </c>
    </row>
    <row r="8557" spans="1:2" x14ac:dyDescent="0.25">
      <c r="A8557">
        <f ca="1">35467.4263234785*(RANDBETWEEN(2890,3282))</f>
        <v>112750948.28233816</v>
      </c>
      <c r="B8557">
        <v>240176991.36887127</v>
      </c>
    </row>
    <row r="8558" spans="1:2" x14ac:dyDescent="0.25">
      <c r="A8558">
        <f ca="1">35361.0357292477*(RANDBETWEEN(2890,3282))</f>
        <v>109407044.54629254</v>
      </c>
      <c r="B8558">
        <v>239898880.69413596</v>
      </c>
    </row>
    <row r="8559" spans="1:2" x14ac:dyDescent="0.25">
      <c r="A8559">
        <f ca="1">31761.6728092069*(RANDBETWEEN(2890,3282))</f>
        <v>94554499.95300898</v>
      </c>
      <c r="B8559">
        <v>244303485.69237462</v>
      </c>
    </row>
    <row r="8560" spans="1:2" x14ac:dyDescent="0.25">
      <c r="A8560">
        <f ca="1">36970.1037694124*(RANDBETWEEN(2890,3282))</f>
        <v>115124903.13795027</v>
      </c>
      <c r="B8560">
        <v>214199762.28900325</v>
      </c>
    </row>
    <row r="8561" spans="1:2" x14ac:dyDescent="0.25">
      <c r="A8561">
        <f ca="1">31442.6244823958*(RANDBETWEEN(2890,3282))</f>
        <v>95962889.920272008</v>
      </c>
      <c r="B8561">
        <v>215237046.43952507</v>
      </c>
    </row>
    <row r="8562" spans="1:2" x14ac:dyDescent="0.25">
      <c r="A8562">
        <f ca="1">31228.8648402852*(RANDBETWEEN(2890,3282))</f>
        <v>98339695.38205798</v>
      </c>
      <c r="B8562">
        <v>240504606.16923934</v>
      </c>
    </row>
    <row r="8563" spans="1:2" x14ac:dyDescent="0.25">
      <c r="A8563">
        <f ca="1">34375.9771734623*(RANDBETWEEN(2890,3282))</f>
        <v>106565529.23773304</v>
      </c>
      <c r="B8563">
        <v>239104416.68372196</v>
      </c>
    </row>
    <row r="8564" spans="1:2" x14ac:dyDescent="0.25">
      <c r="A8564">
        <f ca="1">40250.4528497329*(RANDBETWEEN(2890,3282))</f>
        <v>116887315.07562435</v>
      </c>
      <c r="B8564">
        <v>205447821.62409949</v>
      </c>
    </row>
    <row r="8565" spans="1:2" x14ac:dyDescent="0.25">
      <c r="A8565">
        <f ca="1">29964.8351016353*(RANDBETWEEN(2890,3282))</f>
        <v>93460320.682000428</v>
      </c>
      <c r="B8565">
        <v>240811169.55439252</v>
      </c>
    </row>
    <row r="8566" spans="1:2" x14ac:dyDescent="0.25">
      <c r="A8566">
        <f ca="1">33824.1610059778*(RANDBETWEEN(2890,3282))</f>
        <v>102419559.52610074</v>
      </c>
      <c r="B8566">
        <v>245026034.26181379</v>
      </c>
    </row>
    <row r="8567" spans="1:2" x14ac:dyDescent="0.25">
      <c r="A8567">
        <f ca="1">31785.5311263418*(RANDBETWEEN(2890,3282))</f>
        <v>93068035.137928799</v>
      </c>
      <c r="B8567">
        <v>216627347.65569323</v>
      </c>
    </row>
    <row r="8568" spans="1:2" x14ac:dyDescent="0.25">
      <c r="A8568">
        <f ca="1">38064.5162050996*(RANDBETWEEN(2890,3282))</f>
        <v>114802580.8745805</v>
      </c>
      <c r="B8568">
        <v>264537715.91224664</v>
      </c>
    </row>
    <row r="8569" spans="1:2" x14ac:dyDescent="0.25">
      <c r="A8569">
        <f ca="1">31731.5051694482*(RANDBETWEEN(2890,3282))</f>
        <v>95194515.508344471</v>
      </c>
      <c r="B8569">
        <v>217157437.76107883</v>
      </c>
    </row>
    <row r="8570" spans="1:2" x14ac:dyDescent="0.25">
      <c r="A8570">
        <f ca="1">35823.2832340706*(RANDBETWEEN(2890,3282))</f>
        <v>114634506.34902583</v>
      </c>
      <c r="B8570">
        <v>259588571.08806995</v>
      </c>
    </row>
    <row r="8571" spans="1:2" x14ac:dyDescent="0.25">
      <c r="A8571">
        <f ca="1">30459.9527882466*(RANDBETWEEN(2890,3282))</f>
        <v>96710350.102683023</v>
      </c>
      <c r="B8571">
        <v>261041564.98829797</v>
      </c>
    </row>
    <row r="8572" spans="1:2" x14ac:dyDescent="0.25">
      <c r="A8572">
        <f ca="1">30523.6996389216*(RANDBETWEEN(2890,3282))</f>
        <v>92028954.411348596</v>
      </c>
      <c r="B8572">
        <v>255047594.19855472</v>
      </c>
    </row>
    <row r="8573" spans="1:2" x14ac:dyDescent="0.25">
      <c r="A8573">
        <f ca="1">30354.8703794606*(RANDBETWEEN(2890,3282))</f>
        <v>91580643.934832692</v>
      </c>
      <c r="B8573">
        <v>215545166.87581486</v>
      </c>
    </row>
    <row r="8574" spans="1:2" x14ac:dyDescent="0.25">
      <c r="A8574">
        <f ca="1">32340.6361745365*(RANDBETWEEN(2890,3282))</f>
        <v>98347874.606765464</v>
      </c>
      <c r="B8574">
        <v>225213755.43449837</v>
      </c>
    </row>
    <row r="8575" spans="1:2" x14ac:dyDescent="0.25">
      <c r="A8575">
        <f ca="1">31810.7328381092*(RANDBETWEEN(2890,3282))</f>
        <v>95050469.720270276</v>
      </c>
      <c r="B8575">
        <v>259286491.35936689</v>
      </c>
    </row>
    <row r="8576" spans="1:2" x14ac:dyDescent="0.25">
      <c r="A8576">
        <f ca="1">38593.275470785*(RANDBETWEEN(2890,3282))</f>
        <v>124308940.29139864</v>
      </c>
      <c r="B8576">
        <v>205955756.23402584</v>
      </c>
    </row>
    <row r="8577" spans="1:2" x14ac:dyDescent="0.25">
      <c r="A8577">
        <f ca="1">31771.5918683914*(RANDBETWEEN(2890,3282))</f>
        <v>93789739.195491448</v>
      </c>
      <c r="B8577">
        <v>265618630.40753758</v>
      </c>
    </row>
    <row r="8578" spans="1:2" x14ac:dyDescent="0.25">
      <c r="A8578">
        <f ca="1">42103.1887823342*(RANDBETWEEN(2890,3282))</f>
        <v>123572859.07615095</v>
      </c>
      <c r="B8578">
        <v>237428766.43784082</v>
      </c>
    </row>
    <row r="8579" spans="1:2" x14ac:dyDescent="0.25">
      <c r="A8579">
        <f ca="1">34473.1320868603*(RANDBETWEEN(2890,3282))</f>
        <v>99903136.787721232</v>
      </c>
      <c r="B8579">
        <v>265397636.88776049</v>
      </c>
    </row>
    <row r="8580" spans="1:2" x14ac:dyDescent="0.25">
      <c r="A8580">
        <f ca="1">37860.6747099263*(RANDBETWEEN(2890,3282))</f>
        <v>115777943.26295476</v>
      </c>
      <c r="B8580">
        <v>233400104.60841063</v>
      </c>
    </row>
    <row r="8581" spans="1:2" x14ac:dyDescent="0.25">
      <c r="A8581">
        <f ca="1">34478.2496713233*(RANDBETWEEN(2890,3282))</f>
        <v>108158269.21894126</v>
      </c>
      <c r="B8581">
        <v>212554259.84809229</v>
      </c>
    </row>
    <row r="8582" spans="1:2" x14ac:dyDescent="0.25">
      <c r="A8582">
        <f ca="1">31398.1169540409*(RANDBETWEEN(2890,3282))</f>
        <v>100725159.18856323</v>
      </c>
      <c r="B8582">
        <v>265113516.8405779</v>
      </c>
    </row>
    <row r="8583" spans="1:2" x14ac:dyDescent="0.25">
      <c r="A8583">
        <f ca="1">33020.4290281756*(RANDBETWEEN(2890,3282))</f>
        <v>107580557.77379611</v>
      </c>
      <c r="B8583">
        <v>215457016.39735731</v>
      </c>
    </row>
    <row r="8584" spans="1:2" x14ac:dyDescent="0.25">
      <c r="A8584">
        <f ca="1">34295.1094595273*(RANDBETWEEN(2890,3282))</f>
        <v>105594642.02588458</v>
      </c>
      <c r="B8584">
        <v>205175156.21105775</v>
      </c>
    </row>
    <row r="8585" spans="1:2" x14ac:dyDescent="0.25">
      <c r="A8585">
        <f ca="1">33139.3301997601*(RANDBETWEEN(2890,3282))</f>
        <v>103030177.59105422</v>
      </c>
      <c r="B8585">
        <v>207879207.26862663</v>
      </c>
    </row>
    <row r="8586" spans="1:2" x14ac:dyDescent="0.25">
      <c r="A8586">
        <f ca="1">42521.093845814*(RANDBETWEEN(2890,3282))</f>
        <v>124204115.12362282</v>
      </c>
      <c r="B8586">
        <v>225287864.88038525</v>
      </c>
    </row>
    <row r="8587" spans="1:2" x14ac:dyDescent="0.25">
      <c r="A8587">
        <f ca="1">28500.3553243584*(RANDBETWEEN(2890,3282))</f>
        <v>89747618.916404605</v>
      </c>
      <c r="B8587">
        <v>211456928.12385684</v>
      </c>
    </row>
    <row r="8588" spans="1:2" x14ac:dyDescent="0.25">
      <c r="A8588">
        <f ca="1">29554.4300128533*(RANDBETWEEN(2890,3282))</f>
        <v>94515067.181104884</v>
      </c>
      <c r="B8588">
        <v>222431084.47523868</v>
      </c>
    </row>
    <row r="8589" spans="1:2" x14ac:dyDescent="0.25">
      <c r="A8589">
        <f ca="1">37817.7802241429*(RANDBETWEEN(2890,3282))</f>
        <v>121168167.838154</v>
      </c>
      <c r="B8589">
        <v>210941515.74611154</v>
      </c>
    </row>
    <row r="8590" spans="1:2" x14ac:dyDescent="0.25">
      <c r="A8590">
        <f ca="1">30363.6944484084*(RANDBETWEEN(2890,3282))</f>
        <v>96647639.429283917</v>
      </c>
      <c r="B8590">
        <v>262235640.85063204</v>
      </c>
    </row>
    <row r="8591" spans="1:2" x14ac:dyDescent="0.25">
      <c r="A8591">
        <f ca="1">29460.1837415834*(RANDBETWEEN(2890,3282))</f>
        <v>94861791.647898436</v>
      </c>
      <c r="B8591">
        <v>224853585.96864977</v>
      </c>
    </row>
    <row r="8592" spans="1:2" x14ac:dyDescent="0.25">
      <c r="A8592">
        <f ca="1">33621.5785903225*(RANDBETWEEN(2890,3282))</f>
        <v>97637064.22629647</v>
      </c>
      <c r="B8592">
        <v>242294111.82863426</v>
      </c>
    </row>
    <row r="8593" spans="1:2" x14ac:dyDescent="0.25">
      <c r="A8593">
        <f ca="1">32766.249657523*(RANDBETWEEN(2890,3282))</f>
        <v>101444308.93969135</v>
      </c>
      <c r="B8593">
        <v>234713413.77402732</v>
      </c>
    </row>
    <row r="8594" spans="1:2" x14ac:dyDescent="0.25">
      <c r="A8594">
        <f ca="1">33320.3595839209*(RANDBETWEEN(2890,3282))</f>
        <v>108124566.84982333</v>
      </c>
      <c r="B8594">
        <v>258449136.50816715</v>
      </c>
    </row>
    <row r="8595" spans="1:2" x14ac:dyDescent="0.25">
      <c r="A8595">
        <f ca="1">38482.5827516918*(RANDBETWEEN(2890,3282))</f>
        <v>116024986.99635078</v>
      </c>
      <c r="B8595">
        <v>220003724.08501744</v>
      </c>
    </row>
    <row r="8596" spans="1:2" x14ac:dyDescent="0.25">
      <c r="A8596">
        <f ca="1">30768.1621680032*(RANDBETWEEN(2890,3282))</f>
        <v>89473815.58455345</v>
      </c>
      <c r="B8596">
        <v>238972620.37809104</v>
      </c>
    </row>
    <row r="8597" spans="1:2" x14ac:dyDescent="0.25">
      <c r="A8597">
        <f ca="1">35842.9193876245*(RANDBETWEEN(2890,3282))</f>
        <v>115342514.58937575</v>
      </c>
      <c r="B8597">
        <v>249242291.92540994</v>
      </c>
    </row>
    <row r="8598" spans="1:2" x14ac:dyDescent="0.25">
      <c r="A8598">
        <f ca="1">32226.4317461951*(RANDBETWEEN(2890,3282))</f>
        <v>105348205.37831166</v>
      </c>
      <c r="B8598">
        <v>230366993.38280192</v>
      </c>
    </row>
    <row r="8599" spans="1:2" x14ac:dyDescent="0.25">
      <c r="A8599">
        <f ca="1">37135.5745273168*(RANDBETWEEN(2890,3282))</f>
        <v>110069842.89896692</v>
      </c>
      <c r="B8599">
        <v>204149335.37619537</v>
      </c>
    </row>
    <row r="8600" spans="1:2" x14ac:dyDescent="0.25">
      <c r="A8600">
        <f ca="1">30200.4452625986*(RANDBETWEEN(2890,3282))</f>
        <v>93591179.868793085</v>
      </c>
      <c r="B8600">
        <v>208380667.84834984</v>
      </c>
    </row>
    <row r="8601" spans="1:2" x14ac:dyDescent="0.25">
      <c r="A8601">
        <f ca="1">39176.4751185026*(RANDBETWEEN(2890,3282))</f>
        <v>127872014.78679255</v>
      </c>
      <c r="B8601">
        <v>260046703.74837962</v>
      </c>
    </row>
    <row r="8602" spans="1:2" x14ac:dyDescent="0.25">
      <c r="A8602">
        <f ca="1">37850.0669047312*(RANDBETWEEN(2890,3282))</f>
        <v>123050567.50728117</v>
      </c>
      <c r="B8602">
        <v>211082373.91275382</v>
      </c>
    </row>
    <row r="8603" spans="1:2" x14ac:dyDescent="0.25">
      <c r="A8603">
        <f ca="1">38773.3093722174*(RANDBETWEEN(2890,3282))</f>
        <v>124035816.68172336</v>
      </c>
      <c r="B8603">
        <v>233559400.17069769</v>
      </c>
    </row>
    <row r="8604" spans="1:2" x14ac:dyDescent="0.25">
      <c r="A8604">
        <f ca="1">43492.8200924595*(RANDBETWEEN(2890,3282))</f>
        <v>133566450.50394313</v>
      </c>
      <c r="B8604">
        <v>262459970.34855905</v>
      </c>
    </row>
    <row r="8605" spans="1:2" x14ac:dyDescent="0.25">
      <c r="A8605">
        <f ca="1">30401.2574258234*(RANDBETWEEN(2890,3282))</f>
        <v>91811797.425986648</v>
      </c>
      <c r="B8605">
        <v>232364488.90383172</v>
      </c>
    </row>
    <row r="8606" spans="1:2" x14ac:dyDescent="0.25">
      <c r="A8606">
        <f ca="1">30922.6888204379*(RANDBETWEEN(2890,3282))</f>
        <v>90696246.310344279</v>
      </c>
      <c r="B8606">
        <v>249827001.58432961</v>
      </c>
    </row>
    <row r="8607" spans="1:2" x14ac:dyDescent="0.25">
      <c r="A8607">
        <f ca="1">37069.0705481347*(RANDBETWEEN(2890,3282))</f>
        <v>120659824.63417855</v>
      </c>
      <c r="B8607">
        <v>205675121.01389289</v>
      </c>
    </row>
    <row r="8608" spans="1:2" x14ac:dyDescent="0.25">
      <c r="A8608">
        <f ca="1">27753.4156767595*(RANDBETWEEN(2890,3282))</f>
        <v>83343507.277308822</v>
      </c>
      <c r="B8608">
        <v>208315348.43199694</v>
      </c>
    </row>
    <row r="8609" spans="1:2" x14ac:dyDescent="0.25">
      <c r="A8609">
        <f ca="1">32346.4065350163*(RANDBETWEEN(2890,3282))</f>
        <v>104575932.32770781</v>
      </c>
      <c r="B8609">
        <v>247686993.78280902</v>
      </c>
    </row>
    <row r="8610" spans="1:2" x14ac:dyDescent="0.25">
      <c r="A8610">
        <f ca="1">30606.3571819939*(RANDBETWEEN(2890,3282))</f>
        <v>93104538.547625452</v>
      </c>
      <c r="B8610">
        <v>244118893.77385014</v>
      </c>
    </row>
    <row r="8611" spans="1:2" x14ac:dyDescent="0.25">
      <c r="A8611">
        <f ca="1">32575.5293954472*(RANDBETWEEN(2890,3282))</f>
        <v>97922041.362714246</v>
      </c>
      <c r="B8611">
        <v>228160238.60544008</v>
      </c>
    </row>
    <row r="8612" spans="1:2" x14ac:dyDescent="0.25">
      <c r="A8612">
        <f ca="1">36864.6600021695*(RANDBETWEEN(2890,3282))</f>
        <v>116455460.94685331</v>
      </c>
      <c r="B8612">
        <v>210428373.07802591</v>
      </c>
    </row>
    <row r="8613" spans="1:2" x14ac:dyDescent="0.25">
      <c r="A8613">
        <f ca="1">32093.5797699667*(RANDBETWEEN(2890,3282))</f>
        <v>100388717.52045579</v>
      </c>
      <c r="B8613">
        <v>261832489.60967931</v>
      </c>
    </row>
    <row r="8614" spans="1:2" x14ac:dyDescent="0.25">
      <c r="A8614">
        <f ca="1">37896.2778113339*(RANDBETWEEN(2890,3282))</f>
        <v>111756123.26562363</v>
      </c>
      <c r="B8614">
        <v>254180575.29922751</v>
      </c>
    </row>
    <row r="8615" spans="1:2" x14ac:dyDescent="0.25">
      <c r="A8615">
        <f ca="1">32975.0891964415*(RANDBETWEEN(2890,3282))</f>
        <v>107663666.22638157</v>
      </c>
      <c r="B8615">
        <v>212135793.55424008</v>
      </c>
    </row>
    <row r="8616" spans="1:2" x14ac:dyDescent="0.25">
      <c r="A8616">
        <f ca="1">36460.5220417706*(RANDBETWEEN(2890,3282))</f>
        <v>117548723.06266846</v>
      </c>
      <c r="B8616">
        <v>224639035.59750462</v>
      </c>
    </row>
    <row r="8617" spans="1:2" x14ac:dyDescent="0.25">
      <c r="A8617">
        <f ca="1">32484.3657176446*(RANDBETWEEN(2890,3282))</f>
        <v>96348628.718533844</v>
      </c>
      <c r="B8617">
        <v>204851958.49794713</v>
      </c>
    </row>
    <row r="8618" spans="1:2" x14ac:dyDescent="0.25">
      <c r="A8618">
        <f ca="1">35829.207878914*(RANDBETWEEN(2890,3282))</f>
        <v>117483972.63495915</v>
      </c>
      <c r="B8618">
        <v>262498220.99410269</v>
      </c>
    </row>
    <row r="8619" spans="1:2" x14ac:dyDescent="0.25">
      <c r="A8619">
        <f ca="1">34268.8516047062*(RANDBETWEEN(2890,3282))</f>
        <v>111133885.75406235</v>
      </c>
      <c r="B8619">
        <v>224905811.67301008</v>
      </c>
    </row>
    <row r="8620" spans="1:2" x14ac:dyDescent="0.25">
      <c r="A8620">
        <f ca="1">39403.8214924888*(RANDBETWEEN(2890,3282))</f>
        <v>122939923.05656497</v>
      </c>
      <c r="B8620">
        <v>217001904.38239735</v>
      </c>
    </row>
    <row r="8621" spans="1:2" x14ac:dyDescent="0.25">
      <c r="A8621">
        <f ca="1">38791.5938506884*(RANDBETWEEN(2890,3282))</f>
        <v>116180823.58281183</v>
      </c>
      <c r="B8621">
        <v>226912410.3740384</v>
      </c>
    </row>
    <row r="8622" spans="1:2" x14ac:dyDescent="0.25">
      <c r="A8622">
        <f ca="1">35646.5463600737*(RANDBETWEEN(2890,3282))</f>
        <v>112500500.31239262</v>
      </c>
      <c r="B8622">
        <v>208151817.844506</v>
      </c>
    </row>
    <row r="8623" spans="1:2" x14ac:dyDescent="0.25">
      <c r="A8623">
        <f ca="1">34138.3805032035*(RANDBETWEEN(2890,3282))</f>
        <v>107126238.01905265</v>
      </c>
      <c r="B8623">
        <v>251226551.05749989</v>
      </c>
    </row>
    <row r="8624" spans="1:2" x14ac:dyDescent="0.25">
      <c r="A8624">
        <f ca="1">30584.7289305107*(RANDBETWEEN(2890,3282))</f>
        <v>99706216.313464865</v>
      </c>
      <c r="B8624">
        <v>233999041.79527542</v>
      </c>
    </row>
    <row r="8625" spans="1:2" x14ac:dyDescent="0.25">
      <c r="A8625">
        <f ca="1">30359.3547689632*(RANDBETWEEN(2890,3282))</f>
        <v>96056998.48899968</v>
      </c>
      <c r="B8625">
        <v>206796207.11356318</v>
      </c>
    </row>
    <row r="8626" spans="1:2" x14ac:dyDescent="0.25">
      <c r="A8626">
        <f ca="1">37678.3998232423*(RANDBETWEEN(2890,3282))</f>
        <v>121588196.22960301</v>
      </c>
      <c r="B8626">
        <v>221650661.64030126</v>
      </c>
    </row>
    <row r="8627" spans="1:2" x14ac:dyDescent="0.25">
      <c r="A8627">
        <f ca="1">29398.7669236264*(RANDBETWEEN(2890,3282))</f>
        <v>95839980.171022192</v>
      </c>
      <c r="B8627">
        <v>267215121.8780247</v>
      </c>
    </row>
    <row r="8628" spans="1:2" x14ac:dyDescent="0.25">
      <c r="A8628">
        <f ca="1">34723.0477875679*(RANDBETWEEN(2890,3282))</f>
        <v>101981591.35208683</v>
      </c>
      <c r="B8628">
        <v>254054650.45782495</v>
      </c>
    </row>
    <row r="8629" spans="1:2" x14ac:dyDescent="0.25">
      <c r="A8629">
        <f ca="1">31781.3593690169*(RANDBETWEEN(2890,3282))</f>
        <v>91975254.013934955</v>
      </c>
      <c r="B8629">
        <v>221778887.70910645</v>
      </c>
    </row>
    <row r="8630" spans="1:2" x14ac:dyDescent="0.25">
      <c r="A8630">
        <f ca="1">34800.920843712*(RANDBETWEEN(2890,3282))</f>
        <v>103045526.61823116</v>
      </c>
      <c r="B8630">
        <v>226026576.05378765</v>
      </c>
    </row>
    <row r="8631" spans="1:2" x14ac:dyDescent="0.25">
      <c r="A8631">
        <f ca="1">32836.5487973193*(RANDBETWEEN(2890,3282))</f>
        <v>96736472.756902784</v>
      </c>
      <c r="B8631">
        <v>250465493.91372329</v>
      </c>
    </row>
    <row r="8632" spans="1:2" x14ac:dyDescent="0.25">
      <c r="A8632">
        <f ca="1">32414.1531226174*(RANDBETWEEN(2890,3282))</f>
        <v>103595633.37988532</v>
      </c>
      <c r="B8632">
        <v>239161981.62495506</v>
      </c>
    </row>
    <row r="8633" spans="1:2" x14ac:dyDescent="0.25">
      <c r="A8633">
        <f ca="1">38855.8031282518*(RANDBETWEEN(2890,3282))</f>
        <v>113109242.90634099</v>
      </c>
      <c r="B8633">
        <v>209262131.46888998</v>
      </c>
    </row>
    <row r="8634" spans="1:2" x14ac:dyDescent="0.25">
      <c r="A8634">
        <f ca="1">36056.1277740019*(RANDBETWEEN(2890,3282))</f>
        <v>116677629.47667001</v>
      </c>
      <c r="B8634">
        <v>244401832.2923941</v>
      </c>
    </row>
    <row r="8635" spans="1:2" x14ac:dyDescent="0.25">
      <c r="A8635">
        <f ca="1">37250.9081589606*(RANDBETWEEN(2890,3282))</f>
        <v>114285786.23169121</v>
      </c>
      <c r="B8635">
        <v>249094093.92127118</v>
      </c>
    </row>
    <row r="8636" spans="1:2" x14ac:dyDescent="0.25">
      <c r="A8636">
        <f ca="1">31734.3800325724*(RANDBETWEEN(2890,3282))</f>
        <v>101010531.64367786</v>
      </c>
      <c r="B8636">
        <v>259525253.36662757</v>
      </c>
    </row>
    <row r="8637" spans="1:2" x14ac:dyDescent="0.25">
      <c r="A8637">
        <f ca="1">38853.3170836953*(RANDBETWEEN(2890,3282))</f>
        <v>119745923.25194898</v>
      </c>
      <c r="B8637">
        <v>216778050.36829105</v>
      </c>
    </row>
    <row r="8638" spans="1:2" x14ac:dyDescent="0.25">
      <c r="A8638">
        <f ca="1">32353.4976265108*(RANDBETWEEN(2890,3282))</f>
        <v>105245927.77903961</v>
      </c>
      <c r="B8638">
        <v>257344050.33130789</v>
      </c>
    </row>
    <row r="8639" spans="1:2" x14ac:dyDescent="0.25">
      <c r="A8639">
        <f ca="1">34230.6810880071*(RANDBETWEEN(2890,3282))</f>
        <v>112310864.64975134</v>
      </c>
      <c r="B8639">
        <v>257282276.69617826</v>
      </c>
    </row>
    <row r="8640" spans="1:2" x14ac:dyDescent="0.25">
      <c r="A8640">
        <f ca="1">31406.3905691544*(RANDBETWEEN(2890,3282))</f>
        <v>99966541.181618452</v>
      </c>
      <c r="B8640">
        <v>215795442.89181295</v>
      </c>
    </row>
    <row r="8641" spans="1:2" x14ac:dyDescent="0.25">
      <c r="A8641">
        <f ca="1">31225.8481507194*(RANDBETWEEN(2890,3282))</f>
        <v>94645545.744830653</v>
      </c>
      <c r="B8641">
        <v>225232745.97268569</v>
      </c>
    </row>
    <row r="8642" spans="1:2" x14ac:dyDescent="0.25">
      <c r="A8642">
        <f ca="1">28414.5034827725*(RANDBETWEEN(2890,3282))</f>
        <v>85754971.511007473</v>
      </c>
      <c r="B8642">
        <v>254120846.45472533</v>
      </c>
    </row>
    <row r="8643" spans="1:2" x14ac:dyDescent="0.25">
      <c r="A8643">
        <f ca="1">38042.2812937884*(RANDBETWEEN(2890,3282))</f>
        <v>113137744.56772684</v>
      </c>
      <c r="B8643">
        <v>210859672.8431356</v>
      </c>
    </row>
    <row r="8644" spans="1:2" x14ac:dyDescent="0.25">
      <c r="A8644">
        <f ca="1">32719.4769225757*(RANDBETWEEN(2890,3282))</f>
        <v>106861811.62913238</v>
      </c>
      <c r="B8644">
        <v>216281311.60320982</v>
      </c>
    </row>
    <row r="8645" spans="1:2" x14ac:dyDescent="0.25">
      <c r="A8645">
        <f ca="1">32955.9414142301*(RANDBETWEEN(2890,3282))</f>
        <v>106118131.35382083</v>
      </c>
      <c r="B8645">
        <v>259808980.61146593</v>
      </c>
    </row>
    <row r="8646" spans="1:2" x14ac:dyDescent="0.25">
      <c r="A8646">
        <f ca="1">40291.4953901101*(RANDBETWEEN(2890,3282))</f>
        <v>117207960.08983026</v>
      </c>
      <c r="B8646">
        <v>251741105.03736109</v>
      </c>
    </row>
    <row r="8647" spans="1:2" x14ac:dyDescent="0.25">
      <c r="A8647">
        <f ca="1">40286.1748629968*(RANDBETWEEN(2890,3282))</f>
        <v>130970354.47960262</v>
      </c>
      <c r="B8647">
        <v>204443325.70793548</v>
      </c>
    </row>
    <row r="8648" spans="1:2" x14ac:dyDescent="0.25">
      <c r="A8648">
        <f ca="1">32127.0872139655*(RANDBETWEEN(2890,3282))</f>
        <v>103352839.56732689</v>
      </c>
      <c r="B8648">
        <v>258666079.31183508</v>
      </c>
    </row>
    <row r="8649" spans="1:2" x14ac:dyDescent="0.25">
      <c r="A8649">
        <f ca="1">30576.7459815838*(RANDBETWEEN(2890,3282))</f>
        <v>91149279.771101326</v>
      </c>
      <c r="B8649">
        <v>267092985.90628967</v>
      </c>
    </row>
    <row r="8650" spans="1:2" x14ac:dyDescent="0.25">
      <c r="A8650">
        <f ca="1">30769.4033054103*(RANDBETWEEN(2890,3282))</f>
        <v>95815921.893047526</v>
      </c>
      <c r="B8650">
        <v>205149563.9752619</v>
      </c>
    </row>
    <row r="8651" spans="1:2" x14ac:dyDescent="0.25">
      <c r="A8651">
        <f ca="1">29955.1074897452*(RANDBETWEEN(2890,3282))</f>
        <v>97623695.309079573</v>
      </c>
      <c r="B8651">
        <v>205683669.59737921</v>
      </c>
    </row>
    <row r="8652" spans="1:2" x14ac:dyDescent="0.25">
      <c r="A8652">
        <f ca="1">39354.8605891016*(RANDBETWEEN(2890,3282))</f>
        <v>120071679.65734895</v>
      </c>
      <c r="B8652">
        <v>254104391.41732642</v>
      </c>
    </row>
    <row r="8653" spans="1:2" x14ac:dyDescent="0.25">
      <c r="A8653">
        <f ca="1">38470.7964281339*(RANDBETWEEN(2890,3282))</f>
        <v>118990173.35221805</v>
      </c>
      <c r="B8653">
        <v>227036862.09889734</v>
      </c>
    </row>
    <row r="8654" spans="1:2" x14ac:dyDescent="0.25">
      <c r="A8654">
        <f ca="1">31507.7671430811*(RANDBETWEEN(2890,3282))</f>
        <v>102368735.44787051</v>
      </c>
      <c r="B8654">
        <v>227488713.47734594</v>
      </c>
    </row>
    <row r="8655" spans="1:2" x14ac:dyDescent="0.25">
      <c r="A8655">
        <f ca="1">32306.9535461747*(RANDBETWEEN(2890,3282))</f>
        <v>96210107.660508215</v>
      </c>
      <c r="B8655">
        <v>259192050.62312239</v>
      </c>
    </row>
    <row r="8656" spans="1:2" x14ac:dyDescent="0.25">
      <c r="A8656">
        <f ca="1">30252.4232968717*(RANDBETWEEN(2890,3282))</f>
        <v>89970706.884896502</v>
      </c>
      <c r="B8656">
        <v>222831723.4127261</v>
      </c>
    </row>
    <row r="8657" spans="1:2" x14ac:dyDescent="0.25">
      <c r="A8657">
        <f ca="1">30900.6861744065*(RANDBETWEEN(2890,3282))</f>
        <v>96626445.667369112</v>
      </c>
      <c r="B8657">
        <v>215934896.74981564</v>
      </c>
    </row>
    <row r="8658" spans="1:2" x14ac:dyDescent="0.25">
      <c r="A8658">
        <f ca="1">41153.3937444091*(RANDBETWEEN(2890,3282))</f>
        <v>124365555.89560424</v>
      </c>
      <c r="B8658">
        <v>219064623.82672533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ww20</vt:lpstr>
      <vt:lpstr>ww25</vt:lpstr>
      <vt:lpstr>w20</vt:lpstr>
      <vt:lpstr>w25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Schem</dc:creator>
  <cp:lastModifiedBy>Schem</cp:lastModifiedBy>
  <dcterms:created xsi:type="dcterms:W3CDTF">2022-01-12T07:53:53Z</dcterms:created>
  <dcterms:modified xsi:type="dcterms:W3CDTF">2022-02-22T09:44:50Z</dcterms:modified>
</cp:coreProperties>
</file>